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drawings/drawing4.xml" ContentType="application/vnd.openxmlformats-officedocument.drawing+xml"/>
  <Override PartName="/xl/drawings/drawing5.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connections.xml" ContentType="application/vnd.openxmlformats-officedocument.spreadsheetml.connections+xml"/>
  <Override PartName="/xl/drawings/drawing1.xml" ContentType="application/vnd.openxmlformats-officedocument.drawing+xml"/>
  <Override PartName="/xl/comments2.xml" ContentType="application/vnd.openxmlformats-officedocument.spreadsheetml.comment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6"/>
  <workbookPr codeName="EstaPasta_de_trabalho" defaultThemeVersion="124226"/>
  <bookViews>
    <workbookView xWindow="0" yWindow="0" windowWidth="16935" windowHeight="12810" tabRatio="949" activeTab="3"/>
  </bookViews>
  <sheets>
    <sheet name="SINAPI MAIO 2020" sheetId="39" r:id="rId1"/>
    <sheet name="QUANT" sheetId="44" r:id="rId2"/>
    <sheet name="1-RESUMO" sheetId="50" r:id="rId3"/>
    <sheet name="2-ORÇAMENTO" sheetId="41" r:id="rId4"/>
    <sheet name="3-CRONOGRAMA" sheetId="33" r:id="rId5"/>
    <sheet name="4-BDI" sheetId="45" r:id="rId6"/>
    <sheet name="6-COMP. PROPRIA" sheetId="43" r:id="rId7"/>
    <sheet name="CPUs" sheetId="54" r:id="rId8"/>
    <sheet name="Orçamento Analítico" sheetId="55" r:id="rId9"/>
  </sheets>
  <definedNames>
    <definedName name="_xlnm._FilterDatabase" localSheetId="3" hidden="1">'2-ORÇAMENTO'!$C$1:$D$577</definedName>
    <definedName name="_xlnm._FilterDatabase" localSheetId="6" hidden="1">'6-COMP. PROPRIA'!$E$2:$E$808</definedName>
    <definedName name="_xlnm._FilterDatabase" localSheetId="1" hidden="1">QUANT!$D$1:$D$1493</definedName>
    <definedName name="_xlnm.Print_Area" localSheetId="2">'1-RESUMO'!$B$2:$E$80</definedName>
    <definedName name="_xlnm.Print_Area" localSheetId="3">'2-ORÇAMENTO'!$B$2:$K$574</definedName>
    <definedName name="_xlnm.Print_Area" localSheetId="4">'3-CRONOGRAMA'!$B$2:$L$82</definedName>
    <definedName name="_xlnm.Print_Area" localSheetId="5">'4-BDI'!$B$2:$D$49</definedName>
    <definedName name="_xlnm.Print_Area" localSheetId="6">'6-COMP. PROPRIA'!$B$1:$I$808</definedName>
    <definedName name="_xlnm.Print_Area" localSheetId="1">QUANT!$B$2:$O$1486</definedName>
    <definedName name="_xlnm.Print_Titles" localSheetId="3">'2-ORÇAMENTO'!$9:$9</definedName>
  </definedNames>
  <calcPr calcId="125725"/>
  <fileRecoveryPr autoRecover="0"/>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F626" i="43"/>
  <c r="E626"/>
  <c r="F625"/>
  <c r="E625"/>
  <c r="F624"/>
  <c r="E624"/>
  <c r="F622"/>
  <c r="E622"/>
  <c r="F620"/>
  <c r="E620"/>
  <c r="F619"/>
  <c r="E619"/>
  <c r="F618"/>
  <c r="E618"/>
  <c r="F616"/>
  <c r="E616"/>
  <c r="F615"/>
  <c r="E615"/>
  <c r="F614"/>
  <c r="E614"/>
  <c r="F613"/>
  <c r="E613"/>
  <c r="F612"/>
  <c r="E612"/>
  <c r="H626" l="1"/>
  <c r="H625"/>
  <c r="H624"/>
  <c r="H622"/>
  <c r="H620"/>
  <c r="H619"/>
  <c r="H618"/>
  <c r="H616"/>
  <c r="H615"/>
  <c r="H614"/>
  <c r="H613"/>
  <c r="H612"/>
  <c r="H37"/>
  <c r="C319" i="41"/>
  <c r="F319" s="1"/>
  <c r="D319"/>
  <c r="G319"/>
  <c r="K1115" i="44"/>
  <c r="E1113"/>
  <c r="E239" i="43"/>
  <c r="F239"/>
  <c r="H239"/>
  <c r="I239" s="1"/>
  <c r="E240"/>
  <c r="F240"/>
  <c r="H240"/>
  <c r="I240" s="1"/>
  <c r="E241"/>
  <c r="F241"/>
  <c r="H241"/>
  <c r="I241" s="1"/>
  <c r="E242"/>
  <c r="F242"/>
  <c r="H242"/>
  <c r="I242" s="1"/>
  <c r="E243"/>
  <c r="F243"/>
  <c r="H243"/>
  <c r="I243" s="1"/>
  <c r="K1048" i="44"/>
  <c r="E1048"/>
  <c r="L1049"/>
  <c r="H319" i="41" l="1"/>
  <c r="E319"/>
  <c r="L1113" i="44"/>
  <c r="C45" i="41"/>
  <c r="E45" s="1"/>
  <c r="D45"/>
  <c r="J319" l="1"/>
  <c r="H45"/>
  <c r="F45"/>
  <c r="H99" i="43"/>
  <c r="I99" s="1"/>
  <c r="E99"/>
  <c r="F99"/>
  <c r="E98"/>
  <c r="F98"/>
  <c r="H98"/>
  <c r="I98" s="1"/>
  <c r="H66" l="1"/>
  <c r="I66" s="1"/>
  <c r="H67"/>
  <c r="I67" s="1"/>
  <c r="E67"/>
  <c r="F67"/>
  <c r="E66"/>
  <c r="F66"/>
  <c r="C463" i="44"/>
  <c r="M444"/>
  <c r="C1003" l="1"/>
  <c r="H215" i="43"/>
  <c r="I215" s="1"/>
  <c r="H216"/>
  <c r="I216" s="1"/>
  <c r="H217"/>
  <c r="I217" s="1"/>
  <c r="H218"/>
  <c r="I218" s="1"/>
  <c r="H219"/>
  <c r="I219" s="1"/>
  <c r="H220"/>
  <c r="H221"/>
  <c r="I221" s="1"/>
  <c r="H222"/>
  <c r="I222" s="1"/>
  <c r="H223"/>
  <c r="H214"/>
  <c r="I214" s="1"/>
  <c r="H211"/>
  <c r="H212"/>
  <c r="I212" s="1"/>
  <c r="H210"/>
  <c r="I210" s="1"/>
  <c r="H206"/>
  <c r="I206" s="1"/>
  <c r="H193"/>
  <c r="I193" s="1"/>
  <c r="H194"/>
  <c r="H195"/>
  <c r="I195" s="1"/>
  <c r="H196"/>
  <c r="I196" s="1"/>
  <c r="H197"/>
  <c r="I197" s="1"/>
  <c r="H198"/>
  <c r="H192"/>
  <c r="I192" s="1"/>
  <c r="H190"/>
  <c r="I190" s="1"/>
  <c r="H187"/>
  <c r="I187" s="1"/>
  <c r="H188"/>
  <c r="I188" s="1"/>
  <c r="H186"/>
  <c r="I186" s="1"/>
  <c r="E215"/>
  <c r="F215"/>
  <c r="E216"/>
  <c r="F216"/>
  <c r="E217"/>
  <c r="F217"/>
  <c r="E218"/>
  <c r="F218"/>
  <c r="E219"/>
  <c r="F219"/>
  <c r="E220"/>
  <c r="F220"/>
  <c r="E221"/>
  <c r="F221"/>
  <c r="E222"/>
  <c r="F222"/>
  <c r="E223"/>
  <c r="F223"/>
  <c r="F214"/>
  <c r="E214"/>
  <c r="E212"/>
  <c r="F212"/>
  <c r="E211"/>
  <c r="F211"/>
  <c r="G211"/>
  <c r="F210"/>
  <c r="E210"/>
  <c r="F206"/>
  <c r="E206"/>
  <c r="E193"/>
  <c r="F193"/>
  <c r="E194"/>
  <c r="F194"/>
  <c r="E195"/>
  <c r="F195"/>
  <c r="E196"/>
  <c r="F196"/>
  <c r="E197"/>
  <c r="F197"/>
  <c r="E198"/>
  <c r="F198"/>
  <c r="F192"/>
  <c r="E192"/>
  <c r="F190"/>
  <c r="E190"/>
  <c r="E187"/>
  <c r="F187"/>
  <c r="E188"/>
  <c r="F188"/>
  <c r="F186"/>
  <c r="E186"/>
  <c r="I223"/>
  <c r="I220"/>
  <c r="I209"/>
  <c r="I208"/>
  <c r="I207"/>
  <c r="I205"/>
  <c r="I204"/>
  <c r="I203"/>
  <c r="I202"/>
  <c r="I200"/>
  <c r="I198"/>
  <c r="I194"/>
  <c r="I191"/>
  <c r="I211" l="1"/>
  <c r="I184" s="1"/>
  <c r="D415" i="41"/>
  <c r="G415"/>
  <c r="I626" i="43" l="1"/>
  <c r="I625"/>
  <c r="I624"/>
  <c r="I622"/>
  <c r="I620"/>
  <c r="I619"/>
  <c r="I618"/>
  <c r="I616"/>
  <c r="I615"/>
  <c r="I614"/>
  <c r="I613"/>
  <c r="I612"/>
  <c r="C1269" i="44"/>
  <c r="H608" i="43"/>
  <c r="I608" s="1"/>
  <c r="F608"/>
  <c r="E608"/>
  <c r="H607"/>
  <c r="I607" s="1"/>
  <c r="F607"/>
  <c r="E607"/>
  <c r="H606"/>
  <c r="I606" s="1"/>
  <c r="F606"/>
  <c r="E606"/>
  <c r="H604"/>
  <c r="I604" s="1"/>
  <c r="F604"/>
  <c r="E604"/>
  <c r="H603"/>
  <c r="I603" s="1"/>
  <c r="F603"/>
  <c r="E603"/>
  <c r="H602"/>
  <c r="I602" s="1"/>
  <c r="F602"/>
  <c r="E602"/>
  <c r="H600"/>
  <c r="I600" s="1"/>
  <c r="F600"/>
  <c r="E600"/>
  <c r="H599"/>
  <c r="I599" s="1"/>
  <c r="F599"/>
  <c r="E599"/>
  <c r="H598"/>
  <c r="I598" s="1"/>
  <c r="F598"/>
  <c r="E598"/>
  <c r="H597"/>
  <c r="I597" s="1"/>
  <c r="F597"/>
  <c r="E597"/>
  <c r="H596"/>
  <c r="I596" s="1"/>
  <c r="I594" s="1"/>
  <c r="F596"/>
  <c r="E596"/>
  <c r="I610" l="1"/>
  <c r="E1269" i="44"/>
  <c r="C415" i="41"/>
  <c r="F37" i="43" l="1"/>
  <c r="E37"/>
  <c r="E34"/>
  <c r="G114" i="41" l="1"/>
  <c r="D114"/>
  <c r="C114"/>
  <c r="H114" s="1"/>
  <c r="L434" i="44"/>
  <c r="E434"/>
  <c r="K973"/>
  <c r="G368" i="41"/>
  <c r="G369"/>
  <c r="G370"/>
  <c r="G371"/>
  <c r="G372"/>
  <c r="G373"/>
  <c r="G376"/>
  <c r="G377"/>
  <c r="G378"/>
  <c r="G379"/>
  <c r="G380"/>
  <c r="G381"/>
  <c r="G382"/>
  <c r="G383"/>
  <c r="G384"/>
  <c r="G385"/>
  <c r="G386"/>
  <c r="G387"/>
  <c r="G388"/>
  <c r="G389"/>
  <c r="G390"/>
  <c r="G391"/>
  <c r="G392"/>
  <c r="G393"/>
  <c r="G394"/>
  <c r="G395"/>
  <c r="G396"/>
  <c r="G398"/>
  <c r="G399"/>
  <c r="G400"/>
  <c r="G401"/>
  <c r="G402"/>
  <c r="G403"/>
  <c r="G404"/>
  <c r="G367"/>
  <c r="D367"/>
  <c r="D368"/>
  <c r="D369"/>
  <c r="D370"/>
  <c r="D371"/>
  <c r="D372"/>
  <c r="D373"/>
  <c r="D374"/>
  <c r="D375"/>
  <c r="D376"/>
  <c r="D377"/>
  <c r="D378"/>
  <c r="D379"/>
  <c r="D380"/>
  <c r="D381"/>
  <c r="D382"/>
  <c r="D383"/>
  <c r="D384"/>
  <c r="D385"/>
  <c r="D386"/>
  <c r="D387"/>
  <c r="D388"/>
  <c r="D389"/>
  <c r="D390"/>
  <c r="D391"/>
  <c r="D392"/>
  <c r="D393"/>
  <c r="D394"/>
  <c r="D395"/>
  <c r="D396"/>
  <c r="D397"/>
  <c r="D398"/>
  <c r="D399"/>
  <c r="D400"/>
  <c r="D401"/>
  <c r="D402"/>
  <c r="D403"/>
  <c r="D404"/>
  <c r="C401"/>
  <c r="C402"/>
  <c r="C396"/>
  <c r="C397"/>
  <c r="C398"/>
  <c r="C399"/>
  <c r="C400"/>
  <c r="C395"/>
  <c r="C384"/>
  <c r="C385"/>
  <c r="C386"/>
  <c r="C387"/>
  <c r="C388"/>
  <c r="C389"/>
  <c r="C390"/>
  <c r="C372"/>
  <c r="C373"/>
  <c r="C374"/>
  <c r="C375"/>
  <c r="C376"/>
  <c r="C377"/>
  <c r="C378"/>
  <c r="C379"/>
  <c r="C380"/>
  <c r="C381"/>
  <c r="C382"/>
  <c r="C383"/>
  <c r="C368"/>
  <c r="C369"/>
  <c r="C370"/>
  <c r="C371"/>
  <c r="C367"/>
  <c r="G414"/>
  <c r="G413"/>
  <c r="G412"/>
  <c r="G411"/>
  <c r="D409"/>
  <c r="D410"/>
  <c r="D411"/>
  <c r="D412"/>
  <c r="D413"/>
  <c r="D414"/>
  <c r="C414"/>
  <c r="E414" s="1"/>
  <c r="C413"/>
  <c r="E1268" i="44"/>
  <c r="L1268"/>
  <c r="E1267"/>
  <c r="L1267"/>
  <c r="J114" i="41" l="1"/>
  <c r="F114"/>
  <c r="E114"/>
  <c r="H414"/>
  <c r="F414"/>
  <c r="J414" l="1"/>
  <c r="B39" i="50" l="1"/>
  <c r="B33"/>
  <c r="B65"/>
  <c r="B63"/>
  <c r="B61"/>
  <c r="B59"/>
  <c r="B57"/>
  <c r="B55"/>
  <c r="B53"/>
  <c r="B51"/>
  <c r="B49"/>
  <c r="B47"/>
  <c r="B45"/>
  <c r="B43"/>
  <c r="B41"/>
  <c r="B37"/>
  <c r="B35"/>
  <c r="B31"/>
  <c r="B29"/>
  <c r="B27"/>
  <c r="B25"/>
  <c r="B23"/>
  <c r="B21"/>
  <c r="B19"/>
  <c r="B17"/>
  <c r="B15"/>
  <c r="B13"/>
  <c r="B11"/>
  <c r="E317" i="41"/>
  <c r="G106"/>
  <c r="G105"/>
  <c r="G104"/>
  <c r="C105"/>
  <c r="L58" i="33" l="1"/>
  <c r="B57"/>
  <c r="D554" i="41" l="1"/>
  <c r="C554"/>
  <c r="E553"/>
  <c r="C65" i="50" s="1"/>
  <c r="G551" i="41"/>
  <c r="G547"/>
  <c r="D547"/>
  <c r="D548"/>
  <c r="D549"/>
  <c r="D550"/>
  <c r="D551"/>
  <c r="C550"/>
  <c r="H550" s="1"/>
  <c r="E546"/>
  <c r="C63" i="50" s="1"/>
  <c r="G538" i="41"/>
  <c r="G539"/>
  <c r="G540"/>
  <c r="G541"/>
  <c r="G542"/>
  <c r="G543"/>
  <c r="G544"/>
  <c r="G537"/>
  <c r="D537"/>
  <c r="D538"/>
  <c r="D539"/>
  <c r="D540"/>
  <c r="D541"/>
  <c r="D542"/>
  <c r="D543"/>
  <c r="D544"/>
  <c r="C538"/>
  <c r="E538" s="1"/>
  <c r="C539"/>
  <c r="F539" s="1"/>
  <c r="C541"/>
  <c r="H541" s="1"/>
  <c r="C542"/>
  <c r="H542" s="1"/>
  <c r="C537"/>
  <c r="H537" s="1"/>
  <c r="E536"/>
  <c r="C61" i="50" s="1"/>
  <c r="D526" i="41"/>
  <c r="D527"/>
  <c r="D528"/>
  <c r="D529"/>
  <c r="D530"/>
  <c r="D531"/>
  <c r="D532"/>
  <c r="D533"/>
  <c r="D534"/>
  <c r="C534"/>
  <c r="H534" s="1"/>
  <c r="C533"/>
  <c r="E533" s="1"/>
  <c r="C531"/>
  <c r="E531" s="1"/>
  <c r="C530"/>
  <c r="E530" s="1"/>
  <c r="C529"/>
  <c r="F529" s="1"/>
  <c r="C528"/>
  <c r="F528" s="1"/>
  <c r="C527"/>
  <c r="E527" s="1"/>
  <c r="C526"/>
  <c r="H526" s="1"/>
  <c r="E525"/>
  <c r="C59" i="50" s="1"/>
  <c r="H405" i="43"/>
  <c r="I405" s="1"/>
  <c r="H406"/>
  <c r="I406" s="1"/>
  <c r="H526"/>
  <c r="I526" s="1"/>
  <c r="H527"/>
  <c r="I527" s="1"/>
  <c r="H401"/>
  <c r="I401" s="1"/>
  <c r="H515"/>
  <c r="G519" i="41"/>
  <c r="G520"/>
  <c r="G521"/>
  <c r="G522"/>
  <c r="G518"/>
  <c r="G492"/>
  <c r="G493"/>
  <c r="G494"/>
  <c r="G495"/>
  <c r="G496"/>
  <c r="G497"/>
  <c r="G498"/>
  <c r="G499"/>
  <c r="G500"/>
  <c r="G501"/>
  <c r="G502"/>
  <c r="G503"/>
  <c r="G504"/>
  <c r="G505"/>
  <c r="G506"/>
  <c r="G507"/>
  <c r="G508"/>
  <c r="G509"/>
  <c r="G510"/>
  <c r="G511"/>
  <c r="G512"/>
  <c r="G513"/>
  <c r="G514"/>
  <c r="G515"/>
  <c r="G491"/>
  <c r="G484"/>
  <c r="G485"/>
  <c r="G486"/>
  <c r="G487"/>
  <c r="G488"/>
  <c r="G483"/>
  <c r="D483"/>
  <c r="D484"/>
  <c r="D485"/>
  <c r="D486"/>
  <c r="D487"/>
  <c r="D488"/>
  <c r="G478"/>
  <c r="G479"/>
  <c r="G480"/>
  <c r="G477"/>
  <c r="D477"/>
  <c r="D478"/>
  <c r="D479"/>
  <c r="D480"/>
  <c r="D518"/>
  <c r="D519"/>
  <c r="D520"/>
  <c r="D521"/>
  <c r="D522"/>
  <c r="C520"/>
  <c r="F520" s="1"/>
  <c r="E517"/>
  <c r="D491"/>
  <c r="D492"/>
  <c r="D493"/>
  <c r="D494"/>
  <c r="D495"/>
  <c r="D496"/>
  <c r="D497"/>
  <c r="D498"/>
  <c r="D499"/>
  <c r="D500"/>
  <c r="D501"/>
  <c r="D502"/>
  <c r="D503"/>
  <c r="D504"/>
  <c r="D505"/>
  <c r="D506"/>
  <c r="D507"/>
  <c r="D508"/>
  <c r="D509"/>
  <c r="D510"/>
  <c r="D511"/>
  <c r="D512"/>
  <c r="D513"/>
  <c r="D514"/>
  <c r="D515"/>
  <c r="E490"/>
  <c r="C488"/>
  <c r="E488" s="1"/>
  <c r="E482"/>
  <c r="E476"/>
  <c r="G440"/>
  <c r="G441"/>
  <c r="G442"/>
  <c r="G443"/>
  <c r="G444"/>
  <c r="G445"/>
  <c r="G446"/>
  <c r="G447"/>
  <c r="G448"/>
  <c r="G449"/>
  <c r="G450"/>
  <c r="G451"/>
  <c r="G452"/>
  <c r="G453"/>
  <c r="G454"/>
  <c r="G455"/>
  <c r="G456"/>
  <c r="G457"/>
  <c r="G458"/>
  <c r="G459"/>
  <c r="G460"/>
  <c r="G461"/>
  <c r="G462"/>
  <c r="G463"/>
  <c r="G464"/>
  <c r="G465"/>
  <c r="G466"/>
  <c r="G467"/>
  <c r="G468"/>
  <c r="G469"/>
  <c r="G470"/>
  <c r="G471"/>
  <c r="G472"/>
  <c r="G473"/>
  <c r="G474"/>
  <c r="G439"/>
  <c r="D439"/>
  <c r="D440"/>
  <c r="D441"/>
  <c r="D442"/>
  <c r="D443"/>
  <c r="D444"/>
  <c r="D445"/>
  <c r="D446"/>
  <c r="D447"/>
  <c r="D448"/>
  <c r="D449"/>
  <c r="D450"/>
  <c r="D451"/>
  <c r="D452"/>
  <c r="D453"/>
  <c r="D454"/>
  <c r="D455"/>
  <c r="D456"/>
  <c r="D457"/>
  <c r="D458"/>
  <c r="D459"/>
  <c r="D460"/>
  <c r="D461"/>
  <c r="D462"/>
  <c r="D463"/>
  <c r="D464"/>
  <c r="D465"/>
  <c r="D466"/>
  <c r="D467"/>
  <c r="D468"/>
  <c r="D469"/>
  <c r="D470"/>
  <c r="D471"/>
  <c r="D472"/>
  <c r="D473"/>
  <c r="D474"/>
  <c r="C471"/>
  <c r="F471" s="1"/>
  <c r="C472"/>
  <c r="E472" s="1"/>
  <c r="C473"/>
  <c r="F473" s="1"/>
  <c r="C474"/>
  <c r="E474" s="1"/>
  <c r="E438"/>
  <c r="G419"/>
  <c r="G420"/>
  <c r="G421"/>
  <c r="G422"/>
  <c r="G423"/>
  <c r="G424"/>
  <c r="G425"/>
  <c r="G426"/>
  <c r="G427"/>
  <c r="G428"/>
  <c r="G429"/>
  <c r="G430"/>
  <c r="G431"/>
  <c r="G432"/>
  <c r="G433"/>
  <c r="G434"/>
  <c r="G435"/>
  <c r="G436"/>
  <c r="G418"/>
  <c r="D418"/>
  <c r="D419"/>
  <c r="D420"/>
  <c r="D421"/>
  <c r="D422"/>
  <c r="D423"/>
  <c r="D424"/>
  <c r="D425"/>
  <c r="D426"/>
  <c r="D427"/>
  <c r="D428"/>
  <c r="D429"/>
  <c r="D430"/>
  <c r="D431"/>
  <c r="D432"/>
  <c r="D433"/>
  <c r="D434"/>
  <c r="D435"/>
  <c r="D436"/>
  <c r="C436"/>
  <c r="H436" s="1"/>
  <c r="C430"/>
  <c r="E430" s="1"/>
  <c r="C431"/>
  <c r="E431" s="1"/>
  <c r="C432"/>
  <c r="H432" s="1"/>
  <c r="C433"/>
  <c r="E433" s="1"/>
  <c r="C434"/>
  <c r="H434" s="1"/>
  <c r="C435"/>
  <c r="H435" s="1"/>
  <c r="E417"/>
  <c r="G410"/>
  <c r="G409"/>
  <c r="E408"/>
  <c r="E407"/>
  <c r="E401"/>
  <c r="F402"/>
  <c r="H399"/>
  <c r="E400"/>
  <c r="F386"/>
  <c r="H388"/>
  <c r="E389"/>
  <c r="E390"/>
  <c r="E376"/>
  <c r="E377"/>
  <c r="E378"/>
  <c r="F380"/>
  <c r="H381"/>
  <c r="H382"/>
  <c r="H383"/>
  <c r="E384"/>
  <c r="E385"/>
  <c r="E368"/>
  <c r="E370"/>
  <c r="E371"/>
  <c r="E372"/>
  <c r="F374"/>
  <c r="H375"/>
  <c r="F367"/>
  <c r="E366"/>
  <c r="G361"/>
  <c r="G363"/>
  <c r="G364"/>
  <c r="G360"/>
  <c r="D360"/>
  <c r="D361"/>
  <c r="D362"/>
  <c r="D363"/>
  <c r="D364"/>
  <c r="C361"/>
  <c r="E361" s="1"/>
  <c r="C362"/>
  <c r="E362" s="1"/>
  <c r="C363"/>
  <c r="E363" s="1"/>
  <c r="C364"/>
  <c r="F364" s="1"/>
  <c r="C360"/>
  <c r="F360" s="1"/>
  <c r="E359"/>
  <c r="D351"/>
  <c r="D352"/>
  <c r="D353"/>
  <c r="D354"/>
  <c r="D355"/>
  <c r="D356"/>
  <c r="D357"/>
  <c r="C357"/>
  <c r="E357" s="1"/>
  <c r="C356"/>
  <c r="E356" s="1"/>
  <c r="C355"/>
  <c r="F355" s="1"/>
  <c r="C353"/>
  <c r="E353" s="1"/>
  <c r="C352"/>
  <c r="H352" s="1"/>
  <c r="C351"/>
  <c r="E350"/>
  <c r="E349"/>
  <c r="C55" i="50" s="1"/>
  <c r="G334" i="41"/>
  <c r="G335"/>
  <c r="G336"/>
  <c r="G337"/>
  <c r="G338"/>
  <c r="G339"/>
  <c r="G340"/>
  <c r="G341"/>
  <c r="G342"/>
  <c r="G343"/>
  <c r="G344"/>
  <c r="G345"/>
  <c r="G346"/>
  <c r="G347"/>
  <c r="G333"/>
  <c r="D333"/>
  <c r="D334"/>
  <c r="D335"/>
  <c r="D336"/>
  <c r="D337"/>
  <c r="D338"/>
  <c r="D339"/>
  <c r="D340"/>
  <c r="D341"/>
  <c r="D342"/>
  <c r="D343"/>
  <c r="D344"/>
  <c r="D345"/>
  <c r="D346"/>
  <c r="D347"/>
  <c r="C334"/>
  <c r="F334" s="1"/>
  <c r="C335"/>
  <c r="H335" s="1"/>
  <c r="C338"/>
  <c r="F338" s="1"/>
  <c r="C339"/>
  <c r="F339" s="1"/>
  <c r="C340"/>
  <c r="F340" s="1"/>
  <c r="C342"/>
  <c r="F342" s="1"/>
  <c r="C343"/>
  <c r="H343" s="1"/>
  <c r="E332"/>
  <c r="C53" i="50" s="1"/>
  <c r="G329" i="41"/>
  <c r="G328"/>
  <c r="G327"/>
  <c r="D327"/>
  <c r="D328"/>
  <c r="D329"/>
  <c r="C329"/>
  <c r="E329" s="1"/>
  <c r="C328"/>
  <c r="E328" s="1"/>
  <c r="C327"/>
  <c r="H327" s="1"/>
  <c r="E326"/>
  <c r="G324"/>
  <c r="G323"/>
  <c r="G322"/>
  <c r="G321"/>
  <c r="G320"/>
  <c r="G318"/>
  <c r="D318"/>
  <c r="D320"/>
  <c r="D321"/>
  <c r="D322"/>
  <c r="D323"/>
  <c r="D324"/>
  <c r="C324"/>
  <c r="E324" s="1"/>
  <c r="C323"/>
  <c r="H323" s="1"/>
  <c r="C322"/>
  <c r="E322" s="1"/>
  <c r="C321"/>
  <c r="F321" s="1"/>
  <c r="E316"/>
  <c r="C51" i="50" s="1"/>
  <c r="D312" i="41"/>
  <c r="D313"/>
  <c r="C313"/>
  <c r="H313" s="1"/>
  <c r="C312"/>
  <c r="H312" s="1"/>
  <c r="E1102" i="44"/>
  <c r="K1102" s="1"/>
  <c r="E1101"/>
  <c r="K1101" s="1"/>
  <c r="E1103"/>
  <c r="K1103" s="1"/>
  <c r="L1105"/>
  <c r="E1105"/>
  <c r="L1099"/>
  <c r="E1099"/>
  <c r="G311" i="41"/>
  <c r="G310"/>
  <c r="G309"/>
  <c r="D307"/>
  <c r="D308"/>
  <c r="D309"/>
  <c r="D310"/>
  <c r="D311"/>
  <c r="C308"/>
  <c r="E308" s="1"/>
  <c r="C307"/>
  <c r="H307" s="1"/>
  <c r="E306"/>
  <c r="G302"/>
  <c r="G303"/>
  <c r="G304"/>
  <c r="G301"/>
  <c r="D301"/>
  <c r="D302"/>
  <c r="D303"/>
  <c r="D304"/>
  <c r="C302"/>
  <c r="E302" s="1"/>
  <c r="C303"/>
  <c r="F303" s="1"/>
  <c r="C304"/>
  <c r="F304" s="1"/>
  <c r="C301"/>
  <c r="H301" s="1"/>
  <c r="E300"/>
  <c r="G283"/>
  <c r="G284"/>
  <c r="G285"/>
  <c r="G286"/>
  <c r="G287"/>
  <c r="G288"/>
  <c r="G289"/>
  <c r="G290"/>
  <c r="G291"/>
  <c r="G292"/>
  <c r="G293"/>
  <c r="G294"/>
  <c r="G295"/>
  <c r="G296"/>
  <c r="G297"/>
  <c r="G298"/>
  <c r="G282"/>
  <c r="D282"/>
  <c r="D283"/>
  <c r="D284"/>
  <c r="D285"/>
  <c r="D286"/>
  <c r="D287"/>
  <c r="D288"/>
  <c r="D289"/>
  <c r="D290"/>
  <c r="D291"/>
  <c r="D292"/>
  <c r="D293"/>
  <c r="D294"/>
  <c r="D295"/>
  <c r="D296"/>
  <c r="D297"/>
  <c r="D298"/>
  <c r="C293"/>
  <c r="E293" s="1"/>
  <c r="C294"/>
  <c r="E294" s="1"/>
  <c r="C295"/>
  <c r="E295" s="1"/>
  <c r="C296"/>
  <c r="E296" s="1"/>
  <c r="C297"/>
  <c r="H297" s="1"/>
  <c r="C298"/>
  <c r="F298" s="1"/>
  <c r="C284"/>
  <c r="E284" s="1"/>
  <c r="C285"/>
  <c r="H285" s="1"/>
  <c r="C287"/>
  <c r="H287" s="1"/>
  <c r="C288"/>
  <c r="E288" s="1"/>
  <c r="C289"/>
  <c r="H289" s="1"/>
  <c r="C290"/>
  <c r="F290" s="1"/>
  <c r="C291"/>
  <c r="F291" s="1"/>
  <c r="E281"/>
  <c r="D274"/>
  <c r="D275"/>
  <c r="D276"/>
  <c r="D277"/>
  <c r="D278"/>
  <c r="D279"/>
  <c r="C279"/>
  <c r="F279" s="1"/>
  <c r="C278"/>
  <c r="E278" s="1"/>
  <c r="C277"/>
  <c r="F277" s="1"/>
  <c r="C276"/>
  <c r="E276" s="1"/>
  <c r="C275"/>
  <c r="E275" s="1"/>
  <c r="E273"/>
  <c r="E272"/>
  <c r="C49" i="50" s="1"/>
  <c r="G269" i="41"/>
  <c r="D269"/>
  <c r="E268"/>
  <c r="G264"/>
  <c r="G265"/>
  <c r="G266"/>
  <c r="G260"/>
  <c r="G261"/>
  <c r="G262"/>
  <c r="G263"/>
  <c r="G253"/>
  <c r="G254"/>
  <c r="G255"/>
  <c r="G256"/>
  <c r="G257"/>
  <c r="G258"/>
  <c r="G259"/>
  <c r="G252"/>
  <c r="D252"/>
  <c r="D253"/>
  <c r="D254"/>
  <c r="D255"/>
  <c r="D256"/>
  <c r="D257"/>
  <c r="D258"/>
  <c r="D259"/>
  <c r="D260"/>
  <c r="D261"/>
  <c r="D262"/>
  <c r="D263"/>
  <c r="D264"/>
  <c r="D265"/>
  <c r="D266"/>
  <c r="C253"/>
  <c r="E253" s="1"/>
  <c r="C254"/>
  <c r="E254" s="1"/>
  <c r="C256"/>
  <c r="E256" s="1"/>
  <c r="C257"/>
  <c r="F257" s="1"/>
  <c r="C259"/>
  <c r="F259" s="1"/>
  <c r="C260"/>
  <c r="H260" s="1"/>
  <c r="C261"/>
  <c r="E261" s="1"/>
  <c r="C262"/>
  <c r="F262" s="1"/>
  <c r="C263"/>
  <c r="F263" s="1"/>
  <c r="C264"/>
  <c r="F264" s="1"/>
  <c r="C252"/>
  <c r="E252" s="1"/>
  <c r="E251"/>
  <c r="G230"/>
  <c r="G232"/>
  <c r="G233"/>
  <c r="G234"/>
  <c r="G235"/>
  <c r="G236"/>
  <c r="G237"/>
  <c r="G238"/>
  <c r="G239"/>
  <c r="G240"/>
  <c r="G241"/>
  <c r="G242"/>
  <c r="G243"/>
  <c r="G244"/>
  <c r="G245"/>
  <c r="G246"/>
  <c r="G247"/>
  <c r="G248"/>
  <c r="G249"/>
  <c r="G224"/>
  <c r="G225"/>
  <c r="G226"/>
  <c r="G227"/>
  <c r="G228"/>
  <c r="G229"/>
  <c r="G223"/>
  <c r="D223"/>
  <c r="D224"/>
  <c r="D225"/>
  <c r="D226"/>
  <c r="D227"/>
  <c r="D228"/>
  <c r="D229"/>
  <c r="D230"/>
  <c r="D231"/>
  <c r="D232"/>
  <c r="D233"/>
  <c r="D234"/>
  <c r="D235"/>
  <c r="D236"/>
  <c r="D237"/>
  <c r="D238"/>
  <c r="D239"/>
  <c r="D240"/>
  <c r="D241"/>
  <c r="D242"/>
  <c r="D243"/>
  <c r="D244"/>
  <c r="D245"/>
  <c r="D246"/>
  <c r="D247"/>
  <c r="D248"/>
  <c r="D249"/>
  <c r="C237"/>
  <c r="E237" s="1"/>
  <c r="C238"/>
  <c r="E238" s="1"/>
  <c r="C239"/>
  <c r="F239" s="1"/>
  <c r="C240"/>
  <c r="F240" s="1"/>
  <c r="C241"/>
  <c r="H241" s="1"/>
  <c r="C242"/>
  <c r="H242" s="1"/>
  <c r="C244"/>
  <c r="F244" s="1"/>
  <c r="C245"/>
  <c r="E245" s="1"/>
  <c r="C246"/>
  <c r="E246" s="1"/>
  <c r="C247"/>
  <c r="F247" s="1"/>
  <c r="C225"/>
  <c r="F225" s="1"/>
  <c r="C226"/>
  <c r="F226" s="1"/>
  <c r="C227"/>
  <c r="F227" s="1"/>
  <c r="C228"/>
  <c r="H228" s="1"/>
  <c r="C229"/>
  <c r="E229" s="1"/>
  <c r="C230"/>
  <c r="H230" s="1"/>
  <c r="C231"/>
  <c r="H231" s="1"/>
  <c r="C232"/>
  <c r="F232" s="1"/>
  <c r="C233"/>
  <c r="H233" s="1"/>
  <c r="C234"/>
  <c r="H234" s="1"/>
  <c r="C235"/>
  <c r="H235" s="1"/>
  <c r="C223"/>
  <c r="H223" s="1"/>
  <c r="E222"/>
  <c r="D217"/>
  <c r="D218"/>
  <c r="D219"/>
  <c r="D220"/>
  <c r="C220"/>
  <c r="E220" s="1"/>
  <c r="C219"/>
  <c r="H219" s="1"/>
  <c r="C218"/>
  <c r="E218" s="1"/>
  <c r="C217"/>
  <c r="H217" s="1"/>
  <c r="E216"/>
  <c r="E215"/>
  <c r="C47" i="50" s="1"/>
  <c r="D213" i="41"/>
  <c r="C213"/>
  <c r="H213" s="1"/>
  <c r="E212"/>
  <c r="C45" i="50" s="1"/>
  <c r="D210" i="41"/>
  <c r="C210"/>
  <c r="E210" s="1"/>
  <c r="E209"/>
  <c r="C43" i="50" s="1"/>
  <c r="D200" i="41"/>
  <c r="D201"/>
  <c r="D202"/>
  <c r="D203"/>
  <c r="D204"/>
  <c r="D205"/>
  <c r="D206"/>
  <c r="C204"/>
  <c r="H204" s="1"/>
  <c r="C202"/>
  <c r="H202" s="1"/>
  <c r="C201"/>
  <c r="F201" s="1"/>
  <c r="C200"/>
  <c r="F200" s="1"/>
  <c r="E199"/>
  <c r="D193"/>
  <c r="D194"/>
  <c r="D195"/>
  <c r="D196"/>
  <c r="D197"/>
  <c r="C197"/>
  <c r="H197" s="1"/>
  <c r="C196"/>
  <c r="E196" s="1"/>
  <c r="C195"/>
  <c r="E195" s="1"/>
  <c r="C194"/>
  <c r="H194" s="1"/>
  <c r="C193"/>
  <c r="F193" s="1"/>
  <c r="E192"/>
  <c r="E191"/>
  <c r="D179"/>
  <c r="D180"/>
  <c r="D181"/>
  <c r="D182"/>
  <c r="D183"/>
  <c r="D184"/>
  <c r="D185"/>
  <c r="D186"/>
  <c r="D187"/>
  <c r="D188"/>
  <c r="D189"/>
  <c r="C189"/>
  <c r="E189" s="1"/>
  <c r="C188"/>
  <c r="E188" s="1"/>
  <c r="C187"/>
  <c r="E187" s="1"/>
  <c r="C186"/>
  <c r="E186" s="1"/>
  <c r="C185"/>
  <c r="H185" s="1"/>
  <c r="C184"/>
  <c r="F184" s="1"/>
  <c r="C183"/>
  <c r="F183" s="1"/>
  <c r="C182"/>
  <c r="F182" s="1"/>
  <c r="C181"/>
  <c r="H181" s="1"/>
  <c r="C180"/>
  <c r="H180" s="1"/>
  <c r="C179"/>
  <c r="F179" s="1"/>
  <c r="E178"/>
  <c r="D165"/>
  <c r="D166"/>
  <c r="D167"/>
  <c r="D168"/>
  <c r="D169"/>
  <c r="D170"/>
  <c r="D171"/>
  <c r="D172"/>
  <c r="D173"/>
  <c r="D174"/>
  <c r="D175"/>
  <c r="D176"/>
  <c r="C176"/>
  <c r="H176" s="1"/>
  <c r="C175"/>
  <c r="E175" s="1"/>
  <c r="C174"/>
  <c r="E174" s="1"/>
  <c r="C173"/>
  <c r="H173" s="1"/>
  <c r="C172"/>
  <c r="H172" s="1"/>
  <c r="C171"/>
  <c r="F171" s="1"/>
  <c r="C170"/>
  <c r="E170" s="1"/>
  <c r="C169"/>
  <c r="H169" s="1"/>
  <c r="C168"/>
  <c r="F168" s="1"/>
  <c r="C167"/>
  <c r="E167" s="1"/>
  <c r="C166"/>
  <c r="H166" s="1"/>
  <c r="C165"/>
  <c r="H165" s="1"/>
  <c r="E164"/>
  <c r="E163"/>
  <c r="E162"/>
  <c r="C41" i="50" s="1"/>
  <c r="D156" i="41"/>
  <c r="D157"/>
  <c r="D158"/>
  <c r="D159"/>
  <c r="C158"/>
  <c r="H158" s="1"/>
  <c r="C157"/>
  <c r="H157" s="1"/>
  <c r="E155"/>
  <c r="D149"/>
  <c r="D150"/>
  <c r="D151"/>
  <c r="D152"/>
  <c r="D153"/>
  <c r="C151"/>
  <c r="F151" s="1"/>
  <c r="C150"/>
  <c r="E150" s="1"/>
  <c r="E148"/>
  <c r="E147"/>
  <c r="C39" i="50" s="1"/>
  <c r="D145" i="41"/>
  <c r="C145"/>
  <c r="F145" s="1"/>
  <c r="E144"/>
  <c r="C37" i="50" s="1"/>
  <c r="D141" i="41"/>
  <c r="D142"/>
  <c r="C141"/>
  <c r="H141" s="1"/>
  <c r="E140"/>
  <c r="C35" i="50" s="1"/>
  <c r="D134" i="41"/>
  <c r="D135"/>
  <c r="D136"/>
  <c r="D137"/>
  <c r="D138"/>
  <c r="C138"/>
  <c r="F138" s="1"/>
  <c r="C137"/>
  <c r="E137" s="1"/>
  <c r="C136"/>
  <c r="E136" s="1"/>
  <c r="C135"/>
  <c r="H135" s="1"/>
  <c r="E133"/>
  <c r="C33" i="50" s="1"/>
  <c r="D125" i="41"/>
  <c r="D126"/>
  <c r="D127"/>
  <c r="D128"/>
  <c r="D129"/>
  <c r="D130"/>
  <c r="D131"/>
  <c r="C131"/>
  <c r="E131" s="1"/>
  <c r="C130"/>
  <c r="F130" s="1"/>
  <c r="C129"/>
  <c r="F129" s="1"/>
  <c r="C128"/>
  <c r="H128" s="1"/>
  <c r="C127"/>
  <c r="F127" s="1"/>
  <c r="C126"/>
  <c r="E126" s="1"/>
  <c r="C125"/>
  <c r="F125" s="1"/>
  <c r="E124"/>
  <c r="C31" i="50" s="1"/>
  <c r="D117" i="41"/>
  <c r="D118"/>
  <c r="D119"/>
  <c r="D120"/>
  <c r="D121"/>
  <c r="D122"/>
  <c r="C120"/>
  <c r="E120" s="1"/>
  <c r="C119"/>
  <c r="E119" s="1"/>
  <c r="E116"/>
  <c r="C29" i="50" s="1"/>
  <c r="D111" i="41"/>
  <c r="D112"/>
  <c r="D113"/>
  <c r="C113"/>
  <c r="H113" s="1"/>
  <c r="C111"/>
  <c r="H111" s="1"/>
  <c r="E110"/>
  <c r="C27" i="50" s="1"/>
  <c r="D104" i="41"/>
  <c r="D105"/>
  <c r="D106"/>
  <c r="D107"/>
  <c r="D108"/>
  <c r="C108"/>
  <c r="E108" s="1"/>
  <c r="C107"/>
  <c r="H107" s="1"/>
  <c r="C106"/>
  <c r="E106" s="1"/>
  <c r="E105"/>
  <c r="C104"/>
  <c r="F104" s="1"/>
  <c r="E103"/>
  <c r="C25" i="50" s="1"/>
  <c r="D99" i="41"/>
  <c r="D100"/>
  <c r="D101"/>
  <c r="C101"/>
  <c r="F101" s="1"/>
  <c r="C100"/>
  <c r="H100" s="1"/>
  <c r="C99"/>
  <c r="F99" s="1"/>
  <c r="E98"/>
  <c r="C23" i="50" s="1"/>
  <c r="G94" i="41"/>
  <c r="D90"/>
  <c r="D91"/>
  <c r="D92"/>
  <c r="D93"/>
  <c r="D94"/>
  <c r="D95"/>
  <c r="C95"/>
  <c r="H95" s="1"/>
  <c r="C94"/>
  <c r="H94" s="1"/>
  <c r="C93"/>
  <c r="F93" s="1"/>
  <c r="C92"/>
  <c r="H92" s="1"/>
  <c r="C91"/>
  <c r="F91" s="1"/>
  <c r="C90"/>
  <c r="H90" s="1"/>
  <c r="E89"/>
  <c r="G87"/>
  <c r="G86"/>
  <c r="G85"/>
  <c r="G84"/>
  <c r="D82"/>
  <c r="D83"/>
  <c r="D84"/>
  <c r="D85"/>
  <c r="D86"/>
  <c r="D87"/>
  <c r="C87"/>
  <c r="H87" s="1"/>
  <c r="C86"/>
  <c r="H86" s="1"/>
  <c r="C85"/>
  <c r="E85" s="1"/>
  <c r="C84"/>
  <c r="H84" s="1"/>
  <c r="C83"/>
  <c r="E83" s="1"/>
  <c r="C82"/>
  <c r="E82" s="1"/>
  <c r="E81"/>
  <c r="E80"/>
  <c r="C21" i="50" s="1"/>
  <c r="G73" i="41"/>
  <c r="G72"/>
  <c r="G71"/>
  <c r="G70"/>
  <c r="G69"/>
  <c r="D65"/>
  <c r="D66"/>
  <c r="D67"/>
  <c r="D68"/>
  <c r="D69"/>
  <c r="D70"/>
  <c r="D71"/>
  <c r="D72"/>
  <c r="D73"/>
  <c r="D74"/>
  <c r="D75"/>
  <c r="D76"/>
  <c r="D77"/>
  <c r="C77"/>
  <c r="E77" s="1"/>
  <c r="C76"/>
  <c r="E76" s="1"/>
  <c r="C75"/>
  <c r="F75" s="1"/>
  <c r="C74"/>
  <c r="F74" s="1"/>
  <c r="C73"/>
  <c r="F73" s="1"/>
  <c r="C72"/>
  <c r="H72" s="1"/>
  <c r="C71"/>
  <c r="F71" s="1"/>
  <c r="C70"/>
  <c r="H70" s="1"/>
  <c r="C69"/>
  <c r="E69" s="1"/>
  <c r="C68"/>
  <c r="H68" s="1"/>
  <c r="C67"/>
  <c r="E67" s="1"/>
  <c r="C66"/>
  <c r="E66" s="1"/>
  <c r="C65"/>
  <c r="F65" s="1"/>
  <c r="E64"/>
  <c r="G58"/>
  <c r="G57"/>
  <c r="G56"/>
  <c r="G55"/>
  <c r="G54"/>
  <c r="G53"/>
  <c r="D58"/>
  <c r="D59"/>
  <c r="D60"/>
  <c r="D61"/>
  <c r="D62"/>
  <c r="C62"/>
  <c r="E62" s="1"/>
  <c r="C61"/>
  <c r="H61" s="1"/>
  <c r="C60"/>
  <c r="F60" s="1"/>
  <c r="C59"/>
  <c r="E59" s="1"/>
  <c r="C58"/>
  <c r="H58" s="1"/>
  <c r="D57"/>
  <c r="D56"/>
  <c r="D54"/>
  <c r="D55"/>
  <c r="C57"/>
  <c r="F57" s="1"/>
  <c r="C56"/>
  <c r="F56" s="1"/>
  <c r="C55"/>
  <c r="F55" s="1"/>
  <c r="D49"/>
  <c r="D50"/>
  <c r="D51"/>
  <c r="D52"/>
  <c r="D53"/>
  <c r="C54"/>
  <c r="E54" s="1"/>
  <c r="C53"/>
  <c r="E53" s="1"/>
  <c r="C52"/>
  <c r="F52" s="1"/>
  <c r="C51"/>
  <c r="H51" s="1"/>
  <c r="C50"/>
  <c r="H50" s="1"/>
  <c r="C49"/>
  <c r="F49" s="1"/>
  <c r="E48"/>
  <c r="E47"/>
  <c r="C19" i="50" s="1"/>
  <c r="D44" i="41"/>
  <c r="E43"/>
  <c r="D23"/>
  <c r="D24"/>
  <c r="D25"/>
  <c r="D26"/>
  <c r="D27"/>
  <c r="D28"/>
  <c r="D29"/>
  <c r="D30"/>
  <c r="D31"/>
  <c r="D32"/>
  <c r="D33"/>
  <c r="D34"/>
  <c r="D35"/>
  <c r="D36"/>
  <c r="D37"/>
  <c r="D38"/>
  <c r="D39"/>
  <c r="D40"/>
  <c r="D41"/>
  <c r="C41"/>
  <c r="F41" s="1"/>
  <c r="C40"/>
  <c r="F40" s="1"/>
  <c r="C38"/>
  <c r="E38" s="1"/>
  <c r="C37"/>
  <c r="E37" s="1"/>
  <c r="C36"/>
  <c r="E36" s="1"/>
  <c r="C34"/>
  <c r="F34" s="1"/>
  <c r="C33"/>
  <c r="F33" s="1"/>
  <c r="C32"/>
  <c r="H32" s="1"/>
  <c r="C30"/>
  <c r="E30" s="1"/>
  <c r="C29"/>
  <c r="E29" s="1"/>
  <c r="C28"/>
  <c r="H28" s="1"/>
  <c r="C27"/>
  <c r="E27" s="1"/>
  <c r="C26"/>
  <c r="F26" s="1"/>
  <c r="C25"/>
  <c r="E25" s="1"/>
  <c r="C23"/>
  <c r="E23" s="1"/>
  <c r="D16"/>
  <c r="D17"/>
  <c r="D18"/>
  <c r="D19"/>
  <c r="D20"/>
  <c r="C20"/>
  <c r="C19"/>
  <c r="E19" s="1"/>
  <c r="C18"/>
  <c r="H18" s="1"/>
  <c r="C17"/>
  <c r="H17" s="1"/>
  <c r="C16"/>
  <c r="H16" s="1"/>
  <c r="D11"/>
  <c r="D12"/>
  <c r="D13"/>
  <c r="C13"/>
  <c r="H13" s="1"/>
  <c r="C12"/>
  <c r="E12" s="1"/>
  <c r="C11"/>
  <c r="H11" s="1"/>
  <c r="C1480" i="44"/>
  <c r="C551" i="41" s="1"/>
  <c r="C1470" i="44"/>
  <c r="C549" i="41" s="1"/>
  <c r="C1466" i="44"/>
  <c r="C548" i="41" s="1"/>
  <c r="C1461" i="44"/>
  <c r="C547" i="41" s="1"/>
  <c r="C1430" i="44"/>
  <c r="C532" i="41" s="1"/>
  <c r="H743" i="43"/>
  <c r="I743" s="1"/>
  <c r="F743"/>
  <c r="E743"/>
  <c r="H742"/>
  <c r="I742" s="1"/>
  <c r="F742"/>
  <c r="E742"/>
  <c r="E973" i="44"/>
  <c r="L973"/>
  <c r="E967"/>
  <c r="L967"/>
  <c r="K963"/>
  <c r="G231" i="41" s="1"/>
  <c r="E1242" i="44"/>
  <c r="L1242"/>
  <c r="E1237"/>
  <c r="L1237"/>
  <c r="K1229"/>
  <c r="G375" i="41" s="1"/>
  <c r="K1228" i="44"/>
  <c r="G374" i="41" s="1"/>
  <c r="H737" i="43"/>
  <c r="I737" s="1"/>
  <c r="H736"/>
  <c r="I736" s="1"/>
  <c r="H735"/>
  <c r="I735" s="1"/>
  <c r="F737"/>
  <c r="E737"/>
  <c r="F736"/>
  <c r="E736"/>
  <c r="F735"/>
  <c r="E735"/>
  <c r="C1383" i="44"/>
  <c r="E1383" s="1"/>
  <c r="C1382"/>
  <c r="E1382" s="1"/>
  <c r="H731" i="43"/>
  <c r="I731" s="1"/>
  <c r="H730"/>
  <c r="I730" s="1"/>
  <c r="H729"/>
  <c r="I729" s="1"/>
  <c r="F731"/>
  <c r="E731"/>
  <c r="F730"/>
  <c r="E730"/>
  <c r="F729"/>
  <c r="E729"/>
  <c r="C1380" i="44"/>
  <c r="E1380" s="1"/>
  <c r="C1379"/>
  <c r="E1379" s="1"/>
  <c r="E1381"/>
  <c r="L1381"/>
  <c r="C1375"/>
  <c r="C515" i="41" s="1"/>
  <c r="I725" i="43"/>
  <c r="H724"/>
  <c r="I724" s="1"/>
  <c r="H723"/>
  <c r="I723" s="1"/>
  <c r="F724"/>
  <c r="E724"/>
  <c r="F723"/>
  <c r="E723"/>
  <c r="I720"/>
  <c r="H719"/>
  <c r="I719" s="1"/>
  <c r="H718"/>
  <c r="I718" s="1"/>
  <c r="E719"/>
  <c r="F719"/>
  <c r="F718"/>
  <c r="E718"/>
  <c r="C1374" i="44"/>
  <c r="C514" i="41" s="1"/>
  <c r="C1373" i="44"/>
  <c r="E1373" s="1"/>
  <c r="I715" i="43"/>
  <c r="H714"/>
  <c r="I714" s="1"/>
  <c r="H713"/>
  <c r="I713" s="1"/>
  <c r="E714"/>
  <c r="F714"/>
  <c r="F713"/>
  <c r="E713"/>
  <c r="C1372" i="44"/>
  <c r="E1372" s="1"/>
  <c r="C1371"/>
  <c r="E1371" s="1"/>
  <c r="I710" i="43"/>
  <c r="H709"/>
  <c r="I709" s="1"/>
  <c r="H708"/>
  <c r="I708" s="1"/>
  <c r="E709"/>
  <c r="F709"/>
  <c r="F708"/>
  <c r="E708"/>
  <c r="C1370" i="44"/>
  <c r="E1370" s="1"/>
  <c r="I705" i="43"/>
  <c r="H704"/>
  <c r="I704" s="1"/>
  <c r="H703"/>
  <c r="I703" s="1"/>
  <c r="H702"/>
  <c r="I702" s="1"/>
  <c r="E703"/>
  <c r="F703"/>
  <c r="E704"/>
  <c r="F704"/>
  <c r="F702"/>
  <c r="E702"/>
  <c r="C1369" i="44"/>
  <c r="E1369" s="1"/>
  <c r="C1368"/>
  <c r="E1368" s="1"/>
  <c r="H699" i="43"/>
  <c r="I699" s="1"/>
  <c r="H698"/>
  <c r="I698" s="1"/>
  <c r="H697"/>
  <c r="I697" s="1"/>
  <c r="E698"/>
  <c r="F698"/>
  <c r="E699"/>
  <c r="F699"/>
  <c r="F697"/>
  <c r="E697"/>
  <c r="C1367" i="44"/>
  <c r="E1367" s="1"/>
  <c r="C1366"/>
  <c r="E1366" s="1"/>
  <c r="C1365"/>
  <c r="E1365" s="1"/>
  <c r="C1364"/>
  <c r="E1364" s="1"/>
  <c r="C1363"/>
  <c r="E1363" s="1"/>
  <c r="C1362"/>
  <c r="E1362" s="1"/>
  <c r="C1361"/>
  <c r="E1361" s="1"/>
  <c r="C1360"/>
  <c r="E1360" s="1"/>
  <c r="C1359"/>
  <c r="E1359" s="1"/>
  <c r="C1358"/>
  <c r="C498" i="41" s="1"/>
  <c r="C1357" i="44"/>
  <c r="E1357" s="1"/>
  <c r="C1356"/>
  <c r="E1356" s="1"/>
  <c r="C1355"/>
  <c r="E1355" s="1"/>
  <c r="C1354"/>
  <c r="E1354" s="1"/>
  <c r="C1353"/>
  <c r="E1353" s="1"/>
  <c r="C1352"/>
  <c r="E1352" s="1"/>
  <c r="C1351"/>
  <c r="E1351" s="1"/>
  <c r="E1358"/>
  <c r="C1346"/>
  <c r="E1346" s="1"/>
  <c r="H687" i="43"/>
  <c r="I687" s="1"/>
  <c r="H686"/>
  <c r="I686" s="1"/>
  <c r="H685"/>
  <c r="I685" s="1"/>
  <c r="F687"/>
  <c r="E687"/>
  <c r="F686"/>
  <c r="E686"/>
  <c r="F685"/>
  <c r="E685"/>
  <c r="H682"/>
  <c r="I682" s="1"/>
  <c r="H681"/>
  <c r="I681" s="1"/>
  <c r="H680"/>
  <c r="I680" s="1"/>
  <c r="F682"/>
  <c r="E682"/>
  <c r="F681"/>
  <c r="E681"/>
  <c r="F680"/>
  <c r="E680"/>
  <c r="C1345" i="44"/>
  <c r="E1345" s="1"/>
  <c r="H676" i="43"/>
  <c r="I676" s="1"/>
  <c r="H675"/>
  <c r="I675" s="1"/>
  <c r="F676"/>
  <c r="E676"/>
  <c r="F675"/>
  <c r="E675"/>
  <c r="C1344" i="44"/>
  <c r="E1344" s="1"/>
  <c r="H671" i="43"/>
  <c r="I671" s="1"/>
  <c r="H670"/>
  <c r="I670" s="1"/>
  <c r="F671"/>
  <c r="E671"/>
  <c r="F670"/>
  <c r="E670"/>
  <c r="C1343" i="44"/>
  <c r="E1343" s="1"/>
  <c r="H667" i="43"/>
  <c r="I667" s="1"/>
  <c r="H666"/>
  <c r="I666" s="1"/>
  <c r="H665"/>
  <c r="I665" s="1"/>
  <c r="E667"/>
  <c r="F667"/>
  <c r="F666"/>
  <c r="E666"/>
  <c r="F665"/>
  <c r="E665"/>
  <c r="C1342" i="44"/>
  <c r="E1342" s="1"/>
  <c r="L1347"/>
  <c r="E1347"/>
  <c r="H662" i="43"/>
  <c r="I662" s="1"/>
  <c r="H661"/>
  <c r="I661" s="1"/>
  <c r="F662"/>
  <c r="E662"/>
  <c r="F661"/>
  <c r="E661"/>
  <c r="C1338" i="44"/>
  <c r="E1338" s="1"/>
  <c r="I656" i="43"/>
  <c r="I657"/>
  <c r="H655"/>
  <c r="I655" s="1"/>
  <c r="H654"/>
  <c r="I654" s="1"/>
  <c r="F655"/>
  <c r="E655"/>
  <c r="F654"/>
  <c r="E654"/>
  <c r="C1337" i="44"/>
  <c r="E1337" s="1"/>
  <c r="H651" i="43"/>
  <c r="I651" s="1"/>
  <c r="H650"/>
  <c r="I650" s="1"/>
  <c r="H649"/>
  <c r="I649" s="1"/>
  <c r="E651"/>
  <c r="F651"/>
  <c r="F650"/>
  <c r="E650"/>
  <c r="F649"/>
  <c r="E649"/>
  <c r="C1336" i="44"/>
  <c r="E1336" s="1"/>
  <c r="I646" i="43"/>
  <c r="H645"/>
  <c r="I645" s="1"/>
  <c r="H644"/>
  <c r="I644" s="1"/>
  <c r="F645"/>
  <c r="E645"/>
  <c r="F644"/>
  <c r="E644"/>
  <c r="C1335" i="44"/>
  <c r="E1335" s="1"/>
  <c r="C1327"/>
  <c r="E1327" s="1"/>
  <c r="I641" i="43"/>
  <c r="H640"/>
  <c r="I640" s="1"/>
  <c r="H639"/>
  <c r="I639" s="1"/>
  <c r="F640"/>
  <c r="E640"/>
  <c r="F639"/>
  <c r="E639"/>
  <c r="I636"/>
  <c r="H635"/>
  <c r="I635" s="1"/>
  <c r="H634"/>
  <c r="I634" s="1"/>
  <c r="E635"/>
  <c r="F635"/>
  <c r="F634"/>
  <c r="E634"/>
  <c r="C1326" i="44"/>
  <c r="E1326" s="1"/>
  <c r="C1325"/>
  <c r="E1325" s="1"/>
  <c r="H630" i="43"/>
  <c r="I630" s="1"/>
  <c r="H629"/>
  <c r="I629" s="1"/>
  <c r="F630"/>
  <c r="E630"/>
  <c r="F629"/>
  <c r="E629"/>
  <c r="C1324" i="44"/>
  <c r="E1324" s="1"/>
  <c r="C1323"/>
  <c r="E1323" s="1"/>
  <c r="C1322"/>
  <c r="E1322" s="1"/>
  <c r="H591" i="43"/>
  <c r="I591" s="1"/>
  <c r="H590"/>
  <c r="I590" s="1"/>
  <c r="F591"/>
  <c r="E591"/>
  <c r="F590"/>
  <c r="E590"/>
  <c r="C1321" i="44"/>
  <c r="E1321" s="1"/>
  <c r="H587" i="43"/>
  <c r="I587" s="1"/>
  <c r="H586"/>
  <c r="I586" s="1"/>
  <c r="H585"/>
  <c r="I585" s="1"/>
  <c r="E587"/>
  <c r="F587"/>
  <c r="F586"/>
  <c r="E586"/>
  <c r="F585"/>
  <c r="E585"/>
  <c r="C1320" i="44"/>
  <c r="E1320" s="1"/>
  <c r="H581" i="43"/>
  <c r="I581" s="1"/>
  <c r="H580"/>
  <c r="I580" s="1"/>
  <c r="F581"/>
  <c r="E581"/>
  <c r="F580"/>
  <c r="E580"/>
  <c r="C1319" i="44"/>
  <c r="E1319" s="1"/>
  <c r="H576" i="43"/>
  <c r="I576" s="1"/>
  <c r="H575"/>
  <c r="I575" s="1"/>
  <c r="F576"/>
  <c r="E576"/>
  <c r="F575"/>
  <c r="E575"/>
  <c r="C1318" i="44"/>
  <c r="E1318" s="1"/>
  <c r="H571" i="43"/>
  <c r="I571" s="1"/>
  <c r="H570"/>
  <c r="I570" s="1"/>
  <c r="F571"/>
  <c r="E571"/>
  <c r="F570"/>
  <c r="E570"/>
  <c r="C1317" i="44"/>
  <c r="E1317" s="1"/>
  <c r="H567" i="43"/>
  <c r="I567" s="1"/>
  <c r="H566"/>
  <c r="I566" s="1"/>
  <c r="H565"/>
  <c r="I565" s="1"/>
  <c r="F567"/>
  <c r="E567"/>
  <c r="F566"/>
  <c r="E566"/>
  <c r="F565"/>
  <c r="E565"/>
  <c r="C1316" i="44"/>
  <c r="E1316" s="1"/>
  <c r="I562" i="43"/>
  <c r="H561"/>
  <c r="I561" s="1"/>
  <c r="H560"/>
  <c r="I560" s="1"/>
  <c r="F561"/>
  <c r="E561"/>
  <c r="F560"/>
  <c r="E560"/>
  <c r="C1315" i="44"/>
  <c r="E1315" s="1"/>
  <c r="H557" i="43"/>
  <c r="I557" s="1"/>
  <c r="H556"/>
  <c r="I556" s="1"/>
  <c r="H555"/>
  <c r="I555" s="1"/>
  <c r="E556"/>
  <c r="F556"/>
  <c r="E557"/>
  <c r="F557"/>
  <c r="F555"/>
  <c r="E555"/>
  <c r="C1314" i="44"/>
  <c r="E1314" s="1"/>
  <c r="H552" i="43"/>
  <c r="I552" s="1"/>
  <c r="H551"/>
  <c r="I551" s="1"/>
  <c r="H550"/>
  <c r="I550" s="1"/>
  <c r="F552"/>
  <c r="E552"/>
  <c r="F551"/>
  <c r="E551"/>
  <c r="F550"/>
  <c r="E550"/>
  <c r="C1313" i="44"/>
  <c r="E1313" s="1"/>
  <c r="H547" i="43"/>
  <c r="I547" s="1"/>
  <c r="H546"/>
  <c r="I546" s="1"/>
  <c r="H545"/>
  <c r="I545" s="1"/>
  <c r="F547"/>
  <c r="E547"/>
  <c r="F546"/>
  <c r="E546"/>
  <c r="F545"/>
  <c r="E545"/>
  <c r="C1312" i="44"/>
  <c r="E1312" s="1"/>
  <c r="H542" i="43"/>
  <c r="I542" s="1"/>
  <c r="H541"/>
  <c r="I541" s="1"/>
  <c r="H540"/>
  <c r="I540" s="1"/>
  <c r="H535"/>
  <c r="I535" s="1"/>
  <c r="H536"/>
  <c r="I536" s="1"/>
  <c r="I537"/>
  <c r="F542"/>
  <c r="E542"/>
  <c r="F541"/>
  <c r="E541"/>
  <c r="F540"/>
  <c r="E540"/>
  <c r="C1311" i="44"/>
  <c r="E1311" s="1"/>
  <c r="E536" i="43"/>
  <c r="F536"/>
  <c r="F535"/>
  <c r="E535"/>
  <c r="C1310" i="44"/>
  <c r="E1310" s="1"/>
  <c r="H532" i="43"/>
  <c r="I532" s="1"/>
  <c r="H531"/>
  <c r="I531" s="1"/>
  <c r="H530"/>
  <c r="I530" s="1"/>
  <c r="F532"/>
  <c r="E532"/>
  <c r="F531"/>
  <c r="E531"/>
  <c r="F530"/>
  <c r="E530"/>
  <c r="C1309" i="44"/>
  <c r="E1309" s="1"/>
  <c r="H525" i="43"/>
  <c r="I525" s="1"/>
  <c r="F527"/>
  <c r="E527"/>
  <c r="F526"/>
  <c r="E526"/>
  <c r="F525"/>
  <c r="E525"/>
  <c r="C1308" i="44"/>
  <c r="E1308" s="1"/>
  <c r="I522" i="43"/>
  <c r="H520"/>
  <c r="I520" s="1"/>
  <c r="H521"/>
  <c r="I521" s="1"/>
  <c r="H519"/>
  <c r="I519" s="1"/>
  <c r="F521"/>
  <c r="E521"/>
  <c r="F520"/>
  <c r="E520"/>
  <c r="F519"/>
  <c r="E519"/>
  <c r="C1307" i="44"/>
  <c r="E1307" s="1"/>
  <c r="I515" i="43"/>
  <c r="H514"/>
  <c r="I514" s="1"/>
  <c r="H513"/>
  <c r="I513" s="1"/>
  <c r="E514"/>
  <c r="F514"/>
  <c r="E515"/>
  <c r="F515"/>
  <c r="F513"/>
  <c r="E513"/>
  <c r="C1306" i="44"/>
  <c r="E1306" s="1"/>
  <c r="H508" i="43"/>
  <c r="I508" s="1"/>
  <c r="H507"/>
  <c r="I507" s="1"/>
  <c r="F508"/>
  <c r="E508"/>
  <c r="F507"/>
  <c r="E507"/>
  <c r="C1305" i="44"/>
  <c r="E1305" s="1"/>
  <c r="I504" i="43"/>
  <c r="H503"/>
  <c r="I503" s="1"/>
  <c r="H502"/>
  <c r="I502" s="1"/>
  <c r="E503"/>
  <c r="F503"/>
  <c r="F502"/>
  <c r="E502"/>
  <c r="C1304" i="44"/>
  <c r="E1304" s="1"/>
  <c r="I499" i="43"/>
  <c r="H498"/>
  <c r="I498" s="1"/>
  <c r="H497"/>
  <c r="I497" s="1"/>
  <c r="E498"/>
  <c r="F498"/>
  <c r="F497"/>
  <c r="E497"/>
  <c r="C1303" i="44"/>
  <c r="E1303" s="1"/>
  <c r="H494" i="43"/>
  <c r="I494" s="1"/>
  <c r="H493"/>
  <c r="I493" s="1"/>
  <c r="H492"/>
  <c r="I492" s="1"/>
  <c r="E493"/>
  <c r="F493"/>
  <c r="E494"/>
  <c r="F494"/>
  <c r="F492"/>
  <c r="E492"/>
  <c r="C1302" i="44"/>
  <c r="E1302" s="1"/>
  <c r="I489" i="43"/>
  <c r="H488"/>
  <c r="I488" s="1"/>
  <c r="H487"/>
  <c r="I487" s="1"/>
  <c r="E488"/>
  <c r="F488"/>
  <c r="F487"/>
  <c r="E487"/>
  <c r="C1301" i="44"/>
  <c r="E1301" s="1"/>
  <c r="I484" i="43"/>
  <c r="H483"/>
  <c r="I483" s="1"/>
  <c r="H482"/>
  <c r="I482" s="1"/>
  <c r="E483"/>
  <c r="F483"/>
  <c r="F482"/>
  <c r="E482"/>
  <c r="C1300" i="44"/>
  <c r="E1300" s="1"/>
  <c r="H478" i="43"/>
  <c r="I478" s="1"/>
  <c r="H479"/>
  <c r="I479" s="1"/>
  <c r="H477"/>
  <c r="I477" s="1"/>
  <c r="E478"/>
  <c r="F478"/>
  <c r="E479"/>
  <c r="F479"/>
  <c r="F477"/>
  <c r="E477"/>
  <c r="C1299" i="44"/>
  <c r="E1299" s="1"/>
  <c r="H474" i="43"/>
  <c r="I474" s="1"/>
  <c r="H473"/>
  <c r="I473" s="1"/>
  <c r="H472"/>
  <c r="I472" s="1"/>
  <c r="E473"/>
  <c r="F473"/>
  <c r="E474"/>
  <c r="F474"/>
  <c r="E475"/>
  <c r="F475"/>
  <c r="F472"/>
  <c r="E472"/>
  <c r="C1298" i="44"/>
  <c r="E1298" s="1"/>
  <c r="I469" i="43"/>
  <c r="H468"/>
  <c r="I468" s="1"/>
  <c r="H467"/>
  <c r="I467" s="1"/>
  <c r="E468"/>
  <c r="F468"/>
  <c r="F467"/>
  <c r="E467"/>
  <c r="C1297" i="44"/>
  <c r="E1297" s="1"/>
  <c r="C1296"/>
  <c r="E1296" s="1"/>
  <c r="H692" i="43"/>
  <c r="I692" s="1"/>
  <c r="H693"/>
  <c r="I693" s="1"/>
  <c r="H691"/>
  <c r="I691" s="1"/>
  <c r="H690"/>
  <c r="I690" s="1"/>
  <c r="E691"/>
  <c r="F691"/>
  <c r="E692"/>
  <c r="F692"/>
  <c r="E693"/>
  <c r="F693"/>
  <c r="F690"/>
  <c r="E690"/>
  <c r="H463"/>
  <c r="I463" s="1"/>
  <c r="H462"/>
  <c r="I462" s="1"/>
  <c r="H461"/>
  <c r="I461" s="1"/>
  <c r="H460"/>
  <c r="I460" s="1"/>
  <c r="E463"/>
  <c r="F463"/>
  <c r="E461"/>
  <c r="F461"/>
  <c r="E462"/>
  <c r="F462"/>
  <c r="F460"/>
  <c r="E460"/>
  <c r="E717"/>
  <c r="E722"/>
  <c r="I677"/>
  <c r="I672"/>
  <c r="I660"/>
  <c r="I631"/>
  <c r="I592"/>
  <c r="I582"/>
  <c r="I577"/>
  <c r="I572"/>
  <c r="I510"/>
  <c r="I509"/>
  <c r="I516"/>
  <c r="I694"/>
  <c r="I464"/>
  <c r="E1328" i="44"/>
  <c r="L1328"/>
  <c r="E1329"/>
  <c r="L1329"/>
  <c r="E1330"/>
  <c r="L1330"/>
  <c r="E1331"/>
  <c r="L1331"/>
  <c r="E1332"/>
  <c r="E1334"/>
  <c r="E1339"/>
  <c r="E1341"/>
  <c r="H456" i="43"/>
  <c r="I456" s="1"/>
  <c r="H455"/>
  <c r="I455" s="1"/>
  <c r="H454"/>
  <c r="I454" s="1"/>
  <c r="F456"/>
  <c r="E456"/>
  <c r="F455"/>
  <c r="E455"/>
  <c r="F454"/>
  <c r="E454"/>
  <c r="H451"/>
  <c r="I451" s="1"/>
  <c r="H450"/>
  <c r="I450" s="1"/>
  <c r="H449"/>
  <c r="I449" s="1"/>
  <c r="E450"/>
  <c r="F450"/>
  <c r="E451"/>
  <c r="F451"/>
  <c r="F449"/>
  <c r="E449"/>
  <c r="H446"/>
  <c r="I446" s="1"/>
  <c r="H445"/>
  <c r="I445" s="1"/>
  <c r="H444"/>
  <c r="I444" s="1"/>
  <c r="E445"/>
  <c r="F445"/>
  <c r="E446"/>
  <c r="F446"/>
  <c r="F444"/>
  <c r="E444"/>
  <c r="I441"/>
  <c r="H440"/>
  <c r="I440" s="1"/>
  <c r="H439"/>
  <c r="I439" s="1"/>
  <c r="E440"/>
  <c r="F440"/>
  <c r="F439"/>
  <c r="E439"/>
  <c r="E435"/>
  <c r="F435"/>
  <c r="E436"/>
  <c r="F436"/>
  <c r="F434"/>
  <c r="E434"/>
  <c r="H436"/>
  <c r="I436" s="1"/>
  <c r="H435"/>
  <c r="I435" s="1"/>
  <c r="H434"/>
  <c r="I434" s="1"/>
  <c r="H430"/>
  <c r="I430" s="1"/>
  <c r="H431"/>
  <c r="I431" s="1"/>
  <c r="H429"/>
  <c r="I429" s="1"/>
  <c r="H425"/>
  <c r="I425" s="1"/>
  <c r="H424"/>
  <c r="I424" s="1"/>
  <c r="H421"/>
  <c r="I421" s="1"/>
  <c r="H420"/>
  <c r="I420" s="1"/>
  <c r="H419"/>
  <c r="I419" s="1"/>
  <c r="H416"/>
  <c r="I416" s="1"/>
  <c r="H415"/>
  <c r="I415" s="1"/>
  <c r="H414"/>
  <c r="I414" s="1"/>
  <c r="H411"/>
  <c r="I411" s="1"/>
  <c r="H410"/>
  <c r="I410" s="1"/>
  <c r="H409"/>
  <c r="I409" s="1"/>
  <c r="E430"/>
  <c r="F430"/>
  <c r="E431"/>
  <c r="F431"/>
  <c r="F429"/>
  <c r="E429"/>
  <c r="I426"/>
  <c r="E425"/>
  <c r="F425"/>
  <c r="F424"/>
  <c r="E424"/>
  <c r="C1285" i="44"/>
  <c r="E1285" s="1"/>
  <c r="C1284"/>
  <c r="E1284" s="1"/>
  <c r="C1283"/>
  <c r="E1283" s="1"/>
  <c r="C1282"/>
  <c r="E1282" s="1"/>
  <c r="C1281"/>
  <c r="E1281" s="1"/>
  <c r="C1280"/>
  <c r="E1280" s="1"/>
  <c r="C1279"/>
  <c r="E1279" s="1"/>
  <c r="E420" i="43"/>
  <c r="F420"/>
  <c r="E421"/>
  <c r="F421"/>
  <c r="F419"/>
  <c r="E419"/>
  <c r="C1278" i="44"/>
  <c r="E1278" s="1"/>
  <c r="E415" i="43"/>
  <c r="F415"/>
  <c r="E416"/>
  <c r="F416"/>
  <c r="F414"/>
  <c r="E414"/>
  <c r="C1277" i="44"/>
  <c r="E1277" s="1"/>
  <c r="E410" i="43"/>
  <c r="F410"/>
  <c r="E411"/>
  <c r="F411"/>
  <c r="F409"/>
  <c r="E409"/>
  <c r="C1276" i="44"/>
  <c r="E1276" s="1"/>
  <c r="H404" i="43"/>
  <c r="I404" s="1"/>
  <c r="E405"/>
  <c r="F405"/>
  <c r="E406"/>
  <c r="F406"/>
  <c r="F404"/>
  <c r="E404"/>
  <c r="C1275" i="44"/>
  <c r="E1275" s="1"/>
  <c r="C1274"/>
  <c r="E1274" s="1"/>
  <c r="E400" i="43"/>
  <c r="F400"/>
  <c r="E401"/>
  <c r="F401"/>
  <c r="F399"/>
  <c r="E399"/>
  <c r="F395"/>
  <c r="E395"/>
  <c r="F394"/>
  <c r="E394"/>
  <c r="H400"/>
  <c r="I400" s="1"/>
  <c r="H399"/>
  <c r="I399" s="1"/>
  <c r="E1286" i="44"/>
  <c r="L1286"/>
  <c r="E1287"/>
  <c r="L1287"/>
  <c r="E1288"/>
  <c r="L1288"/>
  <c r="E1289"/>
  <c r="L1289"/>
  <c r="E1290"/>
  <c r="L1290"/>
  <c r="E1291"/>
  <c r="L1291"/>
  <c r="E1292"/>
  <c r="L1292"/>
  <c r="E1293"/>
  <c r="E1295"/>
  <c r="E1374" l="1"/>
  <c r="C57" i="50"/>
  <c r="C57" i="33"/>
  <c r="C426" i="41"/>
  <c r="C422"/>
  <c r="C439"/>
  <c r="C446"/>
  <c r="C442"/>
  <c r="C455"/>
  <c r="C451"/>
  <c r="C462"/>
  <c r="C458"/>
  <c r="C467"/>
  <c r="C470"/>
  <c r="C477"/>
  <c r="C486"/>
  <c r="C491"/>
  <c r="C494"/>
  <c r="C502"/>
  <c r="C508"/>
  <c r="C509"/>
  <c r="C522"/>
  <c r="F550"/>
  <c r="C429"/>
  <c r="C425"/>
  <c r="C421"/>
  <c r="C449"/>
  <c r="C445"/>
  <c r="C441"/>
  <c r="C454"/>
  <c r="C450"/>
  <c r="C461"/>
  <c r="C457"/>
  <c r="C466"/>
  <c r="C480"/>
  <c r="C483"/>
  <c r="C485"/>
  <c r="C501"/>
  <c r="C497"/>
  <c r="C493"/>
  <c r="C506"/>
  <c r="C507"/>
  <c r="C513"/>
  <c r="C521"/>
  <c r="E550"/>
  <c r="K1099" i="44"/>
  <c r="G312" i="41" s="1"/>
  <c r="C418"/>
  <c r="C428"/>
  <c r="C424"/>
  <c r="C420"/>
  <c r="C448"/>
  <c r="C444"/>
  <c r="C440"/>
  <c r="C453"/>
  <c r="C464"/>
  <c r="C460"/>
  <c r="C469"/>
  <c r="C465"/>
  <c r="C479"/>
  <c r="C484"/>
  <c r="C500"/>
  <c r="C496"/>
  <c r="C492"/>
  <c r="C505"/>
  <c r="C511"/>
  <c r="C512"/>
  <c r="C427"/>
  <c r="C423"/>
  <c r="C419"/>
  <c r="C447"/>
  <c r="C443"/>
  <c r="C456"/>
  <c r="C452"/>
  <c r="C463"/>
  <c r="C459"/>
  <c r="C468"/>
  <c r="C478"/>
  <c r="C487"/>
  <c r="C499"/>
  <c r="C495"/>
  <c r="C503"/>
  <c r="C504"/>
  <c r="C510"/>
  <c r="C518"/>
  <c r="C519"/>
  <c r="F542"/>
  <c r="E539"/>
  <c r="J541"/>
  <c r="E537"/>
  <c r="J537"/>
  <c r="F537"/>
  <c r="E542"/>
  <c r="F541"/>
  <c r="H538"/>
  <c r="E541"/>
  <c r="H539"/>
  <c r="F538"/>
  <c r="J542"/>
  <c r="H530"/>
  <c r="E529"/>
  <c r="E526"/>
  <c r="H531"/>
  <c r="E520"/>
  <c r="E528"/>
  <c r="H488"/>
  <c r="J488" s="1"/>
  <c r="H520"/>
  <c r="F526"/>
  <c r="F534"/>
  <c r="H533"/>
  <c r="H527"/>
  <c r="F488"/>
  <c r="E534"/>
  <c r="F533"/>
  <c r="F531"/>
  <c r="F530"/>
  <c r="H529"/>
  <c r="H528"/>
  <c r="F527"/>
  <c r="H471"/>
  <c r="F381"/>
  <c r="F435"/>
  <c r="H472"/>
  <c r="E374"/>
  <c r="E388"/>
  <c r="E380"/>
  <c r="H370"/>
  <c r="J381"/>
  <c r="F434"/>
  <c r="H431"/>
  <c r="E471"/>
  <c r="F313"/>
  <c r="H400"/>
  <c r="H384"/>
  <c r="H377"/>
  <c r="H433"/>
  <c r="H430"/>
  <c r="F399"/>
  <c r="F375"/>
  <c r="F436"/>
  <c r="F433"/>
  <c r="F430"/>
  <c r="H351"/>
  <c r="F351"/>
  <c r="J436"/>
  <c r="J434"/>
  <c r="H356"/>
  <c r="F373"/>
  <c r="H373"/>
  <c r="H369"/>
  <c r="J369" s="1"/>
  <c r="F369"/>
  <c r="E383"/>
  <c r="F383"/>
  <c r="F379"/>
  <c r="H379"/>
  <c r="H387"/>
  <c r="E387"/>
  <c r="E369"/>
  <c r="J432"/>
  <c r="F387"/>
  <c r="E432"/>
  <c r="F432"/>
  <c r="E379"/>
  <c r="E373"/>
  <c r="E435"/>
  <c r="F431"/>
  <c r="H473"/>
  <c r="E473"/>
  <c r="E399"/>
  <c r="H389"/>
  <c r="H376"/>
  <c r="F370"/>
  <c r="E436"/>
  <c r="E434"/>
  <c r="H474"/>
  <c r="F472"/>
  <c r="F388"/>
  <c r="F376"/>
  <c r="F474"/>
  <c r="J435"/>
  <c r="H338"/>
  <c r="E402"/>
  <c r="E386"/>
  <c r="F382"/>
  <c r="H368"/>
  <c r="E367"/>
  <c r="J383"/>
  <c r="F363"/>
  <c r="H401"/>
  <c r="F400"/>
  <c r="H390"/>
  <c r="F389"/>
  <c r="H385"/>
  <c r="E382"/>
  <c r="E381"/>
  <c r="H378"/>
  <c r="F377"/>
  <c r="E375"/>
  <c r="H372"/>
  <c r="H371"/>
  <c r="F368"/>
  <c r="H367"/>
  <c r="H355"/>
  <c r="H402"/>
  <c r="F401"/>
  <c r="F390"/>
  <c r="H386"/>
  <c r="F385"/>
  <c r="F384"/>
  <c r="H380"/>
  <c r="F378"/>
  <c r="H374"/>
  <c r="F372"/>
  <c r="F371"/>
  <c r="J388"/>
  <c r="J399"/>
  <c r="J375"/>
  <c r="J382"/>
  <c r="F343"/>
  <c r="E338"/>
  <c r="E355"/>
  <c r="E342"/>
  <c r="F335"/>
  <c r="F356"/>
  <c r="F352"/>
  <c r="E364"/>
  <c r="H362"/>
  <c r="E339"/>
  <c r="E334"/>
  <c r="E351"/>
  <c r="E352"/>
  <c r="H363"/>
  <c r="J343"/>
  <c r="J335"/>
  <c r="E340"/>
  <c r="H353"/>
  <c r="H361"/>
  <c r="H322"/>
  <c r="E343"/>
  <c r="E335"/>
  <c r="H357"/>
  <c r="F353"/>
  <c r="H360"/>
  <c r="F361"/>
  <c r="F322"/>
  <c r="H342"/>
  <c r="H340"/>
  <c r="H339"/>
  <c r="H334"/>
  <c r="F357"/>
  <c r="E360"/>
  <c r="H364"/>
  <c r="F362"/>
  <c r="H328"/>
  <c r="E313"/>
  <c r="E327"/>
  <c r="F312"/>
  <c r="H321"/>
  <c r="F327"/>
  <c r="E312"/>
  <c r="F323"/>
  <c r="E321"/>
  <c r="J323"/>
  <c r="H324"/>
  <c r="H329"/>
  <c r="F324"/>
  <c r="F329"/>
  <c r="E304"/>
  <c r="E323"/>
  <c r="F328"/>
  <c r="J327"/>
  <c r="E303"/>
  <c r="H298"/>
  <c r="J301"/>
  <c r="H308"/>
  <c r="E1375" i="44"/>
  <c r="H257" i="41"/>
  <c r="H293"/>
  <c r="E301"/>
  <c r="H302"/>
  <c r="E307"/>
  <c r="F308"/>
  <c r="F301"/>
  <c r="H304"/>
  <c r="H303"/>
  <c r="F302"/>
  <c r="F307"/>
  <c r="E60"/>
  <c r="E291"/>
  <c r="H253"/>
  <c r="H278"/>
  <c r="F289"/>
  <c r="E298"/>
  <c r="F111"/>
  <c r="E263"/>
  <c r="H275"/>
  <c r="F287"/>
  <c r="F297"/>
  <c r="H261"/>
  <c r="H291"/>
  <c r="F285"/>
  <c r="H296"/>
  <c r="J287"/>
  <c r="J289"/>
  <c r="E290"/>
  <c r="F30"/>
  <c r="E262"/>
  <c r="E257"/>
  <c r="F253"/>
  <c r="E279"/>
  <c r="F275"/>
  <c r="E289"/>
  <c r="H288"/>
  <c r="E287"/>
  <c r="E285"/>
  <c r="H284"/>
  <c r="E297"/>
  <c r="H295"/>
  <c r="H294"/>
  <c r="F293"/>
  <c r="J285"/>
  <c r="H290"/>
  <c r="F288"/>
  <c r="F284"/>
  <c r="F296"/>
  <c r="F295"/>
  <c r="F294"/>
  <c r="F252"/>
  <c r="E259"/>
  <c r="H254"/>
  <c r="E277"/>
  <c r="J297"/>
  <c r="J260"/>
  <c r="E264"/>
  <c r="F260"/>
  <c r="H252"/>
  <c r="E260"/>
  <c r="H256"/>
  <c r="H276"/>
  <c r="E201"/>
  <c r="H244"/>
  <c r="H264"/>
  <c r="H263"/>
  <c r="H262"/>
  <c r="F261"/>
  <c r="H259"/>
  <c r="F256"/>
  <c r="F254"/>
  <c r="H279"/>
  <c r="F278"/>
  <c r="H277"/>
  <c r="F276"/>
  <c r="H240"/>
  <c r="F27"/>
  <c r="H232"/>
  <c r="H226"/>
  <c r="J226" s="1"/>
  <c r="E244"/>
  <c r="E240"/>
  <c r="E232"/>
  <c r="E226"/>
  <c r="E223"/>
  <c r="F242"/>
  <c r="F238"/>
  <c r="F230"/>
  <c r="E111"/>
  <c r="F246"/>
  <c r="F241"/>
  <c r="F234"/>
  <c r="F228"/>
  <c r="J235"/>
  <c r="J231"/>
  <c r="J242"/>
  <c r="E247"/>
  <c r="E239"/>
  <c r="F233"/>
  <c r="H229"/>
  <c r="E227"/>
  <c r="E225"/>
  <c r="J241"/>
  <c r="H188"/>
  <c r="F223"/>
  <c r="H246"/>
  <c r="H245"/>
  <c r="E242"/>
  <c r="E241"/>
  <c r="H239"/>
  <c r="H238"/>
  <c r="H237"/>
  <c r="F235"/>
  <c r="E234"/>
  <c r="E233"/>
  <c r="F231"/>
  <c r="E230"/>
  <c r="F229"/>
  <c r="E228"/>
  <c r="J223"/>
  <c r="E184"/>
  <c r="H247"/>
  <c r="F245"/>
  <c r="F237"/>
  <c r="E235"/>
  <c r="E231"/>
  <c r="H227"/>
  <c r="H225"/>
  <c r="F180"/>
  <c r="F196"/>
  <c r="J233"/>
  <c r="J234"/>
  <c r="J230"/>
  <c r="J228"/>
  <c r="F157"/>
  <c r="H175"/>
  <c r="E180"/>
  <c r="H193"/>
  <c r="E11"/>
  <c r="F11"/>
  <c r="E168"/>
  <c r="F197"/>
  <c r="F213"/>
  <c r="F219"/>
  <c r="E219"/>
  <c r="E166"/>
  <c r="H189"/>
  <c r="F185"/>
  <c r="H174"/>
  <c r="H167"/>
  <c r="E185"/>
  <c r="H195"/>
  <c r="F210"/>
  <c r="F128"/>
  <c r="H85"/>
  <c r="F92"/>
  <c r="H49"/>
  <c r="E171"/>
  <c r="F167"/>
  <c r="F202"/>
  <c r="E130"/>
  <c r="E151"/>
  <c r="E157"/>
  <c r="F176"/>
  <c r="H170"/>
  <c r="F166"/>
  <c r="F188"/>
  <c r="F181"/>
  <c r="H196"/>
  <c r="E202"/>
  <c r="E213"/>
  <c r="H187"/>
  <c r="E183"/>
  <c r="E182"/>
  <c r="F194"/>
  <c r="H200"/>
  <c r="E217"/>
  <c r="H145"/>
  <c r="H136"/>
  <c r="H150"/>
  <c r="F158"/>
  <c r="E165"/>
  <c r="F62"/>
  <c r="H120"/>
  <c r="H131"/>
  <c r="E127"/>
  <c r="F135"/>
  <c r="E145"/>
  <c r="H151"/>
  <c r="F150"/>
  <c r="E158"/>
  <c r="F165"/>
  <c r="E176"/>
  <c r="F175"/>
  <c r="F174"/>
  <c r="F173"/>
  <c r="F172"/>
  <c r="H171"/>
  <c r="F170"/>
  <c r="F169"/>
  <c r="H179"/>
  <c r="F189"/>
  <c r="H186"/>
  <c r="H184"/>
  <c r="H183"/>
  <c r="E181"/>
  <c r="E193"/>
  <c r="E197"/>
  <c r="F195"/>
  <c r="E194"/>
  <c r="F204"/>
  <c r="H201"/>
  <c r="F217"/>
  <c r="H220"/>
  <c r="H218"/>
  <c r="E18"/>
  <c r="F68"/>
  <c r="F58"/>
  <c r="H60"/>
  <c r="H76"/>
  <c r="F107"/>
  <c r="F113"/>
  <c r="H119"/>
  <c r="F131"/>
  <c r="E173"/>
  <c r="E172"/>
  <c r="E169"/>
  <c r="H168"/>
  <c r="E179"/>
  <c r="F187"/>
  <c r="F186"/>
  <c r="H182"/>
  <c r="E200"/>
  <c r="E204"/>
  <c r="H210"/>
  <c r="F220"/>
  <c r="F218"/>
  <c r="H106"/>
  <c r="E129"/>
  <c r="E138"/>
  <c r="E141"/>
  <c r="F23"/>
  <c r="F28"/>
  <c r="H75"/>
  <c r="F87"/>
  <c r="E113"/>
  <c r="F120"/>
  <c r="F119"/>
  <c r="H125"/>
  <c r="E128"/>
  <c r="H126"/>
  <c r="H137"/>
  <c r="F136"/>
  <c r="E135"/>
  <c r="F141"/>
  <c r="H19"/>
  <c r="E40"/>
  <c r="F72"/>
  <c r="F85"/>
  <c r="H105"/>
  <c r="E125"/>
  <c r="H130"/>
  <c r="H129"/>
  <c r="H127"/>
  <c r="F126"/>
  <c r="H138"/>
  <c r="F137"/>
  <c r="F19"/>
  <c r="H34"/>
  <c r="E26"/>
  <c r="H53"/>
  <c r="E56"/>
  <c r="F61"/>
  <c r="E71"/>
  <c r="E93"/>
  <c r="J72"/>
  <c r="J84"/>
  <c r="F50"/>
  <c r="E57"/>
  <c r="H65"/>
  <c r="E73"/>
  <c r="F84"/>
  <c r="F95"/>
  <c r="E91"/>
  <c r="H99"/>
  <c r="H108"/>
  <c r="F13"/>
  <c r="E16"/>
  <c r="F17"/>
  <c r="H23"/>
  <c r="H40"/>
  <c r="F38"/>
  <c r="H36"/>
  <c r="H33"/>
  <c r="F32"/>
  <c r="H29"/>
  <c r="E28"/>
  <c r="H25"/>
  <c r="H54"/>
  <c r="H52"/>
  <c r="E50"/>
  <c r="H55"/>
  <c r="H62"/>
  <c r="H77"/>
  <c r="F76"/>
  <c r="E75"/>
  <c r="E72"/>
  <c r="H69"/>
  <c r="E68"/>
  <c r="E87"/>
  <c r="E84"/>
  <c r="E95"/>
  <c r="E92"/>
  <c r="E100"/>
  <c r="H104"/>
  <c r="E107"/>
  <c r="E13"/>
  <c r="F16"/>
  <c r="E17"/>
  <c r="H41"/>
  <c r="F36"/>
  <c r="E33"/>
  <c r="E32"/>
  <c r="F29"/>
  <c r="H27"/>
  <c r="F25"/>
  <c r="E49"/>
  <c r="F54"/>
  <c r="F53"/>
  <c r="E52"/>
  <c r="H57"/>
  <c r="H56"/>
  <c r="E55"/>
  <c r="H59"/>
  <c r="E65"/>
  <c r="F77"/>
  <c r="H73"/>
  <c r="H71"/>
  <c r="F69"/>
  <c r="F67"/>
  <c r="F83"/>
  <c r="H93"/>
  <c r="H91"/>
  <c r="E99"/>
  <c r="F100"/>
  <c r="E104"/>
  <c r="F108"/>
  <c r="F106"/>
  <c r="F105"/>
  <c r="E41"/>
  <c r="F37"/>
  <c r="H37"/>
  <c r="F59"/>
  <c r="H83"/>
  <c r="J70"/>
  <c r="J86"/>
  <c r="J94"/>
  <c r="F51"/>
  <c r="E74"/>
  <c r="F70"/>
  <c r="E90"/>
  <c r="F94"/>
  <c r="H101"/>
  <c r="H12"/>
  <c r="F12"/>
  <c r="E34"/>
  <c r="H26"/>
  <c r="F18"/>
  <c r="H38"/>
  <c r="H30"/>
  <c r="E51"/>
  <c r="E61"/>
  <c r="E70"/>
  <c r="H67"/>
  <c r="H66"/>
  <c r="H82"/>
  <c r="F86"/>
  <c r="F82"/>
  <c r="F90"/>
  <c r="E94"/>
  <c r="H74"/>
  <c r="F66"/>
  <c r="E86"/>
  <c r="E101"/>
  <c r="J87"/>
  <c r="J58"/>
  <c r="E58"/>
  <c r="I741" i="43"/>
  <c r="I734"/>
  <c r="I722"/>
  <c r="I696"/>
  <c r="I707"/>
  <c r="I728"/>
  <c r="I712"/>
  <c r="I717"/>
  <c r="I701"/>
  <c r="I653"/>
  <c r="I684"/>
  <c r="I664"/>
  <c r="I669"/>
  <c r="I679"/>
  <c r="I674"/>
  <c r="I659"/>
  <c r="I633"/>
  <c r="I643"/>
  <c r="I648"/>
  <c r="I638"/>
  <c r="I589"/>
  <c r="I628"/>
  <c r="I584"/>
  <c r="I559"/>
  <c r="I579"/>
  <c r="I554"/>
  <c r="I574"/>
  <c r="I564"/>
  <c r="I569"/>
  <c r="I534"/>
  <c r="I539"/>
  <c r="I549"/>
  <c r="I544"/>
  <c r="I512"/>
  <c r="I524"/>
  <c r="I529"/>
  <c r="I518"/>
  <c r="I486"/>
  <c r="I506"/>
  <c r="I496"/>
  <c r="I501"/>
  <c r="I476"/>
  <c r="I466"/>
  <c r="I491"/>
  <c r="I481"/>
  <c r="I471"/>
  <c r="I689"/>
  <c r="I438"/>
  <c r="I459"/>
  <c r="I398"/>
  <c r="I408"/>
  <c r="I413"/>
  <c r="I443"/>
  <c r="I448"/>
  <c r="I433"/>
  <c r="I423"/>
  <c r="I418"/>
  <c r="I453"/>
  <c r="I428"/>
  <c r="I403"/>
  <c r="J312" i="41" l="1"/>
  <c r="E1107" i="44"/>
  <c r="K1107" s="1"/>
  <c r="K1105" s="1"/>
  <c r="G313" i="41" s="1"/>
  <c r="J376"/>
  <c r="J387"/>
  <c r="J472"/>
  <c r="J538"/>
  <c r="J471"/>
  <c r="J539"/>
  <c r="J431"/>
  <c r="J430"/>
  <c r="J370"/>
  <c r="J380"/>
  <c r="J520"/>
  <c r="J385"/>
  <c r="J372"/>
  <c r="J374"/>
  <c r="J373"/>
  <c r="J377"/>
  <c r="J338"/>
  <c r="J433"/>
  <c r="J384"/>
  <c r="J389"/>
  <c r="J361"/>
  <c r="J386"/>
  <c r="J400"/>
  <c r="J261"/>
  <c r="J390"/>
  <c r="J379"/>
  <c r="J473"/>
  <c r="J474"/>
  <c r="J378"/>
  <c r="J371"/>
  <c r="J293"/>
  <c r="J402"/>
  <c r="J367"/>
  <c r="J368"/>
  <c r="J401"/>
  <c r="J342"/>
  <c r="J363"/>
  <c r="J322"/>
  <c r="J328"/>
  <c r="J334"/>
  <c r="J364"/>
  <c r="J340"/>
  <c r="J360"/>
  <c r="J257"/>
  <c r="J339"/>
  <c r="J329"/>
  <c r="J321"/>
  <c r="J296"/>
  <c r="J324"/>
  <c r="J253"/>
  <c r="J298"/>
  <c r="J69"/>
  <c r="J259"/>
  <c r="J264"/>
  <c r="J240"/>
  <c r="J252"/>
  <c r="J302"/>
  <c r="J303"/>
  <c r="J256"/>
  <c r="J304"/>
  <c r="J291"/>
  <c r="J290"/>
  <c r="J245"/>
  <c r="J295"/>
  <c r="J294"/>
  <c r="J244"/>
  <c r="J284"/>
  <c r="J288"/>
  <c r="J254"/>
  <c r="J232"/>
  <c r="J263"/>
  <c r="J262"/>
  <c r="J85"/>
  <c r="J238"/>
  <c r="J73"/>
  <c r="J229"/>
  <c r="J247"/>
  <c r="J237"/>
  <c r="J227"/>
  <c r="J225"/>
  <c r="J246"/>
  <c r="J239"/>
  <c r="J55"/>
  <c r="J53"/>
  <c r="J54"/>
  <c r="J71"/>
  <c r="J56"/>
  <c r="J57"/>
  <c r="J104"/>
  <c r="J313" l="1"/>
  <c r="J305"/>
  <c r="J330"/>
  <c r="C1266" i="44" l="1"/>
  <c r="C412" i="41" s="1"/>
  <c r="C1265" i="44"/>
  <c r="C411" i="41" s="1"/>
  <c r="I396" i="43"/>
  <c r="H395"/>
  <c r="I395" s="1"/>
  <c r="H394"/>
  <c r="I394" s="1"/>
  <c r="I391"/>
  <c r="H390"/>
  <c r="I390" s="1"/>
  <c r="H389"/>
  <c r="I389" s="1"/>
  <c r="E390"/>
  <c r="F390"/>
  <c r="F389"/>
  <c r="E389"/>
  <c r="C1264" i="44"/>
  <c r="C410" i="41" s="1"/>
  <c r="C1263" i="44"/>
  <c r="C409" i="41" s="1"/>
  <c r="E385" i="43"/>
  <c r="F385"/>
  <c r="E386"/>
  <c r="F386"/>
  <c r="F384"/>
  <c r="E384"/>
  <c r="H386"/>
  <c r="I386" s="1"/>
  <c r="H385"/>
  <c r="I385" s="1"/>
  <c r="H384"/>
  <c r="I384" s="1"/>
  <c r="H380"/>
  <c r="I380" s="1"/>
  <c r="H381"/>
  <c r="I381" s="1"/>
  <c r="H379"/>
  <c r="I379" s="1"/>
  <c r="E380"/>
  <c r="F380"/>
  <c r="E381"/>
  <c r="F381"/>
  <c r="F379"/>
  <c r="E379"/>
  <c r="E1266" i="44" l="1"/>
  <c r="I388" i="43"/>
  <c r="I378"/>
  <c r="E1264" i="44"/>
  <c r="E1265"/>
  <c r="E1263"/>
  <c r="I393" i="43"/>
  <c r="I383"/>
  <c r="H801"/>
  <c r="I801" s="1"/>
  <c r="F801"/>
  <c r="E801"/>
  <c r="H800"/>
  <c r="I800" s="1"/>
  <c r="F800"/>
  <c r="E800"/>
  <c r="H799"/>
  <c r="I799" s="1"/>
  <c r="F799"/>
  <c r="E799"/>
  <c r="C1456" i="44"/>
  <c r="E1456" l="1"/>
  <c r="C544" i="41"/>
  <c r="I798" i="43"/>
  <c r="H776"/>
  <c r="I776" s="1"/>
  <c r="F776"/>
  <c r="E776"/>
  <c r="H775"/>
  <c r="F775"/>
  <c r="E775"/>
  <c r="H774"/>
  <c r="G774"/>
  <c r="G773" s="1"/>
  <c r="F774"/>
  <c r="E774"/>
  <c r="H773"/>
  <c r="F773"/>
  <c r="E773"/>
  <c r="H772"/>
  <c r="G772"/>
  <c r="F772"/>
  <c r="E772"/>
  <c r="H771"/>
  <c r="G771"/>
  <c r="E771"/>
  <c r="H770"/>
  <c r="F770"/>
  <c r="E770"/>
  <c r="H769"/>
  <c r="F769"/>
  <c r="E769"/>
  <c r="H768"/>
  <c r="F768"/>
  <c r="E768"/>
  <c r="H767"/>
  <c r="F767"/>
  <c r="E767"/>
  <c r="H766"/>
  <c r="G766"/>
  <c r="G767" s="1"/>
  <c r="G768" s="1"/>
  <c r="G769" s="1"/>
  <c r="F766"/>
  <c r="E766"/>
  <c r="H765"/>
  <c r="I765" s="1"/>
  <c r="F765"/>
  <c r="E765"/>
  <c r="H764"/>
  <c r="I764" s="1"/>
  <c r="F764"/>
  <c r="E764"/>
  <c r="H763"/>
  <c r="F763"/>
  <c r="E763"/>
  <c r="H762"/>
  <c r="G762"/>
  <c r="G761" s="1"/>
  <c r="F762"/>
  <c r="E762"/>
  <c r="H761"/>
  <c r="F761"/>
  <c r="E761"/>
  <c r="H760"/>
  <c r="G760"/>
  <c r="F760"/>
  <c r="E760"/>
  <c r="E756"/>
  <c r="F756"/>
  <c r="H756"/>
  <c r="I756" s="1"/>
  <c r="C1455" i="44"/>
  <c r="C543" i="41" s="1"/>
  <c r="C1452" i="44"/>
  <c r="C540" i="41" s="1"/>
  <c r="I762" i="43" l="1"/>
  <c r="I771"/>
  <c r="I760"/>
  <c r="I766"/>
  <c r="I772"/>
  <c r="I773"/>
  <c r="I774"/>
  <c r="G763"/>
  <c r="I763" s="1"/>
  <c r="I761"/>
  <c r="I769"/>
  <c r="G770"/>
  <c r="I770" s="1"/>
  <c r="I768"/>
  <c r="I767"/>
  <c r="G775"/>
  <c r="I775" s="1"/>
  <c r="I759" l="1"/>
  <c r="C1258" i="44" l="1"/>
  <c r="C404" i="41" s="1"/>
  <c r="C1257" i="44"/>
  <c r="C403" i="41" s="1"/>
  <c r="C1248" i="44"/>
  <c r="C394" i="41" s="1"/>
  <c r="C1247" i="44"/>
  <c r="C393" i="41" s="1"/>
  <c r="C1246" i="44"/>
  <c r="C392" i="41" s="1"/>
  <c r="C1245" i="44"/>
  <c r="C391" i="41" s="1"/>
  <c r="C1189" i="44"/>
  <c r="C354" i="41" s="1"/>
  <c r="C1151" i="44"/>
  <c r="C347" i="41" s="1"/>
  <c r="C1150" i="44"/>
  <c r="C346" i="41" s="1"/>
  <c r="C1149" i="44"/>
  <c r="C345" i="41" s="1"/>
  <c r="C1148" i="44"/>
  <c r="C344" i="41" s="1"/>
  <c r="C1145" i="44"/>
  <c r="C341" i="41" s="1"/>
  <c r="C1141" i="44"/>
  <c r="C337" i="41" s="1"/>
  <c r="C1140" i="44"/>
  <c r="C336" i="41" s="1"/>
  <c r="C1137" i="44"/>
  <c r="C333" i="41" s="1"/>
  <c r="H289" i="43"/>
  <c r="I289" s="1"/>
  <c r="H290"/>
  <c r="I290" s="1"/>
  <c r="H291"/>
  <c r="I291" s="1"/>
  <c r="E289"/>
  <c r="F289"/>
  <c r="E290"/>
  <c r="F290"/>
  <c r="E291"/>
  <c r="F291"/>
  <c r="C320" i="41"/>
  <c r="C318"/>
  <c r="C1097" i="44"/>
  <c r="C311" i="41" s="1"/>
  <c r="C1096" i="44"/>
  <c r="C310" i="41" s="1"/>
  <c r="C1095" i="44"/>
  <c r="C309" i="41" s="1"/>
  <c r="C1060" i="44"/>
  <c r="C292" i="41" s="1"/>
  <c r="C286"/>
  <c r="C1051" i="44"/>
  <c r="C283" i="41" s="1"/>
  <c r="C282"/>
  <c r="C1008" i="44"/>
  <c r="C274" i="41" s="1"/>
  <c r="C269"/>
  <c r="C999" i="44"/>
  <c r="C998"/>
  <c r="C265" i="41" s="1"/>
  <c r="C991" i="44"/>
  <c r="C988"/>
  <c r="C255" i="41" s="1"/>
  <c r="C981" i="44"/>
  <c r="C249" i="41" s="1"/>
  <c r="C980" i="44"/>
  <c r="C248" i="41" s="1"/>
  <c r="C975" i="44"/>
  <c r="C243" i="41" s="1"/>
  <c r="E985" i="44"/>
  <c r="E986"/>
  <c r="E987"/>
  <c r="E989"/>
  <c r="E990"/>
  <c r="E992"/>
  <c r="E993"/>
  <c r="E994"/>
  <c r="E995"/>
  <c r="E996"/>
  <c r="E997"/>
  <c r="C968"/>
  <c r="C956"/>
  <c r="C224" i="41" s="1"/>
  <c r="C882" i="44"/>
  <c r="C206" i="41" s="1"/>
  <c r="I118" i="43"/>
  <c r="H117"/>
  <c r="I117" s="1"/>
  <c r="F117"/>
  <c r="E117"/>
  <c r="H116"/>
  <c r="I116" s="1"/>
  <c r="F116"/>
  <c r="E116"/>
  <c r="H115"/>
  <c r="I115" s="1"/>
  <c r="F115"/>
  <c r="E115"/>
  <c r="C877" i="44"/>
  <c r="C205" i="41" s="1"/>
  <c r="C866" i="44"/>
  <c r="C203" i="41" s="1"/>
  <c r="C670" i="44"/>
  <c r="C159" i="41" s="1"/>
  <c r="C643" i="44"/>
  <c r="C156" i="41" s="1"/>
  <c r="C634" i="44"/>
  <c r="C153" i="41" s="1"/>
  <c r="C630" i="44"/>
  <c r="C152" i="41" s="1"/>
  <c r="H101" i="43"/>
  <c r="I101" s="1"/>
  <c r="F101"/>
  <c r="E101"/>
  <c r="H100"/>
  <c r="I100" s="1"/>
  <c r="F100"/>
  <c r="E100"/>
  <c r="H97"/>
  <c r="I97" s="1"/>
  <c r="F97"/>
  <c r="E97"/>
  <c r="H96"/>
  <c r="I96" s="1"/>
  <c r="F96"/>
  <c r="E96"/>
  <c r="I95" l="1"/>
  <c r="E968" i="44"/>
  <c r="C236" i="41"/>
  <c r="G991" i="44"/>
  <c r="C258" i="41"/>
  <c r="E999" i="44"/>
  <c r="C266" i="41"/>
  <c r="H991" i="44"/>
  <c r="E991"/>
  <c r="I991"/>
  <c r="F991"/>
  <c r="J991"/>
  <c r="I114" i="43"/>
  <c r="C607" i="44"/>
  <c r="C149" i="41" s="1"/>
  <c r="C592" i="44" l="1"/>
  <c r="C142" i="41" s="1"/>
  <c r="C532" i="44"/>
  <c r="C134" i="41" s="1"/>
  <c r="H81" i="43"/>
  <c r="I81" s="1"/>
  <c r="I80" s="1"/>
  <c r="F81"/>
  <c r="F76"/>
  <c r="E81"/>
  <c r="C468" i="44" l="1"/>
  <c r="C122" i="41" s="1"/>
  <c r="C121"/>
  <c r="C446" i="44"/>
  <c r="C118" i="41" s="1"/>
  <c r="C117"/>
  <c r="C420" i="44"/>
  <c r="C112" i="41" s="1"/>
  <c r="H51" i="43"/>
  <c r="I51" s="1"/>
  <c r="F51"/>
  <c r="E51"/>
  <c r="H50"/>
  <c r="I50" s="1"/>
  <c r="F50"/>
  <c r="E50"/>
  <c r="H49"/>
  <c r="I49" s="1"/>
  <c r="F49"/>
  <c r="E49"/>
  <c r="H48"/>
  <c r="I48" s="1"/>
  <c r="F48"/>
  <c r="E48"/>
  <c r="H47"/>
  <c r="I47" s="1"/>
  <c r="F47"/>
  <c r="E47"/>
  <c r="H46"/>
  <c r="I46" s="1"/>
  <c r="F46"/>
  <c r="E46"/>
  <c r="I45"/>
  <c r="I44" l="1"/>
  <c r="C44" i="41"/>
  <c r="L76" i="44"/>
  <c r="L81"/>
  <c r="L86"/>
  <c r="L91"/>
  <c r="L96"/>
  <c r="L114"/>
  <c r="L127"/>
  <c r="L135"/>
  <c r="L145"/>
  <c r="L151"/>
  <c r="L157"/>
  <c r="L169"/>
  <c r="L173"/>
  <c r="L185"/>
  <c r="L191"/>
  <c r="L198"/>
  <c r="L205"/>
  <c r="L216"/>
  <c r="L218"/>
  <c r="L220"/>
  <c r="L222"/>
  <c r="L224"/>
  <c r="L227"/>
  <c r="L236"/>
  <c r="L241"/>
  <c r="L245"/>
  <c r="L251"/>
  <c r="L268"/>
  <c r="L285"/>
  <c r="L293"/>
  <c r="L295"/>
  <c r="L297"/>
  <c r="L299"/>
  <c r="L301"/>
  <c r="L303"/>
  <c r="L310"/>
  <c r="L314"/>
  <c r="L325"/>
  <c r="L330"/>
  <c r="L332"/>
  <c r="L335"/>
  <c r="L337"/>
  <c r="L339"/>
  <c r="L343"/>
  <c r="L347"/>
  <c r="L349"/>
  <c r="L351"/>
  <c r="L353"/>
  <c r="L356"/>
  <c r="L360"/>
  <c r="L370"/>
  <c r="L378"/>
  <c r="L391"/>
  <c r="L393"/>
  <c r="L395"/>
  <c r="L397"/>
  <c r="L403"/>
  <c r="L412"/>
  <c r="L427"/>
  <c r="L452"/>
  <c r="L456"/>
  <c r="L476"/>
  <c r="L484"/>
  <c r="L494"/>
  <c r="L500"/>
  <c r="L510"/>
  <c r="L519"/>
  <c r="L524"/>
  <c r="L542"/>
  <c r="L550"/>
  <c r="L561"/>
  <c r="L571"/>
  <c r="L584"/>
  <c r="L596"/>
  <c r="L615"/>
  <c r="L622"/>
  <c r="L652"/>
  <c r="L661"/>
  <c r="L685"/>
  <c r="L690"/>
  <c r="L695"/>
  <c r="L703"/>
  <c r="L712"/>
  <c r="L720"/>
  <c r="L727"/>
  <c r="L733"/>
  <c r="L737"/>
  <c r="L743"/>
  <c r="L747"/>
  <c r="L753"/>
  <c r="L764"/>
  <c r="L773"/>
  <c r="L784"/>
  <c r="L789"/>
  <c r="L796"/>
  <c r="L801"/>
  <c r="L805"/>
  <c r="L808"/>
  <c r="L813"/>
  <c r="L820"/>
  <c r="L825"/>
  <c r="L827"/>
  <c r="L832"/>
  <c r="L837"/>
  <c r="L845"/>
  <c r="L852"/>
  <c r="L860"/>
  <c r="L872"/>
  <c r="L890"/>
  <c r="L899"/>
  <c r="L907"/>
  <c r="L924"/>
  <c r="L942"/>
  <c r="L946"/>
  <c r="L955"/>
  <c r="L957"/>
  <c r="L958"/>
  <c r="L959"/>
  <c r="L960"/>
  <c r="L961"/>
  <c r="L962"/>
  <c r="L963"/>
  <c r="L964"/>
  <c r="L965"/>
  <c r="L966"/>
  <c r="L969"/>
  <c r="L970"/>
  <c r="L971"/>
  <c r="L972"/>
  <c r="L974"/>
  <c r="L976"/>
  <c r="L977"/>
  <c r="L978"/>
  <c r="L979"/>
  <c r="L985"/>
  <c r="L986"/>
  <c r="L987"/>
  <c r="L989"/>
  <c r="L990"/>
  <c r="L992"/>
  <c r="L993"/>
  <c r="L994"/>
  <c r="L995"/>
  <c r="L996"/>
  <c r="L997"/>
  <c r="L1015"/>
  <c r="L1024"/>
  <c r="L1032"/>
  <c r="L1038"/>
  <c r="L1042"/>
  <c r="L1052"/>
  <c r="L1053"/>
  <c r="L1055"/>
  <c r="L1056"/>
  <c r="L1057"/>
  <c r="L1058"/>
  <c r="L1059"/>
  <c r="L1061"/>
  <c r="L1062"/>
  <c r="L1063"/>
  <c r="L1064"/>
  <c r="L1065"/>
  <c r="L1066"/>
  <c r="L1070"/>
  <c r="L1071"/>
  <c r="L1072"/>
  <c r="L1073"/>
  <c r="L1078"/>
  <c r="L1087"/>
  <c r="L1117"/>
  <c r="L1119"/>
  <c r="L1123"/>
  <c r="L1127"/>
  <c r="L1130"/>
  <c r="L1132"/>
  <c r="L1138"/>
  <c r="L1142"/>
  <c r="L1143"/>
  <c r="L1144"/>
  <c r="L1146"/>
  <c r="L1147"/>
  <c r="L1156"/>
  <c r="L1164"/>
  <c r="L1173"/>
  <c r="L1197"/>
  <c r="L1202"/>
  <c r="L1206"/>
  <c r="L1213"/>
  <c r="L1214"/>
  <c r="L1215"/>
  <c r="L1216"/>
  <c r="L1217"/>
  <c r="L1221"/>
  <c r="L1222"/>
  <c r="L1223"/>
  <c r="L1224"/>
  <c r="L1225"/>
  <c r="L1226"/>
  <c r="L1227"/>
  <c r="L1228"/>
  <c r="L1229"/>
  <c r="L1230"/>
  <c r="L1231"/>
  <c r="L1232"/>
  <c r="L1233"/>
  <c r="L1234"/>
  <c r="L1235"/>
  <c r="L1236"/>
  <c r="L1238"/>
  <c r="L1239"/>
  <c r="L1240"/>
  <c r="L1241"/>
  <c r="L1243"/>
  <c r="L1244"/>
  <c r="L1249"/>
  <c r="L1250"/>
  <c r="L1251"/>
  <c r="L1252"/>
  <c r="L1253"/>
  <c r="L1254"/>
  <c r="L1255"/>
  <c r="L1256"/>
  <c r="L1387"/>
  <c r="L1395"/>
  <c r="L1403"/>
  <c r="L1411"/>
  <c r="L1419"/>
  <c r="L1428"/>
  <c r="L1438"/>
  <c r="L1443"/>
  <c r="L1449"/>
  <c r="L1450"/>
  <c r="L1451"/>
  <c r="L1453"/>
  <c r="L1454"/>
  <c r="L1476"/>
  <c r="L58"/>
  <c r="L71"/>
  <c r="L38"/>
  <c r="L43"/>
  <c r="L25"/>
  <c r="L32"/>
  <c r="L12"/>
  <c r="L17"/>
  <c r="L8"/>
  <c r="C161"/>
  <c r="C39" i="41" s="1"/>
  <c r="I37" i="43"/>
  <c r="I36" s="1"/>
  <c r="C141" i="44"/>
  <c r="C35" i="41" s="1"/>
  <c r="E154" i="44"/>
  <c r="K154" s="1"/>
  <c r="E153"/>
  <c r="K153" s="1"/>
  <c r="C101"/>
  <c r="C31" i="41" s="1"/>
  <c r="C65" i="44"/>
  <c r="C24" i="41" s="1"/>
  <c r="E173" i="44"/>
  <c r="E169"/>
  <c r="E157"/>
  <c r="E151"/>
  <c r="E145"/>
  <c r="E135"/>
  <c r="E127"/>
  <c r="E114"/>
  <c r="E96"/>
  <c r="E91"/>
  <c r="E86"/>
  <c r="E81"/>
  <c r="E76"/>
  <c r="E71"/>
  <c r="E58"/>
  <c r="E43"/>
  <c r="E38"/>
  <c r="E32"/>
  <c r="E25"/>
  <c r="E17"/>
  <c r="E12"/>
  <c r="E8"/>
  <c r="H15" i="43"/>
  <c r="I15" s="1"/>
  <c r="H16"/>
  <c r="I16" s="1"/>
  <c r="H17"/>
  <c r="I17" s="1"/>
  <c r="H18"/>
  <c r="I18" s="1"/>
  <c r="H19"/>
  <c r="I19" s="1"/>
  <c r="H20"/>
  <c r="H14"/>
  <c r="I14" s="1"/>
  <c r="E15"/>
  <c r="F15"/>
  <c r="E16"/>
  <c r="F16"/>
  <c r="E17"/>
  <c r="F17"/>
  <c r="E18"/>
  <c r="F18"/>
  <c r="E19"/>
  <c r="F19"/>
  <c r="E20"/>
  <c r="F20"/>
  <c r="F14"/>
  <c r="E14"/>
  <c r="I20"/>
  <c r="K151" i="44" l="1"/>
  <c r="G37" i="41" s="1"/>
  <c r="I13" i="43"/>
  <c r="J37" i="41" l="1"/>
  <c r="E1455" i="44"/>
  <c r="I757" i="43"/>
  <c r="H755"/>
  <c r="I755" s="1"/>
  <c r="F755"/>
  <c r="E755"/>
  <c r="H754"/>
  <c r="I754" s="1"/>
  <c r="F754"/>
  <c r="E754"/>
  <c r="E1454" i="44"/>
  <c r="K1389"/>
  <c r="K1390"/>
  <c r="E1249"/>
  <c r="I753" i="43" l="1"/>
  <c r="F796" l="1"/>
  <c r="F795"/>
  <c r="F794"/>
  <c r="E796"/>
  <c r="E795"/>
  <c r="E794"/>
  <c r="H795"/>
  <c r="H796"/>
  <c r="H794"/>
  <c r="K592" i="44" l="1"/>
  <c r="G142" i="41" s="1"/>
  <c r="E558" i="44" l="1"/>
  <c r="E579" s="1"/>
  <c r="E546"/>
  <c r="E431"/>
  <c r="E386"/>
  <c r="K386" s="1"/>
  <c r="E365"/>
  <c r="K356"/>
  <c r="G95" i="41" s="1"/>
  <c r="K351" i="44"/>
  <c r="G93" i="41" s="1"/>
  <c r="K349" i="44"/>
  <c r="G92" i="41" s="1"/>
  <c r="E345" i="44"/>
  <c r="K281"/>
  <c r="K282"/>
  <c r="K265"/>
  <c r="K264"/>
  <c r="E227"/>
  <c r="F194"/>
  <c r="F201" s="1"/>
  <c r="E194"/>
  <c r="E201" s="1"/>
  <c r="H202"/>
  <c r="H201"/>
  <c r="H200"/>
  <c r="J92" i="41" l="1"/>
  <c r="J93"/>
  <c r="J95"/>
  <c r="E720" i="44"/>
  <c r="E712"/>
  <c r="E703"/>
  <c r="E701"/>
  <c r="E695"/>
  <c r="E690"/>
  <c r="E685"/>
  <c r="H60" i="43" l="1"/>
  <c r="I60" s="1"/>
  <c r="F60"/>
  <c r="E60"/>
  <c r="H59"/>
  <c r="I59" s="1"/>
  <c r="F59"/>
  <c r="E59"/>
  <c r="H58"/>
  <c r="I58" s="1"/>
  <c r="F58"/>
  <c r="E58"/>
  <c r="H57"/>
  <c r="I57" s="1"/>
  <c r="F57"/>
  <c r="E57"/>
  <c r="K406" i="44"/>
  <c r="K407"/>
  <c r="K405"/>
  <c r="I56" i="43" l="1"/>
  <c r="L66" i="33"/>
  <c r="L64"/>
  <c r="L62"/>
  <c r="L60"/>
  <c r="L56"/>
  <c r="L54"/>
  <c r="L52"/>
  <c r="L50"/>
  <c r="L48"/>
  <c r="L46"/>
  <c r="L44"/>
  <c r="L42"/>
  <c r="L40"/>
  <c r="L38"/>
  <c r="L36"/>
  <c r="L34"/>
  <c r="L32"/>
  <c r="L30"/>
  <c r="L28"/>
  <c r="L26"/>
  <c r="L24"/>
  <c r="L22"/>
  <c r="L20"/>
  <c r="L18"/>
  <c r="L16"/>
  <c r="L14"/>
  <c r="L12"/>
  <c r="B65"/>
  <c r="B63"/>
  <c r="B61"/>
  <c r="B59"/>
  <c r="B55"/>
  <c r="B53"/>
  <c r="B51"/>
  <c r="B49"/>
  <c r="B47"/>
  <c r="B45"/>
  <c r="B43"/>
  <c r="B41"/>
  <c r="B39"/>
  <c r="B37"/>
  <c r="B35"/>
  <c r="B33"/>
  <c r="B31"/>
  <c r="B29"/>
  <c r="B7" i="43"/>
  <c r="B5"/>
  <c r="B4"/>
  <c r="B3"/>
  <c r="K1474" i="44"/>
  <c r="E1473"/>
  <c r="K1473" s="1"/>
  <c r="C63" i="33" l="1"/>
  <c r="I796" i="43"/>
  <c r="I795"/>
  <c r="I794"/>
  <c r="I793" l="1"/>
  <c r="K403" i="44" l="1"/>
  <c r="G108" i="41" s="1"/>
  <c r="E403" i="44"/>
  <c r="K431"/>
  <c r="E430"/>
  <c r="K430" s="1"/>
  <c r="E429"/>
  <c r="K429" s="1"/>
  <c r="E427"/>
  <c r="K423"/>
  <c r="K424"/>
  <c r="K422"/>
  <c r="K416"/>
  <c r="K415"/>
  <c r="K414"/>
  <c r="K84"/>
  <c r="K400"/>
  <c r="K401"/>
  <c r="K399"/>
  <c r="P395"/>
  <c r="M395"/>
  <c r="E395"/>
  <c r="M393"/>
  <c r="P393"/>
  <c r="E393"/>
  <c r="K420" l="1"/>
  <c r="G112" i="41" s="1"/>
  <c r="K412" i="44"/>
  <c r="G111" i="41" s="1"/>
  <c r="K427" i="44"/>
  <c r="G113" i="41" s="1"/>
  <c r="K397" i="44"/>
  <c r="G107" i="41" s="1"/>
  <c r="H373" i="43"/>
  <c r="I373" s="1"/>
  <c r="H372"/>
  <c r="I372" s="1"/>
  <c r="H366"/>
  <c r="I366" s="1"/>
  <c r="H367"/>
  <c r="I367" s="1"/>
  <c r="H368"/>
  <c r="I368" s="1"/>
  <c r="H365"/>
  <c r="I365" s="1"/>
  <c r="H362"/>
  <c r="I362" s="1"/>
  <c r="H361"/>
  <c r="I361" s="1"/>
  <c r="H360"/>
  <c r="I360" s="1"/>
  <c r="H359"/>
  <c r="I359" s="1"/>
  <c r="H354"/>
  <c r="I354" s="1"/>
  <c r="H355"/>
  <c r="I355" s="1"/>
  <c r="H356"/>
  <c r="I356" s="1"/>
  <c r="H353"/>
  <c r="I353" s="1"/>
  <c r="H343"/>
  <c r="I343" s="1"/>
  <c r="H344"/>
  <c r="I344" s="1"/>
  <c r="H342"/>
  <c r="I342" s="1"/>
  <c r="H349"/>
  <c r="I349" s="1"/>
  <c r="H350"/>
  <c r="I350" s="1"/>
  <c r="H348"/>
  <c r="I348" s="1"/>
  <c r="E373"/>
  <c r="F373"/>
  <c r="F372"/>
  <c r="E372"/>
  <c r="E366"/>
  <c r="F366"/>
  <c r="E367"/>
  <c r="F367"/>
  <c r="E368"/>
  <c r="F368"/>
  <c r="F365"/>
  <c r="E365"/>
  <c r="E360"/>
  <c r="F360"/>
  <c r="E361"/>
  <c r="F361"/>
  <c r="E362"/>
  <c r="E358" s="1"/>
  <c r="F362"/>
  <c r="F359"/>
  <c r="E359"/>
  <c r="E356"/>
  <c r="E352" s="1"/>
  <c r="F356"/>
  <c r="F355"/>
  <c r="E355"/>
  <c r="F354"/>
  <c r="E354"/>
  <c r="F353"/>
  <c r="E353"/>
  <c r="E349"/>
  <c r="F349"/>
  <c r="E350"/>
  <c r="F350"/>
  <c r="F348"/>
  <c r="E348"/>
  <c r="E343"/>
  <c r="F343"/>
  <c r="E344"/>
  <c r="F344"/>
  <c r="F342"/>
  <c r="E342"/>
  <c r="I371"/>
  <c r="I345"/>
  <c r="E341"/>
  <c r="I364" l="1"/>
  <c r="J113" i="41"/>
  <c r="J111"/>
  <c r="G1247" i="44"/>
  <c r="J1247"/>
  <c r="F1247"/>
  <c r="I1247"/>
  <c r="E1247"/>
  <c r="H1247"/>
  <c r="F1248"/>
  <c r="J1248"/>
  <c r="G1248"/>
  <c r="H1248"/>
  <c r="E1248"/>
  <c r="I1248"/>
  <c r="I352" i="43"/>
  <c r="I358"/>
  <c r="I370"/>
  <c r="I341"/>
  <c r="I347"/>
  <c r="H807" l="1"/>
  <c r="F807"/>
  <c r="E807"/>
  <c r="H806"/>
  <c r="I806" s="1"/>
  <c r="F806"/>
  <c r="E806"/>
  <c r="H790"/>
  <c r="I790" s="1"/>
  <c r="F790"/>
  <c r="E790"/>
  <c r="H789"/>
  <c r="I789" s="1"/>
  <c r="F789"/>
  <c r="E789"/>
  <c r="H788"/>
  <c r="I788" s="1"/>
  <c r="F788"/>
  <c r="E788"/>
  <c r="H787"/>
  <c r="I787" s="1"/>
  <c r="F787"/>
  <c r="E787"/>
  <c r="H784"/>
  <c r="I784" s="1"/>
  <c r="F784"/>
  <c r="E784"/>
  <c r="I783"/>
  <c r="H751"/>
  <c r="I751" s="1"/>
  <c r="F751"/>
  <c r="E751"/>
  <c r="H750"/>
  <c r="I750" s="1"/>
  <c r="F750"/>
  <c r="E750"/>
  <c r="H749"/>
  <c r="I749" s="1"/>
  <c r="F749"/>
  <c r="E749"/>
  <c r="H337"/>
  <c r="I337" s="1"/>
  <c r="F337"/>
  <c r="E337"/>
  <c r="H336"/>
  <c r="I336" s="1"/>
  <c r="F336"/>
  <c r="E336"/>
  <c r="H335"/>
  <c r="I335" s="1"/>
  <c r="F335"/>
  <c r="E335"/>
  <c r="H332"/>
  <c r="I332" s="1"/>
  <c r="F332"/>
  <c r="E332"/>
  <c r="H331"/>
  <c r="I331" s="1"/>
  <c r="F331"/>
  <c r="E331"/>
  <c r="H330"/>
  <c r="I330" s="1"/>
  <c r="F330"/>
  <c r="E330"/>
  <c r="H326"/>
  <c r="I326" s="1"/>
  <c r="F326"/>
  <c r="E326"/>
  <c r="H325"/>
  <c r="I325" s="1"/>
  <c r="F325"/>
  <c r="E325"/>
  <c r="H324"/>
  <c r="I324" s="1"/>
  <c r="F324"/>
  <c r="E324"/>
  <c r="H323"/>
  <c r="I323" s="1"/>
  <c r="F323"/>
  <c r="E323"/>
  <c r="H320"/>
  <c r="I320" s="1"/>
  <c r="F320"/>
  <c r="E320"/>
  <c r="H319"/>
  <c r="I319" s="1"/>
  <c r="F319"/>
  <c r="E319"/>
  <c r="I318"/>
  <c r="H317"/>
  <c r="I317" s="1"/>
  <c r="F317"/>
  <c r="E317"/>
  <c r="H314"/>
  <c r="I314" s="1"/>
  <c r="F314"/>
  <c r="E314"/>
  <c r="H313"/>
  <c r="I313" s="1"/>
  <c r="F313"/>
  <c r="E313"/>
  <c r="H312"/>
  <c r="I312" s="1"/>
  <c r="F312"/>
  <c r="E312"/>
  <c r="H311"/>
  <c r="I311" s="1"/>
  <c r="F311"/>
  <c r="E311"/>
  <c r="H310"/>
  <c r="I310" s="1"/>
  <c r="F310"/>
  <c r="E310"/>
  <c r="H307"/>
  <c r="I307" s="1"/>
  <c r="F307"/>
  <c r="E307"/>
  <c r="H306"/>
  <c r="I306" s="1"/>
  <c r="F306"/>
  <c r="E306"/>
  <c r="H305"/>
  <c r="I305" s="1"/>
  <c r="F305"/>
  <c r="E305"/>
  <c r="H302"/>
  <c r="I302" s="1"/>
  <c r="F302"/>
  <c r="E302"/>
  <c r="H301"/>
  <c r="F301"/>
  <c r="E301"/>
  <c r="H300"/>
  <c r="G300"/>
  <c r="G301" s="1"/>
  <c r="F300"/>
  <c r="E300"/>
  <c r="H299"/>
  <c r="F299"/>
  <c r="E299"/>
  <c r="H298"/>
  <c r="G298"/>
  <c r="F298"/>
  <c r="E298"/>
  <c r="H297"/>
  <c r="G297"/>
  <c r="E297"/>
  <c r="H296"/>
  <c r="F296"/>
  <c r="E296"/>
  <c r="H295"/>
  <c r="F295"/>
  <c r="E295"/>
  <c r="H294"/>
  <c r="F294"/>
  <c r="E294"/>
  <c r="H293"/>
  <c r="F293"/>
  <c r="E293"/>
  <c r="H292"/>
  <c r="G292"/>
  <c r="G293" s="1"/>
  <c r="G294" s="1"/>
  <c r="G295" s="1"/>
  <c r="F292"/>
  <c r="E292"/>
  <c r="H288"/>
  <c r="F288"/>
  <c r="E288"/>
  <c r="H287"/>
  <c r="F287"/>
  <c r="E287"/>
  <c r="H286"/>
  <c r="G286"/>
  <c r="G287" s="1"/>
  <c r="F286"/>
  <c r="E286"/>
  <c r="H285"/>
  <c r="F285"/>
  <c r="E285"/>
  <c r="H284"/>
  <c r="G284"/>
  <c r="F284"/>
  <c r="E284"/>
  <c r="H278"/>
  <c r="G278"/>
  <c r="F278"/>
  <c r="E278"/>
  <c r="H277"/>
  <c r="I277" s="1"/>
  <c r="F277"/>
  <c r="E277"/>
  <c r="H276"/>
  <c r="I276" s="1"/>
  <c r="F276"/>
  <c r="E276"/>
  <c r="H275"/>
  <c r="I275" s="1"/>
  <c r="F275"/>
  <c r="E275"/>
  <c r="H274"/>
  <c r="I274" s="1"/>
  <c r="F274"/>
  <c r="E274"/>
  <c r="H273"/>
  <c r="I273" s="1"/>
  <c r="F273"/>
  <c r="E273"/>
  <c r="H272"/>
  <c r="I272" s="1"/>
  <c r="F272"/>
  <c r="E272"/>
  <c r="I271"/>
  <c r="I270"/>
  <c r="H267"/>
  <c r="I267" s="1"/>
  <c r="F267"/>
  <c r="E267"/>
  <c r="H266"/>
  <c r="I266" s="1"/>
  <c r="F266"/>
  <c r="E266"/>
  <c r="H265"/>
  <c r="I265" s="1"/>
  <c r="F265"/>
  <c r="E265"/>
  <c r="H264"/>
  <c r="I264" s="1"/>
  <c r="F264"/>
  <c r="E264"/>
  <c r="H263"/>
  <c r="I263" s="1"/>
  <c r="F263"/>
  <c r="E263"/>
  <c r="H262"/>
  <c r="G262"/>
  <c r="F262"/>
  <c r="E262"/>
  <c r="I261"/>
  <c r="I260"/>
  <c r="I259"/>
  <c r="H258"/>
  <c r="G258"/>
  <c r="F258"/>
  <c r="E258"/>
  <c r="I257"/>
  <c r="H254"/>
  <c r="I254" s="1"/>
  <c r="F254"/>
  <c r="E254"/>
  <c r="H253"/>
  <c r="I253" s="1"/>
  <c r="F253"/>
  <c r="E253"/>
  <c r="H252"/>
  <c r="I252" s="1"/>
  <c r="F252"/>
  <c r="E252"/>
  <c r="H251"/>
  <c r="I251" s="1"/>
  <c r="F251"/>
  <c r="E251"/>
  <c r="H250"/>
  <c r="I250" s="1"/>
  <c r="F250"/>
  <c r="E250"/>
  <c r="I249"/>
  <c r="H248"/>
  <c r="G248"/>
  <c r="F248"/>
  <c r="E248"/>
  <c r="I247"/>
  <c r="H244"/>
  <c r="I244" s="1"/>
  <c r="I238" s="1"/>
  <c r="F244"/>
  <c r="E244"/>
  <c r="H236"/>
  <c r="I236" s="1"/>
  <c r="F236"/>
  <c r="E236"/>
  <c r="H235"/>
  <c r="I235" s="1"/>
  <c r="F235"/>
  <c r="E235"/>
  <c r="H234"/>
  <c r="I234" s="1"/>
  <c r="F234"/>
  <c r="E234"/>
  <c r="H233"/>
  <c r="I233" s="1"/>
  <c r="F233"/>
  <c r="E233"/>
  <c r="H232"/>
  <c r="I232" s="1"/>
  <c r="F232"/>
  <c r="E232"/>
  <c r="H231"/>
  <c r="I231" s="1"/>
  <c r="F231"/>
  <c r="E231"/>
  <c r="E228" s="1"/>
  <c r="E1051" i="44" s="1"/>
  <c r="H230" i="43"/>
  <c r="I230" s="1"/>
  <c r="F230"/>
  <c r="E230"/>
  <c r="H229"/>
  <c r="I229" s="1"/>
  <c r="F229"/>
  <c r="E229"/>
  <c r="H182"/>
  <c r="I182" s="1"/>
  <c r="F182"/>
  <c r="E182"/>
  <c r="H181"/>
  <c r="I181" s="1"/>
  <c r="F181"/>
  <c r="E181"/>
  <c r="H180"/>
  <c r="I180" s="1"/>
  <c r="F180"/>
  <c r="E180"/>
  <c r="H179"/>
  <c r="I179" s="1"/>
  <c r="F179"/>
  <c r="E179"/>
  <c r="H178"/>
  <c r="I178" s="1"/>
  <c r="F178"/>
  <c r="E178"/>
  <c r="H177"/>
  <c r="I177" s="1"/>
  <c r="F177"/>
  <c r="E177"/>
  <c r="H174"/>
  <c r="I174" s="1"/>
  <c r="F174"/>
  <c r="E174"/>
  <c r="H173"/>
  <c r="I173" s="1"/>
  <c r="F173"/>
  <c r="E173"/>
  <c r="H172"/>
  <c r="I172" s="1"/>
  <c r="F172"/>
  <c r="E172"/>
  <c r="E168" s="1"/>
  <c r="E998" i="44" s="1"/>
  <c r="H171" i="43"/>
  <c r="I171" s="1"/>
  <c r="F171"/>
  <c r="E171"/>
  <c r="H170"/>
  <c r="I170" s="1"/>
  <c r="F170"/>
  <c r="E170"/>
  <c r="H169"/>
  <c r="I169" s="1"/>
  <c r="F169"/>
  <c r="E169"/>
  <c r="H157"/>
  <c r="I157" s="1"/>
  <c r="F157"/>
  <c r="E157"/>
  <c r="H156"/>
  <c r="I156" s="1"/>
  <c r="F156"/>
  <c r="E156"/>
  <c r="H155"/>
  <c r="I155" s="1"/>
  <c r="F155"/>
  <c r="E155"/>
  <c r="E151" s="1"/>
  <c r="H154"/>
  <c r="I154" s="1"/>
  <c r="F154"/>
  <c r="E154"/>
  <c r="H153"/>
  <c r="I153" s="1"/>
  <c r="F153"/>
  <c r="E153"/>
  <c r="H152"/>
  <c r="I152" s="1"/>
  <c r="F152"/>
  <c r="E152"/>
  <c r="H166"/>
  <c r="I166" s="1"/>
  <c r="F166"/>
  <c r="E166"/>
  <c r="H165"/>
  <c r="I165" s="1"/>
  <c r="F165"/>
  <c r="E165"/>
  <c r="H164"/>
  <c r="I164" s="1"/>
  <c r="F164"/>
  <c r="E164"/>
  <c r="E160" s="1"/>
  <c r="E988" i="44" s="1"/>
  <c r="H163" i="43"/>
  <c r="I163" s="1"/>
  <c r="F163"/>
  <c r="E163"/>
  <c r="H162"/>
  <c r="I162" s="1"/>
  <c r="F162"/>
  <c r="E162"/>
  <c r="H161"/>
  <c r="I161" s="1"/>
  <c r="F161"/>
  <c r="E161"/>
  <c r="H149"/>
  <c r="I149" s="1"/>
  <c r="F149"/>
  <c r="E149"/>
  <c r="E145" s="1"/>
  <c r="H148"/>
  <c r="I148" s="1"/>
  <c r="F148"/>
  <c r="E148"/>
  <c r="H147"/>
  <c r="I147" s="1"/>
  <c r="F147"/>
  <c r="E147"/>
  <c r="H146"/>
  <c r="I146" s="1"/>
  <c r="F146"/>
  <c r="E146"/>
  <c r="H143"/>
  <c r="I143" s="1"/>
  <c r="F143"/>
  <c r="E143"/>
  <c r="H142"/>
  <c r="I142" s="1"/>
  <c r="F142"/>
  <c r="E142"/>
  <c r="H141"/>
  <c r="I141" s="1"/>
  <c r="F141"/>
  <c r="E141"/>
  <c r="H140"/>
  <c r="I140" s="1"/>
  <c r="F140"/>
  <c r="E140"/>
  <c r="E137" s="1"/>
  <c r="H139"/>
  <c r="I139" s="1"/>
  <c r="F139"/>
  <c r="E139"/>
  <c r="H138"/>
  <c r="I138" s="1"/>
  <c r="F138"/>
  <c r="E138"/>
  <c r="H135"/>
  <c r="I135" s="1"/>
  <c r="F135"/>
  <c r="E135"/>
  <c r="H134"/>
  <c r="I134" s="1"/>
  <c r="F134"/>
  <c r="E134"/>
  <c r="H133"/>
  <c r="I133" s="1"/>
  <c r="F133"/>
  <c r="E133"/>
  <c r="H132"/>
  <c r="I132" s="1"/>
  <c r="F132"/>
  <c r="E132"/>
  <c r="H129"/>
  <c r="I129" s="1"/>
  <c r="F129"/>
  <c r="E129"/>
  <c r="H128"/>
  <c r="I128" s="1"/>
  <c r="F128"/>
  <c r="E128"/>
  <c r="H127"/>
  <c r="I127" s="1"/>
  <c r="F127"/>
  <c r="E127"/>
  <c r="H126"/>
  <c r="I126" s="1"/>
  <c r="F126"/>
  <c r="E126"/>
  <c r="H125"/>
  <c r="I125" s="1"/>
  <c r="F125"/>
  <c r="E125"/>
  <c r="H124"/>
  <c r="I124" s="1"/>
  <c r="F124"/>
  <c r="E124"/>
  <c r="H112"/>
  <c r="I112" s="1"/>
  <c r="F112"/>
  <c r="E112"/>
  <c r="H111"/>
  <c r="I111" s="1"/>
  <c r="F111"/>
  <c r="E111"/>
  <c r="H110"/>
  <c r="I110" s="1"/>
  <c r="F110"/>
  <c r="E110"/>
  <c r="H107"/>
  <c r="I107" s="1"/>
  <c r="F107"/>
  <c r="E107"/>
  <c r="H106"/>
  <c r="I106" s="1"/>
  <c r="F106"/>
  <c r="E106"/>
  <c r="H105"/>
  <c r="I105" s="1"/>
  <c r="F105"/>
  <c r="E105"/>
  <c r="H93"/>
  <c r="I93" s="1"/>
  <c r="F93"/>
  <c r="E93"/>
  <c r="H92"/>
  <c r="I92" s="1"/>
  <c r="F92"/>
  <c r="E92"/>
  <c r="H91"/>
  <c r="I91" s="1"/>
  <c r="F91"/>
  <c r="E91"/>
  <c r="H86"/>
  <c r="G86"/>
  <c r="F86"/>
  <c r="E86"/>
  <c r="H85"/>
  <c r="I85" s="1"/>
  <c r="F85"/>
  <c r="E85"/>
  <c r="H84"/>
  <c r="I84" s="1"/>
  <c r="F84"/>
  <c r="E84"/>
  <c r="H76"/>
  <c r="I76" s="1"/>
  <c r="E76"/>
  <c r="I75"/>
  <c r="H74"/>
  <c r="I74" s="1"/>
  <c r="F74"/>
  <c r="E74"/>
  <c r="H73"/>
  <c r="I73" s="1"/>
  <c r="F73"/>
  <c r="E73"/>
  <c r="H72"/>
  <c r="I72" s="1"/>
  <c r="F72"/>
  <c r="E72"/>
  <c r="H69"/>
  <c r="I69" s="1"/>
  <c r="F69"/>
  <c r="E69"/>
  <c r="H68"/>
  <c r="I68" s="1"/>
  <c r="F68"/>
  <c r="E68"/>
  <c r="H65"/>
  <c r="I65" s="1"/>
  <c r="F65"/>
  <c r="E65"/>
  <c r="H64"/>
  <c r="G64"/>
  <c r="F64"/>
  <c r="E64"/>
  <c r="H34"/>
  <c r="I34" s="1"/>
  <c r="F34"/>
  <c r="H33"/>
  <c r="I33" s="1"/>
  <c r="F33"/>
  <c r="E33"/>
  <c r="H30"/>
  <c r="I30" s="1"/>
  <c r="F30"/>
  <c r="E30"/>
  <c r="H29"/>
  <c r="I29" s="1"/>
  <c r="F29"/>
  <c r="E29"/>
  <c r="H26"/>
  <c r="I26" s="1"/>
  <c r="F26"/>
  <c r="E26"/>
  <c r="H25"/>
  <c r="I25" s="1"/>
  <c r="F25"/>
  <c r="E25"/>
  <c r="C61" i="33"/>
  <c r="E1450" i="44"/>
  <c r="E1451"/>
  <c r="E1452"/>
  <c r="E1453"/>
  <c r="E1449"/>
  <c r="I90" i="43" l="1"/>
  <c r="I807"/>
  <c r="I805" s="1"/>
  <c r="G299"/>
  <c r="I299" s="1"/>
  <c r="I228"/>
  <c r="I131"/>
  <c r="I137"/>
  <c r="I288"/>
  <c r="I292"/>
  <c r="I248"/>
  <c r="I246" s="1"/>
  <c r="I284"/>
  <c r="I262"/>
  <c r="I748"/>
  <c r="I64"/>
  <c r="I63" s="1"/>
  <c r="I297"/>
  <c r="I298"/>
  <c r="I300"/>
  <c r="I151"/>
  <c r="I24"/>
  <c r="I278"/>
  <c r="I269" s="1"/>
  <c r="I286"/>
  <c r="I304"/>
  <c r="I293"/>
  <c r="I86"/>
  <c r="I83" s="1"/>
  <c r="I258"/>
  <c r="I786"/>
  <c r="I309"/>
  <c r="I316"/>
  <c r="I329"/>
  <c r="I145"/>
  <c r="I160"/>
  <c r="I168"/>
  <c r="I32"/>
  <c r="I123"/>
  <c r="I782"/>
  <c r="I176"/>
  <c r="I28"/>
  <c r="I104"/>
  <c r="I322"/>
  <c r="G296"/>
  <c r="I296" s="1"/>
  <c r="I295"/>
  <c r="I287"/>
  <c r="I294"/>
  <c r="I71"/>
  <c r="I301"/>
  <c r="I334"/>
  <c r="I109"/>
  <c r="G285"/>
  <c r="I285" s="1"/>
  <c r="I256" l="1"/>
  <c r="I283"/>
  <c r="E1147" i="44" l="1"/>
  <c r="E1254"/>
  <c r="E1226"/>
  <c r="K1192"/>
  <c r="K1191"/>
  <c r="K1187"/>
  <c r="K1176"/>
  <c r="K1177"/>
  <c r="K1178"/>
  <c r="K1179"/>
  <c r="K1180"/>
  <c r="K1181"/>
  <c r="K1182"/>
  <c r="K1183"/>
  <c r="K1184"/>
  <c r="K1185"/>
  <c r="K1186"/>
  <c r="E1189"/>
  <c r="E1197"/>
  <c r="K1175"/>
  <c r="E1173"/>
  <c r="E1202"/>
  <c r="E1003"/>
  <c r="K1189" l="1"/>
  <c r="G354" i="41" s="1"/>
  <c r="K1173" i="44"/>
  <c r="G353" i="41" s="1"/>
  <c r="J353" l="1"/>
  <c r="E1199" i="44"/>
  <c r="K1199" s="1"/>
  <c r="K1197" s="1"/>
  <c r="G355" i="41" s="1"/>
  <c r="J355" l="1"/>
  <c r="E1096" i="44"/>
  <c r="E1097"/>
  <c r="E1095"/>
  <c r="K1092"/>
  <c r="F1090"/>
  <c r="F1091"/>
  <c r="F1089"/>
  <c r="E1091"/>
  <c r="E1090"/>
  <c r="K1090" s="1"/>
  <c r="E1089"/>
  <c r="K1083"/>
  <c r="E1080"/>
  <c r="K1080" s="1"/>
  <c r="E1081"/>
  <c r="K1081" s="1"/>
  <c r="E1082"/>
  <c r="K1082" s="1"/>
  <c r="E1087"/>
  <c r="E1078"/>
  <c r="K1091" l="1"/>
  <c r="K1089"/>
  <c r="K1078"/>
  <c r="G307" i="41" s="1"/>
  <c r="J307" l="1"/>
  <c r="K1087" i="44"/>
  <c r="G308" i="41" s="1"/>
  <c r="J308" l="1"/>
  <c r="C59" i="33"/>
  <c r="C55"/>
  <c r="C53"/>
  <c r="C51"/>
  <c r="C49"/>
  <c r="C47"/>
  <c r="C45"/>
  <c r="C43"/>
  <c r="C41"/>
  <c r="C39"/>
  <c r="C37"/>
  <c r="C35"/>
  <c r="C33"/>
  <c r="K489" i="44"/>
  <c r="K490"/>
  <c r="C31" i="33"/>
  <c r="C29"/>
  <c r="E15" i="41"/>
  <c r="C13" i="50" s="1"/>
  <c r="K1484" i="44"/>
  <c r="G554" i="41" s="1"/>
  <c r="E1478" i="44"/>
  <c r="E1477"/>
  <c r="K1433"/>
  <c r="K1434"/>
  <c r="K1435"/>
  <c r="K1436"/>
  <c r="K1432"/>
  <c r="K1425"/>
  <c r="K1424"/>
  <c r="K1423"/>
  <c r="K1422"/>
  <c r="K1421"/>
  <c r="E1443"/>
  <c r="E1438"/>
  <c r="E1428"/>
  <c r="E1419"/>
  <c r="E1430"/>
  <c r="K1414"/>
  <c r="K1415"/>
  <c r="K1416"/>
  <c r="K1417"/>
  <c r="K1413"/>
  <c r="K1406"/>
  <c r="K1407"/>
  <c r="K1408"/>
  <c r="K1409"/>
  <c r="K1405"/>
  <c r="E1411"/>
  <c r="E1403"/>
  <c r="K1398"/>
  <c r="K1399"/>
  <c r="K1400"/>
  <c r="K1401"/>
  <c r="K1397"/>
  <c r="E1395"/>
  <c r="K1391"/>
  <c r="K1392"/>
  <c r="E1387"/>
  <c r="K513"/>
  <c r="K515"/>
  <c r="F514"/>
  <c r="K514" s="1"/>
  <c r="F512"/>
  <c r="E510"/>
  <c r="K1387" l="1"/>
  <c r="G526" i="41" s="1"/>
  <c r="K1476" i="44"/>
  <c r="G550" i="41" s="1"/>
  <c r="K1419" i="44"/>
  <c r="G530" i="41" s="1"/>
  <c r="K1403" i="44"/>
  <c r="G528" i="41" s="1"/>
  <c r="K1411" i="44"/>
  <c r="G529" i="41" s="1"/>
  <c r="K1395" i="44"/>
  <c r="G527" i="41" s="1"/>
  <c r="E1132" i="44"/>
  <c r="E1130"/>
  <c r="E1127"/>
  <c r="E1123"/>
  <c r="E1121"/>
  <c r="E1119"/>
  <c r="E1117"/>
  <c r="E1115"/>
  <c r="E1111"/>
  <c r="J528" i="41" l="1"/>
  <c r="J530"/>
  <c r="J527"/>
  <c r="J550"/>
  <c r="J529"/>
  <c r="J526"/>
  <c r="E1440" i="44"/>
  <c r="F1440"/>
  <c r="K1428"/>
  <c r="G531" i="41" s="1"/>
  <c r="J531" l="1"/>
  <c r="K1440" i="44"/>
  <c r="K1438" s="1"/>
  <c r="G533" i="41" s="1"/>
  <c r="E185" i="44"/>
  <c r="K28"/>
  <c r="K29"/>
  <c r="F839"/>
  <c r="E839"/>
  <c r="K834"/>
  <c r="K832" s="1"/>
  <c r="G196" i="41" s="1"/>
  <c r="K829" i="44"/>
  <c r="K827" s="1"/>
  <c r="G195" i="41" s="1"/>
  <c r="E837" i="44"/>
  <c r="E832"/>
  <c r="E827"/>
  <c r="E825"/>
  <c r="K822"/>
  <c r="K820" s="1"/>
  <c r="G193" i="41" s="1"/>
  <c r="E820" i="44"/>
  <c r="K886"/>
  <c r="E869"/>
  <c r="E875" s="1"/>
  <c r="E856"/>
  <c r="K856" s="1"/>
  <c r="E855"/>
  <c r="K855" s="1"/>
  <c r="E864"/>
  <c r="K864" s="1"/>
  <c r="E863"/>
  <c r="K863" s="1"/>
  <c r="E880"/>
  <c r="K880" s="1"/>
  <c r="K877" s="1"/>
  <c r="G205" i="41" s="1"/>
  <c r="E885" i="44"/>
  <c r="E860"/>
  <c r="E852"/>
  <c r="K849"/>
  <c r="K848"/>
  <c r="E845"/>
  <c r="K799"/>
  <c r="K798"/>
  <c r="K792"/>
  <c r="K793"/>
  <c r="K794"/>
  <c r="K791"/>
  <c r="K787"/>
  <c r="K786"/>
  <c r="K776"/>
  <c r="K777"/>
  <c r="K778"/>
  <c r="K779"/>
  <c r="K780"/>
  <c r="K775"/>
  <c r="E773"/>
  <c r="E813"/>
  <c r="E808"/>
  <c r="E805"/>
  <c r="E801"/>
  <c r="E796"/>
  <c r="E789"/>
  <c r="E784"/>
  <c r="E782"/>
  <c r="K767"/>
  <c r="K768"/>
  <c r="K769"/>
  <c r="K770"/>
  <c r="K771"/>
  <c r="K766"/>
  <c r="E764"/>
  <c r="K756"/>
  <c r="K757"/>
  <c r="K758"/>
  <c r="K759"/>
  <c r="K760"/>
  <c r="K755"/>
  <c r="E753"/>
  <c r="E740"/>
  <c r="E730"/>
  <c r="K731" s="1"/>
  <c r="E739"/>
  <c r="K740" s="1"/>
  <c r="K750"/>
  <c r="E747"/>
  <c r="E743"/>
  <c r="E737"/>
  <c r="E733"/>
  <c r="E727"/>
  <c r="K699"/>
  <c r="K724"/>
  <c r="K723"/>
  <c r="K716"/>
  <c r="K715"/>
  <c r="H709"/>
  <c r="F709"/>
  <c r="F708"/>
  <c r="K708" s="1"/>
  <c r="F707"/>
  <c r="F706"/>
  <c r="K706" s="1"/>
  <c r="H707"/>
  <c r="K688"/>
  <c r="H698"/>
  <c r="K698" s="1"/>
  <c r="H697"/>
  <c r="K697" s="1"/>
  <c r="B693"/>
  <c r="B698" s="1"/>
  <c r="B692"/>
  <c r="B697" s="1"/>
  <c r="H693"/>
  <c r="F693"/>
  <c r="E693"/>
  <c r="M701"/>
  <c r="H692"/>
  <c r="F692"/>
  <c r="E692"/>
  <c r="K687"/>
  <c r="J196" i="41" l="1"/>
  <c r="J533"/>
  <c r="J193"/>
  <c r="J195"/>
  <c r="K1430" i="44"/>
  <c r="G532" i="41" s="1"/>
  <c r="E1445" i="44"/>
  <c r="K1445" s="1"/>
  <c r="K1443" s="1"/>
  <c r="G534" i="41" s="1"/>
  <c r="K825" i="44"/>
  <c r="G194" i="41" s="1"/>
  <c r="K839" i="44"/>
  <c r="K837" s="1"/>
  <c r="G197" i="41" s="1"/>
  <c r="E870" i="44"/>
  <c r="K870" s="1"/>
  <c r="K852"/>
  <c r="G201" i="41" s="1"/>
  <c r="K845" i="44"/>
  <c r="G200" i="41" s="1"/>
  <c r="K860" i="44"/>
  <c r="G202" i="41" s="1"/>
  <c r="K784" i="44"/>
  <c r="G183" i="41" s="1"/>
  <c r="K796" i="44"/>
  <c r="G185" i="41" s="1"/>
  <c r="K789" i="44"/>
  <c r="G184" i="41" s="1"/>
  <c r="K720" i="44"/>
  <c r="G171" i="41" s="1"/>
  <c r="K709" i="44"/>
  <c r="K773"/>
  <c r="G181" i="41" s="1"/>
  <c r="E729" i="44"/>
  <c r="K730" s="1"/>
  <c r="K727" s="1"/>
  <c r="G172" i="41" s="1"/>
  <c r="K707" i="44"/>
  <c r="K712"/>
  <c r="G170" i="41" s="1"/>
  <c r="K753" i="44"/>
  <c r="G179" i="41" s="1"/>
  <c r="K739" i="44"/>
  <c r="K764"/>
  <c r="G180" i="41" s="1"/>
  <c r="K695" i="44"/>
  <c r="G167" i="41" s="1"/>
  <c r="K685" i="44"/>
  <c r="G165" i="41" s="1"/>
  <c r="K693" i="44"/>
  <c r="K692"/>
  <c r="J171" i="41" l="1"/>
  <c r="J202"/>
  <c r="J172"/>
  <c r="J184"/>
  <c r="J200"/>
  <c r="J197"/>
  <c r="J179"/>
  <c r="J185"/>
  <c r="J194"/>
  <c r="J180"/>
  <c r="J165"/>
  <c r="J181"/>
  <c r="J201"/>
  <c r="J167"/>
  <c r="J170"/>
  <c r="J183"/>
  <c r="J534"/>
  <c r="K701" i="44"/>
  <c r="G168" i="41" s="1"/>
  <c r="E735" i="44"/>
  <c r="E803"/>
  <c r="K805"/>
  <c r="G187" i="41" s="1"/>
  <c r="K782" i="44"/>
  <c r="G182" i="41" s="1"/>
  <c r="F803" i="44"/>
  <c r="F810"/>
  <c r="K810" s="1"/>
  <c r="K808" s="1"/>
  <c r="G188" i="41" s="1"/>
  <c r="K703" i="44"/>
  <c r="G169" i="41" s="1"/>
  <c r="I713" i="44"/>
  <c r="K690"/>
  <c r="G166" i="41" s="1"/>
  <c r="K737" i="44"/>
  <c r="G174" i="41" s="1"/>
  <c r="F745" i="44"/>
  <c r="K745" s="1"/>
  <c r="K743" s="1"/>
  <c r="G175" i="41" s="1"/>
  <c r="F735" i="44"/>
  <c r="I721"/>
  <c r="J198" i="41" l="1"/>
  <c r="J188"/>
  <c r="J166"/>
  <c r="J182"/>
  <c r="J168"/>
  <c r="J175"/>
  <c r="J169"/>
  <c r="J187"/>
  <c r="J174"/>
  <c r="K735" i="44"/>
  <c r="K733" s="1"/>
  <c r="G173" i="41" s="1"/>
  <c r="K803" i="44"/>
  <c r="K801" s="1"/>
  <c r="G186" i="41" s="1"/>
  <c r="M690" i="44"/>
  <c r="I704"/>
  <c r="E815"/>
  <c r="K815" s="1"/>
  <c r="K813" s="1"/>
  <c r="G189" i="41" s="1"/>
  <c r="E749" i="44"/>
  <c r="K749" s="1"/>
  <c r="K747" s="1"/>
  <c r="G176" i="41" s="1"/>
  <c r="E497" i="44"/>
  <c r="E496"/>
  <c r="E495"/>
  <c r="E488"/>
  <c r="K488" s="1"/>
  <c r="E487"/>
  <c r="K487" s="1"/>
  <c r="E486"/>
  <c r="E494"/>
  <c r="J189" i="41" l="1"/>
  <c r="J176"/>
  <c r="J186"/>
  <c r="J173"/>
  <c r="K481" i="44"/>
  <c r="K482"/>
  <c r="E480"/>
  <c r="K480" s="1"/>
  <c r="E479"/>
  <c r="E478"/>
  <c r="J177" i="41" l="1"/>
  <c r="J190"/>
  <c r="E1258" i="44"/>
  <c r="E1255"/>
  <c r="E1256"/>
  <c r="E1257"/>
  <c r="K1251"/>
  <c r="G397" i="41" s="1"/>
  <c r="E1241" i="44"/>
  <c r="E1217"/>
  <c r="E1243"/>
  <c r="E1244"/>
  <c r="E1246"/>
  <c r="E1250"/>
  <c r="E1251"/>
  <c r="E1252"/>
  <c r="E1253"/>
  <c r="E1234"/>
  <c r="E1235"/>
  <c r="E1236"/>
  <c r="E1238"/>
  <c r="E1239"/>
  <c r="E1240"/>
  <c r="E1228"/>
  <c r="E1229"/>
  <c r="E1230"/>
  <c r="E1231"/>
  <c r="E1232"/>
  <c r="E1233"/>
  <c r="K1215"/>
  <c r="G362" i="41" s="1"/>
  <c r="E1214" i="44"/>
  <c r="E1215"/>
  <c r="E1216"/>
  <c r="E1221"/>
  <c r="E1222"/>
  <c r="E1223"/>
  <c r="E1224"/>
  <c r="E1225"/>
  <c r="E1227"/>
  <c r="E1213"/>
  <c r="J362" i="41" l="1"/>
  <c r="J365" s="1"/>
  <c r="E1245" i="44"/>
  <c r="I1168" l="1"/>
  <c r="I1169"/>
  <c r="I1166"/>
  <c r="F1169"/>
  <c r="F1168"/>
  <c r="H1167"/>
  <c r="I1167" s="1"/>
  <c r="F1167"/>
  <c r="F1166"/>
  <c r="H1159"/>
  <c r="F1161"/>
  <c r="K1161" s="1"/>
  <c r="F1160"/>
  <c r="K1160" s="1"/>
  <c r="F1159"/>
  <c r="F1158"/>
  <c r="K1158" s="1"/>
  <c r="E1206"/>
  <c r="K1170"/>
  <c r="E1164"/>
  <c r="E1156"/>
  <c r="K1166" l="1"/>
  <c r="K1159"/>
  <c r="K1156" s="1"/>
  <c r="G351" i="41" s="1"/>
  <c r="K1167" i="44"/>
  <c r="K1169"/>
  <c r="K1168"/>
  <c r="J351" i="41" l="1"/>
  <c r="E1204" i="44"/>
  <c r="K1204" s="1"/>
  <c r="K1202" s="1"/>
  <c r="G356" i="41" s="1"/>
  <c r="K1164" i="44"/>
  <c r="G352" i="41" s="1"/>
  <c r="M1156" i="44"/>
  <c r="J352" i="41" l="1"/>
  <c r="J356"/>
  <c r="E1208" i="44"/>
  <c r="K1208" s="1"/>
  <c r="K1206" s="1"/>
  <c r="G357" i="41" s="1"/>
  <c r="M1164" i="44"/>
  <c r="I1026"/>
  <c r="K1027"/>
  <c r="K1021"/>
  <c r="F1026"/>
  <c r="E1026"/>
  <c r="E1024"/>
  <c r="E1020"/>
  <c r="F1020"/>
  <c r="E1071"/>
  <c r="E1072"/>
  <c r="E1073"/>
  <c r="E1070"/>
  <c r="E1062"/>
  <c r="E1063"/>
  <c r="E1064"/>
  <c r="E1065"/>
  <c r="E1066"/>
  <c r="E1052"/>
  <c r="E1053"/>
  <c r="E1054"/>
  <c r="E1055"/>
  <c r="E1056"/>
  <c r="E1057"/>
  <c r="E1058"/>
  <c r="E1059"/>
  <c r="E1060"/>
  <c r="E1061"/>
  <c r="J357" i="41" l="1"/>
  <c r="K1020" i="44"/>
  <c r="K1026"/>
  <c r="K1024" s="1"/>
  <c r="G276" i="41" s="1"/>
  <c r="M1048" i="44"/>
  <c r="E1042"/>
  <c r="E1038"/>
  <c r="I1036"/>
  <c r="I1035"/>
  <c r="F1036"/>
  <c r="F1035"/>
  <c r="E1035"/>
  <c r="F1034"/>
  <c r="E1034"/>
  <c r="I1034"/>
  <c r="E1032"/>
  <c r="F1019"/>
  <c r="K1019" s="1"/>
  <c r="F1018"/>
  <c r="E1018"/>
  <c r="F1017"/>
  <c r="E1017"/>
  <c r="E946"/>
  <c r="E942"/>
  <c r="E1015"/>
  <c r="E1011"/>
  <c r="F1012"/>
  <c r="K1012" s="1"/>
  <c r="F1011"/>
  <c r="E1010"/>
  <c r="F1010"/>
  <c r="K933"/>
  <c r="K934"/>
  <c r="K936"/>
  <c r="K937"/>
  <c r="K938"/>
  <c r="K940"/>
  <c r="K941"/>
  <c r="I932"/>
  <c r="F939"/>
  <c r="K939" s="1"/>
  <c r="F935"/>
  <c r="K935" s="1"/>
  <c r="K918"/>
  <c r="K919"/>
  <c r="K920"/>
  <c r="K922"/>
  <c r="K916"/>
  <c r="K915"/>
  <c r="F921"/>
  <c r="K921" s="1"/>
  <c r="F917"/>
  <c r="K917" s="1"/>
  <c r="J276" i="41" l="1"/>
  <c r="K1036" i="44"/>
  <c r="K1018"/>
  <c r="K1011"/>
  <c r="K1017"/>
  <c r="K1035"/>
  <c r="K1034"/>
  <c r="K1010"/>
  <c r="E1008"/>
  <c r="E1000"/>
  <c r="E984"/>
  <c r="E982"/>
  <c r="E979"/>
  <c r="E978"/>
  <c r="E977"/>
  <c r="E976"/>
  <c r="E974"/>
  <c r="E972"/>
  <c r="E971"/>
  <c r="E970"/>
  <c r="E969"/>
  <c r="E966"/>
  <c r="E965"/>
  <c r="E964"/>
  <c r="E963"/>
  <c r="E962"/>
  <c r="E961"/>
  <c r="E960"/>
  <c r="E959"/>
  <c r="E956"/>
  <c r="E958"/>
  <c r="E957"/>
  <c r="E955"/>
  <c r="E980" l="1"/>
  <c r="E981"/>
  <c r="E975"/>
  <c r="K1008"/>
  <c r="G274" i="41" s="1"/>
  <c r="K1015" i="44"/>
  <c r="G275" i="41" s="1"/>
  <c r="K1032" i="44"/>
  <c r="G277" i="41" s="1"/>
  <c r="K932" i="44"/>
  <c r="I928"/>
  <c r="K928" s="1"/>
  <c r="I929"/>
  <c r="K929" s="1"/>
  <c r="I930"/>
  <c r="K930" s="1"/>
  <c r="I931"/>
  <c r="K931" s="1"/>
  <c r="I927"/>
  <c r="K927" s="1"/>
  <c r="I926"/>
  <c r="K926" s="1"/>
  <c r="E924"/>
  <c r="K910"/>
  <c r="K911"/>
  <c r="K912"/>
  <c r="K913"/>
  <c r="K914"/>
  <c r="K909"/>
  <c r="K147"/>
  <c r="K149"/>
  <c r="E907"/>
  <c r="K139"/>
  <c r="K470"/>
  <c r="K468"/>
  <c r="G122" i="41" s="1"/>
  <c r="E468" i="44"/>
  <c r="E895"/>
  <c r="K895" s="1"/>
  <c r="F655"/>
  <c r="F656"/>
  <c r="F657"/>
  <c r="F658"/>
  <c r="F659"/>
  <c r="E657"/>
  <c r="E666" s="1"/>
  <c r="E675" s="1"/>
  <c r="K675" s="1"/>
  <c r="E656"/>
  <c r="E665" s="1"/>
  <c r="E674" s="1"/>
  <c r="E655"/>
  <c r="E664" s="1"/>
  <c r="E673" s="1"/>
  <c r="K647"/>
  <c r="K648"/>
  <c r="E650"/>
  <c r="E659" s="1"/>
  <c r="E668" s="1"/>
  <c r="E677" s="1"/>
  <c r="K677" s="1"/>
  <c r="E649"/>
  <c r="E658" s="1"/>
  <c r="E667" s="1"/>
  <c r="E676" s="1"/>
  <c r="K676" s="1"/>
  <c r="F618"/>
  <c r="F625" s="1"/>
  <c r="F619"/>
  <c r="F626" s="1"/>
  <c r="F620"/>
  <c r="F627" s="1"/>
  <c r="E610"/>
  <c r="E618" s="1"/>
  <c r="E625" s="1"/>
  <c r="E636" s="1"/>
  <c r="E612"/>
  <c r="E620" s="1"/>
  <c r="E611"/>
  <c r="K611" s="1"/>
  <c r="K602"/>
  <c r="E601"/>
  <c r="K601" s="1"/>
  <c r="E600"/>
  <c r="K600" s="1"/>
  <c r="E599"/>
  <c r="K599" s="1"/>
  <c r="J275" i="41" l="1"/>
  <c r="J277"/>
  <c r="E1040" i="44"/>
  <c r="K1040" s="1"/>
  <c r="K1038" s="1"/>
  <c r="G278" i="41" s="1"/>
  <c r="K620" i="44"/>
  <c r="K924"/>
  <c r="G218" i="41" s="1"/>
  <c r="K907" i="44"/>
  <c r="G217" i="41" s="1"/>
  <c r="K649" i="44"/>
  <c r="E627"/>
  <c r="E638" s="1"/>
  <c r="K638" s="1"/>
  <c r="K650"/>
  <c r="K612"/>
  <c r="E619"/>
  <c r="K590"/>
  <c r="F586"/>
  <c r="F587"/>
  <c r="F588"/>
  <c r="F589"/>
  <c r="E575"/>
  <c r="K575" s="1"/>
  <c r="E576"/>
  <c r="K576" s="1"/>
  <c r="E577"/>
  <c r="K577" s="1"/>
  <c r="E578"/>
  <c r="K578" s="1"/>
  <c r="K579"/>
  <c r="E580"/>
  <c r="K580" s="1"/>
  <c r="E574"/>
  <c r="K565"/>
  <c r="K567"/>
  <c r="K568"/>
  <c r="E569"/>
  <c r="K569" s="1"/>
  <c r="E566"/>
  <c r="K566" s="1"/>
  <c r="K559"/>
  <c r="K554"/>
  <c r="K555"/>
  <c r="K556"/>
  <c r="K557"/>
  <c r="K558"/>
  <c r="J553"/>
  <c r="K553" s="1"/>
  <c r="E550"/>
  <c r="E548"/>
  <c r="K548" s="1"/>
  <c r="E547"/>
  <c r="K547" s="1"/>
  <c r="K546"/>
  <c r="E545"/>
  <c r="F535"/>
  <c r="F536"/>
  <c r="F537"/>
  <c r="F538"/>
  <c r="F539"/>
  <c r="F540"/>
  <c r="E540"/>
  <c r="E538"/>
  <c r="E537"/>
  <c r="E536"/>
  <c r="E535"/>
  <c r="K522"/>
  <c r="K124"/>
  <c r="K123"/>
  <c r="K122"/>
  <c r="J278" i="41" l="1"/>
  <c r="J217"/>
  <c r="J218"/>
  <c r="E944" i="44"/>
  <c r="K944" s="1"/>
  <c r="K942" s="1"/>
  <c r="G219" i="41" s="1"/>
  <c r="E1044" i="44"/>
  <c r="K1044" s="1"/>
  <c r="K1042" s="1"/>
  <c r="G279" i="41" s="1"/>
  <c r="M924" i="44"/>
  <c r="M907"/>
  <c r="K619"/>
  <c r="E626"/>
  <c r="K627"/>
  <c r="K550"/>
  <c r="G136" i="41" s="1"/>
  <c r="K540" i="44"/>
  <c r="E165"/>
  <c r="E166"/>
  <c r="E164"/>
  <c r="E163"/>
  <c r="K110"/>
  <c r="K109"/>
  <c r="K108"/>
  <c r="K107"/>
  <c r="K121"/>
  <c r="K449"/>
  <c r="K448"/>
  <c r="E446"/>
  <c r="J219" i="41" l="1"/>
  <c r="J279"/>
  <c r="J136"/>
  <c r="E948" i="44"/>
  <c r="K948" s="1"/>
  <c r="K946" s="1"/>
  <c r="G220" i="41" s="1"/>
  <c r="K446" i="44"/>
  <c r="G118" i="41" s="1"/>
  <c r="E637" i="44"/>
  <c r="K637" s="1"/>
  <c r="K626"/>
  <c r="K163"/>
  <c r="E586"/>
  <c r="K166"/>
  <c r="E589"/>
  <c r="K589" s="1"/>
  <c r="K164"/>
  <c r="E587"/>
  <c r="K587" s="1"/>
  <c r="K165"/>
  <c r="E588"/>
  <c r="K588" s="1"/>
  <c r="K131"/>
  <c r="K132"/>
  <c r="K459"/>
  <c r="K460"/>
  <c r="K458"/>
  <c r="E456"/>
  <c r="J220" i="41" l="1"/>
  <c r="J221" s="1"/>
  <c r="E894" i="44"/>
  <c r="K894" s="1"/>
  <c r="K161"/>
  <c r="G39" i="41" s="1"/>
  <c r="K456" i="44"/>
  <c r="G120" i="41" s="1"/>
  <c r="E385" i="44"/>
  <c r="K385" s="1"/>
  <c r="E384"/>
  <c r="K384" s="1"/>
  <c r="E383"/>
  <c r="K383" s="1"/>
  <c r="E382"/>
  <c r="K382" s="1"/>
  <c r="E381"/>
  <c r="K381" s="1"/>
  <c r="K375"/>
  <c r="E374"/>
  <c r="K374" s="1"/>
  <c r="E373"/>
  <c r="K373" s="1"/>
  <c r="E372"/>
  <c r="E367"/>
  <c r="K367" s="1"/>
  <c r="E366"/>
  <c r="K366" s="1"/>
  <c r="K365"/>
  <c r="E364"/>
  <c r="K364" s="1"/>
  <c r="E363"/>
  <c r="K363" s="1"/>
  <c r="E362"/>
  <c r="K118"/>
  <c r="K119"/>
  <c r="E120"/>
  <c r="K271"/>
  <c r="K272"/>
  <c r="K273"/>
  <c r="K274"/>
  <c r="K276"/>
  <c r="K277"/>
  <c r="K278"/>
  <c r="K280"/>
  <c r="E279"/>
  <c r="K279" s="1"/>
  <c r="E275"/>
  <c r="K275" s="1"/>
  <c r="K263"/>
  <c r="K254"/>
  <c r="K255"/>
  <c r="K256"/>
  <c r="K257"/>
  <c r="K259"/>
  <c r="K260"/>
  <c r="K261"/>
  <c r="E262"/>
  <c r="K262" s="1"/>
  <c r="E258"/>
  <c r="K258" s="1"/>
  <c r="K233"/>
  <c r="E224"/>
  <c r="E222"/>
  <c r="E220"/>
  <c r="E216"/>
  <c r="E218"/>
  <c r="K208"/>
  <c r="K209"/>
  <c r="B202"/>
  <c r="B201"/>
  <c r="B200"/>
  <c r="K201"/>
  <c r="K196"/>
  <c r="G195"/>
  <c r="F195"/>
  <c r="F202" s="1"/>
  <c r="E195"/>
  <c r="E202" s="1"/>
  <c r="G194"/>
  <c r="F193"/>
  <c r="F200" s="1"/>
  <c r="G193"/>
  <c r="E193"/>
  <c r="E200" s="1"/>
  <c r="K182"/>
  <c r="K159"/>
  <c r="K157" s="1"/>
  <c r="G38" i="41" s="1"/>
  <c r="E148" i="44"/>
  <c r="K148" s="1"/>
  <c r="K145" s="1"/>
  <c r="G36" i="41" s="1"/>
  <c r="K117" i="44"/>
  <c r="K99"/>
  <c r="K98"/>
  <c r="E83"/>
  <c r="K83" s="1"/>
  <c r="K81" s="1"/>
  <c r="G27" i="41" s="1"/>
  <c r="J27" l="1"/>
  <c r="J38"/>
  <c r="J105"/>
  <c r="J120"/>
  <c r="J106"/>
  <c r="J108"/>
  <c r="J36"/>
  <c r="J107"/>
  <c r="K202" i="44"/>
  <c r="K378"/>
  <c r="G101" i="41" s="1"/>
  <c r="M106" s="1"/>
  <c r="M161" i="44"/>
  <c r="M151"/>
  <c r="M157"/>
  <c r="K120"/>
  <c r="E539"/>
  <c r="K539" s="1"/>
  <c r="K96"/>
  <c r="G30" i="41" s="1"/>
  <c r="K194" i="44"/>
  <c r="K195"/>
  <c r="K69"/>
  <c r="E61"/>
  <c r="E78"/>
  <c r="E68"/>
  <c r="E67"/>
  <c r="J30" i="41" l="1"/>
  <c r="J101"/>
  <c r="J109"/>
  <c r="M96" i="44"/>
  <c r="E88"/>
  <c r="K61"/>
  <c r="K88" l="1"/>
  <c r="K86" s="1"/>
  <c r="G28" i="41" s="1"/>
  <c r="E420" i="44"/>
  <c r="K1468"/>
  <c r="K1466" s="1"/>
  <c r="G548" i="41" s="1"/>
  <c r="J28" l="1"/>
  <c r="M86" i="44"/>
  <c r="E1466"/>
  <c r="E1461" l="1"/>
  <c r="K116" l="1"/>
  <c r="K114" s="1"/>
  <c r="G32" i="41" s="1"/>
  <c r="J32" l="1"/>
  <c r="M114" i="44"/>
  <c r="K138" l="1"/>
  <c r="B7" i="50" l="1"/>
  <c r="B6"/>
  <c r="B5"/>
  <c r="B4"/>
  <c r="B3"/>
  <c r="B23" i="33" l="1"/>
  <c r="C23" l="1"/>
  <c r="B27"/>
  <c r="B25"/>
  <c r="B21"/>
  <c r="B17"/>
  <c r="B15"/>
  <c r="B13"/>
  <c r="B11"/>
  <c r="B19"/>
  <c r="K885" i="44" l="1"/>
  <c r="K882" s="1"/>
  <c r="G206" i="41" s="1"/>
  <c r="C27" i="33" l="1"/>
  <c r="J885" i="44" l="1"/>
  <c r="E882"/>
  <c r="J655" l="1"/>
  <c r="K655" s="1"/>
  <c r="K652" s="1"/>
  <c r="G157" i="41" s="1"/>
  <c r="E652" i="44"/>
  <c r="J157" i="41" l="1"/>
  <c r="E1476" i="44"/>
  <c r="J880"/>
  <c r="E877"/>
  <c r="J902"/>
  <c r="E899"/>
  <c r="J893"/>
  <c r="E890"/>
  <c r="J875"/>
  <c r="K875" s="1"/>
  <c r="E872"/>
  <c r="J869"/>
  <c r="K869" s="1"/>
  <c r="K866" s="1"/>
  <c r="G203" i="41" s="1"/>
  <c r="E866" i="44"/>
  <c r="J674"/>
  <c r="K674" s="1"/>
  <c r="J673"/>
  <c r="K673" s="1"/>
  <c r="E670"/>
  <c r="E622"/>
  <c r="J664"/>
  <c r="K664" s="1"/>
  <c r="K661" s="1"/>
  <c r="G158" i="41" s="1"/>
  <c r="E661" i="44"/>
  <c r="J646"/>
  <c r="K646" s="1"/>
  <c r="K643" s="1"/>
  <c r="G156" i="41" s="1"/>
  <c r="E643" i="44"/>
  <c r="J158" i="41" l="1"/>
  <c r="K670" i="44"/>
  <c r="G159" i="41" s="1"/>
  <c r="K872" i="44" l="1"/>
  <c r="G204" i="41" s="1"/>
  <c r="J204" l="1"/>
  <c r="K636" i="44"/>
  <c r="E634"/>
  <c r="Q617"/>
  <c r="K465"/>
  <c r="K463"/>
  <c r="G121" i="41" s="1"/>
  <c r="E463" i="44"/>
  <c r="K454"/>
  <c r="K634" l="1"/>
  <c r="G153" i="41" s="1"/>
  <c r="K452" i="44"/>
  <c r="G119" i="41" s="1"/>
  <c r="J119" l="1"/>
  <c r="E893" i="44"/>
  <c r="K893" s="1"/>
  <c r="K890" l="1"/>
  <c r="G210" i="41" s="1"/>
  <c r="E314" i="44"/>
  <c r="J210" i="41" l="1"/>
  <c r="J211" s="1"/>
  <c r="M145" i="44"/>
  <c r="E607" l="1"/>
  <c r="K94" l="1"/>
  <c r="K93"/>
  <c r="K91" l="1"/>
  <c r="G29" i="41" s="1"/>
  <c r="C65" i="33"/>
  <c r="E1151" i="44"/>
  <c r="E1150"/>
  <c r="E1149"/>
  <c r="E1148"/>
  <c r="E1146"/>
  <c r="E1145"/>
  <c r="E1144"/>
  <c r="E1143"/>
  <c r="E1142"/>
  <c r="E1141"/>
  <c r="E1140"/>
  <c r="E1139"/>
  <c r="E1138"/>
  <c r="E1137"/>
  <c r="C17" i="50"/>
  <c r="J29" i="41" l="1"/>
  <c r="M91" i="44"/>
  <c r="C19" i="33"/>
  <c r="C17"/>
  <c r="C21"/>
  <c r="C25"/>
  <c r="E22" i="41"/>
  <c r="C15" i="50" s="1"/>
  <c r="E1484" i="44"/>
  <c r="E1480"/>
  <c r="E1470"/>
  <c r="M1470"/>
  <c r="K1472"/>
  <c r="K1470" s="1"/>
  <c r="G549" i="41" s="1"/>
  <c r="C15" i="33" l="1"/>
  <c r="K632" i="44"/>
  <c r="E630"/>
  <c r="J625"/>
  <c r="K625" s="1"/>
  <c r="K622" s="1"/>
  <c r="G151" i="41" s="1"/>
  <c r="J151" l="1"/>
  <c r="K630" i="44"/>
  <c r="G152" i="41" s="1"/>
  <c r="E615" i="44"/>
  <c r="J610"/>
  <c r="K610" s="1"/>
  <c r="K607" s="1"/>
  <c r="G149" i="41" s="1"/>
  <c r="J618" i="44"/>
  <c r="E596"/>
  <c r="E592"/>
  <c r="K586"/>
  <c r="K584" s="1"/>
  <c r="G141" i="41" s="1"/>
  <c r="E584" i="44"/>
  <c r="J574"/>
  <c r="K574" s="1"/>
  <c r="K571" s="1"/>
  <c r="G138" i="41" s="1"/>
  <c r="E571" i="44"/>
  <c r="J141" i="41" l="1"/>
  <c r="J138"/>
  <c r="J564" i="44"/>
  <c r="K564" s="1"/>
  <c r="K561" s="1"/>
  <c r="G137" i="41" s="1"/>
  <c r="E561" i="44"/>
  <c r="J545"/>
  <c r="K545" s="1"/>
  <c r="K542" s="1"/>
  <c r="G135" i="41" s="1"/>
  <c r="E542" i="44"/>
  <c r="J538"/>
  <c r="K538" s="1"/>
  <c r="J537"/>
  <c r="K537" s="1"/>
  <c r="J536"/>
  <c r="K536" s="1"/>
  <c r="E532"/>
  <c r="E524"/>
  <c r="K521"/>
  <c r="K519" s="1"/>
  <c r="G130" i="41" s="1"/>
  <c r="E519" i="44"/>
  <c r="K512"/>
  <c r="K510" s="1"/>
  <c r="G129" i="41" s="1"/>
  <c r="K503" i="44"/>
  <c r="K504"/>
  <c r="K505"/>
  <c r="K506"/>
  <c r="K507"/>
  <c r="K508"/>
  <c r="K502"/>
  <c r="E500"/>
  <c r="K491"/>
  <c r="E484"/>
  <c r="E476"/>
  <c r="J135" i="41" l="1"/>
  <c r="J130"/>
  <c r="J137"/>
  <c r="J129"/>
  <c r="E902" i="44"/>
  <c r="K902" s="1"/>
  <c r="K899" s="1"/>
  <c r="G213" i="41" s="1"/>
  <c r="K486" i="44"/>
  <c r="K484" s="1"/>
  <c r="G126" i="41" s="1"/>
  <c r="E452" i="44"/>
  <c r="E442"/>
  <c r="E412"/>
  <c r="J126" i="41" l="1"/>
  <c r="J213"/>
  <c r="J214" s="1"/>
  <c r="E397" i="44"/>
  <c r="E391"/>
  <c r="E378"/>
  <c r="E370"/>
  <c r="E360"/>
  <c r="J381"/>
  <c r="K372"/>
  <c r="K370" s="1"/>
  <c r="G100" i="41" s="1"/>
  <c r="K362" i="44"/>
  <c r="K360" s="1"/>
  <c r="G99" i="41" s="1"/>
  <c r="M391" i="44"/>
  <c r="E356"/>
  <c r="E353"/>
  <c r="E351"/>
  <c r="E349"/>
  <c r="E347"/>
  <c r="E343"/>
  <c r="E339"/>
  <c r="E337"/>
  <c r="E335"/>
  <c r="E332"/>
  <c r="E330"/>
  <c r="E325"/>
  <c r="E299"/>
  <c r="E297"/>
  <c r="E310"/>
  <c r="E307"/>
  <c r="E303"/>
  <c r="E301"/>
  <c r="E295"/>
  <c r="E293"/>
  <c r="E291"/>
  <c r="E285"/>
  <c r="E268"/>
  <c r="E251"/>
  <c r="J100" i="41" l="1"/>
  <c r="J99"/>
  <c r="P391" i="44"/>
  <c r="M213"/>
  <c r="G232"/>
  <c r="F232"/>
  <c r="E245"/>
  <c r="E241"/>
  <c r="E236"/>
  <c r="E230"/>
  <c r="E213"/>
  <c r="E205"/>
  <c r="E198"/>
  <c r="E191"/>
  <c r="J102" i="41" l="1"/>
  <c r="K232" i="44"/>
  <c r="K230" s="1"/>
  <c r="G59" i="41" s="1"/>
  <c r="J59" l="1"/>
  <c r="K79" i="44"/>
  <c r="K78"/>
  <c r="K60"/>
  <c r="K58" s="1"/>
  <c r="G23" i="41" s="1"/>
  <c r="B3" i="44"/>
  <c r="B2"/>
  <c r="J23" i="41" l="1"/>
  <c r="M81" i="44"/>
  <c r="K76"/>
  <c r="G26" i="41" s="1"/>
  <c r="M58" i="44"/>
  <c r="J26" i="41" l="1"/>
  <c r="M76" i="44"/>
  <c r="E180"/>
  <c r="K598" l="1"/>
  <c r="K596" s="1"/>
  <c r="G145" i="41" s="1"/>
  <c r="J535" i="44"/>
  <c r="K535" s="1"/>
  <c r="K532" s="1"/>
  <c r="G134" i="41" s="1"/>
  <c r="K526" i="44"/>
  <c r="K479"/>
  <c r="K444"/>
  <c r="K442" s="1"/>
  <c r="G117" i="41" s="1"/>
  <c r="K317" i="44"/>
  <c r="K288"/>
  <c r="K287"/>
  <c r="B271"/>
  <c r="B270"/>
  <c r="K207"/>
  <c r="K205" s="1"/>
  <c r="G51" i="41" s="1"/>
  <c r="K183" i="44"/>
  <c r="K141"/>
  <c r="G35" i="41" s="1"/>
  <c r="K137" i="44"/>
  <c r="K135" s="1"/>
  <c r="G34" i="41" s="1"/>
  <c r="K130" i="44"/>
  <c r="K129"/>
  <c r="K112"/>
  <c r="K111"/>
  <c r="K106"/>
  <c r="K105"/>
  <c r="K104"/>
  <c r="K103"/>
  <c r="K74"/>
  <c r="K73"/>
  <c r="K68"/>
  <c r="K67"/>
  <c r="K51"/>
  <c r="K46"/>
  <c r="K45"/>
  <c r="G35"/>
  <c r="G34"/>
  <c r="K30"/>
  <c r="K27"/>
  <c r="H20"/>
  <c r="K20" s="1"/>
  <c r="H19"/>
  <c r="K19" s="1"/>
  <c r="K14"/>
  <c r="K12" s="1"/>
  <c r="G12" i="41" s="1"/>
  <c r="K10" i="44"/>
  <c r="K8"/>
  <c r="G11" i="41" s="1"/>
  <c r="J11" l="1"/>
  <c r="J34"/>
  <c r="J12"/>
  <c r="J51"/>
  <c r="J145"/>
  <c r="J146" s="1"/>
  <c r="K127" i="44"/>
  <c r="G33" i="41" s="1"/>
  <c r="K43" i="44"/>
  <c r="G19" i="41" s="1"/>
  <c r="M141" i="44"/>
  <c r="K25"/>
  <c r="G16" i="41" s="1"/>
  <c r="K101" i="44"/>
  <c r="G31" i="41" s="1"/>
  <c r="K65" i="44"/>
  <c r="G24" i="41" s="1"/>
  <c r="K17" i="44"/>
  <c r="G13" i="41" s="1"/>
  <c r="E35" i="44"/>
  <c r="K35" s="1"/>
  <c r="K285"/>
  <c r="G67" i="41" s="1"/>
  <c r="K71" i="44"/>
  <c r="G25" i="41" s="1"/>
  <c r="K500" i="44"/>
  <c r="G128" i="41" s="1"/>
  <c r="K524" i="44"/>
  <c r="G131" i="41" s="1"/>
  <c r="K49" i="44"/>
  <c r="G20" i="41" s="1"/>
  <c r="K193" i="44"/>
  <c r="K191" s="1"/>
  <c r="G49" i="41" s="1"/>
  <c r="M519" i="44"/>
  <c r="K180"/>
  <c r="K253"/>
  <c r="K327"/>
  <c r="K270"/>
  <c r="K268" s="1"/>
  <c r="G66" i="41" s="1"/>
  <c r="K345" i="44"/>
  <c r="K618"/>
  <c r="G44" i="41" l="1"/>
  <c r="K185" i="44"/>
  <c r="G45" i="41" s="1"/>
  <c r="J25"/>
  <c r="J19"/>
  <c r="J67"/>
  <c r="J131"/>
  <c r="J13"/>
  <c r="J14" s="1"/>
  <c r="J16"/>
  <c r="J49"/>
  <c r="J128"/>
  <c r="J66"/>
  <c r="J33"/>
  <c r="K251" i="44"/>
  <c r="G65" i="41" s="1"/>
  <c r="E34" i="44"/>
  <c r="K34" s="1"/>
  <c r="K32" s="1"/>
  <c r="G17" i="41" s="1"/>
  <c r="M71" i="44"/>
  <c r="M65"/>
  <c r="M135"/>
  <c r="M101"/>
  <c r="F238"/>
  <c r="M127"/>
  <c r="K291"/>
  <c r="G68" i="41" s="1"/>
  <c r="K325" i="44"/>
  <c r="G82" i="41" s="1"/>
  <c r="K615" i="44"/>
  <c r="G150" i="41" s="1"/>
  <c r="K200" i="44"/>
  <c r="K198" s="1"/>
  <c r="G50" i="41" s="1"/>
  <c r="F243" i="44"/>
  <c r="K243" s="1"/>
  <c r="F312"/>
  <c r="K312" s="1"/>
  <c r="K213"/>
  <c r="G52" i="41" s="1"/>
  <c r="F305" i="44"/>
  <c r="K343"/>
  <c r="G90" i="41" s="1"/>
  <c r="B4" i="33"/>
  <c r="B5"/>
  <c r="B6"/>
  <c r="B6" i="43" s="1"/>
  <c r="L1050" i="44" s="1"/>
  <c r="B7" i="33"/>
  <c r="B3"/>
  <c r="J45" i="41" l="1"/>
  <c r="E415"/>
  <c r="F415"/>
  <c r="H415"/>
  <c r="L435" i="44"/>
  <c r="L1269"/>
  <c r="H404" i="41"/>
  <c r="E403"/>
  <c r="F392"/>
  <c r="F403"/>
  <c r="F391"/>
  <c r="E393"/>
  <c r="H392"/>
  <c r="F404"/>
  <c r="F393"/>
  <c r="H393"/>
  <c r="E391"/>
  <c r="E404"/>
  <c r="H403"/>
  <c r="E392"/>
  <c r="H391"/>
  <c r="J82"/>
  <c r="J90"/>
  <c r="J68"/>
  <c r="F554"/>
  <c r="H548"/>
  <c r="H551"/>
  <c r="E554"/>
  <c r="E549"/>
  <c r="H547"/>
  <c r="H554"/>
  <c r="E548"/>
  <c r="F549"/>
  <c r="E551"/>
  <c r="F547"/>
  <c r="F548"/>
  <c r="H549"/>
  <c r="F551"/>
  <c r="E547"/>
  <c r="H543"/>
  <c r="F540"/>
  <c r="F543"/>
  <c r="F544"/>
  <c r="H540"/>
  <c r="H544"/>
  <c r="E544"/>
  <c r="E543"/>
  <c r="E540"/>
  <c r="F504"/>
  <c r="E502"/>
  <c r="E509"/>
  <c r="E480"/>
  <c r="F509"/>
  <c r="F515"/>
  <c r="H487"/>
  <c r="E521"/>
  <c r="E495"/>
  <c r="F501"/>
  <c r="E478"/>
  <c r="F483"/>
  <c r="H512"/>
  <c r="H495"/>
  <c r="F478"/>
  <c r="H514"/>
  <c r="E510"/>
  <c r="H513"/>
  <c r="H508"/>
  <c r="H486"/>
  <c r="F479"/>
  <c r="F487"/>
  <c r="H522"/>
  <c r="F522"/>
  <c r="E496"/>
  <c r="F518"/>
  <c r="E532"/>
  <c r="E492"/>
  <c r="H485"/>
  <c r="F502"/>
  <c r="F493"/>
  <c r="F512"/>
  <c r="E518"/>
  <c r="F484"/>
  <c r="H493"/>
  <c r="H511"/>
  <c r="E487"/>
  <c r="H509"/>
  <c r="F492"/>
  <c r="E483"/>
  <c r="F491"/>
  <c r="H515"/>
  <c r="H500"/>
  <c r="F480"/>
  <c r="H518"/>
  <c r="H505"/>
  <c r="E500"/>
  <c r="H496"/>
  <c r="E508"/>
  <c r="F486"/>
  <c r="H502"/>
  <c r="F505"/>
  <c r="F511"/>
  <c r="H479"/>
  <c r="H497"/>
  <c r="E506"/>
  <c r="E513"/>
  <c r="F506"/>
  <c r="F510"/>
  <c r="H491"/>
  <c r="H483"/>
  <c r="E522"/>
  <c r="E497"/>
  <c r="H503"/>
  <c r="H507"/>
  <c r="E511"/>
  <c r="H484"/>
  <c r="F498"/>
  <c r="H478"/>
  <c r="F507"/>
  <c r="E493"/>
  <c r="F503"/>
  <c r="E512"/>
  <c r="F499"/>
  <c r="F495"/>
  <c r="H504"/>
  <c r="E503"/>
  <c r="H501"/>
  <c r="E505"/>
  <c r="E501"/>
  <c r="F508"/>
  <c r="E519"/>
  <c r="E499"/>
  <c r="F496"/>
  <c r="H532"/>
  <c r="H480"/>
  <c r="F519"/>
  <c r="H494"/>
  <c r="E484"/>
  <c r="F500"/>
  <c r="H498"/>
  <c r="E507"/>
  <c r="E514"/>
  <c r="F513"/>
  <c r="E485"/>
  <c r="E498"/>
  <c r="F521"/>
  <c r="H519"/>
  <c r="E479"/>
  <c r="F485"/>
  <c r="E491"/>
  <c r="H499"/>
  <c r="F497"/>
  <c r="E486"/>
  <c r="F514"/>
  <c r="E494"/>
  <c r="F494"/>
  <c r="E504"/>
  <c r="H510"/>
  <c r="E515"/>
  <c r="H506"/>
  <c r="F532"/>
  <c r="H521"/>
  <c r="H492"/>
  <c r="E465"/>
  <c r="H429"/>
  <c r="E452"/>
  <c r="E469"/>
  <c r="F464"/>
  <c r="H425"/>
  <c r="E413"/>
  <c r="H442"/>
  <c r="F458"/>
  <c r="E468"/>
  <c r="E409"/>
  <c r="H420"/>
  <c r="H427"/>
  <c r="H454"/>
  <c r="H412"/>
  <c r="E458"/>
  <c r="E462"/>
  <c r="F410"/>
  <c r="H424"/>
  <c r="E427"/>
  <c r="E454"/>
  <c r="E464"/>
  <c r="E467"/>
  <c r="F463"/>
  <c r="H410"/>
  <c r="E442"/>
  <c r="E449"/>
  <c r="F466"/>
  <c r="E447"/>
  <c r="E443"/>
  <c r="E422"/>
  <c r="E429"/>
  <c r="H455"/>
  <c r="E445"/>
  <c r="F449"/>
  <c r="H453"/>
  <c r="F453"/>
  <c r="H394"/>
  <c r="E397"/>
  <c r="H398"/>
  <c r="E395"/>
  <c r="F396"/>
  <c r="H465"/>
  <c r="H421"/>
  <c r="F461"/>
  <c r="H469"/>
  <c r="F445"/>
  <c r="H477"/>
  <c r="E428"/>
  <c r="F425"/>
  <c r="H464"/>
  <c r="H457"/>
  <c r="E459"/>
  <c r="F423"/>
  <c r="H463"/>
  <c r="H468"/>
  <c r="H440"/>
  <c r="F455"/>
  <c r="H439"/>
  <c r="E412"/>
  <c r="F429"/>
  <c r="H419"/>
  <c r="F446"/>
  <c r="F447"/>
  <c r="F468"/>
  <c r="H411"/>
  <c r="E425"/>
  <c r="F439"/>
  <c r="E419"/>
  <c r="H461"/>
  <c r="F426"/>
  <c r="H451"/>
  <c r="H452"/>
  <c r="F477"/>
  <c r="E421"/>
  <c r="H446"/>
  <c r="F419"/>
  <c r="E461"/>
  <c r="F456"/>
  <c r="H460"/>
  <c r="E426"/>
  <c r="H418"/>
  <c r="H458"/>
  <c r="F441"/>
  <c r="F422"/>
  <c r="F442"/>
  <c r="E418"/>
  <c r="H444"/>
  <c r="F413"/>
  <c r="H467"/>
  <c r="H441"/>
  <c r="F421"/>
  <c r="E446"/>
  <c r="F397"/>
  <c r="E394"/>
  <c r="F395"/>
  <c r="H396"/>
  <c r="H426"/>
  <c r="F411"/>
  <c r="F454"/>
  <c r="F424"/>
  <c r="H445"/>
  <c r="F452"/>
  <c r="F412"/>
  <c r="F443"/>
  <c r="E420"/>
  <c r="E455"/>
  <c r="F409"/>
  <c r="E457"/>
  <c r="F398"/>
  <c r="E396"/>
  <c r="F469"/>
  <c r="F444"/>
  <c r="E463"/>
  <c r="H456"/>
  <c r="H470"/>
  <c r="E411"/>
  <c r="H423"/>
  <c r="F457"/>
  <c r="H450"/>
  <c r="H422"/>
  <c r="E440"/>
  <c r="H413"/>
  <c r="E451"/>
  <c r="H428"/>
  <c r="H466"/>
  <c r="E439"/>
  <c r="E444"/>
  <c r="E477"/>
  <c r="E453"/>
  <c r="F418"/>
  <c r="H462"/>
  <c r="H449"/>
  <c r="E466"/>
  <c r="F448"/>
  <c r="F451"/>
  <c r="E448"/>
  <c r="F428"/>
  <c r="H409"/>
  <c r="E450"/>
  <c r="F462"/>
  <c r="H443"/>
  <c r="F460"/>
  <c r="E424"/>
  <c r="E410"/>
  <c r="F450"/>
  <c r="F470"/>
  <c r="F440"/>
  <c r="E398"/>
  <c r="H397"/>
  <c r="H448"/>
  <c r="E460"/>
  <c r="F427"/>
  <c r="E456"/>
  <c r="E470"/>
  <c r="F467"/>
  <c r="F465"/>
  <c r="E441"/>
  <c r="H447"/>
  <c r="E423"/>
  <c r="F459"/>
  <c r="F420"/>
  <c r="H459"/>
  <c r="H395"/>
  <c r="F394"/>
  <c r="H347"/>
  <c r="H341"/>
  <c r="E345"/>
  <c r="E347"/>
  <c r="F345"/>
  <c r="H346"/>
  <c r="E336"/>
  <c r="F333"/>
  <c r="F347"/>
  <c r="H354"/>
  <c r="F344"/>
  <c r="H336"/>
  <c r="H337"/>
  <c r="E346"/>
  <c r="F346"/>
  <c r="E344"/>
  <c r="H333"/>
  <c r="E354"/>
  <c r="E333"/>
  <c r="H345"/>
  <c r="F354"/>
  <c r="E341"/>
  <c r="F337"/>
  <c r="F341"/>
  <c r="E337"/>
  <c r="H344"/>
  <c r="F336"/>
  <c r="F318"/>
  <c r="H318"/>
  <c r="H320"/>
  <c r="E318"/>
  <c r="F320"/>
  <c r="E320"/>
  <c r="L1106" i="44"/>
  <c r="L1107"/>
  <c r="H311" i="41"/>
  <c r="F311"/>
  <c r="F309"/>
  <c r="L1101" i="44"/>
  <c r="E309" i="41"/>
  <c r="H310"/>
  <c r="E310"/>
  <c r="E311"/>
  <c r="L1100" i="44"/>
  <c r="F310" i="41"/>
  <c r="H309"/>
  <c r="L1104" i="44"/>
  <c r="J50" i="41"/>
  <c r="J150"/>
  <c r="J65"/>
  <c r="J52"/>
  <c r="J17"/>
  <c r="F282"/>
  <c r="E292"/>
  <c r="F292"/>
  <c r="H282"/>
  <c r="F283"/>
  <c r="H286"/>
  <c r="E283"/>
  <c r="E286"/>
  <c r="H292"/>
  <c r="H283"/>
  <c r="E282"/>
  <c r="F286"/>
  <c r="E258"/>
  <c r="F274"/>
  <c r="H265"/>
  <c r="E269"/>
  <c r="H269"/>
  <c r="F266"/>
  <c r="E266"/>
  <c r="E265"/>
  <c r="H255"/>
  <c r="H258"/>
  <c r="F258"/>
  <c r="E255"/>
  <c r="H274"/>
  <c r="F269"/>
  <c r="E274"/>
  <c r="F265"/>
  <c r="F255"/>
  <c r="H266"/>
  <c r="F224"/>
  <c r="H249"/>
  <c r="H224"/>
  <c r="F236"/>
  <c r="E248"/>
  <c r="E243"/>
  <c r="E236"/>
  <c r="F249"/>
  <c r="E224"/>
  <c r="E249"/>
  <c r="H248"/>
  <c r="F248"/>
  <c r="F243"/>
  <c r="H236"/>
  <c r="H243"/>
  <c r="F205"/>
  <c r="E206"/>
  <c r="E203"/>
  <c r="H206"/>
  <c r="F203"/>
  <c r="H205"/>
  <c r="E205"/>
  <c r="H203"/>
  <c r="F206"/>
  <c r="F159"/>
  <c r="E149"/>
  <c r="E152"/>
  <c r="F152"/>
  <c r="F149"/>
  <c r="H156"/>
  <c r="H159"/>
  <c r="H153"/>
  <c r="H152"/>
  <c r="H149"/>
  <c r="E159"/>
  <c r="F153"/>
  <c r="F156"/>
  <c r="E156"/>
  <c r="E153"/>
  <c r="E142"/>
  <c r="F122"/>
  <c r="F118"/>
  <c r="H112"/>
  <c r="F134"/>
  <c r="F117"/>
  <c r="F121"/>
  <c r="H118"/>
  <c r="E112"/>
  <c r="E117"/>
  <c r="E118"/>
  <c r="F142"/>
  <c r="H122"/>
  <c r="H121"/>
  <c r="E121"/>
  <c r="E134"/>
  <c r="H142"/>
  <c r="H117"/>
  <c r="F112"/>
  <c r="H134"/>
  <c r="E122"/>
  <c r="H24"/>
  <c r="F35"/>
  <c r="H20"/>
  <c r="E44"/>
  <c r="H35"/>
  <c r="F31"/>
  <c r="F39"/>
  <c r="E20"/>
  <c r="H39"/>
  <c r="F44"/>
  <c r="E35"/>
  <c r="H44"/>
  <c r="E31"/>
  <c r="E24"/>
  <c r="E39"/>
  <c r="F24"/>
  <c r="H31"/>
  <c r="F20"/>
  <c r="L1383" i="44"/>
  <c r="L1380"/>
  <c r="L1382"/>
  <c r="L1379"/>
  <c r="L1351"/>
  <c r="L1354"/>
  <c r="L1362"/>
  <c r="L1372"/>
  <c r="L1359"/>
  <c r="L1375"/>
  <c r="L1373"/>
  <c r="L1370"/>
  <c r="L1356"/>
  <c r="L1364"/>
  <c r="L1353"/>
  <c r="L1363"/>
  <c r="L1361"/>
  <c r="L1374"/>
  <c r="L1358"/>
  <c r="L1366"/>
  <c r="L1355"/>
  <c r="L1367"/>
  <c r="L1365"/>
  <c r="L1352"/>
  <c r="L1360"/>
  <c r="L1368"/>
  <c r="L1357"/>
  <c r="L1371"/>
  <c r="L1369"/>
  <c r="L1346"/>
  <c r="L1342"/>
  <c r="L1343"/>
  <c r="L1344"/>
  <c r="L1345"/>
  <c r="L1323"/>
  <c r="L1335"/>
  <c r="L1316"/>
  <c r="L1306"/>
  <c r="L1303"/>
  <c r="L1321"/>
  <c r="L1300"/>
  <c r="L1297"/>
  <c r="L1332"/>
  <c r="L1340"/>
  <c r="L1313"/>
  <c r="L1312"/>
  <c r="L1310"/>
  <c r="L1307"/>
  <c r="L1324"/>
  <c r="L1333"/>
  <c r="L1314"/>
  <c r="L1301"/>
  <c r="L1309"/>
  <c r="L1326"/>
  <c r="L1311"/>
  <c r="L1325"/>
  <c r="L1337"/>
  <c r="L1318"/>
  <c r="L1308"/>
  <c r="L1298"/>
  <c r="L1305"/>
  <c r="L1302"/>
  <c r="L1322"/>
  <c r="L1334"/>
  <c r="L1315"/>
  <c r="L1327"/>
  <c r="L1339"/>
  <c r="L1320"/>
  <c r="L1296"/>
  <c r="L1304"/>
  <c r="L1336"/>
  <c r="L1317"/>
  <c r="L1341"/>
  <c r="L1319"/>
  <c r="L1299"/>
  <c r="L1338"/>
  <c r="L1294"/>
  <c r="L1279"/>
  <c r="L1274"/>
  <c r="L1276"/>
  <c r="L1284"/>
  <c r="L1265"/>
  <c r="L1281"/>
  <c r="L1293"/>
  <c r="L1278"/>
  <c r="L1263"/>
  <c r="L1275"/>
  <c r="L1283"/>
  <c r="L1295"/>
  <c r="L1280"/>
  <c r="L1266"/>
  <c r="L1277"/>
  <c r="L1285"/>
  <c r="L1282"/>
  <c r="L1264"/>
  <c r="L1139"/>
  <c r="L1456"/>
  <c r="L73"/>
  <c r="L93"/>
  <c r="L113"/>
  <c r="L129"/>
  <c r="L153"/>
  <c r="L181"/>
  <c r="L186"/>
  <c r="L206"/>
  <c r="L230"/>
  <c r="L246"/>
  <c r="L262"/>
  <c r="L278"/>
  <c r="L294"/>
  <c r="L318"/>
  <c r="L338"/>
  <c r="L354"/>
  <c r="L374"/>
  <c r="L394"/>
  <c r="L410"/>
  <c r="L426"/>
  <c r="L447"/>
  <c r="L82"/>
  <c r="L102"/>
  <c r="L122"/>
  <c r="L75"/>
  <c r="L95"/>
  <c r="L111"/>
  <c r="L131"/>
  <c r="L92"/>
  <c r="L112"/>
  <c r="L128"/>
  <c r="L143"/>
  <c r="L167"/>
  <c r="L182"/>
  <c r="L192"/>
  <c r="L212"/>
  <c r="L231"/>
  <c r="L263"/>
  <c r="L289"/>
  <c r="L324"/>
  <c r="L355"/>
  <c r="L384"/>
  <c r="L411"/>
  <c r="L442"/>
  <c r="L457"/>
  <c r="L474"/>
  <c r="L490"/>
  <c r="L514"/>
  <c r="L530"/>
  <c r="L554"/>
  <c r="L570"/>
  <c r="L586"/>
  <c r="L148"/>
  <c r="L168"/>
  <c r="L183"/>
  <c r="L193"/>
  <c r="L232"/>
  <c r="L253"/>
  <c r="L275"/>
  <c r="L307"/>
  <c r="L340"/>
  <c r="L371"/>
  <c r="L396"/>
  <c r="L423"/>
  <c r="L449"/>
  <c r="L463"/>
  <c r="L479"/>
  <c r="L495"/>
  <c r="L511"/>
  <c r="L531"/>
  <c r="L547"/>
  <c r="L563"/>
  <c r="L583"/>
  <c r="L150"/>
  <c r="L178"/>
  <c r="L189"/>
  <c r="L209"/>
  <c r="L228"/>
  <c r="L249"/>
  <c r="L271"/>
  <c r="L292"/>
  <c r="L321"/>
  <c r="L341"/>
  <c r="L368"/>
  <c r="L387"/>
  <c r="L419"/>
  <c r="L445"/>
  <c r="L459"/>
  <c r="L480"/>
  <c r="L504"/>
  <c r="L520"/>
  <c r="L540"/>
  <c r="L556"/>
  <c r="L572"/>
  <c r="L156"/>
  <c r="L174"/>
  <c r="L211"/>
  <c r="L256"/>
  <c r="L277"/>
  <c r="L309"/>
  <c r="L328"/>
  <c r="L369"/>
  <c r="L399"/>
  <c r="L420"/>
  <c r="L446"/>
  <c r="L473"/>
  <c r="L489"/>
  <c r="L505"/>
  <c r="L521"/>
  <c r="L537"/>
  <c r="L553"/>
  <c r="L573"/>
  <c r="L589"/>
  <c r="L607"/>
  <c r="L627"/>
  <c r="L643"/>
  <c r="L659"/>
  <c r="L675"/>
  <c r="L691"/>
  <c r="L715"/>
  <c r="L735"/>
  <c r="L759"/>
  <c r="L775"/>
  <c r="L791"/>
  <c r="L804"/>
  <c r="L828"/>
  <c r="L848"/>
  <c r="L876"/>
  <c r="L892"/>
  <c r="L911"/>
  <c r="L927"/>
  <c r="L592"/>
  <c r="L612"/>
  <c r="L628"/>
  <c r="L644"/>
  <c r="L664"/>
  <c r="L680"/>
  <c r="L696"/>
  <c r="L716"/>
  <c r="L736"/>
  <c r="L752"/>
  <c r="L772"/>
  <c r="L792"/>
  <c r="L821"/>
  <c r="L849"/>
  <c r="L865"/>
  <c r="L881"/>
  <c r="L912"/>
  <c r="L932"/>
  <c r="L597"/>
  <c r="L613"/>
  <c r="L629"/>
  <c r="L645"/>
  <c r="L665"/>
  <c r="L681"/>
  <c r="L701"/>
  <c r="L717"/>
  <c r="L741"/>
  <c r="L761"/>
  <c r="L781"/>
  <c r="L77"/>
  <c r="L97"/>
  <c r="L117"/>
  <c r="L133"/>
  <c r="L165"/>
  <c r="L190"/>
  <c r="L210"/>
  <c r="L234"/>
  <c r="L250"/>
  <c r="L266"/>
  <c r="L282"/>
  <c r="L298"/>
  <c r="L322"/>
  <c r="L342"/>
  <c r="L358"/>
  <c r="L382"/>
  <c r="L398"/>
  <c r="L414"/>
  <c r="L430"/>
  <c r="L460"/>
  <c r="L90"/>
  <c r="L106"/>
  <c r="L126"/>
  <c r="L79"/>
  <c r="L99"/>
  <c r="L115"/>
  <c r="L80"/>
  <c r="L100"/>
  <c r="L116"/>
  <c r="L132"/>
  <c r="L147"/>
  <c r="L171"/>
  <c r="L197"/>
  <c r="L217"/>
  <c r="L247"/>
  <c r="L273"/>
  <c r="L300"/>
  <c r="L329"/>
  <c r="L365"/>
  <c r="L389"/>
  <c r="L416"/>
  <c r="L448"/>
  <c r="L462"/>
  <c r="L478"/>
  <c r="L498"/>
  <c r="L518"/>
  <c r="L534"/>
  <c r="L558"/>
  <c r="L574"/>
  <c r="L590"/>
  <c r="L154"/>
  <c r="L172"/>
  <c r="L203"/>
  <c r="L237"/>
  <c r="L259"/>
  <c r="L280"/>
  <c r="L311"/>
  <c r="L345"/>
  <c r="L376"/>
  <c r="L401"/>
  <c r="L428"/>
  <c r="L467"/>
  <c r="L483"/>
  <c r="L499"/>
  <c r="L515"/>
  <c r="L535"/>
  <c r="L551"/>
  <c r="L567"/>
  <c r="L587"/>
  <c r="L155"/>
  <c r="L179"/>
  <c r="L195"/>
  <c r="L215"/>
  <c r="L233"/>
  <c r="L255"/>
  <c r="L276"/>
  <c r="L308"/>
  <c r="L327"/>
  <c r="L352"/>
  <c r="L372"/>
  <c r="L392"/>
  <c r="L424"/>
  <c r="L450"/>
  <c r="L464"/>
  <c r="L488"/>
  <c r="L508"/>
  <c r="L528"/>
  <c r="L544"/>
  <c r="L560"/>
  <c r="L576"/>
  <c r="L160"/>
  <c r="L229"/>
  <c r="L261"/>
  <c r="L283"/>
  <c r="L313"/>
  <c r="L348"/>
  <c r="L373"/>
  <c r="L404"/>
  <c r="L425"/>
  <c r="L461"/>
  <c r="L477"/>
  <c r="L493"/>
  <c r="L509"/>
  <c r="L525"/>
  <c r="L541"/>
  <c r="L557"/>
  <c r="L577"/>
  <c r="L595"/>
  <c r="L611"/>
  <c r="L631"/>
  <c r="L647"/>
  <c r="L663"/>
  <c r="L679"/>
  <c r="L699"/>
  <c r="L719"/>
  <c r="L739"/>
  <c r="L763"/>
  <c r="L779"/>
  <c r="L795"/>
  <c r="L812"/>
  <c r="L836"/>
  <c r="L856"/>
  <c r="L880"/>
  <c r="L896"/>
  <c r="L915"/>
  <c r="L931"/>
  <c r="L600"/>
  <c r="L616"/>
  <c r="L632"/>
  <c r="L648"/>
  <c r="L668"/>
  <c r="L684"/>
  <c r="L700"/>
  <c r="L724"/>
  <c r="L740"/>
  <c r="L756"/>
  <c r="L776"/>
  <c r="L829"/>
  <c r="L853"/>
  <c r="L869"/>
  <c r="L885"/>
  <c r="L900"/>
  <c r="L916"/>
  <c r="L936"/>
  <c r="L601"/>
  <c r="L617"/>
  <c r="L633"/>
  <c r="L649"/>
  <c r="L669"/>
  <c r="L689"/>
  <c r="L705"/>
  <c r="L721"/>
  <c r="L745"/>
  <c r="L765"/>
  <c r="L785"/>
  <c r="L802"/>
  <c r="L818"/>
  <c r="L834"/>
  <c r="L850"/>
  <c r="L866"/>
  <c r="L882"/>
  <c r="L897"/>
  <c r="L913"/>
  <c r="L85"/>
  <c r="L105"/>
  <c r="L121"/>
  <c r="L137"/>
  <c r="L177"/>
  <c r="L194"/>
  <c r="L214"/>
  <c r="L238"/>
  <c r="L254"/>
  <c r="L270"/>
  <c r="L286"/>
  <c r="L302"/>
  <c r="L326"/>
  <c r="L346"/>
  <c r="L362"/>
  <c r="L386"/>
  <c r="L402"/>
  <c r="L418"/>
  <c r="L437"/>
  <c r="L74"/>
  <c r="L94"/>
  <c r="L110"/>
  <c r="L130"/>
  <c r="L83"/>
  <c r="L103"/>
  <c r="L119"/>
  <c r="L84"/>
  <c r="L104"/>
  <c r="L120"/>
  <c r="L136"/>
  <c r="L152"/>
  <c r="L175"/>
  <c r="L201"/>
  <c r="L221"/>
  <c r="L252"/>
  <c r="L279"/>
  <c r="L305"/>
  <c r="L333"/>
  <c r="L375"/>
  <c r="L400"/>
  <c r="L421"/>
  <c r="L466"/>
  <c r="L482"/>
  <c r="L502"/>
  <c r="L522"/>
  <c r="L538"/>
  <c r="L562"/>
  <c r="L578"/>
  <c r="L139"/>
  <c r="L158"/>
  <c r="L176"/>
  <c r="L208"/>
  <c r="L243"/>
  <c r="L264"/>
  <c r="L291"/>
  <c r="L315"/>
  <c r="L361"/>
  <c r="L380"/>
  <c r="L407"/>
  <c r="L436"/>
  <c r="L454"/>
  <c r="L471"/>
  <c r="L487"/>
  <c r="L503"/>
  <c r="L523"/>
  <c r="L539"/>
  <c r="L555"/>
  <c r="L575"/>
  <c r="L591"/>
  <c r="L159"/>
  <c r="L184"/>
  <c r="L199"/>
  <c r="L219"/>
  <c r="L239"/>
  <c r="L260"/>
  <c r="L281"/>
  <c r="L312"/>
  <c r="L331"/>
  <c r="L357"/>
  <c r="L377"/>
  <c r="L408"/>
  <c r="L429"/>
  <c r="L451"/>
  <c r="L468"/>
  <c r="L492"/>
  <c r="L512"/>
  <c r="L532"/>
  <c r="L548"/>
  <c r="L564"/>
  <c r="L142"/>
  <c r="L166"/>
  <c r="L180"/>
  <c r="L196"/>
  <c r="L235"/>
  <c r="L267"/>
  <c r="L288"/>
  <c r="L317"/>
  <c r="L359"/>
  <c r="L383"/>
  <c r="L409"/>
  <c r="L431"/>
  <c r="L465"/>
  <c r="L481"/>
  <c r="L497"/>
  <c r="L513"/>
  <c r="L529"/>
  <c r="L545"/>
  <c r="L565"/>
  <c r="L581"/>
  <c r="L599"/>
  <c r="L619"/>
  <c r="L635"/>
  <c r="L651"/>
  <c r="L667"/>
  <c r="L683"/>
  <c r="L707"/>
  <c r="L723"/>
  <c r="L751"/>
  <c r="L767"/>
  <c r="L783"/>
  <c r="L799"/>
  <c r="L816"/>
  <c r="L840"/>
  <c r="L864"/>
  <c r="L884"/>
  <c r="L919"/>
  <c r="L935"/>
  <c r="L604"/>
  <c r="L620"/>
  <c r="L636"/>
  <c r="L656"/>
  <c r="L672"/>
  <c r="L688"/>
  <c r="L704"/>
  <c r="L728"/>
  <c r="L744"/>
  <c r="L760"/>
  <c r="L780"/>
  <c r="L809"/>
  <c r="L833"/>
  <c r="L857"/>
  <c r="L873"/>
  <c r="L889"/>
  <c r="L904"/>
  <c r="L920"/>
  <c r="L940"/>
  <c r="L605"/>
  <c r="L621"/>
  <c r="L637"/>
  <c r="L653"/>
  <c r="L673"/>
  <c r="L693"/>
  <c r="L709"/>
  <c r="L725"/>
  <c r="L749"/>
  <c r="L769"/>
  <c r="L793"/>
  <c r="L806"/>
  <c r="L822"/>
  <c r="L89"/>
  <c r="L109"/>
  <c r="L125"/>
  <c r="L149"/>
  <c r="L202"/>
  <c r="L226"/>
  <c r="L242"/>
  <c r="L258"/>
  <c r="L274"/>
  <c r="L290"/>
  <c r="L306"/>
  <c r="L334"/>
  <c r="L350"/>
  <c r="L366"/>
  <c r="L390"/>
  <c r="L406"/>
  <c r="L422"/>
  <c r="L443"/>
  <c r="L78"/>
  <c r="L98"/>
  <c r="L118"/>
  <c r="L134"/>
  <c r="L87"/>
  <c r="L107"/>
  <c r="L123"/>
  <c r="L88"/>
  <c r="L108"/>
  <c r="L124"/>
  <c r="L138"/>
  <c r="L162"/>
  <c r="L187"/>
  <c r="L207"/>
  <c r="L225"/>
  <c r="L257"/>
  <c r="L284"/>
  <c r="L319"/>
  <c r="L344"/>
  <c r="L379"/>
  <c r="L405"/>
  <c r="L432"/>
  <c r="L453"/>
  <c r="L470"/>
  <c r="L486"/>
  <c r="L506"/>
  <c r="L526"/>
  <c r="L546"/>
  <c r="L566"/>
  <c r="L582"/>
  <c r="L144"/>
  <c r="L163"/>
  <c r="L188"/>
  <c r="L213"/>
  <c r="L248"/>
  <c r="L269"/>
  <c r="L296"/>
  <c r="L320"/>
  <c r="L367"/>
  <c r="L385"/>
  <c r="L417"/>
  <c r="L444"/>
  <c r="L458"/>
  <c r="L475"/>
  <c r="L491"/>
  <c r="L507"/>
  <c r="L527"/>
  <c r="L543"/>
  <c r="L559"/>
  <c r="L579"/>
  <c r="L140"/>
  <c r="L164"/>
  <c r="L204"/>
  <c r="L223"/>
  <c r="L244"/>
  <c r="L265"/>
  <c r="L287"/>
  <c r="L316"/>
  <c r="L336"/>
  <c r="L363"/>
  <c r="L381"/>
  <c r="L413"/>
  <c r="L440"/>
  <c r="L455"/>
  <c r="L472"/>
  <c r="L496"/>
  <c r="L516"/>
  <c r="L536"/>
  <c r="L552"/>
  <c r="L568"/>
  <c r="L146"/>
  <c r="L170"/>
  <c r="L200"/>
  <c r="L240"/>
  <c r="L272"/>
  <c r="L304"/>
  <c r="L323"/>
  <c r="L364"/>
  <c r="L388"/>
  <c r="L415"/>
  <c r="L441"/>
  <c r="L469"/>
  <c r="L485"/>
  <c r="L501"/>
  <c r="L517"/>
  <c r="L533"/>
  <c r="L549"/>
  <c r="L569"/>
  <c r="L585"/>
  <c r="L603"/>
  <c r="L623"/>
  <c r="L639"/>
  <c r="L655"/>
  <c r="L671"/>
  <c r="L687"/>
  <c r="L711"/>
  <c r="L731"/>
  <c r="L755"/>
  <c r="L771"/>
  <c r="L787"/>
  <c r="L800"/>
  <c r="L824"/>
  <c r="L844"/>
  <c r="L868"/>
  <c r="L888"/>
  <c r="L903"/>
  <c r="L923"/>
  <c r="L580"/>
  <c r="L608"/>
  <c r="L624"/>
  <c r="L640"/>
  <c r="L660"/>
  <c r="L676"/>
  <c r="L692"/>
  <c r="L708"/>
  <c r="L732"/>
  <c r="L748"/>
  <c r="L768"/>
  <c r="L788"/>
  <c r="L817"/>
  <c r="L841"/>
  <c r="L861"/>
  <c r="L877"/>
  <c r="L893"/>
  <c r="L908"/>
  <c r="L928"/>
  <c r="L593"/>
  <c r="L609"/>
  <c r="L625"/>
  <c r="L641"/>
  <c r="L657"/>
  <c r="L677"/>
  <c r="L697"/>
  <c r="L713"/>
  <c r="L729"/>
  <c r="L757"/>
  <c r="L777"/>
  <c r="L797"/>
  <c r="L810"/>
  <c r="L814"/>
  <c r="L842"/>
  <c r="L862"/>
  <c r="L886"/>
  <c r="L905"/>
  <c r="L925"/>
  <c r="L602"/>
  <c r="L618"/>
  <c r="L638"/>
  <c r="L654"/>
  <c r="L670"/>
  <c r="L686"/>
  <c r="L706"/>
  <c r="L722"/>
  <c r="L738"/>
  <c r="L754"/>
  <c r="L770"/>
  <c r="L786"/>
  <c r="L815"/>
  <c r="L835"/>
  <c r="L851"/>
  <c r="L867"/>
  <c r="L883"/>
  <c r="L910"/>
  <c r="L926"/>
  <c r="L945"/>
  <c r="L983"/>
  <c r="L1004"/>
  <c r="L1020"/>
  <c r="L1044"/>
  <c r="L1081"/>
  <c r="L1097"/>
  <c r="L1124"/>
  <c r="L1148"/>
  <c r="L1172"/>
  <c r="L1188"/>
  <c r="L1204"/>
  <c r="L1247"/>
  <c r="L954"/>
  <c r="L1000"/>
  <c r="L1013"/>
  <c r="L1029"/>
  <c r="L1045"/>
  <c r="L1082"/>
  <c r="L1098"/>
  <c r="L1129"/>
  <c r="L1145"/>
  <c r="L1161"/>
  <c r="L1181"/>
  <c r="L1201"/>
  <c r="L1258"/>
  <c r="L947"/>
  <c r="L1001"/>
  <c r="L1014"/>
  <c r="L1030"/>
  <c r="L1067"/>
  <c r="L1091"/>
  <c r="L1118"/>
  <c r="L1150"/>
  <c r="L1166"/>
  <c r="L1182"/>
  <c r="L1198"/>
  <c r="L1415"/>
  <c r="L1435"/>
  <c r="L1459"/>
  <c r="L944"/>
  <c r="L982"/>
  <c r="L1007"/>
  <c r="L1027"/>
  <c r="L1043"/>
  <c r="L1076"/>
  <c r="L1092"/>
  <c r="L1131"/>
  <c r="L1155"/>
  <c r="L1171"/>
  <c r="L1187"/>
  <c r="L1203"/>
  <c r="L1246"/>
  <c r="L1400"/>
  <c r="L1416"/>
  <c r="L1436"/>
  <c r="L1452"/>
  <c r="L1406"/>
  <c r="L1441"/>
  <c r="L1467"/>
  <c r="L1483"/>
  <c r="L64"/>
  <c r="L45"/>
  <c r="L11"/>
  <c r="L1409"/>
  <c r="L1442"/>
  <c r="L1472"/>
  <c r="L57"/>
  <c r="L46"/>
  <c r="L16"/>
  <c r="L1385"/>
  <c r="L1417"/>
  <c r="L1457"/>
  <c r="L1473"/>
  <c r="L54"/>
  <c r="L39"/>
  <c r="L34"/>
  <c r="L1405"/>
  <c r="L1445"/>
  <c r="L1470"/>
  <c r="L51"/>
  <c r="L67"/>
  <c r="L27"/>
  <c r="L14"/>
  <c r="L101"/>
  <c r="L826"/>
  <c r="L846"/>
  <c r="L870"/>
  <c r="L894"/>
  <c r="L909"/>
  <c r="L588"/>
  <c r="L606"/>
  <c r="L626"/>
  <c r="L642"/>
  <c r="L658"/>
  <c r="L674"/>
  <c r="L694"/>
  <c r="L710"/>
  <c r="L726"/>
  <c r="L742"/>
  <c r="L758"/>
  <c r="L774"/>
  <c r="L790"/>
  <c r="L803"/>
  <c r="L819"/>
  <c r="L839"/>
  <c r="L855"/>
  <c r="L871"/>
  <c r="L887"/>
  <c r="L898"/>
  <c r="L914"/>
  <c r="L930"/>
  <c r="L949"/>
  <c r="L991"/>
  <c r="L1008"/>
  <c r="L1028"/>
  <c r="L1048"/>
  <c r="L1085"/>
  <c r="L1110"/>
  <c r="L1128"/>
  <c r="L1152"/>
  <c r="L1176"/>
  <c r="L1192"/>
  <c r="L1208"/>
  <c r="L1257"/>
  <c r="L980"/>
  <c r="L1017"/>
  <c r="L1033"/>
  <c r="L1086"/>
  <c r="L1111"/>
  <c r="L1133"/>
  <c r="L1149"/>
  <c r="L1165"/>
  <c r="L1185"/>
  <c r="L1205"/>
  <c r="L929"/>
  <c r="L951"/>
  <c r="L1018"/>
  <c r="L1034"/>
  <c r="L1075"/>
  <c r="L1095"/>
  <c r="L1122"/>
  <c r="L1154"/>
  <c r="L1170"/>
  <c r="L1186"/>
  <c r="L1210"/>
  <c r="L1259"/>
  <c r="L1391"/>
  <c r="L1423"/>
  <c r="L1439"/>
  <c r="L1462"/>
  <c r="L948"/>
  <c r="L998"/>
  <c r="L1011"/>
  <c r="L1031"/>
  <c r="L1047"/>
  <c r="L1080"/>
  <c r="L1096"/>
  <c r="L1135"/>
  <c r="L1159"/>
  <c r="L1175"/>
  <c r="L1191"/>
  <c r="L1207"/>
  <c r="L1260"/>
  <c r="L1388"/>
  <c r="L1404"/>
  <c r="L1420"/>
  <c r="L1440"/>
  <c r="L1413"/>
  <c r="L1446"/>
  <c r="L1471"/>
  <c r="L52"/>
  <c r="L68"/>
  <c r="L49"/>
  <c r="L15"/>
  <c r="L1414"/>
  <c r="L1461"/>
  <c r="L1480"/>
  <c r="L61"/>
  <c r="L29"/>
  <c r="L20"/>
  <c r="L1390"/>
  <c r="L1422"/>
  <c r="L1464"/>
  <c r="L1477"/>
  <c r="L62"/>
  <c r="L47"/>
  <c r="L9"/>
  <c r="L1386"/>
  <c r="L1418"/>
  <c r="L1458"/>
  <c r="L1474"/>
  <c r="L55"/>
  <c r="L40"/>
  <c r="L31"/>
  <c r="L18"/>
  <c r="L141"/>
  <c r="L44"/>
  <c r="L22"/>
  <c r="L830"/>
  <c r="L854"/>
  <c r="L874"/>
  <c r="L917"/>
  <c r="L594"/>
  <c r="L610"/>
  <c r="L630"/>
  <c r="L646"/>
  <c r="L662"/>
  <c r="L678"/>
  <c r="L698"/>
  <c r="L714"/>
  <c r="L730"/>
  <c r="L746"/>
  <c r="L762"/>
  <c r="L778"/>
  <c r="L794"/>
  <c r="L807"/>
  <c r="L823"/>
  <c r="L843"/>
  <c r="L859"/>
  <c r="L875"/>
  <c r="L891"/>
  <c r="L902"/>
  <c r="L918"/>
  <c r="L934"/>
  <c r="L953"/>
  <c r="L999"/>
  <c r="L1012"/>
  <c r="L1036"/>
  <c r="L1069"/>
  <c r="L1089"/>
  <c r="L1116"/>
  <c r="L1136"/>
  <c r="L1160"/>
  <c r="L1180"/>
  <c r="L1196"/>
  <c r="L1212"/>
  <c r="L1262"/>
  <c r="L937"/>
  <c r="L984"/>
  <c r="L1005"/>
  <c r="L1021"/>
  <c r="L1037"/>
  <c r="L1054"/>
  <c r="L1090"/>
  <c r="L1121"/>
  <c r="L1137"/>
  <c r="L1153"/>
  <c r="L1169"/>
  <c r="L1189"/>
  <c r="L1209"/>
  <c r="L938"/>
  <c r="L968"/>
  <c r="L1006"/>
  <c r="L1022"/>
  <c r="L1046"/>
  <c r="L1079"/>
  <c r="L1126"/>
  <c r="L1158"/>
  <c r="L1174"/>
  <c r="L1190"/>
  <c r="L1218"/>
  <c r="L1399"/>
  <c r="L1427"/>
  <c r="L1447"/>
  <c r="L933"/>
  <c r="L952"/>
  <c r="L1002"/>
  <c r="L1019"/>
  <c r="L1035"/>
  <c r="L1060"/>
  <c r="L1084"/>
  <c r="L1109"/>
  <c r="L1163"/>
  <c r="L1179"/>
  <c r="L1195"/>
  <c r="L1211"/>
  <c r="L1392"/>
  <c r="L1408"/>
  <c r="L1424"/>
  <c r="L1444"/>
  <c r="L1394"/>
  <c r="L1426"/>
  <c r="L1460"/>
  <c r="L1475"/>
  <c r="L56"/>
  <c r="L72"/>
  <c r="L28"/>
  <c r="L19"/>
  <c r="L1389"/>
  <c r="L1421"/>
  <c r="L1484"/>
  <c r="L69"/>
  <c r="L33"/>
  <c r="L24"/>
  <c r="L1397"/>
  <c r="L1429"/>
  <c r="L1465"/>
  <c r="L1481"/>
  <c r="L66"/>
  <c r="L26"/>
  <c r="L13"/>
  <c r="L1393"/>
  <c r="L1425"/>
  <c r="L1478"/>
  <c r="L59"/>
  <c r="L35"/>
  <c r="L161"/>
  <c r="L838"/>
  <c r="L858"/>
  <c r="L878"/>
  <c r="L901"/>
  <c r="L921"/>
  <c r="L598"/>
  <c r="L614"/>
  <c r="L634"/>
  <c r="L650"/>
  <c r="L666"/>
  <c r="L682"/>
  <c r="L702"/>
  <c r="L718"/>
  <c r="L734"/>
  <c r="L750"/>
  <c r="L766"/>
  <c r="L782"/>
  <c r="L798"/>
  <c r="L811"/>
  <c r="L831"/>
  <c r="L847"/>
  <c r="L863"/>
  <c r="L879"/>
  <c r="L895"/>
  <c r="L906"/>
  <c r="L922"/>
  <c r="L941"/>
  <c r="L975"/>
  <c r="L1003"/>
  <c r="L1016"/>
  <c r="L1040"/>
  <c r="L1077"/>
  <c r="L1093"/>
  <c r="L1120"/>
  <c r="L1140"/>
  <c r="L1168"/>
  <c r="L1184"/>
  <c r="L1200"/>
  <c r="L1220"/>
  <c r="L950"/>
  <c r="L988"/>
  <c r="L1009"/>
  <c r="L1025"/>
  <c r="L1041"/>
  <c r="L1074"/>
  <c r="L1094"/>
  <c r="L1125"/>
  <c r="L1141"/>
  <c r="L1157"/>
  <c r="L1177"/>
  <c r="L1193"/>
  <c r="L1248"/>
  <c r="L943"/>
  <c r="L981"/>
  <c r="L1010"/>
  <c r="L1026"/>
  <c r="L1051"/>
  <c r="L1083"/>
  <c r="L1134"/>
  <c r="L1162"/>
  <c r="L1178"/>
  <c r="L1194"/>
  <c r="L1245"/>
  <c r="L1407"/>
  <c r="L1431"/>
  <c r="L1455"/>
  <c r="L939"/>
  <c r="L956"/>
  <c r="L1023"/>
  <c r="L1039"/>
  <c r="L1068"/>
  <c r="L1088"/>
  <c r="L1115"/>
  <c r="L1151"/>
  <c r="L1167"/>
  <c r="L1183"/>
  <c r="L1199"/>
  <c r="L1219"/>
  <c r="L1396"/>
  <c r="L1412"/>
  <c r="L1432"/>
  <c r="L1448"/>
  <c r="L1463"/>
  <c r="L1401"/>
  <c r="L1433"/>
  <c r="L1479"/>
  <c r="L60"/>
  <c r="L41"/>
  <c r="L36"/>
  <c r="L23"/>
  <c r="L1402"/>
  <c r="L1434"/>
  <c r="L1468"/>
  <c r="L53"/>
  <c r="L42"/>
  <c r="L37"/>
  <c r="L1410"/>
  <c r="L1437"/>
  <c r="L1469"/>
  <c r="L50"/>
  <c r="L70"/>
  <c r="L30"/>
  <c r="L21"/>
  <c r="L1398"/>
  <c r="L1430"/>
  <c r="L1466"/>
  <c r="L1482"/>
  <c r="L63"/>
  <c r="L48"/>
  <c r="L10"/>
  <c r="L65"/>
  <c r="E141"/>
  <c r="E49"/>
  <c r="E101"/>
  <c r="E65"/>
  <c r="E161"/>
  <c r="K347"/>
  <c r="G91" i="41" s="1"/>
  <c r="E171" i="44"/>
  <c r="K171" s="1"/>
  <c r="K169" s="1"/>
  <c r="G40" i="41" s="1"/>
  <c r="E40" i="44"/>
  <c r="K40" s="1"/>
  <c r="K38" s="1"/>
  <c r="G18" i="41" s="1"/>
  <c r="K330" i="44"/>
  <c r="G83" i="41" s="1"/>
  <c r="E238" i="44"/>
  <c r="K238" s="1"/>
  <c r="K241"/>
  <c r="G61" i="41" s="1"/>
  <c r="K307" i="44"/>
  <c r="G75" i="41" s="1"/>
  <c r="M268" i="44"/>
  <c r="K310"/>
  <c r="G76" i="41" s="1"/>
  <c r="E305" i="44"/>
  <c r="K305" s="1"/>
  <c r="K478"/>
  <c r="J415" i="41" l="1"/>
  <c r="J391"/>
  <c r="J392"/>
  <c r="J393"/>
  <c r="J403"/>
  <c r="J404"/>
  <c r="J83"/>
  <c r="J88" s="1"/>
  <c r="J75"/>
  <c r="J76"/>
  <c r="J91"/>
  <c r="J96" s="1"/>
  <c r="J554"/>
  <c r="J555" s="1"/>
  <c r="J551"/>
  <c r="J547"/>
  <c r="J548"/>
  <c r="J549"/>
  <c r="J544"/>
  <c r="J540"/>
  <c r="J543"/>
  <c r="J504"/>
  <c r="J503"/>
  <c r="J491"/>
  <c r="J511"/>
  <c r="J486"/>
  <c r="J514"/>
  <c r="J506"/>
  <c r="J498"/>
  <c r="J484"/>
  <c r="J497"/>
  <c r="J502"/>
  <c r="J500"/>
  <c r="J493"/>
  <c r="J522"/>
  <c r="J508"/>
  <c r="J487"/>
  <c r="J496"/>
  <c r="J492"/>
  <c r="J499"/>
  <c r="J519"/>
  <c r="J480"/>
  <c r="J501"/>
  <c r="J479"/>
  <c r="J505"/>
  <c r="J515"/>
  <c r="J509"/>
  <c r="J513"/>
  <c r="J495"/>
  <c r="J494"/>
  <c r="J521"/>
  <c r="J510"/>
  <c r="J532"/>
  <c r="J535" s="1"/>
  <c r="J478"/>
  <c r="J507"/>
  <c r="J483"/>
  <c r="J518"/>
  <c r="J485"/>
  <c r="J512"/>
  <c r="J459"/>
  <c r="J447"/>
  <c r="J448"/>
  <c r="J449"/>
  <c r="J428"/>
  <c r="J422"/>
  <c r="J396"/>
  <c r="J467"/>
  <c r="J418"/>
  <c r="J461"/>
  <c r="J411"/>
  <c r="J419"/>
  <c r="J463"/>
  <c r="J464"/>
  <c r="J465"/>
  <c r="J394"/>
  <c r="J412"/>
  <c r="J442"/>
  <c r="J462"/>
  <c r="J450"/>
  <c r="J470"/>
  <c r="J452"/>
  <c r="J440"/>
  <c r="J469"/>
  <c r="J398"/>
  <c r="J455"/>
  <c r="J410"/>
  <c r="J454"/>
  <c r="J397"/>
  <c r="J443"/>
  <c r="J409"/>
  <c r="J413"/>
  <c r="J456"/>
  <c r="J444"/>
  <c r="J460"/>
  <c r="J446"/>
  <c r="J451"/>
  <c r="J468"/>
  <c r="J453"/>
  <c r="J427"/>
  <c r="J425"/>
  <c r="J429"/>
  <c r="J395"/>
  <c r="J466"/>
  <c r="J423"/>
  <c r="J445"/>
  <c r="J426"/>
  <c r="J441"/>
  <c r="J458"/>
  <c r="J439"/>
  <c r="J457"/>
  <c r="J477"/>
  <c r="J421"/>
  <c r="J424"/>
  <c r="J420"/>
  <c r="J345"/>
  <c r="J344"/>
  <c r="J354"/>
  <c r="J358" s="1"/>
  <c r="J346"/>
  <c r="J341"/>
  <c r="J336"/>
  <c r="J333"/>
  <c r="J337"/>
  <c r="J347"/>
  <c r="J320"/>
  <c r="J318"/>
  <c r="J310"/>
  <c r="J311"/>
  <c r="J309"/>
  <c r="J61"/>
  <c r="J40"/>
  <c r="J18"/>
  <c r="J283"/>
  <c r="J286"/>
  <c r="J292"/>
  <c r="J282"/>
  <c r="J266"/>
  <c r="J255"/>
  <c r="J265"/>
  <c r="J274"/>
  <c r="J280" s="1"/>
  <c r="J269"/>
  <c r="J258"/>
  <c r="J243"/>
  <c r="J248"/>
  <c r="J224"/>
  <c r="J236"/>
  <c r="J249"/>
  <c r="J203"/>
  <c r="J206"/>
  <c r="J205"/>
  <c r="J153"/>
  <c r="J159"/>
  <c r="J149"/>
  <c r="J156"/>
  <c r="J152"/>
  <c r="J134"/>
  <c r="J139" s="1"/>
  <c r="J118"/>
  <c r="J112"/>
  <c r="J115" s="1"/>
  <c r="J117"/>
  <c r="J121"/>
  <c r="J142"/>
  <c r="J143" s="1"/>
  <c r="J122"/>
  <c r="J20"/>
  <c r="J31"/>
  <c r="J35"/>
  <c r="J44"/>
  <c r="J39"/>
  <c r="J24"/>
  <c r="K476" i="44"/>
  <c r="G125" i="41" s="1"/>
  <c r="E175" i="44"/>
  <c r="K175" s="1"/>
  <c r="K173" s="1"/>
  <c r="G41" i="41" s="1"/>
  <c r="K303" i="44"/>
  <c r="G74" i="41" s="1"/>
  <c r="E316" i="44"/>
  <c r="K316" s="1"/>
  <c r="M198"/>
  <c r="E247"/>
  <c r="K247" s="1"/>
  <c r="K236"/>
  <c r="G60" i="41" s="1"/>
  <c r="J523" l="1"/>
  <c r="J416"/>
  <c r="J481"/>
  <c r="J314"/>
  <c r="J97"/>
  <c r="J552"/>
  <c r="J545"/>
  <c r="J516"/>
  <c r="J489"/>
  <c r="J475"/>
  <c r="J437"/>
  <c r="J405"/>
  <c r="J406" s="1"/>
  <c r="J325"/>
  <c r="J331" s="1"/>
  <c r="J348"/>
  <c r="J160"/>
  <c r="J60"/>
  <c r="J125"/>
  <c r="J74"/>
  <c r="J41"/>
  <c r="J42" s="1"/>
  <c r="J21"/>
  <c r="J299"/>
  <c r="J270"/>
  <c r="J250"/>
  <c r="J267"/>
  <c r="J46"/>
  <c r="J207"/>
  <c r="J208" s="1"/>
  <c r="J154"/>
  <c r="J123"/>
  <c r="K494" i="44"/>
  <c r="G127" i="41" s="1"/>
  <c r="K314" i="44"/>
  <c r="G77" i="41" s="1"/>
  <c r="K245" i="44"/>
  <c r="G62" i="41" s="1"/>
  <c r="J315" l="1"/>
  <c r="J77"/>
  <c r="J78" s="1"/>
  <c r="J524"/>
  <c r="J161"/>
  <c r="J127"/>
  <c r="J132" s="1"/>
  <c r="J62"/>
  <c r="J63" s="1"/>
  <c r="J271"/>
  <c r="D9" i="45"/>
  <c r="J79" i="41" l="1"/>
  <c r="J557" s="1"/>
  <c r="C13" i="33"/>
  <c r="E10" i="41"/>
  <c r="C11" i="50" s="1"/>
  <c r="C11" i="33" l="1"/>
  <c r="D23" i="45"/>
  <c r="D17"/>
  <c r="D27" l="1"/>
  <c r="D29" s="1"/>
  <c r="E29" s="1"/>
  <c r="I319" i="41" l="1"/>
  <c r="K319" s="1"/>
  <c r="I45"/>
  <c r="K45" s="1"/>
  <c r="I114"/>
  <c r="K114" s="1"/>
  <c r="I414"/>
  <c r="K414" s="1"/>
  <c r="I17"/>
  <c r="K17" s="1"/>
  <c r="I141"/>
  <c r="K141" s="1"/>
  <c r="I217"/>
  <c r="K217" s="1"/>
  <c r="I381"/>
  <c r="K381" s="1"/>
  <c r="I28"/>
  <c r="K28" s="1"/>
  <c r="I113"/>
  <c r="K113" s="1"/>
  <c r="I312"/>
  <c r="K312" s="1"/>
  <c r="I550"/>
  <c r="K550" s="1"/>
  <c r="I197"/>
  <c r="K197" s="1"/>
  <c r="I383"/>
  <c r="K383" s="1"/>
  <c r="I16"/>
  <c r="K16" s="1"/>
  <c r="I234"/>
  <c r="K234" s="1"/>
  <c r="I327"/>
  <c r="K327" s="1"/>
  <c r="I537"/>
  <c r="K537" s="1"/>
  <c r="I541"/>
  <c r="K541" s="1"/>
  <c r="I235"/>
  <c r="K235" s="1"/>
  <c r="I242"/>
  <c r="K242" s="1"/>
  <c r="I50"/>
  <c r="K50" s="1"/>
  <c r="I157"/>
  <c r="K157" s="1"/>
  <c r="I233"/>
  <c r="K233" s="1"/>
  <c r="I436"/>
  <c r="K436" s="1"/>
  <c r="I68"/>
  <c r="K68" s="1"/>
  <c r="I158"/>
  <c r="K158" s="1"/>
  <c r="I352"/>
  <c r="K352" s="1"/>
  <c r="I128"/>
  <c r="K128" s="1"/>
  <c r="I241"/>
  <c r="K241" s="1"/>
  <c r="I399"/>
  <c r="K399" s="1"/>
  <c r="I100"/>
  <c r="K100" s="1"/>
  <c r="I230"/>
  <c r="K230" s="1"/>
  <c r="I382"/>
  <c r="K382" s="1"/>
  <c r="I534"/>
  <c r="K534" s="1"/>
  <c r="I335"/>
  <c r="K335" s="1"/>
  <c r="I289"/>
  <c r="K289" s="1"/>
  <c r="I204"/>
  <c r="K204" s="1"/>
  <c r="I165"/>
  <c r="K165" s="1"/>
  <c r="I86"/>
  <c r="K86" s="1"/>
  <c r="I51"/>
  <c r="K51" s="1"/>
  <c r="I61"/>
  <c r="K61" s="1"/>
  <c r="I185"/>
  <c r="K185" s="1"/>
  <c r="I285"/>
  <c r="K285" s="1"/>
  <c r="I542"/>
  <c r="K542" s="1"/>
  <c r="I72"/>
  <c r="K72" s="1"/>
  <c r="I223"/>
  <c r="K223" s="1"/>
  <c r="I432"/>
  <c r="K432" s="1"/>
  <c r="I135"/>
  <c r="K135" s="1"/>
  <c r="I313"/>
  <c r="K313" s="1"/>
  <c r="I435"/>
  <c r="K435" s="1"/>
  <c r="I180"/>
  <c r="K180" s="1"/>
  <c r="I297"/>
  <c r="K297" s="1"/>
  <c r="I388"/>
  <c r="K388" s="1"/>
  <c r="I323"/>
  <c r="K323" s="1"/>
  <c r="I260"/>
  <c r="K260" s="1"/>
  <c r="I231"/>
  <c r="K231" s="1"/>
  <c r="I172"/>
  <c r="K172" s="1"/>
  <c r="I169"/>
  <c r="K169" s="1"/>
  <c r="I111"/>
  <c r="K111" s="1"/>
  <c r="I92"/>
  <c r="K92" s="1"/>
  <c r="I32"/>
  <c r="K32" s="1"/>
  <c r="I70"/>
  <c r="K70" s="1"/>
  <c r="I94"/>
  <c r="K94" s="1"/>
  <c r="I90"/>
  <c r="K90" s="1"/>
  <c r="I87"/>
  <c r="K87" s="1"/>
  <c r="I213"/>
  <c r="K213" s="1"/>
  <c r="K214" s="1"/>
  <c r="I307"/>
  <c r="K307" s="1"/>
  <c r="I11"/>
  <c r="K11" s="1"/>
  <c r="I95"/>
  <c r="K95" s="1"/>
  <c r="I228"/>
  <c r="K228" s="1"/>
  <c r="I526"/>
  <c r="K526" s="1"/>
  <c r="I166"/>
  <c r="K166" s="1"/>
  <c r="I375"/>
  <c r="K375" s="1"/>
  <c r="I13"/>
  <c r="K13" s="1"/>
  <c r="I194"/>
  <c r="K194" s="1"/>
  <c r="I301"/>
  <c r="K301" s="1"/>
  <c r="I434"/>
  <c r="K434" s="1"/>
  <c r="I343"/>
  <c r="K343" s="1"/>
  <c r="I287"/>
  <c r="K287" s="1"/>
  <c r="I219"/>
  <c r="K219" s="1"/>
  <c r="I176"/>
  <c r="K176" s="1"/>
  <c r="I173"/>
  <c r="K173" s="1"/>
  <c r="I107"/>
  <c r="K107" s="1"/>
  <c r="I18"/>
  <c r="K18" s="1"/>
  <c r="I58"/>
  <c r="K58" s="1"/>
  <c r="I181"/>
  <c r="K181" s="1"/>
  <c r="I202"/>
  <c r="K202" s="1"/>
  <c r="I84"/>
  <c r="K84" s="1"/>
  <c r="I91"/>
  <c r="K91" s="1"/>
  <c r="I120"/>
  <c r="K120" s="1"/>
  <c r="I170"/>
  <c r="K170" s="1"/>
  <c r="I93"/>
  <c r="K93" s="1"/>
  <c r="I25"/>
  <c r="K25" s="1"/>
  <c r="I130"/>
  <c r="K130" s="1"/>
  <c r="I60"/>
  <c r="K60" s="1"/>
  <c r="I247"/>
  <c r="K247" s="1"/>
  <c r="I256"/>
  <c r="K256" s="1"/>
  <c r="I298"/>
  <c r="K298" s="1"/>
  <c r="I372"/>
  <c r="K372" s="1"/>
  <c r="I538"/>
  <c r="K538" s="1"/>
  <c r="I184"/>
  <c r="K184" s="1"/>
  <c r="I34"/>
  <c r="K34" s="1"/>
  <c r="I240"/>
  <c r="K240" s="1"/>
  <c r="I253"/>
  <c r="K253" s="1"/>
  <c r="I373"/>
  <c r="K373" s="1"/>
  <c r="I53"/>
  <c r="K53" s="1"/>
  <c r="I101"/>
  <c r="K101" s="1"/>
  <c r="I77"/>
  <c r="K77" s="1"/>
  <c r="I137"/>
  <c r="K137" s="1"/>
  <c r="I131"/>
  <c r="K131" s="1"/>
  <c r="I237"/>
  <c r="K237" s="1"/>
  <c r="I294"/>
  <c r="K294" s="1"/>
  <c r="I328"/>
  <c r="K328" s="1"/>
  <c r="I385"/>
  <c r="K385" s="1"/>
  <c r="I376"/>
  <c r="K376" s="1"/>
  <c r="I527"/>
  <c r="K527" s="1"/>
  <c r="I238"/>
  <c r="K238" s="1"/>
  <c r="I275"/>
  <c r="K275" s="1"/>
  <c r="I357"/>
  <c r="K357" s="1"/>
  <c r="I371"/>
  <c r="K371" s="1"/>
  <c r="I356"/>
  <c r="K356" s="1"/>
  <c r="I528"/>
  <c r="K528" s="1"/>
  <c r="I351"/>
  <c r="K351" s="1"/>
  <c r="I362"/>
  <c r="K362" s="1"/>
  <c r="I303"/>
  <c r="K303" s="1"/>
  <c r="I291"/>
  <c r="K291" s="1"/>
  <c r="I295"/>
  <c r="K295" s="1"/>
  <c r="I33"/>
  <c r="K33" s="1"/>
  <c r="I262"/>
  <c r="K262" s="1"/>
  <c r="I220"/>
  <c r="K220" s="1"/>
  <c r="I168"/>
  <c r="K168" s="1"/>
  <c r="I52"/>
  <c r="K52" s="1"/>
  <c r="I29"/>
  <c r="K29" s="1"/>
  <c r="I384"/>
  <c r="K384" s="1"/>
  <c r="I322"/>
  <c r="K322" s="1"/>
  <c r="I263"/>
  <c r="K263" s="1"/>
  <c r="I389"/>
  <c r="K389" s="1"/>
  <c r="I136"/>
  <c r="K136" s="1"/>
  <c r="I62"/>
  <c r="K62" s="1"/>
  <c r="I150"/>
  <c r="K150" s="1"/>
  <c r="I49"/>
  <c r="K49" s="1"/>
  <c r="I71"/>
  <c r="K71" s="1"/>
  <c r="I23"/>
  <c r="K23" s="1"/>
  <c r="I106"/>
  <c r="K106" s="1"/>
  <c r="I218"/>
  <c r="K218" s="1"/>
  <c r="I246"/>
  <c r="K246" s="1"/>
  <c r="I261"/>
  <c r="K261" s="1"/>
  <c r="I364"/>
  <c r="K364" s="1"/>
  <c r="I390"/>
  <c r="K390" s="1"/>
  <c r="I104"/>
  <c r="K104" s="1"/>
  <c r="I12"/>
  <c r="K12" s="1"/>
  <c r="K14" s="1"/>
  <c r="I145"/>
  <c r="K145" s="1"/>
  <c r="K146" s="1"/>
  <c r="I279"/>
  <c r="K279" s="1"/>
  <c r="I302"/>
  <c r="K302" s="1"/>
  <c r="I430"/>
  <c r="K430" s="1"/>
  <c r="I201"/>
  <c r="K201" s="1"/>
  <c r="I56"/>
  <c r="K56" s="1"/>
  <c r="I127"/>
  <c r="K127" s="1"/>
  <c r="I75"/>
  <c r="K75" s="1"/>
  <c r="I167"/>
  <c r="K167" s="1"/>
  <c r="I188"/>
  <c r="K188" s="1"/>
  <c r="I308"/>
  <c r="K308" s="1"/>
  <c r="I342"/>
  <c r="K342" s="1"/>
  <c r="I401"/>
  <c r="K401" s="1"/>
  <c r="I387"/>
  <c r="K387" s="1"/>
  <c r="I520"/>
  <c r="K520" s="1"/>
  <c r="I245"/>
  <c r="K245" s="1"/>
  <c r="I293"/>
  <c r="K293" s="1"/>
  <c r="I361"/>
  <c r="K361" s="1"/>
  <c r="I378"/>
  <c r="K378" s="1"/>
  <c r="I377"/>
  <c r="K377" s="1"/>
  <c r="I531"/>
  <c r="K531" s="1"/>
  <c r="I539"/>
  <c r="K539" s="1"/>
  <c r="I488"/>
  <c r="K488" s="1"/>
  <c r="I369"/>
  <c r="K369" s="1"/>
  <c r="I368"/>
  <c r="K368" s="1"/>
  <c r="I360"/>
  <c r="K360" s="1"/>
  <c r="I339"/>
  <c r="K339" s="1"/>
  <c r="I284"/>
  <c r="K284" s="1"/>
  <c r="I276"/>
  <c r="K276" s="1"/>
  <c r="I226"/>
  <c r="K226" s="1"/>
  <c r="I174"/>
  <c r="K174" s="1"/>
  <c r="I65"/>
  <c r="K65" s="1"/>
  <c r="I171"/>
  <c r="K171" s="1"/>
  <c r="I186"/>
  <c r="K186" s="1"/>
  <c r="I129"/>
  <c r="K129" s="1"/>
  <c r="I40"/>
  <c r="K40" s="1"/>
  <c r="I38"/>
  <c r="K38" s="1"/>
  <c r="I126"/>
  <c r="K126" s="1"/>
  <c r="I200"/>
  <c r="K200" s="1"/>
  <c r="I74"/>
  <c r="K74" s="1"/>
  <c r="I59"/>
  <c r="K59" s="1"/>
  <c r="I108"/>
  <c r="K108" s="1"/>
  <c r="I210"/>
  <c r="K210" s="1"/>
  <c r="K211" s="1"/>
  <c r="I195"/>
  <c r="K195" s="1"/>
  <c r="I259"/>
  <c r="K259" s="1"/>
  <c r="I278"/>
  <c r="K278" s="1"/>
  <c r="I54"/>
  <c r="K54" s="1"/>
  <c r="I36"/>
  <c r="K36" s="1"/>
  <c r="I85"/>
  <c r="K85" s="1"/>
  <c r="I244"/>
  <c r="K244" s="1"/>
  <c r="I380"/>
  <c r="K380" s="1"/>
  <c r="I73"/>
  <c r="K73" s="1"/>
  <c r="I105"/>
  <c r="K105" s="1"/>
  <c r="I193"/>
  <c r="K193" s="1"/>
  <c r="I329"/>
  <c r="K329" s="1"/>
  <c r="I530"/>
  <c r="K530" s="1"/>
  <c r="I374"/>
  <c r="K374" s="1"/>
  <c r="I533"/>
  <c r="K533" s="1"/>
  <c r="I67"/>
  <c r="K67" s="1"/>
  <c r="I76"/>
  <c r="K76" s="1"/>
  <c r="I196"/>
  <c r="K196" s="1"/>
  <c r="I83"/>
  <c r="K83" s="1"/>
  <c r="I55"/>
  <c r="K55" s="1"/>
  <c r="I138"/>
  <c r="K138" s="1"/>
  <c r="I119"/>
  <c r="K119" s="1"/>
  <c r="I175"/>
  <c r="K175" s="1"/>
  <c r="I264"/>
  <c r="K264" s="1"/>
  <c r="I257"/>
  <c r="K257" s="1"/>
  <c r="I386"/>
  <c r="K386" s="1"/>
  <c r="I431"/>
  <c r="K431" s="1"/>
  <c r="I182"/>
  <c r="K182" s="1"/>
  <c r="I99"/>
  <c r="K99" s="1"/>
  <c r="K102" s="1"/>
  <c r="I189"/>
  <c r="K189" s="1"/>
  <c r="I296"/>
  <c r="K296" s="1"/>
  <c r="I367"/>
  <c r="K367" s="1"/>
  <c r="I66"/>
  <c r="K66" s="1"/>
  <c r="I69"/>
  <c r="K69" s="1"/>
  <c r="I19"/>
  <c r="K19" s="1"/>
  <c r="I151"/>
  <c r="K151" s="1"/>
  <c r="I225"/>
  <c r="K225" s="1"/>
  <c r="I252"/>
  <c r="K252" s="1"/>
  <c r="I321"/>
  <c r="K321" s="1"/>
  <c r="I363"/>
  <c r="K363" s="1"/>
  <c r="I474"/>
  <c r="K474" s="1"/>
  <c r="I471"/>
  <c r="K471" s="1"/>
  <c r="I227"/>
  <c r="K227" s="1"/>
  <c r="I290"/>
  <c r="K290" s="1"/>
  <c r="I334"/>
  <c r="K334" s="1"/>
  <c r="I402"/>
  <c r="K402" s="1"/>
  <c r="I379"/>
  <c r="K379" s="1"/>
  <c r="I472"/>
  <c r="K472" s="1"/>
  <c r="I355"/>
  <c r="K355" s="1"/>
  <c r="I340"/>
  <c r="K340" s="1"/>
  <c r="I288"/>
  <c r="K288" s="1"/>
  <c r="I239"/>
  <c r="K239" s="1"/>
  <c r="I179"/>
  <c r="K179" s="1"/>
  <c r="I125"/>
  <c r="K125" s="1"/>
  <c r="I37"/>
  <c r="K37" s="1"/>
  <c r="I30"/>
  <c r="K30" s="1"/>
  <c r="I82"/>
  <c r="K82" s="1"/>
  <c r="I353"/>
  <c r="K353" s="1"/>
  <c r="I400"/>
  <c r="K400" s="1"/>
  <c r="I41"/>
  <c r="K41" s="1"/>
  <c r="I183"/>
  <c r="K183" s="1"/>
  <c r="I232"/>
  <c r="K232" s="1"/>
  <c r="I338"/>
  <c r="K338" s="1"/>
  <c r="I433"/>
  <c r="K433" s="1"/>
  <c r="I324"/>
  <c r="K324" s="1"/>
  <c r="I370"/>
  <c r="K370" s="1"/>
  <c r="I529"/>
  <c r="K529" s="1"/>
  <c r="I473"/>
  <c r="K473" s="1"/>
  <c r="I304"/>
  <c r="K304" s="1"/>
  <c r="I254"/>
  <c r="K254" s="1"/>
  <c r="I277"/>
  <c r="K277" s="1"/>
  <c r="I229"/>
  <c r="K229" s="1"/>
  <c r="I187"/>
  <c r="K187" s="1"/>
  <c r="I57"/>
  <c r="K57" s="1"/>
  <c r="I27"/>
  <c r="K27" s="1"/>
  <c r="I26"/>
  <c r="K26" s="1"/>
  <c r="I392"/>
  <c r="K392" s="1"/>
  <c r="I403"/>
  <c r="K403" s="1"/>
  <c r="I543"/>
  <c r="K543" s="1"/>
  <c r="I497"/>
  <c r="K497" s="1"/>
  <c r="I501"/>
  <c r="K501" s="1"/>
  <c r="I532"/>
  <c r="K532" s="1"/>
  <c r="I464"/>
  <c r="K464" s="1"/>
  <c r="I394"/>
  <c r="K394" s="1"/>
  <c r="I469"/>
  <c r="K469" s="1"/>
  <c r="I441"/>
  <c r="K441" s="1"/>
  <c r="I311"/>
  <c r="K311" s="1"/>
  <c r="I258"/>
  <c r="K258" s="1"/>
  <c r="I203"/>
  <c r="K203" s="1"/>
  <c r="I122"/>
  <c r="K122" s="1"/>
  <c r="I31"/>
  <c r="K31" s="1"/>
  <c r="I415"/>
  <c r="K415" s="1"/>
  <c r="I554"/>
  <c r="K554" s="1"/>
  <c r="K555" s="1"/>
  <c r="I547"/>
  <c r="K547" s="1"/>
  <c r="I549"/>
  <c r="K549" s="1"/>
  <c r="I504"/>
  <c r="K504" s="1"/>
  <c r="I491"/>
  <c r="K491" s="1"/>
  <c r="I506"/>
  <c r="K506" s="1"/>
  <c r="I484"/>
  <c r="K484" s="1"/>
  <c r="I502"/>
  <c r="K502" s="1"/>
  <c r="I493"/>
  <c r="K493" s="1"/>
  <c r="I496"/>
  <c r="K496" s="1"/>
  <c r="I499"/>
  <c r="K499" s="1"/>
  <c r="I480"/>
  <c r="K480" s="1"/>
  <c r="I515"/>
  <c r="K515" s="1"/>
  <c r="I513"/>
  <c r="K513" s="1"/>
  <c r="I478"/>
  <c r="K478" s="1"/>
  <c r="I483"/>
  <c r="K483" s="1"/>
  <c r="I485"/>
  <c r="K485" s="1"/>
  <c r="I459"/>
  <c r="K459" s="1"/>
  <c r="I448"/>
  <c r="K448" s="1"/>
  <c r="I428"/>
  <c r="K428" s="1"/>
  <c r="I396"/>
  <c r="K396" s="1"/>
  <c r="I418"/>
  <c r="K418" s="1"/>
  <c r="I411"/>
  <c r="K411" s="1"/>
  <c r="I463"/>
  <c r="K463" s="1"/>
  <c r="I465"/>
  <c r="K465" s="1"/>
  <c r="I412"/>
  <c r="K412" s="1"/>
  <c r="I462"/>
  <c r="K462" s="1"/>
  <c r="I470"/>
  <c r="K470" s="1"/>
  <c r="I440"/>
  <c r="K440" s="1"/>
  <c r="I410"/>
  <c r="K410" s="1"/>
  <c r="I409"/>
  <c r="K409" s="1"/>
  <c r="I456"/>
  <c r="K456" s="1"/>
  <c r="I451"/>
  <c r="K451" s="1"/>
  <c r="I425"/>
  <c r="K425" s="1"/>
  <c r="I423"/>
  <c r="K423" s="1"/>
  <c r="I426"/>
  <c r="K426" s="1"/>
  <c r="I457"/>
  <c r="K457" s="1"/>
  <c r="I421"/>
  <c r="K421" s="1"/>
  <c r="I420"/>
  <c r="K420" s="1"/>
  <c r="I344"/>
  <c r="K344" s="1"/>
  <c r="I346"/>
  <c r="K346" s="1"/>
  <c r="I336"/>
  <c r="K336" s="1"/>
  <c r="I337"/>
  <c r="K337" s="1"/>
  <c r="I320"/>
  <c r="K320" s="1"/>
  <c r="I310"/>
  <c r="K310" s="1"/>
  <c r="I283"/>
  <c r="K283" s="1"/>
  <c r="I292"/>
  <c r="K292" s="1"/>
  <c r="I265"/>
  <c r="K265" s="1"/>
  <c r="I269"/>
  <c r="K269" s="1"/>
  <c r="K270" s="1"/>
  <c r="I243"/>
  <c r="K243" s="1"/>
  <c r="I224"/>
  <c r="K224" s="1"/>
  <c r="I249"/>
  <c r="K249" s="1"/>
  <c r="I206"/>
  <c r="K206" s="1"/>
  <c r="I149"/>
  <c r="K149" s="1"/>
  <c r="I152"/>
  <c r="K152" s="1"/>
  <c r="I118"/>
  <c r="K118" s="1"/>
  <c r="I117"/>
  <c r="K117" s="1"/>
  <c r="I20"/>
  <c r="K20" s="1"/>
  <c r="I35"/>
  <c r="K35" s="1"/>
  <c r="I39"/>
  <c r="K39" s="1"/>
  <c r="I153"/>
  <c r="K153" s="1"/>
  <c r="I391"/>
  <c r="K391" s="1"/>
  <c r="I393"/>
  <c r="K393" s="1"/>
  <c r="I404"/>
  <c r="K404" s="1"/>
  <c r="I540"/>
  <c r="K540" s="1"/>
  <c r="I486"/>
  <c r="K486" s="1"/>
  <c r="I508"/>
  <c r="K508" s="1"/>
  <c r="I479"/>
  <c r="K479" s="1"/>
  <c r="I494"/>
  <c r="K494" s="1"/>
  <c r="I510"/>
  <c r="K510" s="1"/>
  <c r="I398"/>
  <c r="K398" s="1"/>
  <c r="I397"/>
  <c r="K397" s="1"/>
  <c r="I460"/>
  <c r="K460" s="1"/>
  <c r="I453"/>
  <c r="K453" s="1"/>
  <c r="I395"/>
  <c r="K395" s="1"/>
  <c r="I458"/>
  <c r="K458" s="1"/>
  <c r="I309"/>
  <c r="K309" s="1"/>
  <c r="I266"/>
  <c r="K266" s="1"/>
  <c r="I142"/>
  <c r="K142" s="1"/>
  <c r="K143" s="1"/>
  <c r="I551"/>
  <c r="K551" s="1"/>
  <c r="I548"/>
  <c r="K548" s="1"/>
  <c r="I544"/>
  <c r="K544" s="1"/>
  <c r="I503"/>
  <c r="K503" s="1"/>
  <c r="I511"/>
  <c r="K511" s="1"/>
  <c r="I514"/>
  <c r="K514" s="1"/>
  <c r="I498"/>
  <c r="K498" s="1"/>
  <c r="I500"/>
  <c r="K500" s="1"/>
  <c r="I522"/>
  <c r="K522" s="1"/>
  <c r="I487"/>
  <c r="K487" s="1"/>
  <c r="I492"/>
  <c r="K492" s="1"/>
  <c r="I519"/>
  <c r="K519" s="1"/>
  <c r="I505"/>
  <c r="K505" s="1"/>
  <c r="I509"/>
  <c r="K509" s="1"/>
  <c r="I495"/>
  <c r="K495" s="1"/>
  <c r="I521"/>
  <c r="K521" s="1"/>
  <c r="I507"/>
  <c r="K507" s="1"/>
  <c r="I518"/>
  <c r="K518" s="1"/>
  <c r="I512"/>
  <c r="K512" s="1"/>
  <c r="I447"/>
  <c r="K447" s="1"/>
  <c r="I449"/>
  <c r="K449" s="1"/>
  <c r="I422"/>
  <c r="K422" s="1"/>
  <c r="I467"/>
  <c r="K467" s="1"/>
  <c r="I461"/>
  <c r="K461" s="1"/>
  <c r="I419"/>
  <c r="K419" s="1"/>
  <c r="I442"/>
  <c r="K442" s="1"/>
  <c r="I450"/>
  <c r="K450" s="1"/>
  <c r="I452"/>
  <c r="K452" s="1"/>
  <c r="I455"/>
  <c r="K455" s="1"/>
  <c r="I454"/>
  <c r="K454" s="1"/>
  <c r="I443"/>
  <c r="K443" s="1"/>
  <c r="I413"/>
  <c r="K413" s="1"/>
  <c r="I444"/>
  <c r="K444" s="1"/>
  <c r="I446"/>
  <c r="K446" s="1"/>
  <c r="I468"/>
  <c r="K468" s="1"/>
  <c r="I427"/>
  <c r="K427" s="1"/>
  <c r="I429"/>
  <c r="K429" s="1"/>
  <c r="I466"/>
  <c r="K466" s="1"/>
  <c r="I445"/>
  <c r="K445" s="1"/>
  <c r="I439"/>
  <c r="K439" s="1"/>
  <c r="I477"/>
  <c r="K477" s="1"/>
  <c r="K481" s="1"/>
  <c r="I424"/>
  <c r="K424" s="1"/>
  <c r="I345"/>
  <c r="K345" s="1"/>
  <c r="I354"/>
  <c r="K354" s="1"/>
  <c r="I341"/>
  <c r="K341" s="1"/>
  <c r="I333"/>
  <c r="K333" s="1"/>
  <c r="I347"/>
  <c r="K347" s="1"/>
  <c r="I318"/>
  <c r="K318" s="1"/>
  <c r="I286"/>
  <c r="K286" s="1"/>
  <c r="I282"/>
  <c r="K282" s="1"/>
  <c r="I255"/>
  <c r="K255" s="1"/>
  <c r="I274"/>
  <c r="K274" s="1"/>
  <c r="I248"/>
  <c r="K248" s="1"/>
  <c r="I236"/>
  <c r="K236" s="1"/>
  <c r="I205"/>
  <c r="K205" s="1"/>
  <c r="I159"/>
  <c r="K159" s="1"/>
  <c r="I156"/>
  <c r="K156" s="1"/>
  <c r="I134"/>
  <c r="K134" s="1"/>
  <c r="K139" s="1"/>
  <c r="I112"/>
  <c r="K112" s="1"/>
  <c r="I121"/>
  <c r="K121" s="1"/>
  <c r="I44"/>
  <c r="K44" s="1"/>
  <c r="K46" s="1"/>
  <c r="I24"/>
  <c r="K24" s="1"/>
  <c r="K21" l="1"/>
  <c r="K280"/>
  <c r="K325"/>
  <c r="K358"/>
  <c r="K115"/>
  <c r="D27" i="33" s="1"/>
  <c r="K160" i="41"/>
  <c r="K88"/>
  <c r="K198"/>
  <c r="K96"/>
  <c r="D33" i="33"/>
  <c r="H33" s="1"/>
  <c r="D33" i="50"/>
  <c r="K299" i="41"/>
  <c r="K348"/>
  <c r="K523"/>
  <c r="K123"/>
  <c r="K516"/>
  <c r="D65" i="33"/>
  <c r="D65" i="50"/>
  <c r="K190" i="41"/>
  <c r="D23" i="33"/>
  <c r="G23" s="1"/>
  <c r="D23" i="50"/>
  <c r="K42" i="41"/>
  <c r="K63"/>
  <c r="K314"/>
  <c r="K489"/>
  <c r="K405"/>
  <c r="D43" i="33"/>
  <c r="H43" s="1"/>
  <c r="D43" i="50"/>
  <c r="K207" i="41"/>
  <c r="K132"/>
  <c r="K109"/>
  <c r="K221"/>
  <c r="D45" i="33"/>
  <c r="D45" i="50"/>
  <c r="K250" i="41"/>
  <c r="K177"/>
  <c r="K416"/>
  <c r="K545"/>
  <c r="D17" i="33"/>
  <c r="D17" i="50"/>
  <c r="K475" i="41"/>
  <c r="D35" i="33"/>
  <c r="K35" s="1"/>
  <c r="D35" i="50"/>
  <c r="D27"/>
  <c r="K154" i="41"/>
  <c r="K161" s="1"/>
  <c r="K437"/>
  <c r="K552"/>
  <c r="K535"/>
  <c r="K267"/>
  <c r="D37" i="33"/>
  <c r="D37" i="50"/>
  <c r="K365" i="41"/>
  <c r="K78"/>
  <c r="K79" s="1"/>
  <c r="K305"/>
  <c r="K330"/>
  <c r="K331" s="1"/>
  <c r="D13" i="33"/>
  <c r="D13" i="50"/>
  <c r="D11" i="33"/>
  <c r="D11" i="50"/>
  <c r="F33" i="33"/>
  <c r="G35"/>
  <c r="J43"/>
  <c r="F43"/>
  <c r="J33"/>
  <c r="G33"/>
  <c r="F23"/>
  <c r="I23" l="1"/>
  <c r="H23"/>
  <c r="K27"/>
  <c r="F27"/>
  <c r="G27"/>
  <c r="I27"/>
  <c r="H27"/>
  <c r="J27"/>
  <c r="K23"/>
  <c r="J23"/>
  <c r="K271" i="41"/>
  <c r="K97"/>
  <c r="D21" i="50" s="1"/>
  <c r="J35" i="33"/>
  <c r="I33"/>
  <c r="K43"/>
  <c r="H35"/>
  <c r="I35"/>
  <c r="I43"/>
  <c r="K33"/>
  <c r="G43"/>
  <c r="D51"/>
  <c r="I51" s="1"/>
  <c r="D51" i="50"/>
  <c r="D47" i="33"/>
  <c r="D47" i="50"/>
  <c r="D19" i="33"/>
  <c r="G19" s="1"/>
  <c r="D19" i="50"/>
  <c r="D39" i="33"/>
  <c r="F39" s="1"/>
  <c r="D39" i="50"/>
  <c r="D61" i="33"/>
  <c r="D61" i="50"/>
  <c r="K315" i="41"/>
  <c r="D53" i="33"/>
  <c r="D53" i="50"/>
  <c r="D59" i="33"/>
  <c r="D59" i="50"/>
  <c r="D21" i="33"/>
  <c r="G21" s="1"/>
  <c r="D25"/>
  <c r="F25" s="1"/>
  <c r="D25" i="50"/>
  <c r="D63" i="33"/>
  <c r="D63" i="50"/>
  <c r="D31" i="33"/>
  <c r="D31" i="50"/>
  <c r="K406" i="41"/>
  <c r="D15" i="33"/>
  <c r="D15" i="50"/>
  <c r="D29" i="33"/>
  <c r="G29" s="1"/>
  <c r="D29" i="50"/>
  <c r="H37" i="33"/>
  <c r="F37"/>
  <c r="G37"/>
  <c r="K37"/>
  <c r="J37"/>
  <c r="I37"/>
  <c r="G45"/>
  <c r="F45"/>
  <c r="H45"/>
  <c r="J45"/>
  <c r="I45"/>
  <c r="K45"/>
  <c r="K208" i="41"/>
  <c r="H65" i="33"/>
  <c r="F65"/>
  <c r="G65"/>
  <c r="J65"/>
  <c r="K65"/>
  <c r="I65"/>
  <c r="K524" i="41"/>
  <c r="G11" i="33"/>
  <c r="K11"/>
  <c r="J11"/>
  <c r="H11"/>
  <c r="F11"/>
  <c r="I11"/>
  <c r="L23"/>
  <c r="G39"/>
  <c r="J39"/>
  <c r="H39"/>
  <c r="K39"/>
  <c r="I39"/>
  <c r="J21"/>
  <c r="H21"/>
  <c r="I21"/>
  <c r="G51"/>
  <c r="K51"/>
  <c r="I19"/>
  <c r="J19"/>
  <c r="H19"/>
  <c r="H29"/>
  <c r="I29"/>
  <c r="G47"/>
  <c r="K47"/>
  <c r="H47"/>
  <c r="I47"/>
  <c r="J47"/>
  <c r="F47"/>
  <c r="J13"/>
  <c r="G13"/>
  <c r="K13"/>
  <c r="H13"/>
  <c r="I13"/>
  <c r="H17"/>
  <c r="I17"/>
  <c r="J17"/>
  <c r="G17"/>
  <c r="K17"/>
  <c r="F35"/>
  <c r="F17"/>
  <c r="F15"/>
  <c r="F29"/>
  <c r="F13"/>
  <c r="L43" l="1"/>
  <c r="L33"/>
  <c r="L27"/>
  <c r="J51"/>
  <c r="F19"/>
  <c r="K19"/>
  <c r="F51"/>
  <c r="H51"/>
  <c r="J29"/>
  <c r="K29"/>
  <c r="K21"/>
  <c r="L65"/>
  <c r="D55"/>
  <c r="D55" i="50"/>
  <c r="H63" i="33"/>
  <c r="J63"/>
  <c r="K63"/>
  <c r="G63"/>
  <c r="I63"/>
  <c r="F63"/>
  <c r="K53"/>
  <c r="H53"/>
  <c r="J53"/>
  <c r="I53"/>
  <c r="G53"/>
  <c r="F53"/>
  <c r="L37"/>
  <c r="D49"/>
  <c r="D49" i="50"/>
  <c r="D41" i="33"/>
  <c r="D41" i="50"/>
  <c r="G31" i="33"/>
  <c r="J31"/>
  <c r="I31"/>
  <c r="K31"/>
  <c r="H31"/>
  <c r="H25"/>
  <c r="K25"/>
  <c r="J25"/>
  <c r="I25"/>
  <c r="G25"/>
  <c r="H59"/>
  <c r="K59"/>
  <c r="J59"/>
  <c r="I59"/>
  <c r="F59"/>
  <c r="G59"/>
  <c r="D57" i="50"/>
  <c r="D57" i="33"/>
  <c r="L45"/>
  <c r="K558" i="41"/>
  <c r="G15" i="33"/>
  <c r="J15"/>
  <c r="I15"/>
  <c r="H15"/>
  <c r="K15"/>
  <c r="K61"/>
  <c r="F61"/>
  <c r="I61"/>
  <c r="H61"/>
  <c r="J61"/>
  <c r="G61"/>
  <c r="L39"/>
  <c r="L47"/>
  <c r="L35"/>
  <c r="L13"/>
  <c r="L11"/>
  <c r="L19"/>
  <c r="L17"/>
  <c r="F31"/>
  <c r="L29" l="1"/>
  <c r="L51"/>
  <c r="L31"/>
  <c r="L53"/>
  <c r="L59"/>
  <c r="L25"/>
  <c r="L15"/>
  <c r="F57"/>
  <c r="G57"/>
  <c r="J57"/>
  <c r="H57"/>
  <c r="I57"/>
  <c r="K57"/>
  <c r="D67" i="50"/>
  <c r="D69" i="33"/>
  <c r="E57" s="1"/>
  <c r="J41"/>
  <c r="F41"/>
  <c r="G41"/>
  <c r="H41"/>
  <c r="K41"/>
  <c r="I41"/>
  <c r="H55"/>
  <c r="G55"/>
  <c r="I55"/>
  <c r="F55"/>
  <c r="J55"/>
  <c r="K55"/>
  <c r="L61"/>
  <c r="J49"/>
  <c r="G49"/>
  <c r="H49"/>
  <c r="K49"/>
  <c r="I49"/>
  <c r="F49"/>
  <c r="L63"/>
  <c r="L49" l="1"/>
  <c r="H67"/>
  <c r="H68" s="1"/>
  <c r="E65" i="50"/>
  <c r="E39"/>
  <c r="J67" i="33"/>
  <c r="J68" s="1"/>
  <c r="L41"/>
  <c r="G67"/>
  <c r="L55"/>
  <c r="K67"/>
  <c r="K68" s="1"/>
  <c r="I67"/>
  <c r="I68" s="1"/>
  <c r="L57"/>
  <c r="F21"/>
  <c r="E61" i="50" l="1"/>
  <c r="E63"/>
  <c r="E45"/>
  <c r="E53"/>
  <c r="E57"/>
  <c r="E47"/>
  <c r="E59"/>
  <c r="E51"/>
  <c r="E55"/>
  <c r="E49"/>
  <c r="E21"/>
  <c r="E41"/>
  <c r="E43"/>
  <c r="L21" i="33"/>
  <c r="L67" s="1"/>
  <c r="F67"/>
  <c r="F69" s="1"/>
  <c r="G69" s="1"/>
  <c r="H69" s="1"/>
  <c r="I69" s="1"/>
  <c r="J69" s="1"/>
  <c r="K69" s="1"/>
  <c r="E63"/>
  <c r="E59"/>
  <c r="E51"/>
  <c r="E43"/>
  <c r="E65"/>
  <c r="E49"/>
  <c r="E45"/>
  <c r="E61"/>
  <c r="E39"/>
  <c r="E41"/>
  <c r="E55"/>
  <c r="E53"/>
  <c r="E47"/>
  <c r="E33" i="50"/>
  <c r="E23"/>
  <c r="E13"/>
  <c r="E37"/>
  <c r="E31"/>
  <c r="E25"/>
  <c r="E15"/>
  <c r="E19"/>
  <c r="E17"/>
  <c r="E29"/>
  <c r="E27"/>
  <c r="E11"/>
  <c r="E35"/>
  <c r="E17" i="33"/>
  <c r="E23"/>
  <c r="E33"/>
  <c r="E37"/>
  <c r="E13"/>
  <c r="E31"/>
  <c r="E27"/>
  <c r="E19"/>
  <c r="E21"/>
  <c r="E15"/>
  <c r="E11"/>
  <c r="G68"/>
  <c r="E35"/>
  <c r="E29"/>
  <c r="E25"/>
  <c r="E67" i="50" l="1"/>
  <c r="E69" i="33"/>
  <c r="L68"/>
  <c r="F68"/>
  <c r="L69" l="1"/>
  <c r="M622" i="44"/>
</calcChain>
</file>

<file path=xl/comments1.xml><?xml version="1.0" encoding="utf-8"?>
<comments xmlns="http://schemas.openxmlformats.org/spreadsheetml/2006/main">
  <authors>
    <author>OBRASEDU</author>
    <author>Marcelo França Martins</author>
    <author>WEDNESDAY  RESIDENCES</author>
    <author>giovanna.mayer</author>
  </authors>
  <commentList>
    <comment ref="E8" authorId="0">
      <text>
        <r>
          <rPr>
            <b/>
            <sz val="9"/>
            <color indexed="81"/>
            <rFont val="Tahoma"/>
            <family val="2"/>
          </rPr>
          <t>Obra Médio -Grande porte 3x2 m;
Obra Pequeno porte 2,5x1,25 m</t>
        </r>
      </text>
    </comment>
    <comment ref="H10" authorId="0">
      <text>
        <r>
          <rPr>
            <b/>
            <sz val="9"/>
            <color indexed="81"/>
            <rFont val="Tahoma"/>
            <family val="2"/>
          </rPr>
          <t>Verificar a hora que o profissional ficará na obra.</t>
        </r>
        <r>
          <rPr>
            <sz val="9"/>
            <color indexed="81"/>
            <rFont val="Tahoma"/>
            <family val="2"/>
          </rPr>
          <t xml:space="preserve">
</t>
        </r>
      </text>
    </comment>
    <comment ref="E12" authorId="0">
      <text>
        <r>
          <rPr>
            <b/>
            <sz val="9"/>
            <color indexed="81"/>
            <rFont val="Tahoma"/>
            <family val="2"/>
          </rPr>
          <t>Obra Médio -Grande porte 3x2 m;
Obra Pequeno porte 2,5x1,25 m</t>
        </r>
      </text>
    </comment>
    <comment ref="E17" authorId="0">
      <text>
        <r>
          <rPr>
            <b/>
            <sz val="9"/>
            <color indexed="81"/>
            <rFont val="Tahoma"/>
            <family val="2"/>
          </rPr>
          <t>Obra Médio -Grande porte 3x2 m;
Obra Pequeno porte 2,5x1,25 m</t>
        </r>
      </text>
    </comment>
    <comment ref="E25" authorId="0">
      <text>
        <r>
          <rPr>
            <b/>
            <sz val="9"/>
            <color indexed="81"/>
            <rFont val="Tahoma"/>
            <family val="2"/>
          </rPr>
          <t>Obra Médio -Grande porte 3x2 m;
Obra Pequeno porte 2,5x1,25 m</t>
        </r>
      </text>
    </comment>
    <comment ref="E32" authorId="0">
      <text>
        <r>
          <rPr>
            <b/>
            <sz val="9"/>
            <color indexed="81"/>
            <rFont val="Tahoma"/>
            <family val="2"/>
          </rPr>
          <t>Obra Médio -Grande porte 3x2 m;
Obra Pequeno porte 2,5x1,25 m</t>
        </r>
      </text>
    </comment>
    <comment ref="E38" authorId="0">
      <text>
        <r>
          <rPr>
            <b/>
            <sz val="9"/>
            <color indexed="81"/>
            <rFont val="Tahoma"/>
            <family val="2"/>
          </rPr>
          <t>Obra Médio -Grande porte 3x2 m;
Obra Pequeno porte 2,5x1,25 m</t>
        </r>
      </text>
    </comment>
    <comment ref="E43" authorId="0">
      <text>
        <r>
          <rPr>
            <b/>
            <sz val="9"/>
            <color indexed="81"/>
            <rFont val="Tahoma"/>
            <family val="2"/>
          </rPr>
          <t>Obra Médio -Grande porte 3x2 m;
Obra Pequeno porte 2,5x1,25 m</t>
        </r>
      </text>
    </comment>
    <comment ref="E49" authorId="0">
      <text>
        <r>
          <rPr>
            <b/>
            <sz val="9"/>
            <color indexed="81"/>
            <rFont val="Tahoma"/>
            <family val="2"/>
          </rPr>
          <t>Obra Médio -Grande porte 3x2 m;
Obra Pequeno porte 2,5x1,25 m</t>
        </r>
      </text>
    </comment>
    <comment ref="E58" authorId="0">
      <text>
        <r>
          <rPr>
            <b/>
            <sz val="9"/>
            <color indexed="81"/>
            <rFont val="Tahoma"/>
            <family val="2"/>
          </rPr>
          <t>Obra Médio -Grande porte 3x2 m;
Obra Pequeno porte 2,5x1,25 m</t>
        </r>
      </text>
    </comment>
    <comment ref="E65" authorId="0">
      <text>
        <r>
          <rPr>
            <b/>
            <sz val="9"/>
            <color indexed="81"/>
            <rFont val="Tahoma"/>
            <family val="2"/>
          </rPr>
          <t>Obra Médio -Grande porte 3x2 m;
Obra Pequeno porte 2,5x1,25 m</t>
        </r>
      </text>
    </comment>
    <comment ref="E71" authorId="0">
      <text>
        <r>
          <rPr>
            <b/>
            <sz val="9"/>
            <color indexed="81"/>
            <rFont val="Tahoma"/>
            <family val="2"/>
          </rPr>
          <t>Obra Médio -Grande porte 3x2 m;
Obra Pequeno porte 2,5x1,25 m</t>
        </r>
      </text>
    </comment>
    <comment ref="E76" authorId="0">
      <text>
        <r>
          <rPr>
            <b/>
            <sz val="9"/>
            <color indexed="81"/>
            <rFont val="Tahoma"/>
            <family val="2"/>
          </rPr>
          <t>Obra Médio -Grande porte 3x2 m;
Obra Pequeno porte 2,5x1,25 m</t>
        </r>
      </text>
    </comment>
    <comment ref="E81" authorId="0">
      <text>
        <r>
          <rPr>
            <b/>
            <sz val="9"/>
            <color indexed="81"/>
            <rFont val="Tahoma"/>
            <family val="2"/>
          </rPr>
          <t>Obra Médio -Grande porte 3x2 m;
Obra Pequeno porte 2,5x1,25 m</t>
        </r>
      </text>
    </comment>
    <comment ref="E86" authorId="0">
      <text>
        <r>
          <rPr>
            <b/>
            <sz val="9"/>
            <color indexed="81"/>
            <rFont val="Tahoma"/>
            <family val="2"/>
          </rPr>
          <t>Obra Médio -Grande porte 3x2 m;
Obra Pequeno porte 2,5x1,25 m</t>
        </r>
      </text>
    </comment>
    <comment ref="E91" authorId="0">
      <text>
        <r>
          <rPr>
            <b/>
            <sz val="9"/>
            <color indexed="81"/>
            <rFont val="Tahoma"/>
            <family val="2"/>
          </rPr>
          <t>Obra Médio -Grande porte 3x2 m;
Obra Pequeno porte 2,5x1,25 m</t>
        </r>
      </text>
    </comment>
    <comment ref="E96" authorId="0">
      <text>
        <r>
          <rPr>
            <b/>
            <sz val="9"/>
            <color indexed="81"/>
            <rFont val="Tahoma"/>
            <family val="2"/>
          </rPr>
          <t>Obra Médio -Grande porte 3x2 m;
Obra Pequeno porte 2,5x1,25 m</t>
        </r>
      </text>
    </comment>
    <comment ref="E101" authorId="0">
      <text>
        <r>
          <rPr>
            <b/>
            <sz val="9"/>
            <color indexed="81"/>
            <rFont val="Tahoma"/>
            <family val="2"/>
          </rPr>
          <t>Obra Médio -Grande porte 3x2 m;
Obra Pequeno porte 2,5x1,25 m</t>
        </r>
      </text>
    </comment>
    <comment ref="E114" authorId="0">
      <text>
        <r>
          <rPr>
            <b/>
            <sz val="9"/>
            <color indexed="81"/>
            <rFont val="Tahoma"/>
            <family val="2"/>
          </rPr>
          <t>Obra Médio -Grande porte 3x2 m;
Obra Pequeno porte 2,5x1,25 m</t>
        </r>
      </text>
    </comment>
    <comment ref="E127" authorId="0">
      <text>
        <r>
          <rPr>
            <b/>
            <sz val="9"/>
            <color indexed="81"/>
            <rFont val="Tahoma"/>
            <family val="2"/>
          </rPr>
          <t>Obra Médio -Grande porte 3x2 m;
Obra Pequeno porte 2,5x1,25 m</t>
        </r>
      </text>
    </comment>
    <comment ref="E135" authorId="0">
      <text>
        <r>
          <rPr>
            <b/>
            <sz val="9"/>
            <color indexed="81"/>
            <rFont val="Tahoma"/>
            <family val="2"/>
          </rPr>
          <t>Obra Médio -Grande porte 3x2 m;
Obra Pequeno porte 2,5x1,25 m</t>
        </r>
      </text>
    </comment>
    <comment ref="E141" authorId="0">
      <text>
        <r>
          <rPr>
            <b/>
            <sz val="9"/>
            <color indexed="81"/>
            <rFont val="Tahoma"/>
            <family val="2"/>
          </rPr>
          <t>Obra Médio -Grande porte 3x2 m;
Obra Pequeno porte 2,5x1,25 m</t>
        </r>
      </text>
    </comment>
    <comment ref="E145" authorId="0">
      <text>
        <r>
          <rPr>
            <b/>
            <sz val="9"/>
            <color indexed="81"/>
            <rFont val="Tahoma"/>
            <family val="2"/>
          </rPr>
          <t>Obra Médio -Grande porte 3x2 m;
Obra Pequeno porte 2,5x1,25 m</t>
        </r>
      </text>
    </comment>
    <comment ref="E151" authorId="0">
      <text>
        <r>
          <rPr>
            <b/>
            <sz val="9"/>
            <color indexed="81"/>
            <rFont val="Tahoma"/>
            <family val="2"/>
          </rPr>
          <t>Obra Médio -Grande porte 3x2 m;
Obra Pequeno porte 2,5x1,25 m</t>
        </r>
      </text>
    </comment>
    <comment ref="E157" authorId="0">
      <text>
        <r>
          <rPr>
            <b/>
            <sz val="9"/>
            <color indexed="81"/>
            <rFont val="Tahoma"/>
            <family val="2"/>
          </rPr>
          <t>Obra Médio -Grande porte 3x2 m;
Obra Pequeno porte 2,5x1,25 m</t>
        </r>
      </text>
    </comment>
    <comment ref="E161" authorId="0">
      <text>
        <r>
          <rPr>
            <b/>
            <sz val="9"/>
            <color indexed="81"/>
            <rFont val="Tahoma"/>
            <family val="2"/>
          </rPr>
          <t>Obra Médio -Grande porte 3x2 m;
Obra Pequeno porte 2,5x1,25 m</t>
        </r>
      </text>
    </comment>
    <comment ref="E169" authorId="0">
      <text>
        <r>
          <rPr>
            <b/>
            <sz val="9"/>
            <color indexed="81"/>
            <rFont val="Tahoma"/>
            <family val="2"/>
          </rPr>
          <t>Obra Médio -Grande porte 3x2 m;
Obra Pequeno porte 2,5x1,25 m</t>
        </r>
      </text>
    </comment>
    <comment ref="E173" authorId="0">
      <text>
        <r>
          <rPr>
            <b/>
            <sz val="9"/>
            <color indexed="81"/>
            <rFont val="Tahoma"/>
            <family val="2"/>
          </rPr>
          <t>Obra Médio -Grande porte 3x2 m;
Obra Pequeno porte 2,5x1,25 m</t>
        </r>
      </text>
    </comment>
    <comment ref="M205" authorId="0">
      <text>
        <r>
          <rPr>
            <b/>
            <sz val="9"/>
            <color indexed="81"/>
            <rFont val="Tahoma"/>
            <family val="2"/>
          </rPr>
          <t>Preencher com o valor que consta no projeto.</t>
        </r>
      </text>
    </comment>
    <comment ref="M213" authorId="0">
      <text>
        <r>
          <rPr>
            <b/>
            <sz val="9"/>
            <color indexed="81"/>
            <rFont val="Tahoma"/>
            <family val="2"/>
          </rPr>
          <t>Será preenchido automáticamente pelo valor de projeto.</t>
        </r>
      </text>
    </comment>
    <comment ref="F252" authorId="0">
      <text>
        <r>
          <rPr>
            <b/>
            <sz val="9"/>
            <color indexed="81"/>
            <rFont val="Tahoma"/>
            <family val="2"/>
          </rPr>
          <t>Acrescentar 10 cm para facilitar a montagem da forma.</t>
        </r>
      </text>
    </comment>
    <comment ref="G252" authorId="0">
      <text>
        <r>
          <rPr>
            <b/>
            <sz val="9"/>
            <color indexed="81"/>
            <rFont val="Tahoma"/>
            <family val="2"/>
          </rPr>
          <t>Acrescentar 10 cm para facilitar a montagem da forma.</t>
        </r>
      </text>
    </comment>
    <comment ref="F286" authorId="0">
      <text>
        <r>
          <rPr>
            <b/>
            <sz val="9"/>
            <color indexed="81"/>
            <rFont val="Tahoma"/>
            <family val="2"/>
          </rPr>
          <t>Largura da peça.</t>
        </r>
      </text>
    </comment>
    <comment ref="G286" authorId="0">
      <text>
        <r>
          <rPr>
            <b/>
            <sz val="9"/>
            <color indexed="81"/>
            <rFont val="Tahoma"/>
            <family val="2"/>
          </rPr>
          <t>Altura da peça.</t>
        </r>
      </text>
    </comment>
    <comment ref="M293" authorId="1">
      <text>
        <r>
          <rPr>
            <b/>
            <sz val="9"/>
            <color indexed="81"/>
            <rFont val="Segoe UI"/>
            <family val="2"/>
          </rPr>
          <t>Preencher com o valor do projeto.</t>
        </r>
      </text>
    </comment>
    <comment ref="M295" authorId="1">
      <text>
        <r>
          <rPr>
            <b/>
            <sz val="9"/>
            <color indexed="81"/>
            <rFont val="Segoe UI"/>
            <family val="2"/>
          </rPr>
          <t>Preencher com o valor do projeto.</t>
        </r>
      </text>
    </comment>
    <comment ref="M297" authorId="1">
      <text>
        <r>
          <rPr>
            <b/>
            <sz val="9"/>
            <color indexed="81"/>
            <rFont val="Segoe UI"/>
            <family val="2"/>
          </rPr>
          <t>Preencher com o valor do projeto.</t>
        </r>
      </text>
    </comment>
    <comment ref="M299" authorId="1">
      <text>
        <r>
          <rPr>
            <b/>
            <sz val="9"/>
            <color indexed="81"/>
            <rFont val="Segoe UI"/>
            <family val="2"/>
          </rPr>
          <t>Preencher com o valor do projeto.</t>
        </r>
      </text>
    </comment>
    <comment ref="M335" authorId="0">
      <text>
        <r>
          <rPr>
            <b/>
            <sz val="9"/>
            <color indexed="81"/>
            <rFont val="Tahoma"/>
            <family val="2"/>
          </rPr>
          <t>Preencher com o valor de projeto.</t>
        </r>
      </text>
    </comment>
    <comment ref="M337" authorId="0">
      <text>
        <r>
          <rPr>
            <b/>
            <sz val="9"/>
            <color indexed="81"/>
            <rFont val="Tahoma"/>
            <family val="2"/>
          </rPr>
          <t>Preencher com o valor de projeto.</t>
        </r>
      </text>
    </comment>
    <comment ref="M351" authorId="0">
      <text>
        <r>
          <rPr>
            <b/>
            <sz val="9"/>
            <color indexed="81"/>
            <rFont val="Tahoma"/>
            <family val="2"/>
          </rPr>
          <t>Preencher com o valor de projeto.</t>
        </r>
      </text>
    </comment>
    <comment ref="M353" authorId="0">
      <text>
        <r>
          <rPr>
            <b/>
            <sz val="9"/>
            <color indexed="81"/>
            <rFont val="Tahoma"/>
            <family val="2"/>
          </rPr>
          <t>Preencher com o valor de projeto.</t>
        </r>
      </text>
    </comment>
    <comment ref="E381" authorId="2">
      <text>
        <r>
          <rPr>
            <sz val="9"/>
            <color indexed="81"/>
            <rFont val="Segoe UI"/>
            <family val="2"/>
          </rPr>
          <t xml:space="preserve">AREA DA JANELA 
</t>
        </r>
      </text>
    </comment>
    <comment ref="F381" authorId="2">
      <text>
        <r>
          <rPr>
            <b/>
            <sz val="9"/>
            <color indexed="81"/>
            <rFont val="Segoe UI"/>
            <family val="2"/>
          </rPr>
          <t>REPETIÇÕES</t>
        </r>
      </text>
    </comment>
    <comment ref="E382" authorId="2">
      <text>
        <r>
          <rPr>
            <sz val="9"/>
            <color indexed="81"/>
            <rFont val="Segoe UI"/>
            <family val="2"/>
          </rPr>
          <t xml:space="preserve">AREA DA CAIXA DE AR
</t>
        </r>
      </text>
    </comment>
    <comment ref="F382" authorId="2">
      <text>
        <r>
          <rPr>
            <b/>
            <sz val="9"/>
            <color indexed="81"/>
            <rFont val="Segoe UI"/>
            <family val="2"/>
          </rPr>
          <t>REPETIÇÕES</t>
        </r>
      </text>
    </comment>
    <comment ref="E391" authorId="0">
      <text>
        <r>
          <rPr>
            <b/>
            <sz val="9"/>
            <color indexed="81"/>
            <rFont val="Tahoma"/>
            <family val="2"/>
          </rPr>
          <t>Se for algo simples outros tipos de tesouras são encontradas mas não por m² e sim por unidade.</t>
        </r>
      </text>
    </comment>
    <comment ref="E393" authorId="0">
      <text>
        <r>
          <rPr>
            <b/>
            <sz val="9"/>
            <color indexed="81"/>
            <rFont val="Tahoma"/>
            <family val="2"/>
          </rPr>
          <t>Se for algo simples outros tipos de tesouras são encontradas mas não por m² e sim por unidade.</t>
        </r>
      </text>
    </comment>
    <comment ref="E395" authorId="0">
      <text>
        <r>
          <rPr>
            <b/>
            <sz val="9"/>
            <color indexed="81"/>
            <rFont val="Tahoma"/>
            <family val="2"/>
          </rPr>
          <t>Se for algo simples outros tipos de tesouras são encontradas mas não por m² e sim por unidade.</t>
        </r>
      </text>
    </comment>
    <comment ref="E412" authorId="0">
      <text>
        <r>
          <rPr>
            <b/>
            <sz val="9"/>
            <color indexed="81"/>
            <rFont val="Tahoma"/>
            <family val="2"/>
          </rPr>
          <t>OUTROS TIPOS DE TELHAS (CÓD. SINAPI)
PORTUGUESA 94195
COLONIAL 94201
FIBROCIMENTO 94207
TERMOACUSTICA 94216
FRANCESA 94440
ROMANA 94442
PLAN 94445
PAULISTA 94447</t>
        </r>
      </text>
    </comment>
    <comment ref="E519" authorId="0">
      <text>
        <r>
          <rPr>
            <b/>
            <sz val="9"/>
            <color indexed="81"/>
            <rFont val="Tahoma"/>
            <family val="2"/>
          </rPr>
          <t>Caso necessário piso sem armadura utilizar 94990.</t>
        </r>
      </text>
    </comment>
    <comment ref="M519" authorId="0">
      <text>
        <r>
          <rPr>
            <b/>
            <sz val="9"/>
            <color indexed="81"/>
            <rFont val="Tahoma"/>
            <family val="2"/>
          </rPr>
          <t xml:space="preserve">ADICIONAR A ESPESSURA DO PISO.
</t>
        </r>
      </text>
    </comment>
    <comment ref="M622" authorId="0">
      <text>
        <r>
          <rPr>
            <b/>
            <sz val="9"/>
            <color indexed="81"/>
            <rFont val="Tahoma"/>
            <family val="2"/>
          </rPr>
          <t>EM CASO DE SER A MESMA QUANTIDADE DO ITEM ANTERIOR.</t>
        </r>
      </text>
    </comment>
    <comment ref="M695" authorId="0">
      <text>
        <r>
          <rPr>
            <b/>
            <sz val="9"/>
            <color indexed="81"/>
            <rFont val="Tahoma"/>
            <family val="2"/>
          </rPr>
          <t>Preencher com o valor que consta no projeto.</t>
        </r>
      </text>
    </comment>
    <comment ref="M701" authorId="0">
      <text>
        <r>
          <rPr>
            <b/>
            <sz val="9"/>
            <color indexed="81"/>
            <rFont val="Tahoma"/>
            <family val="2"/>
          </rPr>
          <t>Será preenchido automáticamente pelo valor de projeto.</t>
        </r>
      </text>
    </comment>
    <comment ref="F754" authorId="0">
      <text>
        <r>
          <rPr>
            <b/>
            <sz val="9"/>
            <color indexed="81"/>
            <rFont val="Tahoma"/>
            <family val="2"/>
          </rPr>
          <t>Acrescentar 10 cm para facilitar a montagem da forma.</t>
        </r>
      </text>
    </comment>
    <comment ref="G754" authorId="0">
      <text>
        <r>
          <rPr>
            <b/>
            <sz val="9"/>
            <color indexed="81"/>
            <rFont val="Tahoma"/>
            <family val="2"/>
          </rPr>
          <t>Acrescentar 10 cm para facilitar a montagem da forma.</t>
        </r>
      </text>
    </comment>
    <comment ref="M832" authorId="0">
      <text>
        <r>
          <rPr>
            <b/>
            <sz val="9"/>
            <color indexed="81"/>
            <rFont val="Tahoma"/>
            <family val="2"/>
          </rPr>
          <t>Preencher com o valor de projeto.</t>
        </r>
      </text>
    </comment>
    <comment ref="E1080" authorId="3">
      <text>
        <r>
          <rPr>
            <b/>
            <sz val="9"/>
            <color indexed="81"/>
            <rFont val="Tahoma"/>
            <family val="2"/>
          </rPr>
          <t>giovanna.mayer:</t>
        </r>
        <r>
          <rPr>
            <sz val="9"/>
            <color indexed="81"/>
            <rFont val="Tahoma"/>
            <family val="2"/>
          </rPr>
          <t xml:space="preserve">
AREA É PI R² , SENDO QUE FOI CONSIDERADO UM DIAMETRO MAIOR QUE A MANILHA DE 2,2; FOI CONSIDERADO UM DAMETRO DE 2,5
</t>
        </r>
      </text>
    </comment>
    <comment ref="F1199" authorId="3">
      <text>
        <r>
          <rPr>
            <b/>
            <sz val="9"/>
            <color indexed="81"/>
            <rFont val="Tahoma"/>
            <family val="2"/>
          </rPr>
          <t>giovanna.mayer:</t>
        </r>
        <r>
          <rPr>
            <sz val="9"/>
            <color indexed="81"/>
            <rFont val="Tahoma"/>
            <family val="2"/>
          </rPr>
          <t xml:space="preserve">
FOI CONSICDERADO O CALCULO P UM ELETRODUTO DE  4''  NO CASO 0,1016 M DE DIAMETRO O VOLUME É 2 X PIX R2 X COMPRIMENTO TOTAL ´QUE FOI DE 51,90
</t>
        </r>
      </text>
    </comment>
  </commentList>
</comments>
</file>

<file path=xl/comments2.xml><?xml version="1.0" encoding="utf-8"?>
<comments xmlns="http://schemas.openxmlformats.org/spreadsheetml/2006/main">
  <authors>
    <author>Marcelo França Martins</author>
  </authors>
  <commentList>
    <comment ref="B2" authorId="0">
      <text>
        <r>
          <rPr>
            <b/>
            <sz val="9"/>
            <color indexed="81"/>
            <rFont val="Segoe UI"/>
            <family val="2"/>
          </rPr>
          <t>Marcelo França Martins:</t>
        </r>
        <r>
          <rPr>
            <sz val="9"/>
            <color indexed="81"/>
            <rFont val="Segoe UI"/>
            <family val="2"/>
          </rPr>
          <t xml:space="preserve">
VAMOS TRABALHAR COM OS DADOS PRÉ-ESTABELECIDOS NO ACORDO DO TCU
</t>
        </r>
      </text>
    </comment>
    <comment ref="C20" authorId="0">
      <text>
        <r>
          <rPr>
            <b/>
            <sz val="9"/>
            <color indexed="81"/>
            <rFont val="Segoe UI"/>
            <family val="2"/>
          </rPr>
          <t>Marcelo França Martins:</t>
        </r>
        <r>
          <rPr>
            <sz val="9"/>
            <color indexed="81"/>
            <rFont val="Segoe UI"/>
            <family val="2"/>
          </rPr>
          <t xml:space="preserve">
SEMPRE PESQUISAR A LEI VIGENTE NO MUNICIPIO</t>
        </r>
      </text>
    </comment>
  </commentList>
</comments>
</file>

<file path=xl/connections.xml><?xml version="1.0" encoding="utf-8"?>
<connections xmlns="http://schemas.openxmlformats.org/spreadsheetml/2006/main">
  <connection id="1" name="Conexão1" type="4" refreshedVersion="2" background="1" saveData="1">
    <webPr sourceData="1" parsePre="1" consecutive="1" xl2000="1" url="file:///C:/Documents%20and%20Settings/Alice%20Ens/Meus%20documentos/Documentos%20Alice%20em%20'alice1'%20(Z)/Edlene/UFMT/Instituto%20de%20computa%E7%E3o%202o%20etapa/Relat%F3rios/RelatorioMateriais.html" htmlTables="1">
      <tables count="1">
        <x v="2"/>
      </tables>
    </webPr>
  </connection>
</connections>
</file>

<file path=xl/sharedStrings.xml><?xml version="1.0" encoding="utf-8"?>
<sst xmlns="http://schemas.openxmlformats.org/spreadsheetml/2006/main" count="89886" uniqueCount="15733">
  <si>
    <t>2.3</t>
  </si>
  <si>
    <t>FONTE</t>
  </si>
  <si>
    <t>ITEM</t>
  </si>
  <si>
    <t>CÓDIGO</t>
  </si>
  <si>
    <t>ESPECIFICAÇÃO</t>
  </si>
  <si>
    <t>UNID.</t>
  </si>
  <si>
    <t>QUANT.</t>
  </si>
  <si>
    <t>1.1</t>
  </si>
  <si>
    <t>SINAPI</t>
  </si>
  <si>
    <t>TOTAL</t>
  </si>
  <si>
    <t xml:space="preserve">  VALOR TOTAL DA OBRA COM BDI</t>
  </si>
  <si>
    <t>DESCRIÇÃO / ETAPA</t>
  </si>
  <si>
    <t>PERÍODO DE EXECUÇÃO DA OBRA</t>
  </si>
  <si>
    <t>VALOR (R$)</t>
  </si>
  <si>
    <t>(%)</t>
  </si>
  <si>
    <t>mês 01</t>
  </si>
  <si>
    <t>mês 02</t>
  </si>
  <si>
    <t>M</t>
  </si>
  <si>
    <t xml:space="preserve">  VALOR TOTAL DA OBRA SEM BDI</t>
  </si>
  <si>
    <t>TOTAL ACUMULADO MENSAL</t>
  </si>
  <si>
    <t>KG</t>
  </si>
  <si>
    <t>m</t>
  </si>
  <si>
    <t>DESCRIÇÃO</t>
  </si>
  <si>
    <t>H</t>
  </si>
  <si>
    <t>kg</t>
  </si>
  <si>
    <t>AZULEJISTA OU LADRILHISTA COM ENCARGOS COMPLEMENTARES</t>
  </si>
  <si>
    <t>SERVENTE COM ENCARGOS COMPLEMENTARES</t>
  </si>
  <si>
    <t>3.1</t>
  </si>
  <si>
    <t>7.1</t>
  </si>
  <si>
    <t>3.2</t>
  </si>
  <si>
    <t>3.3</t>
  </si>
  <si>
    <t>QUADRO DE DISTRIBUICAO DE ENERGIA DE EMBUTIR, EM CHAPA METALICA, PARA 18 DISJUNTORES TERMOMAGNETICOS MONOPOLARES, COM BARRAMENTO TRIFASICO E NEUTRO, FORNECIMENTO E INSTALACAO</t>
  </si>
  <si>
    <t>QUADRO DE DISTRIBUICAO DE ENERGIA DE EMBUTIR, EM CHAPA METALICA, PARA 24 DISJUNTORES TERMOMAGNETICOS MONOPOLARES, COM BARRAMENTO TRIFASICO E NEUTRO, FORNECIMENTO E INSTALACAO</t>
  </si>
  <si>
    <t>M3</t>
  </si>
  <si>
    <t>APLICAÇÃO MANUAL DE PINTURA COM TINTA LÁTEX ACRÍLICA EM PAREDES, DUAS DEMÃOS. AF_06/2014</t>
  </si>
  <si>
    <t>UN</t>
  </si>
  <si>
    <t>CRONOGRAMA FÍSICO-FINANCEIRO</t>
  </si>
  <si>
    <t>2.2</t>
  </si>
  <si>
    <t>CARGA MANUAL DE ENTULHO EM CAMINHAO BASCULANTE 6 M3</t>
  </si>
  <si>
    <t>3.4</t>
  </si>
  <si>
    <t>m2</t>
  </si>
  <si>
    <t>m3</t>
  </si>
  <si>
    <t>APLICAÇÃO DE FUNDO SELADOR ACRÍLICO EM PAREDES, UMA DEMÃO. AF_06/2014</t>
  </si>
  <si>
    <t>SERVIÇOS DIVERSOS</t>
  </si>
  <si>
    <t>CHP</t>
  </si>
  <si>
    <t>AJUDANTE DE CARPINTEIRO COM ENCARGOS COMPLEMENTARES</t>
  </si>
  <si>
    <t>CARPINTEIRO DE FORMAS COM ENCARGOS COMPLEMENTARES</t>
  </si>
  <si>
    <t>PEDREIRO COM ENCARGOS COMPLEMENTARES</t>
  </si>
  <si>
    <t>M2</t>
  </si>
  <si>
    <t>SERRALHEIRO COM ENCARGOS COMPLEMENTARES</t>
  </si>
  <si>
    <t>ENCANADOR OU BOMBEIRO HIDRÁULICO COM ENCARGOS COMPLEMENTARES</t>
  </si>
  <si>
    <t>APLICAÇÃO DE FUNDO SELADOR LÁTEX PVA EM PAREDES, UMA DEMÃO. AF_06/2014</t>
  </si>
  <si>
    <t>ELETRICISTA COM ENCARGOS COMPLEMENTARES</t>
  </si>
  <si>
    <t>CARPINTEIRO DE ESQUADRIA COM ENCARGOS COMPLEMENTARES</t>
  </si>
  <si>
    <t>AUXILIAR DE ELETRICISTA COM ENCARGOS COMPLEMENTARES</t>
  </si>
  <si>
    <t>LANÇAMENTO COM USO DE BALDES, ADENSAMENTO E ACABAMENTO DE CONCRETO EM ESTRUTURAS. AF_12/2015</t>
  </si>
  <si>
    <t>TOMADA ALTA DE EMBUTIR (1 MÓDULO), 2P+T 10 A, SEM SUPORTE E SEM PLACA - FORNECIMENTO E INSTALAÇÃO. AF_12/2015</t>
  </si>
  <si>
    <t>ESCAVACAO MECANICA DE VALA EM MATERIAL 2A. CATEGORIA DE 2,01 ATE 4,00 M DE PROFUNDIDADE COM UTILIZACAO DE ESCAVADEIRA HIDRAULICA</t>
  </si>
  <si>
    <t>L</t>
  </si>
  <si>
    <t>T</t>
  </si>
  <si>
    <t>ROLO COMPACTADOR VIBRATÓRIO PÉ DE CARNEIRO PARA SOLOS, POTÊNCIA 80 HP, PESO OPERACIONAL SEM/COM LASTRO 7,4 / 8,8 T, LARGURA DE TRABALHO 1,68 M - MANUTENÇÃO. AF_02/2016</t>
  </si>
  <si>
    <t>CHI</t>
  </si>
  <si>
    <t>GRADE DE DISCO CONTROLE REMOTO REBOCÁVEL, COM 24 DISCOS 24 X 6 MM COM PNEUS PARA TRANSPORTE - CHP DIURNO. AF_06/2014</t>
  </si>
  <si>
    <t>USINA DE CONCRETO FIXA, CAPACIDADE NOMINAL DE 90 A 120 M3/H, SEM SILO - MATERIAIS NA OPERAÇÃO. AF_07/2016</t>
  </si>
  <si>
    <t>TRATOR DE PNEUS, POTÊNCIA 85 CV, TRAÇÃO 4X4, PESO COM LASTRO DE 4.675 KG - MANUTENÇÃO. AF_06/2014</t>
  </si>
  <si>
    <t>TRATOR DE PNEUS, POTÊNCIA 85 CV, TRAÇÃO 4X4, PESO COM LASTRO DE 4.675 KG - MATERIAIS NA OPERAÇÃO. AF_06/2014</t>
  </si>
  <si>
    <t>TRATOR DE ESTEIRAS, POTÊNCIA 150 HP, PESO OPERACIONAL 16,7 T, COM RODA MOTRIZ ELEVADA E LÂMINA 3,18 M3 - MATERIAIS NA OPERAÇÃO. AF_06/2014</t>
  </si>
  <si>
    <t>CAMINHÃO TOCO, PESO BRUTO TOTAL 14.300 KG, CARGA ÚTIL MÁXIMA 9590 KG, DISTÂNCIA ENTRE EIXOS 4,76 M, POTÊNCIA 185 CV (NÃO INCLUI CARROCERIA) - MANUTENÇÃO. AF_06/2014</t>
  </si>
  <si>
    <t>ESPARGIDOR DE ASFALTO PRESSURIZADO COM TANQUE DE 2500 L, REBOCÁVEL COM MOTOR A GASOLINA POTÊNCIA 3,4 HP - MANUTENÇÃO. AF_07/2014</t>
  </si>
  <si>
    <t>ESPARGIDOR DE ASFALTO PRESSURIZADO COM TANQUE DE 2500 L, REBOCÁVEL COM MOTOR A GASOLINA POTÊNCIA 3,4 HP - MATERIAIS NA OPERAÇÃO. AF_07/2014</t>
  </si>
  <si>
    <t>MOTONIVELADORA POTÊNCIA BÁSICA LÍQUIDA (PRIMEIRA MARCHA) 125 HP, PESO BRUTO 13032 KG, LARGURA DA LÂMINA DE 3,7 M - MANUTENÇÃO. AF_06/2014</t>
  </si>
  <si>
    <t>MARTELETE OU ROMPEDOR PNEUMÁTICO MANUAL, 28 KG, COM SILENCIADOR - CHP DIURNO. AF_07/2016</t>
  </si>
  <si>
    <t>COMPRESSOR DE AR REBOCÁVEL, VAZÃO 189 PCM, PRESSÃO EFETIVA DE TRABALHO 102 PSI, MOTOR DIESEL, POTÊNCIA 63 CV - MANUTENÇÃO. AF_06/2015</t>
  </si>
  <si>
    <t>USINA DE CONCRETO FIXA, CAPACIDADE NOMINAL DE 90 A 120 M3/H, SEM SILO - CHP DIURNO. AF_07/2016</t>
  </si>
  <si>
    <t>USINA DE CONCRETO FIXA, CAPACIDADE NOMINAL DE 90 A 120 M3/H, SEM SILO - CHI DIURNO. AF_07/2016</t>
  </si>
  <si>
    <t>TRATOR DE PNEUS, POTÊNCIA 122 CV, TRAÇÃO 4X4, PESO COM LASTRO DE 4.510 KG - CHP DIURNO. AF_06/2014</t>
  </si>
  <si>
    <t>TRATOR DE PNEUS, POTÊNCIA 122 CV, TRAÇÃO 4X4, PESO COM LASTRO DE 4.510 KG - CHI DIURNO. AF_06/2014</t>
  </si>
  <si>
    <t>TRATOR DE ESTEIRAS, POTÊNCIA 150 HP, PESO OPERACIONAL 16,7 T, COM RODA MOTRIZ ELEVADA E LÂMINA 3,18 M3 - CHP DIURNO. AF_06/2014</t>
  </si>
  <si>
    <t>TRATOR DE ESTEIRAS, POTÊNCIA 150 HP, PESO OPERACIONAL 16,7 T, COM RODA MOTRIZ ELEVADA E LÂMINA 3,18 M3 - CHI DIURNO. AF_06/2014</t>
  </si>
  <si>
    <t>CAMINHÃO TOCO, PESO BRUTO TOTAL 14.300 KG, CARGA ÚTIL MÁXIMA 9590 KG, DISTÂNCIA ENTRE EIXOS 4,76 M, POTÊNCIA 185 CV (NÃO INCLUI CARROCERIA) - CHP DIURNO. AF_06/2014</t>
  </si>
  <si>
    <t>CAMINHÃO TOCO, PESO BRUTO TOTAL 14.300 KG, CARGA ÚTIL MÁXIMA 9590 KG, DISTÂNCIA ENTRE EIXOS 4,76 M, POTÊNCIA 185 CV (NÃO INCLUI CARROCERIA) - CHI DIURNO. AF_06/2014</t>
  </si>
  <si>
    <t>ESPARGIDOR DE ASFALTO PRESSURIZADO COM TANQUE DE 2500 L, REBOCÁVEL COM MOTOR A GASOLINA POTÊNCIA 3,4 HP - CHP DIURNO. AF_07/2014</t>
  </si>
  <si>
    <t>ESPARGIDOR DE ASFALTO PRESSURIZADO COM TANQUE DE 2500 L, REBOCÁVEL COM MOTOR A GASOLINA POTÊNCIA 3,4 HP - CHI DIURNO. AF_07/2014</t>
  </si>
  <si>
    <t>MOTONIVELADORA POTÊNCIA BÁSICA LÍQUIDA (PRIMEIRA MARCHA) 125 HP, PESO BRUTO 13032 KG, LARGURA DA LÂMINA DE 3,7 M - CHP DIURNO. AF_06/2014</t>
  </si>
  <si>
    <t>MOTONIVELADORA POTÊNCIA BÁSICA LÍQUIDA (PRIMEIRA MARCHA) 125 HP, PESO BRUTO 13032 KG, LARGURA DA LÂMINA DE 3,7 M - CHI DIURNO. AF_06/2014</t>
  </si>
  <si>
    <t>MARTELETE OU ROMPEDOR PNEUMÁTICO MANUAL, 28 KG, COM SILENCIADOR - CHI DIURNO. AF_07/2016</t>
  </si>
  <si>
    <t>COMPRESSOR DE AR REBOCÁVEL, VAZÃO 189 PCM, PRESSÃO EFETIVA DE TRABALHO 102 PSI, MOTOR DIESEL, POTÊNCIA 63 CV - CHP DIURNO. AF_06/2015</t>
  </si>
  <si>
    <t>COMPRESSOR DE AR REBOCÁVEL, VAZÃO 189 PCM, PRESSÃO EFETIVA DE TRABALHO 102 PSI, MOTOR DIESEL, POTÊNCIA 63 CV - CHI DIURNO. AF_06/2015</t>
  </si>
  <si>
    <t>PINTURA EM VERNIZ SINTETICO BRILHANTE EM MADEIRA, TRES DEMAOS</t>
  </si>
  <si>
    <t>TAMPA EM CONCRETO ARMADO 60X60X5CM P/CX INSPECAO/FOSSA SEPTICA</t>
  </si>
  <si>
    <t>TAMPA DE CONCRETO ARMADO 60X60X5CM PARA CAIXA</t>
  </si>
  <si>
    <t>TRATOR DE PNEUS, POTÊNCIA 122 CV, TRAÇÃO 4X4, PESO COM LASTRO DE 4.510 KG - DEPRECIAÇÃO. AF_06/2014</t>
  </si>
  <si>
    <t>TRATOR DE PNEUS, POTÊNCIA 122 CV, TRAÇÃO 4X4, PESO COM LASTRO DE 4.510 KG - JUROS. AF_06/2014</t>
  </si>
  <si>
    <t>TRATOR DE PNEUS, POTÊNCIA 122 CV, TRAÇÃO 4X4, PESO COM LASTRO DE 4.510 KG - MANUTENÇÃO. AF_06/2014</t>
  </si>
  <si>
    <t>TRATOR DE PNEUS, POTÊNCIA 122 CV, TRAÇÃO 4X4, PESO COM LASTRO DE 4.510 KG - MATERIAIS NA OPERAÇÃO. AF_06/2014</t>
  </si>
  <si>
    <t>LIMPEZA FINAL DA OBRA</t>
  </si>
  <si>
    <t>MES</t>
  </si>
  <si>
    <t>SC25KG</t>
  </si>
  <si>
    <t>ASSENTAMENTO DE PEITORIL COM ARGAMASSA DE CIMENTO COLANTE</t>
  </si>
  <si>
    <t>VERNIZ SINTETICO EM MADEIRA, DUAS DEMAOS</t>
  </si>
  <si>
    <t>PINTURA ACRILICA DE FAIXAS DE DEMARCACAO EM QUADRA POLIESPORTIVA, 5 CM DE LARGURA</t>
  </si>
  <si>
    <t>USINA DE CONCRETO FIXA, CAPACIDADE NOMINAL DE 90 A 120 M3/H, SEM SILO - MANUTENÇÃO. AF_07/2016</t>
  </si>
  <si>
    <t>TRATOR DE ESTEIRAS, POTÊNCIA 150 HP, PESO OPERACIONAL 16,7 T, COM RODA MOTRIZ ELEVADA E LÂMINA 3,18 M3 - MANUTENÇÃO. AF_06/2014</t>
  </si>
  <si>
    <t>CAMINHÃO TOCO, PESO BRUTO TOTAL 14.300 KG, CARGA ÚTIL MÁXIMA 9590 KG, DISTÂNCIA ENTRE EIXOS 4,76 M, POTÊNCIA 185 CV (NÃO INCLUI CARROCERIA) - MATERIAIS NA OPERAÇÃO. AF_06/2014</t>
  </si>
  <si>
    <t>CAIXA DE PROTECAO PARA MEDIDOR MONOFASICO, FORNECIMENTO E INSTALACAO</t>
  </si>
  <si>
    <t>VIDRO LISO COMUM TRANSPARENTE, ESPESSURA 3MM</t>
  </si>
  <si>
    <t>VIDRO LISO COMUM TRANSPARENTE, ESPESSURA 4MM</t>
  </si>
  <si>
    <t>VIDRO FANTASIA TIPO CANELADO, ESPESSURA 4MM</t>
  </si>
  <si>
    <t>VIDRO ARAMADO, ESPESSURA 7MM</t>
  </si>
  <si>
    <t>RETIRADA DE DIVISORIAS EM CHAPAS DE MADEIRA, COM MONTANTES METALICOS</t>
  </si>
  <si>
    <t>PISO DE BORRACHA FRISADO, ESPESSURA 7MM, ASSENTADO COM ARGAMASSA TRACO 1:3 (CIMENTO E AREIA)</t>
  </si>
  <si>
    <t>RODAPE BORRACHA LISO, ALTURA = 7CM, ESPESSURA = 2 MM, PARA ARGAMASSA</t>
  </si>
  <si>
    <t>LAMPADA VAPOR METALICO 400W - FORNECIMENTO E INSTALACAO</t>
  </si>
  <si>
    <t>IGNITOR PARA PARTIDA LÂMPADA VAPOR SÓDIO ALTA PRESSÃO ATÉ 400W</t>
  </si>
  <si>
    <t>REATOR PARA LAMPADA VAPOR DE MERCURIO USO EXTERNO 220V/400W</t>
  </si>
  <si>
    <t>CAIXA DE AREIA 40X40X40CM EM ALVENARIA - EXECUÇÃO</t>
  </si>
  <si>
    <t>CAIXA DE INCÊNDIO 45X75X17CM - FORNECIMENTO E INSTALAÇÃO</t>
  </si>
  <si>
    <t>COTOVELO DE AÇO GALVANIZADO 4" - FORNECIMENTO E INSTALAÇÃO</t>
  </si>
  <si>
    <t>COTOVELO DE AÇO GALVANIZADO 5" - FORNECIMENTO E INSTALAÇÃO</t>
  </si>
  <si>
    <t>COTOVELO DE AÇO GALVANIZADO 6" - FORNECIMENTO E INSTALAÇÃO</t>
  </si>
  <si>
    <t>CONTATOR TRIPOLAR I NOMINAL 12A - FORNECIMENTO E INSTALACAO INCLUSIVE ELETROTÉCNICO</t>
  </si>
  <si>
    <t>CONTATOR TRIPOLAR I NOMINAL 22A - FORNECIMENTO E INSTALACAO INCLUSIVE ELETROTÉCNICO</t>
  </si>
  <si>
    <t>CONTATOR TRIPOLAR I NOMINAL 36A - FORNECIMENTO E INSTALACAO INCLUSIVE ELETROTÉCNICO</t>
  </si>
  <si>
    <t>CONTATOR TRIPOLAR I NOMIMAL 94A - FORNECIMENTO E INSTALACAO INCLUSIVE ELETROTÉCNICO</t>
  </si>
  <si>
    <t>UNIAO DE ACO GALVANIZADO 4" - FORNECIMENTO E INSTALACAO</t>
  </si>
  <si>
    <t>EXTINTOR DE PQS 4KG - FORNECIMENTO E INSTALACAO</t>
  </si>
  <si>
    <t>EXTINTOR DE CO2 6KG - FORNECIMENTO E INSTALACAO</t>
  </si>
  <si>
    <t>LUVA DE ACO GALVANIZADO 4" - FORNECIMENTO E INSTALACAO</t>
  </si>
  <si>
    <t>LUVA DE ACO GALVANIZADO 5" - FORNECIMENTO E INSTALACAO</t>
  </si>
  <si>
    <t>LUVA DE ACO GALVANIZADO 6" - FORNECIMENTO E INSTALACAO</t>
  </si>
  <si>
    <t>LUVA REDUCAO ACO GALVANIZADO 4X2.1/2" - FORNECIMENTO E INSTALACAO</t>
  </si>
  <si>
    <t>LUVA REDUCAO ACO GALVANIZADO 4X2" - FORNECIMENTO E INSTALACAO</t>
  </si>
  <si>
    <t>LUVA REDUCAO ACO GALVANIZADO 4X3" - FORNECIMENTO E INSTALACAO</t>
  </si>
  <si>
    <t>NIPLE DE ACO GALVANIZADO 4" - FORNECIMENTO E INSTALACAO</t>
  </si>
  <si>
    <t>NIPLE DE ACO GALVANIZADO 5" - FORNECIMENTO E INSTALACAO</t>
  </si>
  <si>
    <t>NIPLE DE ACO GALVANIZADO 6" - FORNECIMENTO E INSTALACAO</t>
  </si>
  <si>
    <t>TE DE ACO GALVANIZADO 4" - FORNECIMENTO E INSTALACAO</t>
  </si>
  <si>
    <t>TE DE ACO GALVANIZADO 5" - FORNECIMENTO E INSTALACAO</t>
  </si>
  <si>
    <t>TE DE ACO GALVANIZADO 6" - FORNECIMENTO E INSTALACAO</t>
  </si>
  <si>
    <t>APLICACAO DE TINTA A BASE DE EPOXI SOBRE PISO</t>
  </si>
  <si>
    <t>TXKM</t>
  </si>
  <si>
    <t>TRANSPORTE COMERCIAL COM CAMINHAO CARROCERIA 9 T, RODOVIA PAVIMENTADA</t>
  </si>
  <si>
    <t>CARGA, MANOBRAS E DESCARGA DE BRITA PARA TRATAMENTOS SUPERFICIAIS, COM CAMINHAO BASCULANTE 6 M3</t>
  </si>
  <si>
    <t>CARGA, MANOBRAS E DESCARGA DE MISTURA BETUMINOSA A FRIO, COM CAMINHAO BASCULANTE 6 M3</t>
  </si>
  <si>
    <t>M3XKM</t>
  </si>
  <si>
    <t>CARGA, MANOBRAS E DESCARGA DE BRITA PARA TRATAMENTOS SUPERFICIAIS, COM CAMINHAO BASCULANTE 6 M3, DESCARGA EM DISTRIBUIDOR</t>
  </si>
  <si>
    <t>CARGA E DESCARGA MECANIZADAS DE ENTULHO EM CAMINHAO BASCULANTE 6 M3</t>
  </si>
  <si>
    <t>ESCAVACAO MECANICA DE VALA EM MATERIAL 2A. CATEGORIA DE 4,01 ATE 6,00 M DE PROFUNDIDADE COM UTILIZACAO DE ESCAVADEIRA HIDRAULICA</t>
  </si>
  <si>
    <t>ROLO COMPACTADOR VIBRATÓRIO PÉ DE CARNEIRO PARA SOLOS, POTÊNCIA 80 HP, PESO OPERACIONAL SEM/COM LASTRO 7,4 / 8,8 T, LARGURA DE TRABALHO 1,68 M - DEPRECIAÇÃO. AF_02/2016</t>
  </si>
  <si>
    <t>GRUPO GERADOR ESTACIONÁRIO, MOTOR DIESEL POTÊNCIA 170 KVA - MATERIAIS NA OPERAÇÃO. AF_02/2016</t>
  </si>
  <si>
    <t>ROLO COMPACTADOR VIBRATÓRIO PÉ DE CARNEIRO PARA SOLOS, POTÊNCIA 80 HP, PESO OPERACIONAL SEM/COM LASTRO 7,4 / 8,8 T, LARGURA DE TRABALHO 1,68 M - JUROS. AF_02/2016</t>
  </si>
  <si>
    <t>ROLO COMPACTADOR VIBRATÓRIO PÉ DE CARNEIRO PARA SOLOS, POTÊNCIA 80 HP, PESO OPERACIONAL SEM/COM LASTRO 7,4 / 8,8 T, LARGURA DE TRABALHO 1,68 M - MATERIAIS NA OPERAÇÃO. AF_02/2016</t>
  </si>
  <si>
    <t>CONCRETO CICLOPICO FCK=10MPA 30% PEDRA DE MAO INCLUSIVE LANCAMENTO</t>
  </si>
  <si>
    <t>ROLO COMPACTADOR VIBRATÓRIO PÉ DE CARNEIRO PARA SOLOS, POTÊNCIA 80 HP, PESO OPERACIONAL SEM/COM LASTRO 7,4 / 8,8 T, LARGURA DE TRABALHO 1,68 M - CHP DIURNO. AF_02/2016</t>
  </si>
  <si>
    <t>SUPORTE PARA TRANSFORMADOR EM POSTE DE CONCRETO CIRCULAR</t>
  </si>
  <si>
    <t>PINTURA A OLEO, 1 DEMAO</t>
  </si>
  <si>
    <t>PINTURA A OLEO, 2 DEMAOS</t>
  </si>
  <si>
    <t>PINTURA COM VERNIZ POLIURETANO, 2 DEMAOS</t>
  </si>
  <si>
    <t>ML</t>
  </si>
  <si>
    <t>DIVISORIA EM GRANITO BRANCO POLIDO, ESP = 3CM, ASSENTADO COM ARGAMASSA TRACO 1:4, ARREMATE EM CIMENTO BRANCO, EXCLUSIVE FERRAGENS</t>
  </si>
  <si>
    <t>TRANSPORTE COMERCIAL DE BRITA</t>
  </si>
  <si>
    <t>TRANSPORTE DE PAVIMENTACAO REMOVIDA (RODOVIAS NAO URBANAS)</t>
  </si>
  <si>
    <t>ABRACADEIRA DE FIXACAO DE BRACOS DE LUMINARIAS DE 4" - FORNECIMENTO E INSTALACAO</t>
  </si>
  <si>
    <t>CAIXA DE PASSAGEM 30X30X40 COM TAMPA E DRENO BRITA</t>
  </si>
  <si>
    <t>LUMINARIA FECHADA PARA ILUMINACAO PUBLICA COM REATOR DE PARTIDA RAPIDA COM LAMPADA A VAPOR DE MERCURIO 250W - FORNECIMENTO E INSTALACAO</t>
  </si>
  <si>
    <t>REATOR PARA LAMPADA VAPOR DE MERCURIO 125W  USO EXTERNO</t>
  </si>
  <si>
    <t>REATOR PARA LAMPADA VAPOR DE MERCURIO 250W USO EXTERNO</t>
  </si>
  <si>
    <t>BOMBA CENTRIFUGA C/ MOTOR ELETRICO TRIFASICO 1CV</t>
  </si>
  <si>
    <t>HIDRANTE SUBTERRANEO FERRO FUNDIDO C/ CURVA LONGA E CAIXA DN=75MM</t>
  </si>
  <si>
    <t>EXTINTOR INCENDIO TP PO QUIMICO 6KG - FORNECIMENTO E INSTALACAO</t>
  </si>
  <si>
    <t>BOMBA RECALQUE D'AGUA TRIFASICA 10,0 HP</t>
  </si>
  <si>
    <t>BOMBA RECALQUE D'AGUA TRIFASICA 3,0 HP</t>
  </si>
  <si>
    <t>BOMBA RECALQUE D'AGUA DE ESTAGIOS TRIFASICA 2,0 HP</t>
  </si>
  <si>
    <t>BOMBA RECALQUE D'AGUA TRIFASICA 1,5HP</t>
  </si>
  <si>
    <t>BOMBA RECALQUE D'AGUA TRIFASICA 0,5 HP</t>
  </si>
  <si>
    <t>BOMBA RECALQUE D'AGUA PREDIO 6 A 10 PAVTOS - 2UD</t>
  </si>
  <si>
    <t>BOMBA RECALQUE D'AGUA PREDIO 3 A 5 PAVTOS - 2UD</t>
  </si>
  <si>
    <t>TUBO PVC CORRUGADO PERFURADO 100 MM C/ JUNTA ELASTICA PARA DRENAGEM.</t>
  </si>
  <si>
    <t>EXECUCAO DE DRENO PROFUNDO, CORTE EM SOLO, COM TUBO POROSO D=0,20M</t>
  </si>
  <si>
    <t>EXECUCAO DE DRENO CEGO</t>
  </si>
  <si>
    <t>TUBO PVC DN 75 MM PARA DRENAGEM - FORNECIMENTO E INSTALACAO</t>
  </si>
  <si>
    <t>TUBO PVC DN 100 MM PARA DRENAGEM - FORNECIMENTO E INSTALACAO</t>
  </si>
  <si>
    <t>TUBO PVC D=3" COM MATERIAL DRENANTE PARA DRENO/BARBACA - FORNECIMENTO E INSTALACAO</t>
  </si>
  <si>
    <t>TUBO PVC D=4" COM MATERIAL DRENANTE PARA DRENO/BARBACA - FORNECIMENTO E INSTALACAO</t>
  </si>
  <si>
    <t>CAIACAO EM MEIO FIO</t>
  </si>
  <si>
    <t>RECOMPOSICAO DE REVESTIMENTO PRIMARIO MEDIDO P/ VOLUME COMPACTADO</t>
  </si>
  <si>
    <t>RASPAGEM / CALAFETACAO TACOS MADEIRA 1 DEMAO CERA</t>
  </si>
  <si>
    <t>ENCERAMENTO MANUAL EM MADEIRA - 3 DEMAOS</t>
  </si>
  <si>
    <t>RODAPE EM MADEIRA, ALTURA 7CM, FIXADO COM COLA</t>
  </si>
  <si>
    <t>RODAPE EM ARDOSIA ASSENTADO COM ARGAMASSA TRACO 1:4 (CIMENTO E AREIA) ALTURA 10CM</t>
  </si>
  <si>
    <t>PISO EM TACO DE MADEIRA 7X21CM, FIXADO COM COLA BASE DE PVA</t>
  </si>
  <si>
    <t>PISO EM PEDRA PORTUGUESA ASSENTADO SOBRE BASE DE AREIA, REJUNTADO COM CIMENTO COMUM</t>
  </si>
  <si>
    <t>PISO DE BORRACHA CANELADA, ESPESSURA 3,5MM, FIXADO COM COLA</t>
  </si>
  <si>
    <t>ASSENTAMENTO DE PISO DE BORRACHA PASTILHADA FIXADO COM COLA</t>
  </si>
  <si>
    <t>VERNIZ SINTETICO BRILHANTE, 2 DEMAOS</t>
  </si>
  <si>
    <t>FUNDO SINTETICO NIVELADOR BRANCO</t>
  </si>
  <si>
    <t>PINTURA ESMALTE FOSCO EM MADEIRA, DUAS DEMAOS</t>
  </si>
  <si>
    <t>PINTURA ACRILICA PARA SINALIZAÇÃO HORIZONTAL EM PISO CIMENTADO</t>
  </si>
  <si>
    <t>POLIMENTO E ENCERAMENTO DE PISO EM MADEIRA</t>
  </si>
  <si>
    <t>PINTURA IMUNIZANTE PARA MADEIRA, DUAS DEMAOS</t>
  </si>
  <si>
    <t>MOLA HIDRAULICA DE PISO PARA PORTA DE VIDRO TEMPERADO</t>
  </si>
  <si>
    <t>VIDRO LISO COMUM TRANSPARENTE, ESPESSURA 5MM</t>
  </si>
  <si>
    <t>VIDRO LISO COMUM TRANSPARENTE, ESPESSURA 6MM</t>
  </si>
  <si>
    <t>VIDRO LISO FUME, ESPESSURA 4MM</t>
  </si>
  <si>
    <t>VIDRO LISO FUME, ESPESSURA 6MM</t>
  </si>
  <si>
    <t>VIDRO FANTASIA MARTELADO 4MM</t>
  </si>
  <si>
    <t>ESPELHO CRISTAL, ESPESSURA 4MM, COM PARAFUSOS DE FIXACAO, SEM MOLDURA</t>
  </si>
  <si>
    <t>ESCADA EM CONCRETO ARMADO, FCK = 15 MPA, MOLDADA IN LOCO</t>
  </si>
  <si>
    <t>REMOCAO DE VIDRO COMUM</t>
  </si>
  <si>
    <t>REVESTIMENTO CERÂMICO PARA PAREDES EXTERNAS EM PASTILHAS DE PORCELANA 5 X 5 CM (PLACAS DE 30 X 30 CM), ALINHADAS A PRUMO, APLICADO EM PANOS COM VÃOS. AF_06/2014</t>
  </si>
  <si>
    <t>REVESTIMENTO CERÂMICO PARA PAREDES EXTERNAS EM PASTILHAS DE PORCELANA 5 X 5 CM (PLACAS DE 30 X 30 CM), ALINHADAS A PRUMO, APLICADO EM PANOS SEM VÃOS. AF_06/2014</t>
  </si>
  <si>
    <t>ARGAMASSA PARA REVESTIMENTO DECORATIVO MONOCAMADA (MONOCAPA), MISTURA E PROJEÇÃO DE 2 M3/H DE ARGAMASSA. AF_06/2014</t>
  </si>
  <si>
    <t>ARGAMASSA INDUSTRIALIZADA PARA REVESTIMENTOS, MISTURA E PROJEÇÃO DE 2 M³/H DE ARGAMASSA. AF_06/2014</t>
  </si>
  <si>
    <t>APLICAÇÃO DE GESSO PROJETADO COM EQUIPAMENTO DE PROJEÇÃO EM PAREDES DE AMBIENTES DE ÁREA MENOR QUE 5M², SARRAFEADO (COM TALISCAS), ESPESSURA DE 1,0CM. AF_06/2014</t>
  </si>
  <si>
    <t>APLICAÇÃO DE GESSO PROJETADO COM EQUIPAMENTO DE PROJEÇÃO EM PAREDES DE AMBIENTES DE ÁREA MENOR QUE 5M², SARRAFEADO (COM TALISCAS), ESPESSURA DE 1,5CM. AF_06/2014</t>
  </si>
  <si>
    <t>BETONEIRA CAPACIDADE NOMINAL 400 L, CAPACIDADE DE MISTURA 310 L, MOTOR A DIESEL POTÊNCIA 5,0 HP, SEM CARREGADOR - DEPRECIAÇÃO. AF_06/2014</t>
  </si>
  <si>
    <t>BETONEIRA CAPACIDADE NOMINAL 400 L, CAPACIDADE DE MISTURA 310 L, MOTOR A DIESEL POTÊNCIA 5,0 HP, SEM CARREGADOR - JUROS. AF_06/2014</t>
  </si>
  <si>
    <t>BETONEIRA CAPACIDADE NOMINAL 400 L, CAPACIDADE DE MISTURA 310 L, MOTOR A DIESEL POTÊNCIA 5,0 HP, SEM CARREGADOR - MANUTENÇÃO. AF_06/2014</t>
  </si>
  <si>
    <t>BETONEIRA CAPACIDADE NOMINAL 400 L, CAPACIDADE DE MISTURA 310 L, MOTOR A DIESEL POTÊNCIA 5,0 HP, SEM CARREGADOR - CHP DIURNO. AF_06/2014</t>
  </si>
  <si>
    <t>BETONEIRA CAPACIDADE NOMINAL 400 L, CAPACIDADE DE MISTURA 310 L, MOTOR A DIESEL POTÊNCIA 5,0 HP, SEM CARREGADOR - CHI DIURNO. AF_06/2014</t>
  </si>
  <si>
    <t>CONTRAPISO EM ARGAMASSA TRAÇO 1:4 (CIMENTO E AREIA), PREPARO MECÂNICO COM BETONEIRA 400 L, APLICADO EM ÁREAS SECAS SOBRE LAJE, NÃO ADERIDO, ESPESSURA 4CM. AF_06/2014</t>
  </si>
  <si>
    <t>CONTRAPISO EM ARGAMASSA TRAÇO 1:4 (CIMENTO E AREIA), PREPARO MECÂNICO COM BETONEIRA 400 L, APLICADO EM ÁREAS SECAS SOBRE LAJE, NÃO ADERIDO, ESPESSURA 5CM. AF_06/2014</t>
  </si>
  <si>
    <t>CONTRAPISO EM ARGAMASSA TRAÇO 1:4 (CIMENTO E AREIA), PREPARO MECÂNICO COM BETONEIRA 400 L, APLICADO EM ÁREAS SECAS SOBRE LAJE, NÃO ADERIDO, ESPESSURA 6CM. AF_06/2014</t>
  </si>
  <si>
    <t>CHAPISCO APLICADO EM ALVENARIAS E ESTRUTURAS DE CONCRETO INTERNAS, COM ROLO PARA TEXTURA ACRÍLICA.  ARGAMASSA TRAÇO 1:4 E EMULSÃO POLIMÉRICA (ADESIVO) COM PREPARO MANUAL. AF_06/2014</t>
  </si>
  <si>
    <t>CHAPISCO APLICADO EM ALVENARIAS E ESTRUTURAS DE CONCRETO INTERNAS, COM ROLO PARA TEXTURA ACRÍLICA.  ARGAMASSA TRAÇO 1:4 E EMULSÃO POLIMÉRICA (ADESIVO) COM PREPARO EM BETONEIRA 400L. AF_06/2014</t>
  </si>
  <si>
    <t>CHAPISCO APLICADO EM ALVENARIAS E ESTRUTURAS DE CONCRETO INTERNAS, COM ROLO PARA TEXTURA ACRÍLICA.  ARGAMASSA INDUSTRIALIZADA COM PREPARO EM MISTURADOR 300 KG. AF_06/2014</t>
  </si>
  <si>
    <t>CHAPISCO APLICADO EM ALVENARIA (SEM PRESENÇA DE VÃOS) E ESTRUTURAS DE CONCRETO DE FACHADA, COM ROLO PARA TEXTURA ACRÍLICA.  ARGAMASSA TRAÇO 1:4 E EMULSÃO POLIMÉRICA (ADESIVO) COM PREPARO MANUAL. AF_06/2014</t>
  </si>
  <si>
    <t>CHAPISCO APLICADO EM ALVENARIA (SEM PRESENÇA DE VÃOS) E ESTRUTURAS DE CONCRETO DE FACHADA, COM COLHER DE PEDREIRO.  ARGAMASSA TRAÇO 1:3 COM PREPARO MANUAL. AF_06/2014</t>
  </si>
  <si>
    <t>CHAPISCO APLICADO EM ALVENARIA (SEM PRESENÇA DE VÃOS) E ESTRUTURAS DE CONCRETO DE FACHADA, COM COLHER DE PEDREIRO.  ARGAMASSA TRAÇO 1:3 COM PREPARO EM BETONEIRA 400L. AF_06/2014</t>
  </si>
  <si>
    <t>CHAPISCO APLICADO EM ALVENARIA (SEM PRESENÇA DE VÃOS) E ESTRUTURAS DE CONCRETO DE FACHADA, COM EQUIPAMENTO DE PROJEÇÃO.  ARGAMASSA TRAÇO 1:3 COM PREPARO MANUAL. AF_06/2014</t>
  </si>
  <si>
    <t>CHAPISCO APLICADO EM ALVENARIA (SEM PRESENÇA DE VÃOS) E ESTRUTURAS DE CONCRETO DE FACHADA, COM EQUIPAMENTO DE PROJEÇÃO.  ARGAMASSA TRAÇO 1:3 COM PREPARO EM BETONEIRA 400 L. AF_06/2014</t>
  </si>
  <si>
    <t>CHAPISCO APLICADO EM ALVENARIA (COM PRESENÇA DE VÃOS) E ESTRUTURAS DE CONCRETO DE FACHADA, COM ROLO PARA TEXTURA ACRÍLICA.  ARGAMASSA TRAÇO 1:4 E EMULSÃO POLIMÉRICA (ADESIVO) COM PREPARO MANUAL. AF_06/2014</t>
  </si>
  <si>
    <t>CHAPISCO APLICADO EM ALVENARIA (COM PRESENÇA DE VÃOS) E ESTRUTURAS DE CONCRETO DE FACHADA, COM COLHER DE PEDREIRO.  ARGAMASSA TRAÇO 1:3 COM PREPARO MANUAL. AF_06/2014</t>
  </si>
  <si>
    <t>CHAPISCO APLICADO EM ALVENARIA (COM PRESENÇA DE VÃOS) E ESTRUTURAS DE CONCRETO DE FACHADA, COM COLHER DE PEDREIRO.  ARGAMASSA TRAÇO 1:3 COM PREPARO EM BETONEIRA 400L. AF_06/2014</t>
  </si>
  <si>
    <t>CHAPISCO APLICADO EM ALVENARIA (COM PRESENÇA DE VÃOS) E ESTRUTURAS DE CONCRETO DE FACHADA, COM EQUIPAMENTO DE PROJEÇÃO.  ARGAMASSA TRAÇO 1:3 COM PREPARO MANUAL. AF_06/2014</t>
  </si>
  <si>
    <t>CHAPISCO APLICADO EM ALVENARIA (COM PRESENÇA DE VÃOS) E ESTRUTURAS DE CONCRETO DE FACHADA, COM EQUIPAMENTO DE PROJEÇÃO.  ARGAMASSA TRAÇO 1:3 COM PREPARO EM BETONEIRA 400 L. AF_06/2014</t>
  </si>
  <si>
    <t>AJUDANTE DE ARMADOR COM ENCARGOS COMPLEMENTARES</t>
  </si>
  <si>
    <t>AJUDANTE DE ESTRUTURA METÁLICA COM ENCARGOS COMPLEMENTARES</t>
  </si>
  <si>
    <t>AJUDANTE DE OPERAÇÃO EM GERAL COM ENCARGOS COMPLEMENTARES</t>
  </si>
  <si>
    <t>AJUDANTE DE PEDREIRO COM ENCARGOS COMPLEMENTARES</t>
  </si>
  <si>
    <t>AJUDANTE ESPECIALIZADO COM ENCARGOS COMPLEMENTARES</t>
  </si>
  <si>
    <t>ARMADOR COM ENCARGOS COMPLEMENTARES</t>
  </si>
  <si>
    <t>ASSENTADOR DE TUBOS COM ENCARGOS COMPLEMENTARES</t>
  </si>
  <si>
    <t>AUXILIAR DE LABORATÓRIO COM ENCARGOS COMPLEMENTARES</t>
  </si>
  <si>
    <t>AUXILIAR DE MECÂNICO COM ENCARGOS COMPLEMENTARES</t>
  </si>
  <si>
    <t>AUXILIAR DE SERRALHEIRO COM ENCARGOS COMPLEMENTARES</t>
  </si>
  <si>
    <t>AUXILIAR DE SERVIÇOS GERAIS COM ENCARGOS COMPLEMENTARES</t>
  </si>
  <si>
    <t>AUXILIAR DE TOPÓGRAFO COM ENCARGOS COMPLEMENTARES</t>
  </si>
  <si>
    <t>AUXILIAR TÉCNICO DE ENGENHARIA COM ENCARGOS COMPLEMENTARES</t>
  </si>
  <si>
    <t>BLASTER, DINAMITADOR OU CABO DE FOGO COM ENCARGOS COMPLEMENTARES</t>
  </si>
  <si>
    <t>CALAFETADOR/CALAFATE COM ENCARGOS COMPLEMENTARES</t>
  </si>
  <si>
    <t>CALCETEIRO COM ENCARGOS COMPLEMENTARES</t>
  </si>
  <si>
    <t>ELETRICISTA INDUSTRIAL COM ENCARGOS COMPLEMENTARES</t>
  </si>
  <si>
    <t>ELETROTÉCNICO COM ENCARGOS COMPLEMENTARES</t>
  </si>
  <si>
    <t>ESTUCADOR COM ENCARGOS COMPLEMENTARES</t>
  </si>
  <si>
    <t>GESSEIRO COM ENCARGOS COMPLEMENTARES</t>
  </si>
  <si>
    <t>IMPERMEABILIZADOR COM ENCARGOS COMPLEMENTARES</t>
  </si>
  <si>
    <t>MACARIQUEIRO COM ENCARGOS COMPLEMENTARES</t>
  </si>
  <si>
    <t>MARCENEIRO COM ENCARGOS COMPLEMENTARES</t>
  </si>
  <si>
    <t>MARMORISTA/GRANITEIRO COM ENCARGOS COMPLEMENTARES</t>
  </si>
  <si>
    <t>MECÃNICO DE EQUIPAMENTOS PESADOS COM ENCARGOS COMPLEMENTARES</t>
  </si>
  <si>
    <t>MONTADOR (TUBO AÇO/EQUIPAMENTOS) COM ENCARGOS COMPLEMENTARES</t>
  </si>
  <si>
    <t>MONTADOR DE ESTRUTURA METÁLICA COM ENCARGOS COMPLEMENTARES</t>
  </si>
  <si>
    <t>MONTADOR ELETROMECÃNICO COM ENCARGOS COMPLEMENTARES</t>
  </si>
  <si>
    <t>MOTORISTA DE BASCULANTE COM ENCARGOS COMPLEMENTARES</t>
  </si>
  <si>
    <t>MOTORISTA DE CAMINHÃO COM ENCARGOS COMPLEMENTARES</t>
  </si>
  <si>
    <t>MOTORISTA DE CAMINHÃO E CARRETA COM ENCARGOS COMPLEMENTARES</t>
  </si>
  <si>
    <t>MOTORISTA DE VEIÍCULO LEVE COM ENCARGOS COMPLEMENTARES</t>
  </si>
  <si>
    <t>MOTORISTA DE VEÍCULO PESADO COM ENCARGOS COMPLEMENTARES</t>
  </si>
  <si>
    <t>MOTORISTA OPERADOR DE MUNCK COM ENCARGOS COMPLEMENTARES</t>
  </si>
  <si>
    <t>NIVELADOR COM ENCARGOS COMPLEMENTARES</t>
  </si>
  <si>
    <t>OPERADOR DE BETONEIRA (CAMINHÃO) COM ENCARGOS COMPLEMENTARES</t>
  </si>
  <si>
    <t>OPERADOR DE COMPRESSOR OU COMPRESSORISTA COM ENCARGOS COMPLEMENTARES</t>
  </si>
  <si>
    <t>OPERADOR DE DEMARCADORA DE FAIXAS COM ENCARGOS COMPLEMENTARES</t>
  </si>
  <si>
    <t>OPERADOR DE ESCAVADEIRA COM ENCARGOS COMPLEMENTARES</t>
  </si>
  <si>
    <t>OPERADOR DE GUINCHO COM ENCARGOS COMPLEMENTARES</t>
  </si>
  <si>
    <t>OPERADOR DE GUINDASTE COM ENCARGOS COMPLEMENTARES</t>
  </si>
  <si>
    <t>OPERADOR DE MÁQUINAS E EQUIPAMENTOS COM ENCARGOS COMPLEMENTARES</t>
  </si>
  <si>
    <t>OPERADOR DE MARTELETE OU MARTELETEIRO COM ENCARGOS COMPLEMENTARES</t>
  </si>
  <si>
    <t>OPERADOR DE MOTO-ESCREIPER COM ENCARGOS COMPLEMENTARES</t>
  </si>
  <si>
    <t>OPERADOR DE MOTONIVELADORA COM ENCARGOS COMPLEMENTARES</t>
  </si>
  <si>
    <t>OPERADOR DE PÁ CARREGADEIRA COM ENCARGOS COMPLEMENTARES</t>
  </si>
  <si>
    <t>OPERADOR DE PAVIMENTADORA COM ENCARGOS COMPLEMENTARES</t>
  </si>
  <si>
    <t>OPERADOR DE ROLO COMPACTADOR COM ENCARGOS COMPLEMENTARES</t>
  </si>
  <si>
    <t>OPERADOR JATO DE AREIA OU JATISTA COM ENCARGOS COMPLEMENTARES</t>
  </si>
  <si>
    <t>OPERADOR PARA BATE ESTACAS COM ENCARGOS COMPLEMENTARES</t>
  </si>
  <si>
    <t>PASTILHEIRO COM ENCARGOS COMPLEMENTARES</t>
  </si>
  <si>
    <t>PINTOR COM ENCARGOS COMPLEMENTARES</t>
  </si>
  <si>
    <t>PINTOR DE LETREIROS COM ENCARGOS COMPLEMENTARES</t>
  </si>
  <si>
    <t>PINTOR PARA TINTA EPÓXI COM ENCARGOS COMPLEMENTARES</t>
  </si>
  <si>
    <t>POCEIRO COM ENCARGOS COMPLEMENTARES</t>
  </si>
  <si>
    <t>RASTELEIRO COM ENCARGOS COMPLEMENTARES</t>
  </si>
  <si>
    <t>SOLDADOR COM ENCARGOS COMPLEMENTARES</t>
  </si>
  <si>
    <t>TAQUEADOR OU TAQUEIRO COM ENCARGOS COMPLEMENTARES</t>
  </si>
  <si>
    <t>TÉCNICO DE LABORATÓRIO COM ENCARGOS COMPLEMENTARES</t>
  </si>
  <si>
    <t>TÉCNICO DE SONDAGEM COM ENCARGOS COMPLEMENTARES</t>
  </si>
  <si>
    <t>TELHADISTA COM ENCARGOS COMPLEMENTARES</t>
  </si>
  <si>
    <t>TRATORISTA COM ENCARGOS COMPLEMENTARES</t>
  </si>
  <si>
    <t>VIDRACEIRO COM ENCARGOS COMPLEMENTARES</t>
  </si>
  <si>
    <t>VIGIA NOTURNO COM ENCARGOS COMPLEMENTARES</t>
  </si>
  <si>
    <t>APLICAÇÃO MANUAL DE FUNDO SELADOR ACRÍLICO EM SUPERFÍCIES EXTERNAS DE SACADA DE EDIFÍCIOS DE MÚLTIPLOS PAVIMENTOS. AF_06/2014</t>
  </si>
  <si>
    <t>APLICAÇÃO MANUAL DE FUNDO SELADOR ACRÍLICO EM SUPERFÍCIES INTERNAS DA SACADA DE EDIFÍCIOS DE MÚLTIPLOS PAVIMENTOS. AF_06/2014</t>
  </si>
  <si>
    <t>PROJETOR DE ARGAMASSA, CAPACIDADE DE PROJEÇÃO 1,5 M3/H, ALCANCE DE 30 ATÉ 60 M, MOTOR ELÉTRICO POTÊNCIA 7,5 HP - CHP DIURNO. AF_06/2014</t>
  </si>
  <si>
    <t>PROJETOR DE ARGAMASSA, CAPACIDADE DE PROJEÇÃO 1,5 M3/H, ALCANCE DE 30 ATÉ 60 M, MOTOR ELÉTRICO POTÊNCIA 7,5 HP - DEPRECIAÇÃO. AF_06/2014</t>
  </si>
  <si>
    <t>PROJETOR DE ARGAMASSA, CAPACIDADE DE PROJEÇÃO 1,5 M3/H, ALCANCE DE 30 ATÉ 60 M, MOTOR ELÉTRICO POTÊNCIA 7,5 HP - JUROS. AF_06/2014</t>
  </si>
  <si>
    <t>APLICAÇÃO MANUAL DE PINTURA COM TINTA TEXTURIZADA ACRÍLICA EM PAREDES EXTERNAS DE CASAS, UMA COR. AF_06/2014</t>
  </si>
  <si>
    <t>PROJETOR DE ARGAMASSA, CAPACIDADE DE PROJEÇÃO 1,5 M3/H, ALCANCE DE 30 ATÉ 60 M, MOTOR ELÉTRICO POTÊNCIA 7,5 HP - MANUTENÇÃO. AF_06/2014</t>
  </si>
  <si>
    <t>PROJETOR DE ARGAMASSA, CAPACIDADE DE PROJEÇÃO 1,5 M3/H, ALCANCE DE 30 ATÉ 60 M, MOTOR ELÉTRICO POTÊNCIA 7,5 HP - CHI DIURNO. AF_06/2014</t>
  </si>
  <si>
    <t>APLICAÇÃO MANUAL DE PINTURA COM TINTA TEXTURIZADA ACRÍLICA EM PAREDES EXTERNAS DE CASAS, DUAS CORES. AF_06/2014</t>
  </si>
  <si>
    <t>APLICAÇÃO MANUAL DE PINTURA COM TINTA TEXTURIZADA ACRÍLICA EM MOLDURAS DE EPS, PRÉ-FABRICADOS, OU OUTROS. AF_06/2014</t>
  </si>
  <si>
    <t>JARDINEIRO COM ENCARGOS COMPLEMENTARES</t>
  </si>
  <si>
    <t>CONTRAPISO AUTONIVELANTE, APLICADO SOBRE LAJE, NÃO ADERIDO, ESPESSURA 3CM. AF_06/2014</t>
  </si>
  <si>
    <t>CONTRAPISO AUTONIVELANTE, APLICADO SOBRE LAJE, NÃO ADERIDO, ESPESSURA 4CM. AF_06/2014</t>
  </si>
  <si>
    <t>CONTRAPISO AUTONIVELANTE, APLICADO SOBRE LAJE, NÃO ADERIDO, ESPESSURA 5CM. AF_06/2014</t>
  </si>
  <si>
    <t>CONTRAPISO AUTONIVELANTE, APLICADO SOBRE LAJE, ADERIDO, ESPESSURA 2CM. AF_06/2014</t>
  </si>
  <si>
    <t>CONTRAPISO AUTONIVELANTE, APLICADO SOBRE LAJE, ADERIDO, ESPESSURA 3CM. AF_06/2014</t>
  </si>
  <si>
    <t>CONTRAPISO AUTONIVELANTE, APLICADO SOBRE LAJE, ADERIDO, ESPESSURA 4CM. AF_06/2014</t>
  </si>
  <si>
    <t>APLICAÇÃO DE FUNDO SELADOR LÁTEX PVA EM TETO, UMA DEMÃO. AF_06/2014</t>
  </si>
  <si>
    <t>APLICAÇÃO DE FUNDO SELADOR ACRÍLICO EM TETO, UMA DEMÃO. AF_06/2014</t>
  </si>
  <si>
    <t>APLICAÇÃO MANUAL DE PINTURA COM TINTA LÁTEX PVA EM TETO, DUAS DEMÃOS. AF_06/2014</t>
  </si>
  <si>
    <t>APLICAÇÃO E LIXAMENTO DE MASSA LÁTEX EM TETO, UMA DEMÃO. AF_06/2014</t>
  </si>
  <si>
    <t>APLICAÇÃO E LIXAMENTO DE MASSA LÁTEX EM PAREDES, UMA DEMÃO. AF_06/2014</t>
  </si>
  <si>
    <t>APLICAÇÃO E LIXAMENTO DE MASSA LÁTEX EM TETO, DUAS DEMÃOS. AF_06/2014</t>
  </si>
  <si>
    <t>CAIXA D´ÁGUA EM POLIETILENO, 1000 LITROS, COM ACESSÓRIOS</t>
  </si>
  <si>
    <t>CAIXA D´AGUA EM POLIETILENO, 500 LITROS, COM ACESSÓRIOS</t>
  </si>
  <si>
    <t>CHAVE DE BOIA AUTOMÁTICA SUPERIOR 10A/250V - FORNECIMENTO E INSTALACAO</t>
  </si>
  <si>
    <t>ESPARGIDOR DE ASFALTO PRESSURIZADO COM TANQUE DE 2500 L, REBOCÁVEL COM MOTOR A GASOLINA POTÊNCIA 3,4 HP - DEPRECIAÇÃO. AF_07/2014</t>
  </si>
  <si>
    <t>ESPARGIDOR DE ASFALTO PRESSURIZADO COM TANQUE DE 2500 L, REBOCÁVEL COM MOTOR A GASOLINA POTÊNCIA 3,4 HP - JUROS. AF_07/2014</t>
  </si>
  <si>
    <t>DESENHISTA DETALHISTA COM ENCARGOS COMPLEMENTARES</t>
  </si>
  <si>
    <t>TRATOR DE ESTEIRAS, POTÊNCIA 150 HP, PESO OPERACIONAL 16,7 T, COM RODA MOTRIZ ELEVADA E LÂMINA 3,18 M3 - DEPRECIAÇÃO. AF_06/2014</t>
  </si>
  <si>
    <t>TRATOR DE ESTEIRAS, POTÊNCIA 150 HP, PESO OPERACIONAL 16,7 T, COM RODA MOTRIZ ELEVADA E LÂMINA 3,18 M3 - JUROS. AF_06/2014</t>
  </si>
  <si>
    <t>TANQUE DE ASFALTO ESTACIONÁRIO COM MAÇARICO, CAPACIDADE 20.000 L - CHI DIURNO. AF_06/2014</t>
  </si>
  <si>
    <t>TANQUE DE ASFALTO ESTACIONÁRIO COM MAÇARICO, CAPACIDADE 20.000 L - CHP DIURNO. AF_06/2014</t>
  </si>
  <si>
    <t>TRATOR DE PNEUS, POTÊNCIA 85 CV, TRAÇÃO 4X4, PESO COM LASTRO DE 4.675 KG - DEPRECIAÇÃO. AF_06/2014</t>
  </si>
  <si>
    <t>TRATOR DE PNEUS, POTÊNCIA 85 CV, TRAÇÃO 4X4, PESO COM LASTRO DE 4.675 KG - JUROS. AF_06/2014</t>
  </si>
  <si>
    <t>TRATOR DE PNEUS, POTÊNCIA 85 CV, TRAÇÃO 4X4, PESO COM LASTRO DE 4.675 KG - CHP DIURNO. AF_06/2014</t>
  </si>
  <si>
    <t>TRATOR DE PNEUS, POTÊNCIA 85 CV, TRAÇÃO 4X4, PESO COM LASTRO DE 4.675 KG - CHI DIURNO. AF_06/2014</t>
  </si>
  <si>
    <t>BATE-ESTACAS POR GRAVIDADE, POTÊNCIA DE 160 HP, PESO DO MARTELO ATÉ 3 TONELADAS - DEPRECIAÇÃO. AF_11/2014</t>
  </si>
  <si>
    <t>BATE-ESTACAS POR GRAVIDADE, POTÊNCIA DE 160 HP, PESO DO MARTELO ATÉ 3 TONELADAS - JUROS. AF_11/2014</t>
  </si>
  <si>
    <t>BATE-ESTACAS POR GRAVIDADE, POTÊNCIA DE 160 HP, PESO DO MARTELO ATÉ 3 TONELADAS - MANUTENÇÃO. AF_11/2014</t>
  </si>
  <si>
    <t>BATE-ESTACAS POR GRAVIDADE, POTÊNCIA DE 160 HP, PESO DO MARTELO ATÉ 3 TONELADAS - MATERIAIS NA OPERAÇÃO. AF_11/2014</t>
  </si>
  <si>
    <t>BATE-ESTACAS POR GRAVIDADE, POTÊNCIA DE 160 HP, PESO DO MARTELO ATÉ 3 TONELADAS - CHI DIURNO. AF_11/2014</t>
  </si>
  <si>
    <t>MOTONIVELADORA POTÊNCIA BÁSICA LÍQUIDA (PRIMEIRA MARCHA) 125 HP, PESO BRUTO 13032 KG, LARGURA DA LÂMINA DE 3,7 M - DEPRECIAÇÃO. AF_06/2014</t>
  </si>
  <si>
    <t>MOTONIVELADORA POTÊNCIA BÁSICA LÍQUIDA (PRIMEIRA MARCHA) 125 HP, PESO BRUTO 13032 KG, LARGURA DA LÂMINA DE 3,7 M - JUROS. AF_06/2014</t>
  </si>
  <si>
    <t>VIBROACABADORA DE ASFALTO SOBRE ESTEIRAS, LARGURA DE PAVIMENTAÇÃO 1,90 M A 5,30 M, POTÊNCIA 105 HP CAPACIDADE 450 T/H - JUROS. AF_11/2014</t>
  </si>
  <si>
    <t>RECICLADORA DE ASFALTO A FRIO SOBRE RODAS, LARGURA FRESAGEM DE 2,0 M, POTÊNCIA 422 HP - DEPRECIAÇÃO. AF_11/2014</t>
  </si>
  <si>
    <t>RECICLADORA DE ASFALTO A FRIO SOBRE RODAS, LARGURA FRESAGEM DE 2,0 M, POTÊNCIA 422 HP - JUROS. AF_11/2014</t>
  </si>
  <si>
    <t>RECICLADORA DE ASFALTO A FRIO SOBRE RODAS, LARGURA FRESAGEM DE 2,0 M, POTÊNCIA 422 HP - MANUTENÇÃO. AF_11/2014</t>
  </si>
  <si>
    <t>RECICLADORA DE ASFALTO A FRIO SOBRE RODAS, LARGURA FRESAGEM DE 2,0 M, POTÊNCIA 422 HP - MATERIAIS NA OPERAÇÃO. AF_11/2014</t>
  </si>
  <si>
    <t>RECICLADORA DE ASFALTO A FRIO SOBRE RODAS, LARGURA FRESAGEM DE 2,0 M, POTÊNCIA 422 HP - CHP DIURNO. AF_11/2014</t>
  </si>
  <si>
    <t>RECICLADORA DE ASFALTO A FRIO SOBRE RODAS, LARGURA FRESAGEM DE 2,0 M, POTÊNCIA 422 HP - CHI DIURNO. AF_11/2014</t>
  </si>
  <si>
    <t>VIBROACABADORA DE ASFALTO SOBRE ESTEIRAS, LARGURA DE PAVIMENTAÇÃO 2,13 M A 4,55 M, POTÊNCIA 100 HP, CAPACIDADE 400 T/H - JUROS. AF_11/2014</t>
  </si>
  <si>
    <t>REGISTRO DE GAVETA BRUTO, LATÃO, ROSCÁVEL, 1/2", FORNECIDO E INSTALADO EM RAMAL DE ÁGUA. AF_12/2014</t>
  </si>
  <si>
    <t>REGISTRO DE GAVETA BRUTO, LATÃO, ROSCÁVEL, 3/4", FORNECIDO E INSTALADO EM RAMAL DE ÁGUA. AF_12/2014</t>
  </si>
  <si>
    <t>MISTURADOR MONOCOMANDO PARA CHUVEIRO, BASE BRUTA E ACABAMENTO CROMADO, FORNECIDO E INSTALADO EM RAMAL DE ÁGUA. AF_12/2014</t>
  </si>
  <si>
    <t>TUBO, PVC, SOLDÁVEL, DN 20MM, INSTALADO EM RAMAL OU SUB-RAMAL DE ÁGUA - FORNECIMENTO E INSTALAÇÃO. AF_12/2014</t>
  </si>
  <si>
    <t>TUBO, PVC, SOLDÁVEL, DN 25MM, INSTALADO EM RAMAL OU SUB-RAMAL DE ÁGUA - FORNECIMENTO E INSTALAÇÃO. AF_12/2014</t>
  </si>
  <si>
    <t>TUBO, PVC, SOLDÁVEL, DN 32MM, INSTALADO EM RAMAL OU SUB-RAMAL DE ÁGUA - FORNECIMENTO E INSTALAÇÃO. AF_12/2014</t>
  </si>
  <si>
    <t>LUVA, PVC, SOLDÁVEL, DN 20MM, INSTALADO EM RAMAL OU SUB-RAMAL DE ÁGUA - FORNECIMENTO E INSTALAÇÃO. AF_12/2014</t>
  </si>
  <si>
    <t>LUVA DE REDUÇÃO, PVC, SOLDÁVEL, DN 25MM X 20MM, INSTALADO EM RAMAL OU SUB-RAMAL DE ÁGUA - FORNECIMENTO E INSTALAÇÃO. AF_12/2014</t>
  </si>
  <si>
    <t>UNIÃO, PVC, SOLDÁVEL, DN 20MM, INSTALADO EM RAMAL OU SUB-RAMAL DE ÁGUA - FORNECIMENTO E INSTALAÇÃO. AF_12/2014</t>
  </si>
  <si>
    <t>LUVA, PVC, SOLDÁVEL, DN 25MM, INSTALADO EM RAMAL OU SUB-RAMAL DE ÁGUA - FORNECIMENTO E INSTALAÇÃO. AF_12/2014</t>
  </si>
  <si>
    <t>LUVA DE REDUÇÃO, PVC, SOLDÁVEL, DN 32MM X 25MM, INSTALADO EM RAMAL OU SUB-RAMAL DE ÁGUA - FORNECIMENTO E INSTALAÇÃO. AF_12/2014</t>
  </si>
  <si>
    <t>UNIÃO, PVC, SOLDÁVEL, DN 25MM, INSTALADO EM RAMAL OU SUB-RAMAL DE ÁGUA - FORNECIMENTO E INSTALAÇÃO. AF_12/2014</t>
  </si>
  <si>
    <t>LUVA, PVC, SOLDÁVEL, DN 32MM, INSTALADO EM RAMAL OU SUB-RAMAL DE ÁGUA - FORNECIMENTO E INSTALAÇÃO. AF_12/2014</t>
  </si>
  <si>
    <t>LUVA DE REDUÇÃO, PVC, SOLDÁVEL, DN 40MM X 32MM, INSTALADO EM RAMAL OU SUB-RAMAL DE ÁGUA - FORNECIMENTO E INSTALAÇÃO. AF_12/2014</t>
  </si>
  <si>
    <t>UNIÃO, PVC, SOLDÁVEL, DN 32MM, INSTALADO EM RAMAL OU SUB-RAMAL DE ÁGUA - FORNECIMENTO E INSTALAÇÃO. AF_12/2014</t>
  </si>
  <si>
    <t>TE, PVC, SOLDÁVEL, DN 20MM, INSTALADO EM RAMAL OU SUB-RAMAL DE ÁGUA - FORNECIMENTO E INSTALAÇÃO. AF_12/2014</t>
  </si>
  <si>
    <t>TE, PVC, SOLDÁVEL, DN 25MM, INSTALADO EM RAMAL OU SUB-RAMAL DE ÁGUA - FORNECIMENTO E INSTALAÇÃO. AF_12/2014</t>
  </si>
  <si>
    <t>TE, PVC, SOLDÁVEL, DN 32MM, INSTALADO EM RAMAL OU SUB-RAMAL DE ÁGUA - FORNECIMENTO E INSTALAÇÃO. AF_12/2014</t>
  </si>
  <si>
    <t>LUVA DE REDUÇÃO, PVC, SOLDÁVEL, DN 25MM X 20MM, INSTALADO EM RAMAL DE DISTRIBUIÇÃO DE ÁGUA - FORNECIMENTO E INSTALAÇÃO. AF_12/2014</t>
  </si>
  <si>
    <t>LUVA DE REDUÇÃO, PVC, SOLDÁVEL, DN 32MM X 25MM, INSTALADO EM RAMAL DE DISTRIBUIÇÃO DE ÁGUA - FORNECIMENTO E INSTALAÇÃO. AF_12/2014</t>
  </si>
  <si>
    <t>LUVA DE REDUÇÃO, PVC, SOLDÁVEL, DN 40MM X 32MM, INSTALADO EM RAMAL DE DISTRIBUIÇÃO DE ÁGUA - FORNECIMENTO E INSTALAÇÃO. AF_12/2014</t>
  </si>
  <si>
    <t>TE, PVC, SOLDÁVEL, DN 20MM, INSTALADO EM RAMAL DE DISTRIBUIÇÃO DE ÁGUA - FORNECIMENTO E INSTALAÇÃO. AF_12/2014</t>
  </si>
  <si>
    <t>TE, PVC, SOLDÁVEL, DN 25MM, INSTALADO EM RAMAL DE DISTRIBUIÇÃO DE ÁGUA - FORNECIMENTO E INSTALAÇÃO. AF_12/2014</t>
  </si>
  <si>
    <t>TE, PVC, SOLDÁVEL, DN 32MM, INSTALADO EM RAMAL DE DISTRIBUIÇÃO DE ÁGUA - FORNECIMENTO E INSTALAÇÃO. AF_12/2014</t>
  </si>
  <si>
    <t>JOELHO 90 GRAUS, PVC, SOLDÁVEL, DN 25MM, INSTALADO EM PRUMADA DE ÁGUA - FORNECIMENTO E INSTALAÇÃO. AF_12/2014</t>
  </si>
  <si>
    <t>JOELHO 45 GRAUS, PVC, SOLDÁVEL, DN 25MM, INSTALADO EM PRUMADA DE ÁGUA - FORNECIMENTO E INSTALAÇÃO. AF_12/2014</t>
  </si>
  <si>
    <t>CURVA 90 GRAUS, PVC, SOLDÁVEL, DN 25MM, INSTALADO EM PRUMADA DE ÁGUA - FORNECIMENTO E INSTALAÇÃO. AF_12/2014</t>
  </si>
  <si>
    <t>CURVA 45 GRAUS, PVC, SOLDÁVEL, DN 25MM, INSTALADO EM PRUMADA DE ÁGUA - FORNECIMENTO E INSTALAÇÃO. AF_12/2014</t>
  </si>
  <si>
    <t>JOELHO 90 GRAUS, PVC, SOLDÁVEL, DN 32MM, INSTALADO EM PRUMADA DE ÁGUA - FORNECIMENTO E INSTALAÇÃO. AF_12/2014</t>
  </si>
  <si>
    <t>JOELHO 45 GRAUS, PVC, SOLDÁVEL, DN 32MM, INSTALADO EM PRUMADA DE ÁGUA - FORNECIMENTO E INSTALAÇÃO. AF_12/2014</t>
  </si>
  <si>
    <t>CURVA 90 GRAUS, PVC, SOLDÁVEL, DN 32MM, INSTALADO EM PRUMADA DE ÁGUA - FORNECIMENTO E INSTALAÇÃO. AF_12/2014</t>
  </si>
  <si>
    <t>CURVA 45 GRAUS, PVC, SOLDÁVEL, DN 32MM, INSTALADO EM PRUMADA DE ÁGUA - FORNECIMENTO E INSTALAÇÃO. AF_12/2014</t>
  </si>
  <si>
    <t>JOELHO 90 GRAUS, PVC, SOLDÁVEL, DN 40MM, INSTALADO EM PRUMADA DE ÁGUA - FORNECIMENTO E INSTALAÇÃO. AF_12/2014</t>
  </si>
  <si>
    <t>JOELHO 45 GRAUS, PVC, SOLDÁVEL, DN 40MM, INSTALADO EM PRUMADA DE ÁGUA - FORNECIMENTO E INSTALAÇÃO. AF_12/2014</t>
  </si>
  <si>
    <t>CURVA 90 GRAUS, PVC, SOLDÁVEL, DN 40MM, INSTALADO EM PRUMADA DE ÁGUA - FORNECIMENTO E INSTALAÇÃO. AF_12/2014</t>
  </si>
  <si>
    <t>CURVA 45 GRAUS, PVC, SOLDÁVEL, DN 40MM, INSTALADO EM PRUMADA DE ÁGUA - FORNECIMENTO E INSTALAÇÃO. AF_12/2014</t>
  </si>
  <si>
    <t>JOELHO 90 GRAUS, PVC, SOLDÁVEL, DN 50MM, INSTALADO EM PRUMADA DE ÁGUA - FORNECIMENTO E INSTALAÇÃO. AF_12/2014</t>
  </si>
  <si>
    <t>JOELHO 45 GRAUS, PVC, SOLDÁVEL, DN 50MM, INSTALADO EM PRUMADA DE ÁGUA - FORNECIMENTO E INSTALAÇÃO. AF_12/2014</t>
  </si>
  <si>
    <t>CURVA 90 GRAUS, PVC, SOLDÁVEL, DN 50MM, INSTALADO EM PRUMADA DE ÁGUA - FORNECIMENTO E INSTALAÇÃO. AF_12/2014</t>
  </si>
  <si>
    <t>CURVA 45 GRAUS, PVC, SOLDÁVEL, DN 50MM, INSTALADO EM PRUMADA DE ÁGUA - FORNECIMENTO E INSTALAÇÃO. AF_12/2014</t>
  </si>
  <si>
    <t>JOELHO 90 GRAUS, PVC, SOLDÁVEL, DN 60MM, INSTALADO EM PRUMADA DE ÁGUA - FORNECIMENTO E INSTALAÇÃO. AF_12/2014</t>
  </si>
  <si>
    <t>JOELHO 45 GRAUS, PVC, SOLDÁVEL, DN 60MM, INSTALADO EM PRUMADA DE ÁGUA - FORNECIMENTO E INSTALAÇÃO. AF_12/2014</t>
  </si>
  <si>
    <t>CURVA 90 GRAUS, PVC, SOLDÁVEL, DN 60MM, INSTALADO EM PRUMADA DE ÁGUA - FORNECIMENTO E INSTALAÇÃO. AF_12/2014</t>
  </si>
  <si>
    <t>CURVA 45 GRAUS, PVC, SOLDÁVEL, DN 60MM, INSTALADO EM PRUMADA DE ÁGUA - FORNECIMENTO E INSTALAÇÃO. AF_12/2014</t>
  </si>
  <si>
    <t>JOELHO 90 GRAUS, PVC, SOLDÁVEL, DN 75MM, INSTALADO EM PRUMADA DE ÁGUA - FORNECIMENTO E INSTALAÇÃO. AF_12/2014</t>
  </si>
  <si>
    <t>JOELHO 90 GRAUS, PVC, SERIE R, ÁGUA PLUVIAL, DN 40 MM, JUNTA SOLDÁVEL, FORNECIDO E INSTALADO EM RAMAL DE ENCAMINHAMENTO. AF_12/2014</t>
  </si>
  <si>
    <t>JOELHO 45 GRAUS, PVC, SOLDÁVEL, DN 75MM, INSTALADO EM PRUMADA DE ÁGUA - FORNECIMENTO E INSTALAÇÃO. AF_12/2014</t>
  </si>
  <si>
    <t>JOELHO 45 GRAUS, PVC, SERIE R, ÁGUA PLUVIAL, DN 40 MM, JUNTA SOLDÁVEL, FORNECIDO E INSTALADO EM RAMAL DE ENCAMINHAMENTO. AF_12/2014</t>
  </si>
  <si>
    <t>CURVA 90 GRAUS, PVC, SOLDÁVEL, DN 75MM, INSTALADO EM PRUMADA DE ÁGUA - FORNECIMENTO E INSTALAÇÃO. AF_12/2014</t>
  </si>
  <si>
    <t>JOELHO 90 GRAUS, PVC, SERIE R, ÁGUA PLUVIAL, DN 50 MM, JUNTA ELÁSTICA, FORNECIDO E INSTALADO EM RAMAL DE ENCAMINHAMENTO. AF_12/2014</t>
  </si>
  <si>
    <t>CURVA 45 GRAUS, PVC, SOLDÁVEL, DN 75MM, INSTALADO EM PRUMADA DE ÁGUA - FORNECIMENTO E INSTALAÇÃO. AF_12/2014</t>
  </si>
  <si>
    <t>JOELHO 45 GRAUS, PVC, SERIE R, ÁGUA PLUVIAL, DN 50 MM, JUNTA ELÁSTICA, FORNECIDO E INSTALADO EM RAMAL DE ENCAMINHAMENTO. AF_12/2014</t>
  </si>
  <si>
    <t>JOELHO 90 GRAUS, PVC, SOLDÁVEL, DN 85MM, INSTALADO EM PRUMADA DE ÁGUA - FORNECIMENTO E INSTALAÇÃO. AF_12/2014</t>
  </si>
  <si>
    <t>JOELHO 90 GRAUS, PVC, SERIE R, ÁGUA PLUVIAL, DN 75 MM, JUNTA ELÁSTICA, FORNECIDO E INSTALADO EM RAMAL DE ENCAMINHAMENTO. AF_12/2014</t>
  </si>
  <si>
    <t>JOELHO 45 GRAUS, PVC, SOLDÁVEL, DN 85MM, INSTALADO EM PRUMADA DE ÁGUA - FORNECIMENTO E INSTALAÇÃO. AF_12/2014</t>
  </si>
  <si>
    <t>JOELHO 45 GRAUS, PVC, SERIE R, ÁGUA PLUVIAL, DN 75 MM, JUNTA ELÁSTICA, FORNECIDO E INSTALADO EM RAMAL DE ENCAMINHAMENTO. AF_12/2014</t>
  </si>
  <si>
    <t>CURVA 90 GRAUS, PVC, SOLDÁVEL, DN 85MM, INSTALADO EM PRUMADA DE ÁGUA - FORNECIMENTO E INSTALAÇÃO. AF_12/2014</t>
  </si>
  <si>
    <t>CURVA 45 GRAUS, PVC, SOLDÁVEL, DN 85MM, INSTALADO EM PRUMADA DE ÁGUA - FORNECIMENTO E INSTALAÇÃO. AF_12/2014</t>
  </si>
  <si>
    <t>LUVA DE CORRER, PVC, SOLDÁVEL, DN 25MM, INSTALADO EM PRUMADA DE ÁGUA - FORNECIMENTO E INSTALAÇÃO. AF_12/2014</t>
  </si>
  <si>
    <t>JOELHO 45 GRAUS PARA PÉ DE COLUNA, PVC, SERIE R, ÁGUA PLUVIAL, DN 100 MM, JUNTA ELÁSTICA, FORNECIDO E INSTALADO EM RAMAL DE ENCAMINHAMENTO. AF_12/2014</t>
  </si>
  <si>
    <t>CURVA DE TRANSPOSIÇÃO, PVC, SOLDÁVEL, DN 25MM, INSTALADO EM PRUMADA DE ÁGUA  - FORNECIMENTO E INSTALAÇÃO. AF_12/2014</t>
  </si>
  <si>
    <t>LUVA DE CORRER, PVC, SOLDÁVEL, DN 32MM, INSTALADO EM PRUMADA DE ÁGUA - FORNECIMENTO E INSTALAÇÃO. AF_12/2014</t>
  </si>
  <si>
    <t>LUVA DE CORRER, PVC, SERIE R, ÁGUA PLUVIAL, DN 75 MM, JUNTA ELÁSTICA, FORNECIDO E INSTALADO EM RAMAL DE ENCAMINHAMENTO. AF_12/2014</t>
  </si>
  <si>
    <t>TÊ DE INSPEÇÃO, PVC, SERIE R, ÁGUA PLUVIAL, DN 75 MM, JUNTA ELÁSTICA, FORNECIDO E INSTALADO EM RAMAL DE ENCAMINHAMENTO. AF_12/2014</t>
  </si>
  <si>
    <t>CURVA DE TRANSPOSIÇÃO, PVC, SOLDÁVEL, DN 32MM, INSTALADO EM PRUMADA DE ÁGUA   FORNECIMENTO E INSTALAÇÃO. AF_12/2014</t>
  </si>
  <si>
    <t>LUVA DE CORRER, PVC, SERIE R, ÁGUA PLUVIAL, DN 100 MM, JUNTA ELÁSTICA, FORNECIDO E INSTALADO EM RAMAL DE ENCAMINHAMENTO. AF_12/2014</t>
  </si>
  <si>
    <t>REDUÇÃO EXCÊNTRICA, PVC, SERIE R, ÁGUA PLUVIAL, DN 100 X 75 MM, JUNTA ELÁSTICA, FORNECIDO E INSTALADO EM RAMAL DE ENCAMINHAMENTO. AF_12/2014</t>
  </si>
  <si>
    <t>TÊ DE INSPEÇÃO, PVC, SERIE R, ÁGUA PLUVIAL, DN 100 MM, JUNTA ELÁSTICA, FORNECIDO E INSTALADO EM RAMAL DE ENCAMINHAMENTO. AF_12/2014</t>
  </si>
  <si>
    <t>JUNÇÃO SIMPLES, PVC, SERIE R, ÁGUA PLUVIAL, DN 40 MM, JUNTA SOLDÁVEL, FORNECIDO E INSTALADO EM RAMAL DE ENCAMINHAMENTO. AF_12/2014</t>
  </si>
  <si>
    <t>JUNÇÃO SIMPLES, PVC, SERIE R, ÁGUA PLUVIAL, DN 50 MM, JUNTA ELÁSTICA, FORNECIDO E INSTALADO EM RAMAL DE ENCAMINHAMENTO. AF_12/2014</t>
  </si>
  <si>
    <t>TÊ, PVC, SERIE R, ÁGUA PLUVIAL, DN 75 MM, JUNTA ELÁSTICA, FORNECIDO E INSTALADO EM RAMAL DE ENCAMINHAMENTO. AF_12/2014</t>
  </si>
  <si>
    <t>LUVA DE CORRER, PVC, SOLDÁVEL, DN 50MM, INSTALADO EM PRUMADA DE ÁGUA - FORNECIMENTO E INSTALAÇÃO. AF_12/2014</t>
  </si>
  <si>
    <t>TÊ DE REDUÇÃO, PVC, SOLDÁVEL, DN 25MM X 20MM, INSTALADO EM PRUMADA DE ÁGUA - FORNECIMENTO E INSTALAÇÃO. AF_12/2014</t>
  </si>
  <si>
    <t>TÊ DE REDUÇÃO, PVC, SOLDÁVEL, DN 32MM X 25MM, INSTALADO EM PRUMADA DE ÁGUA - FORNECIMENTO E INSTALAÇÃO. AF_12/2014</t>
  </si>
  <si>
    <t>TÊ DE REDUÇÃO, PVC, SOLDÁVEL, DN 40MM X 32MM, INSTALADO EM PRUMADA DE ÁGUA - FORNECIMENTO E INSTALAÇÃO. AF_12/2014</t>
  </si>
  <si>
    <t>TÊ DE REDUÇÃO, PVC, SOLDÁVEL, DN 50MM X 40MM, INSTALADO EM PRUMADA DE ÁGUA - FORNECIMENTO E INSTALAÇÃO. AF_12/2014</t>
  </si>
  <si>
    <t>TÊ DE REDUÇÃO, PVC, SOLDÁVEL, DN 50MM X 25MM, INSTALADO EM PRUMADA DE ÁGUA - FORNECIMENTO E INSTALAÇÃO. AF_12/2014</t>
  </si>
  <si>
    <t>TE DE REDUÇÃO, PVC, SOLDÁVEL, DN 75MM X 50MM, INSTALADO EM PRUMADA DE ÁGUA - FORNECIMENTO E INSTALAÇÃO. AF_12/2014</t>
  </si>
  <si>
    <t>TE DE REDUÇÃO, PVC, SOLDÁVEL, DN 85MM X 60MM, INSTALADO EM PRUMADA DE ÁGUA - FORNECIMENTO E INSTALAÇÃO. AF_12/2014</t>
  </si>
  <si>
    <t>TUBO, CPVC, SOLDÁVEL, DN 15MM, INSTALADO EM RAMAL OU SUB-RAMAL DE ÁGUA - FORNECIMENTO E INSTALAÇÃO. AF_12/2014</t>
  </si>
  <si>
    <t>TUBO, CPVC, SOLDÁVEL, DN 22MM, INSTALADO EM RAMAL OU SUB-RAMAL DE ÁGUA - FORNECIMENTO E INSTALAÇÃO. AF_12/2014</t>
  </si>
  <si>
    <t>TUBO, CPVC, SOLDÁVEL, DN 28MM, INSTALADO EM RAMAL OU SUB-RAMAL DE ÁGUA - FORNECIMENTO E INSTALAÇÃO. AF_12/2014</t>
  </si>
  <si>
    <t>LUVA, CPVC, SOLDÁVEL, DN 15MM, INSTALADO EM RAMAL OU SUB-RAMAL DE ÁGUA - FORNECIMENTO E INSTALAÇÃO. AF_12/2014</t>
  </si>
  <si>
    <t>TE, CPVC, SOLDÁVEL, DN 15MM, INSTALADO EM RAMAL OU SUB-RAMAL DE ÁGUA - FORNECIMENTO E INSTALAÇÃO. AF_12/2014</t>
  </si>
  <si>
    <t>TE, CPVC, SOLDÁVEL, DN 22MM, INSTALADO EM RAMAL OU SUB-RAMAL DE ÁGUA - FORNECIMENTO E INSTALAÇÃO. AF_12/2014</t>
  </si>
  <si>
    <t>TE MISTURADOR DE TRANSIÇÃO, CPVC, SOLDÁVEL, DN 22MM X 3/4", INSTALADO EM RAMAL OU SUB-RAMAL DE ÁGUA - FORNECIMENTO E INSTALAÇÃO. AF_12/2014</t>
  </si>
  <si>
    <t>RALO SECO, PVC, DN 100 X 40 MM, JUNTA SOLDÁVEL, FORNECIDO E INSTALADO EM RAMAL DE DESCARGA OU EM RAMAL DE ESGOTO SANITÁRIO. AF_12/2014</t>
  </si>
  <si>
    <t>LUVA DE TRANSIÇÃO, CPVC, SOLDÁVEL, DN 22MM X 25MM, INSTALADO EM RAMAL DE DISTRIBUIÇÃO DE ÁGUA   FORNECIMENTO E INSTALAÇÃO. AF_12/2014</t>
  </si>
  <si>
    <t>UNIÃO, CPVC, SOLDÁVEL, DN 22MM, INSTALADO EM RAMAL DE DISTRIBUIÇÃO DE ÁGUA   FORNECIMENTO E INSTALAÇÃO. AF_12/2014</t>
  </si>
  <si>
    <t>ADAPTADOR, CPVC, SOLDÁVEL, DN 22MM, INSTALADO EM RAMAL DE DISTRIBUIÇÃO DE ÁGUA   FORNECIMENTO E INSTALAÇÃO. AF_12/2014</t>
  </si>
  <si>
    <t>CURVA DE TRANSPOSIÇÃO, CPVC, SOLDÁVEL, DN 22MM, INSTALADO EM RAMAL DE DISTRIBUIÇÃO DE ÁGUA   FORNECIMENTO E INSTALAÇÃO. AF_12/2014</t>
  </si>
  <si>
    <t>UNIÃO, CPVC, SOLDÁVEL, DN 28MM, INSTALADO EM RAMAL DE DISTRIBUIÇÃO DE ÁGUA   FORNECIMENTO E INSTALAÇÃO. AF_12/2014</t>
  </si>
  <si>
    <t>BUCHA DE REDUÇÃO, CPVC, SOLDÁVEL, DN35MM X 28MM, INSTALADO EM RAMAL DE DISTRIBUIÇÃO DE ÁGUA - FORNECIMENTO E INSTALAÇÃO. AF_12/2014</t>
  </si>
  <si>
    <t>TE DE TRANSIÇÃO, CPVC, SOLDÁVEL, DN 22MM X 1/2 , INSTALADO EM RAMAL DE DISTRIBUIÇÃO DE ÁGUA   FORNECIMENTO E INSTALAÇÃO. AF_12/2014</t>
  </si>
  <si>
    <t>TÊ, CPVC, SOLDÁVEL, DN35MM, INSTALADO EM RAMAL DE DISTRIBUIÇÃO DE ÁGUA - FORNECIMENTO E INSTALAÇÃO. AF_12/2014</t>
  </si>
  <si>
    <t>JOELHO 45 GRAUS, CPVC, SOLDÁVEL, DN 35MM, INSTALADO EM PRUMADA DE ÁGUA - FORNECIMENTO E INSTALAÇÃO. AF_12/2014</t>
  </si>
  <si>
    <t>BATE-ESTACAS POR GRAVIDADE, POTÊNCIA DE 160 HP, PESO DO MARTELO ATÉ 3 TONELADAS - CHP DIURNO. AF_11/2014</t>
  </si>
  <si>
    <t>TUBO, PVC, SOLDÁVEL, DN 25MM, INSTALADO EM DRENO DE AR-CONDICIONADO - FORNECIMENTO E INSTALAÇÃO. AF_12/2014</t>
  </si>
  <si>
    <t>LUVA, PVC, SOLDÁVEL, DN 25MM, INSTALADO EM DRENO DE AR-CONDICIONADO - FORNECIMENTO E INSTALAÇÃO. AF_12/2014</t>
  </si>
  <si>
    <t>CAMINHÃO BASCULANTE 14 M3, COM CAVALO MECÂNICO DE CAPACIDADE MÁXIMA DE TRAÇÃO COMBINADO DE 36000 KG, POTÊNCIA 286 CV, INCLUSIVE SEMIREBOQUE COM CAÇAMBA METÁLICA - DEPRECIAÇÃO. AF_12/2014</t>
  </si>
  <si>
    <t>CAMINHÃO BASCULANTE 14 M3, COM CAVALO MECÂNICO DE CAPACIDADE MÁXIMA DE TRAÇÃO COMBINADO DE 36000 KG, POTÊNCIA 286 CV, INCLUSIVE SEMIREBOQUE COM CAÇAMBA METÁLICA - JUROS. AF_12/2014</t>
  </si>
  <si>
    <t>CAMINHÃO BASCULANTE 14 M3, COM CAVALO MECÂNICO DE CAPACIDADE MÁXIMA DE TRAÇÃO COMBINADO DE 36000 KG, POTÊNCIA 286 CV, INCLUSIVE SEMIREBOQUE COM CAÇAMBA METÁLICA - IMPOSTOS E SEGUROS. AF_12/2014</t>
  </si>
  <si>
    <t>CAMINHÃO BASCULANTE 14 M3, COM CAVALO MECÂNICO DE CAPACIDADE MÁXIMA DE TRAÇÃO COMBINADO DE 36000 KG, POTÊNCIA 286 CV, INCLUSIVE SEMIREBOQUE COM CAÇAMBA METÁLICA - MANUTENÇÃO. AF_12/2014</t>
  </si>
  <si>
    <t>CAMINHÃO BASCULANTE 14 M3, COM CAVALO MECÂNICO DE CAPACIDADE MÁXIMA DE TRAÇÃO COMBINADO DE 36000 KG, POTÊNCIA 286 CV, INCLUSIVE SEMIREBOQUE COM CAÇAMBA METÁLICA - MATERIAIS NA OPERAÇÃO. AF_12/2014</t>
  </si>
  <si>
    <t>CAMINHÃO BASCULANTE 14 M3, COM CAVALO MECÂNICO DE CAPACIDADE MÁXIMA DE TRAÇÃO COMBINADO DE 36000 KG, POTÊNCIA 286 CV, INCLUSIVE SEMIREBOQUE COM CAÇAMBA METÁLICA - CHP DIURNO. AF_12/2014</t>
  </si>
  <si>
    <t>CAMINHÃO BASCULANTE 14 M3, COM CAVALO MECÂNICO DE CAPACIDADE MÁXIMA DE TRAÇÃO COMBINADO DE 36000 KG, POTÊNCIA 286 CV, INCLUSIVE SEMIREBOQUE COM CAÇAMBA METÁLICA - CHI DIURNO. AF_12/2014</t>
  </si>
  <si>
    <t>CAMINHÃO BASCULANTE 18 M3, COM CAVALO MECÂNICO DE CAPACIDADE MÁXIMA DE TRAÇÃO COMBINADO DE 45000 KG, POTÊNCIA 330 CV, INCLUSIVE SEMIREBOQUE COM CAÇAMBA METÁLICA - DEPRECIAÇÃO. AF_12/2014</t>
  </si>
  <si>
    <t>CAMINHÃO BASCULANTE 18 M3, COM CAVALO MECÂNICO DE CAPACIDADE MÁXIMA DE TRAÇÃO COMBINADO DE 45000 KG, POTÊNCIA 330 CV, INCLUSIVE SEMIREBOQUE COM CAÇAMBA METÁLICA - JUROS. AF_12/2014</t>
  </si>
  <si>
    <t>CAMINHÃO BASCULANTE 18 M3, COM CAVALO MECÂNICO DE CAPACIDADE MÁXIMA DE TRAÇÃO COMBINADO DE 45000 KG, POTÊNCIA 330 CV, INCLUSIVE SEMIREBOQUE COM CAÇAMBA METÁLICA - IMPOSTOS E SEGUROS. AF_12/2014</t>
  </si>
  <si>
    <t>CAMINHÃO BASCULANTE 18 M3, COM CAVALO MECÂNICO DE CAPACIDADE MÁXIMA DE TRAÇÃO COMBINADO DE 45000 KG, POTÊNCIA 330 CV, INCLUSIVE SEMIREBOQUE COM CAÇAMBA METÁLICA - MANUTENÇÃO. AF_12/2014</t>
  </si>
  <si>
    <t>CAMINHÃO BASCULANTE 18 M3, COM CAVALO MECÂNICO DE CAPACIDADE MÁXIMA DE TRAÇÃO COMBINADO DE 45000 KG, POTÊNCIA 330 CV, INCLUSIVE SEMIREBOQUE COM CAÇAMBA METÁLICA - MATERIAIS NA OPERAÇÃO. AF_12/2014</t>
  </si>
  <si>
    <t>CAMINHÃO BASCULANTE 18 M3, COM CAVALO MECÂNICO DE CAPACIDADE MÁXIMA DE TRAÇÃO COMBINADO DE 45000 KG, POTÊNCIA 330 CV, INCLUSIVE SEMIREBOQUE COM CAÇAMBA METÁLICA - CHP DIURNO. AF_12/2014</t>
  </si>
  <si>
    <t>CAMINHÃO BASCULANTE 18 M3, COM CAVALO MECÂNICO DE CAPACIDADE MÁXIMA DE TRAÇÃO COMBINADO DE 45000 KG, POTÊNCIA 330 CV, INCLUSIVE SEMIREBOQUE COM CAÇAMBA METÁLICA - CHI DIURNO. AF_12/2014</t>
  </si>
  <si>
    <t>GRAUTEAMENTO VERTICAL EM ALVENARIA ESTRUTURAL. AF_01/2015</t>
  </si>
  <si>
    <t>BUCHA DE REDUÇÃO, PVC, SOLDÁVEL, DN 40MM X 32MM, INSTALADO EM RAMAL OU SUB-RAMAL DE ÁGUA - FORNECIMENTO E INSTALAÇÃO. AF_03/2015</t>
  </si>
  <si>
    <t>FURO EM ALVENARIA PARA DIÂMETROS MENORES OU IGUAIS A 40 MM. AF_05/2015</t>
  </si>
  <si>
    <t>FURO EM ALVENARIA PARA DIÂMETROS MAIORES QUE 40 MM E MENORES OU IGUAIS A 75 MM. AF_05/2015</t>
  </si>
  <si>
    <t>FURO EM ALVENARIA PARA DIÂMETROS MAIORES QUE 75 MM. AF_05/2015</t>
  </si>
  <si>
    <t>FURO EM CONCRETO PARA DIÂMETROS MENORES OU IGUAIS A 40 MM. AF_05/2015</t>
  </si>
  <si>
    <t>FURO EM CONCRETO PARA DIÂMETROS MAIORES QUE 40 MM E MENORES OU IGUAIS A 75 MM. AF_05/2015</t>
  </si>
  <si>
    <t>FURO EM CONCRETO PARA DIÂMETROS MAIORES QUE 75 MM. AF_05/2015</t>
  </si>
  <si>
    <t>RASGO EM ALVENARIA PARA RAMAIS/ DISTRIBUIÇÃO COM DIAMETROS MENORES OU IGUAIS A 40 MM. AF_05/2015</t>
  </si>
  <si>
    <t>RASGO EM CONTRAPISO PARA RAMAIS/ DISTRIBUIÇÃO COM DIÂMETROS MENORES OU IGUAIS A 40 MM. AF_05/2015</t>
  </si>
  <si>
    <t>RASGO EM ALVENARIA PARA ELETRODUTOS COM DIAMETROS MENORES OU IGUAIS A 40 MM. AF_05/2015</t>
  </si>
  <si>
    <t>PASSANTE TIPO PEÇA EM POLIESTIRENO PARA ABERTURA PARA PASSAGEM DE MAIS DE 1 TUBO, FIXADO EM LAJE. AF_05/2015</t>
  </si>
  <si>
    <t>PASSANTE TIPO TUBO DE DIÂMETRO MENOR OU IGUAL A 40 MM, FIXADO EM LAJE. AF_05/2015</t>
  </si>
  <si>
    <t>PASSANTE TIPO TUBO DE DIÂMETRO MAIORES QUE 40 MM E MENORES OU IGUAIS A 75 MM, FIXADO EM LAJE. AF_05/2015</t>
  </si>
  <si>
    <t>CHUMBAMENTO LINEAR EM ALVENARIA PARA RAMAIS/DISTRIBUIÇÃO COM DIÂMETROS MENORES OU IGUAIS A 40 MM. AF_05/2015</t>
  </si>
  <si>
    <t>CHUMBAMENTO LINEAR EM ALVENARIA PARA RAMAIS/DISTRIBUIÇÃO COM DIÂMETROS MAIORES QUE 40 MM E MENORES OU IGUAIS A 75 MM. AF_05/2015</t>
  </si>
  <si>
    <t>PERFURATRIZ MANUAL, TORQUE MÁXIMO 83 N.M, POTÊNCIA 5 CV, COM DIÂMETRO MÁXIMO 4" - DEPRECIAÇÃO. AF_06/2015</t>
  </si>
  <si>
    <t>PERFURATRIZ MANUAL, TORQUE MÁXIMO 83 N.M, POTÊNCIA 5 CV, COM DIÂMETRO MÁXIMO 4" - JUROS. AF_06/2015</t>
  </si>
  <si>
    <t>PERFURATRIZ MANUAL, TORQUE MÁXIMO 83 N.M, POTÊNCIA 5 CV, COM DIÂMETRO MÁXIMO 4" - MANUTENÇÃO. AF_06/2015</t>
  </si>
  <si>
    <t>PERFURATRIZ MANUAL, TORQUE MÁXIMO 83 N.M, POTÊNCIA 5 CV, COM DIÂMETRO MÁXIMO 4" - MATERIAIS NA OPERAÇÃO. AF_06/2015</t>
  </si>
  <si>
    <t>PERFURATRIZ MANUAL, TORQUE MÁXIMO 83 N.M, POTÊNCIA 5 CV, COM DIÂMETRO MÁXIMO 4" - CHP DIURNO. AF_06/2015</t>
  </si>
  <si>
    <t>PERFURATRIZ MANUAL, TORQUE MÁXIMO 83 N.M, POTÊNCIA 5 CV, COM DIÂMETRO MÁXIMO 4" - CHI DIURNO. AF_06/2015</t>
  </si>
  <si>
    <t>PERFURATRIZ SOBRE ESTEIRA, TORQUE MÁXIMO 600 KGF, PESO MÉDIO 1000 KG, POTÊNCIA 20 HP, DIÂMETRO MÁXIMO 10" - DEPRECIAÇÃO. AF_06/2015</t>
  </si>
  <si>
    <t>PERFURATRIZ SOBRE ESTEIRA, TORQUE MÁXIMO 600 KGF, PESO MÉDIO 1000 KG, POTÊNCIA 20 HP, DIÂMETRO MÁXIMO 10" - JUROS. AF_06/2015</t>
  </si>
  <si>
    <t>PERFURATRIZ SOBRE ESTEIRA, TORQUE MÁXIMO 600 KGF, PESO MÉDIO 1000 KG, POTÊNCIA 20 HP, DIÂMETRO MÁXIMO 10" - MANUTENÇÃO. AF_06/2015</t>
  </si>
  <si>
    <t>PERFURATRIZ SOBRE ESTEIRA, TORQUE MÁXIMO 600 KGF, PESO MÉDIO 1000 KG, POTÊNCIA 20 HP, DIÂMETRO MÁXIMO 10" - CHP DIURNO. AF_06/2015</t>
  </si>
  <si>
    <t>PERFURATRIZ SOBRE ESTEIRA, TORQUE MÁXIMO 600 KGF, PESO MÉDIO 1000 KG, POTÊNCIA 20 HP, DIÂMETRO MÁXIMO 10" - CHI DIURNO. AF_06/2015</t>
  </si>
  <si>
    <t>MISTURADOR DUPLO HORIZONTAL DE ALTA TURBULÊNCIA, CAPACIDADE / VOLUME 2 X 500 LITROS, MOTORES ELÉTRICOS MÍNIMO 5 CV CADA, PARA NATA CIMENTO, ARGAMASSA E OUTROS - DEPRECIAÇÃO. AF_06/2015</t>
  </si>
  <si>
    <t>MISTURADOR DUPLO HORIZONTAL DE ALTA TURBULÊNCIA, CAPACIDADE / VOLUME 2 X 500 LITROS, MOTORES ELÉTRICOS MÍNIMO 5 CV CADA, PARA NATA CIMENTO, ARGAMASSA E OUTROS - JUROS. AF_06/2015</t>
  </si>
  <si>
    <t>MISTURADOR DUPLO HORIZONTAL DE ALTA TURBULÊNCIA, CAPACIDADE / VOLUME 2 X 500 LITROS, MOTORES ELÉTRICOS MÍNIMO 5 CV CADA, PARA NATA CIMENTO, ARGAMASSA E OUTROS - MANUTENÇÃO. AF_06/2015</t>
  </si>
  <si>
    <t>MISTURADOR DUPLO HORIZONTAL DE ALTA TURBULÊNCIA, CAPACIDADE / VOLUME 2 X 500 LITROS, MOTORES ELÉTRICOS MÍNIMO 5 CV CADA, PARA NATA CIMENTO, ARGAMASSA E OUTROS - MATERIAIS NA OPERAÇÃO. AF_06/2015</t>
  </si>
  <si>
    <t>MISTURADOR DUPLO HORIZONTAL DE ALTA TURBULÊNCIA, CAPACIDADE / VOLUME 2 X 500 LITROS, MOTORES ELÉTRICOS MÍNIMO 5 CV CADA, PARA NATA CIMENTO, ARGAMASSA E OUTROS - CHP DIURNO. AF_06/2015</t>
  </si>
  <si>
    <t>MISTURADOR DUPLO HORIZONTAL DE ALTA TURBULÊNCIA, CAPACIDADE / VOLUME 2 X 500 LITROS, MOTORES ELÉTRICOS MÍNIMO 5 CV CADA, PARA NATA CIMENTO, ARGAMASSA E OUTROS - CHI DIURNO. AF_06/2015</t>
  </si>
  <si>
    <t>BOMBA DE PROJEÇÃO DE CONCRETO SECO, POTÊNCIA 10 CV, VAZÃO 3 M3/H - CHP DIURNO. AF_06/2015</t>
  </si>
  <si>
    <t>BOMBA DE PROJEÇÃO DE CONCRETO SECO, POTÊNCIA 10 CV, VAZÃO 3 M3/H - CHI DIURNO. AF_06/2015</t>
  </si>
  <si>
    <t>BOMBA DE PROJEÇÃO DE CONCRETO SECO, POTÊNCIA 10 CV, VAZÃO 6 M3/H - CHP DIURNO. AF_06/2015</t>
  </si>
  <si>
    <t>BOMBA DE PROJEÇÃO DE CONCRETO SECO, POTÊNCIA 10 CV, VAZÃO 6 M3/H - CHI DIURNO. AF_06/2015</t>
  </si>
  <si>
    <t>TUBO DE PVC PARA REDE COLETORA DE ESGOTO DE PAREDE MACIÇA, DN 100 MM, JUNTA ELÁSTICA, INSTALADO EM LOCAL COM NÍVEL BAIXO DE INTERFERÊNCIAS - FORNECIMENTO E ASSENTAMENTO. AF_06/2015</t>
  </si>
  <si>
    <t>TUBO DE PVC PARA REDE COLETORA DE ESGOTO DE PAREDE MACIÇA, DN 150 MM, JUNTA ELÁSTICA, INSTALADO EM LOCAL COM NÍVEL BAIXO DE INTERFERÊNCIAS - FORNECIMENTO E ASSENTAMENTO. AF_06/2015</t>
  </si>
  <si>
    <t>TUBO DE PVC PARA REDE COLETORA DE ESGOTO DE PAREDE MACIÇA, DN 200 MM, JUNTA ELÁSTICA, INSTALADO EM LOCAL COM NÍVEL BAIXO DE INTERFERÊNCIAS - FORNECIMENTO E ASSENTAMENTO. AF_06/2015</t>
  </si>
  <si>
    <t>TUBO DE PVC PARA REDE COLETORA DE ESGOTO DE PAREDE MACIÇA, DN 250 MM, JUNTA ELÁSTICA, INSTALADO EM LOCAL COM NÍVEL BAIXO DE INTERFERÊNCIAS - FORNECIMENTO E ASSENTAMENTO. AF_06/2015</t>
  </si>
  <si>
    <t>TUBO DE PVC PARA REDE COLETORA DE ESGOTO DE PAREDE MACIÇA, DN 300 MM, JUNTA ELÁSTICA, INSTALADO EM LOCAL COM NÍVEL BAIXO DE INTERFERÊNCIAS - FORNECIMENTO E ASSENTAMENTO. AF_06/2015</t>
  </si>
  <si>
    <t>TUBO DE PVC PARA REDE COLETORA DE ESGOTO DE PAREDE MACIÇA, DN 350 MM, JUNTA ELÁSTICA, INSTALADO EM LOCAL COM NÍVEL BAIXO DE INTERFERÊNCIAS - FORNECIMENTO E ASSENTAMENTO. AF_06/2015</t>
  </si>
  <si>
    <t>TUBO DE PVC PARA REDE COLETORA DE ESGOTO DE PAREDE MACIÇA, DN 400 MM, JUNTA ELÁSTICA, INSTALADO EM LOCAL COM NÍVEL BAIXO DE INTERFERÊNCIAS - FORNECIMENTO E ASSENTAMENTO. AF_06/2015</t>
  </si>
  <si>
    <t>TUBO DE PVC PARA REDE COLETORA DE ESGOTO DE PAREDE MACIÇA, DN 100 MM, JUNTA ELÁSTICA, INSTALADO EM LOCAL COM NÍVEL ALTO DE INTERFERÊNCIAS - FORNECIMENTO E ASSENTAMENTO. AF_06/2015</t>
  </si>
  <si>
    <t>TUBO DE PVC PARA REDE COLETORA DE ESGOTO DE PAREDE MACIÇA, DN 150 MM, JUNTA ELÁSTICA, INSTALADO EM LOCAL COM NÍVEL ALTO DE INTERFERÊNCIAS - FORNECIMENTO E ASSENTAMENTO. AF_06/2015</t>
  </si>
  <si>
    <t>TUBO DE PVC PARA REDE COLETORA DE ESGOTO DE PAREDE MACIÇA, DN 200 MM, JUNTA ELÁSTICA, INSTALADO EM LOCAL COM NÍVEL ALTO DE INTERFERÊNCIAS - FORNECIMENTO E ASSENTAMENTO. AF_06/2015</t>
  </si>
  <si>
    <t>TUBO DE PVC PARA REDE COLETORA DE ESGOTO DE PAREDE MACIÇA, DN 250 MM, JUNTA ELÁSTICA, INSTALADO EM LOCAL COM NÍVEL ALTO DE INTERFERÊNCIAS - FORNECIMENTO E ASSENTAMENTO. AF_06/2015</t>
  </si>
  <si>
    <t>TUBO DE PVC PARA REDE COLETORA DE ESGOTO DE PAREDE MACIÇA, DN 300 MM, JUNTA ELÁSTICA, INSTALADO EM LOCAL COM NÍVEL ALTO DE INTERFERÊNCIAS - FORNECIMENTO E ASSENTAMENTO. AF_06/2015</t>
  </si>
  <si>
    <t>TUBO DE PVC PARA REDE COLETORA DE ESGOTO DE PAREDE MACIÇA, DN 350 MM, JUNTA ELÁSTICA, INSTALADO EM LOCAL COM NÍVEL ALTO DE INTERFERÊNCIAS - FORNECIMENTO E ASSENTAMENTO. AF_06/2015</t>
  </si>
  <si>
    <t>TUBO DE PVC PARA REDE COLETORA DE ESGOTO DE PAREDE MACIÇA, DN 400 MM, JUNTA ELÁSTICA, INSTALADO EM LOCAL COM NÍVEL ALTO DE INTERFERÊNCIAS - FORNECIMENTO E ASSENTAMENTO. AF_06/2015</t>
  </si>
  <si>
    <t>JUNTA ARGAMASSADA ENTRE TUBO DN 200 MM E O POÇO/ CAIXA DE CONCRETO OU ALVENARIA EM REDES DE ESGOTO. AF_06/2015</t>
  </si>
  <si>
    <t>ALMOXARIFE COM ENCARGOS COMPLEMENTARES</t>
  </si>
  <si>
    <t>APONTADOR OU APROPRIADOR COM ENCARGOS COMPLEMENTARES</t>
  </si>
  <si>
    <t>ARQUITETO DE OBRA JUNIOR COM ENCARGOS COMPLEMENTARES</t>
  </si>
  <si>
    <t>ARQUITETO DE OBRA PLENO COM ENCARGOS COMPLEMENTARES</t>
  </si>
  <si>
    <t>ARQUITETO DE OBRA SENIOR COM ENCARGOS COMPLEMENTARES</t>
  </si>
  <si>
    <t>AUXILIAR DE DESENHISTA COM ENCARGOS COMPLEMENTARES</t>
  </si>
  <si>
    <t>AUXILIAR DE ESCRITORIO COM ENCARGOS COMPLEMENTARES</t>
  </si>
  <si>
    <t>DESENHISTA COPISTA COM ENCARGOS COMPLEMENTARES</t>
  </si>
  <si>
    <t>DESENHISTA PROJETISTA COM ENCARGOS COMPLEMENTARES</t>
  </si>
  <si>
    <t>ENCARREGADO GERAL COM ENCARGOS COMPLEMENTARES</t>
  </si>
  <si>
    <t>ENGENHEIRO CIVIL DE OBRA JUNIOR COM ENCARGOS COMPLEMENTARES</t>
  </si>
  <si>
    <t>ENGENHEIRO CIVIL DE OBRA PLENO COM ENCARGOS COMPLEMENTARES</t>
  </si>
  <si>
    <t>ENGENHEIRO CIVIL DE OBRA SENIOR COM ENCARGOS COMPLEMENTARES</t>
  </si>
  <si>
    <t>MESTRE DE OBRAS COM ENCARGOS COMPLEMENTARES</t>
  </si>
  <si>
    <t>TOPOGRAFO COM ENCARGOS COMPLEMENTARES</t>
  </si>
  <si>
    <t>CONTRAPISO ACÚSTICO EM ARGAMASSA TRAÇO 1:4 (CIMENTO E AREIA), PREPARO MECÂNICO COM BETONEIRA 400L, APLICADO EM ÁREAS SECAS MENORES QUE 15M2, ESPESSURA 5CM. AF_10/2014</t>
  </si>
  <si>
    <t>CONTRAPISO ACÚSTICO EM ARGAMASSA TRAÇO 1:4 (CIMENTO E AREIA), PREPARO MECÂNICO COM BETONEIRA 400L, APLICADO EM ÁREAS SECAS MENORES QUE 15M2, ESPESSURA 6CM. AF_10/2014</t>
  </si>
  <si>
    <t>CONTRAPISO ACÚSTICO EM ARGAMASSA TRAÇO 1:4 (CIMENTO E AREIA), PREPARO MECÂNICO COM BETONEIRA 400L, APLICADO EM ÁREAS SECAS MENORES QUE 15M2, ESPESSURA 7CM. AF_10/2014</t>
  </si>
  <si>
    <t>CONTRAPISO ACÚSTICO EM ARGAMASSA TRAÇO 1:4 (CIMENTO E AREIA), PREPARO MECÂNICO COM BETONEIRA 400L, APLICADO EM ÁREAS SECAS MAIORES QUE 15M2, ESPESSURA 5CM. AF_10/2014</t>
  </si>
  <si>
    <t>CONTRAPISO ACÚSTICO EM ARGAMASSA TRAÇO 1:4 (CIMENTO E AREIA), PREPARO MECÂNICO COM BETONEIRA 400L, APLICADO EM ÁREAS SECAS MAIORES QUE 15M2, ESPESSURA 6CM. AF_10/2014</t>
  </si>
  <si>
    <t>CONTRAPISO ACÚSTICO EM ARGAMASSA TRAÇO 1:4 (CIMENTO E AREIA), PREPARO MECÂNICO COM BETONEIRA 400L, APLICADO EM ÁREAS SECAS MAIORES QUE 15M2, ESPESSURA 7CM. AF_10/2014</t>
  </si>
  <si>
    <t>COMPRESSOR DE AR REBOCÁVEL, VAZÃO 189 PCM, PRESSÃO EFETIVA DE TRABALHO 102 PSI, MOTOR DIESEL, POTÊNCIA 63 CV - DEPRECIAÇÃO. AF_06/2015</t>
  </si>
  <si>
    <t>COMPRESSOR DE AR REBOCÁVEL, VAZÃO 189 PCM, PRESSÃO EFETIVA DE TRABALHO 102 PSI, MOTOR DIESEL, POTÊNCIA 63 CV - JUROS. AF_06/2015</t>
  </si>
  <si>
    <t>COMPRESSOR DE AR REBOCÁVEL, VAZÃO 89 PCM, PRESSÃO EFETIVA DE TRABALHO 102 PSI, MOTOR DIESEL, POTÊNCIA 20 CV - DEPRECIAÇÃO. AF_06/2015</t>
  </si>
  <si>
    <t>COMPRESSOR DE AR REBOCÁVEL, VAZÃO 89 PCM, PRESSÃO EFETIVA DE TRABALHO 102 PSI, MOTOR DIESEL, POTÊNCIA 20 CV - JUROS. AF_06/2015</t>
  </si>
  <si>
    <t>COMPRESSOR DE AR REBOCÁVEL, VAZÃO 89 PCM, PRESSÃO EFETIVA DE TRABALHO 102 PSI, MOTOR DIESEL, POTÊNCIA 20 CV - MANUTENÇÃO. AF_06/2015</t>
  </si>
  <si>
    <t>COMPRESSOR DE AR REBOCÁVEL, VAZÃO 89 PCM, PRESSÃO EFETIVA DE TRABALHO 102 PSI, MOTOR DIESEL, POTÊNCIA 20 CV - CHP DIURNO. AF_06/2015</t>
  </si>
  <si>
    <t>COMPRESSOR DE AR REBOCÁVEL, VAZÃO 89 PCM, PRESSÃO EFETIVA DE TRABALHO 102 PSI, MOTOR DIESEL, POTÊNCIA 20 CV - CHI DIURNO. AF_06/2015</t>
  </si>
  <si>
    <t>COMPRESSOR DE AR REBOCÁVEL, VAZÃO 748 PCM, PRESSÃO EFETIVA DE TRABALHO 102 PSI, MOTOR DIESEL, POTÊNCIA 210 CV - DEPRECIAÇÃO. AF_06/2015</t>
  </si>
  <si>
    <t>COMPRESSOR DE AR REBOCÁVEL, VAZÃO 748 PCM, PRESSÃO EFETIVA DE TRABALHO 102 PSI, MOTOR DIESEL, POTÊNCIA 210 CV - JUROS. AF_06/2015</t>
  </si>
  <si>
    <t>COMPRESSOR DE AR REBOCÁVEL, VAZÃO 748 PCM, PRESSÃO EFETIVA DE TRABALHO 102 PSI, MOTOR DIESEL, POTÊNCIA 210 CV - MANUTENÇÃO. AF_06/2015</t>
  </si>
  <si>
    <t>COMPRESSOR DE AR REBOCÁVEL, VAZÃO 748 PCM, PRESSÃO EFETIVA DE TRABALHO 102 PSI, MOTOR DIESEL, POTÊNCIA 210 CV - CHP DIURNO. AF_06/2015</t>
  </si>
  <si>
    <t>COMPRESSOR DE AR REBOCÁVEL, VAZÃO 748 PCM, PRESSÃO EFETIVA DE TRABALHO 102 PSI, MOTOR DIESEL, POTÊNCIA 210 CV - CHI DIURNO. AF_06/2015</t>
  </si>
  <si>
    <t>CAMINHÃO TRUCADO (C/ TERCEIRO EIXO) ELETRÔNICO - POTÊNCIA 231CV - PBT = 22000KG - DIST. ENTRE EIXOS 5170 MM - INCLUI CARROCERIA FIXA ABERTA DE MADEIRA - DEPRECIAÇÃO. AF_06/2015</t>
  </si>
  <si>
    <t>CAMINHÃO TRUCADO (C/ TERCEIRO EIXO) ELETRÔNICO - POTÊNCIA 231CV - PBT = 22000KG - DIST. ENTRE EIXOS 5170 MM - INCLUI CARROCERIA FIXA ABERTA DE MADEIRA - JUROS. AF_06/2015</t>
  </si>
  <si>
    <t>CAMINHÃO TRUCADO (C/ TERCEIRO EIXO) ELETRÔNICO - POTÊNCIA 231CV - PBT = 22000KG - DIST. ENTRE EIXOS 5170 MM - INCLUI CARROCERIA FIXA ABERTA DE MADEIRA - IMPOSTOS E SEGUROS. AF_06/2015</t>
  </si>
  <si>
    <t>CAMINHÃO TRUCADO (C/ TERCEIRO EIXO) ELETRÔNICO - POTÊNCIA 231CV - PBT = 22000KG - DIST. ENTRE EIXOS 5170 MM - INCLUI CARROCERIA FIXA ABERTA DE MADEIRA - MANUTENÇÃO. AF_06/2015</t>
  </si>
  <si>
    <t>CAMINHÃO TRUCADO (C/ TERCEIRO EIXO) ELETRÔNICO - POTÊNCIA 231CV - PBT = 22000KG - DIST. ENTRE EIXOS 5170 MM - INCLUI CARROCERIA FIXA ABERTA DE MADEIRA - MATERIAIS NA OPERAÇÃO. AF_06/2015</t>
  </si>
  <si>
    <t>CAMINHÃO TRUCADO (C/ TERCEIRO EIXO) ELETRÔNICO - POTÊNCIA 231CV - PBT = 22000KG - DIST. ENTRE EIXOS 5170 MM - INCLUI CARROCERIA FIXA ABERTA DE MADEIRA - CHP DIURNO. AF_06/2015</t>
  </si>
  <si>
    <t>CAMINHÃO TRUCADO (C/ TERCEIRO EIXO) ELETRÔNICO - POTÊNCIA 231CV - PBT = 22000KG - DIST. ENTRE EIXOS 5170 MM - INCLUI CARROCERIA FIXA ABERTA DE MADEIRA - CHI DIURNO. AF_06/2015</t>
  </si>
  <si>
    <t>EXECUÇÃO DE REVESTIMENTO DE CONCRETO PROJETADO COM ESPESSURA DE 7 CM, ARMADO COM TELA, INCLINAÇÃO DE 90°, APLICAÇÃO DESCONTÍNUA, UTILIZANDO EQUIPAMENTO DE PROJEÇÃO COM 6 M³/H DE CAPACIDADE. AF_01/2016</t>
  </si>
  <si>
    <t>EXECUÇÃO DE REVESTIMENTO DE CONCRETO PROJETADO COM ESPESSURA DE 10 CM, ARMADO COM TELA, INCLINAÇÃO DE 90°, APLICAÇÃO DESCONTÍNUA, UTILIZANDO EQUIPAMENTO DE PROJEÇÃO COM 6 M³/H DE CAPACIDADE. AF_01/2016</t>
  </si>
  <si>
    <t>EXECUÇÃO DE REVESTIMENTO DE CONCRETO PROJETADO COM ESPESSURA DE 7 CM, ARMADO COM TELA, INCLINAÇÃO DE 90°, APLICAÇÃO DESCONTÍNUA, UTILIZANDO EQUIPAMENTO DE PROJEÇÃO COM 3 M³/H DE CAPACIDADE. AF_01/2016</t>
  </si>
  <si>
    <t>EXECUÇÃO DE REVESTIMENTO DE CONCRETO PROJETADO COM ESPESSURA DE 10 CM, ARMADO COM TELA, INCLINAÇÃO DE 90°, APLICAÇÃO DESCONTÍNUA, UTILIZANDO EQUIPAMENTO DE PROJEÇÃO COM 3 M³/H DE CAPACIDADE. AF_01/2016</t>
  </si>
  <si>
    <t>CHUMBAMENTO PONTUAL DE ABERTURA EM LAJE COM PASSAGEM DE MAIS DE 1 TUBO DE  DIAMETRO EQUIVALENTE IGUAL À  50 MM. AF_05/2015</t>
  </si>
  <si>
    <t>CHUMBAMENTO PONTUAL EM PASSAGEM DE TUBO COM DIÂMETRO MENOR OU IGUAL A 40 MM. AF_05/2015</t>
  </si>
  <si>
    <t>CHUMBAMENTO PONTUAL EM PASSAGEM DE TUBO COM DIÂMETROS ENTRE 40 MM E 75 MM. AF_05/2015</t>
  </si>
  <si>
    <t>CHUMBAMENTO PONTUAL EM PASSAGEM DE TUBO COM DIÂMETRO MAIOR QUE 75 MM. AF_05/2015</t>
  </si>
  <si>
    <t>RASGO EM ALVENARIA PARA RAMAIS/ DISTRIBUIÇÃO COM DIÂMETROS MAIORES QUE 40 MM E MENORES OU IGUAIS A 75 MM. AF_05/2015</t>
  </si>
  <si>
    <t>CAMINHÃO TOCO, PESO BRUTO TOTAL 14.300 KG, CARGA ÚTIL MÁXIMA 9590 KG, DISTÂNCIA ENTRE EIXOS 4,76 M, POTÊNCIA 185 CV (NÃO INCLUI CARROCERIA) - DEPRECIAÇÃO. AF_06/2014</t>
  </si>
  <si>
    <t>CAMINHÃO TOCO, PESO BRUTO TOTAL 14.300 KG, CARGA ÚTIL MÁXIMA 9590 KG, DISTÂNCIA ENTRE EIXOS 4,76 M, POTÊNCIA 185 CV (NÃO INCLUI CARROCERIA) - JUROS. AF_06/2014</t>
  </si>
  <si>
    <t>CAMINHÃO TOCO, PESO BRUTO TOTAL 14.300 KG, CARGA ÚTIL MÁXIMA 9590 KG, DISTÂNCIA ENTRE EIXOS 4,76 M, POTÊNCIA 185 CV (NÃO INCLUI CARROCERIA) - IMPOSTOS E SEGUROS. AF_06/2014</t>
  </si>
  <si>
    <t>ESPARGIDOR DE ASFALTO PRESSURIZADO, TANQUE 6 M3 COM ISOLAÇÃO TÉRMICA, AQUECIDO COM 2 MAÇARICOS, COM BARRA ESPARGIDORA 3,60 M, MONTADO SOBRE CAMINHÃO  TOCO, PBT 14.300 KG, POTÊNCIA 185 CV - JUROS. AF_08/2015</t>
  </si>
  <si>
    <t>ESTUCAMENTO, PARA QUALQUER REVESTIMENTO, EM TETO DO SISTEMA DE PAREDES DE CONCRETO. AF_06/2015</t>
  </si>
  <si>
    <t>ENGENHEIRO ELETRICISTA COM ENCARGOS COMPLEMENTARES</t>
  </si>
  <si>
    <t>ENGENHEIRO SANITARISTA COM ENCARGOS COMPLEMENTARES</t>
  </si>
  <si>
    <t>(COMPOSIÇÃO REPRESENTATIVA) DO SERVIÇO DE INSTALAÇÃO DE TUBOS DE PVC, SOLDÁVEL, ÁGUA FRIA, DN 20 MM (INSTALADO EM RAMAL, SUB-RAMAL OU RAMAL DE DISTRIBUIÇÃO), INCLUSIVE CONEXÕES, CORTES E FIXAÇÕES, PARA PRÉDIOS. AF_10/2015</t>
  </si>
  <si>
    <t>(COMPOSIÇÃO REPRESENTATIVA) DO SERVIÇO DE INSTALAÇÃO DE TUBOS DE PVC, SOLDÁVEL, ÁGUA FRIA, DN 25 MM (INSTALADO EM RAMAL, SUB-RAMAL, RAMAL DE DISTRIBUIÇÃO OU PRUMADA), INCLUSIVE CONEXÕES, CORTES E FIXAÇÕES, PARA PRÉDIOS. AF_10/2015</t>
  </si>
  <si>
    <t>(COMPOSIÇÃO REPRESENTATIVA) DO SERVIÇO DE INSTALAÇÃO DE TUBOS DE PVC, SÉRIE R, ÁGUA PLUVIAL, DN 75 MM (INSTALADO EM RAMAL DE ENCAMINHAMENTO, OU CONDUTORES VERTICAIS), INCLUSIVE CONEXÕES, CORTE E FIXAÇÕES, PARA PRÉDIOS. AF_10/2015</t>
  </si>
  <si>
    <t>(COMPOSIÇÃO REPRESENTATIVA) DO SERVIÇO DE INSTALAÇÃO DE TUBOS DE PVC, SÉRIE R, ÁGUA PLUVIAL, DN 150 MM (INSTALADO EM CONDUTORES VERTICAIS), INCLUSIVE CONEXÕES, CORTES E FIXAÇÕES, PARA PRÉDIOS. AF_10/2015</t>
  </si>
  <si>
    <t>LUVA PARA ELETRODUTO, PVC, ROSCÁVEL, DN 40 MM (1 1/4"), PARA CIRCUITOS TERMINAIS, INSTALADA EM FORRO - FORNECIMENTO E INSTALAÇÃO. AF_12/2015</t>
  </si>
  <si>
    <t>LUVA PARA ELETRODUTO, PVC, ROSCÁVEL, DN 40 MM (1 1/4"), PARA CIRCUITOS TERMINAIS, INSTALADA EM LAJE - FORNECIMENTO E INSTALAÇÃO. AF_12/2015</t>
  </si>
  <si>
    <t>CURVA 90 GRAUS PARA ELETRODUTO, PVC, ROSCÁVEL, DN 40 MM (1 1/4"), PARA CIRCUITOS TERMINAIS, INSTALADA EM FORRO - FORNECIMENTO E INSTALAÇÃO. AF_12/2015</t>
  </si>
  <si>
    <t>CURVA 180 GRAUS PARA ELETRODUTO, PVC, ROSCÁVEL, DN 20 MM (1/2"), PARA CIRCUITOS TERMINAIS, INSTALADA EM PAREDE - FORNECIMENTO E INSTALAÇÃO. AF_12/2015</t>
  </si>
  <si>
    <t>CURVA 180 GRAUS PARA ELETRODUTO, PVC, ROSCÁVEL, DN 25 MM (3/4"), PARA CIRCUITOS TERMINAIS, INSTALADA EM PAREDE - FORNECIMENTO E INSTALAÇÃO. AF_12/2015</t>
  </si>
  <si>
    <t>CURVA 90 GRAUS PARA ELETRODUTO, PVC, ROSCÁVEL, DN 40 MM (1 1/4"), PARA CIRCUITOS TERMINAIS, INSTALADA EM PAREDE - FORNECIMENTO E INSTALAÇÃO. AF_12/2015</t>
  </si>
  <si>
    <t>SUPORTE PARAFUSADO COM PLACA DE ENCAIXE 4" X 2" ALTO (2,00 M DO PISO) PARA PONTO ELÉTRICO - FORNECIMENTO E INSTALAÇÃO. AF_12/2015</t>
  </si>
  <si>
    <t>SUPORTE PARAFUSADO COM PLACA DE ENCAIXE 4" X 2" MÉDIO (1,30 M DO PISO) PARA PONTO ELÉTRICO - FORNECIMENTO E INSTALAÇÃO. AF_12/2015</t>
  </si>
  <si>
    <t>SUPORTE PARAFUSADO COM PLACA DE ENCAIXE 4" X 2" BAIXO (0,30 M DO PISO) PARA PONTO ELÉTRICO - FORNECIMENTO E INSTALAÇÃO. AF_12/2015</t>
  </si>
  <si>
    <t>SUPORTE PARAFUSADO COM PLACA DE ENCAIXE 4" X 4" ALTO (2,00 M DO PISO) PARA PONTO ELÉTRICO - FORNECIMENTO E INSTALAÇÃO. AF_12/2015</t>
  </si>
  <si>
    <t>SUPORTE PARAFUSADO COM PLACA DE ENCAIXE 4" X 4" MÉDIO (1,30 M DO PISO) PARA PONTO ELÉTRICO - FORNECIMENTO E INSTALAÇÃO. AF_12/2015</t>
  </si>
  <si>
    <t>SUPORTE PARAFUSADO COM PLACA DE ENCAIXE 4" X 4" BAIXO (0,30 M DO PISO) PARA PONTO ELÉTRICO - FORNECIMENTO E INSTALAÇÃO. AF_12/2015</t>
  </si>
  <si>
    <t>INTERRUPTOR SIMPLES (1 MÓDULO), 10A/250V, INCLUINDO SUPORTE E PLACA - FORNECIMENTO E INSTALAÇÃO. AF_12/2015</t>
  </si>
  <si>
    <t>INTERRUPTOR PARALELO (1 MÓDULO), 10A/250V, INCLUINDO SUPORTE E PLACA - FORNECIMENTO E INSTALAÇÃO. AF_12/2015</t>
  </si>
  <si>
    <t>INTERRUPTOR SIMPLES (2 MÓDULOS), 10A/250V, INCLUINDO SUPORTE E PLACA - FORNECIMENTO E INSTALAÇÃO. AF_12/2015</t>
  </si>
  <si>
    <t>INTERRUPTOR PARALELO (2 MÓDULOS), 10A/250V, SEM SUPORTE E SEM PLACA - FORNECIMENTO E INSTALAÇÃO. AF_12/2015</t>
  </si>
  <si>
    <t>INTERRUPTOR PARALELO (2 MÓDULOS), 10A/250V, INCLUINDO SUPORTE E PLACA - FORNECIMENTO E INSTALAÇÃO. AF_12/2015</t>
  </si>
  <si>
    <t>INTERRUPTOR SIMPLES (3 MÓDULOS), 10A/250V, INCLUINDO SUPORTE E PLACA - FORNECIMENTO E INSTALAÇÃO. AF_12/2015</t>
  </si>
  <si>
    <t>INTERRUPTOR PARALELO (3 MÓDULOS), 10A/250V, SEM SUPORTE E SEM PLACA - FORNECIMENTO E INSTALAÇÃO. AF_12/2015</t>
  </si>
  <si>
    <t>INTERRUPTOR PARALELO (3 MÓDULOS), 10A/250V, INCLUINDO SUPORTE E PLACA - FORNECIMENTO E INSTALAÇÃO. AF_12/2015</t>
  </si>
  <si>
    <t>INTERRUPTOR SIMPLES (4 MÓDULOS), 10A/250V, INCLUINDO SUPORTE E PLACA - FORNECIMENTO E INSTALAÇÃO. AF_12/2015</t>
  </si>
  <si>
    <t>INTERRUPTOR SIMPLES (6 MÓDULOS), 10A/250V, INCLUINDO SUPORTE E PLACA - FORNECIMENTO E INSTALAÇÃO. AF_12/2015</t>
  </si>
  <si>
    <t>TOMADA ALTA DE EMBUTIR (1 MÓDULO), 2P+T 20 A, SEM SUPORTE E SEM PLACA - FORNECIMENTO E INSTALAÇÃO. AF_12/2015</t>
  </si>
  <si>
    <t>TOMADA MÉDIA DE EMBUTIR (1 MÓDULO), 2P+T 10 A, SEM SUPORTE E SEM PLACA - FORNECIMENTO E INSTALAÇÃO. AF_12/2015</t>
  </si>
  <si>
    <t>TOMADA MÉDIA DE EMBUTIR (1 MÓDULO), 2P+T 20 A, SEM SUPORTE E SEM PLACA - FORNECIMENTO E INSTALAÇÃO. AF_12/2015</t>
  </si>
  <si>
    <t>TOMADA BAIXA DE EMBUTIR (1 MÓDULO), 2P+T 10 A, SEM SUPORTE E SEM PLACA - FORNECIMENTO E INSTALAÇÃO. AF_12/2015</t>
  </si>
  <si>
    <t>TOMADA BAIXA DE EMBUTIR (1 MÓDULO), 2P+T 20 A, SEM SUPORTE E SEM PLACA - FORNECIMENTO E INSTALAÇÃO. AF_12/2015</t>
  </si>
  <si>
    <t>INTERRUPTOR SIMPLES (1 MÓDULO) COM 1 TOMADA DE EMBUTIR 2P+T 10 A,  SEM SUPORTE E SEM PLACA - FORNECIMENTO E INSTALAÇÃO. AF_12/2015</t>
  </si>
  <si>
    <t>PENEIRA ROTATIVA COM MOTOR ELÉTRICO TRIFÁSICO DE 2 CV, CILINDRO DE 1 M X 0,60 M, COM FUROS DE 3,17 MM - DEPRECIAÇÃO. AF_11/2015</t>
  </si>
  <si>
    <t>PENEIRA ROTATIVA COM MOTOR ELÉTRICO TRIFÁSICO DE 2 CV, CILINDRO DE 1 M X 0,60 M, COM FUROS DE 3,17 MM - JUROS. AF_11/2015</t>
  </si>
  <si>
    <t>PENEIRA ROTATIVA COM MOTOR ELÉTRICO TRIFÁSICO DE 2 CV, CILINDRO DE 1 M X 0,60 M, COM FUROS DE 3,17 MM - MANUTENÇÃO. AF_11/2015</t>
  </si>
  <si>
    <t>PENEIRA ROTATIVA COM MOTOR ELÉTRICO TRIFÁSICO DE 2 CV, CILINDRO DE 1 M X 0,60 M, COM FUROS DE 3,17 MM - MATERIAIS NA OPERAÇÃO. AF_11/2015</t>
  </si>
  <si>
    <t>PENEIRA ROTATIVA COM MOTOR ELÉTRICO TRIFÁSICO DE 2 CV, CILINDRO DE 1 M X 0,60 M, COM FUROS DE 3,17 MM - CHP DIURNO. AF_11/2015</t>
  </si>
  <si>
    <t>PENEIRA ROTATIVA COM MOTOR ELÉTRICO TRIFÁSICO DE 2 CV, CILINDRO DE 1 M X 0,60 M, COM FUROS DE 3,17 MM - CHI DIURNO. AF_11/2015</t>
  </si>
  <si>
    <t>DOSADOR DE AREIA, CAPACIDADE DE 26 LITROS - DEPRECIAÇÃO. AF_11/2015</t>
  </si>
  <si>
    <t>DOSADOR DE AREIA, CAPACIDADE DE 26 LITROS - JUROS. AF_11/2015</t>
  </si>
  <si>
    <t>DOSADOR DE AREIA, CAPACIDADE DE 26 LITROS - MANUTENÇÃO. AF_11/2015</t>
  </si>
  <si>
    <t>DOSADOR DE AREIA, CAPACIDADE DE 26 LITROS - CHP DIURNO. AF_11/2015</t>
  </si>
  <si>
    <t>DOSADOR DE AREIA, CAPACIDADE DE 26 LITROS - CHI DIURNO. AF_11/2015</t>
  </si>
  <si>
    <t>PENEIRAMENTO DE AREIA COM PENEIRA ELÉTRICA. AF_11/2015</t>
  </si>
  <si>
    <t>PENEIRAMENTO DE AREIA COM PENEIRA MANUAL. AF_11/2015</t>
  </si>
  <si>
    <t>ENSACAMENTO DE AREIA. AF_11/2015</t>
  </si>
  <si>
    <t>CAMINHONETE CABINE SIMPLES COM MOTOR 1.6 FLEX, CÂMBIO MANUAL, POTÊNCIA 101/104 CV, 2 PORTAS - DEPRECIAÇÃO. AF_11/2015</t>
  </si>
  <si>
    <t>CAMINHONETE CABINE SIMPLES COM MOTOR 1.6 FLEX, CÂMBIO MANUAL, POTÊNCIA 101/104 CV, 2 PORTAS - JUROS. AF_11/2015</t>
  </si>
  <si>
    <t>CAMINHONETE CABINE SIMPLES COM MOTOR 1.6 FLEX, CÂMBIO MANUAL, POTÊNCIA 101/104 CV, 2 PORTAS - IMPOSTOS E SEGUROS. AF_11/2015</t>
  </si>
  <si>
    <t>CAMINHONETE CABINE SIMPLES COM MOTOR 1.6 FLEX, CÂMBIO MANUAL, POTÊNCIA 101/104 CV, 2 PORTAS - MANUTENÇÃO. AF_11/2015</t>
  </si>
  <si>
    <t>CAMINHONETE CABINE SIMPLES COM MOTOR 1.6 FLEX, CÂMBIO MANUAL, POTÊNCIA 101/104 CV, 2 PORTAS - MATERIAIS NA OPERAÇÃO. AF_11/2015</t>
  </si>
  <si>
    <t>CAMINHONETE CABINE SIMPLES COM MOTOR 1.6 FLEX, CÂMBIO MANUAL, POTÊNCIA 101/104 CV, 2 PORTAS - CHP DIURNO. AF_11/2015</t>
  </si>
  <si>
    <t>CAMINHONETE CABINE SIMPLES COM MOTOR 1.6 FLEX, CÂMBIO MANUAL, POTÊNCIA 101/104 CV, 2 PORTAS - CHI DIURNO. AF_11/2015</t>
  </si>
  <si>
    <t>FABRICAÇÃO DE ESCORAS DE VIGA DO TIPO GARFO, EM MADEIRA. AF_12/2015</t>
  </si>
  <si>
    <t>FABRICAÇÃO DE ESCORAS DO TIPO PONTALETE, EM MADEIRA. AF_12/2015</t>
  </si>
  <si>
    <t>TUBO DE AÇO PRETO SEM COSTURA, CONEXÃO SOLDADA, DN 50 (2"), INSTALADO EM PRUMADAS - FORNECIMENTO E INSTALAÇÃO. AF_12/2015</t>
  </si>
  <si>
    <t>NIPLE, EM FERRO GALVANIZADO, DN 50 (2"), CONEXÃO ROSQUEADA, INSTALADO EM PRUMADAS - FORNECIMENTO E INSTALAÇÃO. AF_12/2015</t>
  </si>
  <si>
    <t>NIPLE, EM FERRO GALVANIZADO, DN 80 (3"), CONEXÃO ROSQUEADA, INSTALADO EM PRUMADAS - FORNECIMENTO E INSTALAÇÃO. AF_12/2015</t>
  </si>
  <si>
    <t>JOELHO 45 GRAUS, EM FERRO GALVANIZADO, DN 50 (2"), CONEXÃO ROSQUEADA, INSTALADO EM PRUMADAS - FORNECIMENTO E INSTALAÇÃO. AF_12/2015</t>
  </si>
  <si>
    <t>JOELHO 90 GRAUS, EM FERRO GALVANIZADO, DN 50 (2"), CONEXÃO ROSQUEADA, INSTALADO EM PRUMADAS - FORNECIMENTO E INSTALAÇÃO. AF_12/2015</t>
  </si>
  <si>
    <t>JOELHO 45 GRAUS, EM FERRO GALVANIZADO, DN 80 (3"), CONEXÃO ROSQUEADA, INSTALADO EM PRUMADAS - FORNECIMENTO E INSTALAÇÃO. AF_12/2015</t>
  </si>
  <si>
    <t>JOELHO 90 GRAUS, EM FERRO GALVANIZADO, DN 80 (3"), CONEXÃO ROSQUEADA, INSTALADO EM PRUMADAS - FORNECIMENTO E INSTALAÇÃO. AF_12/2015</t>
  </si>
  <si>
    <t>TÊ, EM FERRO GALVANIZADO, DN 50 (2"), CONEXÃO ROSQUEADA, INSTALADO EM PRUMADAS - FORNECIMENTO E INSTALAÇÃO. AF_12/2015</t>
  </si>
  <si>
    <t>TÊ, EM FERRO GALVANIZADO, DN 65 (2 1/2"), CONEXÃO ROSQUEADA, INSTALADO EM PRUMADAS - FORNECIMENTO E INSTALAÇÃO. AF_12/2015</t>
  </si>
  <si>
    <t>TÊ, EM FERRO GALVANIZADO, DN 80 (3"), CONEXÃO ROSQUEADA, INSTALADO EM PRUMADAS - FORNECIMENTO E INSTALAÇÃO. AF_12/2015</t>
  </si>
  <si>
    <t>EXECUÇÃO DE PAVIMENTO EM PISO INTERTRAVADO, COM BLOCO PISOGRAMA DE 35 X 25 CM, ESPESSURA 6 CM. AF_12/2015</t>
  </si>
  <si>
    <t>EXECUÇÃO DE PAVIMENTO EM PISO INTERTRAVADO, COM BLOCO PISOGRAMA DE 35 X 25 CM, ESPESSURA 8 CM. AF_12/2015</t>
  </si>
  <si>
    <t>EXECUÇÃO DE PAVIMENTO EM PISO INTERTRAVADO, COM BLOCO SEXTAVADO DE 25 X 25 CM, ESPESSURA 6 CM. AF_12/2015</t>
  </si>
  <si>
    <t>EXECUÇÃO DE PAVIMENTO EM PISO INTERTRAVADO, COM BLOCO SEXTAVADO DE 25 X 25 CM, ESPESSURA 8 CM. AF_12/2015</t>
  </si>
  <si>
    <t>EXECUÇÃO DE PAVIMENTO EM PISO INTERTRAVADO, COM BLOCO SEXTAVADO DE 25 X 25 CM, ESPESSURA 10 CM. AF_12/2015</t>
  </si>
  <si>
    <t>EXECUÇÃO DE VIA EM PISO INTERTRAVADO, COM BLOCO RETANGULAR COR NATURAL DE 20 X 10 CM, ESPESSURA 8 CM. AF_12/2015</t>
  </si>
  <si>
    <t>EXECUÇÃO DE VIA EM PISO INTERTRAVADO, COM BLOCO RETANGULAR DE 20 X 10 CM, ESPESSURA 10 CM. AF_12/2015</t>
  </si>
  <si>
    <t>MONTAGEM E DESMONTAGEM DE FÔRMA DE LAJE MACIÇA COM ÁREA MÉDIA MENOR OU IGUAL A 20 M², PÉ-DIREITO SIMPLES, EM MADEIRA SERRADA, 1 UTILIZAÇÃO. AF_12/2015</t>
  </si>
  <si>
    <t>MONTAGEM E DESMONTAGEM DE FÔRMA DE LAJE MACIÇA COM ÁREA MÉDIA MENOR OU IGUAL A 20 M², PÉ-DIREITO SIMPLES, EM MADEIRA SERRADA, 2 UTILIZAÇÕES. AF_12/2015</t>
  </si>
  <si>
    <t>MONTAGEM E DESMONTAGEM DE FÔRMA DE LAJE MACIÇA COM ÁREA MÉDIA MENOR OU IGUAL A 20 M², PÉ-DIREITO SIMPLES, EM MADEIRA SERRADA, 4 UTILIZAÇÕES. AF_12/2015</t>
  </si>
  <si>
    <t>(COMPOSIÇÃO REPRESENTATIVA) FABRICAÇÃO E INSTALAÇÃO DE TESOURA INTEIRA EM AÇO, PARA VÃOS DE 3 A 12 M E PARA QUALQUER TIPO DE TELHA, INCLUSO IÇAMENTO. AF_12/2015</t>
  </si>
  <si>
    <t>TUBO DE AÇO GALVANIZADO COM COSTURA, CLASSE MÉDIA, CONEXÃO ROSQUEADA, DN 15 (1/2"), INSTALADO EM RAMAIS E SUB-RAMAIS DE GÁS - FORNECIMENTO E INSTALAÇÃO. AF_12/2015</t>
  </si>
  <si>
    <t>TUBO DE AÇO GALVANIZADO COM COSTURA, CLASSE MÉDIA, CONEXÃO ROSQUEADA, DN 20 (3/4"), INSTALADO EM RAMAIS E SUB-RAMAIS DE GÁS - FORNECIMENTO E INSTALAÇÃO. AF_12/2015</t>
  </si>
  <si>
    <t>LUVA, EM FERRO GALVANIZADO, CONEXÃO ROSQUEADA, DN 15 (1/2"), INSTALADO EM RAMAIS E SUB-RAMAIS DE GÁS - FORNECIMENTO E INSTALAÇÃO. AF_12/2015</t>
  </si>
  <si>
    <t>LUVA, EM FERRO GALVANIZADO, CONEXÃO ROSQUEADA, DN 20 (3/4"), INSTALADO EM RAMAIS E SUB-RAMAIS DE GÁS - FORNECIMENTO E INSTALAÇÃO. AF_12/2015</t>
  </si>
  <si>
    <t>NIPLE, EM FERRO GALVANIZADO, CONEXÃO ROSQUEADA, DN 25 (1"), INSTALADO EM RAMAIS E SUB-RAMAIS DE GÁS - FORNECIMENTO E INSTALAÇÃO. AF_12/2015</t>
  </si>
  <si>
    <t>TÊ, EM FERRO GALVANIZADO, CONEXÃO ROSQUEADA, DN 25 (1"), INSTALADO EM RAMAIS E SUB-RAMAIS DE GÁS - FORNECIMENTO E INSTALAÇÃO. AF_12/2015</t>
  </si>
  <si>
    <t>CAIXA OCTOGONAL 4" X 4", METÁLICA, INSTALADA EM LAJE - FORNECIMENTO E INSTALAÇÃO. AF_12/2015</t>
  </si>
  <si>
    <t>CAIXA SEXTAVADA 3" X 3", METÁLICA, INSTALADA EM LAJE - FORNECIMENTO E INSTALAÇÃO. AF_12/2015</t>
  </si>
  <si>
    <t>CAIXA RETANGULAR 4" X 2" ALTA (2,00 M DO PISO), METÁLICA, INSTALADA EM PAREDE - FORNECIMENTO E INSTALAÇÃO. AF_12/2015</t>
  </si>
  <si>
    <t>CAIXA RETANGULAR 4" X 4" ALTA (2,00 M DO PISO), METÁLICA, INSTALADA EM PAREDE - FORNECIMENTO E INSTALAÇÃO. AF_12/2015</t>
  </si>
  <si>
    <t>UNIÃO, EM FERRO GALVANIZADO, DN 50 (2"), CONEXÃO ROSQUEADA, INSTALADO EM PRUMADAS - FORNECIMENTO E INSTALAÇÃO. AF_12/2015</t>
  </si>
  <si>
    <t>UNIÃO, EM FERRO GALVANIZADO, DN 80 (3"), CONEXÃO ROSQUEADA, INSTALADO EM PRUMADAS - FORNECIMENTO E INSTALAÇÃO. AF_12/2015</t>
  </si>
  <si>
    <t>UNIÃO, EM FERRO GALVANIZADO, CONEXÃO ROSQUEADA, DN 25 (1"), INSTALADO EM RAMAIS E SUB-RAMAIS DE GÁS - FORNECIMENTO E INSTALAÇÃO. AF_12/2015</t>
  </si>
  <si>
    <t>LUVA DE REDUÇÃO, EM FERRO GALVANIZADO, 3/4" X 1/2", CONEXÃO ROSQUEADA, INSTALADO EM RAMAIS E SUB-RAMAIS DE GÁS - FORNECIMENTO E INSTALAÇÃO. AF_12/2015</t>
  </si>
  <si>
    <t>MARTELO PERFURADOR PNEUMÁTICO MANUAL, HASTE 25 X 75 MM, 21 KG - JUROS. AF_12/2015</t>
  </si>
  <si>
    <t>LUVA PARA ELETRODUTO, PVC, ROSCÁVEL, DN 50 MM (1 1/2") - FORNECIMENTO E INSTALAÇÃO. AF_12/2015</t>
  </si>
  <si>
    <t>LUVA PARA ELETRODUTO, PVC, ROSCÁVEL, DN 75 MM (2 1/2") - FORNECIMENTO E INSTALAÇÃO. AF_12/2015</t>
  </si>
  <si>
    <t>PONTO DE TOMADA RESIDENCIAL INCLUINDO TOMADA 10A/250V, CAIXA ELÉTRICA, ELETRODUTO, CABO, RASGO, QUEBRA E CHUMBAMENTO. AF_01/2016</t>
  </si>
  <si>
    <t>PONTO DE TOMADA RESIDENCIAL INCLUINDO TOMADA 20A/250V, CAIXA ELÉTRICA, ELETRODUTO, CABO, RASGO, QUEBRA E CHUMBAMENTO. AF_01/2016</t>
  </si>
  <si>
    <t>VERGA PRÉ-MOLDADA PARA JANELAS COM ATÉ 1,5 M DE VÃO. AF_03/2016</t>
  </si>
  <si>
    <t>VERGA PRÉ-MOLDADA PARA JANELAS COM MAIS DE 1,5 M DE VÃO. AF_03/2016</t>
  </si>
  <si>
    <t>VERGA PRÉ-MOLDADA PARA PORTAS COM ATÉ 1,5 M DE VÃO. AF_03/2016</t>
  </si>
  <si>
    <t>VERGA PRÉ-MOLDADA PARA PORTAS COM MAIS DE 1,5 M DE VÃO. AF_03/2016</t>
  </si>
  <si>
    <t>CONTRAVERGA MOLDADA IN LOCO EM CONCRETO PARA VÃOS DE MAIS DE 1,5 M DE COMPRIMENTO. AF_03/2016</t>
  </si>
  <si>
    <t>FIXAÇÃO (ENCUNHAMENTO) DE ALVENARIA DE VEDAÇÃO COM ARGAMASSA APLICADA COM BISNAGA. AF_03/2016</t>
  </si>
  <si>
    <t>FIXAÇÃO (ENCUNHAMENTO) DE ALVENARIA DE VEDAÇÃO COM ARGAMASSA APLICADA COM COLHER. AF_03/2016</t>
  </si>
  <si>
    <t>BETONEIRA CAPACIDADE NOMINAL 400 L, CAPACIDADE DE MISTURA 310 L, MOTOR A GASOLINA POTÊNCIA 5,5 HP, SEM CARREGADOR - DEPRECIAÇÃO. AF_02/2016</t>
  </si>
  <si>
    <t>BETONEIRA CAPACIDADE NOMINAL 400 L, CAPACIDADE DE MISTURA 310 L, MOTOR A GASOLINA POTÊNCIA 5,5 HP, SEM CARREGADOR - JUROS. AF_02/2016</t>
  </si>
  <si>
    <t>BETONEIRA CAPACIDADE NOMINAL 400 L, CAPACIDADE DE MISTURA 310 L, MOTOR A GASOLINA POTÊNCIA 5,5 HP, SEM CARREGADOR - MANUTENÇÃO. AF_02/2016</t>
  </si>
  <si>
    <t>BETONEIRA CAPACIDADE NOMINAL 400 L, CAPACIDADE DE MISTURA 310 L, MOTOR A GASOLINA POTÊNCIA 5,5 HP, SEM CARREGADOR - CHP DIURNO. AF_02/2016</t>
  </si>
  <si>
    <t>BETONEIRA CAPACIDADE NOMINAL 400 L, CAPACIDADE DE MISTURA 310 L, MOTOR A GASOLINA POTÊNCIA 5,5 HP, SEM CARREGADOR - CHI DIURNO. AF_02/2016</t>
  </si>
  <si>
    <t>ROLO COMPACTADOR VIBRATÓRIO PÉ DE CARNEIRO PARA SOLOS, POTÊNCIA 80 HP, PESO OPERACIONAL SEM/COM LASTRO 7,4 / 8,8 T, LARGURA DE TRABALHO 1,68 M - CHI DIURNO. AF_02/2016</t>
  </si>
  <si>
    <t>REATERRO MANUAL DE VALAS COM COMPACTAÇÃO MECANIZADA. AF_04/2016</t>
  </si>
  <si>
    <t>GRUPO GERADOR REBOCÁVEL, POTÊNCIA 66 KVA, MOTOR A DIESEL - MANUTENÇÃO. AF_03/2016</t>
  </si>
  <si>
    <t>GRUPO GERADOR REBOCÁVEL, POTÊNCIA 66 KVA, MOTOR A DIESEL - CHP DIURNO. AF_03/2016</t>
  </si>
  <si>
    <t>GRUPO GERADOR REBOCÁVEL, POTÊNCIA 66 KVA, MOTOR A DIESEL - CHI DIURNO. AF_03/2016</t>
  </si>
  <si>
    <t>MOTORISTA DE CAMINHAO COM ENCARGOS COMPLEMENTARES</t>
  </si>
  <si>
    <t>ARQUITETO JUNIOR COM ENCARGOS COMPLEMENTARES</t>
  </si>
  <si>
    <t>ARQUITETO PLENO COM ENCARGOS COMPLEMENTARES</t>
  </si>
  <si>
    <t>ARQUITETO SENIOR COM ENCARGOS COMPLEMENTARES</t>
  </si>
  <si>
    <t>ENCARREGADO GERAL DE OBRAS COM ENCARGOS COMPLEMENTARES</t>
  </si>
  <si>
    <t>DISJUNTOR MONOPOLAR TIPO DIN, CORRENTE NOMINAL DE 10A - FORNECIMENTO E INSTALAÇÃO. AF_04/2016</t>
  </si>
  <si>
    <t>DISJUNTOR MONOPOLAR TIPO DIN, CORRENTE NOMINAL DE 16A - FORNECIMENTO E INSTALAÇÃO. AF_04/2016</t>
  </si>
  <si>
    <t>DISJUNTOR MONOPOLAR TIPO DIN, CORRENTE NOMINAL DE 20A - FORNECIMENTO E INSTALAÇÃO. AF_04/2016</t>
  </si>
  <si>
    <t>DISJUNTOR MONOPOLAR TIPO DIN, CORRENTE NOMINAL DE 25A - FORNECIMENTO E INSTALAÇÃO. AF_04/2016</t>
  </si>
  <si>
    <t>DISJUNTOR MONOPOLAR TIPO DIN, CORRENTE NOMINAL DE 32A - FORNECIMENTO E INSTALAÇÃO. AF_04/2016</t>
  </si>
  <si>
    <t>DISJUNTOR MONOPOLAR TIPO DIN, CORRENTE NOMINAL DE 40A - FORNECIMENTO E INSTALAÇÃO. AF_04/2016</t>
  </si>
  <si>
    <t>DISJUNTOR MONOPOLAR TIPO DIN, CORRENTE NOMINAL DE 50A - FORNECIMENTO E INSTALAÇÃO. AF_04/2016</t>
  </si>
  <si>
    <t>DISJUNTOR TRIPOLAR TIPO DIN, CORRENTE NOMINAL DE 10A - FORNECIMENTO E INSTALAÇÃO. AF_04/2016</t>
  </si>
  <si>
    <t>DISJUNTOR TRIPOLAR TIPO DIN, CORRENTE NOMINAL DE 16A - FORNECIMENTO E INSTALAÇÃO. AF_04/2016</t>
  </si>
  <si>
    <t>DISJUNTOR TRIPOLAR TIPO DIN, CORRENTE NOMINAL DE 20A - FORNECIMENTO E INSTALAÇÃO. AF_04/2016</t>
  </si>
  <si>
    <t>DISJUNTOR TRIPOLAR TIPO DIN, CORRENTE NOMINAL DE 25A - FORNECIMENTO E INSTALAÇÃO. AF_04/2016</t>
  </si>
  <si>
    <t>DISJUNTOR TRIPOLAR TIPO DIN, CORRENTE NOMINAL DE 32A - FORNECIMENTO E INSTALAÇÃO. AF_04/2016</t>
  </si>
  <si>
    <t>DISJUNTOR TRIPOLAR TIPO DIN, CORRENTE NOMINAL DE 40A - FORNECIMENTO E INSTALAÇÃO. AF_04/2016</t>
  </si>
  <si>
    <t>DISJUNTOR TRIPOLAR TIPO DIN, CORRENTE NOMINAL DE 50A - FORNECIMENTO E INSTALAÇÃO. AF_04/2016</t>
  </si>
  <si>
    <t>EXECUÇÃO DE VIA EM PISO INTERTRAVADO, COM BLOCO RETANGULAR COLORIDO DE 20 X 10 CM, ESPESSURA 8 CM. AF_12/2015</t>
  </si>
  <si>
    <t>EXECUÇÃO DE GRAMPO PARA SOLO GRAMPEADO COM COMPRIMENTO MENOR OU IGUAL A 4 M, DIÂMETRO DE 10 CM, PERFURAÇÃO COM EQUIPAMENTO MANUAL E ARMADURA COM DIÂMETRO DE 16 MM. AF_05/2016</t>
  </si>
  <si>
    <t>EXECUÇÃO DE GRAMPO PARA SOLO GRAMPEADO COM COMPRIMENTO MAIOR QUE 8 M E MENOR OU IGUAL A 10 M, DIÂMETRO DE 10 CM, PERFURAÇÃO COM EQUIPAMENTO MANUAL E ARMADURA COM DIÂMETRO DE 16 MM. AF_05/2016</t>
  </si>
  <si>
    <t>EXECUÇÃO DE GRAMPO PARA SOLO GRAMPEADO COM COMPRIMENTO MENOR OU IGUAL A 4 M, DIÂMETRO DE 10 CM, PERFURAÇÃO COM EQUIPAMENTO MANUAL E ARMADURA COM DIÂMETRO DE 20 MM. AF_05/2016</t>
  </si>
  <si>
    <t>EXECUÇÃO DE GRAMPO PARA SOLO GRAMPEADO COM COMPRIMENTO MAIOR QUE 8 M E MENOR OU IGUAL A 10 M, DIÂMETRO DE 10 CM, PERFURAÇÃO COM EQUIPAMENTO MANUAL E ARMADURA COM DIÂMETRO DE 20 MM. AF_05/2016</t>
  </si>
  <si>
    <t>EXECUÇÃO DE GRAMPO PARA SOLO GRAMPEADO COM COMPRIMENTO MENOR OU IGUAL A 4 M, DIÂMETRO DE 7 CM, PERFURAÇÃO COM EQUIPAMENTO MANUAL E ARMADURA COM DIÂMETRO DE 16 MM. AF_05/2016</t>
  </si>
  <si>
    <t>EXECUÇÃO DE GRAMPO PARA SOLO GRAMPEADO COM COMPRIMENTO MENOR OU IGUAL A 4 M, DIÂMETRO DE 7 CM, PERFURAÇÃO COM EQUIPAMENTO MANUAL E ARMADURA COM DIÂMETRO DE 20 MM. AF_05/2016</t>
  </si>
  <si>
    <t>ESCORAMENTO DE VALA, TIPO PONTALETEAMENTO, COM PROFUNDIDADE DE 0 A 1,5 M, LARGURA MENOR QUE 1,5 M, EM LOCAL COM NÍVEL ALTO DE INTERFERÊNCIA. AF_06/2016</t>
  </si>
  <si>
    <t>ESCORAMENTO DE VALA, TIPO DESCONTÍNUO, COM PROFUNDIDADE DE 1,5 M A 3,0 M, LARGURA MENOR QUE 1,5 M, EM LOCAL COM NÍVEL ALTO DE INTERFERÊNCIA. AF_06/2016</t>
  </si>
  <si>
    <t>EXECUÇÃO DE SARJETÃO DE CONCRETO USINADO, MOLDADA  IN LOCO  EM TRECHO RETO, 100 CM BASE X 20 CM ALTURA. AF_06/2016</t>
  </si>
  <si>
    <t>ATERRO MECANIZADO DE VALA COM RETROESCAVADEIRA (CAPACIDADE DA CAÇAMBA DA RETRO: 0,26 M³ / POTÊNCIA: 88 HP), LARGURA ATÉ 0,8 M, PROFUNDIDADE ATÉ 1,5 M, COM SOLO ARGILO-ARENOSO. AF_05/2016</t>
  </si>
  <si>
    <t>ATERRO MECANIZADO DE VALA COM RETROESCAVADEIRA (CAPACIDADE DA CAÇAMBA DA RETRO: 0,26 M³ / POTÊNCIA: 88 HP), LARGURA ATÉ 0,8 M, PROFUNDIDADE DE 1,5 A 3,0 M, COM SOLO ARGILO-ARENOSO. AF_05/2016</t>
  </si>
  <si>
    <t>ATERRO MECANIZADO DE VALA COM RETROESCAVADEIRA (CAPACIDADE DA CAÇAMBA DA RETRO: 0,26 M³ / POTÊNCIA: 88 HP), LARGURA ATÉ 0,8 M, PROFUNDIDADE ATÉ 1,5 M, COM AREIA PARA ATERRO. AF_05/2016</t>
  </si>
  <si>
    <t>ATERRO MECANIZADO DE VALA COM RETROESCAVADEIRA (CAPACIDADE DA CAÇAMBA DA RETRO: 0,26 M³ / POTÊNCIA: 88 HP), LARGURA ATÉ 0,8 M, PROFUNDIDADE DE 1,5 A 3,0 M, COM AREIA PARA ATERRO. AF_05/2016</t>
  </si>
  <si>
    <t>ATERRO MANUAL DE VALAS COM AREIA PARA ATERRO E COMPACTAÇÃO MECANIZADA. AF_05/2016</t>
  </si>
  <si>
    <t>ADAPTADOR COM FLANGE E ANEL DE VEDAÇÃO, PVC, SOLDÁVEL, DN 32 MM X 1 , INSTALADO EM RESERVAÇÃO DE ÁGUA DE EDIFICAÇÃO QUE POSSUA RESERVATÓRIO DE FIBRA/FIBROCIMENTO   FORNECIMENTO E INSTALAÇÃO. AF_06/2016</t>
  </si>
  <si>
    <t>ADAPTADOR COM FLANGE E ANEL DE VEDAÇÃO, PVC, SOLDÁVEL, DN 60 MM X 2 , INSTALADO EM RESERVAÇÃO DE ÁGUA DE EDIFICAÇÃO QUE POSSUA RESERVATÓRIO DE FIBRA/FIBROCIMENTO   FORNECIMENTO E INSTALAÇÃO. AF_06/2016</t>
  </si>
  <si>
    <t>ADAPTADOR COM FLANGES LIVRES, PVC, SOLDÁVEL LONGO, DN 40 MM X 1 1/4 , INSTALADO EM RESERVAÇÃO DE ÁGUA DE EDIFICAÇÃO QUE POSSUA RESERVATÓRIO DE FIBRA/FIBROCIMENTO   FORNECIMENTO E INSTALAÇÃO. AF_06/2016</t>
  </si>
  <si>
    <t>ADAPTADOR COM FLANGES LIVRES, PVC, SOLDÁVEL LONGO, DN 50 MM X 1 1/2 , INSTALADO EM RESERVAÇÃO DE ÁGUA DE EDIFICAÇÃO QUE POSSUA RESERVATÓRIO DE FIBRA/FIBROCIMENTO   FORNECIMENTO E INSTALAÇÃO. AF_06/2016</t>
  </si>
  <si>
    <t>ADAPTADOR COM FLANGES LIVRES, PVC, SOLDÁVEL LONGO, DN 75 MM X 2 1/2 , INSTALADO EM RESERVAÇÃO DE ÁGUA DE EDIFICAÇÃO QUE POSSUA RESERVATÓRIO DE FIBRA/FIBROCIMENTO   FORNECIMENTO E INSTALAÇÃO. AF_06/2016</t>
  </si>
  <si>
    <t>CONCRETO FCK = 20MPA, TRAÇO 1:2,7:3 (CIMENTO/ AREIA MÉDIA/ BRITA 1)  - PREPARO MECÂNICO COM BETONEIRA 400 L. AF_07/2016</t>
  </si>
  <si>
    <t>CONCRETO FCK = 20MPA, TRAÇO 1:2,7:3 (CIMENTO/ AREIA MÉDIA/ BRITA 1)  - PREPARO MECÂNICO COM BETONEIRA 600 L. AF_07/2016</t>
  </si>
  <si>
    <t>EXECUÇÃO DE PASSEIO (CALÇADA) OU PISO DE CONCRETO COM CONCRETO MOLDADO IN LOCO, USINADO, ACABAMENTO CONVENCIONAL, NÃO ARMADO. AF_07/2016</t>
  </si>
  <si>
    <t>USINA DE CONCRETO FIXA, CAPACIDADE NOMINAL DE 90 A 120 M3/H, SEM SILO - DEPRECIAÇÃO. AF_07/2016</t>
  </si>
  <si>
    <t>USINA DE CONCRETO FIXA, CAPACIDADE NOMINAL DE 90 A 120 M3/H, SEM SILO - JUROS. AF_07/2016</t>
  </si>
  <si>
    <t>DISTRIBUIDOR DE AGREGADOS AUTOPROPELIDO, CAP 3 M3, A DIESEL, POTÊNCIA 176CV - DEPRECIAÇÃO. AF_07/2016</t>
  </si>
  <si>
    <t>DISTRIBUIDOR DE AGREGADOS AUTOPROPELIDO, C/AP 3 M3, A DIESEL, POTÊNCIA 176CV - JUROS. AF_07/2016</t>
  </si>
  <si>
    <t>DISTRIBUIDOR DE AGREGADOS AUTOPROPELIDO, CAP 3 M3, A DIESEL, POTÊNCIA 176CV - MANUTENÇÃO. AF_07/2016</t>
  </si>
  <si>
    <t>DISTRIBUIDOR DE AGREGADOS AUTOPROPELIDO, CAP 3 M3, A DIESEL, POTÊNCIA 176CV - CHP DIURNO. AF_07/2016</t>
  </si>
  <si>
    <t>DISTRIBUIDOR DE AGREGADOS AUTOPROPELIDO, CAP 3 M3, A DIESEL, POTÊNCIA 176CV - CHI DIURNO. AF_07/2016</t>
  </si>
  <si>
    <t>MARTELO DEMOLIDOR PNEUMÁTICO MANUAL, 32 KG - DEPRECIAÇÃO. AF_09/2016</t>
  </si>
  <si>
    <t>MARTELO DEMOLIDOR PNEUMÁTICO MANUAL, 32 KG - JUROS. AF_09/2016</t>
  </si>
  <si>
    <t>MARTELO DEMOLIDOR PNEUMÁTICO MANUAL, 32 KG - MANUTENÇÃO. AF_09/2016</t>
  </si>
  <si>
    <t>MARTELO DEMOLIDOR PNEUMÁTICO MANUAL, 32 KG - CHP DIURNO. AF_09/2016</t>
  </si>
  <si>
    <t>MARTELO DEMOLIDOR PNEUMÁTICO MANUAL, 32 KG - CHI DIURNO. AF_09/2016</t>
  </si>
  <si>
    <t>TEXTURA ACRÍLICA, APLICAÇÃO MANUAL EM PAREDE, UMA DEMÃO. AF_09/2016</t>
  </si>
  <si>
    <t>TEXTURA ACRÍLICA, APLICAÇÃO MANUAL EM TETO, UMA DEMÃO. AF_09/2016</t>
  </si>
  <si>
    <t>PINTURA VERNIZ POLIURETANO BRILHANTE EM MADEIRA, TRES DEMAOS</t>
  </si>
  <si>
    <t>ARRASAMENTO MECANICO DE ESTACA DE CONCRETO ARMADO, DIAMETROS DE ATÉ 40 CM. AF_11/2016</t>
  </si>
  <si>
    <t>ARRASAMENTO MECANICO DE ESTACA DE CONCRETO ARMADO, DIAMETROS DE 41 CM A 60 CM. AF_11/2016</t>
  </si>
  <si>
    <t>ARRASAMENTO MECANICO DE ESTACA DE CONCRETO ARMADO, DIAMETROS DE 61 CM A 80 CM. AF_11/2016</t>
  </si>
  <si>
    <t>ARRASAMENTO MECANICO DE ESTACA DE CONCRETO ARMADO, DIAMETROS DE 81 CM A 100 CM. AF_11/2016</t>
  </si>
  <si>
    <t>ARRASAMENTO MECANICO DE ESTACA DE CONCRETO ARMADO, DIAMETROS DE 101 CM A 150 CM. AF_11/2016</t>
  </si>
  <si>
    <t>APLICAÇÃO MANUAL DE TINTA LÁTEX ACRÍLICA EM PANOS COM PRESENÇA DE VÃOS DE EDIFÍCIOS DE MÚLTIPLOS PAVIMENTOS, DUAS DEMÃOS. AF_11/2016</t>
  </si>
  <si>
    <t>APLICAÇÃO MANUAL DE TINTA LÁTEX ACRÍLICA EM PANOS SEM PRESENÇA DE VÃOS DE EDIFÍCIOS DE MÚLTIPLOS PAVIMENTOS, DUAS DEMÃOS. AF_11/2016</t>
  </si>
  <si>
    <t>APLICAÇÃO MANUAL DE TINTA LÁTEX ACRÍLICA EM PAREDE EXTERNAS DE CASAS, DUAS DEMÃOS. AF_11/2016</t>
  </si>
  <si>
    <t>HIDRÔMETRO DN 25 (¾ ), 5,0 M³/H FORNECIMENTO E INSTALAÇÃO. AF_11/2016</t>
  </si>
  <si>
    <t>CURVA 90 GRAUS, PVC, SERIE R, ÁGUA PLUVIAL, DN 100 MM, JUNTA ELÁSTICA, FORNECIDO E INSTALADO EM RAMAL DE ENCAMINHAMENTO. AF_12/2014</t>
  </si>
  <si>
    <t>PINTURA ESMALTE ACETINADO EM MADEIRA, DUAS DEMAOS</t>
  </si>
  <si>
    <t>PISO EM PEDRA SÃO TOME ASSENTADO SOBRE ARGAMASSA 1:3 (CIMENTO E AREIA) REJUNTADO COM CIMENTO BRANCO</t>
  </si>
  <si>
    <t>GRAMPO PARALELO EM ALUMINIO FUNDIDO OU ESTRUDADO DE 2 PARAFUSOS, PARA CABO DE 6 A 50 MM2, PASTA ANTIOXIDANTE. FORNEC E INSTALAÇÃO.</t>
  </si>
  <si>
    <t>ALCA PRE-FORMADA DISTRIBUIÇÃO EM  ACO RECOBERTO COM ALUMINIO PARA CABO 25MM2, ENCAPADO. FORNECIMENTO E INSTALAÇÃO.</t>
  </si>
  <si>
    <t>EXTINTOR INCENDIO TP PO QUIMICO 4KG FORNECIMENTO E COLOCACAO</t>
  </si>
  <si>
    <t>CORRIMAO EM MARMORITE, LARGURA 15CM</t>
  </si>
  <si>
    <t>INSTALACAO DE COMPRESSOR DE AR, POTENCIA &lt;= 5 CV</t>
  </si>
  <si>
    <t>INSTALACAO DE COMPRESSOR DE AR, POTENCIA &gt; 5 E &lt;= 10 CV</t>
  </si>
  <si>
    <t>LAMPADA DE VAPOR DE MERCURIO DE 250W - FORNECIMENTO E INSTALACAO</t>
  </si>
  <si>
    <t>LAMPADA DE VAPOR DE MERCURIO DE 400W/250V - FORNECIMENTO E INSTALACAO</t>
  </si>
  <si>
    <t>LAMPADA MISTA DE 160W - FORNECIMENTO E INSTALACAO</t>
  </si>
  <si>
    <t>LAMPADA MISTA DE 250W - FORNECIMENTO E INSTALACAO</t>
  </si>
  <si>
    <t>LAMPADA MISTA DE 500W - FORNECIMENTO E INSTALACAO</t>
  </si>
  <si>
    <t>LAMPADA DE VAPOR DE SODIO DE 150WX220V - FORNECIMENTO E INSTALACAO</t>
  </si>
  <si>
    <t>LAMPADA DE VAPOR DE SODIO DE 250WX220V - FORNECIMENTO E INSTALACAO</t>
  </si>
  <si>
    <t>LAMPADA DE VAPOR DE SODIO DE 400WX220V - FORNECIMENTO E INSTALACAO</t>
  </si>
  <si>
    <t>INSTALACAO DE CONJ.MOTO BOMBA SUBMERSIVEL ATE 10 CV</t>
  </si>
  <si>
    <t>INSTALACAO DE CONJ.MOTO BOMBA SUBMERSIVEL DE 11 A 25 CV</t>
  </si>
  <si>
    <t>INSTALACAO DE CONJ.MOTO BOMBA SUBMERSIVEL DE 26 A 50 CV</t>
  </si>
  <si>
    <t>INSTALACAO DE CONJ.MOTO BOMBA SUBMERSIVEL DE 51 A 100 CV</t>
  </si>
  <si>
    <t>INSTALACAO DE CONJ.MOTO BOMBA VERTICAL POT &lt;= 100 CV</t>
  </si>
  <si>
    <t>INSTALACAO DE CONJ.MOTO BOMBA VERTICAL 100 &lt; POT &lt;= 200 CV</t>
  </si>
  <si>
    <t>INSTALACAO DE CONJ.MOTO BOMBA VERTICAL 200 &lt; POT &lt;= 300 CV</t>
  </si>
  <si>
    <t>INSTALACAO DE CONJ.MOTO BOMBA HORIZONTAL ATE 10 CV</t>
  </si>
  <si>
    <t>INSTALACAO DE CONJ.MOTO BOMBA HORIZONTAL DE 12,5 A 25 CV</t>
  </si>
  <si>
    <t>INSTALACAO DE CONJ.MOTO BOMBA HORIZONTAL DE 30 A 75 CV</t>
  </si>
  <si>
    <t>INSTALACAO DE CONJ.MOTO BOMBA HORIZONTAL DE 100 A 150 CV</t>
  </si>
  <si>
    <t>INSTALACAO DE CONJ.MOTO BOMBA SUBMERSO ATE 5 CV</t>
  </si>
  <si>
    <t>INSTALACAO DE CONJ.MOTO BOMBA SUBMERSO DE 6 A 25 CV</t>
  </si>
  <si>
    <t>INSTALACAO DE CONJ.MOTO BOMBA SUBMERSO DE 26 A 50 CV</t>
  </si>
  <si>
    <t>RODAPE EM MARMORITE, ALTURA 10CM</t>
  </si>
  <si>
    <t>BOCA PARA BUEIRO DUPLOTUBULAR, DIAMETRO =1,20M, EM CONCRETO CICLOPICO, INCLUINDO FORMAS, ESCAVACAO, REATERRO E MATERIAIS, EXCLUINDO MATERIAL REATERRO JAZIDA E TRANSPORTE.</t>
  </si>
  <si>
    <t>TRANSFORMADOR DISTRIBUICAO  75KVA TRIFASICO 60HZ CLASSE 15KV IMERSO EM ÓLEO MINERAL FORNECIMENTO E INSTALACAO</t>
  </si>
  <si>
    <t>TRANSFORMADOR DISTRIBUICAO  112,5KVA TRIFASICO 60HZ CLASSE 15KV IMERSO EM ÓLEO MINERAL FORNECIMENTO E INSTALACAO</t>
  </si>
  <si>
    <t>TRANSFORMADOR DISTRIBUICAO  30KVA TRIFASICO 60HZ CLASSE 15KV IMERSO EM ÓLEO MINERAL FORNECIMENTO E INSTALACAO</t>
  </si>
  <si>
    <t>TRANSFORMADOR DISTRIBUICAO  45KVA TRIFASICO 60HZ CLASSE 15KV IMERSO EM ÓLEO MINERAL FORNECIMENTO E INSTALACAO</t>
  </si>
  <si>
    <t>TRANSFORMADOR DISTRIBUICAO  1000KVA TRIFASICO 60HZ CLASSE 15KV IMERSO EM ÓLEO MINERAL FORNECIMENTO E INSTALACAO</t>
  </si>
  <si>
    <t>PISO DE BORRACHA PASTILHADO, ESPESSURA 7MM, FIXADO COM COLA</t>
  </si>
  <si>
    <t>EXECUCAO DE DRENO COM MANTA GEOTEXTIL 200 G/M2</t>
  </si>
  <si>
    <t>EXECUCAO DE DRENO COM MANTA GEOTEXTIL 400 G/M2</t>
  </si>
  <si>
    <t>EXECUCAO DE DRENO FRANCES COM AREIA MEDIA</t>
  </si>
  <si>
    <t>EXECUCAO DE DRENO FRANCES COM BRITA NUM 2</t>
  </si>
  <si>
    <t>EXECUCAO DE DRENO FRANCES COM CASCALHO</t>
  </si>
  <si>
    <t>RODAPE EM MADEIRA, ALTURA 7CM, FIXADO EM PECAS DE MADEIRA</t>
  </si>
  <si>
    <t>DIVISORIA EM MADEIRA COMPENSADA RESINADA ESPESSURA 6MM, ESTRUTURADA EM MADEIRA DE LEI 3"X3"</t>
  </si>
  <si>
    <t>PISO EM PEDRA ARDOSIA ASSENTADO SOBRE ARGAMASSA COLANTE REJUNTADO COM CIMENTO COMUM</t>
  </si>
  <si>
    <t>PINTURA HIDROFUGANTE COM SILICONE SOBRE PISO CIMENTADO, UMA DEMAO</t>
  </si>
  <si>
    <t>PINTURA ESMALTE FOSCO PARA MADEIRA, DUAS DEMAOS, SOBRE FUNDO NIVELADOR BRANCO</t>
  </si>
  <si>
    <t>ESPELHO CRISTAL ESPESSURA 4MM, COM MOLDURA DE MADEIRA</t>
  </si>
  <si>
    <t>QUADRO DE DISTRIBUICAO DE ENERGIA DE EMBUTIR, EM CHAPA METALICA, PARA 3 DISJUNTORES TERMOMAGNETICOS MONOPOLARES SEM BARRAMENTO FORNECIMENTO E INSTALACAO</t>
  </si>
  <si>
    <t>QUADRO DE DISTRIBUICAO DE ENERGIA DE EMBUTIR, EM CHAPA METALICA, PARA 32 DISJUNTORES TERMOMAGNETICOS MONOPOLARES, COM BARRAMENTO TRIFASICO E NEUTRO, FORNECIMENTO E INSTALACAO</t>
  </si>
  <si>
    <t>QUADRO DE DISTRIBUICAO DE ENERGIA DE EMBUTIR, EM CHAPA METALICA, PARA 40 DISJUNTORES TERMOMAGNETICOS MONOPOLARES, COM BARRAMENTO TRIFASICO E NEUTRO, FORNECIMENTO E INSTALACAO</t>
  </si>
  <si>
    <t>QUADRO DE DISTRIBUICAO DE ENERGIA DE EMBUTIR, EM CHAPA METALICA, PARA 50 DISJUNTORES TERMOMAGNETICOS MONOPOLARES, COM BARRAMENTO TRIFASICO E NEUTRO, FORNECIMENTO E INSTALACAO</t>
  </si>
  <si>
    <t>ESCAVACAO E CARGA MATERIAL 1A CATEGORIA, UTILIZANDO TRATOR DE ESTEIRAS DE 110 A 160HP COM LAMINA, PESO OPERACIONAL * 13T  E PA CARREGADEIRA COM 170 HP.</t>
  </si>
  <si>
    <t>ESCAVACAO, CARGA E TRANSPORTE DE  MATERIAL DE 1A CATEGORIA COM TRATOR SOBRE ESTEIRAS 347 HP E CACAMBA 6M3,  DMT 50 A 200M</t>
  </si>
  <si>
    <t>CAIXA DE INSPEÇÃO EM CONCRETO PRÉ-MOLDADO DN 60CM COM TAMPA H= 60CM - FORNECIMENTO E INSTALACAO</t>
  </si>
  <si>
    <t>CAIXA DE INSPECAO EM ANEL DE CONCRETO PRE MOLDADO, COM 950MM DE ALTURA TOTAL. ANEIS COM ESP=50MM, DIAM.=600MM. EXCLUSIVE TAMPAO E ESCAVACAO - FORNECIMENTO E INSTALACAO</t>
  </si>
  <si>
    <t>ESCADA TIPO MARINHEIRO EM TUBO ACO GALVANIZADO 1 1/2" 5 DEGRAUS</t>
  </si>
  <si>
    <t>ESCAVACAO MECANICA DE MATERIAL 1A. CATEGORIA, PROVENIENTE DE CORTE DE SUBLEITO (C/TRATOR ESTEIRAS  160HP)</t>
  </si>
  <si>
    <t>PINTURA ACRILICA EM PISO CIMENTADO DUAS DEMAOS</t>
  </si>
  <si>
    <t>REFLETOR RETANGULAR FECHADO COM LAMPADA VAPOR METALICO 400 W</t>
  </si>
  <si>
    <t>PINTURA A OLEO, 3 DEMAOS</t>
  </si>
  <si>
    <t>PINTURA ACRILICA EM PISO CIMENTADO, TRES DEMAOS</t>
  </si>
  <si>
    <t>ESCAVAÇÃO MANUAL DE VALA/CAVA EM LODO, ENTRE 3 E 4,5M DE PROFUNDIDADE</t>
  </si>
  <si>
    <t>REJUNTAMENTO PAVIMENTACAO PARALELEPIPEDO BETUME CASCALH INCL MATERIAIS</t>
  </si>
  <si>
    <t>UNI</t>
  </si>
  <si>
    <t>2.1</t>
  </si>
  <si>
    <t>empolam</t>
  </si>
  <si>
    <t>quant</t>
  </si>
  <si>
    <t>CURSO DE CAPACITAÇÃO PARA ARMADOR (ENCARGOS COMPLEMENTARES) - HORISTA</t>
  </si>
  <si>
    <t>CURSO DE CAPACITAÇÃO PARA GESSEIRO (ENCARGOS COMPLEMENTARES) - HORISTA</t>
  </si>
  <si>
    <t>CURSO DE CAPACITAÇÃO PARA PEDREIRO (ENCARGOS COMPLEMENTARES) - HORISTA</t>
  </si>
  <si>
    <t>CURSO DE CAPACITAÇÃO PARA PINTOR (ENCARGOS COMPLEMENTARES) - HORISTA</t>
  </si>
  <si>
    <t>CURSO DE CAPACITAÇÃO PARA POCEIRO (ENCARGOS COMPLEMENTARES) - HORISTA</t>
  </si>
  <si>
    <t>CURSO DE CAPACITAÇÃO PARA SERVENTE (ENCARGOS COMPLEMENTARES) - HORISTA</t>
  </si>
  <si>
    <t>CURSO DE CAPACITAÇÃO PARA SOLDADOR (ENCARGOS COMPLEMENTARES) - HORISTA</t>
  </si>
  <si>
    <t>GRUPO GERADOR COM CARENAGEM, MOTOR DIESEL POTÊNCIA STANDART ENTRE 250 E 260 KVA - JUROS. AF_12/2016</t>
  </si>
  <si>
    <t>GRUPO GERADOR COM CARENAGEM, MOTOR DIESEL POTÊNCIA STANDART ENTRE 250 E 260 KVA - MANUTENÇÃO. AF_12/2016</t>
  </si>
  <si>
    <t>GRUPO GERADOR COM CARENAGEM, MOTOR DIESEL POTÊNCIA STANDART ENTRE 250 E 260 KVA - MATERIAIS NA OPERAÇÃO. AF_12/2016</t>
  </si>
  <si>
    <t>GRUPO GERADOR COM CARENAGEM, MOTOR DIESEL POTÊNCIA STANDART ENTRE 250 E 260 KVA - CHP DIURNO. AF_12/2016</t>
  </si>
  <si>
    <t>GRUPO GERADOR COM CARENAGEM, MOTOR DIESEL POTÊNCIA STANDART ENTRE 250 E 260 KVA - CHI DIURNO. AF_12/2016</t>
  </si>
  <si>
    <t>GRUPO GERADOR COM CARENAGEM, MOTOR DIESEL POTÊNCIA STANDART ENTRE 250 E 260 KVA - DEPRECIAÇÃO. AF_12/2016</t>
  </si>
  <si>
    <t>INSTALAÇÕES DE GÁS</t>
  </si>
  <si>
    <t>INSUMO</t>
  </si>
  <si>
    <t>MERCADO</t>
  </si>
  <si>
    <t>COMPOSIÇÃO</t>
  </si>
  <si>
    <t xml:space="preserve">INSUMO </t>
  </si>
  <si>
    <t>P. UNIT. SEM BDI (R$)</t>
  </si>
  <si>
    <t>P. TOTAL SEM BDI (R$)</t>
  </si>
  <si>
    <t>CADASTRISTA DE REDES DE AGUA E ESGOTO COM ENCARGOS COMPLEMENTARES</t>
  </si>
  <si>
    <t>ELETRODUTO DE AÇO GALVANIZADO, CLASSE SEMI PESADO, DN 40 MM (1 1/2 ), APARENTE, INSTALADO EM TETO - FORNECIMENTO E INSTALAÇÃO. AF_11/2016_P</t>
  </si>
  <si>
    <t>CONDULETE DE ALUMÍNIO, TIPO E, ELETRODUTO DE AÇO GALVANIZADO DN 25 MM (1''), APARENTE - FORNECIMENTO E INSTALAÇÃO. AF_11/2016_P</t>
  </si>
  <si>
    <t>CONDULETE DE ALUMÍNIO, TIPO LR, PARA ELETRODUTO DE AÇO GALVANIZADO DN 20 MM (3/4''), APARENTE - FORNECIMENTO E INSTALAÇÃO. AF_11/2016_P</t>
  </si>
  <si>
    <t>CONDULETE DE ALUMÍNIO, TIPO LR, PARA ELETRODUTO DE AÇO GALVANIZADO DN 25 MM (1''), APARENTE - FORNECIMENTO E INSTALAÇÃO. AF_11/2016_P</t>
  </si>
  <si>
    <t>CONDULETE DE ALUMÍNIO, TIPO LR, PARA ELETRODUTO DE AÇO GALVANIZADO DN 32 MM (1 1/4''), APARENTE - FORNECIMENTO E INSTALAÇÃO. AF_11/2016_P</t>
  </si>
  <si>
    <t>MONTAGEM E DESMONTAGEM DE FÔRMA PARA ESCADAS, COM 2 LANCES, EM MADEIRA SERRADA, 1 UTILIZAÇÃO. AF_01/2017</t>
  </si>
  <si>
    <t>MONTAGEM E DESMONTAGEM DE FÔRMA PARA ESCADAS, COM 2 LANCES, EM MADEIRA SERRADA, 2 UTILIZAÇÕES. AF_01/2017</t>
  </si>
  <si>
    <t>(COMPOSIÇÃO REPRESENTATIVA) EXECUÇÃO DE ESTRUTURAS DE CONCRETO ARMADO CONVENCIONAL, PARA EDIFICAÇÃO HABITACIONAL MULTIFAMILIAR (PRÉDIO), FCK = 25 MPA. AF_01/2017</t>
  </si>
  <si>
    <t>(COMPOSIÇÃO REPRESENTATIVA) EXECUÇÃO DE ESTRUTURAS DE CONCRETO ARMADO, PARA EDIFICAÇÃO HABITACIONAL UNIFAMILIAR COM DOIS PAVIMENTOS (CASA EM EMPREENDIMENTOS), FCK = 25 MPA. AF_01/2017</t>
  </si>
  <si>
    <t>(COMPOSIÇÃO REPRESENTATIVA) EXECUÇÃO DE ESTRUTURAS DE CONCRETO ARMADO, PARA EDIFICAÇÃO HABITACIONAL UNIFAMILIAR TÉRREA (CASA ISOLADA), FCK = 25 MPA. AF_01/2017</t>
  </si>
  <si>
    <t>(COMPOSIÇÃO REPRESENTATIVA) EXECUÇÃO DE ESTRUTURAS DE CONCRETO ARMADO, PARA EDIFICAÇÃO INSTITUCIONAL TÉRREA, FCK = 25 MPA. AF_01/2017</t>
  </si>
  <si>
    <t>kg/m</t>
  </si>
  <si>
    <t>1.0</t>
  </si>
  <si>
    <t>2.0</t>
  </si>
  <si>
    <t>7.0</t>
  </si>
  <si>
    <t>8.0</t>
  </si>
  <si>
    <t>COMPOSICAO</t>
  </si>
  <si>
    <t>COMPOSIÇÃO DO BDI OBRAS</t>
  </si>
  <si>
    <t>%</t>
  </si>
  <si>
    <t>GRUPO A</t>
  </si>
  <si>
    <t>A1</t>
  </si>
  <si>
    <r>
      <t xml:space="preserve">(AC) ADMINISTRAÇÃO CENTRAL - </t>
    </r>
    <r>
      <rPr>
        <sz val="12"/>
        <color rgb="FF000000"/>
        <rFont val="Arial Narrow"/>
        <family val="2"/>
      </rPr>
      <t>VARIA CONFORME O PORTE DA NÚMERO DE OBRAS EM ANDAMENTO, VOLUME FINANCEIRO DAS OBRAS A INICIAREM, ETC,  EM CADA   EM CADA EMPRESA - (ACORDAO 2622/2013 - 3,0% A 5,5%)</t>
    </r>
  </si>
  <si>
    <t>TOTAL DO GRUPO A  =</t>
  </si>
  <si>
    <t>GRUPO B</t>
  </si>
  <si>
    <t>B1</t>
  </si>
  <si>
    <r>
      <t xml:space="preserve">(DF) DESPESAS FINANCEIRAS - </t>
    </r>
    <r>
      <rPr>
        <sz val="12"/>
        <color rgb="FF000000"/>
        <rFont val="Arial Narrow"/>
        <family val="2"/>
      </rPr>
      <t>(ACORDAO 2622/2013 - 0,59% A 1,39%)</t>
    </r>
  </si>
  <si>
    <t>B2</t>
  </si>
  <si>
    <r>
      <t xml:space="preserve">(S)   SEGUROS - </t>
    </r>
    <r>
      <rPr>
        <sz val="12"/>
        <color rgb="FF000000"/>
        <rFont val="Arial Narrow"/>
        <family val="2"/>
      </rPr>
      <t xml:space="preserve">(ACORDAO 2622/2013 </t>
    </r>
    <r>
      <rPr>
        <b/>
        <u/>
        <sz val="12"/>
        <color rgb="FFFF0000"/>
        <rFont val="Arial Narrow"/>
        <family val="2"/>
      </rPr>
      <t>SEGURO + GARANTIA</t>
    </r>
    <r>
      <rPr>
        <b/>
        <sz val="12"/>
        <color rgb="FF000000"/>
        <rFont val="Arial Narrow"/>
        <family val="2"/>
      </rPr>
      <t xml:space="preserve"> </t>
    </r>
    <r>
      <rPr>
        <sz val="12"/>
        <color rgb="FF000000"/>
        <rFont val="Arial Narrow"/>
        <family val="2"/>
      </rPr>
      <t>- 0,8% A 1,0%)</t>
    </r>
  </si>
  <si>
    <r>
      <t xml:space="preserve">(G)   GARANTIAS - </t>
    </r>
    <r>
      <rPr>
        <sz val="12"/>
        <color rgb="FF000000"/>
        <rFont val="Arial Narrow"/>
        <family val="2"/>
      </rPr>
      <t xml:space="preserve">(ACORDAO 2622/2013 </t>
    </r>
    <r>
      <rPr>
        <b/>
        <u/>
        <sz val="12"/>
        <color rgb="FFFF0000"/>
        <rFont val="Arial Narrow"/>
        <family val="2"/>
      </rPr>
      <t>SEGURO + GARANTIA</t>
    </r>
    <r>
      <rPr>
        <sz val="12"/>
        <color rgb="FF000000"/>
        <rFont val="Arial Narrow"/>
        <family val="2"/>
      </rPr>
      <t xml:space="preserve"> - 0,8% A 1,0%)</t>
    </r>
  </si>
  <si>
    <t>B3</t>
  </si>
  <si>
    <r>
      <t xml:space="preserve">(R)   TAXA DE RISCO E IMPREVISTOS - </t>
    </r>
    <r>
      <rPr>
        <sz val="12"/>
        <color theme="1"/>
        <rFont val="Arial Narrow"/>
        <family val="2"/>
      </rPr>
      <t>(ACORDAO 2622/2013 0,97% A 1,27%)</t>
    </r>
  </si>
  <si>
    <t>B4</t>
  </si>
  <si>
    <r>
      <rPr>
        <b/>
        <sz val="12"/>
        <rFont val="Arial Narrow"/>
        <family val="2"/>
      </rPr>
      <t xml:space="preserve">(L)    LUCRO </t>
    </r>
    <r>
      <rPr>
        <sz val="12"/>
        <color rgb="FF000000"/>
        <rFont val="Arial Narrow"/>
        <family val="2"/>
      </rPr>
      <t>(ACORDAO 2622/2013 6,16% A 8,96%)</t>
    </r>
  </si>
  <si>
    <t>TOTAL DO GRUPO B  =</t>
  </si>
  <si>
    <t>GRUPO C</t>
  </si>
  <si>
    <t>C1</t>
  </si>
  <si>
    <t>C2</t>
  </si>
  <si>
    <t>%MÃO DE OBRA</t>
  </si>
  <si>
    <t>C3</t>
  </si>
  <si>
    <t>ISS DO MUNICÍPIO (Verificar la LEI do Múnicipio da Execução da Obra)</t>
  </si>
  <si>
    <t>C4</t>
  </si>
  <si>
    <t>SUBTOTAL ISS (C2 X C3) =</t>
  </si>
  <si>
    <t>C5</t>
  </si>
  <si>
    <t>PIS</t>
  </si>
  <si>
    <t>C6</t>
  </si>
  <si>
    <t>COFINS</t>
  </si>
  <si>
    <t>TOTAL DO GRUPO C  =</t>
  </si>
  <si>
    <t>TOTAL BDI (ACORDAO 2369/2011)</t>
  </si>
  <si>
    <r>
      <t xml:space="preserve"> BDI = </t>
    </r>
    <r>
      <rPr>
        <u/>
        <sz val="12"/>
        <rFont val="Cambria"/>
        <family val="1"/>
        <scheme val="major"/>
      </rPr>
      <t>(1+AC+S+R+G)x(1+DF)X(1+L))</t>
    </r>
    <r>
      <rPr>
        <sz val="12"/>
        <rFont val="Cambria"/>
        <family val="1"/>
        <scheme val="major"/>
      </rPr>
      <t xml:space="preserve">  -1
                                  1-I
Onde: 
AC = taxa representativa das despesas de rateio da Administração Central;
S = taxa representativa de Seguros;
R = taxa representativa de Riscos;
G = taxa representativa de Garantias;
DF = taxa representativa das Despesas Financeiras;
L = taxa representativa do Lucro;
I = taxa representativa da incidência de Impostos. 
  Observação:
  i)   Composição do BDI, intervalos admissíveis e Fórmula de cálculo nos termos do Acórdão 2369/2011 do TCU.</t>
    </r>
  </si>
  <si>
    <t>EXECUÇÃO DE REFEITÓRIO EM CANTEIRO DE OBRA EM CHAPA DE MADEIRA COMPENSADA, NÃO INCLUSO MOBILIÁRIO E EQUIPAMENTOS. AF_02/2016</t>
  </si>
  <si>
    <t>P.UNI.COM BDI(R$)</t>
  </si>
  <si>
    <t>P. TOTAL COM BDI (R$)</t>
  </si>
  <si>
    <t>emp.entulho</t>
  </si>
  <si>
    <t>área raspada (m2)</t>
  </si>
  <si>
    <t>esp raspada (m)</t>
  </si>
  <si>
    <t>quant (uni)</t>
  </si>
  <si>
    <t>larg (m)</t>
  </si>
  <si>
    <t>comp (m)</t>
  </si>
  <si>
    <t xml:space="preserve">REFERENCIA </t>
  </si>
  <si>
    <t xml:space="preserve">comp (m) </t>
  </si>
  <si>
    <t>quant(uni)</t>
  </si>
  <si>
    <t xml:space="preserve">altura (m) </t>
  </si>
  <si>
    <t xml:space="preserve">ETAPA CONSTRUTIVA </t>
  </si>
  <si>
    <t xml:space="preserve">largura (m) </t>
  </si>
  <si>
    <t>INFORMAÇÕES/INDICAÇÕES</t>
  </si>
  <si>
    <t>GUINDAUTO HIDRÁULICO, CAPACIDADE MÁXIMA DE CARGA 3300 KG, MOMENTO MÁXIMO DE CARGA 5,8 TM, ALCANCE MÁXIMO HORIZONTAL 7,60 M, INCLUSIVE CAMINHÃO TOCO PBT 16.000 KG, POTÊNCIA DE 189 CV - CHP DIURNO. AF_03/2016</t>
  </si>
  <si>
    <t xml:space="preserve">Considerado sua classificação de acordo com a amplitude e complexidade da obra </t>
  </si>
  <si>
    <t xml:space="preserve">Deve ser considerado sempre pois a obra não pode estar sem as condções minimas de proteção </t>
  </si>
  <si>
    <t>período de execução (meses)</t>
  </si>
  <si>
    <t>quant/obra</t>
  </si>
  <si>
    <t>horas trabalhadas por mês (h)</t>
  </si>
  <si>
    <t xml:space="preserve">Todas as noites </t>
  </si>
  <si>
    <t>Todos os FDS</t>
  </si>
  <si>
    <t>periodo de trabalho por noite (h)</t>
  </si>
  <si>
    <t>dias trabalhados por mês (dias)</t>
  </si>
  <si>
    <t xml:space="preserve">TERRAPLENAGEM </t>
  </si>
  <si>
    <t>larg(m)</t>
  </si>
  <si>
    <t>comp(m)</t>
  </si>
  <si>
    <t xml:space="preserve">quant ou repetições </t>
  </si>
  <si>
    <t>alt(m)</t>
  </si>
  <si>
    <t>quant ou repetições</t>
  </si>
  <si>
    <t>quat ou repetições</t>
  </si>
  <si>
    <t>altura(m)</t>
  </si>
  <si>
    <t xml:space="preserve">volume total da carga (m3) </t>
  </si>
  <si>
    <t>DMT 5-10 (km)</t>
  </si>
  <si>
    <t>coef de inclinação</t>
  </si>
  <si>
    <t xml:space="preserve">quant de pernos </t>
  </si>
  <si>
    <t>esp (m)</t>
  </si>
  <si>
    <t>alt (m)</t>
  </si>
  <si>
    <t>volumes de demolições e retiradas (m3)</t>
  </si>
  <si>
    <t>empol</t>
  </si>
  <si>
    <t>INSTALAÇÕES DE CANTEIRO E SERVIÇOS PRELIMINARES</t>
  </si>
  <si>
    <t xml:space="preserve">FUNDAÇÕES </t>
  </si>
  <si>
    <t>diam Ø (mm)</t>
  </si>
  <si>
    <t>Taxa cálculada kg/m3</t>
  </si>
  <si>
    <t xml:space="preserve">Considerado sempre as dimensões reais do bloco + as aberturas para montagem de forma (folgas) e folga para o lastro de 5cm </t>
  </si>
  <si>
    <t>comp*2+larg*2 (m)</t>
  </si>
  <si>
    <t>vollume escavado(m3)</t>
  </si>
  <si>
    <t>volume concretado (m3)</t>
  </si>
  <si>
    <t>empolamenteo p/demolições</t>
  </si>
  <si>
    <t xml:space="preserve">Utiliza-se para este item a subtração do volume escavado do volume concretado, onde esta diferença é que será utilizada para o reaterro </t>
  </si>
  <si>
    <t>Neste caso oconsidera-se exatamente o volume de carga de bota fora, onde o seu cálculo é exatamente o volume de concreto acrescido de empolamento</t>
  </si>
  <si>
    <t>Algumas vigas possuem trechos, por isso inserir a nomeclatrura do trecho 01.....</t>
  </si>
  <si>
    <t xml:space="preserve">Exatamente o volume total da caga x a distancia de transporte </t>
  </si>
  <si>
    <t xml:space="preserve">SUPERESTRUTURA </t>
  </si>
  <si>
    <t xml:space="preserve">VIGAS </t>
  </si>
  <si>
    <t>repetições</t>
  </si>
  <si>
    <t>empolamento</t>
  </si>
  <si>
    <t>volume escavado(m3)</t>
  </si>
  <si>
    <t>Considera-se exatamente a ára de forma da fundação</t>
  </si>
  <si>
    <t>Kg</t>
  </si>
  <si>
    <t xml:space="preserve">LIMPEZA DE OBRA </t>
  </si>
  <si>
    <t>pé direito (m)</t>
  </si>
  <si>
    <t>área total de vãos (m2)</t>
  </si>
  <si>
    <t>vãos nas paredes,portas, janelas, vãos, visores e peles</t>
  </si>
  <si>
    <t>perimetro (m)</t>
  </si>
  <si>
    <t>CÓDIGO/SINAPI</t>
  </si>
  <si>
    <t xml:space="preserve">FORROS </t>
  </si>
  <si>
    <t>perímetro (m)</t>
  </si>
  <si>
    <t>comp (m) ou área (m2)</t>
  </si>
  <si>
    <t xml:space="preserve">larg (m) ou unidade </t>
  </si>
  <si>
    <t>comp (m) ou área(m2)</t>
  </si>
  <si>
    <t xml:space="preserve">repetições </t>
  </si>
  <si>
    <t xml:space="preserve">área de pintura </t>
  </si>
  <si>
    <t xml:space="preserve">larg(m) ou quantidade </t>
  </si>
  <si>
    <t>TRATOR DE PNEUS COM POTÊNCIA DE 85 CV, TRAÇÃO 4X4, COM GRADE DE DISCOS ACOPLADA - DEPRECIAÇÃO. AF_02/2017</t>
  </si>
  <si>
    <t>TRATOR DE PNEUS COM POTÊNCIA DE 85 CV, TRAÇÃO 4X4, COM GRADE DE DISCOS ACOPLADA - JUROS. AF_02/2017</t>
  </si>
  <si>
    <t>TRATOR DE PNEUS COM POTÊNCIA DE 85 CV, TRAÇÃO 4X4, COM GRADE DE DISCOS ACOPLADA - MANUTENÇÃO. AF_02/2017</t>
  </si>
  <si>
    <t>TRATOR DE PNEUS COM POTÊNCIA DE 85 CV, TRAÇÃO 4X4, COM GRADE DE DISCOS ACOPLADA - MATERIAIS NA OPERAÇÃO. AF_02/2017</t>
  </si>
  <si>
    <t>TRATOR DE PNEUS COM POTÊNCIA DE 85 CV, TRAÇÃO 4X4, COM GRADE DE DISCOS ACOPLADA - CHP DIURNO. AF_02/2017</t>
  </si>
  <si>
    <t>TRATOR DE PNEUS COM POTÊNCIA DE 85 CV, TRAÇÃO 4X4, COM GRADE DE DISCOS ACOPLADA - CHI DIURNO. AF_02/2017</t>
  </si>
  <si>
    <t>CAMINHÃO BASCULANTE 10 M3, TRUCADO, POTÊNCIA 230 CV, INCLUSIVE CAÇAMBA METÁLICA, COM DISTRIBUIDOR DE AGREGADOS ACOPLADO - JUROS. AF_02/2017</t>
  </si>
  <si>
    <t>MINICARREGADEIRA SOBRE RODAS POTENCIA 47HP CAPACIDADE OPERACAO 646 KG, COM VASSOURA MECÂNICA ACOPLADA - DEPRECIAÇÃO. AF_03/2017</t>
  </si>
  <si>
    <t>MINICARREGADEIRA SOBRE RODAS POTENCIA 47HP CAPACIDADE OPERACAO 646 KG, COM VASSOURA MECÂNICA ACOPLADA - JUROS. AF_03/2017</t>
  </si>
  <si>
    <t>MINICARREGADEIRA SOBRE RODAS POTENCIA 47HP CAPACIDADE OPERACAO 646 KG, COM VASSOURA MECÂNICA ACOPLADA - MANUTENÇÃO. AF_03/2017</t>
  </si>
  <si>
    <t>MINICARREGADEIRA SOBRE RODAS POTENCIA 47HP CAPACIDADE OPERACAO 646 KG, COM VASSOURA MECÂNICA ACOPLADA - MATERIAIS NA OPERAÇÃO. AF_03/2017</t>
  </si>
  <si>
    <t>MINICARREGADEIRA SOBRE RODAS POTENCIA 47HP CAPACIDADE OPERACAO 646 KG, COM VASSOURA MECÂNICA ACOPLADA - CHP DIURNO. AF_03/2017</t>
  </si>
  <si>
    <t>MINICARREGADEIRA SOBRE RODAS POTENCIA 47HP CAPACIDADE OPERACAO 646 KG, COM VASSOURA MECÂNICA ACOPLADA - CHI DIURNO. AF_03/2017</t>
  </si>
  <si>
    <t>PROPRIA</t>
  </si>
  <si>
    <t xml:space="preserve">REMOÇÃO DE FORRO EM MADEIRA OU PVC </t>
  </si>
  <si>
    <t>QT.DE.PROJ OU VARI.</t>
  </si>
  <si>
    <t>QUANT</t>
  </si>
  <si>
    <t>larg(m) ou área (m2)</t>
  </si>
  <si>
    <t>comp(m) ou uni</t>
  </si>
  <si>
    <t>Qt/amb</t>
  </si>
  <si>
    <t>comp(m) ou perimetro (m)</t>
  </si>
  <si>
    <t>larg(m) ou altura (m)</t>
  </si>
  <si>
    <t>C7</t>
  </si>
  <si>
    <t>CPRB</t>
  </si>
  <si>
    <r>
      <t xml:space="preserve">ISS - </t>
    </r>
    <r>
      <rPr>
        <sz val="12"/>
        <color rgb="FF000000"/>
        <rFont val="Arial Narrow"/>
        <family val="2"/>
      </rPr>
      <t>(ISS% CONSIDERANDO 40% DE MATRIAL) - LEI do Múnicipio da Execução da Obra</t>
    </r>
  </si>
  <si>
    <t>horas por mês</t>
  </si>
  <si>
    <t>3.0</t>
  </si>
  <si>
    <t>DEMOLIÇÕES E RETIRADAS</t>
  </si>
  <si>
    <t xml:space="preserve">KG    </t>
  </si>
  <si>
    <t xml:space="preserve">M3    </t>
  </si>
  <si>
    <t xml:space="preserve">L     </t>
  </si>
  <si>
    <t xml:space="preserve">UN    </t>
  </si>
  <si>
    <t xml:space="preserve">310ML </t>
  </si>
  <si>
    <t xml:space="preserve">JG    </t>
  </si>
  <si>
    <t xml:space="preserve">H     </t>
  </si>
  <si>
    <t xml:space="preserve">M     </t>
  </si>
  <si>
    <t xml:space="preserve">M2    </t>
  </si>
  <si>
    <t xml:space="preserve">50KG  </t>
  </si>
  <si>
    <t xml:space="preserve">T     </t>
  </si>
  <si>
    <t xml:space="preserve">CJ    </t>
  </si>
  <si>
    <t xml:space="preserve">KW/H  </t>
  </si>
  <si>
    <t xml:space="preserve">GL    </t>
  </si>
  <si>
    <t xml:space="preserve">18L   </t>
  </si>
  <si>
    <t xml:space="preserve">MIL   </t>
  </si>
  <si>
    <t xml:space="preserve">PAR   </t>
  </si>
  <si>
    <t>ESCAVADEIRA HIDRÁULICA SOBRE ESTEIRAS, CAÇAMBA 0,80 M3, PESO OPERACIONAL 17 T, POTENCIA BRUTA 111 HP - DEPRECIAÇÃO. AF_06/2014</t>
  </si>
  <si>
    <t>ESCAVADEIRA HIDRÁULICA SOBRE ESTEIRAS, CAÇAMBA 0,80 M3, PESO OPERACIONAL 17 T, POTENCIA BRUTA 111 HP - JUROS. AF_06/2014</t>
  </si>
  <si>
    <t>ESCAVADEIRA HIDRÁULICA SOBRE ESTEIRAS, CAÇAMBA 0,80 M3, PESO OPERACIONAL 17 T, POTENCIA BRUTA 111 HP - MANUTENÇÃO. AF_06/2014</t>
  </si>
  <si>
    <t>ESCAVADEIRA HIDRÁULICA SOBRE ESTEIRAS, CAÇAMBA 0,80 M3, PESO OPERACIONAL 17 T, POTENCIA BRUTA 111 HP - MATERIAIS NA OPERAÇÃO. AF_06/2014</t>
  </si>
  <si>
    <t>ESCAVADEIRA HIDRÁULICA SOBRE ESTEIRAS, CAÇAMBA 0,80 M3, PESO OPERACIONAL 17 T, POTENCIA BRUTA 111 HP - CHP DIURNO. AF_06/2014</t>
  </si>
  <si>
    <t>ESCAVADEIRA HIDRÁULICA SOBRE ESTEIRAS, CAÇAMBA 0,80 M3, PESO OPERACIONAL 17 T, POTENCIA BRUTA 111 HP - CHI DIURNO. AF_06/2014</t>
  </si>
  <si>
    <t>GRADE DE DISCO CONTROLE REMOTO REBOCÁVEL, COM 24 DISCOS 24 X 6 MM COM PNEUS PARA TRANSPORTE - MANUTENÇÃO. AF_06/2014</t>
  </si>
  <si>
    <t>RETROESCAVADEIRA SOBRE RODAS COM CARREGADEIRA, TRAÇÃO 4X4, POTÊNCIA LÍQ. 88 HP, CAÇAMBA CARREG. CAP. MÍN. 1 M3, CAÇAMBA RETRO CAP. 0,26 M3, PESO OPERACIONAL MÍN. 6.674 KG, PROFUNDIDADE ESCAVAÇÃO MÁX. 4,37 M - MANUTENÇÃO. AF_06/2014</t>
  </si>
  <si>
    <t>RETROESCAVADEIRA SOBRE RODAS COM CARREGADEIRA, TRAÇÃO 4X2, POTÊNCIA LÍQ. 79 HP, CAÇAMBA CARREG. CAP. MÍN. 1 M3, CAÇAMBA RETRO CAP. 0,20 M3, PESO OPERACIONAL MÍN. 6.570 KG, PROFUNDIDADE ESCAVAÇÃO MÁX. 4,37 M - MANUTENÇÃO. AF_06/2014</t>
  </si>
  <si>
    <t>RETROESCAVADEIRA SOBRE RODAS COM CARREGADEIRA, TRAÇÃO 4X2, POTÊNCIA LÍQ. 79 HP, CAÇAMBA CARREG. CAP. MÍN. 1 M3, CAÇAMBA RETRO CAP. 0,20 M3, PESO OPERACIONAL MÍN. 6.570 KG, PROFUNDIDADE ESCAVAÇÃO MÁX. 4,37 M - MATERIAIS NA OPERAÇÃO. AF_06/2014</t>
  </si>
  <si>
    <t>ROLO COMPACTADOR VIBRATÓRIO DE UM CILINDRO AÇO LISO, POTÊNCIA 80 HP, PESO OPERACIONAL MÁXIMO 8,1 T, IMPACTO DINÂMICO 16,15 / 9,5 T, LARGURA DE TRABALHO 1,68 M - MANUTENÇÃO. AF_06/2014</t>
  </si>
  <si>
    <t>RETROESCAVADEIRA SOBRE RODAS COM CARREGADEIRA, TRAÇÃO 4X4, POTÊNCIA LÍQ. 88 HP, CAÇAMBA CARREG. CAP. MÍN. 1 M3, CAÇAMBA RETRO CAP. 0,26 M3, PESO OPERACIONAL MÍN. 6.674 KG, PROFUNDIDADE ESCAVAÇÃO MÁX. 4,37 M - CHP DIURNO. AF_06/2014</t>
  </si>
  <si>
    <t>RETROESCAVADEIRA SOBRE RODAS COM CARREGADEIRA, TRAÇÃO 4X4, POTÊNCIA LÍQ. 88 HP, CAÇAMBA CARREG. CAP. MÍN. 1 M3, CAÇAMBA RETRO CAP. 0,26 M3, PESO OPERACIONAL MÍN. 6.674 KG, PROFUNDIDADE ESCAVAÇÃO MÁX. 4,37 M - CHI DIURNO. AF_06/2014</t>
  </si>
  <si>
    <t>RETROESCAVADEIRA SOBRE RODAS COM CARREGADEIRA, TRAÇÃO 4X2, POTÊNCIA LÍQ. 79 HP, CAÇAMBA CARREG. CAP. MÍN. 1 M3, CAÇAMBA RETRO CAP. 0,20 M3, PESO OPERACIONAL MÍN. 6.570 KG, PROFUNDIDADE ESCAVAÇÃO MÁX. 4,37 M - CHP DIURNO. AF_06/2014</t>
  </si>
  <si>
    <t>RETROESCAVADEIRA SOBRE RODAS COM CARREGADEIRA, TRAÇÃO 4X2, POTÊNCIA LÍQ. 79 HP, CAÇAMBA CARREG. CAP. MÍN. 1 M3, CAÇAMBA RETRO CAP. 0,20 M3, PESO OPERACIONAL MÍN. 6.570 KG, PROFUNDIDADE ESCAVAÇÃO MÁX. 4,37 M - CHI DIURNO. AF_06/2014</t>
  </si>
  <si>
    <t>ROLO COMPACTADOR VIBRATÓRIO DE UM CILINDRO AÇO LISO, POTÊNCIA 80 HP, PESO OPERACIONAL MÁXIMO 8,1 T, IMPACTO DINÂMICO 16,15 / 9,5 T, LARGURA DE TRABALHO 1,68 M - CHP DIURNO. AF_06/2014</t>
  </si>
  <si>
    <t>ROLO COMPACTADOR VIBRATÓRIO DE UM CILINDRO AÇO LISO, POTÊNCIA 80 HP, PESO OPERACIONAL MÁXIMO 8,1 T, IMPACTO DINÂMICO 16,15 / 9,5 T, LARGURA DE TRABALHO 1,68 M - CHI DIURNO. AF_06/2014</t>
  </si>
  <si>
    <t>GRADE DE DISCO CONTROLE REMOTO REBOCÁVEL, COM 24 DISCOS 24 X 6 MM COM PNEUS PARA TRANSPORTE - CHI DIURNO. AF_06/2014</t>
  </si>
  <si>
    <t>MOTOBOMBA CENTRÍFUGA, MOTOR A GASOLINA, POTÊNCIA 5,42 HP, BOCAIS 1 1/2" X 1", DIÂMETRO ROTOR 143 MM HM/Q = 6 MCA / 16,8 M3/H A 38 MCA / 6,6 M3/H - MANUTENÇÃO. AF_06/2014</t>
  </si>
  <si>
    <t>MOTOBOMBA CENTRÍFUGA, MOTOR A GASOLINA, POTÊNCIA 5,42 HP, BOCAIS 1 1/2" X 1", DIÂMETRO ROTOR 143 MM HM/Q = 6 MCA / 16,8 M3/H A 38 MCA / 6,6 M3/H - MATERIAIS NA OPERAÇÃO. AF_06/2014</t>
  </si>
  <si>
    <t>CAMINHÃO BASCULANTE 6 M3, PESO BRUTO TOTAL 16.000 KG, CARGA ÚTIL MÁXIMA 13.071 KG, DISTÂNCIA ENTRE EIXOS 4,80 M, POTÊNCIA 230 CV INCLUSIVE CAÇAMBA METÁLICA - MANUTENÇÃO. AF_06/2014</t>
  </si>
  <si>
    <t>CAMINHÃO TOCO, PBT 16.000 KG, CARGA ÚTIL MÁX. 10.685 KG, DIST. ENTRE EIXOS 4,8 M, POTÊNCIA 189 CV, INCLUSIVE CARROCERIA FIXA ABERTA DE MADEIRA P/ TRANSPORTE GERAL DE CARGA SECA, DIMEN. APROX. 2,5 X 7,00 X 0,50 M - MANUTENÇÃO. AF_06/2014</t>
  </si>
  <si>
    <t>USINA MISTURADORA DE SOLOS, CAPACIDADE DE 200 A 500 TON/H, POTENCIA 75KW - MANUTENÇÃO. AF_07/2016</t>
  </si>
  <si>
    <t>VIBROACABADORA DE ASFALTO SOBRE ESTEIRAS, LARGURA DE PAVIMENTAÇÃO 1,90 M A 5,30 M, POTÊNCIA 105 HP CAPACIDADE 450 T/H - MANUTENÇÃO. AF_11/2014</t>
  </si>
  <si>
    <t>VIBROACABADORA DE ASFALTO SOBRE ESTEIRAS, LARGURA DE PAVIMENTAÇÃO 1,90 M A 5,30 M, POTÊNCIA 105 HP CAPACIDADE 450 T/H - MATERIAIS NA OPERAÇÃO. AF_11/2014</t>
  </si>
  <si>
    <t>TRATOR DE ESTEIRAS, POTÊNCIA 170 HP, PESO OPERACIONAL 19 T, CAÇAMBA 5,2 M3 - MATERIAIS NA OPERAÇÃO. AF_06/2014</t>
  </si>
  <si>
    <t>TRATOR DE ESTEIRAS, POTÊNCIA 347 HP, PESO OPERACIONAL 38,5 T, COM LÂMINA 8,70 M3 - MATERIAIS NA OPERAÇÃO. AF_06/2014</t>
  </si>
  <si>
    <t>TRATOR DE ESTEIRAS, POTÊNCIA 100 HP, PESO OPERACIONAL 9,4 T, COM LÂMINA 2,19 M3 - MANUTENÇÃO. AF_06/2014</t>
  </si>
  <si>
    <t>ROLO COMPACTADOR VIBRATÓRIO REBOCÁVEL, CILINDRO DE AÇO LISO, POTÊNCIA DE TRAÇÃO DE 65 CV, PESO 4,7 T, IMPACTO DINÂMICO 18,3 T, LARGURA DE TRABALHO 1,67 M - MANUTENÇÃO. AF_02/2016</t>
  </si>
  <si>
    <t>ROLO COMPACTADOR VIBRATÓRIO TANDEM AÇO LISO, POTÊNCIA 58 HP, PESO SEM/COM LASTRO 6,5 / 9,4 T, LARGURA DE TRABALHO 1,2 M - MANUTENÇÃO. AF_06/2014</t>
  </si>
  <si>
    <t>ROLO COMPACTADOR VIBRATÓRIO TANDEM AÇO LISO, POTÊNCIA 58 HP, PESO SEM/COM LASTRO 6,5 / 9,4 T, LARGURA DE TRABALHO 1,2 M - MATERIAIS NA OPERAÇÃO. AF_06/2014</t>
  </si>
  <si>
    <t>RETROESCAVADEIRA SOBRE RODAS COM CARREGADEIRA, TRAÇÃO 4X4, POTÊNCIA LÍQ. 72 HP, CAÇAMBA CARREG. CAP. MÍN. 0,79 M3, CAÇAMBA RETRO CAP. 0,18 M3, PESO OPERACIONAL MÍN. 7.140 KG, PROFUNDIDADE ESCAVAÇÃO MÁX. 4,50 M - MANUTENÇÃO. AF_06/2014</t>
  </si>
  <si>
    <t>RETROESCAVADEIRA SOBRE RODAS COM CARREGADEIRA, TRAÇÃO 4X4, POTÊNCIA LÍQ. 72 HP, CAÇAMBA CARREG. CAP. MÍN. 0,79 M3, CAÇAMBA RETRO CAP. 0,18 M3, PESO OPERACIONAL MÍN. 7.140 KG, PROFUNDIDADE ESCAVAÇÃO MÁX. 4,50 M - MATERIAIS NA OPERAÇÃO. AF_06/2014</t>
  </si>
  <si>
    <t>ROLO COMPACTADOR VIBRATÓRIO PÉ DE CARNEIRO, OPERADO POR CONTROLE REMOTO, POTÊNCIA 12,5 KW, PESO OPERACIONAL 1,675 T, LARGURA DE TRABALHO 0,85 M - DEPRECIAÇÃO. AF_02/2016</t>
  </si>
  <si>
    <t>ROLO COMPACTADOR VIBRATÓRIO PÉ DE CARNEIRO, OPERADO POR CONTROLE REMOTO, POTÊNCIA 12,5 KW, PESO OPERACIONAL 1,675 T, LARGURA DE TRABALHO 0,85 M - MANUTENÇÃO. AF_02/2016</t>
  </si>
  <si>
    <t>USINA DE LAMA ASFÁLTICA, PROD 30 A 50 T/H, SILO DE AGREGADO 7 M3, RESERVATÓRIOS PARA EMULSÃO E ÁGUA DE 2,3 M3 CADA, MISTURADOR TIPO PUG MILL A SER MONTADO SOBRE CAMINHÃO - MANUTENÇÃO. AF_10/2014</t>
  </si>
  <si>
    <t>USINA DE LAMA ASFÁLTICA, PROD 30 A 50 T/H, SILO DE AGREGADO 7 M3, RESERVATÓRIOS PARA EMULSÃO E ÁGUA DE 2,3 M3 CADA, MISTURADOR TIPO PUG MILL A SER MONTADO SOBRE CAMINHÃO - MATERIAIS NA OPERAÇÃO. AF_10/2014</t>
  </si>
  <si>
    <t>CAMINHÃO PIPA 6.000 L, PESO BRUTO TOTAL 13.000 KG, DISTÂNCIA ENTRE EIXOS 4,80 M, POTÊNCIA 189 CV INCLUSIVE TANQUE DE AÇO PARA TRANSPORTE DE ÁGUA, CAPACIDADE 6 M3 - MATERIAIS NA OPERAÇÃO. AF_06/2014</t>
  </si>
  <si>
    <t>CAMINHÃO TOCO, PESO BRUTO TOTAL 16.000 KG, CARGA ÚTIL MÁXIMA DE 10.685 KG, DISTÂNCIA ENTRE EIXOS 4,80 M, POTÊNCIA 189 CV EXCLUSIVE CARROCERIA - MANUTENÇÃO. AF_06/2014</t>
  </si>
  <si>
    <t>CAMINHÃO PIPA 10.000 L TRUCADO, PESO BRUTO TOTAL 23.000 KG, CARGA ÚTIL MÁXIMA 15.935 KG, DISTÂNCIA ENTRE EIXOS 4,8 M, POTÊNCIA 230 CV, INCLUSIVE TANQUE DE AÇO PARA TRANSPORTE DE ÁGUA - MANUTENÇÃO. AF_06/2014</t>
  </si>
  <si>
    <t>PÁ CARREGADEIRA SOBRE RODAS, POTÊNCIA 197 HP, CAPACIDADE DA CAÇAMBA 2,5 A 3,5 M3, PESO OPERACIONAL 18338 KG - MATERIAIS NA OPERAÇÃO. AF_06/2014</t>
  </si>
  <si>
    <t>BOMBA SUBMERSÍVEL ELÉTRICA TRIFÁSICA, POTÊNCIA 2,96 HP, Ø ROTOR 144 MM SEMI-ABERTO, BOCAL DE SAÍDA Ø 2, HM/Q = 2 MCA / 38,8 M3/H A 28 MCA / 5 M3/H - MANUTENÇÃO. AF_06/2014</t>
  </si>
  <si>
    <t>MOTOBOMBA CENTRÍFUGA, MOTOR A GASOLINA, POTÊNCIA 5,42 HP, BOCAIS 1 1/2" X 1", DIÂMETRO ROTOR 143 MM HM/Q = 6 MCA / 16,8 M3/H A 38 MCA / 6,6 M3/H - CHI DIURNO. AF_06/2014</t>
  </si>
  <si>
    <t>CAMINHÃO BASCULANTE 6 M3, PESO BRUTO TOTAL 16.000 KG, CARGA ÚTIL MÁXIMA 13.071 KG, DISTÂNCIA ENTRE EIXOS 4,80 M, POTÊNCIA 230 CV INCLUSIVE CAÇAMBA METÁLICA - CHP DIURNO. AF_06/2014</t>
  </si>
  <si>
    <t>CAMINHÃO TOCO, PBT 16.000 KG, CARGA ÚTIL MÁX. 10.685 KG, DIST. ENTRE EIXOS 4,8 M, POTÊNCIA 189 CV, INCLUSIVE CARROCERIA FIXA ABERTA DE MADEIRA P/ TRANSPORTE GERAL DE CARGA SECA, DIMEN. APROX. 2,5 X 7,00 X 0,50 M - CHP DIURNO. AF_06/2014</t>
  </si>
  <si>
    <t>CAMINHÃO TOCO, PBT 16.000 KG, CARGA ÚTIL MÁX. 10.685 KG, DIST. ENTRE EIXOS 4,8 M, POTÊNCIA 189 CV, INCLUSIVE CARROCERIA FIXA ABERTA DE MADEIRA P/ TRANSPORTE GERAL DE CARGA SECA, DIMEN. APROX. 2,5 X 7,00 X 0,50 M - CHI DIURNO. AF_06/2014</t>
  </si>
  <si>
    <t>VIBROACABADORA DE ASFALTO SOBRE ESTEIRAS, LARGURA DE PAVIMENTAÇÃO 1,90 M A 5,30 M, POTÊNCIA 105 HP CAPACIDADE 450 T/H - CHP DIURNO. AF_11/2014</t>
  </si>
  <si>
    <t>VIBROACABADORA DE ASFALTO SOBRE ESTEIRAS, LARGURA DE PAVIMENTAÇÃO 1,90 M A 5,30 M, POTÊNCIA 105 HP CAPACIDADE 450 T/H - CHI DIURNO. AF_11/2014</t>
  </si>
  <si>
    <t>VASSOURA MECÂNICA REBOCÁVEL COM ESCOVA CILÍNDRICA, LARGURA ÚTIL DE VARRIMENTO DE 2,44 M - CHP DIURNO. AF_06/2014</t>
  </si>
  <si>
    <t>VASSOURA MECÂNICA REBOCÁVEL COM ESCOVA CILÍNDRICA, LARGURA ÚTIL DE VARRIMENTO DE 2,44 M - CHI DIURNO. AF_06/2014</t>
  </si>
  <si>
    <t>TRATOR DE ESTEIRAS, POTÊNCIA 170 HP, PESO OPERACIONAL 19 T, CAÇAMBA 5,2 M3 - CHP DIURNO. AF_06/2014</t>
  </si>
  <si>
    <t>TRATOR DE ESTEIRAS, POTÊNCIA 170 HP, PESO OPERACIONAL 19 T, CAÇAMBA 5,2 M3 - CHI DIURNO. AF_06/2014</t>
  </si>
  <si>
    <t>TRATOR DE ESTEIRAS, POTÊNCIA 347 HP, PESO OPERACIONAL 38,5 T, COM LÂMINA 8,70 M3 - CHP DIURNO. AF_06/2014</t>
  </si>
  <si>
    <t>TRATOR DE ESTEIRAS, POTÊNCIA 347 HP, PESO OPERACIONAL 38,5 T, COM LÂMINA 8,70 M3 - CHI DIURNO. AF_06/2014</t>
  </si>
  <si>
    <t>ROLO COMPACTADOR VIBRATÓRIO REBOCÁVEL, CILINDRO DE AÇO LISO, POTÊNCIA DE TRAÇÃO DE 65 CV, PESO 4,7 T, IMPACTO DINÂMICO 18,3 T, LARGURA DE TRABALHO 1,67 M - CHP DIURNO. AF_02/2016</t>
  </si>
  <si>
    <t>ROLO COMPACTADOR VIBRATÓRIO REBOCÁVEL, CILINDRO DE AÇO LISO, POTÊNCIA DE TRAÇÃO DE 65 CV, PESO 4,7 T, IMPACTO DINÂMICO 18,3 T, LARGURA DE TRABALHO 1,67 M - CHI DIURNO. AF_02/2016</t>
  </si>
  <si>
    <t>ROLO COMPACTADOR VIBRATÓRIO TANDEM AÇO LISO, POTÊNCIA 58 HP, PESO SEM/COM LASTRO 6,5 / 9,4 T, LARGURA DE TRABALHO 1,2 M - CHP DIURNO. AF_06/2014</t>
  </si>
  <si>
    <t>ROLO COMPACTADOR VIBRATÓRIO TANDEM AÇO LISO, POTÊNCIA 58 HP, PESO SEM/COM LASTRO 6,5 / 9,4 T, LARGURA DE TRABALHO 1,2 M - CHI DIURNO. AF_06/2014</t>
  </si>
  <si>
    <t>RETROESCAVADEIRA SOBRE RODAS COM CARREGADEIRA, TRAÇÃO 4X4, POTÊNCIA LÍQ. 72 HP, CAÇAMBA CARREG. CAP. MÍN. 0,79 M3, CAÇAMBA RETRO CAP. 0,18 M3, PESO OPERACIONAL MÍN. 7.140 KG, PROFUNDIDADE ESCAVAÇÃO MÁX. 4,50 M - CHP DIURNO. AF_06/2014</t>
  </si>
  <si>
    <t>RETROESCAVADEIRA SOBRE RODAS COM CARREGADEIRA, TRAÇÃO 4X4, POTÊNCIA LÍQ. 72 HP, CAÇAMBA CARREG. CAP. MÍN. 0,79 M3, CAÇAMBA RETRO CAP. 0,18 M3, PESO OPERACIONAL MÍN. 7.140 KG, PROFUNDIDADE ESCAVAÇÃO MÁX. 4,50 M - CHI DIURNO. AF_06/2014</t>
  </si>
  <si>
    <t>ROLO COMPACTADOR VIBRATÓRIO PÉ DE CARNEIRO, OPERADO POR CONTROLE REMOTO, POTÊNCIA 12,5 KW, PESO OPERACIONAL 1,675 T, LARGURA DE TRABALHO 0,85 M - CHP DIURNO. AF_02/2016</t>
  </si>
  <si>
    <t>ROLO COMPACTADOR VIBRATÓRIO PÉ DE CARNEIRO, OPERADO POR CONTROLE REMOTO, POTÊNCIA 12,5 KW, PESO OPERACIONAL 1,675 T, LARGURA DE TRABALHO 0,85 M - CHI DIURNO. AF_02/2016</t>
  </si>
  <si>
    <t>USINA DE LAMA ASFÁLTICA, PROD 30 A 50 T/H, SILO DE AGREGADO 7 M3, RESERVATÓRIOS PARA EMULSÃO E ÁGUA DE 2,3 M3 CADA, MISTURADOR TIPO PUG MILL A SER MONTADO SOBRE CAMINHÃO - CHP DIURNO. AF_10/2014</t>
  </si>
  <si>
    <t>USINA DE LAMA ASFÁLTICA, PROD 30 A 50 T/H, SILO DE AGREGADO 7 M3, RESERVATÓRIOS PARA EMULSÃO E ÁGUA DE 2,3 M3 CADA, MISTURADOR TIPO PUG MILL A SER MONTADO SOBRE CAMINHÃO - CHI DIURNO. AF_10/2014</t>
  </si>
  <si>
    <t>CAMINHÃO TOCO, PESO BRUTO TOTAL 16.000 KG, CARGA ÚTIL MÁXIMA DE 10.685 KG, DISTÂNCIA ENTRE EIXOS 4,80 M, POTÊNCIA 189 CV EXCLUSIVE CARROCERIA - CHP DIURNO. AF_06/2014</t>
  </si>
  <si>
    <t>CAMINHÃO TOCO, PESO BRUTO TOTAL 16.000 KG, CARGA ÚTIL MÁXIMA DE 10.685 KG, DISTÂNCIA ENTRE EIXOS 4,80 M, POTÊNCIA 189 CV EXCLUSIVE CARROCERIA - CHI DIURNO. AF_06/2014</t>
  </si>
  <si>
    <t>CAMINHÃO PIPA 10.000 L TRUCADO, PESO BRUTO TOTAL 23.000 KG, CARGA ÚTIL MÁXIMA 15.935 KG, DISTÂNCIA ENTRE EIXOS 4,8 M, POTÊNCIA 230 CV, INCLUSIVE TANQUE DE AÇO PARA TRANSPORTE DE ÁGUA - CHP DIURNO. AF_06/2014</t>
  </si>
  <si>
    <t>CAMINHÃO PIPA 10.000 L TRUCADO, PESO BRUTO TOTAL 23.000 KG, CARGA ÚTIL MÁXIMA 15.935 KG, DISTÂNCIA ENTRE EIXOS 4,8 M, POTÊNCIA 230 CV, INCLUSIVE TANQUE DE AÇO PARA TRANSPORTE DE ÁGUA - CHI DIURNO. AF_06/2014</t>
  </si>
  <si>
    <t>GRADE DE DISCO REBOCÁVEL COM 20 DISCOS 24" X 6 MM COM PNEUS PARA TRANSPORTE - CHP DIURNO. AF_06/2014</t>
  </si>
  <si>
    <t>GRADE DE DISCO REBOCÁVEL COM 20 DISCOS 24" X 6 MM COM PNEUS PARA TRANSPORTE - CHI DIURNO. AF_06/2014</t>
  </si>
  <si>
    <t>GUINDAUTO HIDRÁULICO, CAPACIDADE MÁXIMA DE CARGA 6200 KG, MOMENTO MÁXIMO DE CARGA 11,7 TM, ALCANCE MÁXIMO HORIZONTAL 9,70 M, INCLUSIVE CAMINHÃO TOCO PBT 16.000 KG, POTÊNCIA DE 189 CV - CHP DIURNO. AF_06/2014</t>
  </si>
  <si>
    <t>GUINDAUTO HIDRÁULICO, CAPACIDADE MÁXIMA DE CARGA 6200 KG, MOMENTO MÁXIMO DE CARGA 11,7 TM, ALCANCE MÁXIMO HORIZONTAL 9,70 M, INCLUSIVE CAMINHÃO TOCO PBT 16.000 KG, POTÊNCIA DE 189 CV - CHI DIURNO. AF_06/2014</t>
  </si>
  <si>
    <t>PÁ CARREGADEIRA SOBRE RODAS, POTÊNCIA LÍQUIDA 128 HP, CAPACIDADE DA CAÇAMBA 1,7 A 2,8 M3, PESO OPERACIONAL 11632 KG - CHP DIURNO. AF_06/2014</t>
  </si>
  <si>
    <t>PÁ CARREGADEIRA SOBRE RODAS, POTÊNCIA LÍQUIDA 128 HP, CAPACIDADE DA CAÇAMBA 1,7 A 2,8 M3, PESO OPERACIONAL 11632 KG - CHI DIURNO. AF_06/2014</t>
  </si>
  <si>
    <t>PÁ CARREGADEIRA SOBRE RODAS, POTÊNCIA 197 HP, CAPACIDADE DA CAÇAMBA 2,5 A 3,5 M3, PESO OPERACIONAL 18338 KG - CHP DIURNO. AF_06/2014</t>
  </si>
  <si>
    <t>PÁ CARREGADEIRA SOBRE RODAS, POTÊNCIA 197 HP, CAPACIDADE DA CAÇAMBA 2,5 A 3,5 M3, PESO OPERACIONAL 18338 KG - CHI DIURNO. AF_06/2014</t>
  </si>
  <si>
    <t>CAMINHÃO BASCULANTE 6 M3, PESO BRUTO TOTAL 16.000 KG, CARGA ÚTIL MÁXIMA 13.071 KG, DISTÂNCIA ENTRE EIXOS 4,80 M, POTÊNCIA 230 CV INCLUSIVE CAÇAMBA METÁLICA - CHI DIURNO. AF_06/2014</t>
  </si>
  <si>
    <t>CAMINHÃO PIPA 6.000 L, PESO BRUTO TOTAL 13.000 KG, DISTÂNCIA ENTRE EIXOS 4,80 M, POTÊNCIA 189 CV INCLUSIVE TANQUE DE AÇO PARA TRANSPORTE DE ÁGUA, CAPACIDADE 6 M3 - CHP DIURNO. AF_06/2014</t>
  </si>
  <si>
    <t>CAMINHÃO PIPA 6.000 L, PESO BRUTO TOTAL 13.000 KG, DISTÂNCIA ENTRE EIXOS 4,80 M, POTÊNCIA 189 CV INCLUSIVE TANQUE DE AÇO PARA TRANSPORTE DE ÁGUA, CAPACIDADE 6 M3 - CHI DIURNO. AF_06/2014</t>
  </si>
  <si>
    <t>ROLO COMPACTADOR DE PNEUS ESTÁTICO, PRESSÃO VARIÁVEL, POTÊNCIA 111 HP, PESO SEM/COM LASTRO 9,5 / 26 T, LARGURA DE TRABALHO 1,90 M - CHP DIURNO. AF_07/2014</t>
  </si>
  <si>
    <t>ROLO COMPACTADOR DE PNEUS ESTÁTICO, PRESSÃO VARIÁVEL, POTÊNCIA 111 HP, PESO SEM/COM LASTRO 9,5 / 26 T, LARGURA DE TRABALHO 1,90 M - CHI DIURNO. AF_07/2014</t>
  </si>
  <si>
    <t>TANQUE DE ASFALTO ESTACIONÁRIO COM SERPENTINA, CAPACIDADE 30.000 L - CHP DIURNO. AF_06/2014</t>
  </si>
  <si>
    <t>TANQUE DE ASFALTO ESTACIONÁRIO COM SERPENTINA, CAPACIDADE 30.000 L - CHI DIURNO. AF_06/2014</t>
  </si>
  <si>
    <t>TANQUE DE ASFALTO ESTACIONÁRIO COM SERPENTINA, CAPACIDADE 30.000 L - DEPRECIAÇÃO. AF_06/2014</t>
  </si>
  <si>
    <t>TANQUE DE ASFALTO ESTACIONÁRIO COM SERPENTINA, CAPACIDADE 30.000 L - JUROS. AF_06/2014</t>
  </si>
  <si>
    <t>TANQUE DE ASFALTO ESTACIONÁRIO COM SERPENTINA, CAPACIDADE 30.000 L - MANUTENÇÃO. AF_06/2014</t>
  </si>
  <si>
    <t>TANQUE DE ASFALTO ESTACIONÁRIO COM SERPENTINA, CAPACIDADE 30.000 L - MATERIAIS NA OPERAÇÃO. AF_06/2014</t>
  </si>
  <si>
    <t>ROLO COMPACTADOR DE PNEUS ESTÁTICO, PRESSÃO VARIÁVEL, POTÊNCIA 111 HP, PESO SEM/COM LASTRO 9,5 / 26 T, LARGURA DE TRABALHO 1,90 M - DEPRECIAÇÃO. AF_07/2014</t>
  </si>
  <si>
    <t>ROLO COMPACTADOR DE PNEUS ESTÁTICO, PRESSÃO VARIÁVEL, POTÊNCIA 111 HP, PESO SEM/COM LASTRO 9,5 / 26 T, LARGURA DE TRABALHO 1,90 M - JUROS. AF_07/2014</t>
  </si>
  <si>
    <t>ROLO COMPACTADOR DE PNEUS ESTÁTICO, PRESSÃO VARIÁVEL, POTÊNCIA 111 HP, PESO SEM/COM LASTRO 9,5 / 26 T, LARGURA DE TRABALHO 1,90 M - MANUTENÇÃO. AF_07/2014</t>
  </si>
  <si>
    <t>MOTOBOMBA TRASH (PARA ÁGUA SUJA) AUTO ESCORVANTE, MOTOR GASOLINA DE 6,41 HP, DIÂMETROS DE SUCÇÃO X RECALQUE: 3" X 3", HM/Q = 10 MCA / 60 M3/H A 23 MCA / 0 M3/H - CHP DIURNO. AF_10/2014</t>
  </si>
  <si>
    <t>MOTOBOMBA TRASH (PARA ÁGUA SUJA) AUTO ESCORVANTE, MOTOR GASOLINA DE 6,41 HP, DIÂMETROS DE SUCÇÃO X RECALQUE: 3" X 3", HM/Q = 10 MCA / 60 M3/H A 23 MCA / 0 M3/H - CHI DIURNO. AF_10/2014</t>
  </si>
  <si>
    <t>MOTOBOMBA TRASH (PARA ÁGUA SUJA) AUTO ESCORVANTE, MOTOR GASOLINA DE 6,41 HP, DIÂMETROS DE SUCÇÃO X RECALQUE: 3" X 3", HM/Q = 10 MCA / 60 M3/H A 23 MCA / 0 M3/H - DEPRECIAÇÃO. AF_10/2014</t>
  </si>
  <si>
    <t>MOTOBOMBA TRASH (PARA ÁGUA SUJA) AUTO ESCORVANTE, MOTOR GASOLINA DE 6,41 HP, DIÂMETROS DE SUCÇÃO X RECALQUE: 3" X 3", HM/Q = 10 MCA / 60 M3/H A 23 MCA / 0 M3/H - JUROS. AF_10/2014</t>
  </si>
  <si>
    <t>MOTOBOMBA TRASH (PARA ÁGUA SUJA) AUTO ESCORVANTE, MOTOR GASOLINA DE 6,41 HP, DIÂMETROS DE SUCÇÃO X RECALQUE: 3" X 3", HM/Q = 10 MCA / 60 M3/H A 23 MCA / 0 M3/H - MANUTENÇÃO. AF_10/2014</t>
  </si>
  <si>
    <t>MOTOBOMBA TRASH (PARA ÁGUA SUJA) AUTO ESCORVANTE, MOTOR GASOLINA DE 6,41 HP, DIÂMETROS DE SUCÇÃO X RECALQUE: 3" X 3", HM/Q = 10 MCA / 60 M3/H A 23 MCA / 0 M3/H - MATERIAIS NA OPERAÇÃO. AF_10/2014</t>
  </si>
  <si>
    <t>ROLO COMPACTADOR PE DE CARNEIRO VIBRATORIO, POTENCIA 125 HP, PESO OPERACIONAL SEM/COM LASTRO 11,95 / 13,30 T, IMPACTO DINAMICO 38,5 / 22,5 T, LARGURA DE TRABALHO 2,15 M - CHP DIURNO. AF_06/2014</t>
  </si>
  <si>
    <t>ROLO COMPACTADOR PE DE CARNEIRO VIBRATORIO, POTENCIA 125 HP, PESO OPERACIONAL SEM/COM LASTRO 11,95 / 13,30 T, IMPACTO DINAMICO 38,5 / 22,5 T, LARGURA DE TRABALHO 2,15 M - CHI DIURNO. AF_06/2014</t>
  </si>
  <si>
    <t>ROLO COMPACTADOR PE DE CARNEIRO VIBRATORIO, POTENCIA 125 HP, PESO OPERACIONAL SEM/COM LASTRO 11,95 / 13,30 T, IMPACTO DINAMICO 38,5 / 22,5 T, LARGURA DE TRABALHO 2,15 M - DEPRECIAÇÃO. AF_06/2014</t>
  </si>
  <si>
    <t>ROLO COMPACTADOR PE DE CARNEIRO VIBRATORIO, POTENCIA 125 HP, PESO OPERACIONAL SEM/COM LASTRO 11,95 / 13,30 T, IMPACTO DINAMICO 38,5 / 22,5 T, LARGURA DE TRABALHO 2,15 M - JUROS. AF_06/2014</t>
  </si>
  <si>
    <t>ROLO COMPACTADOR PE DE CARNEIRO VIBRATORIO, POTENCIA 125 HP, PESO OPERACIONAL SEM/COM LASTRO 11,95 / 13,30 T, IMPACTO DINAMICO 38,5 / 22,5 T, LARGURA DE TRABALHO 2,15 M - MANUTENÇÃO. AF_06/2014</t>
  </si>
  <si>
    <t>ROLO COMPACTADOR PE DE CARNEIRO VIBRATORIO, POTENCIA 125 HP, PESO OPERACIONAL SEM/COM LASTRO 11,95 / 13,30 T, IMPACTO DINAMICO 38,5 / 22,5 T, LARGURA DE TRABALHO 2,15 M - MATERIAIS NA OPERAÇÃO. AF_06/2014</t>
  </si>
  <si>
    <t>CAMINHÃO BASCULANTE 6 M3 TOCO, PESO BRUTO TOTAL 16.000 KG, CARGA ÚTIL MÁXIMA 11.130 KG, DISTÂNCIA ENTRE EIXOS 5,36 M, POTÊNCIA 185 CV, INCLUSIVE CAÇAMBA METÁLICA - DEPRECIAÇÃO. AF_06/2014</t>
  </si>
  <si>
    <t>CAMINHÃO BASCULANTE 6 M3 TOCO, PESO BRUTO TOTAL 16.000 KG, CARGA ÚTIL MÁXIMA 11.130 KG, DISTÂNCIA ENTRE EIXOS 5,36 M, POTÊNCIA 185 CV, INCLUSIVE CAÇAMBA METÁLICA - JUROS. AF_06/2014</t>
  </si>
  <si>
    <t>CAMINHÃO BASCULANTE 6 M3 TOCO, PESO BRUTO TOTAL 16.000 KG, CARGA ÚTIL MÁXIMA 11.130 KG, DISTÂNCIA ENTRE EIXOS 5,36 M, POTÊNCIA 185 CV, INCLUSIVE CAÇAMBA METÁLICA - MANUTENÇÃO. AF_06/2014</t>
  </si>
  <si>
    <t>CAMINHÃO BASCULANTE 6 M3 TOCO, PESO BRUTO TOTAL 16.000 KG, CARGA ÚTIL MÁXIMA 11.130 KG, DISTÂNCIA ENTRE EIXOS 5,36 M, POTÊNCIA 185 CV, INCLUSIVE CAÇAMBA METÁLICA - MATERIAIS NA OPERAÇÃO. AF_06/2014</t>
  </si>
  <si>
    <t xml:space="preserve">MES   </t>
  </si>
  <si>
    <t xml:space="preserve">DM3   </t>
  </si>
  <si>
    <t xml:space="preserve">CENTO </t>
  </si>
  <si>
    <t xml:space="preserve">100M  </t>
  </si>
  <si>
    <t>RETROESCAVADEIRA SOBRE RODAS COM CARREGADEIRA, TRAÇÃO 4X4, POTÊNCIA LÍQ. 88 HP, CAÇAMBA CARREG. CAP. MÍN. 1 M3, CAÇAMBA RETRO CAP. 0,26 M3, PESO OPERACIONAL MÍN. 6.674 KG, PROFUNDIDADE ESCAVAÇÃO MÁX. 4,37 M - MATERIAIS NA OPERAÇÃO. AF_06/2014</t>
  </si>
  <si>
    <t>ROLO COMPACTADOR VIBRATÓRIO DE UM CILINDRO AÇO LISO, POTÊNCIA 80 HP, PESO OPERACIONAL MÁXIMO 8,1 T, IMPACTO DINÂMICO 16,15 / 9,5 T, LARGURA DE TRABALHO 1,68 M - MATERIAIS NA OPERAÇÃO. AF_06/2014</t>
  </si>
  <si>
    <t>CAMINHÃO BASCULANTE 6 M3, PESO BRUTO TOTAL 16.000 KG, CARGA ÚTIL MÁXIMA 13.071 KG, DISTÂNCIA ENTRE EIXOS 4,80 M, POTÊNCIA 230 CV INCLUSIVE CAÇAMBA METÁLICA - MATERIAIS NA OPERAÇÃO. AF_06/2014</t>
  </si>
  <si>
    <t>CAMINHÃO TOCO, PBT 16.000 KG, CARGA ÚTIL MÁX. 10.685 KG, DIST. ENTRE EIXOS 4,8 M, POTÊNCIA 189 CV, INCLUSIVE CARROCERIA FIXA ABERTA DE MADEIRA P/ TRANSPORTE GERAL DE CARGA SECA, DIMEN. APROX. 2,5 X 7,00 X 0,50 M - MATERIAIS NA OPERAÇÃO. AF_06/2014</t>
  </si>
  <si>
    <t>VASSOURA MECÂNICA REBOCÁVEL COM ESCOVA CILÍNDRICA, LARGURA ÚTIL DE VARRIMENTO DE 2,44 M - MANUTENÇÃO. AF_06/2014</t>
  </si>
  <si>
    <t>TRATOR DE ESTEIRAS, POTÊNCIA 170 HP, PESO OPERACIONAL 19 T, CAÇAMBA 5,2 M3 - MANUTENÇÃO. AF_06/2014</t>
  </si>
  <si>
    <t>TRATOR DE ESTEIRAS, POTÊNCIA 347 HP, PESO OPERACIONAL 38,5 T, COM LÂMINA 8,70 M3 - MANUTENÇÃO. AF_06/2014</t>
  </si>
  <si>
    <t>TRATOR DE ESTEIRAS, POTÊNCIA 100 HP, PESO OPERACIONAL 9,4 T, COM LÂMINA 2,19 M3 - MATERIAIS NA OPERAÇÃO. AF_06/2014</t>
  </si>
  <si>
    <t>ROLO COMPACTADOR VIBRATÓRIO REBOCÁVEL, CILINDRO DE AÇO LISO, POTÊNCIA DE TRAÇÃO DE 65 CV, PESO 4,7 T, IMPACTO DINÂMICO 18,3 T, LARGURA DE TRABALHO 1,67 M - DEPRECIAÇÃO. AF_02/2016</t>
  </si>
  <si>
    <t>CAMINHÃO TOCO, PESO BRUTO TOTAL 16.000 KG, CARGA ÚTIL MÁXIMA DE 10.685 KG, DISTÂNCIA ENTRE EIXOS 4,80 M, POTÊNCIA 189 CV EXCLUSIVE CARROCERIA - MATERIAIS NA OPERAÇÃO. AF_06/2014</t>
  </si>
  <si>
    <t>CAMINHÃO PIPA 10.000 L TRUCADO, PESO BRUTO TOTAL 23.000 KG, CARGA ÚTIL MÁXIMA 15.935 KG, DISTÂNCIA ENTRE EIXOS 4,8 M, POTÊNCIA 230 CV, INCLUSIVE TANQUE DE AÇO PARA TRANSPORTE DE ÁGUA - MATERIAIS NA OPERAÇÃO. AF_06/2014</t>
  </si>
  <si>
    <t>GRADE DE DISCO REBOCÁVEL COM 20 DISCOS 24" X 6 MM COM PNEUS PARA TRANSPORTE - DEPRECIAÇÃO. AF_06/2014</t>
  </si>
  <si>
    <t>GRADE DE DISCO REBOCÁVEL COM 20 DISCOS 24" X 6 MM COM PNEUS PARA TRANSPORTE - MANUTENÇÃO. AF_06/2014</t>
  </si>
  <si>
    <t>MOTONIVELADORA POTÊNCIA BÁSICA LÍQUIDA (PRIMEIRA MARCHA) 125 HP, PESO BRUTO 13032 KG, LARGURA DA LÂMINA DE 3,7 M - MATERIAIS NA OPERAÇÃO. AF_06/2014</t>
  </si>
  <si>
    <t>PÁ CARREGADEIRA SOBRE RODAS, POTÊNCIA LÍQUIDA 128 HP, CAPACIDADE DA CAÇAMBA 1,7 A 2,8 M3, PESO OPERACIONAL 11632 KG - MANUTENÇÃO. AF_06/2014</t>
  </si>
  <si>
    <t>PÁ CARREGADEIRA SOBRE RODAS, POTÊNCIA LÍQUIDA 128 HP, CAPACIDADE DA CAÇAMBA 1,7 A 2,8 M3, PESO OPERACIONAL 11632 KG - MATERIAIS NA OPERAÇÃO. AF_06/2014</t>
  </si>
  <si>
    <t>PÁ CARREGADEIRA SOBRE RODAS, POTÊNCIA 197 HP, CAPACIDADE DA CAÇAMBA 2,5 A 3,5 M3, PESO OPERACIONAL 18338 KG - MANUTENÇÃO. AF_06/2014</t>
  </si>
  <si>
    <t>MARTELETE OU ROMPEDOR PNEUMÁTICO MANUAL, 28 KG, COM SILENCIADOR - MANUTENÇÃO. AF_07/2016</t>
  </si>
  <si>
    <t>COMPRESSOR DE AR REBOCÁVEL, VAZÃO 189 PCM, PRESSÃO EFETIVA DE TRABALHO 102 PSI, MOTOR DIESEL, POTÊNCIA 63 CV - MATERIAIS NA OPERAÇÃO. AF_06/2015</t>
  </si>
  <si>
    <t>BOMBA SUBMERSÍVEL ELÉTRICA TRIFÁSICA, POTÊNCIA 2,96 HP, Ø ROTOR 144 MM SEMI-ABERTO, BOCAL DE SAÍDA Ø 2, HM/Q = 2 MCA / 38,8 M3/H A 28 MCA / 5 M3/H - MATERIAIS NA OPERAÇÃO. AF_06/2014</t>
  </si>
  <si>
    <t>CAMINHÃO PIPA 6.000 L, PESO BRUTO TOTAL 13.000 KG, DISTÂNCIA ENTRE EIXOS 4,80 M, POTÊNCIA 189 CV INCLUSIVE TANQUE DE AÇO PARA TRANSPORTE DE ÁGUA, CAPACIDADE 6 M3 - MANUTENÇÃO. AF_06/2014</t>
  </si>
  <si>
    <t>ROLO COMPACTADOR DE PNEUS ESTÁTICO, PRESSÃO VARIÁVEL, POTÊNCIA 111 HP, PESO SEM/COM LASTRO 9,5 / 26 T, LARGURA DE TRABALHO 1,90 M - MATERIAIS NA OPERAÇÃO. AF_07/2014</t>
  </si>
  <si>
    <t>IMUNIZACAO DE MADEIRAMENTO PARA COBERTURA UTILIZANDO CUPINICIDA INCOLOR</t>
  </si>
  <si>
    <t>CAMINHÃO BASCULANTE 6 M3 TOCO, PESO BRUTO TOTAL 16.000 KG, CARGA ÚTIL MÁXIMA 11.130 KG, DISTÂNCIA ENTRE EIXOS 5,36 M, POTÊNCIA 185 CV, INCLUSIVE CAÇAMBA METÁLICA - CHP DIURNO. AF_06/2014</t>
  </si>
  <si>
    <t>CAMINHÃO BASCULANTE 6 M3 TOCO, PESO BRUTO TOTAL 16.000 KG, CARGA ÚTIL MÁXIMA 11.130 KG, DISTÂNCIA ENTRE EIXOS 5,36 M, POTÊNCIA 185 CV, INCLUSIVE CAÇAMBA METÁLICA - CHI DIURNO. AF_06/2014</t>
  </si>
  <si>
    <t>PISO EM CONCRETO 20 MPA PREPARO MECANICO, ESPESSURA 7CM, INCLUSO SELANTE ELASTICO A BASE DE POLIURETANO</t>
  </si>
  <si>
    <t>PISO EM CONCRETO 20 MPA PREPARO MECANICO, ESPESSURA 7CM, INCLUSO JUNTAS DE DILATACAO EM MADEIRA</t>
  </si>
  <si>
    <t>CONJUNTO DE MANGUEIRA PARA COMBATE A INCENDIO EM FIBRA DE POLIESTER PURA, COM 1.1/2", REVESTIDA INTERNAMENTE, COM 2 LANCES DE 15M CADA</t>
  </si>
  <si>
    <t>VIDRO TEMPERADO INCOLOR, ESPESSURA 6MM, FORNECIMENTO E INSTALACAO, INCLUSIVE MASSA PARA VEDACAO</t>
  </si>
  <si>
    <t>VIDRO TEMPERADO INCOLOR, ESPESSURA 8MM, FORNECIMENTO E INSTALACAO, INCLUSIVE MASSA PARA VEDACAO</t>
  </si>
  <si>
    <t>VIDRO TEMPERADO INCOLOR, ESPESSURA 10MM, FORNECIMENTO E INSTALACAO, INCLUSIVE MASSA PARA VEDACAO</t>
  </si>
  <si>
    <t>RECOLOCACAO DE PLACAS DIVISORIAS DE GRANILITE, CONSIDERANDO REAPROVEITAMENTO DO MATERIAL</t>
  </si>
  <si>
    <t>RECOLOCACAO DE DIVISORIAS TIPO CHAPAS OU TABUAS, EXCLUSIVE ENTARUGAMENTO, CONSIDERANDO REAPROVEITAMENTO DO MATERIAL</t>
  </si>
  <si>
    <t>RECOLOCACAO DE DIVISORIAS TIPO CHAPAS OU TABUAS, INCLUSIVE ENTARUGAMENTO, CONSIDERANDO REAPROVEITAMENTO DO MATERIAL</t>
  </si>
  <si>
    <t>PISO EM CONCRETO 20MPA PREPARO MECANICO, ESPESSURA 7 CM, COM ARMACAO EM TELA SOLDADA</t>
  </si>
  <si>
    <t>PISO DE BORRACHA PASTILHADO, ESPESSURA 7MM, ASSENTADO COM ARGAMASSA TRACO 1:3 (CIMENTO E AREIA)</t>
  </si>
  <si>
    <t>RECOLOCACAO DE TACOS DE MADEIRA COM REAPROVEITAMENTO DE MATERIAL E ASSENTAMENTO COM ARGAMASSA 1:4 (CIMENTO E AREIA)</t>
  </si>
  <si>
    <t>REATOR PARA LAMPADA VAPOR DE SODIO ALTA PRESSAO - 220V/250W - USO EXTERNO</t>
  </si>
  <si>
    <t>ABRIGO PARA HIDRANTE, 75X45X17CM, COM REGISTRO GLOBO ANGULAR 45º 2.1/2", ADAPTADOR STORZ 2.1/2", MANGUEIRA DE INCÊNDIO 15M, REDUÇÃO 2.1/2X1.1/2" E ESGUICHO EM LATÃO 1.1/2" - FORNECIMENTO E INSTALAÇÃO</t>
  </si>
  <si>
    <t>DISJUNTOR BAIXA TENSAO TRIPOLAR A SECO  800A/600V, INCLUSIVE ELETROTÉCNICO</t>
  </si>
  <si>
    <t>TRANSPORTE COMERCIAL COM CAMINHAO CARROCERIA 9 T, RODOVIA EM LEITO NATURAL</t>
  </si>
  <si>
    <t>TRANSPORTE COMERCIAL COM CAMINHAO CARROCERIA 9 T, RODOVIA COM REVESTIMENTO PRIMARIO</t>
  </si>
  <si>
    <t>CARGA, MANOBRAS E DESCARGA DE AREIA, BRITA, PEDRA DE MAO E SOLOS COM CAMINHAO BASCULANTE 6 M3 (DESCARGA LIVRE)</t>
  </si>
  <si>
    <t>CARGA, MANOBRAS E DESCARGA DE MISTURA BETUMINOSA A QUENTE, COM CAMINHAO BASCULANTE 6 M3</t>
  </si>
  <si>
    <t>CARGA, MANOBRAS E DESCARGA DE BRITA PARA BASE DE MACADAME, COM CAMINHAO BASCULANTE 6 M3</t>
  </si>
  <si>
    <t>CARGA, MANOBRAS E DESCARGA DE MISTURAS DE SOLOS E AGREGADOS (BASES ESTABILIZADAS EM USINA) COM CAMINHAO BASCULANTE 6 M3</t>
  </si>
  <si>
    <t>CARGA, MANOBRAS E DESCARGA DE MATERIAIS DIVERSOS, COM CAMINHAO CARROCERIA 9T (CARGA E DESCARGA MANUAIS)</t>
  </si>
  <si>
    <t>CARGA, MANOBRAS E DESCARGA DE MISTURA BETUMINOSA A QUENTE, COM CAMINHAO BASCULANTE 6 M3, DESCARGA EM VIBRO-ACABADORA</t>
  </si>
  <si>
    <t>CARGA, MANOBRAS E DESCARGA DE DE MISTURA BETUMINOSA A FRIO, COM CAMINHAO BASCULANTE 6 M3, DESCARGA EM VIBRO-ACABADORA</t>
  </si>
  <si>
    <t>CARGA, MANOBRAS E DESCARGA DE BRITA PARA BASE DE MACADAME, COM CAMINHAO BASCULANTE 6 M3, DESCARGA EM DISTRIBUIDOR</t>
  </si>
  <si>
    <t>CARGA, MANOBRAS E DESCARGA DE MISTURAS DE SOLOS E AGREGADOS, COM CAMINHAO BASCULANTE 6 M3, DESCARGA EM DISTRIBUIDOR</t>
  </si>
  <si>
    <t>CARGA, MANOBRAS E DESCARGA DE MATERIAIS DIVERSOS, COM CAMINHAO BASCULANTE 6M3 (CARGA E DESCARGA MANUAIS)</t>
  </si>
  <si>
    <t>TRANSPORTE DE ENTULHO COM CAMINHÃO BASCULANTE 6 M3, RODOVIA PAVIMENTADA, DMT ATE 0,5 KM</t>
  </si>
  <si>
    <t>TRANSPORTE DE ENTULHO COM CAMINHAO BASCULANTE 6 M3, RODOVIA PAVIMENTADA, DMT 0,5 A 1,0 KM</t>
  </si>
  <si>
    <t>ESCAVACAO MECANICA DE VALA EM MATERIAL DE 2A. CATEGORIA ATE 2 M DE PROFUNDIDADE COM UTILIZACAO DE ESCAVADEIRA HIDRAULICA</t>
  </si>
  <si>
    <t>APARELHO SINALIZADOR DE SAIDA DE GARAGEM, COM CELULA FOTOELETRICA - FORNECIMENTO E INSTALACAO</t>
  </si>
  <si>
    <t>SINALIZACAO HORIZONTAL COM TINTA RETRORREFLETIVA A BASE DE RESINA ACRILICA COM MICROESFERAS DE VIDRO</t>
  </si>
  <si>
    <t>ESCORAMENTO FORMAS ATE H = 3,30M, COM MADEIRA DE 3A QUALIDADE, NAO APARELHADA, APROVEITAMENTO TABUAS 3X E PRUMOS 4X.</t>
  </si>
  <si>
    <t>GRUPO GERADOR ESTACIONÁRIO, MOTOR DIESEL POTÊNCIA 170 KVA - DEPRECIAÇÃO. AF_02/2016</t>
  </si>
  <si>
    <t>GRUPO GERADOR ESTACIONÁRIO, MOTOR DIESEL POTÊNCIA 170 KVA - MANUTENÇÃO. AF_02/2016</t>
  </si>
  <si>
    <t>CAMINHÃO TOCO, PBT 14.300 KG, CARGA ÚTIL MÁX. 9.710 KG, DIST. ENTRE EIXOS 3,56 M, POTÊNCIA 185 CV, INCLUSIVE CARROCERIA FIXA ABERTA DE MADEIRA P/ TRANSPORTE GERAL DE CARGA SECA, DIMEN. APROX. 2,50 X 6,50 X 0,50 M - MANUTENÇÃO. AF_06/2014</t>
  </si>
  <si>
    <t>CAMINHÃO TOCO, PBT 14.300 KG, CARGA ÚTIL MÁX. 9.710 KG, DIST. ENTRE EIXOS 3,56 M, POTÊNCIA 185 CV, INCLUSIVE CARROCERIA FIXA ABERTA DE MADEIRA P/ TRANSPORTE GERAL DE CARGA SECA, DIMEN. APROX. 2,50 X 6,50 X 0,50 M - MATERIAIS NA OPERAÇÃO. AF_06/2014</t>
  </si>
  <si>
    <t>GRUPO GERADOR ESTACIONÁRIO, MOTOR DIESEL POTÊNCIA 170 KVA - CHI DIURNO. AF_02/2016</t>
  </si>
  <si>
    <t>GRUPO GERADOR ESTACIONÁRIO, MOTOR DIESEL POTÊNCIA 170 KVA - CHP DIURNO. AF_02/2016</t>
  </si>
  <si>
    <t>CAMINHÃO TOCO, PBT 14.300 KG, CARGA ÚTIL MÁX. 9.710 KG, DIST. ENTRE EIXOS 3,56 M, POTÊNCIA 185 CV, INCLUSIVE CARROCERIA FIXA ABERTA DE MADEIRA P/ TRANSPORTE GERAL DE CARGA SECA, DIMEN. APROX. 2,50 X 6,50 X 0,50 M - CHP DIURNO. AF_06/2014</t>
  </si>
  <si>
    <t>MOTOBOMBA CENTRÍFUGA, MOTOR A GASOLINA, POTÊNCIA 5,42 HP, BOCAIS 1 1/2" X 1", DIÂMETRO ROTOR 143 MM HM/Q = 6 MCA / 16,8 M3/H A 38 MCA / 6,6 M3/H - CHP DIURNO. AF_06/2014</t>
  </si>
  <si>
    <t>ESCADA TIPO MARINHEIRO EM ACO CA-50 9,52MM INCLUSO PINTURA COM FUNDO ANTICORROSIVO TIPO ZARCAO</t>
  </si>
  <si>
    <t>CAIXA PARA RALO C OM GRELHA FOFO 135 KG DE ALV TIJOLO MACICO (7X10X20) PAREDES DE UMA VEZ (0.20 M) DE 0.90X1.20X1.50 M (EXTERNA) COM ARGAMASSA 1:4 CIMENTO:AREIA, BASE CONC FCK=10 MPA, EXCLUSIVE ESCAVACAO E REATERRO.</t>
  </si>
  <si>
    <t>PINTURA COM TINTA A BASE DE BORRACHA CLORADA , DE FAIXAS DE DEMARCACAO, EM QUADRA POLIESPORTIVA, 5 CM DE LARGURA.</t>
  </si>
  <si>
    <t>ESCAVACAO MECANICA CAMPO ABERTO EM SOLO EXCETO ROCHA ATE 2,00M PROFUNDIDADE</t>
  </si>
  <si>
    <t>ESCAVACAO MECANICA PARA ACERTO DE TALUDES, EM MATERIAL DE 1A CATEGORIA, COM ESCAVADEIRA HIDRAULICA</t>
  </si>
  <si>
    <t>ESCAVACAO MECANICA, A CEU ABERTO, EM MATERIAL DE 1A CATEGORIA, COM ESCAVADEIRA HIDRAULICA, CAPACIDADE DE 0,78 M3</t>
  </si>
  <si>
    <t>ESCAVACAO MECANICA DE VALAS (SOLO COM AGUA), PROFUNDIDADE MAIOR QUE 4,00 M ATE 6,00 M.</t>
  </si>
  <si>
    <t>ESPARGIDOR DE ASFALTO PRESSURIZADO, TANQUE 6 M3 COM ISOLAÇÃO TÉRMICA, AQUECIDO COM 2 MAÇARICOS, COM BARRA ESPARGIDORA 3,60 M, MONTADO SOBRE CAMINHÃO  TOCO, PBT 14.300 KG, POTÊNCIA 185 CV - MANUTENÇÃO. AF_08/2015</t>
  </si>
  <si>
    <t>ESPARGIDOR DE ASFALTO PRESSURIZADO, TANQUE 6 M3 COM ISOLAÇÃO TÉRMICA, AQUECIDO COM 2 MAÇARICOS, COM BARRA ESPARGIDORA 3,60 M, MONTADO SOBRE CAMINHÃO  TOCO, PBT 14.300 KG, POTÊNCIA 185 CV - CHP DIURNO. AF_08/2015</t>
  </si>
  <si>
    <t>RELE FOTOELETRICO P/ COMANDO DE ILUMINACAO EXTERNA 220V/1000W - FORNECIMENTO E INSTALACAO</t>
  </si>
  <si>
    <t>BRACO P/ ILUMINACAO DE RUAS EM TUBO ACO GALV 1" COMP = 1,20M E INCLINACAO 25GRAUS EM RELACAO AO PLANO VERTICAL P/ FIXACAO EM POSTE OU PAREDE - FORNECIMENTO E INSTALACAO</t>
  </si>
  <si>
    <t>BRACO P/ LUMINARIA PUBLICA 1 X 1,50 M, EM TUBO ACO GALV 3/4, P/ FIXACAO EM POSTE OU PAREDE - FORNECIMENTO E INSTALACAO</t>
  </si>
  <si>
    <t>QUADRO DE DISTRIBUICAO DE ENERGIA EM CHAPA DE ACO GALVANIZADO, PARA 12 DISJUNTORES TERMOMAGNETICOS MONOPOLARES, COM BARRAMENTO TRIFASICO E NEUTRO - FORNECIMENTO E INSTALACAO</t>
  </si>
  <si>
    <t>LUMINARIA FECHADA PARA ILUMINACAO PUBLICA - LAMPADAS DE 250/500W - FORNECIMENTO E INSTALACAO (EXCLUINDO LAMPADAS)</t>
  </si>
  <si>
    <t>LUMINARIA ESTANQUE - PROTECAO CONTRA AGUA, POEIRA OU IMPACTOS - TIPO AQUATIC PIAL OU EQUIVALENTE</t>
  </si>
  <si>
    <t>ESCORAMENTO FORMAS DE H=3,30 A 3,50 M, COM MADEIRA 3A QUALIDADE, NAO APARELHADA, APROVEITAMENTO TABUAS 3X E PRUMOS 4X</t>
  </si>
  <si>
    <t>ESCORAMENTO FORMAS H=3,50 A 4,00 M, COM MADEIRA DE 3A QUALIDADE, NAO APARELHADA, APROVEITAMENTO TABUAS 3X E PRUMOS 4X.</t>
  </si>
  <si>
    <t>EXTINTOR INCENDIO TP GAS CARBONICO 4KG COMPLETO - FORNECIMENTO E INSTALACAO</t>
  </si>
  <si>
    <t>BOMBA SUBMERSIVEL ELETRICA, TRIFASICA, POTÊNCIA 3,75 HP, DIAMETRO DO ROTOR 90 MM SEMIABERTO, BOCAL DE SAIDA DIAMETRO DE 2 POLEGADAS, HM/Q = 5 M / 61,2 M3/H A 25,5 M / 3,6 M3/H</t>
  </si>
  <si>
    <t>EXECUCAO DRENO PROFUNDO, COM CORTE TRAPEZOIDAL EM SOLO, DE 70X80X150CM EXCL TUBO INCL MATERIAL EXECUCAO, COM SELO ENCHIMENTO MATERIAL DRENANTE E ESCAVACAO</t>
  </si>
  <si>
    <t>BOCA DE LOBO EM ALVENARIA TIJOLO MACICO, REVESTIDA C/ ARGAMASSA DE CIMENTO E AREIA 1:3, SOBRE LASTRO DE CONCRETO 10CM E TAMPA DE CONCRETO ARMADO</t>
  </si>
  <si>
    <t>EXECUCAO DE DRENO DE TUBO DE CONRETO SIMPLES POROSO D=0,20 M (0,5MX0,5M) PARA GALERIAS DE AGUAS PLUVIAIS</t>
  </si>
  <si>
    <t>TUBO PVC D=2 COM MATERIAL DRENANTE PARA DRENO/BARBACA - FORNECIMENTO E INSTALACAO</t>
  </si>
  <si>
    <t>RECOMPOSICAO DE PAVIMENTACAO TIPO BLOKRET SOBRE COLCHAO DE AREIA COM REAPROVEITAMENTO DE MATERIAL</t>
  </si>
  <si>
    <t>GRELHA FF 30X90CM, 135KG, P/ CX RALO COM ASSENTAMENTO DE ARGAMASSA CIMENTO/AREIA 1:4 - FORNECIMENTO E INSTALAÇÃO</t>
  </si>
  <si>
    <t>GRUPO DE SOLDAGEM COM GERADOR A DIESEL 60 CV PARA SOLDA ELÉTRICA, SOBRE 04 RODAS, COM MOTOR 4 CILINDROS 600 A - DEPRECIAÇÃO. AF_02/2016</t>
  </si>
  <si>
    <t>GRUPO DE SOLDAGEM COM GERADOR A DIESEL 60 CV PARA SOLDA ELÉTRICA, SOBRE 04 RODAS, COM MOTOR 4 CILINDROS 600 A - MANUTENÇÃO. AF_02/2016</t>
  </si>
  <si>
    <t>GRUPO DE SOLDAGEM COM GERADOR A DIESEL 60 CV PARA SOLDA ELÉTRICA, SOBRE 04 RODAS, COM MOTOR 4 CILINDROS 600 A - MATERIAIS NA OPERAÇÃO. AF_02/2016</t>
  </si>
  <si>
    <t>GRUPO DE SOLDAGEM COM GERADOR A DIESEL 60 CV PARA SOLDA ELÉTRICA, SOBRE 04 RODAS, COM MOTOR 4 CILINDROS 600 A - JUROS. AF_02/2016</t>
  </si>
  <si>
    <t>GRUPO DE SOLDAGEM COM GERADOR A DIESEL 60 CV PARA SOLDA ELÉTRICA, SOBRE 04 RODAS, COM MOTOR 4 CILINDROS 600 A - CHP DIURNO. AF_02/2016</t>
  </si>
  <si>
    <t>GRUPO DE SOLDAGEM COM GERADOR A DIESEL 60 CV PARA SOLDA ELÉTRICA, SOBRE 04 RODAS, COM MOTOR 4 CILINDROS 600 A - CHI DIURNO. AF_02/2016</t>
  </si>
  <si>
    <t>ESCAVADEIRA HIDRÁULICA SOBRE ESTEIRAS, CAÇAMBA 0,80 M3, PESO OPERACIONAL 17,8 T, POTÊNCIA LÍQUIDA 110 HP - CHI DIURNO. AF_10/2014</t>
  </si>
  <si>
    <t>PEITORIL EM MARMORE BRANCO, LARGURA DE 15CM, ASSENTADO COM ARGAMASSA TRACO 1:4 (CIMENTO E AREIA MEDIA), PREPARO MANUAL DA ARGAMASSA</t>
  </si>
  <si>
    <t>PEITORIL EM MARMORE BRANCO, LARGURA DE 25CM, ASSENTADO COM ARGAMASSA TRACO 1:3 (CIMENTO E AREIA MEDIA), PREPARO MANUAL DA ARGAMASSA</t>
  </si>
  <si>
    <t>PISO EM GRANILITE, MARMORITE OU GRANITINA ESPESSURA 8 MM, INCLUSO JUNTAS DE DILATACAO PLASTICAS</t>
  </si>
  <si>
    <t>QUADRO DE DISTRIBUICAO DE ENERGIA P/ 6 DISJUNTORES TERMOMAGNETICOS MONOPOLARES SEM BARRAMENTO, DE EMBUTIR, EM CHAPA METALICA - FORNECIMENTO E INSTALACAO</t>
  </si>
  <si>
    <t>APLICACAO DE VERNIZ POLIURETANO FOSCO SOBRE PISO DE PEDRAS DECORATIVAS, 3 DEMAOS</t>
  </si>
  <si>
    <t>TAMPAO FOFO P/ CAIXA R2 PADRAO TELEBRAS COMPLETO - FORNECIMENTO E INSTALACAO</t>
  </si>
  <si>
    <t>TAMPAO FOFO P/ CAIXA R1 PADRAO TELEBRAS COMPLETO - FORNECIMENTO E INSTALACAO</t>
  </si>
  <si>
    <t>JOGO DE FERRAGENS CROMADAS PARA PORTA DE VIDRO TEMPERADO, UMA FOLHA COMPOSTO DE DOBRADICAS SUPERIOR E INFERIOR, TRINCO, FECHADURA, CONTRA FECHADURA COM CAPUCHINHO SEM MOLA E PUXADOR</t>
  </si>
  <si>
    <t>MANOMETRO 0 A 200 PSI (0 A 14 KGF/CM2), D = 50MM - FORNECIMENTO E COLOCACAO</t>
  </si>
  <si>
    <t>GRADE DE DISCO REBOCÁVEL COM 20 DISCOS 24" X 6 MM COM PNEUS PARA TRANSPORTE - JUROS. AF_06/2014</t>
  </si>
  <si>
    <t>REVESTIMENTO CERÂMICO PARA PAREDES EXTERNAS EM PASTILHAS DE PORCELANA 5 X 5 CM (PLACAS DE 30 X 30 CM), ALINHADAS A PRUMO, APLICADO EM SUPERFÍCIES EXTERNAS DA SACADA. AF_06/2014</t>
  </si>
  <si>
    <t>REVESTIMENTO CERÂMICO PARA PAREDES EXTERNAS EM PASTILHAS DE PORCELANA 5 X 5 CM (PLACAS DE 30 X 30 CM), ALINHADAS A PRUMO, APLICADO EM SUPERFÍCIES INTERNAS DA SACADA. AF_06/2014</t>
  </si>
  <si>
    <t>REVESTIMENTO CERÂMICO PARA PISO COM PLACAS TIPO ESMALTADA EXTRA DE DIMENSÕES 35X35 CM APLICADA EM AMBIENTES DE ÁREA MENOR QUE 5 M2. AF_06/2014</t>
  </si>
  <si>
    <t>REVESTIMENTO CERÂMICO PARA PISO COM PLACAS TIPO ESMALTADA EXTRA DE DIMENSÕES 35X35 CM APLICADA EM AMBIENTES DE ÁREA ENTRE 5 M2 E 10 M2. AF_06/2014</t>
  </si>
  <si>
    <t>REVESTIMENTO CERÂMICO PARA PISO COM PLACAS TIPO ESMALTADA EXTRA DE DIMENSÕES 35X35 CM APLICADA EM AMBIENTES DE ÁREA MAIOR QUE 10 M2. AF_06/2014</t>
  </si>
  <si>
    <t>REVESTIMENTO CERÂMICO PARA PISO COM PLACAS TIPO ESMALTADA EXTRA DE DIMENSÕES 45X45 CM APLICADA EM AMBIENTES DE ÁREA MENOR QUE 5 M2. AF_06/2014</t>
  </si>
  <si>
    <t>REVESTIMENTO CERÂMICO PARA PISO COM PLACAS TIPO ESMALTADA EXTRA DE DIMENSÕES 45X45 CM APLICADA EM AMBIENTES DE ÁREA ENTRE 5 M2 E 10 M2. AF_06/2014</t>
  </si>
  <si>
    <t>REVESTIMENTO CERÂMICO PARA PISO COM PLACAS TIPO ESMALTADA EXTRA DE DIMENSÕES 45X45 CM APLICADA EM AMBIENTES DE ÁREA MAIOR QUE 10 M2. AF_06/2014</t>
  </si>
  <si>
    <t>REVESTIMENTO CERÂMICO PARA PISO COM PLACAS TIPO ESMALTADA EXTRA DE DIMENSÕES 60X60 CM APLICADA EM AMBIENTES DE ÁREA MENOR QUE 5 M2. AF_06/2014</t>
  </si>
  <si>
    <t>REVESTIMENTO CERÂMICO PARA PISO COM PLACAS TIPO ESMALTADA EXTRA DE DIMENSÕES 60X60 CM APLICADA EM AMBIENTES DE ÁREA ENTRE 5 M2 E 10 M2. AF_06/2014</t>
  </si>
  <si>
    <t>REVESTIMENTO CERÂMICO PARA PISO COM PLACAS TIPO ESMALTADA EXTRA DE DIMENSÕES 60X60 CM APLICADA EM AMBIENTES DE ÁREA MAIOR QUE 10 M2. AF_06/2014</t>
  </si>
  <si>
    <t>REVESTIMENTO CERÂMICO PARA PISO COM PLACAS TIPO PORCELANATO DE DIMENSÕES 45X45 CM APLICADA EM AMBIENTES DE ÁREA MENOR QUE 5 M². AF_06/2014</t>
  </si>
  <si>
    <t>REVESTIMENTO CERÂMICO PARA PISO COM PLACAS TIPO PORCELANATO DE DIMENSÕES 45X45 CM APLICADA EM AMBIENTES DE ÁREA ENTRE 5 M² E 10 M². AF_06/2014</t>
  </si>
  <si>
    <t>REVESTIMENTO CERÂMICO PARA PISO COM PLACAS TIPO PORCELANATO DE DIMENSÕES 45X45 CM APLICADA EM AMBIENTES DE ÁREA MAIOR QUE 10 M². AF_06/2014</t>
  </si>
  <si>
    <t>REVESTIMENTO CERÂMICO PARA PISO COM PLACAS TIPO PORCELANATO DE DIMENSÕES 60X60 CM APLICADA EM AMBIENTES DE ÁREA MENOR QUE 5 M². AF_06/2014</t>
  </si>
  <si>
    <t>REVESTIMENTO CERÂMICO PARA PISO COM PLACAS TIPO PORCELANATO DE DIMENSÕES 60X60 CM APLICADA EM AMBIENTES DE ÁREA ENTRE 5 M² E 10 M². AF_06/2014</t>
  </si>
  <si>
    <t>REVESTIMENTO CERÂMICO PARA PISO COM PLACAS TIPO PORCELANATO DE DIMENSÕES 60X60 CM APLICADA EM AMBIENTES DE ÁREA MAIOR QUE 10 M². AF_06/2014</t>
  </si>
  <si>
    <t>REVESTIMENTO CERÂMICO PARA PAREDES INTERNAS COM PLACAS TIPO ESMALTADA EXTRA DE DIMENSÕES 20X20 CM APLICADAS EM AMBIENTES DE ÁREA MENOR QUE 5 M² NA ALTURA INTEIRA DAS PAREDES. AF_06/2014</t>
  </si>
  <si>
    <t>REVESTIMENTO CERÂMICO PARA PAREDES INTERNAS COM PLACAS TIPO ESMALTADA EXTRA DE DIMENSÕES 20X20 CM APLICADAS EM AMBIENTES DE ÁREA MAIOR QUE 5 M² NA ALTURA INTEIRA DAS PAREDES. AF_06/2014</t>
  </si>
  <si>
    <t>REVESTIMENTO CERÂMICO PARA PAREDES INTERNAS COM PLACAS TIPO ESMALTADA EXTRA DE DIMENSÕES 20X20 CM APLICADAS EM AMBIENTES DE ÁREA MENOR QUE 5 M² A MEIA ALTURA DAS PAREDES. AF_06/2014</t>
  </si>
  <si>
    <t>REVESTIMENTO CERÂMICO PARA PAREDES INTERNAS COM PLACAS TIPO ESMALTADA EXTRA DE DIMENSÕES 20X20 CM APLICADAS EM AMBIENTES DE ÁREA MAIOR QUE 5 M² A MEIA ALTURA DAS PAREDES. AF_06/2014</t>
  </si>
  <si>
    <t>REVESTIMENTO CERÂMICO PARA PAREDES INTERNAS COM PLACAS TIPO ESMALTADA EXTRA DE DIMENSÕES 25X35 CM APLICADAS EM AMBIENTES DE ÁREA MENOR QUE 5 M² NA ALTURA INTEIRA DAS PAREDES. AF_06/2014</t>
  </si>
  <si>
    <t>REVESTIMENTO CERÂMICO PARA PAREDES INTERNAS COM PLACAS TIPO ESMALTADA EXTRA DE DIMENSÕES 25X35 CM APLICADAS EM AMBIENTES DE ÁREA MAIOR QUE 5 M² NA ALTURA INTEIRA DAS PAREDES. AF_06/2014</t>
  </si>
  <si>
    <t>REVESTIMENTO CERÂMICO PARA PAREDES INTERNAS COM PLACAS TIPO ESMALTADA EXTRA DE DIMENSÕES 25X35 CM APLICADAS EM AMBIENTES DE ÁREA MENOR QUE 5 M² A MEIA ALTURA DAS PAREDES. AF_06/2014</t>
  </si>
  <si>
    <t>REVESTIMENTO CERÂMICO PARA PAREDES INTERNAS COM PLACAS TIPO ESMALTADA EXTRA DE DIMENSÕES 25X35 CM APLICADAS EM AMBIENTES DE ÁREA MAIOR QUE 5 M² A MEIA ALTURA DAS PAREDES. AF_06/2014</t>
  </si>
  <si>
    <t>REVESTIMENTO CERÂMICO PARA PAREDES INTERNAS COM PLACAS TIPO ESMALTADA EXTRA  DE DIMENSÕES 33X45 CM APLICADAS EM AMBIENTES DE ÁREA MENOR QUE 5 M² NA ALTURA INTEIRA DAS PAREDES. AF_06/2014</t>
  </si>
  <si>
    <t>REVESTIMENTO CERÂMICO PARA PAREDES INTERNAS COM PLACAS TIPO ESMALTADA EXTRA DE DIMENSÕES 33X45 CM APLICADAS EM AMBIENTES DE ÁREA MAIOR QUE 5 M² NA ALTURA INTEIRA DAS PAREDES. AF_06/2014</t>
  </si>
  <si>
    <t>REVESTIMENTO CERÂMICO PARA PAREDES INTERNAS COM PLACAS TIPO ESMALTADA EXTRA DE DIMENSÕES 33X45 CM APLICADAS EM AMBIENTES DE ÁREA MENOR QUE 5 M² A MEIA ALTURA DAS PAREDES. AF_06/2014</t>
  </si>
  <si>
    <t>REVESTIMENTO CERÂMICO PARA PAREDES INTERNAS COM PLACAS TIPO ESMALTADA EXTRA  DE DIMENSÕES 33X45 CM APLICADAS EM AMBIENTES DE ÁREA MAIOR QUE 5 M² A MEIA ALTURA DAS PAREDES. AF_06/2014</t>
  </si>
  <si>
    <t>APLICAÇÃO MANUAL DE GESSO DESEMPENADO (SEM TALISCAS) EM TETO DE AMBIENTES DE ÁREA MAIOR QUE 10M², ESPESSURA DE 0,5CM. AF_06/2014</t>
  </si>
  <si>
    <t>APLICAÇÃO MANUAL DE GESSO DESEMPENADO (SEM TALISCAS) EM TETO DE AMBIENTES DE ÁREA ENTRE 5M² E 10M², ESPESSURA DE 0,5CM. AF_06/2014</t>
  </si>
  <si>
    <t>APLICAÇÃO MANUAL DE GESSO DESEMPENADO (SEM TALISCAS) EM TETO DE AMBIENTES DE ÁREA MENOR QUE 5M², ESPESSURA DE 0,5CM. AF_06/2014</t>
  </si>
  <si>
    <t>APLICAÇÃO MANUAL DE GESSO DESEMPENADO (SEM TALISCAS) EM TETO DE AMBIENTES DE ÁREA MAIOR QUE 10M², ESPESSURA DE 1,0CM. AF_06/2014</t>
  </si>
  <si>
    <t>APLICAÇÃO MANUAL DE GESSO DESEMPENADO (SEM TALISCAS) EM TETO DE AMBIENTES DE ÁREA ENTRE 5M² E 10M², ESPESSURA DE 1,0CM. AF_06/2014</t>
  </si>
  <si>
    <t>APLICAÇÃO MANUAL DE GESSO DESEMPENADO (SEM TALISCAS) EM TETO DE AMBIENTES DE ÁREA MENOR QUE 5M², ESPESSURA DE 1,0CM. AF_06/2014</t>
  </si>
  <si>
    <t>APLICAÇÃO MANUAL DE GESSO DESEMPENADO (SEM TALISCAS) EM PAREDES DE AMBIENTES DE ÁREA MAIOR QUE 10M², ESPESSURA DE 0,5CM. AF_06/2014</t>
  </si>
  <si>
    <t>APLICAÇÃO MANUAL DE GESSO DESEMPENADO (SEM TALISCAS) EM PAREDES DE AMBIENTES DE ÁREA ENTRE 5M² E 10M², ESPESSURA DE 0,5CM. AF_06/2014</t>
  </si>
  <si>
    <t>APLICAÇÃO MANUAL DE GESSO DESEMPENADO (SEM TALISCAS) EM PAREDES DE AMBIENTES DE ÁREA MENOR QUE 5M², ESPESSURA DE 0,5CM. AF_06/2014</t>
  </si>
  <si>
    <t>APLICAÇÃO MANUAL DE GESSO DESEMPENADO (SEM TALISCAS) EM PAREDES DE AMBIENTES DE ÁREA MAIOR QUE 10M², ESPESSURA DE 1,0CM. AF_06/2014</t>
  </si>
  <si>
    <t>APLICAÇÃO MANUAL DE GESSO DESEMPENADO (SEM TALISCAS) EM PAREDES DE AMBIENTES DE ÁREA ENTRE 5M² E 10M², ESPESSURA DE 1,0CM. AF_06/2014</t>
  </si>
  <si>
    <t>APLICAÇÃO MANUAL DE GESSO DESEMPENADO (SEM TALISCAS) EM PAREDES DE AMBIENTES DE ÁREA MENOR QUE 5M², ESPESSURA DE 1,0CM. AF_06/2014</t>
  </si>
  <si>
    <t>APLICAÇÃO MANUAL DE GESSO SARRAFEADO (COM TALISCAS) EM PAREDES DE AMBIENTES DE ÁREA MAIOR QUE 10M², ESPESSURA DE 1,0CM. AF_06/2014</t>
  </si>
  <si>
    <t>APLICAÇÃO MANUAL DE GESSO SARRAFEADO (COM TALISCAS) EM PAREDES DE AMBIENTES DE ÁREA ENTRE 5M² E 10M², ESPESSURA DE 1,0CM. AF_06/2014</t>
  </si>
  <si>
    <t>APLICAÇÃO MANUAL DE GESSO SARRAFEADO (COM TALISCAS) EM PAREDES DE AMBIENTES DE ÁREA MENOR QUE 5M², ESPESSURA DE 1,0CM. AF_06/2014</t>
  </si>
  <si>
    <t>APLICAÇÃO MANUAL DE GESSO SARRAFEADO (COM TALISCAS) EM PAREDES DE AMBIENTES DE ÁREA MAIOR QUE 10M², ESPESSURA DE 1,5CM. AF_06/2014</t>
  </si>
  <si>
    <t>APLICAÇÃO MANUAL DE GESSO SARRAFEADO (COM TALISCAS) EM PAREDES DE AMBIENTES DE ÁREA ENTRE 5M² E 10M², ESPESSURA DE 1,5CM. AF_06/2014</t>
  </si>
  <si>
    <t>APLICAÇÃO MANUAL DE GESSO SARRAFEADO (COM TALISCAS) EM PAREDES DE AMBIENTES DE ÁREA MENOR QUE 5M², ESPESSURA DE 1,5CM. AF_06/2014</t>
  </si>
  <si>
    <t>APLICAÇÃO DE GESSO PROJETADO COM EQUIPAMENTO DE PROJEÇÃO EM PAREDES DE AMBIENTES DE ÁREA MAIOR QUE 10M², DESEMPENADO (SEM TALISCAS), ESPESSURA DE 0,5CM. AF_06/2014</t>
  </si>
  <si>
    <t>APLICAÇÃO DE GESSO PROJETADO COM EQUIPAMENTO DE PROJEÇÃO EM PAREDES DE AMBIENTES DE ÁREA ENTRE 5M² E 10M², DESEMPENADO (SEM TALISCAS), ESPESSURA DE 0,5CM. AF_06/2014</t>
  </si>
  <si>
    <t>APLICAÇÃO DE GESSO PROJETADO COM EQUIPAMENTO DE PROJEÇÃO EM PAREDES DE AMBIENTES DE ÁREA MENOR QUE 5M², DESEMPENADO (SEM TALISCAS), ESPESSURA DE 0,5CM. AF_06/2014</t>
  </si>
  <si>
    <t>APLICAÇÃO DE GESSO PROJETADO COM EQUIPAMENTO DE PROJEÇÃO EM PAREDES DE AMBIENTES DE ÁREA MAIOR QUE 10M², DESEMPENADO (SEM TALISCAS), ESPESSURA DE 1,0CM. AF_06/2014</t>
  </si>
  <si>
    <t>APLICAÇÃO DE GESSO PROJETADO COM EQUIPAMENTO DE PROJEÇÃO EM PAREDES DE AMBIENTES DE ÁREA ENTRE 5M² E 10M², DESEMPENADO (SEM TALISCAS), ESPESSURA DE 1,0CM. AF_06/2014</t>
  </si>
  <si>
    <t>APLICAÇÃO DE GESSO PROJETADO COM EQUIPAMENTO DE PROJEÇÃO EM PAREDES DE AMBIENTES DE ÁREA MENOR QUE 5M², DESEMPENADO (SEM TALISCAS), ESPESSURA DE 1,0CM. AF_06/2014</t>
  </si>
  <si>
    <t>APLICAÇÃO DE GESSO PROJETADO COM EQUIPAMENTO DE PROJEÇÃO EM PAREDES DE AMBIENTES DE ÁREA MAIOR QUE 10M², SARRAFEADO (COM TALISCAS), ESPESSURA DE 1,0CM. AF_06/2014</t>
  </si>
  <si>
    <t>APLICAÇÃO DE GESSO PROJETADO COM EQUIPAMENTO DE PROJEÇÃO EM PAREDES DE AMBIENTES DE ÁREA ENTRE 5M² E 10M², SARRAFEADO (COM TALISCAS), ESPESSURA DE 1,0CM. AF_06/2014</t>
  </si>
  <si>
    <t>APLICAÇÃO DE GESSO PROJETADO COM EQUIPAMENTO DE PROJEÇÃO EM PAREDES DE AMBIENTES DE ÁREA MAIOR QUE 10M², SARRAFEADO (COM TALISCAS), ESPESSURA DE 1,5CM. AF_06/2014</t>
  </si>
  <si>
    <t>APLICAÇÃO DE GESSO PROJETADO COM EQUIPAMENTO DE PROJEÇÃO EM PAREDES DE AMBIENTES DE ÁREA ENTRE 5M² E 10M², SARRAFEADO (COM TALISCAS), ESPESSURA DE 1,5CM. AF_06/2014</t>
  </si>
  <si>
    <t>BETONEIRA CAPACIDADE NOMINAL 400 L, CAPACIDADE DE MISTURA 310 L, MOTOR A DIESEL POTÊNCIA 5,0 HP, SEM CARREGADOR - MATERIAIS NA OPERAÇÃO. AF_06/2014</t>
  </si>
  <si>
    <t>ALVENARIA DE VEDAÇÃO DE BLOCOS VAZADOS DE CONCRETO DE 9X19X39CM (ESPESSURA 9CM) DE PAREDES COM ÁREA LÍQUIDA MENOR QUE 6M² SEM VÃOS E ARGAMASSA DE ASSENTAMENTO COM PREPARO EM BETONEIRA. AF_06/2014</t>
  </si>
  <si>
    <t>ALVENARIA DE VEDAÇÃO DE BLOCOS VAZADOS DE CONCRETO DE 9X19X39CM (ESPESSURA 9CM) DE PAREDES COM ÁREA LÍQUIDA MENOR QUE 6M² SEM VÃOS E ARGAMASSA DE ASSENTAMENTO COM PREPARO MANUAL. AF_06/2014</t>
  </si>
  <si>
    <t>ALVENARIA DE VEDAÇÃO DE BLOCOS VAZADOS DE CONCRETO DE 14X19X39CM (ESPESSURA 14CM) DE PAREDES COM ÁREA LÍQUIDA MENOR QUE 6M² SEM VÃOS E ARGAMASSA DE ASSENTAMENTO COM PREPARO EM BETONEIRA. AF_06/2014</t>
  </si>
  <si>
    <t>ALVENARIA DE VEDAÇÃO DE BLOCOS VAZADOS DE CONCRETO DE 14X19X39CM (ESPESSURA 14CM) DE PAREDES COM ÁREA LÍQUIDA MENOR QUE 6M² SEM VÃOS E ARGAMASSA DE ASSENTAMENTO COM PREPARO MANUAL. AF_06/2014</t>
  </si>
  <si>
    <t>ALVENARIA DE VEDAÇÃO DE BLOCOS VAZADOS DE CONCRETO DE 19X19X39CM (ESPESSURA 19CM) DE PAREDES COM ÁREA LÍQUIDA MENOR QUE 6M² SEM VÃOS E ARGAMASSA DE ASSENTAMENTO COM PREPARO EM BETONEIRA. AF_06/2014</t>
  </si>
  <si>
    <t>ALVENARIA DE VEDAÇÃO DE BLOCOS VAZADOS DE CONCRETO DE 19X19X39CM (ESPESSURA 19CM) DE PAREDES COM ÁREA LÍQUIDA MENOR QUE 6M² SEM VÃOS E ARGAMASSA DE ASSENTAMENTO COM PREPARO MANUAL. AF_06/2014</t>
  </si>
  <si>
    <t>ALVENARIA DE VEDAÇÃO DE BLOCOS VAZADOS DE CONCRETO DE 9X19X39CM (ESPESSURA 9CM) DE PAREDES COM ÁREA LÍQUIDA MAIOR OU IGUAL A 6M² SEM VÃOS E ARGAMASSA DE ASSENTAMENTO COM PREPARO EM BETONEIRA. AF_06/2014</t>
  </si>
  <si>
    <t>ALVENARIA DE VEDAÇÃO DE BLOCOS VAZADOS DE CONCRETO DE 9X19X39CM (ESPESSURA 9CM) DE PAREDES COM ÁREA LÍQUIDA MAIOR OU IGUAL A 6M² SEM VÃOS E ARGAMASSA DE ASSENTAMENTO COM PREPARO MANUAL. AF_06/2014</t>
  </si>
  <si>
    <t>ALVENARIA DE VEDAÇÃO DE BLOCOS VAZADOS DE CONCRETO DE 14X19X39CM (ESPESSURA 14CM) DE PAREDES COM ÁREA LÍQUIDA MAIOR OU IGUAL A 6M² SEM VÃOS E ARGAMASSA DE ASSENTAMENTO COM PREPARO EM BETONEIRA. AF_06/2014</t>
  </si>
  <si>
    <t>ALVENARIA DE VEDAÇÃO DE BLOCOS VAZADOS DE CONCRETO DE 14X19X39CM (ESPESSURA 14CM) DE PAREDES COM ÁREA LÍQUIDA MAIOR OU IGUAL A 6M² SEM VÃOS E ARGAMASSA DE ASSENTAMENTO COM PREPARO MANUAL. AF_06/2014</t>
  </si>
  <si>
    <t>ALVENARIA DE VEDAÇÃO DE BLOCOS VAZADOS DE CONCRETO DE 19X19X39CM (ESPESSURA 19CM) DE PAREDES COM ÁREA LÍQUIDA MAIOR OU IGUAL A 6M² SEM VÃOS E ARGAMASSA DE ASSENTAMENTO COM PREPARO EM BETONEIRA. AF_06/2014</t>
  </si>
  <si>
    <t>ALVENARIA DE VEDAÇÃO DE BLOCOS VAZADOS DE CONCRETO DE 19X19X39CM (ESPESSURA 19CM) DE PAREDES COM ÁREA LÍQUIDA MAIOR OU IGUAL A 6M² SEM VÃOS E ARGAMASSA DE ASSENTAMENTO COM PREPARO MANUAL. AF_06/2014</t>
  </si>
  <si>
    <t>ALVENARIA DE VEDAÇÃO DE BLOCOS VAZADOS DE CONCRETO DE 9X19X39CM (ESPESSURA 9CM) DE PAREDES COM ÁREA LÍQUIDA MENOR QUE 6M² COM VÃOS E ARGAMASSA DE ASSENTAMENTO COM PREPARO EM BETONEIRA. AF_06/2014</t>
  </si>
  <si>
    <t>ALVENARIA DE VEDAÇÃO DE BLOCOS VAZADOS DE CONCRETO DE 9X19X39CM (ESPESSURA 9CM) DE PAREDES COM ÁREA LÍQUIDA MENOR QUE 6M² COM VÃOS E ARGAMASSA DE ASSENTAMENTO COM PREPARO MANUAL. AF_06/2014</t>
  </si>
  <si>
    <t>ALVENARIA DE VEDAÇÃO DE BLOCOS VAZADOS DE CONCRETO DE 14X19X39CM (ESPESSURA 14CM) DE PAREDES COM ÁREA LÍQUIDA MENOR QUE 6M² COM VÃOS E ARGAMASSA DE ASSENTAMENTO COM PREPARO EM BETONEIRA. AF_06/2014</t>
  </si>
  <si>
    <t>ALVENARIA DE VEDAÇÃO DE BLOCOS VAZADOS DE CONCRETO DE 14X19X39CM (ESPESSURA 14CM) DE PAREDES COM ÁREA LÍQUIDA MENOR QUE 6M² COM VÃOS E ARGAMASSA DE ASSENTAMENTO COM PREPARO MANUAL. AF_06/2014</t>
  </si>
  <si>
    <t>ALVENARIA DE VEDAÇÃO DE BLOCOS VAZADOS DE CONCRETO DE 19X19X39CM (ESPESSURA 19CM) DE PAREDES COM ÁREA LÍQUIDA MENOR QUE 6M² COM VÃOS E ARGAMASSA DE ASSENTAMENTO COM PREPARO EM BETONEIRA. AF_06/2014</t>
  </si>
  <si>
    <t>ALVENARIA DE VEDAÇÃO DE BLOCOS VAZADOS DE CONCRETO DE 19X19X39CM (ESPESSURA 19CM) DE PAREDES COM ÁREA LÍQUIDA MENOR QUE 6M² COM VÃOS E ARGAMASSA DE ASSENTAMENTO COM PREPARO MANUAL. AF_06/2014</t>
  </si>
  <si>
    <t>ALVENARIA DE VEDAÇÃO DE BLOCOS VAZADOS DE CONCRETO DE 9X19X39CM (ESPESSURA 9CM) DE PAREDES COM ÁREA LÍQUIDA MAIOR OU IGUAL A 6M² COM VÃOS E ARGAMASSA DE ASSENTAMENTO COM PREPARO EM BETONEIRA. AF_06/2014</t>
  </si>
  <si>
    <t>ALVENARIA DE VEDAÇÃO DE BLOCOS VAZADOS DE CONCRETO DE 9X19X39CM (ESPESSURA 9CM) DE PAREDES COM ÁREA LÍQUIDA MAIOR OU IGUAL A 6M² COM VÃOS E ARGAMASSA DE ASSENTAMENTO COM PREPARO MANUAL. AF_06/2014</t>
  </si>
  <si>
    <t>ALVENARIA DE VEDAÇÃO DE BLOCOS VAZADOS DE CONCRETO DE 14X19X39CM (ESPESSURA 14CM) DE PAREDES COM ÁREA LÍQUIDA MAIOR OU IGUAL A 6M² COM VÃOS E ARGAMASSA DE ASSENTAMENTO COM PREPARO EM BETONEIRA. AF_06/2014</t>
  </si>
  <si>
    <t>ALVENARIA DE VEDAÇÃO DE BLOCOS VAZADOS DE CONCRETO DE 14X19X39CM (ESPESSURA 14CM) DE PAREDES COM ÁREA LÍQUIDA MAIOR OU IGUAL A 6M² COM VÃOS E ARGAMASSA DE ASSENTAMENTO COM PREPARO MANUAL. AF_06/2014</t>
  </si>
  <si>
    <t>ALVENARIA DE VEDAÇÃO DE BLOCOS VAZADOS DE CONCRETO DE 19X19X39CM (ESPESSURA 19CM) DE PAREDES COM ÁREA LÍQUIDA MAIOR OU IGUAL A 6M² COM VÃOS E ARGAMASSA DE ASSENTAMENTO COM PREPARO EM BETONEIRA. AF_06/2014</t>
  </si>
  <si>
    <t>ALVENARIA DE VEDAÇÃO DE BLOCOS VAZADOS DE CONCRETO DE 19X19X39CM (ESPESSURA 19CM) DE PAREDES COM ÁREA LÍQUIDA MAIOR OU IGUAL A 6M² COM VÃOS E ARGAMASSA DE ASSENTAMENTO COM PREPARO MANUAL. AF_06/2014</t>
  </si>
  <si>
    <t>ALVENARIA DE VEDAÇÃO DE BLOCOS CERÂMICOS FURADOS NA VERTICAL DE 9X19X39CM (ESPESSURA 9CM) DE PAREDES COM ÁREA LÍQUIDA MENOR QUE 6M² SEM VÃOS E ARGAMASSA DE ASSENTAMENTO COM PREPARO EM BETONEIRA. AF_06/2014</t>
  </si>
  <si>
    <t>ALVENARIA DE VEDAÇÃO DE BLOCOS CERÂMICOS FURADOS NA VERTICAL DE 9X19X39CM (ESPESSURA 9CM) DE PAREDES COM ÁREA LÍQUIDA MENOR QUE 6M² SEM VÃOS E ARGAMASSA DE ASSENTAMENTO COM PREPARO MANUAL. AF_06/2014</t>
  </si>
  <si>
    <t>ALVENARIA DE VEDAÇÃO DE BLOCOS CERÂMICOS FURADOS NA VERTICAL DE 14X19X39CM (ESPESSURA 14CM) DE PAREDES COM ÁREA LÍQUIDA MENOR QUE 6M² SEM VÃOS E ARGAMASSA DE ASSENTAMENTO COM PREPARO EM BETONEIRA. AF_06/2014</t>
  </si>
  <si>
    <t>ALVENARIA DE VEDAÇÃO DE BLOCOS CERÂMICOS FURADOS NA VERTICAL DE 14X19X39CM (ESPESSURA 14CM) DE PAREDES COM ÁREA LÍQUIDA MENOR QUE 6M² SEM VÃOS E ARGAMASSA DE ASSENTAMENTO COM PREPARO MANUAL. AF_06/2014</t>
  </si>
  <si>
    <t>ALVENARIA DE VEDAÇÃO DE BLOCOS CERÂMICOS FURADOS NA VERTICAL DE 19X19X39CM (ESPESSURA 19CM) DE PAREDES COM ÁREA LÍQUIDA MENOR QUE 6M² SEM VÃOS E ARGAMASSA DE ASSENTAMENTO COM PREPARO EM BETONEIRA. AF_06/2014</t>
  </si>
  <si>
    <t>ALVENARIA DE VEDAÇÃO DE BLOCOS CERÂMICOS FURADOS NA VERTICAL DE 19X19X39CM (ESPESSURA 19CM) DE PAREDES COM ÁREA LÍQUIDA MENOR QUE 6M² SEM VÃOS E ARGAMASSA DE ASSENTAMENTO COM PREPARO MANUAL. AF_06/2014</t>
  </si>
  <si>
    <t>ALVENARIA DE VEDAÇÃO DE BLOCOS CERÂMICOS FURADOS NA VERTICAL DE 9X19X39CM (ESPESSURA 9CM) DE PAREDES COM ÁREA LÍQUIDA MAIOR OU IGUAL A 6M² SEM VÃOS E ARGAMASSA DE ASSENTAMENTO COM PREPARO EM BETONEIRA. AF_06/2014</t>
  </si>
  <si>
    <t>ALVENARIA DE VEDAÇÃO DE BLOCOS CERÂMICOS FURADOS NA VERTICAL DE 9X19X39CM (ESPESSURA 9CM) DE PAREDES COM ÁREA LÍQUIDA MAIOR OU IGUAL A 6M² SEM VÃOS E ARGAMASSA DE ASSENTAMENTO COM PREPARO MANUAL. AF_06/2014</t>
  </si>
  <si>
    <t>ALVENARIA DE VEDAÇÃO DE BLOCOS CERÂMICOS FURADOS NA VERTICAL DE 14X19X39CM (ESPESSURA 14CM) DE PAREDES COM ÁREA LÍQUIDA MAIOR OU IGUAL A 6M² SEM VÃOS E ARGAMASSA DE ASSENTAMENTO COM PREPARO EM BETONEIRA. AF_06/2014</t>
  </si>
  <si>
    <t>ALVENARIA DE VEDAÇÃO DE BLOCOS CERÂMICOS FURADOS NA VERTICAL DE 14X19X39CM (ESPESSURA 14CM) DE PAREDES COM ÁREA LÍQUIDA MAIOR OU IGUAL A 6M² SEM VÃOS E ARGAMASSA DE ASSENTAMENTO COM PREPARO MANUAL. AF_06/2014</t>
  </si>
  <si>
    <t>ALVENARIA DE VEDAÇÃO DE BLOCOS CERÂMICOS FURADOS NA VERTICAL DE 19X19X39CM (ESPESSURA 19CM) DE PAREDES COM ÁREA LÍQUIDA MAIOR OU IGUAL A 6M² SEM VÃOS E ARGAMASSA DE ASSENTAMENTO COM PREPARO EM BETONEIRA. AF_06/2014</t>
  </si>
  <si>
    <t>ALVENARIA DE VEDAÇÃO DE BLOCOS CERÂMICOS FURADOS NA VERTICAL DE 19X19X39CM (ESPESSURA 19CM) DE PAREDES COM ÁREA LÍQUIDA MAIOR OU IGUAL A 6M² SEM VÃOS E ARGAMASSA DE ASSENTAMENTO COM PREPARO MANUAL. AF_06/2014</t>
  </si>
  <si>
    <t>ALVENARIA DE VEDAÇÃO DE BLOCOS CERÂMICOS FURADOS NA VERTICAL DE 9X19X39CM (ESPESSURA 9CM) DE PAREDES COM ÁREA LÍQUIDA MENOR QUE 6M² COM VÃOS E ARGAMASSA DE ASSENTAMENTO COM PREPARO EM BETONEIRA. AF_06/2014</t>
  </si>
  <si>
    <t>ALVENARIA DE VEDAÇÃO DE BLOCOS CERÂMICOS FURADOS NA VERTICAL DE 9X19X39CM (ESPESSURA 9CM) DE PAREDES COM ÁREA LÍQUIDA MENOR QUE 6M² COM VÃOS E ARGAMASSA DE ASSENTAMENTO COM PREPARO MANUAL. AF_06/2014</t>
  </si>
  <si>
    <t>ALVENARIA DE VEDAÇÃO DE BLOCOS CERÂMICOS FURADOS NA VERTICAL DE 14X19X39CM (ESPESSURA 14CM)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</si>
  <si>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</si>
  <si>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MANUAL. AF_06/2014</t>
  </si>
  <si>
    <t>ALVENARIA DE VEDAÇÃO DE BLOCOS CERÂMICOS FURADOS NA VERTICAL DE 9X19X39CM (ESPESSURA 9CM) DE PAREDES COM ÁREA LÍQUIDA MAIOR OU IGUAL A 6M² COM VÃOS E ARGAMASSA DE ASSENTAMENTO COM PREPARO EM BETONEIRA. AF_06/2014</t>
  </si>
  <si>
    <t>ALVENARIA DE VEDAÇÃO DE BLOCOS CERÂMICOS FURADOS NA VERTICAL DE 9X19X39CM (ESPESSURA 9CM) DE PAREDES COM ÁREA LÍQUIDA MAIOR OU IGUAL A 6M² COM VÃOS E ARGAMASSA DE ASSENTAMENTO COM PREPARO MANUAL. AF_06/2014</t>
  </si>
  <si>
    <t>ALVENARIA DE VEDAÇÃO DE BLOCOS CERÂMICOS FURADOS NA VERTICAL DE 14X19X39CM (ESPESSURA 14CM) DE PAREDES COM ÁREA LÍQUIDA MAIOR OU IGUAL A 6M² COM VÃOS E ARGAMASSA DE ASSENTAMENTO COM PREPARO EM BETONEIRA. AF_06/2014</t>
  </si>
  <si>
    <t>ALVENARIA DE VEDAÇÃO DE BLOCOS CERÂMICOS FURADOS NA VERTICAL DE 14X19X39CM (ESPESSURA 14CM) DE PAREDES COM ÁREA LÍQUIDA MAIOR OU IGUAL A 6M² COM VÃOS E ARGAMASSA DE ASSENTAMENTO COM PREPARO MANUAL. AF_06/2014</t>
  </si>
  <si>
    <t>ALVENARIA DE VEDAÇÃO DE BLOCOS CERÂMICOS FURADOS NA VERTICAL DE 19X19X39CM (ESPESSURA 19CM) DE PAREDES COM ÁREA LÍQUIDA MAIOR OU IGUAL A 6M² COM VÃOS E ARGAMASSA DE ASSENTAMENTO COM PREPARO EM BETONEIRA. AF_06/2014</t>
  </si>
  <si>
    <t>ALVENARIA DE VEDAÇÃO DE BLOCOS CERÂMICOS FURADOS NA VERTICAL DE 19X19X39CM (ESPESSURA 19CM) DE PAREDES COM ÁREA LÍQUIDA MAIOR OU IGUAL A 6M² COM VÃOS E ARGAMASSA DE ASSENTAMENTO COM PREPARO MANUAL. AF_06/2014</t>
  </si>
  <si>
    <t>ALVENARIA DE VEDAÇÃO DE BLOCOS CERÂMICOS FURADOS NA HORIZONTAL DE 9X19X19CM (ESPESSURA 9CM) DE PAREDES COM ÁREA LÍQUIDA MENOR QUE 6M² SEM VÃOS E ARGAMASSA DE ASSENTAMENTO COM PREPARO EM BETONEIRA. AF_06/2014</t>
  </si>
  <si>
    <t>ALVENARIA DE VEDAÇÃO DE BLOCOS CERÂMICOS FURADOS NA HORIZONTAL DE 9X19X19CM (ESPESSURA 9CM) DE PAREDES COM ÁREA LÍQUIDA MENOR QUE 6M² SEM VÃOS E ARGAMASSA DE ASSENTAMENTO COM PREPARO MANUAL. AF_06/2014</t>
  </si>
  <si>
    <t>ALVENARIA DE VEDAÇÃO DE BLOCOS CERÂMICOS FURADOS NA HORIZONTAL DE 11,5X19X19CM (ESPESSURA 11,5CM) DE PAREDES COM ÁREA LÍQUIDA MENOR QUE 6M² SEM VÃOS E ARGAMASSA DE ASSENTAMENTO COM PREPARO EM BETONEIRA. AF_06/2014</t>
  </si>
  <si>
    <t>ALVENARIA DE VEDAÇÃO DE BLOCOS CERÂMICOS FURADOS NA HORIZONTAL DE 11,5X19X19CM (ESPESSURA 11,5CM) DE PAREDES COM ÁREA LÍQUIDA MENOR QUE 6M² SEM VÃOS E ARGAMASSA DE ASSENTAMENTO COM PREPARO MANUAL. AF_06/2014</t>
  </si>
  <si>
    <t>ALVENARIA DE VEDAÇÃO DE BLOCOS CERÂMICOS FURADOS NA HORIZONTAL DE 9X14X19CM (ESPESSURA 9CM) DE PAREDES COM ÁREA LÍQUIDA MENOR QUE 6M² SEM VÃOS E ARGAMASSA DE ASSENTAMENTO COM PREPARO EM BETONEIRA. AF_06/2014</t>
  </si>
  <si>
    <t>ALVENARIA DE VEDAÇÃO DE BLOCOS CERÂMICOS FURADOS NA HORIZONTAL DE 9X14X19CM (ESPESSURA 9CM) DE PAREDES COM ÁREA LÍQUIDA MENOR QUE 6M² SEM VÃOS E ARGAMASSA DE ASSENTAMENTO COM PREPARO MANUAL. AF_06/2014</t>
  </si>
  <si>
    <t>ALVENARIA DE VEDAÇÃO DE BLOCOS CERÂMICOS FURADOS NA HORIZONTAL DE 14X9X19CM (ESPESSURA 14CM, BLOCO DEITADO) DE PAREDES COM ÁREA LÍQUIDA MENOR QUE 6M² SEM VÃOS E ARGAMASSA DE ASSENTAMENTO COM PREPARO EM BETONEIRA. AF_06/2014</t>
  </si>
  <si>
    <t>ALVENARIA DE VEDAÇÃO DE BLOCOS CERÂMICOS FURADOS NA HORIZONTAL DE 14X9X19CM (ESPESSURA 14CM, BLOCO DEITADO) DE PAREDES COM ÁREA LÍQUIDA MENOR QUE 6M² SEM VÃOS E ARGAMASSA DE ASSENTAMENTO COM PREPARO MANUAL. AF_06/2014</t>
  </si>
  <si>
    <t>ALVENARIA DE VEDAÇÃO DE BLOCOS CERÂMICOS FURADOS NA HORIZONTAL DE 9X19X19CM (ESPESSURA 9CM) DE PAREDES COM ÁREA LÍQUIDA MAIOR OU IGUAL A 6M² SEM VÃOS E ARGAMASSA DE ASSENTAMENTO COM PREPARO EM BETONEIRA. AF_06/2014</t>
  </si>
  <si>
    <t>ALVENARIA DE VEDAÇÃO DE BLOCOS CERÂMICOS FURADOS NA HORIZONTAL DE 9X19X19CM (ESPESSURA 9CM) DE PAREDES COM ÁREA LÍQUIDA MAIOR OU IGUAL A 6M² SEM VÃOS E ARGAMASSA DE ASSENTAMENTO COM PREPARO MANUAL. AF_06/2014</t>
  </si>
  <si>
    <t>ALVENARIA DE VEDAÇÃO DE BLOCOS CERÂMICOS FURADOS NA HORIZONTAL DE 11,5X19X19CM (ESPESSURA 11,5M) DE PAREDES COM ÁREA LÍQUIDA MAIOR OU IGUAL A 6M² SEM VÃOS E ARGAMASSA DE ASSENTAMENTO COM PREPARO EM BETONEIRA. AF_06/2014</t>
  </si>
  <si>
    <t>ALVENARIA DE VEDAÇÃO DE BLOCOS CERÂMICOS FURADOS NA HORIZONTAL DE 11,5X19X19CM (ESPESSURA 11,5M) DE PAREDES COM ÁREA LÍQUIDA MAIOR OU IGUAL A 6M² SEM VÃOS E ARGAMASSA DE ASSENTAMENTO COM PREPARO MANUAL. AF_06/2014</t>
  </si>
  <si>
    <t>ALVENARIA DE VEDAÇÃO DE BLOCOS CERÂMICOS FURADOS NA HORIZONTAL DE 9X14X19CM (ESPESSURA 9CM) DE PAREDES COM ÁREA LÍQUIDA MAIOR OU IGUAL A 6M² SEM VÃOS E ARGAMASSA DE ASSENTAMENTO COM PREPARO EM BETONEIRA. AF_06/2014</t>
  </si>
  <si>
    <t>ALVENARIA DE VEDAÇÃO DE BLOCOS CERÂMICOS FURADOS NA HORIZONTAL DE 9X14X19CM (ESPESSURA 9CM) DE PAREDES COM ÁREA LÍQUIDA MAIOR OU IGUAL A 6M² SEM VÃOS E ARGAMASSA DE ASSENTAMENTO COM PREPARO MANUAL. AF_06/2014</t>
  </si>
  <si>
    <t>ALVENARIA DE VEDAÇÃO DE BLOCOS CERÂMICOS FURADOS NA HORIZONTAL DE 14X9X19CM (ESPESSURA 14CM, BLOCO DEITADO) DE PAREDES COM ÁREA LÍQUIDA MAIOR OU IGUAL A 6M² SEM VÃOS E ARGAMASSA DE ASSENTAMENTO COM PREPARO EM BETONEIRA. AF_06/2014</t>
  </si>
  <si>
    <t>ALVENARIA DE VEDAÇÃO DE BLOCOS CERÂMICOS FURADOS NA HORIZONTAL DE 14X9X19CM (ESPESSURA 14CM, BLOCO DEITADO) DE PAREDES COM ÁREA LÍQUIDA MAIOR OU IGUAL A 6M² SEM VÃOS E ARGAMASSA DE ASSENTAMENTO COM PREPARO MANUAL. AF_06/2014</t>
  </si>
  <si>
    <t>ALVENARIA DE VEDAÇÃO DE BLOCOS CERÂMICOS FURADOS NA HORIZONTAL DE 9X19X19CM (ESPESSURA 9CM) DE PAREDES COM ÁREA LÍQUIDA MENOR QUE 6M² COM VÃOS E ARGAMASSA DE ASSENTAMENTO COM PREPARO EM BETONEIRA. AF_06/2014</t>
  </si>
  <si>
    <t>ALVENARIA DE VEDAÇÃO DE BLOCOS CERÂMICOS FURADOS NA HORIZONTAL DE 9X19X19CM (ESPESSURA 9CM) DE PAREDES COM ÁREA LÍQUIDA MENOR QUE 6M² COM VÃOS E ARGAMASSA DE ASSENTAMENTO COM PREPARO MANUAL. AF_06/2014</t>
  </si>
  <si>
    <t>ALVENARIA DE VEDAÇÃO DE BLOCOS CERÂMICOS FURADOS NA HORIZONTAL DE 11,5X19X19CM (ESPESSURA 11,5CM) DE PAREDES COM ÁREA LÍQUIDA MENOR QUE 6M² COM VÃOS E ARGAMASSA DE ASSENTAMENTO COM PREPARO EM BETONEIRA. AF_06/2014</t>
  </si>
  <si>
    <t>ALVENARIA DE VEDAÇÃO DE BLOCOS CERÂMICOS FURADOS NA HORIZONTAL DE 11,5X19X19CM (ESPESSURA 11,5CM) DE PAREDES COM ÁREA LÍQUIDA MENOR QUE 6M² COM VÃOS E ARGAMASSA DE ASSENTAMENTO COM PREPARO MANUAL. AF_06/2014</t>
  </si>
  <si>
    <t>ALVENARIA DE VEDAÇÃO DE BLOCOS CERÂMICOS FURADOS NA HORIZONTAL DE 9X14X19CM (ESPESSURA 9CM) DE PAREDES COM ÁREA LÍQUIDA MENOR QUE 6M² COM VÃOS E ARGAMASSA DE ASSENTAMENTO COM PREPARO EM BETONEIRA. AF_06/2014</t>
  </si>
  <si>
    <t>ALVENARIA DE VEDAÇÃO DE BLOCOS CERÂMICOS FURADOS NA HORIZONTAL DE 9X14X19CM (ESPESSURA 9CM) DE PAREDES COM ÁREA LÍQUIDA MENOR QUE 6M² COM VÃOS E ARGAMASSA DE ASSENTAMENTO COM PREPARO MANUAL. AF_06/2014</t>
  </si>
  <si>
    <t>ALVENARIA DE VEDAÇÃO DE BLOCOS CERÂMICOS FURADOS NA HORIZONTAL DE 14X9X19CM (ESPESSURA 14CM, BLOCO DEITADO) DE PAREDES COM ÁREA LÍQUIDA MENOR QUE 6M² COM VÃOS E ARGAMASSA DE ASSENTAMENTO COM PREPARO EM BETONEIRA. AF_06/2014</t>
  </si>
  <si>
    <t>ALVENARIA DE VEDAÇÃO DE BLOCOS CERÂMICOS FURADOS NA HORIZONTAL DE 14X9X19CM (ESPESSURA 14CM, BLOCO DEITADO) DE PAREDES COM ÁREA LÍQUIDA MENOR QUE 6M² COM VÃOS E ARGAMASSA DE ASSENTAMENTO COM PREPARO MANUAL. AF_06/2014</t>
  </si>
  <si>
    <t>ALVENARIA DE VEDAÇÃO DE BLOCOS CERÂMICOS FURADOS NA HORIZONTAL DE 9X19X19CM (ESPESSURA 9CM) DE PAREDES COM ÁREA LÍQUIDA MAIOR OU IGUAL A 6M² COM VÃOS E ARGAMASSA DE ASSENTAMENTO COM PREPARO EM BETONEIRA. AF_06/2014</t>
  </si>
  <si>
    <t>ALVENARIA DE VEDAÇÃO DE BLOCOS CERÂMICOS FURADOS NA HORIZONTAL DE 9X19X19CM (ESPESSURA 9CM) DE PAREDES COM ÁREA LÍQUIDA MAIOR OU IGUAL A 6M² COM VÃOS E ARGAMASSA DE ASSENTAMENTO COM PREPARO MANUAL. AF_06/2014</t>
  </si>
  <si>
    <t>ALVENARIA DE VEDAÇÃO DE BLOCOS CERÂMICOS FURADOS NA HORIZONTAL DE 11,5X19X19CM (ESPESSURA 11,5CM) DE PAREDES COM ÁREA LÍQUIDA MAIOR OU IGUAL A 6M² COM VÃOS E ARGAMASSA DE ASSENTAMENTO COM PREPARO EM BETONEIRA. AF_06/2014</t>
  </si>
  <si>
    <t>ALVENARIA DE VEDAÇÃO DE BLOCOS CERÂMICOS FURADOS NA HORIZONTAL DE 11,5X19X19CM (ESPESSURA 11,5CM) DE PAREDES COM ÁREA LÍQUIDA MAIOR OU IGUAL A 6M² COM VÃOS E ARGAMASSA DE ASSENTAMENTO COM PREPARO MANUAL. AF_06/2014</t>
  </si>
  <si>
    <t>ALVENARIA DE VEDAÇÃO DE BLOCOS CERÂMICOS FURADOS NA HORIZONTAL DE 9X14X19CM (ESPESSURA 9CM) DE PAREDES COM ÁREA LÍQUIDA MAIOR OU IGUAL A 6M² COM VÃOS E ARGAMASSA DE ASSENTAMENTO COM PREPARO EM BETONEIRA. AF_06/2014</t>
  </si>
  <si>
    <t>ALVENARIA DE VEDAÇÃO DE BLOCOS CERÂMICOS FURADOS NA HORIZONTAL DE 9X14X19CM (ESPESSURA 9CM) DE PAREDES COM ÁREA LÍQUIDA MAIOR OU IGUAL A 6M² COM VÃOS E ARGAMASSA DE ASSENTAMENTO COM PREPARO MANUAL. AF_06/2014</t>
  </si>
  <si>
    <t>ALVENARIA DE VEDAÇÃO DE BLOCOS CERÂMICOS FURADOS NA HORIZONTAL DE 14X9X19CM (ESPESSURA 14CM, BLOCO DEITADO) DE PAREDES COM ÁREA LÍQUIDA MAIOR OU IGUAL A 6M² COM VÃOS E ARGAMASSA DE ASSENTAMENTO COM PREPARO EM BETONEIRA. AF_06/2014</t>
  </si>
  <si>
    <t>ALVENARIA DE VEDAÇÃO DE BLOCOS CERÂMICOS FURADOS NA HORIZONTAL DE 14X9X19CM (ESPESSURA 14CM, BLOCO DEITADO) DE PAREDES COM ÁREA LÍQUIDA MAIOR OU IGUAL A 6M² COM VÃOS E ARGAMASSA DE ASSENTAMENTO COM PREPARO MANUAL. AF_06/2014</t>
  </si>
  <si>
    <t>EMBOÇO, PARA RECEBIMENTO DE CERÂMICA, EM ARGAMASSA TRAÇO 1:2:8, PREPARO MECÂNICO COM BETONEIRA 400L, APLICADO MANUALMENTE EM FACES INTERNAS DE PAREDES, PARA AMBIENTE COM ÁREA MENOR QUE 5M2, ESPESSURA DE 20MM, COM EXECUÇÃO DE TALISCAS. AF_06/2014</t>
  </si>
  <si>
    <t>EMBOÇO, PARA RECEBIMENTO DE CERÂMICA, EM ARGAMASSA TRAÇO 1:2:8, PREPARO MANUAL, APLICADO MANUALMENTE EM FACES INTERNAS DE PAREDES, PARA AMBIENTE COM ÁREA MENOR QUE 5M2, ESPESSURA DE 20MM, COM EXECUÇÃO DE TALISCAS. AF_06/2014</t>
  </si>
  <si>
    <t>MASSA ÚNICA, PARA RECEBIMENTO DE PINTURA, EM ARGAMASSA TRAÇO 1:2:8, PREPARO MECÂNICO COM BETONEIRA 400L, APLICADA MANUALMENTE EM FACES INTERNAS DE PAREDES, ESPESSURA DE 20MM, COM EXECUÇÃO DE TALISCAS. AF_06/2014</t>
  </si>
  <si>
    <t>MASSA ÚNICA, PARA RECEBIMENTO DE PINTURA, EM ARGAMASSA TRAÇO 1:2:8, PREPARO MANUAL, APLICADA MANUALMENTE EM FACES INTERNAS DE PAREDES, ESPESSURA DE 20MM, COM EXECUÇÃO DE TALISCAS. AF_06/2014</t>
  </si>
  <si>
    <t>EMBOÇO, PARA RECEBIMENTO DE CERÂMICA, EM ARGAMASSA TRAÇO 1:2:8, PREPARO MECÂNICO COM BETONEIRA 400L, APLICADO MANUALMENTE EM FACES INTERNAS DE PAREDES, PARA AMBIENTE COM ÁREA ENTRE 5M2 E 10M2, ESPESSURA DE 20MM, COM EXECUÇÃO DE TALISCAS. AF_06/2014</t>
  </si>
  <si>
    <t>EMBOÇO, PARA RECEBIMENTO DE CERÂMICA, EM ARGAMASSA TRAÇO 1:2:8, PREPARO MANUAL, APLICADO MANUALMENTE EM FACES INTERNAS DE PAREDES, PARA AMBIENTE COM ÁREA  ENTRE 5M2 E 10M2, ESPESSURA DE 20MM, COM EXECUÇÃO DE TALISCAS. AF_06/2014</t>
  </si>
  <si>
    <t>EMBOÇO, PARA RECEBIMENTO DE CERÂMICA, EM ARGAMASSA TRAÇO 1:2:8, PREPARO MECÂNICO COM BETONEIRA 400L, APLICADO MANUALMENTE EM FACES INTERNAS DE PAREDES, PARA AMBIENTE COM ÁREA  MAIOR QUE 10M2, ESPESSURA DE 20MM, COM EXECUÇÃO DE TALISCAS. AF_06/2014</t>
  </si>
  <si>
    <t>EMBOÇO, PARA RECEBIMENTO DE CERÂMICA, EM ARGAMASSA TRAÇO 1:2:8, PREPARO MANUAL, APLICADO MANUALMENTE EM FACES INTERNAS DE PAREDES, PARA AMBIENTE COM ÁREA  MAIOR QUE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</si>
  <si>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20MM, COM EXECUÇÃO DE TALISCAS. AF_06/2014</t>
  </si>
  <si>
    <t>MASSA ÚNICA, PARA RECEBIMENTO DE PINTURA, EM ARGAMASSA INDUSTRIALIZADA, PREPARO MECÂNICO, APLICADO COM EQUIPAMENTO DE MISTURA E PROJEÇÃO DE 1,5 M3/H DE ARGAMASSA EM FACES INTERNAS DE PAREDES, ESPESSURA DE 20MM,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</si>
  <si>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</si>
  <si>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20MM, COM EXECUÇÃO DE TALISCAS. AF_06/2014</t>
  </si>
  <si>
    <t>EMBOÇO, PARA RECEBIMENTO DE CERÂMICA, EM ARGAMASSA TRAÇO 1:2:8, PREPARO MECÂNICO COM BETONEIRA 400L, APLICADO MANUALMENTE EM FACES INTERNAS DE PAREDES, PARA AMBIENTE COM ÁREA MENOR QUE 5M2, ESPESSURA DE 10MM, COM EXECUÇÃO DE TALISCAS. AF_06/2014</t>
  </si>
  <si>
    <t>EMBOÇO, PARA RECEBIMENTO DE CERÂMICA, EM ARGAMASSA TRAÇO 1:2:8, PREPARO MANUAL, APLICADO MANUALMENTE EM FACES INTERNAS DE PAREDES, PARA AMBIENTE COM ÁREA MENOR QUE 5M2, ESPESSURA DE 10MM, COM EXECUÇÃO DE TALISCAS. AF_06/2014</t>
  </si>
  <si>
    <t>MASSA ÚNICA, PARA RECEBIMENTO DE PINTURA, EM ARGAMASSA TRAÇO 1:2:8, PREPARO MECÂNICO COM BETONEIRA 400L, APLICADA MANUALMENTE EM FACES INTERNAS DE PAREDES, ESPESSURA DE 10MM, COM EXECUÇÃO DE TALISCAS. AF_06/2014</t>
  </si>
  <si>
    <t>MASSA ÚNICA, PARA RECEBIMENTO DE PINTURA, EM ARGAMASSA TRAÇO 1:2:8, PREPARO MANUAL, APLICADA MANUALMENTE EM FACES INTERNAS DE PAREDES, ESPESSURA DE 10MM, COM EXECUÇÃO DE TALISCAS. AF_06/2014</t>
  </si>
  <si>
    <t>EMBOÇO, PARA RECEBIMENTO DE CERÂMICA, EM ARGAMASSA TRAÇO 1:2:8, PREPARO MECÂNICO COM BETONEIRA 400L, APLICADO MANUALMENTE EM FACES INTERNAS DE PAREDES, PARA AMBIENTE COM ÁREA ENTRE 5M2 E 10M2, ESPESSURA DE 10MM, COM EXECUÇÃO DE TALISCAS. AF_06/2014</t>
  </si>
  <si>
    <t>EMBOÇO, PARA RECEBIMENTO DE CERÂMICA, EM ARGAMASSA TRAÇO 1:2:8, PREPARO MANUAL, APLICADO MANUALMENTE EM FACES INTERNAS DE PAREDES, PARA AMBIENTE COM ÁREA ENTRE 5M2 E 10M2, ESPESSURA DE 10MM, COM EXECUÇÃO DE TALISCAS. AF_06/2014</t>
  </si>
  <si>
    <t>EMBOÇO, PARA RECEBIMENTO DE CERÂMICA, EM ARGAMASSA TRAÇO 1:2:8, PREPARO MECÂNICO COM BETONEIRA 400L, APLICADO MANUALMENTE EM FACES INTERNAS DE PAREDES, PARA AMBIENTE COM ÁREA MAIOR QUE 10M2, ESPESSURA DE 10MM, COM EXECUÇÃO DE TALISCAS. AF_06/2014</t>
  </si>
  <si>
    <t>EMBOÇO, PARA RECEBIMENTO DE CERÂMICA, EM ARGAMASSA TRAÇO 1:2:8, PREPARO MANUAL, APLICADO MANUALMENTE EM FACES INTERNAS DE PAREDES, PARA AMBIENTE COM ÁREA MAIOR QUE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</si>
  <si>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10MM, COM EXECUÇÃO DE TALISCAS. AF_06/2014</t>
  </si>
  <si>
    <t>MASSA ÚNICA, PARA RECEBIMENTO DE PINTURA, EM ARGAMASSA INDUSTRIALIZADA, PREPARO MECÂNICO, APLICADO COM EQUIPAMENTO DE MISTURA E PROJEÇÃO DE 1,5 M3/H DE ARGAMASSA EM FACES INTERNAS DE PAREDES, ESPESSURA DE 10MM,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</si>
  <si>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</si>
  <si>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10MM, COM EXECUÇÃO DE TALISCAS. AF_06/2014</t>
  </si>
  <si>
    <t>MASSA ÚNICA, PARA RECEBIMENTO DE PINTURA OU CERÂMICA, EM ARGAMASSA INDUSTRIALIZADA, PREPARO MECÂNICO, APLICADO COM EQUIPAMENTO DE MISTURA E PROJEÇÃO DE 1,5 M3/H DE ARGAMASSA EM FACES INTERNAS DE PAREDES, ESPESSURA DE 10MM, SEM EXECUÇÃO DE TALISCAS. AF_06/2014</t>
  </si>
  <si>
    <t>CONTRAPISO EM ARGAMASSA TRAÇO 1:4 (CIMENTO E AREIA), PREPARO MECÂNICO COM BETONEIRA 400 L, APLICADO EM ÁREAS SECAS SOBRE LAJE, ADERIDO, ESPESSURA 2CM. AF_06/2014</t>
  </si>
  <si>
    <t>CONTRAPISO EM ARGAMASSA TRAÇO 1:4 (CIMENTO E AREIA), PREPARO MANUAL, APLICADO EM ÁREAS SECAS SOBRE LAJE, ADERIDO, ESPESSURA 2CM. AF_06/2014</t>
  </si>
  <si>
    <t>CONTRAPISO EM ARGAMASSA PRONTA, PREPARO MECÂNICO COM MISTURADOR 300 KG, APLICADO EM ÁREAS SECAS SOBRE LAJE, ADERIDO, ESPESSURA 2CM. AF_06/2014</t>
  </si>
  <si>
    <t>CONTRAPISO EM ARGAMASSA PRONTA, PREPARO MANUAL, APLICADO EM ÁREAS SECAS SOBRE LAJE, ADERIDO, ESPESSURA 2CM. AF_06/2014</t>
  </si>
  <si>
    <t>CONTRAPISO EM ARGAMASSA TRAÇO 1:4 (CIMENTO E AREIA), PREPARO MECÂNICO COM BETONEIRA 400 L, APLICADO EM ÁREAS SECAS SOBRE LAJE, ADERIDO, ESPESSURA 3CM. AF_06/2014</t>
  </si>
  <si>
    <t>CONTRAPISO EM ARGAMASSA TRAÇO 1:4 (CIMENTO E AREIA), PREPARO MANUAL, APLICADO EM ÁREAS SECAS SOBRE LAJE, ADERIDO, ESPESSURA 3CM. AF_06/2014</t>
  </si>
  <si>
    <t>CONTRAPISO EM ARGAMASSA PRONTA, PREPARO MECÂNICO COM MISTURADOR 300 KG, APLICADO EM ÁREAS SECAS SOBRE LAJE, ADERIDO, ESPESSURA 3CM. AF_06/2014</t>
  </si>
  <si>
    <t>CONTRAPISO EM ARGAMASSA PRONTA, PREPARO MANUAL, APLICADO EM ÁREAS SECAS SOBRE LAJE, ADERIDO, ESPESSURA 3CM. AF_06/2014</t>
  </si>
  <si>
    <t>CONTRAPISO EM ARGAMASSA TRAÇO 1:4 (CIMENTO E AREIA), PREPARO MECÂNICO COM BETONEIRA 400 L, APLICADO EM ÁREAS SECAS SOBRE LAJE, ADERIDO, ESPESSURA 4CM. AF_06/2014</t>
  </si>
  <si>
    <t>CONTRAPISO EM ARGAMASSA TRAÇO 1:4 (CIMENTO E AREIA), PREPARO MANUAL, APLICADO EM ÁREAS SECAS SOBRE LAJE, ADERIDO, ESPESSURA 4CM. AF_06/2014</t>
  </si>
  <si>
    <t>CONTRAPISO EM ARGAMASSA PRONTA, PREPARO MECÂNICO COM MISTURADOR 300 KG, APLICADO EM ÁREAS SECAS SOBRE LAJE, ADERIDO, ESPESSURA 4CM. AF_06/2014</t>
  </si>
  <si>
    <t>CONTRAPISO EM ARGAMASSA PRONTA, PREPARO MANUAL, APLICADO EM ÁREAS SECAS SOBRE LAJE, ADERIDO, ESPESSURA 4CM. AF_06/2014</t>
  </si>
  <si>
    <t>CONTRAPISO EM ARGAMASSA TRAÇO 1:4 (CIMENTO E AREIA), PREPARO MANUAL, APLICADO EM ÁREAS SECAS SOBRE LAJE, NÃO ADERIDO, ESPESSURA 4CM. AF_06/2014</t>
  </si>
  <si>
    <t>CONTRAPISO EM ARGAMASSA PRONTA, PREPARO MECÂNICO COM MISTURADOR 300 KG, APLICADO EM ÁREAS SECAS SOBRE LAJE, NÃO ADERIDO, ESPESSURA 4CM. AF_06/2014</t>
  </si>
  <si>
    <t>CONTRAPISO EM ARGAMASSA PRONTA, PREPARO MANUAL, APLICADO EM ÁREAS SECAS SOBRE LAJE, NÃO ADERIDO, ESPESSURA 4CM. AF_06/2014</t>
  </si>
  <si>
    <t>CONTRAPISO EM ARGAMASSA TRAÇO 1:4 (CIMENTO E AREIA), PREPARO MANUAL, APLICADO EM ÁREAS SECAS SOBRE LAJE, NÃO ADERIDO, ESPESSURA 5CM. AF_06/2014</t>
  </si>
  <si>
    <t>CONTRAPISO EM ARGAMASSA PRONTA, PREPARO MECÂNICO COM MISTURADOR 300 KG, APLICADO EM ÁREAS SECAS SOBRE LAJE, NÃO ADERIDO, ESPESSURA 5CM. AF_06/2014</t>
  </si>
  <si>
    <t>CONTRAPISO EM ARGAMASSA PRONTA, PREPARO MANUAL, APLICADO EM ÁREAS SECAS SOBRE LAJE, NÃO ADERIDO, ESPESSURA 5CM. AF_06/2014</t>
  </si>
  <si>
    <t>CONTRAPISO EM ARGAMASSA TRAÇO 1:4 (CIMENTO E AREIA), PREPARO MANUAL, APLICADO EM ÁREAS SECAS SOBRE LAJE, NÃO ADERIDO, ESPESSURA 6CM. AF_06/2014</t>
  </si>
  <si>
    <t>CONTRAPISO EM ARGAMASSA PRONTA, PREPARO MECÂNICO COM MISTURADOR 300 KG, APLICADO EM ÁREAS SECAS SOBRE LAJE, NÃO ADERIDO, ESPESSURA 6CM. AF_06/2014</t>
  </si>
  <si>
    <t>CONTRAPISO EM ARGAMASSA PRONTA, PREPARO MANUAL, APLICADO EM ÁREAS SECAS SOBRE LAJE, NÃO ADERIDO, ESPESSURA 6CM. AF_06/2014</t>
  </si>
  <si>
    <t>CONTRAPISO EM ARGAMASSA TRAÇO 1:4 (CIMENTO E AREIA), PREPARO MECÂNICO COM BETONEIRA 400 L, APLICADO EM ÁREAS MOLHADAS SOBRE LAJE, ADERIDO, ESPESSURA 2CM. AF_06/2014</t>
  </si>
  <si>
    <t>CONTRAPISO EM ARGAMASSA TRAÇO 1:4 (CIMENTO E AREIA), PREPARO MANUAL, APLICADO EM ÁREAS MOLHADAS SOBRE LAJE, ADERIDO, ESPESSURA 2CM. AF_06/2014</t>
  </si>
  <si>
    <t>CONTRAPISO EM ARGAMASSA PRONTA, PREPARO MECÂNICO COM MISTURADOR 300 KG, APLICADO EM ÁREAS MOLHADAS SOBRE LAJE, ADERIDO, ESPESSURA 2CM. AF_06/2014</t>
  </si>
  <si>
    <t>CONTRAPISO EM ARGAMASSA PRONTA, PREPARO MANUAL, APLICADO EM ÁREAS MOLHADAS SOBRE LAJE, ADERIDO, ESPESSURA 2CM. AF_06/2014</t>
  </si>
  <si>
    <t>CONTRAPISO EM ARGAMASSA TRAÇO 1:4 (CIMENTO E AREIA), PREPARO MECÂNICO COM BETONEIRA 400 L, APLICADO EM ÁREAS MOLHADAS SOBRE LAJE, ADERIDO, ESPESSURA 3CM. AF_06/2014</t>
  </si>
  <si>
    <t>CONTRAPISO EM ARGAMASSA TRAÇO 1:4 (CIMENTO E AREIA), PREPARO MANUAL, APLICADO EM ÁREAS MOLHADAS SOBRE LAJE, ADERIDO, ESPESSURA 3CM. AF_06/2014</t>
  </si>
  <si>
    <t>CONTRAPISO EM ARGAMASSA PRONTA, PREPARO MECÂNICO COM MISTURADOR 300 KG, APLICADO EM ÁREAS MOLHADAS SOBRE LAJE, ADERIDO, ESPESSURA 3CM. AF_06/2014</t>
  </si>
  <si>
    <t>CONTRAPISO EM ARGAMASSA PRONTA, PREPARO MANUAL, APLICADO EM ÁREAS MOLHADAS SOBRE LAJE, ADERIDO, ESPESSURA 3CM. AF_06/2014</t>
  </si>
  <si>
    <t>CONTRAPISO EM ARGAMASSA TRAÇO 1:4 (CIMENTO E AREIA), PREPARO MECÂNICO COM BETONEIRA 400 L, APLICADO EM ÁREAS MOLHADAS SOBRE IMPERMEABILIZAÇÃO, ESPESSURA 3CM. AF_06/2014</t>
  </si>
  <si>
    <t>CONTRAPISO EM ARGAMASSA TRAÇO 1:4 (CIMENTO E AREIA), PREPARO MANUAL, APLICADO EM ÁREAS MOLHADAS SOBRE IMPERMEABILIZAÇÃO, ESPESSURA 3CM. AF_06/2014</t>
  </si>
  <si>
    <t>CONTRAPISO EM ARGAMASSA PRONTA, PREPARO MECÂNICO COM MISTURADOR 300 KG, APLICADO EM ÁREAS MOLHADAS SOBRE IMPERMEABILIZAÇÃO, ESPESSURA 3CM. AF_06/2014</t>
  </si>
  <si>
    <t>CONTRAPISO EM ARGAMASSA PRONTA, PREPARO MANUAL, APLICADO EM ÁREAS MOLHADAS SOBRE IMPERMEABILIZAÇÃO, ESPESSURA 3CM. AF_06/2014</t>
  </si>
  <si>
    <t>CONTRAPISO EM ARGAMASSA TRAÇO 1:4 (CIMENTO E AREIA), PREPARO MECÂNICO COM BETONEIRA 400 L, APLICADO EM ÁREAS MOLHADAS SOBRE IMPERMEABILIZAÇÃO, ESPESSURA 4CM. AF_06/2014</t>
  </si>
  <si>
    <t>CONTRAPISO EM ARGAMASSA TRAÇO 1:4 (CIMENTO E AREIA), PREPARO MANUAL, APLICADO EM ÁREAS MOLHADAS SOBRE IMPERMEABILIZAÇÃO, ESPESSURA 4CM. AF_06/2014</t>
  </si>
  <si>
    <t>CONTRAPISO EM ARGAMASSA PRONTA, PREPARO MECÂNICO COM MISTURADOR 300 KG, APLICADO EM ÁREAS MOLHADAS SOBRE IMPERMEABILIZAÇÃO, ESPESSURA 4CM. AF_06/2014</t>
  </si>
  <si>
    <t>CONTRAPISO EM ARGAMASSA PRONTA, PREPARO MANUAL, APLICADO EM ÁREAS MOLHADAS SOBRE IMPERMEABILIZAÇÃO, ESPESSURA 4CM. AF_06/2014</t>
  </si>
  <si>
    <t>EMBOÇO OU MASSA ÚNICA EM ARGAMASSA TRAÇO 1:2:8, PREPARO MECÂNICO COM BETONEIRA 400 L, APLICADA MANUALMENTE EM PANOS DE FACHADA COM PRESENÇA DE VÃOS, ESPESSURA DE 25 MM. AF_06/2014</t>
  </si>
  <si>
    <t>EMBOÇO OU MASSA ÚNICA EM ARGAMASSA TRAÇO 1:2:8, PREPARO MANUAL, APLICADA MANUALMENTE EM PANOS DE FACHADA COM PRESENÇA DE VÃOS, ESPESSURA DE 25 MM. AF_06/2014</t>
  </si>
  <si>
    <t>EMBOÇO OU MASSA ÚNICA EM ARGAMASSA INDUSTRIALIZADA, PREPARO MECÂNICO E APLICAÇÃO COM EQUIPAMENTO DE MISTURA E PROJEÇÃO DE 1,5 M3/H DE ARGAMASSA EM PANOS DE FACHADA COM PRESENÇA DE VÃOS, ESPESSURA DE 25 MM. AF_06/2014</t>
  </si>
  <si>
    <t>EMBOÇO OU MASSA ÚNICA EM ARGAMASSA TRAÇO 1:2:8, PREPARO MECÂNICO COM BETONEIRA 400 L, APLICADA MANUALMENTE EM PANOS DE FACHADA COM PRESENÇA DE VÃOS, ESPESSURA DE 35 MM. AF_06/2014</t>
  </si>
  <si>
    <t>EMBOÇO OU MASSA ÚNICA EM ARGAMASSA TRAÇO 1:2:8, PREPARO MANUAL, APLICADA MANUALMENTE EM PANOS DE FACHADA COM PRESENÇA DE VÃOS, ESPESSURA DE 35 MM. AF_06/2014</t>
  </si>
  <si>
    <t>EMBOÇO OU MASSA ÚNICA EM ARGAMASSA INDUSTRIALIZADA, PREPARO MECÂNICO E APLICAÇÃO COM EQUIPAMENTO DE MISTURA E PROJEÇÃO DE 1,5 M3/H DE ARGAMASSA EM PANOS DE FACHADA COM PRESENÇA DE VÃOS, ESPESSURA DE 35 MM. AF_06/2014</t>
  </si>
  <si>
    <t>EMBOÇO OU MASSA ÚNICA EM ARGAMASSA TRAÇO 1:2:8, PREPARO MECÂNICO COM BETONEIRA 400 L, APLICADA MANUALMENTE EM PANOS DE FACHADA COM PRESENÇA DE VÃOS, ESPESSURA DE 45 MM. AF_06/2014</t>
  </si>
  <si>
    <t>EMBOÇO OU MASSA ÚNICA EM ARGAMASSA TRAÇO 1:2:8, PREPARO MANUAL, APLICADA MANUALMENTE EM PANOS DE FACHADA COM PRESENÇA DE VÃOS, ESPESSURA DE 45 MM. AF_06/2014</t>
  </si>
  <si>
    <t>EMBOÇO OU MASSA ÚNICA EM ARGAMASSA INDUSTRIALIZADA, PREPARO MECÂNICO E APLICAÇÃO COM EQUIPAMENTO DE MISTURA E PROJEÇÃO DE 1,5 M3/H DE ARGAMASSA EM PANOS DE FACHADA COM PRESENÇA DE VÃOS, ESPESSURA DE 45 MM. AF_06/2014</t>
  </si>
  <si>
    <t>EMBOÇO OU MASSA ÚNICA EM ARGAMASSA TRAÇO 1:2:8, PREPARO MECÂNICO COM BETONEIRA 400 L, APLICADA MANUALMENTE EM PANOS DE FACHADA COM PRESENÇA DE VÃOS, ESPESSURA MAIOR OU IGUAL A 50 MM. AF_06/2014</t>
  </si>
  <si>
    <t>EMBOÇO OU MASSA ÚNICA EM ARGAMASSA TRAÇO 1:2:8, PREPARO MANUAL, APLICADA MANUALMENTE EM PANOS DE FACHADA COM PRESENÇA DE VÃOS, ESPESSURA MAIOR OU IGUAL A 50 MM. AF_06/2014</t>
  </si>
  <si>
    <t>EMBOÇO OU MASSA ÚNICA EM ARGAMASSA INDUSTRIALIZADA, PREPARO MECÂNICO E APLICAÇÃO COM EQUIPAMENTO DE MISTURA E PROJEÇÃO DE 1,5 M3/H DE ARGAMASSA EM PANOS DE FACHADA COM PRESENÇA DE VÃOS, ESPESSURA MAIOR OU IGUAL A 50 MM. AF_06/2014</t>
  </si>
  <si>
    <t>EMBOÇO OU MASSA ÚNICA EM ARGAMASSA TRAÇO 1:2:8, PREPARO MECÂNICO COM BETONEIRA 400 L, APLICADA MANUALMENTE EM PANOS CEGOS DE FACHADA (SEM PRESENÇA DE VÃOS), ESPESSURA DE 25 MM. AF_06/2014</t>
  </si>
  <si>
    <t>EMBOÇO OU MASSA ÚNICA EM ARGAMASSA TRAÇO 1:2:8, PREPARO MANUAL, APLICADA MANUALMENTE EM PANOS CEGOS DE FACHADA (SEM PRESENÇA DE VÃOS), ESPESSURA DE 25 MM. AF_06/2014</t>
  </si>
  <si>
    <t>EMBOÇO OU MASSA ÚNICA EM ARGAMASSA INDUSTRIALIZADA, PREPARO MECÂNICO E APLICAÇÃO COM EQUIPAMENTO DE MISTURA E PROJEÇÃO DE 1,5 M3/H DE ARGAMASSA EM PANOS CEGOS DE FACHADA (SEM PRESENÇA DE VÃOS), ESPESSURA DE 25 MM. AF_06/2014</t>
  </si>
  <si>
    <t>EMBOÇO OU MASSA ÚNICA EM ARGAMASSA TRAÇO 1:2:8, PREPARO MECÂNICO COM BETONEIRA 400 L, APLICADA MANUALMENTE EM PANOS CEGOS DE FACHADA (SEM PRESENÇA DE VÃOS), ESPESSURA DE 35 MM. AF_06/2014</t>
  </si>
  <si>
    <t>EMBOÇO OU MASSA ÚNICA EM ARGAMASSA TRAÇO 1:2:8, PREPARO MANUAL, APLICADA MANUALMENTE EM PANOS CEGOS DE FACHADA (SEM PRESENÇA DE VÃOS), ESPESSURA DE 35 MM. AF_06/2014</t>
  </si>
  <si>
    <t>EMBOÇO OU MASSA ÚNICA EM ARGAMASSA INDUSTRIALIZADA, PREPARO MECÂNICO E APLICAÇÃO COM EQUIPAMENTO DE MISTURA E PROJEÇÃO DE 1,5 M3/H DE ARGAMASSA EM PANOS CEGOS DE FACHADA (SEM PRESENÇA DE VÃOS), ESPESSURA DE 35 MM. AF_06/2014</t>
  </si>
  <si>
    <t>EMBOÇO OU MASSA ÚNICA EM ARGAMASSA TRAÇO 1:2:8, PREPARO MECÂNICO COM BETONEIRA 400 L, APLICADA MANUALMENTE EM PANOS CEGOS DE FACHADA (SEM PRESENÇA DE VÃOS), ESPESSURA DE 45 MM. AF_06/2014</t>
  </si>
  <si>
    <t>EMBOÇO OU MASSA ÚNICA EM ARGAMASSA TRAÇO 1:2:8, PREPARO MANUAL, APLICADA MANUALMENTE EM PANOS CEGOS DE FACHADA (SEM PRESENÇA DE VÃOS), ESPESSURA DE 45 MM. AF_06/2014</t>
  </si>
  <si>
    <t>EMBOÇO OU MASSA ÚNICA EM ARGAMASSA INDUSTRIALIZADA, PREPARO MECÂNICO E APLICAÇÃO COM EQUIPAMENTO DE MISTURA E PROJEÇÃO DE 1,5 M3/H DE ARGAMASSA EM PANOS CEGOS DE FACHADA (SEM PRESENÇA DE VÃOS), ESPESSURA DE 45 MM. AF_06/2014</t>
  </si>
  <si>
    <t>EMBOÇO OU MASSA ÚNICA EM ARGAMASSA TRAÇO 1:2:8, PREPARO MECÂNICO COM BETONEIRA 400 L, APLICADA MANUALMENTE EM PANOS CEGOS DE FACHADA (SEM PRESENÇA DE VÃOS), ESPESSURA MAIOR OU IGUAL A 50 MM. AF_06/2014</t>
  </si>
  <si>
    <t>EMBOÇO OU MASSA ÚNICA EM ARGAMASSA TRAÇO 1:2:8, PREPARO MANUAL, APLICADA MANUALMENTE EM PANOS CEGOS DE FACHADA (SEM PRESENÇA DE VÃOS), ESPESSURA MAIOR OU IGUAL A 50 MM. AF_06/2014</t>
  </si>
  <si>
    <t>EMBOÇO OU MASSA ÚNICA EM ARGAMASSA INDUSTRIALIZADA, PREPARO MECÂNICO E APLICAÇÃO COM EQUIPAMENTO DE MISTURA E PROJEÇÃO DE 1,5 M3/H DE ARGAMASSA EM PANOS CEGOS DE FACHADA (SEM PRESENÇA DE VÃOS), ESPESSURA MAIOR OU IGUAL A 50 MM. AF_06/2014</t>
  </si>
  <si>
    <t>EMBOÇO OU MASSA ÚNICA EM ARGAMASSA TRAÇO 1:2:8, PREPARO MECÂNICO COM BETONEIRA 400 L, APLICADA MANUALMENTE EM SUPERFÍCIES EXTERNAS DA SACADA, ESPESSURA DE 25 MM, SEM USO DE TELA METÁLICA DE REFORÇO CONTRA FISSURAÇÃO. AF_06/2014</t>
  </si>
  <si>
    <t>EMBOÇO OU MASSA ÚNICA EM ARGAMASSA TRAÇO 1:2:8, PREPARO MANUAL, APLICADA MANUALMENTE EM SUPERFÍCIES EXTERNAS DA SACADA, ESPESSURA DE 25 MM, SEM USO DE TELA METÁLICA DE REFORÇO CONTRA FISSURAÇÃO. AF_06/2014</t>
  </si>
  <si>
    <t>EMBOÇO OU MASSA ÚNICA EM ARGAMASSA INDUSTRIALIZADA, PREPARO MECÂNICO E APLICAÇÃO COM EQUIPAMENTO DE MISTURA E PROJEÇÃO DE 1,5 M3/H EM SUPERFÍCIES EXTERNAS DA SACADA, ESPESSURA 25 MM, SEM USO DE TELA METÁLICA. AF_06/2014</t>
  </si>
  <si>
    <t>EMBOÇO OU MASSA ÚNICA EM ARGAMASSA TRAÇO 1:2:8, PREPARO MECÂNICO COM BETONEIRA 400 L, APLICADA MANUALMENTE EM SUPERFÍCIES EXTERNAS DA SACADA, ESPESSURA DE 35 MM, SEM USO DE TELA METÁLICA DE REFORÇO CONTRA FISSURAÇÃO. AF_06/2014</t>
  </si>
  <si>
    <t>EMBOÇO OU MASSA ÚNICA EM ARGAMASSA TRAÇO 1:2:8, PREPARO MANUAL, APLICADA MANUALMENTE EM SUPERFÍCIES EXTERNAS DA SACADA, ESPESSURA DE 35 MM, SEM USO DE TELA METÁLICA DE REFORÇO CONTRA FISSURAÇÃO. AF_06/2014</t>
  </si>
  <si>
    <t>EMBOÇO OU MASSA ÚNICA EM ARGAMASSA INDUSTRIALIZADA, PREPARO MECÂNICO E APLICAÇÃO COM EQUIPAMENTO DE MISTURA E PROJEÇÃO DE 1,5 M3/H EM SUPERFÍCIES EXTERNAS DA SACADA, ESPESSURA 35 MM, SEM USO DE TELA METÁLICA. AF_06/2014</t>
  </si>
  <si>
    <t>EMBOÇO OU MASSA ÚNICA EM ARGAMASSA TRAÇO 1:2:8, PREPARO MECÂNICO COM BETONEIRA 400 L, APLICADA MANUALMENTE EM SUPERFÍCIES EXTERNAS DA SACADA, ESPESSURA DE 45 MM, SEM USO DE TELA METÁLICA DE REFORÇO CONTRA FISSURAÇÃO. AF_06/2014</t>
  </si>
  <si>
    <t>EMBOÇO OU MASSA ÚNICA EM ARGAMASSA TRAÇO 1:2:8, PREPARO MANUAL, APLICADA MANUALMENTE EM SUPERFÍCIES EXTERNAS DA SACADA, ESPESSURA DE 45 MM, SEM USO DE TELA METÁLICA DE REFORÇO CONTRA FISSURAÇÃO. AF_06/2014</t>
  </si>
  <si>
    <t>EMBOÇO OU MASSA ÚNICA EM ARGAMASSA INDUSTRIALIZADA, PREPARO MECÂNICO E APLICAÇÃO COM EQUIPAMENTO DE MISTURA E PROJEÇÃO DE 1,5 M3/H EM SUPERFÍCIES EXTERNAS DA SACADA, ESPESSURA 45 MM, SEM USO DE TELA METÁLICA. AF_06/2014</t>
  </si>
  <si>
    <t>EMBOÇO OU MASSA ÚNICA EM ARGAMASSA TRAÇO 1:2:8, PREPARO MECÂNICO COM BETONEIRA 400 L, APLICADA MANUALMENTE EM SUPERFÍCIES EXTERNAS DA SACADA, ESPESSURA MAIOR OU IGUAL A 50 MM, SEM USO DE TELA METÁLICA DE REFORÇO CONTRA FISSURAÇÃO. AF_06/2014</t>
  </si>
  <si>
    <t>EMBOÇO OU MASSA ÚNICA EM ARGAMASSA TRAÇO 1:2:8, PREPARO MANUAL, APLICADA MANUALMENTE EM SUPERFÍCIES EXTERNAS DA SACADA, ESPESSURA MAIOR OU IGUAL A 50 MM, SEM USO DE TELA METÁLICA DE REFORÇO CONTRA FISSURAÇÃO. AF_06/2014</t>
  </si>
  <si>
    <t>EMBOÇO OU MASSA ÚNICA EM ARGAMASSA INDUSTRIALIZADA, PREPARO MECÂNICO E APLICAÇÃO COM EQUIPAMENTO DE MISTURA E PROJEÇÃO DE 1,5 M3/H EM SUPERFÍCIES EXTERNAS DA SACADA, ESPESSURA MAIOR OU IGUAL A 50 MM, SEM USO DE TELA METÁLICA. AF_06/2014</t>
  </si>
  <si>
    <t>EMBOÇO OU MASSA ÚNICA EM ARGAMASSA TRAÇO 1:2:8, PREPARO MECÂNICO COM BETONEIRA 400 L, APLICADA MANUALMENTE NAS PAREDES INTERNAS DA SACADA, ESPESSURA DE 25 MM, SEM USO DE TELA METÁLICA DE REFORÇO CONTRA FISSURAÇÃO. AF_06/2014</t>
  </si>
  <si>
    <t>EMBOÇO OU MASSA ÚNICA EM ARGAMASSA TRAÇO 1:2:8, PREPARO MANUAL, APLICADA MANUALMENTE NAS PAREDES INTERNAS DA SACADA, ESPESSURA DE 25 MM, SEM USO DE TELA METÁLICA DE REFORÇO CONTRA FISSURAÇÃO. AF_06/2014</t>
  </si>
  <si>
    <t>EMBOÇO OU MASSA ÚNICA EM ARGAMASSA INDUSTRIALIZADA, PREPARO MECÂNICO E APLICAÇÃO COM EQUIPAMENTO DE MISTURA E PROJEÇÃO DE 1,5 M3/H NAS PAREDES INTERNAS DA SACADA, ESPESSURA 25 MM, SEM USO DE TELA METÁLICA. AF_06/2014</t>
  </si>
  <si>
    <t>EMBOÇO OU MASSA ÚNICA EM ARGAMASSA TRAÇO 1:2:8, PREPARO MECÂNICO COM BETONEIRA 400 L, APLICADA MANUALMENTE NAS PAREDES INTERNAS DA SACADA, ESPESSURA DE 35 MM, SEM USO DE TELA METÁLICA DE REFORÇO CONTRA FISSURAÇÃO. AF_06/2014</t>
  </si>
  <si>
    <t>EMBOÇO OU MASSA ÚNICA EM ARGAMASSA TRAÇO 1:2:8, PREPARO MANUAL, APLICADA MANUALMENTE NAS PAREDES INTERNAS DA SACADA, ESPESSURA DE 35 MM, SEM USO DE TELA METÁLICA DE REFORÇO CONTRA FISSURAÇÃO. AF_06/2014</t>
  </si>
  <si>
    <t>EMBOÇO OU MASSA ÚNICA EM ARGAMASSA INDUSTRIALIZADA, PREPARO MECÂNICO E APLICAÇÃO COM EQUIPAMENTO DE MISTURA E PROJEÇÃO DE 1,5 M3/H DE ARGAMASSA NAS PAREDES INTERNAS DA SACADA, ESPESSURA 35 MM, SEM USO DE TELA METÁLICA. AF_06/2014</t>
  </si>
  <si>
    <t>REVESTIMENTO DECORATIVO MONOCAMADA APLICADO MANUALMENTE EM PANOS CEGOS DA FACHADA DE UM EDIFÍCIO DE ESTRUTURA CONVENCIONAL, COM ACABAMENTO RASPADO. AF_06/2014</t>
  </si>
  <si>
    <t>REVESTIMENTO DECORATIVO MONOCAMADA APLICADO MANUALMENTE EM PANOS CEGOS DA FACHADA DE UM EDIFÍCIO DE ALVENARIA ESTRUTURAL, COM ACABAMENTO RASPADO. AF_06/2014</t>
  </si>
  <si>
    <t>REVESTIMENTO DECORATIVO MONOCAMADA APLICADO COM EQUIPAMENTO DE PROJEÇÃO EM PANOS CEGOS DA FACHADA DE UM EDIFÍCIO DE ESTRUTURA CONVENCIONAL, COM ACABAMENTO RASPADO. AF_06/2014</t>
  </si>
  <si>
    <t>REVESTIMENTO DECORATIVO MONOCAMADA APLICADO COM EQUIPAMENTO DE PROJEÇÃO EM PANOS CEGOS DA FACHADA DE UM EDIFÍCIO DE ALVENARIA ESTRUTURAL, COM ACABAMENTO RASPADO. AF_06/2014</t>
  </si>
  <si>
    <t>REVESTIMENTO DECORATIVO MONOCAMADA APLICADO MANUALMENTE EM PANOS DA FACHADA COM PRESENÇA DE VÃOS, DE UM EDIFÍCIO DE ESTRUTURA CONVENCIONAL E ACABAMENTO RASPADO. AF_06/2014</t>
  </si>
  <si>
    <t>REVESTIMENTO DECORATIVO MONOCAMADA APLICADO MANUALMENTE EM PANOS DA FACHADA COM PRESENÇA DE VÃOS, DE UM EDIFÍCIO DE ALVENARIA ESTRUTURAL E ACABAMENTO RASPADO. AF_06/2014</t>
  </si>
  <si>
    <t>REVESTIMENTO DECORATIVO MONOCAMADA APLICADO COM EQUIPAMENTO DE PROJEÇÃO EM PANOS DA FACHADA COM PRESENÇA DE VÃOS, DE UM EDIFÍCIO DE ESTRUTURA CONVENCIONAL E ACABAMENTO RASPADO. AF_06/2014</t>
  </si>
  <si>
    <t>REVESTIMENTO DECORATIVO MONOCAMADA APLICADO COM EQUIPAMENTO DE PROJEÇÃO EM PANOS DA FACHADA COM PRESENÇA DE VÃOS, DE UM EDIFÍCIO DE ALVENARIA ESTRUTURAL E ACABAMENTO RASPADO. AF_06/2014</t>
  </si>
  <si>
    <t>REVESTIMENTO DECORATIVO MONOCAMADA APLICADO MANUALMENTE EM SUPERFÍCIES EXTERNAS DA SACADA DE UM EDIFÍCIO DE ESTRUTURA CONVENCIONAL E ACABAMENTO RASPADO. AF_06/2014</t>
  </si>
  <si>
    <t>REVESTIMENTO DECORATIVO MONOCAMADA APLICADO MANUALMENTE EM SUPERFÍCIES EXTERNAS DA SACADA DE UM EDIFÍCIO DE ALVENARIA ESTRUTURAL E ACABAMENTO RASPADO. AF_06/2014</t>
  </si>
  <si>
    <t>REVESTIMENTO DECORATIVO MONOCAMADA APLICADO COM EQUIPAMENTO DE PROJEÇÃO EM SUPERFÍCIES EXTERNAS DA SACADA DE UM EDIFÍCIO DE ESTRUTURA CONVENCIONAL E ACABAMENTO RASPADO. AF_06/2014</t>
  </si>
  <si>
    <t>REVESTIMENTO DECORATIVO MONOCAMADA APLICADO COM EQUIPAMENTO DE PROJEÇÃO EM SUPERFÍCIES EXTERNAS DA SACADA DE UM EDIFÍCIO DE ALVENARIA ESTRUTURAL E ACABAMENTO RASPADO. AF_06/2014</t>
  </si>
  <si>
    <t>REVESTIMENTO DECORATIVO MONOCAMADA APLICADO MANUALMENTE EM PANOS CEGOS DA FACHADA DE UM EDIFÍCIO DE ESTRUTURA CONVENCIONAL, COM ACABAMENTO TRAVERTINO. AF_06/2014</t>
  </si>
  <si>
    <t>REVESTIMENTO DECORATIVO MONOCAMADA APLICADO MANUALMENTE EM PANOS CEGOS DA FACHADA DE UM EDIFÍCIO DE ALVENARIA ESTRUTURAL, COM ACABAMENTO TRAVERTINO. AF_06/2014</t>
  </si>
  <si>
    <t>REVESTIMENTO DECORATIVO MONOCAMADA APLICADO COM EQUIPAMENTO DE PROJEÇÃO EM PANOS CEGOS DA FACHADA DE UM EDIFÍCIO DE ESTRUTURA CONVENCIONAL, COM ACABAMENTO TRAVERTINO. AF_06/2014</t>
  </si>
  <si>
    <t>REVESTIMENTO DECORATIVO MONOCAMADA APLICADO COM EQUIPAMENTO DE PROJEÇÃO EM PANOS CEGOS DA FACHADA DE UM EDIFÍCIO DE ALVENARIA ESTRUTURAL, COM ACABAMENTO TRAVERTINO. AF_06/2014</t>
  </si>
  <si>
    <t>REVESTIMENTO DECORATIVO MONOCAMADA APLICADO MANUALMENTE EM PANOS DA FACHADA COM PRESENÇA DE VÃOS, DE UM EDIFÍCIO DE ESTRUTURA CONVENCIONAL E ACABAMENTO TRAVERTINO. AF_06/2014</t>
  </si>
  <si>
    <t>REVESTIMENTO DECORATIVO MONOCAMADA APLICADO MANUALMENTE EM PANOS DA FACHADA COM PRESENÇA DE VÃOS, DE UM EDIFÍCIO DE ALVENARIA ESTRUTURAL E ACABAMENTO TRAVERTINO. AF_06/2014</t>
  </si>
  <si>
    <t>REVESTIMENTO DECORATIVO MONOCAMADA APLICADO COM EQUIPAMENTO DE PROJEÇÃO EM PANOS DA FACHADA COM PRESENÇA DE VÃOS, DE UM EDIFÍCIO DE ESTRUTURA CONVENCIONAL E ACABAMENTO TRAVERTINO. AF_06/2014</t>
  </si>
  <si>
    <t>REVESTIMENTO DECORATIVO MONOCAMADA APLICADO COM EQUIPAMENTO DE PROJEÇÃO EM PANOS DA FACHADA COM PRESENÇA DE VÃOS, DE UM EDIFÍCIO DE ALVENARIA ESTRUTURAL E ACABAMENTO TRAVERTINO. AF_06/2014</t>
  </si>
  <si>
    <t>REVESTIMENTO DECORATIVO MONOCAMADA APLICADO MANUALMENTE EM SUPERFÍCIES EXTERNAS DA SACADA DE UM EDIFÍCIO DE ESTRUTURA CONVENCIONAL E ACABAMENTO TRAVERTINO. AF_06/2014</t>
  </si>
  <si>
    <t>REVESTIMENTO DECORATIVO MONOCAMADA APLICADO MANUALMENTE EM SUPERFÍCIES EXTERNAS DA SACADA DE UM EDIFÍCIO DE ALVENARIA ESTRUTURAL E ACABAMENTO TRAVERTINO. AF_06/2014</t>
  </si>
  <si>
    <t>REVESTIMENTO DECORATIVO MONOCAMADA APLICADO COM EQUIPAMENTO DE PROJEÇÃO EM SUPERFÍCIES EXTERNAS DA SACADA DE UM EDIFÍCIO DE ESTRUTURA CONVENCIONAL E ACABAMENTO TRAVERTINO. AF_06/2014</t>
  </si>
  <si>
    <t>REVESTIMENTO DECORATIVO MONOCAMADA APLICADO COM EQUIPAMENTO DE PROJEÇÃO EM SUPERFÍCIES EXTERNAS DA SACADA DE UM EDIFÍCIO DE ALVENARIA ESTRUTURAL E ACABAMENTO TRAVERTINO. AF_06/2014</t>
  </si>
  <si>
    <t>REVESTIMENTO DECORATIVO MONOCAMADA APLICADO MANUALMENTE NAS PAREDES INTERNAS DA SACADA COM ACABAMENTO RASPADO. AF_06/2014</t>
  </si>
  <si>
    <t>REVESTIMENTO DECORATIVO MONOCAMADA APLICADO MANUALMENTE NAS PAREDES INTERNAS DA SACADA COM ACABAMENTO TRAVERTINO. AF_06/2014</t>
  </si>
  <si>
    <t>CHAPISCO APLICADO SOMENTE EM ESTRUTURAS DE CONCRETO EM ALVENARIAS INTERNAS, COM DESEMPENADEIRA DENTADA. ARGAMASSA INDUSTRIALIZADA COM PREPARO MANUAL. AF_06/2014</t>
  </si>
  <si>
    <t>CHAPISCO APLICADO SOMENTE EM ESTRUTURAS DE CONCRETO EM ALVENARIAS INTERNAS, COM DESEMPENADEIRA DENTADA.  ARGAMASSA INDUSTRIALIZADA COM PREPARO EM MISTURADOR 300 KG. AF_06/2014</t>
  </si>
  <si>
    <t>CHAPISCO APLICADO EM ALVENARIAS E ESTRUTURAS DE CONCRETO INTERNAS, COM ROLO PARA TEXTURA ACRÍLICA.  ARGAMASSA INDUSTRIALIZADA COM PREPARO MANUAL. AF_06/2014</t>
  </si>
  <si>
    <t>CHAPISCO APLICADO EM ALVENARIAS E ESTRUTURAS DE CONCRETO INTERNAS, COM COLHER DE PEDREIRO.  ARGAMASSA TRAÇO 1:3 COM PREPARO MANUAL. AF_06/2014</t>
  </si>
  <si>
    <t>CHAPISCO APLICADO EM ALVENARIAS E ESTRUTURAS DE CONCRETO INTERNAS, COM COLHER DE PEDREIRO.  ARGAMASSA TRAÇO 1:3 COM PREPARO EM BETONEIRA 400L. AF_06/2014</t>
  </si>
  <si>
    <t>CHAPISCO APLICADO NO TETO, COM ROLO PARA TEXTURA ACRÍLICA. ARGAMASSA TRAÇO 1:4 E EMULSÃO POLIMÉRICA (ADESIVO) COM PREPARO MANUAL. AF_06/2014</t>
  </si>
  <si>
    <t>CHAPISCO APLICADO NO TETO, COM ROLO PARA TEXTURA ACRÍLICA. ARGAMASSA TRAÇO 1:4 E EMULSÃO POLIMÉRICA (ADESIVO) COM PREPARO EM BETONEIRA 400L. AF_06/2014</t>
  </si>
  <si>
    <t>CHAPISCO APLICADO NO TETO, COM ROLO PARA TEXTURA ACRÍLICA. ARGAMASSA INDUSTRIALIZADA COM PREPARO MANUAL. AF_06/2014</t>
  </si>
  <si>
    <t>CHAPISCO APLICADO NO TETO, COM ROLO PARA TEXTURA ACRÍLICA. ARGAMASSA INDUSTRIALIZADA COM PREPARO EM MISTURADOR 300 KG. AF_06/2014</t>
  </si>
  <si>
    <t>CHAPISCO APLICADO NO TETO, COM DESEMPENADEIRA DENTADA. ARGAMASSA INDUSTRIALIZADA COM PREPARO MANUAL. AF_06/2014</t>
  </si>
  <si>
    <t>CHAPISCO APLICADO NO TETO, COM DESEMPENADEIRA DENTADA. ARGAMASSA INDUSTRIALIZADA COM PREPARO EM MISTURADOR 300 KG. AF_06/2014</t>
  </si>
  <si>
    <t>CHAPISCO APLICADO EM ALVENARIA (SEM PRESENÇA DE VÃOS) E ESTRUTURAS DE CONCRETO DE FACHADA, COM ROLO PARA TEXTURA ACRÍLICA.  ARGAMASSA TRAÇO 1:4 E EMULSÃO POLIMÉRICA (ADESIVO) COM PREPARO EM BETONEIRA 400L. AF_06/2014</t>
  </si>
  <si>
    <t>CHAPISCO APLICADO EM ALVENARIA (SEM PRESENÇA DE VÃOS) E ESTRUTURAS DE CONCRETO DE FACHADA, COM ROLO PARA TEXTURA ACRÍLICA.  ARGAMASSA INDUSTRIALIZADA COM PREPARO MANUAL. AF_06/2014</t>
  </si>
  <si>
    <t>CHAPISCO APLICADO EM ALVENARIA (SEM PRESENÇA DE VÃOS) E ESTRUTURAS DE CONCRETO DE FACHADA, COM ROLO PARA TEXTURA ACRÍLICA.  ARGAMASSA INDUSTRIALIZADA COM PREPARO EM MISTURADOR 300 KG. AF_06/2014</t>
  </si>
  <si>
    <t>CHAPISCO APLICADO EM ALVENARIA (COM PRESENÇA DE VÃOS) E ESTRUTURAS DE CONCRETO DE FACHADA, COM ROLO PARA TEXTURA ACRÍLICA.  ARGAMASSA TRAÇO 1:4 E EMULSÃO POLIMÉRICA (ADESIVO) COM PREPARO EM BETONEIRA 400L. AF_06/2014</t>
  </si>
  <si>
    <t>CHAPISCO APLICADO EM ALVENARIA (COM PRESENÇA DE VÃOS) E ESTRUTURAS DE CONCRETO DE FACHADA, COM ROLO PARA TEXTURA ACRÍLICA.  ARGAMASSA INDUSTRIALIZADA COM PREPARO MANUAL. AF_06/2014</t>
  </si>
  <si>
    <t>CHAPISCO APLICADO EM ALVENARIA (COM PRESENÇA DE VÃOS) E ESTRUTURAS DE CONCRETO DE FACHADA, COM ROLO PARA TEXTURA ACRÍLICA.  ARGAMASSA INDUSTRIALIZADA COM PREPARO EM MISTURADOR 300 KG. AF_06/2014</t>
  </si>
  <si>
    <t>CHAPISCO APLICADO SOMENTE NA ESTRUTURA DE CONCRETO DA FACHADA, COM DESEMPENADEIRA DENTADA. ARGAMASSA INDUSTRIALIZADA COM PREPARO MANUAL. AF_06/2014</t>
  </si>
  <si>
    <t>CHAPISCO APLICADO SOMENTE NA ESTRUTURA DE CONCRETO DA FACHADA, COM DESEMPENADEIRA DENTADA. ARGAMASSA INDUSTRIALIZADA COM PREPARO EM MISTURADOR 300 KG. AF_06/2014</t>
  </si>
  <si>
    <t>AUXILIAR DE ENCANADOR OU BOMBEIRO HIDRÁULICO COM ENCARGOS COMPLEMENTARES</t>
  </si>
  <si>
    <t>CAVOUQUEIRO OU OPERADOR PERFURATRIZ/ROMPEDOR COM ENCARGOS COMPLEMENTARES</t>
  </si>
  <si>
    <t>OPERADOR DE USINA DE ASFALTO, DE SOLOS OU DE CONCRETO COM ENCARGOS COMPLEMENTARES</t>
  </si>
  <si>
    <t>SOLDADOR A (PARA SOLDA A SER TESTADA COM RAIOS "X") COM ENCARGOS COMPLEMENTARES</t>
  </si>
  <si>
    <t>OPERADOR DE BETONEIRA ESTACIONÁRIA/MISTURADOR COM ENCARGOS COMPLEMENTARES</t>
  </si>
  <si>
    <t>MISTURADOR DE ARGAMASSA, EIXO HORIZONTAL, CAPACIDADE DE MISTURA 300 KG, MOTOR ELÉTRICO POTÊNCIA 5 CV - CHP DIURNO. AF_06/2014</t>
  </si>
  <si>
    <t>MISTURADOR DE ARGAMASSA, EIXO HORIZONTAL, CAPACIDADE DE MISTURA 300 KG, MOTOR ELÉTRICO POTÊNCIA 5 CV - DEPRECIAÇÃO. AF_06/2014</t>
  </si>
  <si>
    <t>MISTURADOR DE ARGAMASSA, EIXO HORIZONTAL, CAPACIDADE DE MISTURA 300 KG, MOTOR ELÉTRICO POTÊNCIA 5 CV - JUROS. AF_06/2014</t>
  </si>
  <si>
    <t>MISTURADOR DE ARGAMASSA, EIXO HORIZONTAL, CAPACIDADE DE MISTURA 300 KG, MOTOR ELÉTRICO POTÊNCIA 5 CV - MANUTENÇÃO. AF_06/2014</t>
  </si>
  <si>
    <t>MISTURADOR DE ARGAMASSA, EIXO HORIZONTAL, CAPACIDADE DE MISTURA 300 KG, MOTOR ELÉTRICO POTÊNCIA 5 CV - MATERIAIS NA OPERAÇÃO. AF_06/2014</t>
  </si>
  <si>
    <t>MISTURADOR DE ARGAMASSA, EIXO HORIZONTAL, CAPACIDADE DE MISTURA 300 KG, MOTOR ELÉTRICO POTÊNCIA 5 CV - CHI DIURNO. AF_06/2014</t>
  </si>
  <si>
    <t>MISTURADOR DE ARGAMASSA, EIXO HORIZONTAL, CAPACIDADE DE MISTURA 600 KG, MOTOR ELÉTRICO POTÊNCIA 7,5 CV - CHP DIURNO. AF_06/2014</t>
  </si>
  <si>
    <t>MISTURADOR DE ARGAMASSA, EIXO HORIZONTAL, CAPACIDADE DE MISTURA 600 KG, MOTOR ELÉTRICO POTÊNCIA 7,5 CV - DEPRECIAÇÃO. AF_06/2014</t>
  </si>
  <si>
    <t>MISTURADOR DE ARGAMASSA, EIXO HORIZONTAL, CAPACIDADE DE MISTURA 600 KG, MOTOR ELÉTRICO POTÊNCIA 7,5 CV - JUROS. AF_06/2014</t>
  </si>
  <si>
    <t>MISTURADOR DE ARGAMASSA, EIXO HORIZONTAL, CAPACIDADE DE MISTURA 600 KG, MOTOR ELÉTRICO POTÊNCIA 7,5 CV - MANUTENÇÃO. AF_06/2014</t>
  </si>
  <si>
    <t>MISTURADOR DE ARGAMASSA, EIXO HORIZONTAL, CAPACIDADE DE MISTURA 600 KG, MOTOR ELÉTRICO POTÊNCIA 7,5 CV - MATERIAIS NA OPERAÇÃO. AF_06/2014</t>
  </si>
  <si>
    <t>MISTURADOR DE ARGAMASSA, EIXO HORIZONTAL, CAPACIDADE DE MISTURA 600 KG, MOTOR ELÉTRICO POTÊNCIA 7,5 CV - CHI DIURNO. AF_06/2014</t>
  </si>
  <si>
    <t>MISTURADOR DE ARGAMASSA, EIXO HORIZONTAL, CAPACIDADE DE MISTURA 160 KG, MOTOR ELÉTRICO POTÊNCIA 3 CV - CHP DIURNO. AF_06/2014</t>
  </si>
  <si>
    <t>MISTURADOR DE ARGAMASSA, EIXO HORIZONTAL, CAPACIDADE DE MISTURA 160 KG, MOTOR ELÉTRICO POTÊNCIA 3 CV - DEPRECIAÇÃO. AF_06/2014</t>
  </si>
  <si>
    <t>MISTURADOR DE ARGAMASSA, EIXO HORIZONTAL, CAPACIDADE DE MISTURA 160 KG, MOTOR ELÉTRICO POTÊNCIA 3 CV - JUROS. AF_06/2014</t>
  </si>
  <si>
    <t>MISTURADOR DE ARGAMASSA, EIXO HORIZONTAL, CAPACIDADE DE MISTURA 160 KG, MOTOR ELÉTRICO POTÊNCIA 3 CV - MANUTENÇÃO. AF_06/2014</t>
  </si>
  <si>
    <t>MISTURADOR DE ARGAMASSA, EIXO HORIZONTAL, CAPACIDADE DE MISTURA 160 KG, MOTOR ELÉTRICO POTÊNCIA 3 CV - MATERIAIS NA OPERAÇÃO. AF_06/2014</t>
  </si>
  <si>
    <t>MISTURADOR DE ARGAMASSA, EIXO HORIZONTAL, CAPACIDADE DE MISTURA 160 KG, MOTOR ELÉTRICO POTÊNCIA 3 CV - CHI DIURNO. AF_06/2014</t>
  </si>
  <si>
    <t>APLICAÇÃO MANUAL DE FUNDO SELADOR ACRÍLICO EM PANOS COM PRESENÇA DE VÃOS DE EDIFÍCIOS DE MÚLTIPLOS PAVIMENTOS. AF_06/2014</t>
  </si>
  <si>
    <t>APLICAÇÃO MANUAL DE FUNDO SELADOR ACRÍLICO EM PANOS CEGOS DE FACHADA (SEM PRESENÇA DE VÃOS) DE EDIFÍCIOS DE MÚLTIPLOS PAVIMENTOS. AF_06/2014</t>
  </si>
  <si>
    <t>APLICAÇÃO MANUAL DE FUNDO SELADOR ACRÍLICO EM PAREDES EXTERNAS DE CASAS. AF_06/2014</t>
  </si>
  <si>
    <t>APLICAÇÃO MANUAL DE PINTURA COM TINTA TEXTURIZADA ACRÍLICA EM PANOS COM PRESENÇA DE VÃOS DE EDIFÍCIOS DE MÚLTIPLOS PAVIMENTOS, UMA COR. AF_06/2014</t>
  </si>
  <si>
    <t>APLICAÇÃO MANUAL DE PINTURA COM TINTA TEXTURIZADA ACRÍLICA EM PANOS CEGOS DE FACHADA (SEM PRESENÇA DE VÃOS) DE EDIFÍCIOS DE MÚLTIPLOS PAVIMENTOS, UMA COR. AF_06/2014</t>
  </si>
  <si>
    <t>APLICAÇÃO MANUAL DE PINTURA COM TINTA TEXTURIZADA ACRÍLICA EM SUPERFÍCIES EXTERNAS DE SACADA DE EDIFÍCIOS DE MÚLTIPLOS PAVIMENTOS, UMA COR. AF_06/2014</t>
  </si>
  <si>
    <t>APLICAÇÃO MANUAL DE PINTURA COM TINTA TEXTURIZADA ACRÍLICA EM SUPERFÍCIES INTERNAS DA SACADA DE EDIFÍCIOS DE MÚLTIPLOS PAVIMENTOS, UMA COR. AF_06/2014</t>
  </si>
  <si>
    <t>APLICAÇÃO MANUAL DE PINTURA COM TINTA TEXTURIZADA ACRÍLICA EM PANOS COM PRESENÇA DE VÃOS DE EDIFÍCIOS DE MÚLTIPLOS PAVIMENTOS, DUAS CORES. AF_06/2014</t>
  </si>
  <si>
    <t>APLICAÇÃO MANUAL DE PINTURA COM TINTA TEXTURIZADA ACRÍLICA EM PANOS CEGOS DE FACHADA (SEM PRESENÇA DE VÃOS) DE EDIFÍCIOS DE MÚLTIPLOS PAVIMENTOS, DUAS CORES. AF_06/2014</t>
  </si>
  <si>
    <t>PROJETOR DE ARGAMASSA, CAPACIDADE DE PROJEÇÃO 1,5 M3/H, ALCANCE DE 30 ATÉ 60 M, MOTOR ELÉTRICO POTÊNCIA 7,5 HP - MATERIAIS NA OPERAÇÃO. AF_06/2014</t>
  </si>
  <si>
    <t>APLICAÇÃO MANUAL DE PINTURA COM TINTA TEXTURIZADA ACRÍLICA EM SUPERFÍCIES EXTERNAS DE SACADA DE EDIFÍCIOS DE MÚLTIPLOS PAVIMENTOS, DUAS CORES. AF_06/2014</t>
  </si>
  <si>
    <t>APLICAÇÃO MANUAL DE PINTURA COM TINTA TEXTURIZADA ACRÍLICA EM SUPERFÍCIES INTERNAS DA SACADA DE EDIFÍCIOS DE MÚLTIPLOS PAVIMENTOS, DUAS CORES. AF_06/2014</t>
  </si>
  <si>
    <t>PROJETOR DE ARGAMASSA, CAPACIDADE DE PROJEÇÃO 2 M3/H, ALCANCE ATÉ 50 M, MOTOR ELÉTRICO POTÊNCIA 7,5 HP - CHP DIURNO. AF_06/2014</t>
  </si>
  <si>
    <t>PROJETOR DE ARGAMASSA, CAPACIDADE DE PROJEÇÃO 2 M3/H, ALCANCE ATÉ 50 M, MOTOR ELÉTRICO POTÊNCIA 7,5 HP - DEPRECIAÇÃO. AF_06/2014</t>
  </si>
  <si>
    <t>PROJETOR DE ARGAMASSA, CAPACIDADE DE PROJEÇÃO 2 M3/H, ALCANCE ATÉ 50 M, MOTOR ELÉTRICO POTÊNCIA 7,5 HP - JUROS. AF_06/2014</t>
  </si>
  <si>
    <t>PROJETOR DE ARGAMASSA, CAPACIDADE DE PROJEÇÃO 2 M3/H, ALCANCE ATÉ 50 M, MOTOR ELÉTRICO POTÊNCIA 7,5 HP - MANUTENÇÃO. AF_06/2014</t>
  </si>
  <si>
    <t>PROJETOR DE ARGAMASSA, CAPACIDADE DE PROJEÇÃO 2 M3/H, ALCANCE ATÉ 50 M, MOTOR ELÉTRICO POTÊNCIA 7,5 HP - MATERIAIS NA OPERAÇÃO. AF_06/2014</t>
  </si>
  <si>
    <t>PROJETOR DE ARGAMASSA, CAPACIDADE DE PROJEÇÃO 2 M3/H, ALCANCE ATÉ 50 M, MOTOR ELÉTRICO POTÊNCIA 7,5 HP - CHI DIURNO. AF_06/2014</t>
  </si>
  <si>
    <t>APLICAÇÃO MANUAL DE PINTURA COM TINTA LÁTEX PVA EM PAREDES, DUAS DEMÃOS. AF_06/2014</t>
  </si>
  <si>
    <t>APLICAÇÃO MANUAL DE PINTURA COM TINTA LÁTEX ACRÍLICA EM TETO, DUAS DEMÃOS. AF_06/2014</t>
  </si>
  <si>
    <t>APLICAÇÃO MECÂNICA DE PINTURA COM TINTA LÁTEX PVA EM TETO, DUAS DEMÃOS. AF_06/2014</t>
  </si>
  <si>
    <t>APLICAÇÃO MECÂNICA DE PINTURA COM TINTA LÁTEX PVA EM PAREDES, DUAS DEMÃOS. AF_06/2014</t>
  </si>
  <si>
    <t>APLICAÇÃO MECÂNICA DE PINTURA COM TINTA LÁTEX ACRÍLICA EM TETO, DUAS DEMÃOS. AF_06/2014</t>
  </si>
  <si>
    <t>APLICAÇÃO MECÂNICA DE PINTURA COM TINTA LÁTEX ACRÍLICA EM PAREDES, DUAS DEMÃOS. AF_06/2014</t>
  </si>
  <si>
    <t>APLICAÇÃO E LIXAMENTO DE MASSA LÁTEX EM PAREDES, DUAS DEMÃOS. AF_06/2014</t>
  </si>
  <si>
    <t>ARMACAO SECUNDARIA OU REX COMPLETA PARA TRESLINHAS-FORNECIMENTO E INSTALACAO.</t>
  </si>
  <si>
    <t>ARMACAO SECUNDARIA OU REX COMPLETA PARA DUAS LINHAS-FORNECIMENTO E INSTALACAO.</t>
  </si>
  <si>
    <t>ARMACAO SECUNDARIA OU REX COMPLETA PARA QUATRO LINHAS-FORNECIMENTO E INSTALACAO.</t>
  </si>
  <si>
    <t>ARGAMASSA TRAÇO 1:4 (CIMENTO E AREIA MÉDIA), PREPARO MECÂNICO COM BETONEIRA 400 L. AF_08/2014</t>
  </si>
  <si>
    <t>RODAPÉ CERÂMICO DE 7CM DE ALTURA COM PLACAS TIPO ESMALTADA EXTRA  DE DIMENSÕES 35X35CM. AF_06/2014</t>
  </si>
  <si>
    <t>RODAPÉ CERÂMICO DE 7CM DE ALTURA COM PLACAS TIPO ESMALTADA EXTRA DE DIMENSÕES 45X45CM. AF_06/2014</t>
  </si>
  <si>
    <t>RODAPÉ CERÂMICO DE 7CM DE ALTURA COM PLACAS TIPO ESMALTADA EXTRA DE DIMENSÕES 60X60CM. AF_06/2014</t>
  </si>
  <si>
    <t>REVESTIMENTO CERÂMICO PARA PAREDES EXTERNAS EM PASTILHAS DE PORCELANA 2,5 X 2,5 CM (PLACAS DE 30 X 30 CM), ALINHADAS A PRUMO, APLICADO EM PANOS COM VÃOS. AF_10/2014</t>
  </si>
  <si>
    <t>REVESTIMENTO CERÂMICO PARA PAREDES EXTERNAS EM PASTILHAS DE PORCELANA 2,5 X 2,5 CM (PLACAS DE 30 X 30 CM), ALINHADAS A PRUMO, APLICADO EM PANOS SEM VÃOS. AF_10/2014</t>
  </si>
  <si>
    <t>REVESTIMENTO CERÂMICO PARA PAREDES EXTERNAS EM PASTILHAS DE PORCELANA 2,5 X 2,5 CM (PLACAS DE 30 X 30 CM), ALINHADAS A PRUMO, APLICADO EM SUPERFÍCIES EXTERNAS DA SACADA. AF_10/2014</t>
  </si>
  <si>
    <t>REVESTIMENTO CERÂMICO PARA PAREDES EXTERNAS EM PASTILHAS DE PORCELANA 2,5 X 2,5 CM (PLACAS DE 30 X 30 CM), ALINHADAS A PRUMO, APLICADO EM SUPERFÍCIES INTERNAS DA SACADA. AF_10/2014</t>
  </si>
  <si>
    <t>BETONEIRA CAPACIDADE NOMINAL DE 400 L, CAPACIDADE DE MISTURA 280 L, MOTOR ELÉTRICO TRIFÁSICO POTÊNCIA DE 2 CV, SEM CARREGADOR - DEPRECIAÇÃO. AF_10/2014</t>
  </si>
  <si>
    <t>BETONEIRA CAPACIDADE NOMINAL DE 400 L, CAPACIDADE DE MISTURA 280 L, MOTOR ELÉTRICO TRIFÁSICO POTÊNCIA DE 2 CV, SEM CARREGADOR - JUROS. AF_10/2014</t>
  </si>
  <si>
    <t>BETONEIRA CAPACIDADE NOMINAL DE 400 L, CAPACIDADE DE MISTURA 280 L, MOTOR ELÉTRICO TRIFÁSICO POTÊNCIA DE 2 CV, SEM CARREGADOR - MANUTENÇÃO. AF_10/2014</t>
  </si>
  <si>
    <t>BETONEIRA CAPACIDADE NOMINAL DE 400 L, CAPACIDADE DE MISTURA 280 L, MOTOR ELÉTRICO TRIFÁSICO POTÊNCIA DE 2 CV, SEM CARREGADOR - MATERIAIS NA OPERAÇÃO. AF_10/2014</t>
  </si>
  <si>
    <t>BETONEIRA CAPACIDADE NOMINAL DE 400 L, CAPACIDADE DE MISTURA 280 L, MOTOR ELÉTRICO TRIFÁSICO POTÊNCIA DE 2 CV, SEM CARREGADOR - CHP DIURNO. AF_10/2014</t>
  </si>
  <si>
    <t>BETONEIRA CAPACIDADE NOMINAL DE 400 L, CAPACIDADE DE MISTURA 280 L, MOTOR ELÉTRICO TRIFÁSICO POTÊNCIA DE 2 CV, SEM CARREGADOR - CHI DIURNO. AF_10/2014</t>
  </si>
  <si>
    <t>ESCAVADEIRA HIDRÁULICA SOBRE ESTEIRAS, CAÇAMBA 0,80 M3, PESO OPERACIONAL 17,8 T, POTÊNCIA LÍQUIDA 110 HP - DEPRECIAÇÃO. AF_10/2014</t>
  </si>
  <si>
    <t>ESCAVADEIRA HIDRÁULICA SOBRE ESTEIRAS, CAÇAMBA 0,80 M3, PESO OPERACIONAL 17,8 T, POTÊNCIA LÍQUIDA 110 HP - JUROS. AF_10/2014</t>
  </si>
  <si>
    <t>ESCAVADEIRA HIDRÁULICA SOBRE ESTEIRAS, CAÇAMBA 0,80 M3, PESO OPERACIONAL 17,8 T, POTÊNCIA LÍQUIDA 110 HP - MANUTENÇÃO. AF_10/2014</t>
  </si>
  <si>
    <t>ESCAVADEIRA HIDRÁULICA SOBRE ESTEIRAS, CAÇAMBA 0,80 M3, PESO OPERACIONAL 17,8 T, POTÊNCIA LÍQUIDA 110 HP - MATERIAIS NA OPERAÇÃO. AF_10/2014</t>
  </si>
  <si>
    <t>TRATOR DE ESTEIRAS, POTÊNCIA 125 HP, PESO OPERACIONAL 12,9 T, COM LÂMINA 2,7 M3 - DEPRECIAÇÃO. AF_10/2014</t>
  </si>
  <si>
    <t>TRATOR DE ESTEIRAS, POTÊNCIA 125 HP, PESO OPERACIONAL 12,9 T, COM LÂMINA 2,7 M3 - JUROS. AF_10/2014</t>
  </si>
  <si>
    <t>TRATOR DE ESTEIRAS, POTÊNCIA 125 HP, PESO OPERACIONAL 12,9 T, COM LÂMINA 2,7 M3 - MANUTENÇÃO. AF_10/2014</t>
  </si>
  <si>
    <t>TRATOR DE ESTEIRAS, POTÊNCIA 125 HP, PESO OPERACIONAL 12,9 T, COM LÂMINA 2,7 M3 - MATERIAIS NA OPERAÇÃO. AF_10/2014</t>
  </si>
  <si>
    <t>TRATOR DE ESTEIRAS, POTÊNCIA 125 HP, PESO OPERACIONAL 12,9 T, COM LÂMINA 2,7 M3 - CHP DIURNO. AF_10/2014</t>
  </si>
  <si>
    <t>TRATOR DE ESTEIRAS, POTÊNCIA 125 HP, PESO OPERACIONAL 12,9 T, COM LÂMINA 2,7 M3 - CHI DIURNO. AF_10/2014</t>
  </si>
  <si>
    <t>USINA DE LAMA ASFÁLTICA, PROD 30 A 50 T/H, SILO DE AGREGADO 7 M3, RESERVATÓRIOS PARA EMULSÃO E ÁGUA DE 2,3 M3 CADA, MISTURADOR TIPO PUG MILL A SER MONTADO SOBRE CAMINHÃO - DEPRECIAÇÃO. AF_10/2014</t>
  </si>
  <si>
    <t>USINA DE LAMA ASFÁLTICA, PROD 30 A 50 T/H, SILO DE AGREGADO 7 M3, RESERVATÓRIOS PARA EMULSÃO E ÁGUA DE 2,3 M3 CADA, MISTURADOR TIPO PUG MILL A SER MONTADO SOBRE CAMINHÃO - JUROS. AF_10/2014</t>
  </si>
  <si>
    <t>MOTOBOMBA CENTRÍFUGA, MOTOR A GASOLINA, POTÊNCIA 5,42 HP, BOCAIS 1 1/2" X 1", DIÂMETRO ROTOR 143 MM HM/Q = 6 MCA / 16,8 M3/H A 38 MCA / 6,6 M3/H - DEPRECIAÇÃO. AF_06/2014</t>
  </si>
  <si>
    <t>MOTOBOMBA CENTRÍFUGA, MOTOR A GASOLINA, POTÊNCIA 5,42 HP, BOCAIS 1 1/2" X 1", DIÂMETRO ROTOR 143 MM HM/Q = 6 MCA / 16,8 M3/H A 38 MCA / 6,6 M3/H - JUROS. AF_06/2014</t>
  </si>
  <si>
    <t>GRADE DE DISCO CONTROLE REMOTO REBOCÁVEL, COM 24 DISCOS 24 X 6 MM COM PNEUS PARA TRANSPORTE - DEPRECIAÇÃO. AF_06/2014</t>
  </si>
  <si>
    <t>GRADE DE DISCO CONTROLE REMOTO REBOCÁVEL, COM 24 DISCOS 24 X 6 MM COM PNEUS PARA TRANSPORTE - JUROS. AF_06/2014</t>
  </si>
  <si>
    <t>RETROESCAVADEIRA SOBRE RODAS COM CARREGADEIRA, TRAÇÃO 4X4, POTÊNCIA LÍQ. 88 HP, CAÇAMBA CARREG. CAP. MÍN. 1 M3, CAÇAMBA RETRO CAP. 0,26 M3, PESO OPERACIONAL MÍN. 6.674 KG, PROFUNDIDADE ESCAVAÇÃO MÁX. 4,37 M - DEPRECIAÇÃO. AF_06/2014</t>
  </si>
  <si>
    <t>RETROESCAVADEIRA SOBRE RODAS COM CARREGADEIRA, TRAÇÃO 4X4, POTÊNCIA LÍQ. 88 HP, CAÇAMBA CARREG. CAP. MÍN. 1 M3, CAÇAMBA RETRO CAP. 0,26 M3, PESO OPERACIONAL MÍN. 6.674 KG, PROFUNDIDADE ESCAVAÇÃO MÁX. 4,37 M - JUROS. AF_06/2014</t>
  </si>
  <si>
    <t>RETROESCAVADEIRA SOBRE RODAS COM CARREGADEIRA, TRAÇÃO 4X2, POTÊNCIA LÍQ. 79 HP, CAÇAMBA CARREG. CAP. MÍN. 1 M3, CAÇAMBA RETRO CAP. 0,20 M3, PESO OPERACIONAL MÍN. 6.570 KG, PROFUNDIDADE ESCAVAÇÃO MÁX. 4,37 M - DEPRECIAÇÃO. AF_06/2014</t>
  </si>
  <si>
    <t>RETROESCAVADEIRA SOBRE RODAS COM CARREGADEIRA, TRAÇÃO 4X2, POTÊNCIA LÍQ. 79 HP, CAÇAMBA CARREG. CAP. MÍN. 1 M3, CAÇAMBA RETRO CAP. 0,20 M3, PESO OPERACIONAL MÍN. 6.570 KG, PROFUNDIDADE ESCAVAÇÃO MÁX. 4,37 M - JUROS. AF_06/2014</t>
  </si>
  <si>
    <t>ESCAVADEIRA HIDRÁULICA SOBRE ESTEIRAS, CAÇAMBA 1,20 M3, PESO OPERACIONAL 21 T, POTÊNCIA BRUTA 155 HP - DEPRECIAÇÃO. AF_06/2014</t>
  </si>
  <si>
    <t>ESCAVADEIRA HIDRÁULICA SOBRE ESTEIRAS, CAÇAMBA 1,20 M3, PESO OPERACIONAL 21 T, POTÊNCIA BRUTA 155 HP - JUROS. AF_06/2014</t>
  </si>
  <si>
    <t>ESCAVADEIRA HIDRÁULICA SOBRE ESTEIRAS, CAÇAMBA 1,20 M3, PESO OPERACIONAL 21 T, POTÊNCIA BRUTA 155 HP - MANUTENÇÃO. AF_06/2014</t>
  </si>
  <si>
    <t>ESCAVADEIRA HIDRÁULICA SOBRE ESTEIRAS, CAÇAMBA 1,20 M3, PESO OPERACIONAL 21 T, POTÊNCIA BRUTA 155 HP - MATERIAIS NA OPERAÇÃO. AF_06/2014</t>
  </si>
  <si>
    <t>ESCAVADEIRA HIDRÁULICA SOBRE ESTEIRAS, CAÇAMBA 1,20 M3, PESO OPERACIONAL 21 T, POTÊNCIA BRUTA 155 HP - CHP DIURNO. AF_06/2014</t>
  </si>
  <si>
    <t>ESCAVADEIRA HIDRÁULICA SOBRE ESTEIRAS, CAÇAMBA 1,20 M3, PESO OPERACIONAL 21 T, POTÊNCIA BRUTA 155 HP - CHI DIURNO. AF_06/2014</t>
  </si>
  <si>
    <t>RETROESCAVADEIRA SOBRE RODAS COM CARREGADEIRA, TRAÇÃO 4X4, POTÊNCIA LÍQ. 72 HP, CAÇAMBA CARREG. CAP. MÍN. 0,79 M3, CAÇAMBA RETRO CAP. 0,18 M3, PESO OPERACIONAL MÍN. 7.140 KG, PROFUNDIDADE ESCAVAÇÃO MÁX. 4,50 M - DEPRECIAÇÃO. AF_06/2014</t>
  </si>
  <si>
    <t>RETROESCAVADEIRA SOBRE RODAS COM CARREGADEIRA, TRAÇÃO 4X4, POTÊNCIA LÍQ. 72 HP, CAÇAMBA CARREG. CAP. MÍN. 0,79 M3, CAÇAMBA RETRO CAP. 0,18 M3, PESO OPERACIONAL MÍN. 7.140 KG, PROFUNDIDADE ESCAVAÇÃO MÁX. 4,50 M - JUROS. AF_06/2014</t>
  </si>
  <si>
    <t>TRATOR DE ESTEIRAS, POTÊNCIA 347 HP, PESO OPERACIONAL 38,5 T, COM LÂMINA 8,70 M3 - DEPRECIAÇÃO. AF_06/2014</t>
  </si>
  <si>
    <t>TRATOR DE ESTEIRAS, POTÊNCIA 347 HP, PESO OPERACIONAL 38,5 T, COM LÂMINA 8,70 M3 - JUROS. AF_06/2014</t>
  </si>
  <si>
    <t>VASSOURA MECÂNICA REBOCÁVEL COM ESCOVA CILÍNDRICA, LARGURA ÚTIL DE VARRIMENTO DE 2,44 M - DEPRECIAÇÃO. AF_06/2014</t>
  </si>
  <si>
    <t>VASSOURA MECÂNICA REBOCÁVEL COM ESCOVA CILÍNDRICA, LARGURA ÚTIL DE VARRIMENTO DE 2,44 M - JUROS. AF_06/2014</t>
  </si>
  <si>
    <t>TRATOR DE ESTEIRAS, POTÊNCIA 170 HP, PESO OPERACIONAL 19 T, CAÇAMBA 5,2 M3 - DEPRECIAÇÃO. AF_06/2014</t>
  </si>
  <si>
    <t>TRATOR DE ESTEIRAS, POTÊNCIA 170 HP, PESO OPERACIONAL 19 T, CAÇAMBA 5,2 M3 - JUROS. AF_06/2014</t>
  </si>
  <si>
    <t>BOMBA SUBMERSÍVEL ELÉTRICA TRIFÁSICA, POTÊNCIA 2,96 HP, Ø ROTOR 144 MM SEMI-ABERTO, BOCAL DE SAÍDA Ø 2, HM/Q = 2 MCA / 38,8 M3/H A 28 MCA / 5 M3/H - DEPRECIAÇÃO. AF_06/2014</t>
  </si>
  <si>
    <t>BOMBA SUBMERSÍVEL ELÉTRICA TRIFÁSICA, POTÊNCIA 2,96 HP, Ø ROTOR 144 MM SEMI-ABERTO, BOCAL DE SAÍDA Ø 2, HM/Q = 2 MCA / 38,8 M3/H A 28 MCA / 5 M3/H - JUROS. AF_06/2014</t>
  </si>
  <si>
    <t>BOMBA SUBMERSÍVEL ELÉTRICA TRIFÁSICA, POTÊNCIA 2,96 HP, Ø ROTOR 144 MM SEMI-ABERTO, BOCAL DE SAÍDA Ø 2, HM/Q = 2 MCA / 38,8 M3/H A 28 MCA / 5 M3/H - CHP DIURNO. AF_06/2014</t>
  </si>
  <si>
    <t>BOMBA SUBMERSÍVEL ELÉTRICA TRIFÁSICA, POTÊNCIA 2,96 HP, Ø ROTOR 144 MM SEMI-ABERTO, BOCAL DE SAÍDA Ø 2, HM/Q = 2 MCA / 38,8 M3/H A 28 MCA / 5 M3/H - CHI DIURNO. AF_06/2014</t>
  </si>
  <si>
    <t>TANQUE DE ASFALTO ESTACIONÁRIO COM MAÇARICO, CAPACIDADE 20.000 L - DEPRECIAÇÃO. AF_06/2014</t>
  </si>
  <si>
    <t>TANQUE DE ASFALTO ESTACIONÁRIO COM MAÇARICO, CAPACIDADE 20.000 L - JUROS. AF_06/2014</t>
  </si>
  <si>
    <t>TANQUE DE ASFALTO ESTACIONÁRIO COM MAÇARICO, CAPACIDADE 20.000 L - MANUTENÇÃO. AF_06/2014</t>
  </si>
  <si>
    <t>TANQUE DE ASFALTO ESTACIONÁRIO COM MAÇARICO, CAPACIDADE 20.000 L - MATERIAIS NA OPERAÇÃO. AF_06/2014</t>
  </si>
  <si>
    <t>TRATOR DE ESTEIRAS, POTÊNCIA 100 HP, PESO OPERACIONAL 9,4 T, COM LÂMINA 2,19 M3 - DEPRECIAÇÃO. AF_06/2014</t>
  </si>
  <si>
    <t>TRATOR DE ESTEIRAS, POTÊNCIA 100 HP, PESO OPERACIONAL 9,4 T, COM LÂMINA 2,19 M3 - JUROS. AF_06/2014</t>
  </si>
  <si>
    <t>TRATOR DE ESTEIRAS, POTÊNCIA 100 HP, PESO OPERACIONAL 9,4 T, COM LÂMINA 2,19 M3 - CHI DIURNO. AF_06/2014</t>
  </si>
  <si>
    <t>TRATOR DE ESTEIRAS, POTÊNCIA 100 HP, PESO OPERACIONAL 9,4 T, COM LÂMINA 2,19 M3 - CHP DIURNO. AF_06/2014</t>
  </si>
  <si>
    <t>(COMPOSIÇÃO REPRESENTATIVA) DO SERVIÇO DE ALVENARIA DE VEDAÇÃO DE BLOCOS VAZADOS DE CERÂMICA DE 9X19X19CM (ESPESSURA 9CM), PARA EDIFICAÇÃO HABITACIONAL MULTIFAMILIAR (PRÉDIO). AF_11/2014</t>
  </si>
  <si>
    <t>(COMPOSIÇÃO REPRESENTATIVA) DO SERVIÇO DE ALVENARIA DE VEDAÇÃO DE BLOCOS VAZADOS DE CONCRETO DE 9X19X39CM (ESPESSURA 9CM), PARA EDIFICAÇÃO HABITACIONAL MULTIFAMILIAR (PRÉDIO). AF_11/2014</t>
  </si>
  <si>
    <t>(COMPOSIÇÃO REPRESENTATIVA) DO SERVIÇO DE REVESTIMENTO CERÂMICO PARA AMBIENTES DE ÁREAS MOLHADAS, MEIA PAREDE OU PAREDE INTEIRA, COM PLACAS TIPO GRÊS OU SEMI-GRÊS, DIMENSÕES 20X20 CM, PARA EDIFICAÇÃO HABITACIONAL MULTIFAMILIAR (PRÉDIO). AF_11/2014</t>
  </si>
  <si>
    <t>(COMPOSIÇÃO REPRESENTATIVA) DO SERVIÇO DE REVESTIMENTO CERÂMICO PARA PISO COM PLACAS TIPO GRÉS DE DIMENSÕES 35X35 CM, PARA EDIFICAÇÃO HABITACIONAL MULTIFAMILIAR (PRÉDIO). AF_11/2014</t>
  </si>
  <si>
    <t>(COMPOSIÇÃO REPRESENTATIVA) DO SERVIÇO DE EMBOÇO/MASSA ÚNICA, TRAÇO 1:2:8, PREPARO MECÂNICO, COM BETONEIRA DE 400L, EM PAREDES DE AMBIENTES INTERNOS, COM EXECUÇÃO DE TALISCAS, PARA EDIFICAÇÃO HABITACIONAL MULTIFAMILIAR (PRÉDIO). AF_11/2014</t>
  </si>
  <si>
    <t>(COMPOSIÇÃO REPRESENTATIVA) DO SERVIÇO DE APLICAÇÃO MANUAL DE GESSO DESEMPENADO (SEM TALISCAS) EM TETO, ESPESSURA 0,5 CM, PARA EDIFICAÇÃO HABITACIONAL MULTIFAMILIAR (PRÉDIO). AF_11/2014</t>
  </si>
  <si>
    <t>PÁ CARREGADEIRA SOBRE RODAS, POTÊNCIA LÍQUIDA 128 HP, CAPACIDADE DA CAÇAMBA 1,7 A 2,8 M3, PESO OPERACIONAL 11632 KG - DEPRECIAÇÃO. AF_06/2014</t>
  </si>
  <si>
    <t>PÁ CARREGADEIRA SOBRE RODAS, POTÊNCIA LÍQUIDA 128 HP, CAPACIDADE DA CAÇAMBA 1,7 A 2,8 M3, PESO OPERACIONAL 11632 KG - JUROS. AF_06/2014</t>
  </si>
  <si>
    <t>PÁ CARREGADEIRA SOBRE RODAS, POTÊNCIA 197 HP, CAPACIDADE DA CAÇAMBA 2,5 A 3,5 M3, PESO OPERACIONAL 18338 KG - DEPRECIAÇÃO. AF_06/2014</t>
  </si>
  <si>
    <t>PÁ CARREGADEIRA SOBRE RODAS, POTÊNCIA 197 HP, CAPACIDADE DA CAÇAMBA 2,5 A 3,5 M3, PESO OPERACIONAL 18338 KG - JUROS. AF_06/2014</t>
  </si>
  <si>
    <t>(COMPOSIÇÃO REPRESENTATIVA) DO SERVIÇO DE ALVENARIA DE VEDAÇÃO DE BLOCOS VAZADOS DE CERÂMICA DE 9X19X19CM (ESPESSURA 9CM), PARA EDIFICAÇÃO HABITACIONAL UNIFAMILIAR (CASA) E EDIFICAÇÃO PÚBLICA PADRÃO. AF_11/2014</t>
  </si>
  <si>
    <t>(COMPOSIÇÃO REPRESENTATIVA) DO SERVIÇO DE ALVENARIA DE VEDAÇÃO DE BLOCOS VAZADOS DE CONCRETO DE 9X19X39CM (ESPESSURA 9CM), PARA EDIFICAÇÃO HABITACIONAL UNIFAMILIAR (CASA) E EDIFICAÇÃO PÚBLICA PADRÃO. AF_11/2014</t>
  </si>
  <si>
    <t>(COMPOSIÇÃO REPRESENTATIVA) DO SERVIÇO DE REVESTIMENTO CERÂMICO PARA PAREDES INTERNAS, MEIA PAREDE, OU PAREDE INTEIRA, PLACAS GRÊS OU SEMI-GRÊS DE 20X20 CM, PARA EDIFICAÇÕES HABITACIONAIS UNIFAMILIAR (CASAS) E EDIFICAÇÕES PÚBLICAS PADRÃO. AF_11/2014</t>
  </si>
  <si>
    <t>(COMPOSIÇÃO REPRESENTATIVA) DO SERVIÇO DE REVESTIMENTO CERÂMICO PARA PISO COM PLACAS TIPO GRÉS DE DIMENSÕES 35X35 CM, PARA EDIFICAÇÃO HABITACIONAL UNIFAMILIAR (CASA) E EDIFICAÇÃO PÚBLICA PADRÃO. AF_11/2014</t>
  </si>
  <si>
    <t>(COMPOSIÇÃO REPRESENTATIVA) DO SERVIÇO DE EMBOÇO/MASSA ÚNICA, APLICADO MANUALMENTE, TRAÇO 1:2:8, EM BETONEIRA DE 400L, PAREDES INTERNAS, COM EXECUÇÃO DE TALISCAS, EDIFICAÇÃO HABITACIONAL UNIFAMILIAR (CASAS) E EDIFICAÇÃO PÚBLICA PADRÃO. AF_12/2014</t>
  </si>
  <si>
    <t>ROLO COMPACTADOR VIBRATÓRIO DE UM CILINDRO AÇO LISO, POTÊNCIA 80 HP, PESO OPERACIONAL MÁXIMO 8,1 T, IMPACTO DINÂMICO 16,15 / 9,5 T, LARGURA DE TRABALHO 1,68 M - DEPRECIAÇÃO. AF_06/2014</t>
  </si>
  <si>
    <t>ROLO COMPACTADOR VIBRATÓRIO DE UM CILINDRO AÇO LISO, POTÊNCIA 80 HP, PESO OPERACIONAL MÁXIMO 8,1 T, IMPACTO DINÂMICO 16,15 / 9,5 T, LARGURA DE TRABALHO 1,68 M - JUROS. AF_06/2014</t>
  </si>
  <si>
    <t>BETONEIRA CAPACIDADE NOMINAL DE 600 L, CAPACIDADE DE MISTURA 360 L, MOTOR ELÉTRICO TRIFÁSICO POTÊNCIA DE 4 CV, SEM CARREGADOR - DEPRECIAÇÃO. AF_11/2014</t>
  </si>
  <si>
    <t>BETONEIRA CAPACIDADE NOMINAL DE 600 L, CAPACIDADE DE MISTURA 360 L, MOTOR ELÉTRICO TRIFÁSICO POTÊNCIA DE 4 CV, SEM CARREGADOR - JUROS. AF_11/2014</t>
  </si>
  <si>
    <t>BETONEIRA CAPACIDADE NOMINAL DE 600 L, CAPACIDADE DE MISTURA 360 L, MOTOR ELÉTRICO TRIFÁSICO POTÊNCIA DE 4 CV, SEM CARREGADOR - MANUTENÇÃO. AF_11/2014</t>
  </si>
  <si>
    <t>BETONEIRA CAPACIDADE NOMINAL DE 600 L, CAPACIDADE DE MISTURA 360 L, MOTOR ELÉTRICO TRIFÁSICO POTÊNCIA DE 4 CV, SEM CARREGADOR - MATERIAIS NA OPERAÇÃO. AF_11/2014</t>
  </si>
  <si>
    <t>BETONEIRA CAPACIDADE NOMINAL DE 600 L, CAPACIDADE DE MISTURA 360 L, MOTOR ELÉTRICO TRIFÁSICO POTÊNCIA DE 4 CV, SEM CARREGADOR - CHP DIURNO. AF_11/2014</t>
  </si>
  <si>
    <t>BETONEIRA CAPACIDADE NOMINAL DE 600 L, CAPACIDADE DE MISTURA 360 L, MOTOR ELÉTRICO TRIFÁSICO POTÊNCIA DE 4 CV, SEM CARREGADOR - CHI DIURNO. AF_11/2014</t>
  </si>
  <si>
    <t>FRESADORA DE ASFALTO A FRIO SOBRE RODAS, LARGURA FRESAGEM DE 1,0 M, POTÊNCIA 208 HP - DEPRECIAÇÃO. AF_11/2014</t>
  </si>
  <si>
    <t>FRESADORA DE ASFALTO A FRIO SOBRE RODAS, LARGURA FRESAGEM DE 1,0 M, POTÊNCIA 208 HP - JUROS. AF_11/2014</t>
  </si>
  <si>
    <t>FRESADORA DE ASFALTO A FRIO SOBRE RODAS, LARGURA FRESAGEM DE 1,0 M, POTÊNCIA 208 HP - MANUTENÇÃO. AF_11/2014</t>
  </si>
  <si>
    <t>FRESADORA DE ASFALTO A FRIO SOBRE RODAS, LARGURA FRESAGEM DE 1,0 M, POTÊNCIA 208 HP - MATERIAIS NA OPERAÇÃO. AF_11/2014</t>
  </si>
  <si>
    <t>FRESADORA DE ASFALTO A FRIO SOBRE RODAS, LARGURA FRESAGEM DE 1,0 M, POTÊNCIA 208 HP - CHP DIURNO. AF_11/2014</t>
  </si>
  <si>
    <t>FRESADORA DE ASFALTO A FRIO SOBRE RODAS, LARGURA FRESAGEM DE 1,0 M, POTÊNCIA 208 HP - CHI DIURNO. AF_11/2014</t>
  </si>
  <si>
    <t>FRESADORA DE ASFALTO A FRIO SOBRE RODAS, LARGURA FRESAGEM DE 2,0 M, POTÊNCIA 550 HP - DEPRECIAÇÃO. AF_11/2014</t>
  </si>
  <si>
    <t>FRESADORA DE ASFALTO A FRIO SOBRE RODAS, LARGURA FRESAGEM DE 2,0 M, POTÊNCIA 550 HP - JUROS. AF_11/2014</t>
  </si>
  <si>
    <t>FRESADORA DE ASFALTO A FRIO SOBRE RODAS, LARGURA FRESAGEM DE 2,0 M, POTÊNCIA 550 HP - MANUTENÇÃO. AF_11/2014</t>
  </si>
  <si>
    <t>FRESADORA DE ASFALTO A FRIO SOBRE RODAS, LARGURA FRESAGEM DE 2,0 M, POTÊNCIA 550 HP - MATERIAIS NA OPERAÇÃO. AF_11/2014</t>
  </si>
  <si>
    <t>VIBROACABADORA DE ASFALTO SOBRE ESTEIRAS, LARGURA DE PAVIMENTAÇÃO 1,90 M A 5,30 M, POTÊNCIA 105 HP CAPACIDADE 450 T/H - DEPRECIAÇÃO. AF_11/2014</t>
  </si>
  <si>
    <t>FRESADORA DE ASFALTO A FRIO SOBRE RODAS, LARGURA FRESAGEM DE 2,0 M, POTÊNCIA 550 HP - CHP DIURNO. AF_11/2014</t>
  </si>
  <si>
    <t>FRESADORA DE ASFALTO A FRIO SOBRE RODAS, LARGURA FRESAGEM DE 2,0 M, POTÊNCIA 550 HP - CHI DIURNO. AF_11/2014</t>
  </si>
  <si>
    <t>VIBROACABADORA DE ASFALTO SOBRE ESTEIRAS, LARGURA DE PAVIMENTAÇÃO 2,13 M A 4,55 M, POTÊNCIA 100 HP, CAPACIDADE 400 T/H - DEPRECIAÇÃO. AF_11/2014</t>
  </si>
  <si>
    <t>VIBROACABADORA DE ASFALTO SOBRE ESTEIRAS, LARGURA DE PAVIMENTAÇÃO 2,13 M A 4,55 M, POTÊNCIA 100 HP, CAPACIDADE 400 T/H - MANUTENÇÃO. AF_11/2014</t>
  </si>
  <si>
    <t>VIBROACABADORA DE ASFALTO SOBRE ESTEIRAS, LARGURA DE PAVIMENTAÇÃO 2,13 M A 4,55 M, POTÊNCIA 100 HP, CAPACIDADE 400 T/H - MATERIAIS NA OPERAÇÃO. AF_11/2014</t>
  </si>
  <si>
    <t>VIBROACABADORA DE ASFALTO SOBRE ESTEIRAS, LARGURA DE PAVIMENTAÇÃO 2,13 M A 4,55 M, POTÊNCIA 100 HP CAPACIDADE 400 T/H - CHP DIURNO. AF_11/2014</t>
  </si>
  <si>
    <t>VIBROACABADORA DE ASFALTO SOBRE ESTEIRAS, LARGURA DE PAVIMENTAÇÃO 2,13 M A 4,55 M, POTÊNCIA 100 HP, CAPACIDADE 400 T/H - CHI DIURNO. AF_11/2014</t>
  </si>
  <si>
    <t>GUINDAUTO HIDRÁULICO, CAPACIDADE MÁXIMA DE CARGA 6200 KG, MOMENTO MÁXIMO DE CARGA 11,7 TM, ALCANCE MÁXIMO HORIZONTAL 9,70 M, INCLUSIVE CAMINHÃO TOCO PBT 16.000 KG, POTÊNCIA DE 189 CV - DEPRECIAÇÃO. AF_06/2014</t>
  </si>
  <si>
    <t>GUINDAUTO HIDRÁULICO, CAPACIDADE MÁXIMA DE CARGA 6200 KG, MOMENTO MÁXIMO DE CARGA 11,7 TM, ALCANCE MÁXIMO HORIZONTAL 9,70 M, INCLUSIVE CAMINHÃO TOCO PBT 16.000 KG, POTÊNCIA DE 189 CV - JUROS. AF_06/2014</t>
  </si>
  <si>
    <t>GUINDAUTO HIDRÁULICO, CAPACIDADE MÁXIMA DE CARGA 6200 KG, MOMENTO MÁXIMO DE CARGA 11,7 TM, ALCANCE MÁXIMO HORIZONTAL 9,70 M, INCLUSIVE CAMINHÃO TOCO PBT 16.000 KG, POTÊNCIA DE 189 CV - MANUTENÇÃO. AF_06/2014</t>
  </si>
  <si>
    <t>CAMINHÃO TOCO, PBT 16.000 KG, CARGA ÚTIL MÁX. 10.685 KG, DIST. ENTRE EIXOS 4,8 M, POTÊNCIA 189 CV, INCLUSIVE CARROCERIA FIXA ABERTA DE MADEIRA P/ TRANSPORTE GERAL DE CARGA SECA, DIMEN. APROX. 2,5 X 7,00 X 0,50 M - DEPRECIAÇÃO. AF_06/2014</t>
  </si>
  <si>
    <t>CAMINHÃO TOCO, PBT 16.000 KG, CARGA ÚTIL MÁX. 10.685 KG, DIST. ENTRE EIXOS 4,8 M, POTÊNCIA 189 CV, INCLUSIVE CARROCERIA FIXA ABERTA DE MADEIRA P/ TRANSPORTE GERAL DE CARGA SECA, DIMEN. APROX. 2,5 X 7,00 X 0,50 M - JUROS. AF_06/2014</t>
  </si>
  <si>
    <t>CAMINHÃO TOCO, PBT 16.000 KG, CARGA ÚTIL MÁX. 10.685 KG, DIST. ENTRE EIXOS 4,8 M, POTÊNCIA 189 CV, INCLUSIVE CARROCERIA FIXA ABERTA DE MADEIRA P/ TRANSPORTE GERAL DE CARGA SECA, DIMEN. APROX. 2,5 X 7,00 X 0,50 M - IMPOSTOS E SEGUROS. AF_06/2014</t>
  </si>
  <si>
    <t>GUINDASTE HIDRÁULICO AUTOPROPELIDO, COM LANÇA TELESCÓPICA 28,80 M, CAPACIDADE MÁXIMA 30 T, POTÊNCIA 97 KW, TRAÇÃO 4 X 4 - DEPRECIAÇÃO. AF_11/2014</t>
  </si>
  <si>
    <t>GUINDASTE HIDRÁULICO AUTOPROPELIDO, COM LANÇA TELESCÓPICA 28,80 M, CAPACIDADE MÁXIMA 30 T, POTÊNCIA 97 KW, TRAÇÃO 4 X 4 - JUROS. AF_11/2014</t>
  </si>
  <si>
    <t>GUINDASTE HIDRÁULICO AUTOPROPELIDO, COM LANÇA TELESCÓPICA 28,80 M, CAPACIDADE MÁXIMA 30 T, POTÊNCIA 97 KW, TRAÇÃO 4 X 4 - IMPOSTOS E SEGUROS. AF_11/2014</t>
  </si>
  <si>
    <t>GUINDASTE HIDRÁULICO AUTOPROPELIDO, COM LANÇA TELESCÓPICA 28,80 M, CAPACIDADE MÁXIMA 30 T, POTÊNCIA 97 KW, TRAÇÃO 4 X 4 - MANUTENÇÃO. AF_11/2014</t>
  </si>
  <si>
    <t>GUINDASTE HIDRÁULICO AUTOPROPELIDO, COM LANÇA TELESCÓPICA 28,80 M, CAPACIDADE MÁXIMA 30 T, POTÊNCIA 97 KW, TRAÇÃO 4 X 4 - MATERIAIS NA OPERAÇÃO. AF_11/2014</t>
  </si>
  <si>
    <t>GUINDASTE HIDRÁULICO AUTOPROPELIDO, COM LANÇA TELESCÓPICA 28,80 M, CAPACIDADE MÁXIMA 30 T, POTÊNCIA 97 KW, TRAÇÃO 4 X 4 - CHP DIURNO. AF_11/2014</t>
  </si>
  <si>
    <t>GUINDASTE HIDRÁULICO AUTOPROPELIDO, COM LANÇA TELESCÓPICA 28,80 M, CAPACIDADE MÁXIMA 30 T, POTÊNCIA 97 KW, TRAÇÃO 4 X 4 - CHI DIURNO. AF_11/2014</t>
  </si>
  <si>
    <t>BETONEIRA CAPACIDADE NOMINAL DE 600 L, CAPACIDADE DE MISTURA 440 L, MOTOR A DIESEL POTÊNCIA 10 HP, COM CARREGADOR - DEPRECIAÇÃO. AF_11/2014</t>
  </si>
  <si>
    <t>BETONEIRA CAPACIDADE NOMINAL DE 600 L, CAPACIDADE DE MISTURA 440 L, MOTOR A DIESEL POTÊNCIA 10 HP, COM CARREGADOR - JUROS. AF_11/2014</t>
  </si>
  <si>
    <t>BETONEIRA CAPACIDADE NOMINAL DE 600 L, CAPACIDADE DE MISTURA 440 L, MOTOR A DIESEL POTÊNCIA 10 HP, COM CARREGADOR - MANUTENÇÃO. AF_11/2014</t>
  </si>
  <si>
    <t>BETONEIRA CAPACIDADE NOMINAL DE 600 L, CAPACIDADE DE MISTURA 440 L, MOTOR A DIESEL POTÊNCIA 10 HP, COM CARREGADOR - MATERIAIS NA OPERAÇÃO. AF_11/2014</t>
  </si>
  <si>
    <t>BETONEIRA CAPACIDADE NOMINAL DE 600 L, CAPACIDADE DE MISTURA 440 L, MOTOR A DIESEL POTÊNCIA 10 HP, COM CARREGADOR - CHP DIURNO. AF_11/2014</t>
  </si>
  <si>
    <t>BETONEIRA CAPACIDADE NOMINAL DE 600 L, CAPACIDADE DE MISTURA 440 L, MOTOR A DIESEL POTÊNCIA 10 HP, COM CARREGADOR - CHI DIURNO. AF_11/2014</t>
  </si>
  <si>
    <t>ROLO COMPACTADOR VIBRATÓRIO TANDEM AÇO LISO, POTÊNCIA 58 HP, PESO SEM/COM LASTRO 6,5 / 9,4 T, LARGURA DE TRABALHO 1,2 M - DEPRECIAÇÃO. AF_06/2014</t>
  </si>
  <si>
    <t>ROLO COMPACTADOR VIBRATÓRIO TANDEM AÇO LISO, POTÊNCIA 58 HP, PESO SEM/COM LASTRO 6,5 / 9,4 T, LARGURA DE TRABALHO 1,2 M - JUROS. AF_06/2014</t>
  </si>
  <si>
    <t>ALVENARIA ESTRUTURAL DE BLOCOS CERÂMICOS 14X19X39, (ESPESSURA DE 14 CM), PARA PAREDES COM ÁREA LÍQUIDA MENOR QUE 6M², SEM VÃOS, UTILIZANDO PALHETA E ARGAMASSA DE ASSENTAMENTO COM PREPARO EM BETONEIRA. AF_12/2014</t>
  </si>
  <si>
    <t>ALVENARIA ESTRUTURAL DE BLOCOS CERÂMICOS 14X19X39, (ESPESSURA DE 14 CM), PARA PAREDES COM ÁREA LÍQUIDA MENOR QUE 6M², SEM VÃOS, UTILIZANDO PALHETA E ARGAMASSA DE ASSENTAMENTO COM PREPARO MANUAL. AF_12/2014</t>
  </si>
  <si>
    <t>ALVENARIA ESTRUTURAL DE BLOCOS CERÂMICOS 14X19X39, (ESPESSURA DE 14 CM), PARA PAREDES COM ÁREA LÍQUIDA MAIOR OU IGUAL QUE 6M², SEM VÃOS, UTILIZANDO PALHETA E ARGAMASSA DE ASSENTAMENTO COM PREPARO EM BETONEIRA. AF_12/2014</t>
  </si>
  <si>
    <t>ALVENARIA ESTRUTURAL DE BLOCOS CERÂMICOS 14X19X39, (ESPESSURA DE 14 CM), PARA PAREDES COM ÁREA LÍQUIDA MAIOR OU IGUAL QUE 6M², SEM VÃOS, UTILIZANDO PALHETA E ARGAMASSA DE ASSENTAMENTO COM PREPARO MANUAL. AF_12/2014</t>
  </si>
  <si>
    <t>ALVENARIA ESTRUTURAL DE BLOCOS CERÂMICOS 14X19X39, (ESPESSURA DE 14 CM), PARA PAREDES COM ÁREA LÍQUIDA MENOR QUE 6M², COM VÃOS, UTILIZANDO PALHETA E ARGAMASSA DE ASSENTAMENTO COM PREPARO EM BETONEIRA. AF_12/2014</t>
  </si>
  <si>
    <t>ALVENARIA ESTRUTURAL DE BLOCOS CERÂMICOS 14X19X39, (ESPESSURA DE 14 CM), PARA PAREDES COM ÁREA LÍQUIDA MENOR QUE 6M², COM VÃOS, UTILIZANDO PALHETA E ARGAMASSA DE ASSENTAMENTO COM PREPARO MANUAL. AF_12/2014</t>
  </si>
  <si>
    <t>ALVENARIA ESTRUTURAL DE BLOCOS CERÂMICOS 14X19X39, (ESPESSURA DE 14 CM), PARA PAREDES COM ÁREA LÍQUIDA MAIOR OU IGUAL A 6M², COM VÃOS, UTILIZANDO PALHETA E ARGAMASSA DE ASSENTAMENTO COM PREPARO EM BETONEIRA. AF_12/2014</t>
  </si>
  <si>
    <t>ALVENARIA ESTRUTURAL DE BLOCOS CERÂMICOS 14X19X39, (ESPESSURA DE 14 CM), PARA PAREDES COM ÁREA LÍQUIDA MAIOR OU IGUAL A 6M², COM VÃOS, UTILIZANDO PALHETA E ARGAMASSA DE ASSENTAMENTO COM PREPARO MANUAL. AF_12/2014</t>
  </si>
  <si>
    <t>ALVENARIA ESTRUTURAL DE BLOCOS CERÂMICOS 14X19X29, (ESPESSURA DE 14 CM), PARA PAREDES COM ÁREA LÍQUIDA MENOR QUE 6M², SEM VÃOS, UTILIZANDO PALHETA E ARGAMASSA DE ASSENTAMENTO COM PREPARO EM BETONEIRA. AF_12/2014</t>
  </si>
  <si>
    <t>ALVENARIA ESTRUTURAL DE BLOCOS CERÂMICOS 14X19X29, (ESPESSURA DE 14 CM), PARA PAREDES COM ÁREA LÍQUIDA MENOR QUE 6M², SEM VÃOS, UTILIZANDO PALHETA E ARGAMASSA DE ASSENTAMENTO COM PREPARO MANUAL. AF_12/2014</t>
  </si>
  <si>
    <t>ALVENARIA ESTRUTURAL DE BLOCOS CERÂMICOS 14X19X29, (ESPESSURA DE 14 CM), PARA PAREDES COM ÁREA LÍQUIDA MAIOR OU IGUAL A 6M², SEM VÃOS, UTILIZANDO PALHETA E ARGAMASSA DE ASSENTAMENTO COM PREPARO EM BETONEIRA. AF_12/2014</t>
  </si>
  <si>
    <t>ALVENARIA ESTRUTURAL DE BLOCOS CERÂMICOS 14X19X29, (ESPESSURA DE 14 CM), PARA PAREDES COM ÁREA LÍQUIDA MAIOR OU IGUAL A 6M2, SEM VÃOS, UTILIZANDO PALHETA E ARGAMASSA DE ASSENTAMENTO COM PREPARO MANUAL. AF_12/2014</t>
  </si>
  <si>
    <t>ALVENARIA ESTRUTURAL DE BLOCOS CERÂMICOS 14X19X29, (ESPESSURA DE 14 CM), PARA PAREDES COM ÁREA LÍQUIDA MENOR QUE 6M², COM VÃOS, UTILIZANDO PALHETA E ARGAMASSA DE ASSENTAMENTO COM PREPARO EM BETONEIRA. AF_12/2014</t>
  </si>
  <si>
    <t>ALVENARIA ESTRUTURAL DE BLOCOS CERÂMICOS 14X19X29, (ESPESSURA DE 14 CM), PARA PAREDES COM ÁREA LÍQUIDA MENOR QUE 6M², COM VÃOS, UTILIZANDO PALHETA E ARGAMASSA DE ASSENTAMENTO COM PREPARO MANUAL. AF_12/2014</t>
  </si>
  <si>
    <t>ALVENARIA ESTRUTURAL DE BLOCOS CERÂMICOS 14X19X29, (ESPESSURA DE 14 CM), PARA PAREDES COM ÁREA LÍQUIDA MAIOR OU IGUAL A 6M², COM VÃOS, UTILIZANDO PALHETA E ARGAMASSA DE ASSENTAMENTO COM PREPARO EM BETONEIRA. AF_12/2014</t>
  </si>
  <si>
    <t>ALVENARIA ESTRUTURAL DE BLOCOS CERÂMICOS 14X19X29, (ESPESSURA DE 14 CM), PARA PAREDES COM ÁREA LÍQUIDA MAIOR OU IGUAL A 6M², COM VÃOS, UTILIZANDO PALHETA E ARGAMASSA DE ASSENTAMENTO COM PREPARO MANUAL. AF_12/2014</t>
  </si>
  <si>
    <t>ALVENARIA ESTRUTURAL DE BLOCOS CERÂMICOS 14X19X39, (ESPESSURA DE 14 CM), PARA PAREDES COM ÁREA LÍQUIDA MENOR QUE 6M², SEM VÃOS, UTILIZANDO COLHER DE PEDREIRO E ARGAMASSA DE ASSENTAMENTO COM PREPARO EM BETONEIRA. AF_12/2014</t>
  </si>
  <si>
    <t>ALVENARIA ESTRUTURAL DE BLOCOS CERÂMICOS 14X19X39, (ESPESSURA DE 14 CM), PARA PAREDES COM ÁREA LÍQUIDA MENOR QUE 6M², SEM VÃOS, UTILIZANDO COLHER DE PEDREIRO E ARGAMASSA DE ASSENTAMENTO COM PREPARO MANUAL. AF_12/2014</t>
  </si>
  <si>
    <t>ALVENARIA ESTRUTURAL DE BLOCOS CERÂMICOS 14X19X39, (ESPESSURA DE 14 CM), PARA PAREDES COM ÁREA LÍQUIDA MAIOR OU IGUAL A 6M², SEM VÃOS, UTILIZANDO COLHER DE PEDREIRO E ARGAMASSA DE ASSENTAMENTO COM PREPARO EM BETONEIRA. AF_12/2014</t>
  </si>
  <si>
    <t>ALVENARIA ESTRUTURAL DE BLOCOS CERÂMICOS 14X19X39, (ESPESSURA DE 14 CM), PARA PAREDES COM ÁREA LÍQUIDA MAIOR OU IGUAL A 6M², SEM VÃOS, UTILIZANDO COLHER DE PEDREIRO E ARGAMASSA DE ASSENTAMENTO COM PREPARO MANUAL. AF_12/2014</t>
  </si>
  <si>
    <t>ALVENARIA ESTRUTURAL DE BLOCOS CERÂMICOS 14X19X39, (ESPESSURA DE 14 CM), PARA PAREDES COM ÁREA LÍQUIDA MENOR QUE 6M², COM VÃOS, UTILIZANDO COLHER DE PEDREIRO E ARGAMASSA DE ASSENTAMENTO COM PREPARO EM BETONEIRA. AF_12/2014</t>
  </si>
  <si>
    <t>ALVENARIA ESTRUTURAL DE BLOCOS CERÂMICOS 14X19X39, (ESPESSURA DE 14 CM), PARA PAREDES COM ÁREA LÍQUIDA MENOR QUE 6M², COM VÃOS, UTILIZANDO COLHER DE PEDREIRO E ARGAMASSA DE ASSENTAMENTO COM PREPARO MANUAL. AF_12/2014</t>
  </si>
  <si>
    <t>ALVENARIA ESTRUTURAL DE BLOCOS CERÂMICOS 14X19X39, (ESPESSURA DE 14 CM), PARA PAREDES COM ÁREA LÍQUIDA MAIOR OU IGUAL A 6M², COM VÃOS, UTILIZANDO COLHER DE PEDREIRO E ARGAMASSA DE ASSENTAMENTO COM PREPARO EM BETONEIRA. AF_12/2014</t>
  </si>
  <si>
    <t>ALVENARIA ESTRUTURAL DE BLOCOS CERÂMICOS 14X19X39, (ESPESSURA DE 14 CM), PARA PAREDES COM ÁREA LÍQUIDA MAIOR OU IGUAL A 6M², COM VÃOS, UTILIZANDO COLHER DE PEDREIRO E ARGAMASSA DE ASSENTAMENTO COM PREPARO MANUAL. AF_12/2014</t>
  </si>
  <si>
    <t>ALVENARIA ESTRUTURAL DE BLOCOS CERÂMICOS 14X19X29, (ESPESSURA DE 14 CM), PARA PAREDES COM ÁREA LÍQUIDA MENOR QUE 6M², SEM VÃOS, UTILIZANDO COLHER DE PEDREIRO E ARGAMASSA DE ASSENTAMENTO COM PREPARO EM BETONEIRA. AF_12/2014</t>
  </si>
  <si>
    <t>ALVENARIA ESTRUTURAL DE BLOCOS CERÂMICOS 14X19X29, (ESPESSURA DE 14 CM), PARA PAREDES COM ÁREA LÍQUIDA MENOR QUE 6M², SEM VÃOS, UTILIZANDO COLHER DE PEDREIRO E ARGAMASSA DE ASSENTAMENTO COM PREPARO MANUAL. AF_12/2014</t>
  </si>
  <si>
    <t>ALVENARIA ESTRUTURAL DE BLOCOS CERÂMICOS 14X19X29, (ESPESSURA DE 14 CM), PARA PAREDES COM ÁREA LÍQUIDA MAIOR OU IGUAL A 6M², SEM VÃOS, UTILIZANDO COLHER DE PEDREIRO E ARGAMASSA DE ASSENTAMENTO COM PREPARO EM BETONEIRA. AF_12/2014</t>
  </si>
  <si>
    <t>ALVENARIA ESTRUTURAL DE BLOCOS CERÂMICOS 14X19X29, (ESPESSURA DE 14 CM), PARA PAREDES COM ÁREA LÍQUIDA MAIOR OU IGUAL A 6M², SEM VÃOS, UTILIZANDO COLHER DE PEDREIRO E ARGAMASSA DE ASSENTAMENTO COM PREPARO MANUAL. AF_12/2014</t>
  </si>
  <si>
    <t>ALVENARIA ESTRUTURAL DE BLOCOS CERÂMICOS 14X19X29, (ESPESSURA DE 14 CM), PARA PAREDES COM ÁREA LÍQUIDA MENOR QUE 6M², COM VÃOS, UTILIZANDO COLHER DE PEDREIRO E ARGAMASSA DE ASSENTAMENTO COM PREPARO EM BETONEIRA. AF_12/2014</t>
  </si>
  <si>
    <t>ALVENARIA ESTRUTURAL DE BLOCOS CERÂMICOS 14X19X29, (ESPESSURA DE 14 CM), PARA PAREDES COM ÁREA LÍQUIDA MENOR QUE 6M², COM VÃOS, UTILIZANDO COLHER DE PEDREIRO E ARGAMASSA DE ASSENTAMENTO COM PREPARO MANUAL. AF_12/2014</t>
  </si>
  <si>
    <t>ALVENARIA ESTRUTURAL DE BLOCOS CERÂMICOS 14X19X29, (ESPESSURA DE 14 CM), PARA PAREDES COM ÁREA LÍQUIDA MAIOR OU IGUAL A 6M², COM VÃOS, UTILIZANDO COLHER DE PEDREIRO E ARGAMASSA DE ASSENTAMENTO COM PREPARO EM BETONEIRA. AF_12/2014</t>
  </si>
  <si>
    <t>ALVENARIA ESTRUTURAL DE BLOCOS CERÂMICOS 14X19X29, (ESPESSURA DE 14 CM), PARA PAREDES COM ÁREA LÍQUIDA MAIOR OU IGUAL A 6M², COM VÃOS, UTILIZANDO COLHER DE PEDREIRO E ARGAMASSA DE ASSENTAMENTO COM PREPARO MANUAL. AF_12/2014</t>
  </si>
  <si>
    <t>REGISTRO DE PRESSÃO BRUTO, LATÃO, ROSCÁVEL, 1/2", FORNECIDO E INSTALADO EM RAMAL DE ÁGUA. AF_12/2014</t>
  </si>
  <si>
    <t>JOELHO 90 GRAUS, PVC, SOLDÁVEL, DN 20MM, INSTALADO EM RAMAL OU SUB-RAMAL DE ÁGUA - FORNECIMENTO E INSTALAÇÃO. AF_12/2014</t>
  </si>
  <si>
    <t>JOELHO 45 GRAUS, PVC, SOLDÁVEL, DN 20MM, INSTALADO EM RAMAL OU SUB-RAMAL DE ÁGUA - FORNECIMENTO E INSTALAÇÃO. AF_12/2014</t>
  </si>
  <si>
    <t>CURVA 90 GRAUS, PVC, SOLDÁVEL, DN 20MM, INSTALADO EM RAMAL OU SUB-RAMAL DE ÁGUA - FORNECIMENTO E INSTALAÇÃO. AF_12/2014</t>
  </si>
  <si>
    <t>CURVA 45 GRAUS, PVC, SOLDÁVEL, DN 20MM, INSTALADO EM RAMAL OU SUB-RAMAL DE ÁGUA - FORNECIMENTO E INSTALAÇÃO. AF_12/2014</t>
  </si>
  <si>
    <t>JOELHO 90 GRAUS, PVC, SOLDÁVEL, DN 25MM, INSTALADO EM RAMAL OU SUB-RAMAL DE ÁGUA - FORNECIMENTO E INSTALAÇÃO. AF_12/2014</t>
  </si>
  <si>
    <t>JOELHO 45 GRAUS, PVC, SOLDÁVEL, DN 25MM, INSTALADO EM RAMAL OU SUB-RAMAL DE ÁGUA - FORNECIMENTO E INSTALAÇÃO. AF_12/2014</t>
  </si>
  <si>
    <t>CURVA 90 GRAUS, PVC, SOLDÁVEL, DN 25MM, INSTALADO EM RAMAL OU SUB-RAMAL DE ÁGUA - FORNECIMENTO E INSTALAÇÃO. AF_12/2014</t>
  </si>
  <si>
    <t>CURVA 45 GRAUS, PVC, SOLDÁVEL, DN 25MM, INSTALADO EM RAMAL OU SUB-RAMAL DE ÁGUA - FORNECIMENTO E INSTALAÇÃO. AF_12/2014</t>
  </si>
  <si>
    <t>JOELHO 90 GRAUS COM BUCHA DE LATÃO, PVC, SOLDÁVEL, DN 25MM, X 3/4 INSTALADO EM RAMAL OU SUB-RAMAL DE ÁGUA - FORNECIMENTO E INSTALAÇÃO. AF_12/2014</t>
  </si>
  <si>
    <t>JOELHO 90 GRAUS, PVC, SOLDÁVEL, DN 32MM, INSTALADO EM RAMAL OU SUB-RAMAL DE ÁGUA - FORNECIMENTO E INSTALAÇÃO. AF_12/2014</t>
  </si>
  <si>
    <t>JOELHO 45 GRAUS, PVC, SOLDÁVEL, DN 32MM, INSTALADO EM RAMAL OU SUB-RAMAL DE ÁGUA - FORNECIMENTO E INSTALAÇÃO. AF_12/2014</t>
  </si>
  <si>
    <t>CURVA 90 GRAUS, PVC, SOLDÁVEL, DN 32MM, INSTALADO EM RAMAL OU SUB-RAMAL DE ÁGUA - FORNECIMENTO E INSTALAÇÃO. AF_12/2014</t>
  </si>
  <si>
    <t>CURVA 45 GRAUS, PVC, SOLDÁVEL, DN 32MM, INSTALADO EM RAMAL OU SUB-RAMAL DE ÁGUA - FORNECIMENTO E INSTALAÇÃO. AF_12/2014</t>
  </si>
  <si>
    <t>LUVA DE CORRER, PVC, SOLDÁVEL, DN 20MM, INSTALADO EM RAMAL OU SUB-RAMAL DE ÁGUA - FORNECIMENTO E INSTALAÇÃO. AF_12/2014</t>
  </si>
  <si>
    <t>LUVA COM BUCHA DE LATÃO, PVC, SOLDÁVEL, DN 20MM X 1/2, INSTALADO EM RAMAL OU SUB-RAMAL DE ÁGUA - FORNECIMENTO E INSTALAÇÃO. AF_12/2014</t>
  </si>
  <si>
    <t>ADAPTADOR CURTO COM BOLSA E ROSCA PARA REGISTRO, PVC, SOLDÁVEL, DN 20MM X 1/2, INSTALADO EM RAMAL OU SUB-RAMAL DE ÁGUA - FORNECIMENTO E INSTALAÇÃO. AF_12/2014</t>
  </si>
  <si>
    <t>CURVA DE TRANSPOSIÇÃO, PVC, SOLDÁVEL, DN 20MM, INSTALADO EM RAMAL OU SUB-RAMAL DE ÁGUA - FORNECIMENTO E INSTALAÇÃO. AF_12/2014</t>
  </si>
  <si>
    <t>LUVA DE CORRER, PVC, SOLDÁVEL, DN 25MM, INSTALADO EM RAMAL OU SUB-RAMAL DE ÁGUA - FORNECIMENTO E INSTALAÇÃO. AF_12/2014</t>
  </si>
  <si>
    <t>LUVA COM BUCHA DE LATÃO, PVC, SOLDÁVEL, DN 25MM X 3/4, INSTALADO EM RAMAL OU SUB-RAMAL DE ÁGUA - FORNECIMENTO E INSTALAÇÃO. AF_12/2014</t>
  </si>
  <si>
    <t>ADAPTADOR CURTO COM BOLSA E ROSCA PARA REGISTRO, PVC, SOLDÁVEL, DN 25MM X 3/4, INSTALADO EM RAMAL OU SUB-RAMAL DE ÁGUA - FORNECIMENTO E INSTALAÇÃO. AF_12/2014</t>
  </si>
  <si>
    <t>CURVA DE TRANSPOSIÇÃO, PVC, SOLDÁVEL, DN 25MM, INSTALADO EM RAMAL OU SUB-RAMAL DE ÁGUA   FORNECIMENTO E INSTALAÇÃO. AF_12/2014</t>
  </si>
  <si>
    <t>LUVA SOLDÁVEL E COM ROSCA, PVC, SOLDÁVEL, DN 25MM X 3/4, INSTALADO EM RAMAL OU SUB-RAMAL DE ÁGUA - FORNECIMENTO E INSTALAÇÃO. AF_12/2014</t>
  </si>
  <si>
    <t>LUVA DE CORRER, PVC, SOLDÁVEL, DN 32MM, INSTALADO EM RAMAL OU SUB-RAMAL DE ÁGUA   FORNECIMENTO E INSTALAÇÃO. AF_12/2014</t>
  </si>
  <si>
    <t>LUVA SOLDÁVEL E COM ROSCA, PVC, SOLDÁVEL, DN 32MM X 1, INSTALADO EM RAMAL OU SUB-RAMAL DE ÁGUA - FORNECIMENTO E INSTALAÇÃO. AF_12/2014</t>
  </si>
  <si>
    <t>ADAPTADOR CURTO COM BOLSA E ROSCA PARA REGISTRO, PVC, SOLDÁVEL, DN 32MM X 1, INSTALADO EM RAMAL OU SUB-RAMAL DE ÁGUA - FORNECIMENTO E INSTALAÇÃO. AF_12/2014</t>
  </si>
  <si>
    <t>CURVA DE TRANSPOSIÇÃO, PVC, SOLDÁVEL, DN 32MM, INSTALADO EM RAMAL OU SUB-RAMAL DE ÁGUA   FORNECIMENTO E INSTALAÇÃO. AF_12/2014</t>
  </si>
  <si>
    <t>TÊ COM BUCHA DE LATÃO NA BOLSA CENTRAL, PVC, SOLDÁVEL, DN 20MM X 1/2, INSTALADO EM RAMAL OU SUB-RAMAL DE ÁGUA - FORNECIMENTO E INSTALAÇÃO. AF_12/2014</t>
  </si>
  <si>
    <t>TÊ COM BUCHA DE LATÃO NA BOLSA CENTRAL, PVC, SOLDÁVEL, DN 25MM X 1/2, INSTALADO EM RAMAL OU SUB-RAMAL DE ÁGUA - FORNECIMENTO E INSTALAÇÃO. AF_12/2014</t>
  </si>
  <si>
    <t>TÊ DE REDUÇÃO, PVC, SOLDÁVEL, DN 25MM X 20MM, INSTALADO EM RAMAL OU SUB-RAMAL DE ÁGUA - FORNECIMENTO E INSTALAÇÃO. AF_12/2014</t>
  </si>
  <si>
    <t>TÊ COM BUCHA DE LATÃO NA BOLSA CENTRAL, PVC, SOLDÁVEL, DN 32MM X 3/4, INSTALADO EM RAMAL OU SUB-RAMAL DE ÁGUA - FORNECIMENTO E INSTALAÇÃO. AF_12/2014</t>
  </si>
  <si>
    <t>TÊ DE REDUÇÃO, PVC, SOLDÁVEL, DN 32MM X 25MM, INSTALADO EM RAMAL OU SUB-RAMAL DE ÁGUA - FORNECIMENTO E INSTALAÇÃO. AF_12/2014</t>
  </si>
  <si>
    <t>TUBO, PVC, SOLDÁVEL, DN 20MM, INSTALADO EM RAMAL DE DISTRIBUIÇÃO DE ÁGUA - FORNECIMENTO E INSTALAÇÃO. AF_12/2014</t>
  </si>
  <si>
    <t>TUBO, PVC, SOLDÁVEL, DN 25MM, INSTALADO EM RAMAL DE DISTRIBUIÇÃO DE ÁGUA - FORNECIMENTO E INSTALAÇÃO. AF_12/2014</t>
  </si>
  <si>
    <t>TUBO, PVC, SOLDÁVEL, DN 32MM, INSTALADO EM RAMAL DE DISTRIBUIÇÃO DE ÁGUA - FORNECIMENTO E INSTALAÇÃO. AF_12/2014</t>
  </si>
  <si>
    <t>JOELHO 90 GRAUS, PVC, SOLDÁVEL, DN 20MM, INSTALADO EM RAMAL DE DISTRIBUIÇÃO DE ÁGUA - FORNECIMENTO E INSTALAÇÃO. AF_12/2014</t>
  </si>
  <si>
    <t>JOELHO 45 GRAUS, PVC, SOLDÁVEL, DN 20MM, INSTALADO EM RAMAL DE DISTRIBUIÇÃO DE ÁGUA - FORNECIMENTO E INSTALAÇÃO. AF_12/2014</t>
  </si>
  <si>
    <t>CURVA 90 GRAUS, PVC, SOLDÁVEL, DN 20MM, INSTALADO EM RAMAL DE DISTRIBUIÇÃO DE ÁGUA - FORNECIMENTO E INSTALAÇÃO. AF_12/2014</t>
  </si>
  <si>
    <t>CURVA 45 GRAUS, PVC, SOLDÁVEL, DN 20MM, INSTALADO EM RAMAL DE DISTRIBUIÇÃO DE ÁGUA - FORNECIMENTO E INSTALAÇÃO. AF_12/2014</t>
  </si>
  <si>
    <t>JOELHO 90 GRAUS, PVC, SOLDÁVEL, DN 25MM, INSTALADO EM RAMAL DE DISTRIBUIÇÃO DE ÁGUA - FORNECIMENTO E INSTALAÇÃO. AF_12/2014</t>
  </si>
  <si>
    <t>JOELHO 45 GRAUS, PVC, SOLDÁVEL, DN 25MM, INSTALADO EM RAMAL DE DISTRIBUIÇÃO DE ÁGUA - FORNECIMENTO E INSTALAÇÃO. AF_12/2014</t>
  </si>
  <si>
    <t>CURVA 90 GRAUS, PVC, SOLDÁVEL, DN 25MM, INSTALADO EM RAMAL DE DISTRIBUIÇÃO DE ÁGUA - FORNECIMENTO E INSTALAÇÃO. AF_12/2014</t>
  </si>
  <si>
    <t>CURVA 45 GRAUS, PVC, SOLDÁVEL, DN 25MM, INSTALADO EM RAMAL DE DISTRIBUIÇÃO DE ÁGUA - FORNECIMENTO E INSTALAÇÃO. AF_12/2014</t>
  </si>
  <si>
    <t>JOELHO 90 GRAUS, PVC, SOLDÁVEL, DN 25MM, X 3/4 INSTALADO EM RAMAL DE DISTRIBUIÇÃO DE ÁGUA - FORNECIMENTO E INSTALAÇÃO. AF_12/2014</t>
  </si>
  <si>
    <t>JOELHO 90 GRAUS, PVC, SOLDÁVEL, DN 32MM, INSTALADO EM RAMAL DE DISTRIBUIÇÃO DE ÁGUA - FORNECIMENTO E INSTALAÇÃO. AF_12/2014</t>
  </si>
  <si>
    <t>JOELHO 45 GRAUS, PVC, SOLDÁVEL, DN 32MM, INSTALADO EM RAMAL DE DISTRIBUIÇÃO DE ÁGUA - FORNECIMENTO E INSTALAÇÃO. AF_12/2014</t>
  </si>
  <si>
    <t>CURVA 90 GRAUS, PVC, SOLDÁVEL, DN 32MM, INSTALADO EM RAMAL DE DISTRIBUIÇÃO DE ÁGUA - FORNECIMENTO E INSTALAÇÃO. AF_12/2014</t>
  </si>
  <si>
    <t>CURVA 45 GRAUS, PVC, SOLDÁVEL, DN 32MM, INSTALADO EM RAMAL DE DISTRIBUIÇÃO DE ÁGUA - FORNECIMENTO E INSTALAÇÃO. AF_12/2014</t>
  </si>
  <si>
    <t>LUVA, PVC, SOLDÁVEL, DN 20MM, INSTALADO EM RAMAL DE DISTRIBUIÇÃO DE ÁGUA - FORNECIMENTO E INSTALAÇÃO. AF_12/2014</t>
  </si>
  <si>
    <t>LUVA DE CORRER, PVC, SOLDÁVEL, DN 20MM, INSTALADO EM RAMAL DE DISTRIBUIÇÃO DE ÁGUA - FORNECIMENTO E INSTALAÇÃO. AF_12/2014</t>
  </si>
  <si>
    <t>LUVA COM BUCHA DE LATÃO, PVC, SOLDÁVEL, DN 20MM X 1/2, INSTALADO EM RAMAL DE DISTRIBUIÇÃO DE ÁGUA - FORNECIMENTO E INSTALAÇÃO. AF_12/2014</t>
  </si>
  <si>
    <t>UNIÃO, PVC, SOLDÁVEL, DN 20MM, INSTALADO EM RAMAL DE DISTRIBUIÇÃO DE ÁGUA - FORNECIMENTO E INSTALAÇÃO. AF_12/2014</t>
  </si>
  <si>
    <t>ADAPTADOR CURTO COM BOLSA E ROSCA PARA REGISTRO, PVC, SOLDÁVEL, DN 20MM X 1/2, INSTALADO EM RAMAL DE DISTRIBUIÇÃO DE ÁGUA - FORNECIMENTO E INSTALAÇÃO. AF_12/2014</t>
  </si>
  <si>
    <t>CURVA DE TRANSPOSIÇÃO, PVC, SOLDÁVEL, DN 20MM, INSTALADO EM RAMAL DE DISTRIBUIÇÃO DE ÁGUA   FORNECIMENTO E INSTALAÇÃO. AF_12/2014</t>
  </si>
  <si>
    <t>LUVA, PVC, SOLDÁVEL, DN 25MM, INSTALADO EM RAMAL DE DISTRIBUIÇÃO DE ÁGUA - FORNECIMENTO E INSTALAÇÃO. AF_12/2014</t>
  </si>
  <si>
    <t>LUVA DE CORRER, PVC, SOLDÁVEL, DN 25MM, INSTALADO EM RAMAL DE DISTRIBUIÇÃO DE ÁGUA - FORNECIMENTO E INSTALAÇÃO. AF_12/2014</t>
  </si>
  <si>
    <t>LUVA COM BUCHA DE LATÃO, PVC, SOLDÁVEL, DN 25MM X 3/4, INSTALADO EM RAMAL DE DISTRIBUIÇÃO DE ÁGUA - FORNECIMENTO E INSTALAÇÃO. AF_12/2014</t>
  </si>
  <si>
    <t>UNIÃO, PVC, SOLDÁVEL, DN 25MM, INSTALADO EM RAMAL DE DISTRIBUIÇÃO DE ÁGUA - FORNECIMENTO E INSTALAÇÃO. AF_12/2014</t>
  </si>
  <si>
    <t>ADAPTADOR CURTO COM BOLSA E ROSCA PARA REGISTRO, PVC, SOLDÁVEL, DN 25MM X 3/4, INSTALADO EM RAMAL DE DISTRIBUIÇÃO DE ÁGUA - FORNECIMENTO E INSTALAÇÃO. AF_12/2014</t>
  </si>
  <si>
    <t>CURVA DE TRANSPOSIÇÃO, PVC, SOLDÁVEL, DN 25MM, INSTALADO EM RAMAL DE DISTRIBUIÇÃO DE ÁGUA   FORNECIMENTO E INSTALAÇÃO. AF_12/2014</t>
  </si>
  <si>
    <t>LUVA, PVC, SOLDÁVEL, DN 32MM, INSTALADO EM RAMAL DE DISTRIBUIÇÃO DE ÁGUA - FORNECIMENTO E INSTALAÇÃO. AF_12/2014</t>
  </si>
  <si>
    <t>LUVA DE CORRER, PVC, SOLDÁVEL, DN 32MM, INSTALADO EM RAMAL DE DISTRIBUIÇÃO DE ÁGUA   FORNECIMENTO E INSTALAÇÃO. AF_12/2014</t>
  </si>
  <si>
    <t>LUVA SOLDÁVEL E COM ROSCA, PVC, SOLDÁVEL, DN 32MM X 1, INSTALADO EM RAMAL DE DISTRIBUIÇÃO DE ÁGUA - FORNECIMENTO E INSTALAÇÃO. AF_12/2014</t>
  </si>
  <si>
    <t>UNIÃO, PVC, SOLDÁVEL, DN 32MM, INSTALADO EM RAMAL DE DISTRIBUIÇÃO DE ÁGUA - FORNECIMENTO E INSTALAÇÃO. AF_12/2014</t>
  </si>
  <si>
    <t>ADAPTADOR CURTO COM BOLSA E ROSCA PARA REGISTRO, PVC, SOLDÁVEL, DN 32MM X 1, INSTALADO EM RAMAL DE DISTRIBUIÇÃO DE ÁGUA - FORNECIMENTO E INSTALAÇÃO. AF_12/2014</t>
  </si>
  <si>
    <t>CURVA DE TRANSPOSIÇÃO, PVC, SOLDÁVEL, DN 32MM, INSTALADO EM RAMAL DE DISTRIBUIÇÃO DE ÁGUA   FORNECIMENTO E INSTALAÇÃO. AF_12/2014</t>
  </si>
  <si>
    <t>TÊ SOLDÁVEL E COM ROSCA NA BOLSA CENTRAL, PVC, SOLDÁVEL, DN 20MM X 1/2, INSTALADO EM RAMAL DE DISTRIBUIÇÃO DE ÁGUA - FORNECIMENTO E INSTALAÇÃO. AF_12/2014</t>
  </si>
  <si>
    <t>TÊ COM BUCHA DE LATÃO NA BOLSA CENTRAL, PVC, SOLDÁVEL, DN 25MM X 1/2, INSTALADO EM RAMAL DE DISTRIBUIÇÃO DE ÁGUA - FORNECIMENTO E INSTALAÇÃO. AF_12/2014</t>
  </si>
  <si>
    <t>TÊ DE REDUÇÃO, PVC, SOLDÁVEL, DN 25MM X 20MM, INSTALADO EM RAMAL DE DISTRIBUIÇÃO DE ÁGUA - FORNECIMENTO E INSTALAÇÃO. AF_12/2014</t>
  </si>
  <si>
    <t>TÊ COM BUCHA DE LATÃO NA BOLSA CENTRAL, PVC, SOLDÁVEL, DN 32MM X 3/4, INSTALADO EM RAMAL DE DISTRIBUIÇÃO DE ÁGUA - FORNECIMENTO E INSTALAÇÃO. AF_12/2014</t>
  </si>
  <si>
    <t>TÊ DE REDUÇÃO, PVC, SOLDÁVEL, DN 32MM X 25MM, INSTALADO EM RAMAL DE DISTRIBUIÇÃO DE ÁGUA - FORNECIMENTO E INSTALAÇÃO. AF_12/2014</t>
  </si>
  <si>
    <t>TUBO, PVC, SOLDÁVEL, DN 25MM, INSTALADO EM PRUMADA DE ÁGUA - FORNECIMENTO E INSTALAÇÃO. AF_12/2014</t>
  </si>
  <si>
    <t>TUBO, PVC, SOLDÁVEL, DN 32MM, INSTALADO EM PRUMADA DE ÁGUA - FORNECIMENTO E INSTALAÇÃO. AF_12/2014</t>
  </si>
  <si>
    <t>TUBO, PVC, SOLDÁVEL, DN 40MM, INSTALADO EM PRUMADA DE ÁGUA - FORNECIMENTO E INSTALAÇÃO. AF_12/2014</t>
  </si>
  <si>
    <t>TUBO, PVC, SOLDÁVEL, DN 50MM, INSTALADO EM PRUMADA DE ÁGUA - FORNECIMENTO E INSTALAÇÃO. AF_12/2014</t>
  </si>
  <si>
    <t>TUBO, PVC, SOLDÁVEL, DN 60MM, INSTALADO EM PRUMADA DE ÁGUA - FORNECIMENTO E INSTALAÇÃO. AF_12/2014</t>
  </si>
  <si>
    <t>TUBO, PVC, SOLDÁVEL, DN 75MM, INSTALADO EM PRUMADA DE ÁGUA - FORNECIMENTO E INSTALAÇÃO. AF_12/2014</t>
  </si>
  <si>
    <t>TUBO, PVC, SOLDÁVEL, DN 85MM, INSTALADO EM PRUMADA DE ÁGUA - FORNECIMENTO E INSTALAÇÃO. AF_12/2014</t>
  </si>
  <si>
    <t>ALVENARIA DE BLOCOS DE CONCRETO ESTRUTURAL 14X19X39 CM, (ESPESSURA 14 CM), FBK = 4,5 MPA, PARA PAREDES COM ÁREA LÍQUIDA MENOR QUE 6M², SEM VÃOS, UTILIZANDO PALHETA. AF_12/2014</t>
  </si>
  <si>
    <t>ALVENARIA DE BLOCOS DE CONCRETO ESTRUTURAL 14X19X39 CM, (ESPESSURA 14 CM), FBK = 4,5 MPA, PARA PAREDES COM ÁREA LÍQUIDA MAIOR OU IGUAL A 6M², SEM VÃOS, UTILIZANDO PALHETA. AF_12/2014</t>
  </si>
  <si>
    <t>ALVENARIA DE BLOCOS DE CONCRETO ESTRUTURAL 14X19X39 CM, (ESPESSURA 14 CM) FBK = 14,0 MPA, PARA PAREDES COM ÁREA LÍQUIDA MENOR QUE 6M², SEM VÃOS, UTILIZANDO PALHETA. AF_12/2014</t>
  </si>
  <si>
    <t>ALVENARIA DE BLOCOS DE CONCRETO ESTRUTURAL 14X19X39 CM, (ESPESSURA 14 CM) FBK = 14,0 MPA, PARA PAREDES COM ÁREA LÍQUIDA MAIOR OU IGUAL A 6M², SEM VÃOS, UTILIZANDO PALHETA. AF_12/2014</t>
  </si>
  <si>
    <t>ALVENARIA DE BLOCOS DE CONCRETO ESTRUTURAL 14X19X39 CM, (ESPESSURA 14 CM), FBK = 4,5 MPA, PARA PAREDES COM ÁREA LÍQUIDA MENOR QUE 6M², COM VÃOS, UTILIZANDO PALHETA. AF_12/2014</t>
  </si>
  <si>
    <t>ALVENARIA DE BLOCOS DE CONCRETO ESTRUTURAL 14X19X39 CM, (ESPESSURA 14 CM), FBK = 4,5 MPA, PARA PAREDES COM ÁREA LÍQUIDA MAIOR OU IGUAL A 6M², COM VÃOS, UTILIZANDO PALHETA. AF_12/2014</t>
  </si>
  <si>
    <t>ALVENARIA DE BLOCOS DE CONCRETO ESTRUTURAL 14X19X39 CM, (ESPESSURA 14 CM) FBK = 14,0 MPA, PARA PAREDES COM ÁREA LÍQUIDA MENOR QUE 6M², COM VÃOS, UTILIZANDO PALHETA. AF_12/2014</t>
  </si>
  <si>
    <t>ALVENARIA DE BLOCOS DE CONCRETO ESTRUTURAL 14X19X39 CM, (ESPESSURA 14 CM) FBK = 14,0 MPA, PARA PAREDES COM ÁREA LÍQUIDA MAIOR OU IGUAL A 6M², COM VÃOS, UTILIZANDO PALHETA. AF_12/2014</t>
  </si>
  <si>
    <t>ALVENARIA DE BLOCOS DE CONCRETO ESTRUTURAL 14X19X29 CM, (ESPESSURA 14 CM), FBK = 4,5 MPA, PARA PAREDES COM ÁREA LÍQUIDA MENOR QUE 6M², SEM VÃOS, UTILIZANDO PALHETA. AF_12/2014</t>
  </si>
  <si>
    <t>ALVENARIA DE BLOCOS DE CONCRETO ESTRUTURAL 14X19X29 CM, (ESPESSURA 14 CM), FBK = 4,5 MPA, PARA PAREDES COM ÁREA LÍQUIDA MAIOR OU IGUAL A 6M², SEM VÃOS, UTILIZANDO PALHETA. AF_12/2014</t>
  </si>
  <si>
    <t>ALVENARIA DE BLOCOS DE CONCRETO ESTRUTURAL 14X19X29 CM, (ESPESSURA 14 CM) FBK = 14,0 MPA, PARA PAREDES COM ÁREA LÍQUIDA MENOR QUE 6M², SEM VÃOS, UTILIZANDO PALHETA. AF_12/2014</t>
  </si>
  <si>
    <t>ALVENARIA DE BLOCOS DE CONCRETO ESTRUTURAL 14X19X29 CM, (ESPESSURA 14 CM) FBK = 14,0 MPA, PARA PAREDES COM ÁREA LÍQUIDA MAIOR OU IGUAL A 6M², SEM VÃOS, UTILIZANDO PALHETA. AF_12/2014</t>
  </si>
  <si>
    <t>ALVENARIA DE BLOCOS DE CONCRETO ESTRUTURAL 14X19X29 CM, (ESPESSURA 14 CM), FBK = 4,5 MPA, PARA PAREDES COM ÁREA LÍQUIDA MENOR QUE 6M², COM VÃOS, UTILIZANDO PALHETA. AF_12/2014</t>
  </si>
  <si>
    <t>ALVENARIA DE BLOCOS DE CONCRETO ESTRUTURAL 14X19X29 CM, (ESPESSURA 14 CM), FBK = 4,5 MPA, PARA PAREDES COM ÁREA LÍQUIDA MAIOR OU IGUAL A 6M², COM VÃOS, UTILIZANDO PALHETA. AF_12/2014</t>
  </si>
  <si>
    <t>ALVENARIA DE BLOCOS DE CONCRETO ESTRUTURAL 14X19X29 CM, (ESPESSURA 14 CM) FBK = 14,0 MPA, PARA PAREDES COM ÁREA LÍQUIDA MENOR QUE 6M², COM VÃOS, UTILIZANDO PALHETA. AF_12/2014</t>
  </si>
  <si>
    <t>ALVENARIA DE BLOCOS DE CONCRETO ESTRUTURAL 14X19X29 CM, (ESPESSURA 14 CM) FBK = 14,0 MPA, PARA PAREDES COM ÁREA LÍQUIDA MAIOR OU IGUAL A 6M², COM VÃOS, UTILIZANDO PALHETA. AF_12/2014</t>
  </si>
  <si>
    <t>ALVENARIA DE BLOCOS DE CONCRETO ESTRUTURAL 14X19X39 CM, (ESPESSURA 14 CM), FBK = 4,5 MPA, PARA PAREDES COM ÁREA LÍQUIDA MENOR QUE 6M², SEM VÃOS, UTILIZANDO COLHER DE PEDREIRO. AF_12/2014</t>
  </si>
  <si>
    <t>ALVENARIA DE BLOCOS DE CONCRETO ESTRUTURAL 14X19X39 CM, (ESPESSURA 14 CM), FBK = 4,5 MPA, PARA PAREDES COM ÁREA LÍQUIDA MAIOR OU IGUAL A 6M², SEM VÃOS, UTILIZANDO COLHER DE PEDREIRO. AF_12/2014</t>
  </si>
  <si>
    <t>ALVENARIA DE BLOCOS DE CONCRETO ESTRUTURAL 14X19X39 CM, (ESPESSURA 14 CM) FBK = 14,0 MPA, PARA PAREDES COM ÁREA LÍQUIDA MENOR QUE 6M², SEM VÃOS, UTILIZANDO COLHER DE PEDREIRO. AF_12/2014</t>
  </si>
  <si>
    <t>ALVENARIA DE BLOCOS DE CONCRETO ESTRUTURAL 14X19X39 CM, (ESPESSURA 14 CM) FBK = 14,0 MPA, PARA PAREDES COM ÁREA LÍQUIDA MAIOR OU IGUAL A 6M², SEM VÃOS, UTILIZANDO COLHER DE PEDREIRO. AF_12/2014</t>
  </si>
  <si>
    <t>ALVENARIA DE BLOCOS DE CONCRETO ESTRUTURAL 14X19X39 CM, (ESPESSURA 14 CM), FBK = 4,5 MPA, PARA PAREDES COM ÁREA LÍQUIDA MENOR QUE 6M², COM VÃOS, UTILIZANDO COLHER DE PEDREIRO. AF_12/2014</t>
  </si>
  <si>
    <t>ALVENARIA DE BLOCOS DE CONCRETO ESTRUTURAL 14X19X39 CM, (ESPESSURA 14 CM), FBK = 4,5 MPA, PARA PAREDES COM ÁREA LÍQUIDA MAIOR OU IGUAL A 6M², COM VÃOS, UTILIZANDO COLHER DE PEDREIRO. AF_12/2014</t>
  </si>
  <si>
    <t>ALVENARIA DE BLOCOS DE CONCRETO ESTRUTURAL 14X19X39 CM, (ESPESSURA 14 CM) FBK = 14,0 MPA, PARA PAREDES COM ÁREA LÍQUIDA MENOR QUE 6M², COM VÃOS, UTILIZANDO COLHER DE PEDREIRO. AF_12/2014</t>
  </si>
  <si>
    <t>ALVENARIA DE BLOCOS DE CONCRETO ESTRUTURAL 14X19X39 CM, (ESPESSURA 14 CM) FBK = 14,0 MPA, PARA PAREDES COM ÁREA LÍQUIDA MAIOR OU IGUAL A 6M², COM VÃOS, UTILIZANDO COLHER DE PEDREIRO. AF_12/2014</t>
  </si>
  <si>
    <t>ALVENARIA DE BLOCOS DE CONCRETO ESTRUTURAL 14X19X29 CM, (ESPESSURA 14 CM), FBK = 4,5 MPA, PARA PAREDES COM ÁREA LÍQUIDA MENOR QUE 6M², SEM VÃOS, UTILIZANDO COLHER DE PEDREIRO. AF_12/2014</t>
  </si>
  <si>
    <t>ALVENARIA DE BLOCOS DE CONCRETO ESTRUTURAL 14X19X29 CM, (ESPESSURA 14 CM), FBK = 4,5 MPA, PARA PAREDES COM ÁREA LÍQUIDA MAIOR OU IGUAL A 6M², SEM VÃOS, UTILIZANDO COLHER DE PEDREIRO. AF_12/2014</t>
  </si>
  <si>
    <t>ALVENARIA DE BLOCOS DE CONCRETO ESTRUTURAL 14X19X29 CM, (ESPESSURA 14 CM) FBK = 14,0 MPA, PARA PAREDES COM ÁREA LÍQUIDA MENOR QUE 6M², SEM VÃOS, UTILIZANDO COLHER DE PEDREIRO. AF_12/2014</t>
  </si>
  <si>
    <t>CAIXA SIFONADA, PVC, DN 100 X 100 X 50 MM, FORNECIDA E INSTALADA EM RAMAIS DE ENCAMINHAMENTO DE ÁGUA PLUVIAL. AF_12/2014</t>
  </si>
  <si>
    <t>ALVENARIA DE BLOCOS DE CONCRETO ESTRUTURAL 14X19X29 CM, (ESPESSURA 14 CM) FBK = 14,0 MPA, PARA PAREDES COM ÁREA LÍQUIDA MAIOR OU IGUAL A 6M², SEM VÃOS, UTILIZANDO COLHER DE PEDREIRO. AF_12/2014</t>
  </si>
  <si>
    <t>ALVENARIA DE BLOCOS DE CONCRETO ESTRUTURAL 14X19X29 CM, (ESPESSURA 14 CM), FBK = 4,5 MPA, PARA PAREDES COM ÁREA LÍQUIDA MENOR QUE 6M², COM VÃOS, UTILIZANDO COLHER DE PEDREIRO. AF_12/2014</t>
  </si>
  <si>
    <t>ALVENARIA DE BLOCOS DE CONCRETO ESTRUTURAL 14X19X29 CM, (ESPESSURA 14 CM), FBK = 4,5 MPA, PARA PAREDES COM ÁREA LÍQUIDA MAIOR OU IGUAL A 6M², COM VÃOS, UTILIZANDO COLHER DE PEDREIRO. AF_12/2014</t>
  </si>
  <si>
    <t>ALVENARIA DE BLOCOS DE CONCRETO ESTRUTURAL 14X19X29 CM, (ESPESSURA 14 CM) FBK = 14,0 MPA, PARA PAREDES COM ÁREA LÍQUIDA MENOR QUE 6M², COM VÃOS, UTILIZANDO COLHER DE PEDREIRO. AF_12/2014</t>
  </si>
  <si>
    <t>ALVENARIA DE BLOCOS DE CONCRETO ESTRUTURAL 14X19X29 CM, (ESPESSURA 14 CM) FBK = 14,0 MPA, PARA PAREDES COM ÁREA LÍQUIDA MAIOR OU IGUAL A 6M², COM VÃOS, UTILIZANDO COLHER DE PEDREIRO. AF_12/2014</t>
  </si>
  <si>
    <t>CAIXA SIFONADA, PVC, DN 150 X 185 X 75 MM, FORNECIDA E INSTALADA EM RAMAIS DE ENCAMINHAMENTO DE ÁGUA PLUVIAL. AF_12/2014</t>
  </si>
  <si>
    <t>RALO SIFONADO, PVC, DN 100 X 40 MM, JUNTA SOLDÁVEL, FORNECIDO E INSTALADO EM RAMAIS DE ENCAMINHAMENTO DE ÁGUA PLUVIAL. AF_12/2014</t>
  </si>
  <si>
    <t>TUBO PVC, SÉRIE R, ÁGUA PLUVIAL, DN 40 MM, FORNECIDO E INSTALADO EM RAMAL DE ENCAMINHAMENTO. AF_12/2014</t>
  </si>
  <si>
    <t>TUBO PVC, SÉRIE R, ÁGUA PLUVIAL, DN 50 MM, FORNECIDO E INSTALADO EM RAMAL DE ENCAMINHAMENTO. AF_12/2014</t>
  </si>
  <si>
    <t>TUBO PVC, SÉRIE R, ÁGUA PLUVIAL, DN 75 MM, FORNECIDO E INSTALADO EM RAMAL DE ENCAMINHAMENTO. AF_12/2014</t>
  </si>
  <si>
    <t>TUBO PVC, SÉRIE R, ÁGUA PLUVIAL, DN 100 MM, FORNECIDO E INSTALADO EM RAMAL DE ENCAMINHAMENTO. AF_12/2014</t>
  </si>
  <si>
    <t>CURVA 87 GRAUS E 30 MINUTOS, PVC, SERIE R, ÁGUA PLUVIAL, DN 75 MM, JUNTA ELÁSTICA, FORNECIDO E INSTALADO EM RAMAL DE ENCAMINHAMENTO. AF_12/2014</t>
  </si>
  <si>
    <t>LUVA, PVC, SOLDÁVEL, DN 25MM, INSTALADO EM PRUMADA DE ÁGUA - FORNECIMENTO E INSTALAÇÃO. AF_12/2014</t>
  </si>
  <si>
    <t>JOELHO 90 GRAUS, PVC, SERIE R, ÁGUA PLUVIAL, DN 100 MM, JUNTA ELÁSTICA, FORNECIDO E INSTALADO EM RAMAL DE ENCAMINHAMENTO. AF_12/2014</t>
  </si>
  <si>
    <t>JOELHO 45 GRAUS, PVC, SERIE R, ÁGUA PLUVIAL, DN 100 MM, JUNTA ELÁSTICA, FORNECIDO E INSTALADO EM RAMAL DE ENCAMINHAMENTO. AF_12/2014</t>
  </si>
  <si>
    <t>LUVA DE REDUÇÃO, PVC, SOLDÁVEL, DN 32MM X 25MM, INSTALADO EM PRUMADA DE ÁGUA - FORNECIMENTO E INSTALAÇÃO. AF_12/2014</t>
  </si>
  <si>
    <t>LUVA SOLDÁVEL E COM ROSCA, PVC, SOLDÁVEL, DN 25MM X 3/4, INSTALADO EM PRUMADA DE ÁGUA - FORNECIMENTO E INSTALAÇÃO. AF_12/2014</t>
  </si>
  <si>
    <t>CURVA 87 GRAUS E 30 MINUTOS, PVC, SERIE R, ÁGUA PLUVIAL, DN 100 MM, JUNTA ELÁSTICA, FORNECIDO E INSTALADO EM RAMAL DE ENCAMINHAMENTO. AF_12/2014</t>
  </si>
  <si>
    <t>UNIÃO, PVC, SOLDÁVEL, DN 25MM, INSTALADO EM PRUMADA DE ÁGUA - FORNECIMENTO E INSTALAÇÃO. AF_12/2014</t>
  </si>
  <si>
    <t>ADAPTADOR CURTO COM BOLSA E ROSCA PARA REGISTRO, PVC, SOLDÁVEL, DN 25MM X 3/4, INSTALADO EM PRUMADA DE ÁGUA - FORNECIMENTO E INSTALAÇÃO. AF_12/2014</t>
  </si>
  <si>
    <t>LUVA, PVC, SOLDÁVEL, DN 32MM, INSTALADO EM PRUMADA DE ÁGUA - FORNECIMENTO E INSTALAÇÃO. AF_12/2014</t>
  </si>
  <si>
    <t>LUVA SIMPLES, PVC, SERIE R, ÁGUA PLUVIAL, DN 40 MM, JUNTA SOLDÁVEL, FORNECIDO E INSTALADO EM RAMAL DE ENCAMINHAMENTO. AF_12/2014</t>
  </si>
  <si>
    <t>LUVA SIMPLES, PVC, SERIE R, ÁGUA PLUVIAL, DN 50 MM, JUNTA ELÁSTICA, FORNECIDO E INSTALADO EM RAMAL DE ENCAMINHAMENTO. AF_12/2014</t>
  </si>
  <si>
    <t>BUCHA DE REDUÇÃO LONGA, PVC, SERIE R, ÁGUA PLUVIAL, DN 50 X 40 MM, JUNTA ELÁSTICA, FORNECIDO E INSTALADO EM RAMAL DE ENCAMINHAMENTO. AF_12/2014</t>
  </si>
  <si>
    <t>LUVA SIMPLES, PVC, SERIE R, ÁGUA PLUVIAL, DN 75 MM, JUNTA ELÁSTICA, FORNECIDO E INSTALADO EM RAMAL DE ENCAMINHAMENTO. AF_12/2014</t>
  </si>
  <si>
    <t>REDUÇÃO EXCÊNTRICA, PVC, SERIE R, ÁGUA PLUVIAL, DN 75 X 50 MM, JUNTA ELÁSTICA, FORNECIDO E INSTALADO EM RAMAL DE ENCAMINHAMENTO. AF_12/2014</t>
  </si>
  <si>
    <t>LUVA SOLDÁVEL E COM ROSCA, PVC, SOLDÁVEL, DN 32MM X 1, INSTALADO EM PRUMADA DE ÁGUA - FORNECIMENTO E INSTALAÇÃO. AF_12/2014</t>
  </si>
  <si>
    <t>UNIÃO, PVC, SOLDÁVEL, DN 32MM, INSTALADO EM PRUMADA DE ÁGUA - FORNECIMENTO E INSTALAÇÃO. AF_12/2014</t>
  </si>
  <si>
    <t>ADAPTADOR CURTO COM BOLSA E ROSCA PARA REGISTRO, PVC, SOLDÁVEL, DN 32MM X 1, INSTALADO EM PRUMADA DE ÁGUA - FORNECIMENTO E INSTALAÇÃO. AF_12/2014</t>
  </si>
  <si>
    <t>LUVA SIMPLES, PVC, SERIE R, ÁGUA PLUVIAL, DN 100 MM, JUNTA ELÁSTICA, FORNECIDO E INSTALADO EM RAMAL DE ENCAMINHAMENTO. AF_12/2014</t>
  </si>
  <si>
    <t>LUVA, PVC, SOLDÁVEL, DN 40MM, INSTALADO EM PRUMADA DE ÁGUA - FORNECIMENTO E INSTALAÇÃO. AF_12/2014</t>
  </si>
  <si>
    <t>LUVA DE REDUÇÃO, PVC, SOLDÁVEL, DN 40MM X 32MM, INSTALADO EM PRUMADA DE ÁGUA - FORNECIMENTO E INSTALAÇÃO. AF_12/2014</t>
  </si>
  <si>
    <t>LUVA COM ROSCA, PVC, SOLDÁVEL, DN 40MM X 1.1/4, INSTALADO EM PRUMADA DE ÁGUA - FORNECIMENTO E INSTALAÇÃO. AF_12/2014</t>
  </si>
  <si>
    <t>JUNÇÃO SIMPLES, PVC, SERIE R, ÁGUA PLUVIAL, DN 75 X 75 MM, JUNTA ELÁSTICA, FORNECIDO E INSTALADO EM RAMAL DE ENCAMINHAMENTO. AF_12/2014</t>
  </si>
  <si>
    <t>JUNÇÃO SIMPLES, PVC, SERIE R, ÁGUA PLUVIAL, DN 100 X 100 MM, JUNTA ELÁSTICA, FORNECIDO E INSTALADO EM RAMAL DE ENCAMINHAMENTO. AF_12/2014</t>
  </si>
  <si>
    <t>UNIÃO, PVC, SOLDÁVEL, DN 40MM, INSTALADO EM PRUMADA DE ÁGUA - FORNECIMENTO E INSTALAÇÃO. AF_12/2014</t>
  </si>
  <si>
    <t>JUNÇÃO SIMPLES, PVC, SERIE R, ÁGUA PLUVIAL, DN 100 X 75 MM, JUNTA ELÁSTICA, FORNECIDO E INSTALADO EM RAMAL DE ENCAMINHAMENTO. AF_12/2014</t>
  </si>
  <si>
    <t>ADAPTADOR CURTO COM BOLSA E ROSCA PARA REGISTRO, PVC, SOLDÁVEL, DN 40MM X 1.1/2, INSTALADO EM PRUMADA DE ÁGUA - FORNECIMENTO E INSTALAÇÃO. AF_12/2014</t>
  </si>
  <si>
    <t>TÊ, PVC, SERIE R, ÁGUA PLUVIAL, DN 100 X 100 MM, JUNTA ELÁSTICA, FORNECIDO E INSTALADO EM RAMAL DE ENCAMINHAMENTO. AF_12/2014</t>
  </si>
  <si>
    <t>ADAPTADOR CURTO COM BOLSA E ROSCA PARA REGISTRO, PVC, SOLDÁVEL, DN 40MM X 1.1/4, INSTALADO EM PRUMADA DE ÁGUA - FORNECIMENTO E INSTALAÇÃO. AF_12/2014</t>
  </si>
  <si>
    <t>TÊ, PVC, SERIE R, ÁGUA PLUVIAL, DN 100 X 75 MM, JUNTA ELÁSTICA, FORNECIDO E INSTALADO EM RAMAL DE ENCAMINHAMENTO. AF_12/2014</t>
  </si>
  <si>
    <t>JUNÇÃO DUPLA, PVC, SERIE R, ÁGUA PLUVIAL, DN 100 X 100 X 100 MM, JUNTA ELÁSTICA, FORNECIDO E INSTALADO EM RAMAL DE ENCAMINHAMENTO. AF_12/2014</t>
  </si>
  <si>
    <t>LUVA, PVC, SOLDÁVEL, DN 50MM, INSTALADO EM PRUMADA DE ÁGUA - FORNECIMENTO E INSTALAÇÃO. AF_12/2014</t>
  </si>
  <si>
    <t>TUBO PVC, SÉRIE R, ÁGUA PLUVIAL, DN 75 MM, FORNECIDO E INSTALADO EM CONDUTORES VERTICAIS DE ÁGUAS PLUVIAIS. AF_12/2014</t>
  </si>
  <si>
    <t>TUBO PVC, SÉRIE R, ÁGUA PLUVIAL, DN 100 MM, FORNECIDO E INSTALADO EM CONDUTORES VERTICAIS DE ÁGUAS PLUVIAIS. AF_12/2014</t>
  </si>
  <si>
    <t>LUVA DE REDUÇÃO, PVC, SOLDÁVEL, DN 50MM X 25MM, INSTALADO EM PRUMADA DE ÁGUA   FORNECIMENTO E INSTALAÇÃO. AF_12/2014</t>
  </si>
  <si>
    <t>TUBO PVC, SÉRIE R, ÁGUA PLUVIAL, DN 150 MM, FORNECIDO E INSTALADO EM CONDUTORES VERTICAIS DE ÁGUAS PLUVIAIS. AF_12/2014</t>
  </si>
  <si>
    <t>JOELHO 90 GRAUS, PVC, SERIE R, ÁGUA PLUVIAL, DN 75 MM, JUNTA ELÁSTICA, FORNECIDO E INSTALADO EM CONDUTORES VERTICAIS DE ÁGUAS PLUVIAIS. AF_12/2014</t>
  </si>
  <si>
    <t>JOELHO 45 GRAUS, PVC, SERIE R, ÁGUA PLUVIAL, DN 75 MM, JUNTA ELÁSTICA, FORNECIDO E INSTALADO EM CONDUTORES VERTICAIS DE ÁGUAS PLUVIAIS. AF_12/2014</t>
  </si>
  <si>
    <t>CURVA 87 GRAUS E 30 MINUTOS, PVC, SERIE R, ÁGUA PLUVIAL, DN 75 MM, JUNTA ELÁSTICA, FORNECIDO E INSTALADO EM CONDUTORES VERTICAIS DE ÁGUAS PLUVIAIS. AF_12/2014</t>
  </si>
  <si>
    <t>JOELHO 90 GRAUS, PVC, SERIE R, ÁGUA PLUVIAL, DN 100 MM, JUNTA ELÁSTICA, FORNECIDO E INSTALADO EM CONDUTORES VERTICAIS DE ÁGUAS PLUVIAIS. AF_12/2014</t>
  </si>
  <si>
    <t>JOELHO 45 GRAUS, PVC, SERIE R, ÁGUA PLUVIAL, DN 100 MM, JUNTA ELÁSTICA, FORNECIDO E INSTALADO EM CONDUTORES VERTICAIS DE ÁGUAS PLUVIAIS. AF_12/2014</t>
  </si>
  <si>
    <t>JOELHO 45 GRAUS PARA PÉ DE COLUNA, PVC, SERIE R, ÁGUA PLUVIAL, DN 100 MM, JUNTA ELÁSTICA, FORNECIDO E INSTALADO EM CONDUTORES VERTICAIS DE ÁGUAS PLUVIAIS. AF_12/2014</t>
  </si>
  <si>
    <t>CURVA 87 GRAUS E 30 MINUTOS, PVC, SERIE R, ÁGUA PLUVIAL, DN 100 MM, JUNTA ELÁSTICA, FORNECIDO E INSTALADO EM CONDUTORES VERTICAIS DE ÁGUAS PLUVIAIS. AF_12/2014</t>
  </si>
  <si>
    <t>JOELHO 90 GRAUS, PVC, SERIE R, ÁGUA PLUVIAL, DN 150 MM, JUNTA ELÁSTICA, FORNECIDO E INSTALADO EM CONDUTORES VERTICAIS DE ÁGUAS PLUVIAIS. AF_12/2014</t>
  </si>
  <si>
    <t>JOELHO 45 GRAUS, PVC, SERIE R, ÁGUA PLUVIAL, DN 150 MM, JUNTA ELÁSTICA, FORNECIDO E INSTALADO EM CONDUTORES VERTICAIS DE ÁGUAS PLUVIAIS. AF_12/2014</t>
  </si>
  <si>
    <t>CURVA 87 GRAUS E 30 MINUTOS, PVC, SERIE R, ÁGUA PLUVIAL, DN 150 MM, JUNTA ELÁSTICA, FORNECIDO E INSTALADO EM CONDUTORES VERTICAIS DE ÁGUAS PLUVIAIS. AF_12/2014</t>
  </si>
  <si>
    <t>LUVA COM ROSCA, PVC, SOLDÁVEL, DN 50MM X 1.1/2, INSTALADO EM PRUMADA DE ÁGUA - FORNECIMENTO E INSTALAÇÃO. AF_12/2014</t>
  </si>
  <si>
    <t>UNIÃO, PVC, SOLDÁVEL, DN 50MM, INSTALADO EM PRUMADA DE ÁGUA - FORNECIMENTO E INSTALAÇÃO. AF_12/2014</t>
  </si>
  <si>
    <t>ADAPTADOR CURTO COM BOLSA E ROSCA PARA REGISTRO, PVC, SOLDÁVEL, DN 50MM X 1.1/4, INSTALADO EM PRUMADA DE ÁGUA - FORNECIMENTO E INSTALAÇÃO. AF_12/2014</t>
  </si>
  <si>
    <t>ADAPTADOR CURTO COM BOLSA E ROSCA PARA REGISTRO, PVC, SOLDÁVEL, DN 50MM X 1.1/2, INSTALADO EM PRUMADA DE ÁGUA - FORNECIMENTO E INSTALAÇÃO. AF_12/2014</t>
  </si>
  <si>
    <t>LUVA, PVC, SOLDÁVEL, DN 60MM, INSTALADO EM PRUMADA DE ÁGUA - FORNECIMENTO E INSTALAÇÃO. AF_12/2014</t>
  </si>
  <si>
    <t>LUVA DE CORRER, PVC, SOLDÁVEL, DN 60MM, INSTALADO EM PRUMADA DE ÁGUA   FORNECIMENTO E INSTALAÇÃO. AF_12/2014</t>
  </si>
  <si>
    <t>LUVA SIMPLES, PVC, SERIE R, ÁGUA PLUVIAL, DN 75 MM, JUNTA ELÁSTICA, FORNECIDO E INSTALADO EM CONDUTORES VERTICAIS DE ÁGUAS PLUVIAIS. AF_12/2014</t>
  </si>
  <si>
    <t>LUVA DE CORRER, PVC, SERIE R, ÁGUA PLUVIAL, DN 75 MM, JUNTA ELÁSTICA, FORNECIDO E INSTALADO EM CONDUTORES VERTICAIS DE ÁGUAS PLUVIAIS. AF_12/2014</t>
  </si>
  <si>
    <t>LUVA DE REDUÇÃO, PVC, SOLDÁVEL, DN 60MM X 50MM, INSTALADO EM PRUMADA DE ÁGUA - FORNECIMENTO E INSTALAÇÃO. AF_12/2014</t>
  </si>
  <si>
    <t>UNIÃO, PVC, SOLDÁVEL, DN 60MM, INSTALADO EM PRUMADA DE ÁGUA - FORNECIMENTO E INSTALAÇÃO. AF_12/2014</t>
  </si>
  <si>
    <t>ADAPTADOR CURTO COM BOLSA E ROSCA PARA REGISTRO, PVC, SOLDÁVEL, DN 60MM X 2, INSTALADO EM PRUMADA DE ÁGUA - FORNECIMENTO E INSTALAÇÃO. AF_12/2014</t>
  </si>
  <si>
    <t>LUVA, PVC, SOLDÁVEL, DN 75MM, INSTALADO EM PRUMADA DE ÁGUA - FORNECIMENTO E INSTALAÇÃO. AF_12/2014</t>
  </si>
  <si>
    <t>UNIÃO, PVC, SOLDÁVEL, DN 75MM, INSTALADO EM PRUMADA DE ÁGUA - FORNECIMENTO E INSTALAÇÃO. AF_12/2014</t>
  </si>
  <si>
    <t>ADAPTADOR CURTO COM BOLSA E ROSCA PARA REGISTRO, PVC, SOLDÁVEL, DN 75MM X 2.1/2, INSTALADO EM PRUMADA DE ÁGUA - FORNECIMENTO E INSTALAÇÃO. AF_12/2014</t>
  </si>
  <si>
    <t>LUVA, PVC, SOLDÁVEL, DN 85MM, INSTALADO EM PRUMADA DE ÁGUA - FORNECIMENTO E INSTALAÇÃO. AF_12/2014</t>
  </si>
  <si>
    <t>UNIÃO, PVC, SOLDÁVEL, DN 85MM, INSTALADO EM PRUMADA DE ÁGUA - FORNECIMENTO E INSTALAÇÃO. AF_12/2014</t>
  </si>
  <si>
    <t>ADAPTADOR CURTO COM BOLSA E ROSCA PARA REGISTRO, PVC, SOLDÁVEL, DN 85MM X 3, INSTALADO EM PRUMADA DE ÁGUA - FORNECIMENTO E INSTALAÇÃO. AF_12/2014</t>
  </si>
  <si>
    <t>TE, PVC, SOLDÁVEL, DN 25MM, INSTALADO EM PRUMADA DE ÁGUA - FORNECIMENTO E INSTALAÇÃO. AF_12/2014</t>
  </si>
  <si>
    <t>TÊ COM BUCHA DE LATÃO NA BOLSA CENTRAL, PVC, SOLDÁVEL, DN 25MM X 1/2, INSTALADO EM PRUMADA DE ÁGUA - FORNECIMENTO E INSTALAÇÃO. AF_12/2014</t>
  </si>
  <si>
    <t>TE, PVC, SOLDÁVEL, DN 32MM, INSTALADO EM PRUMADA DE ÁGUA - FORNECIMENTO E INSTALAÇÃO. AF_12/2014</t>
  </si>
  <si>
    <t>TÊ COM BUCHA DE LATÃO NA BOLSA CENTRAL, PVC, SOLDÁVEL, DN 32MM X 3/4, INSTALADO EM PRUMADA DE ÁGUA - FORNECIMENTO E INSTALAÇÃO. AF_12/2014</t>
  </si>
  <si>
    <t>TE, PVC, SOLDÁVEL, DN 40MM, INSTALADO EM PRUMADA DE ÁGUA - FORNECIMENTO E INSTALAÇÃO. AF_12/2014</t>
  </si>
  <si>
    <t>TE, PVC, SOLDÁVEL, DN 50MM, INSTALADO EM PRUMADA DE ÁGUA - FORNECIMENTO E INSTALAÇÃO. AF_12/2014</t>
  </si>
  <si>
    <t>TE, PVC, SOLDÁVEL, DN 60MM, INSTALADO EM PRUMADA DE ÁGUA - FORNECIMENTO E INSTALAÇÃO. AF_12/2014</t>
  </si>
  <si>
    <t>TE, PVC, SOLDÁVEL, DN 75MM, INSTALADO EM PRUMADA DE ÁGUA - FORNECIMENTO E INSTALAÇÃO. AF_12/2014</t>
  </si>
  <si>
    <t>TE, PVC, SOLDÁVEL, DN 85MM, INSTALADO EM PRUMADA DE ÁGUA - FORNECIMENTO E INSTALAÇÃO. AF_12/2014</t>
  </si>
  <si>
    <t>TUBO, CPVC, SOLDÁVEL, DN 35MM, INSTALADO EM RAMAL OU SUB-RAMAL DE ÁGUA  FORNECIMENTO E INSTALAÇÃO. AF_12/2014</t>
  </si>
  <si>
    <t>JOELHO 90 GRAUS, CPVC, SOLDÁVEL, DN 15MM, INSTALADO EM RAMAL OU SUB-RAMAL DE ÁGUA - FORNECIMENTO E INSTALAÇÃO. AF_12/2014</t>
  </si>
  <si>
    <t>JOELHO 45 GRAUS, CPVC, SOLDÁVEL, DN 15MM, INSTALADO EM RAMAL OU SUB-RAMAL DE ÁGUA - FORNECIMENTO E INSTALAÇÃO. AF_12/2014</t>
  </si>
  <si>
    <t>CURVA 90 GRAUS, CPVC, SOLDÁVEL, DN 15MM, INSTALADO EM RAMAL OU SUB-RAMAL DE ÁGUA - FORNECIMENTO E INSTALAÇÃO. AF_12/2014</t>
  </si>
  <si>
    <t>JOELHO 90 GRAUS, CPVC, SOLDÁVEL, DN 22MM, INSTALADO EM RAMAL OU SUB-RAMAL DE ÁGUA - FORNECIMENTO E INSTALAÇÃO. AF_12/2014</t>
  </si>
  <si>
    <t>JOELHO 45 GRAUS, CPVC, SOLDÁVEL, DN 22MM, INSTALADO EM RAMAL OU SUB-RAMAL DE ÁGUA - FORNECIMENTO E INSTALAÇÃO. AF_12/2014</t>
  </si>
  <si>
    <t>CURVA 90 GRAUS, CPVC, SOLDÁVEL, DN 22MM, INSTALADO EM RAMAL OU SUB-RAMAL DE ÁGUA - FORNECIMENTO E INSTALAÇÃO. AF_12/2014</t>
  </si>
  <si>
    <t>JOELHO DE TRANSIÇÃO, 90 GRAUS, CPVC, SOLDÁVEL, DN 22MM X 3/4", INSTALADO EM RAMAL OU SUB-RAMAL DE ÁGUA - FORNECIMENTO E INSTALAÇÃO. AF_12/2014</t>
  </si>
  <si>
    <t>JOELHO 90 GRAUS, CPVC, SOLDÁVEL, DN 28MM, INSTALADO EM RAMAL OU SUB-RAMAL DE ÁGUA - FORNECIMENTO E INSTALAÇÃO. AF_12/2014</t>
  </si>
  <si>
    <t>JOELHO 45 GRAUS, CPVC, SOLDÁVEL, DN 28MM, INSTALADO EM RAMAL OU SUB-RAMAL DE ÁGUA  FORNECIMENTO E INSTALAÇÃO. AF_12/2014</t>
  </si>
  <si>
    <t>CURVA 90 GRAUS, CPVC, SOLDÁVEL, DN 28MM, INSTALADO EM RAMAL OU SUB-RAMAL DE ÁGUA  FORNECIMENTO E INSTALAÇÃO. AF_12/2014</t>
  </si>
  <si>
    <t>JOELHO 90 GRAUS, CPVC, SOLDÁVEL, DN 35MM, INSTALADO EM RAMAL OU SUB-RAMAL DE ÁGUA  FORNECIMENTO E INSTALAÇÃO. AF_12/2014</t>
  </si>
  <si>
    <t>JOELHO 45 GRAUS, CPVC, SOLDÁVEL, DN 35MM, INSTALADO EM RAMAL OU SUB-RAMAL DE ÁGUA  FORNECIMENTO E INSTALAÇÃO. AF_12/2014</t>
  </si>
  <si>
    <t>LUVA DE CORRER, CPVC, SOLDÁVEL, DN 15MM, INSTALADO EM RAMAL OU SUB-RAMAL DE ÁGUA  FORNECIMENTO E INSTALAÇÃO. AF_12/2014</t>
  </si>
  <si>
    <t>LUVA DE TRANSIÇÃO, CPVC, SOLDÁVEL, DN15MM X 1/2", INSTALADO EM RAMAL OU SUB-RAMAL DE ÁGUA - FORNECIMENTO E INSTALAÇÃO. AF_12/2014</t>
  </si>
  <si>
    <t>UNIÃO, CPVC, SOLDÁVEL, DN15MM, INSTALADO EM RAMAL OU SUB-RAMAL DE ÁGUA  FORNECIMENTO E INSTALAÇÃO. AF_12/2014</t>
  </si>
  <si>
    <t>CONECTOR, CPVC, SOLDÁVEL, DN 15MM X 1/2, INSTALADO EM RAMAL OU SUB-RAMAL DE ÁGUA  FORNECIMENTO E INSTALAÇÃO. AF_12/2014</t>
  </si>
  <si>
    <t>ADAPTADOR, CPVC, SOLDÁVEL, DN15MM, INSTALADO EM RAMAL OU SUB-RAMAL DE ÁGUA  FORNECIMENTO E INSTALAÇÃO. AF_12/2014</t>
  </si>
  <si>
    <t>CURVA DE TRANSPOSIÇÃO, CPVC, SOLDÁVEL, DN15MM, INSTALADO EM RAMAL OU SUB-RAMAL DE ÁGUA  FORNECIMENTO E INSTALAÇÃO. AF_12/2014</t>
  </si>
  <si>
    <t>LUVA, CPVC, SOLDÁVEL, DN 22MM, INSTALADO EM RAMAL OU SUB-RAMAL DE ÁGUA  FORNECIMENTO E INSTALAÇÃO. AF_12/2014</t>
  </si>
  <si>
    <t>LUVA DE CORRER, CPVC, SOLDÁVEL, DN 22MM, INSTALADO EM RAMAL OU SUB-RAMAL DE ÁGUA  FORNECIMENTO E INSTALAÇÃO. AF_12/2014</t>
  </si>
  <si>
    <t>LUVA DE TRANSIÇÃO, CPVC, SOLDÁVEL, DN22MM X 25MM, INSTALADO EM RAMAL OU SUB-RAMAL DE ÁGUA - FORNECIMENTO E INSTALAÇÃO. AF_12/2014</t>
  </si>
  <si>
    <t>UNIÃO, CPVC, SOLDÁVEL, DN22MM, INSTALADO EM RAMAL OU SUB-RAMAL DE ÁGUA  FORNECIMENTO E INSTALAÇÃO. AF_12/2014</t>
  </si>
  <si>
    <t>CONECTOR, CPVC, SOLDÁVEL, DN 22MM X 1/2, INSTALADO EM RAMAL OU SUB-RAMAL DE ÁGUA  FORNECIMENTO E INSTALAÇÃO. AF_12/2014</t>
  </si>
  <si>
    <t>ADAPTADOR, CPVC, SOLDÁVEL, DN22MM, INSTALADO EM RAMAL OU SUB-RAMAL DE ÁGUA  FORNECIMENTO E INSTALAÇÃO. AF_12/2014</t>
  </si>
  <si>
    <t>CURVA DE TRANSPOSIÇÃO, CPVC, SOLDÁVEL, DN22MM, INSTALADO EM RAMAL OU SUB-RAMAL DE ÁGUA  FORNECIMENTO E INSTALAÇÃO. AF_12/2014</t>
  </si>
  <si>
    <t>REDUÇÃO EXCÊNTRICA, PVC, SERIE R, ÁGUA PLUVIAL, DN 75 X 50 MM, JUNTA ELÁSTICA, FORNECIDO E INSTALADO EM CONDUTORES VERTICAIS DE ÁGUAS PLUVIAIS. AF_12/2014</t>
  </si>
  <si>
    <t>BUCHA DE REDUÇÃO, CPVC, SOLDÁVEL, DN22MM X 15MM, INSTALADO EM RAMAL OU SUB-RAMAL DE ÁGUA  FORNECIMENTO E INSTALAÇÃO. AF_12/2014</t>
  </si>
  <si>
    <t>TÊ DE INSPEÇÃO, PVC, SERIE R, ÁGUA PLUVIAL, DN 75 MM, JUNTA ELÁSTICA, FORNECIDO E INSTALADO EM CONDUTORES VERTICAIS DE ÁGUAS PLUVIAIS. AF_12/2014</t>
  </si>
  <si>
    <t>CONECTOR, CPVC, SOLDÁVEL, DN22MM X 3/4", INSTALADO EM RAMAL OU SUB-RAMAL DE ÁGUA - FORNECIMENTO E INSTALAÇÃO. AF_12/2014</t>
  </si>
  <si>
    <t>LUVA SIMPLES, PVC, SERIE R, ÁGUA PLUVIAL, DN 100 MM, JUNTA ELÁSTICA, FORNECIDO E INSTALADO EM CONDUTORES VERTICAIS DE ÁGUAS PLUVIAIS. AF_12/2014</t>
  </si>
  <si>
    <t>LUVA, CPVC, SOLDÁVEL, DN 28MM, INSTALADO EM RAMAL OU SUB-RAMAL DE ÁGUA  FORNECIMENTO E INSTALAÇÃO. AF_12/2014</t>
  </si>
  <si>
    <t>LUVA DE CORRER, PVC, SERIE R, ÁGUA PLUVIAL, DN 100 MM, JUNTA ELÁSTICA, FORNECIDO E INSTALADO EM CONDUTORES VERTICAIS DE ÁGUAS PLUVIAIS. AF_12/2014</t>
  </si>
  <si>
    <t>LUVA DE CORRER, CPVC, SOLDÁVEL, DN 28MM, INSTALADO EM RAMAL OU SUB-RAMAL DE ÁGUA  FORNECIMENTO E INSTALAÇÃO. AF_12/2014</t>
  </si>
  <si>
    <t>REDUÇÃO EXCÊNTRICA, PVC, SERIE R, ÁGUA PLUVIAL, DN 100 X 75 MM, JUNTA ELÁSTICA, FORNECIDO E INSTALADO EM CONDUTORES VERTICAIS DE ÁGUAS PLUVIAIS. AF_12/2014</t>
  </si>
  <si>
    <t>UNIÃO, CPVC, SOLDÁVEL, DN28MM, INSTALADO EM RAMAL OU SUB-RAMAL DE ÁGUA  FORNECIMENTO E INSTALAÇÃO. AF_12/2014</t>
  </si>
  <si>
    <t>TÊ DE INSPEÇÃO, PVC, SERIE R, ÁGUA PLUVIAL, DN 100 MM, JUNTA ELÁSTICA, FORNECIDO E INSTALADO EM CONDUTORES VERTICAIS DE ÁGUAS PLUVIAIS. AF_12/2014</t>
  </si>
  <si>
    <t>CONECTOR, CPVC, SOLDÁVEL, DN 28MM X 1, INSTALADO EM RAMAL OU SUB-RAMAL DE ÁGUA  FORNECIMENTO E INSTALAÇÃO. AF_12/2014</t>
  </si>
  <si>
    <t>LUVA SIMPLES, PVC, SERIE R, ÁGUA PLUVIAL, DN 150 MM, JUNTA ELÁSTICA, FORNECIDO E INSTALADO EM CONDUTORES VERTICAIS DE ÁGUAS PLUVIAIS. AF_12/2014</t>
  </si>
  <si>
    <t>BUCHA DE REDUÇÃO, CPVC, SOLDÁVEL, DN28MM X 22MM, INSTALADO EM RAMAL OU SUB-RAMAL DE ÁGUA  FORNECIMENTO E INSTALAÇÃO. AF_12/2014</t>
  </si>
  <si>
    <t>LUVA DE CORRER, PVC, SERIE R, ÁGUA PLUVIAL, DN 150 MM, JUNTA ELÁSTICA, FORNECIDO E INSTALADO EM CONDUTORES VERTICAIS DE ÁGUAS PLUVIAIS. AF_12/2014</t>
  </si>
  <si>
    <t>LUVA, CPVC, SOLDÁVEL, DN 35MM, INSTALADO EM RAMAL OU SUB-RAMAL DE ÁGUA  FORNECIMENTO E INSTALAÇÃO. AF_12/2014</t>
  </si>
  <si>
    <t>REDUÇÃO EXCÊNTRICA, PVC, SERIE R, ÁGUA PLUVIAL, DN 150 X 100 MM, JUNTA ELÁSTICA, FORNECIDO E INSTALADO EM CONDUTORES VERTICAIS DE ÁGUAS PLUVIAIS. AF_12/2014</t>
  </si>
  <si>
    <t>LUVA DE CORRER, CPVC, SOLDÁVEL, DN 35MM, INSTALADO EM RAMAL OU SUB-RAMAL DE ÁGUA  FORNECIMENTO E INSTALAÇÃO. AF_12/2014</t>
  </si>
  <si>
    <t>UNIÃO, CPVC, SOLDÁVEL, DN35MM, INSTALADO EM RAMAL OU SUB-RAMAL DE ÁGUA  FORNECIMENTO E INSTALAÇÃO. AF_12/2014</t>
  </si>
  <si>
    <t>JUNÇÃO SIMPLES, PVC, SERIE R, ÁGUA PLUVIAL, DN 75 X 75 MM, JUNTA ELÁSTICA, FORNECIDO E INSTALADO EM CONDUTORES VERTICAIS DE ÁGUAS PLUVIAIS. AF_12/2014</t>
  </si>
  <si>
    <t>CONECTOR, CPVC, SOLDÁVEL, DN 35MM X 1 1/4, INSTALADO EM RAMAL OU SUB-RAMAL DE ÁGUA  FORNECIMENTO E INSTALAÇÃO. AF_12/2014</t>
  </si>
  <si>
    <t>TÊ, PVC, SERIE R, ÁGUA PLUVIAL, DN 75 X 75 MM, JUNTA ELÁSTICA, FORNECIDO E INSTALADO EM CONDUTORES VERTICAIS DE ÁGUAS PLUVIAIS. AF_12/2014</t>
  </si>
  <si>
    <t>BUCHA DE REDUÇÃO, CPVC, SOLDÁVEL, DN35MM X 28MM, INSTALADO EM RAMAL OU SUB-RAMAL DE ÁGUA  FORNECIMENTO E INSTALAÇÃO. AF_12/2014</t>
  </si>
  <si>
    <t>JUNÇÃO SIMPLES, PVC, SERIE R, ÁGUA PLUVIAL, DN 100 X 100 MM, JUNTA ELÁSTICA, FORNECIDO E INSTALADO EM CONDUTORES VERTICAIS DE ÁGUAS PLUVIAIS. AF_12/2014</t>
  </si>
  <si>
    <t>JUNÇÃO SIMPLES, PVC, SERIE R, ÁGUA PLUVIAL, DN 100 X 75 MM, JUNTA ELÁSTICA, FORNECIDO E INSTALADO EM CONDUTORES VERTICAIS DE ÁGUAS PLUVIAIS. AF_12/2014</t>
  </si>
  <si>
    <t>TÊ, PVC, SERIE R, ÁGUA PLUVIAL, DN 100 X 100 MM, JUNTA ELÁSTICA, FORNECIDO E INSTALADO EM CONDUTORES VERTICAIS DE ÁGUAS PLUVIAIS. AF_12/2014</t>
  </si>
  <si>
    <t>TE DE TRANSIÇÃO, CPVC, SOLDÁVEL, DN 15MM X 1/2, INSTALADO EM RAMAL OU SUB-RAMAL DE ÁGUA  FORNECIMENTO E INSTALAÇÃO. AF_12/2014</t>
  </si>
  <si>
    <t>TÊ MISTURADOR, CPVC, SOLDÁVEL, DN15MM, INSTALADO EM RAMAL OU SUB-RAMAL DE ÁGUA  FORNECIMENTO E INSTALAÇÃO. AF_12/2014</t>
  </si>
  <si>
    <t>TÊ, PVC, SERIE R, ÁGUA PLUVIAL, DN 100 X 75 MM, JUNTA ELÁSTICA, FORNECIDO E INSTALADO EM CONDUTORES VERTICAIS DE ÁGUAS PLUVIAIS. AF_12/2014</t>
  </si>
  <si>
    <t>JUNÇÃO SIMPLES, PVC, SERIE R, ÁGUA PLUVIAL, DN 150 X 150 MM, JUNTA ELÁSTICA, FORNECIDO E INSTALADO EM CONDUTORES VERTICAIS DE ÁGUAS PLUVIAIS. AF_12/2014</t>
  </si>
  <si>
    <t>JUNÇÃO SIMPLES, PVC, SERIE R, ÁGUA PLUVIAL, DN 150 X 100 MM, JUNTA ELÁSTICA, FORNECIDO E INSTALADO EM CONDUTORES VERTICAIS DE ÁGUAS PLUVIAIS. AF_12/2014</t>
  </si>
  <si>
    <t>TE DE TRANSIÇÃO, CPVC, SOLDÁVEL, DN 22MM X 1/2, INSTALADO EM RAMAL OU SUB-RAMAL DE ÁGUA  FORNECIMENTO E INSTALAÇÃO. AF_12/2014</t>
  </si>
  <si>
    <t>TÊ, PVC, SERIE R, ÁGUA PLUVIAL, DN 150 X 150 MM, JUNTA ELÁSTICA, FORNECIDO E INSTALADO EM CONDUTORES VERTICAIS DE ÁGUAS PLUVIAIS. AF_12/2014</t>
  </si>
  <si>
    <t>TÊ MISTURADOR, CPVC, SOLDÁVEL, DN22MM, INSTALADO EM RAMAL OU SUB-RAMAL DE ÁGUA  FORNECIMENTO E INSTALAÇÃO. AF_12/2014</t>
  </si>
  <si>
    <t>TÊ, PVC, SERIE R, ÁGUA PLUVIAL, DN 150 X 100 MM, JUNTA ELÁSTICA, FORNECIDO E INSTALADO EM CONDUTORES VERTICAIS DE ÁGUAS PLUVIAIS. AF_12/2014</t>
  </si>
  <si>
    <t>TÊ, CPVC, SOLDÁVEL, DN28MM, INSTALADO EM RAMAL OU SUB-RAMAL DE ÁGUA   FORNECIMENTO E INSTALAÇÃO. AF_12/2014</t>
  </si>
  <si>
    <t>TÊ, CPVC, SOLDÁVEL, DN35MM, INSTALADO EM RAMAL OU SUB-RAMAL DE ÁGUA  FORNECIMENTO E INSTALAÇÃO. AF_12/2014</t>
  </si>
  <si>
    <t>CAIXA SIFONADA, PVC, DN 100 X 100 X 50 MM, JUNTA ELÁSTICA, FORNECIDA E INSTALADA EM RAMAL DE DESCARGA OU EM RAMAL DE ESGOTO SANITÁRIO. AF_12/2014</t>
  </si>
  <si>
    <t>CAIXA SIFONADA, PVC, DN 150 X 185 X 75 MM, JUNTA ELÁSTICA, FORNECIDA E INSTALADA EM RAMAL DE DESCARGA OU EM RAMAL DE ESGOTO SANITÁRIO. AF_12/2014</t>
  </si>
  <si>
    <t>RALO SIFONADO, PVC, DN 100 X 40 MM, JUNTA SOLDÁVEL, FORNECIDO E INSTALADO EM RAMAL DE DESCARGA OU EM RAMAL DE ESGOTO SANITÁRIO. AF_12/2014</t>
  </si>
  <si>
    <t>TUBO PVC, SERIE NORMAL, ESGOTO PREDIAL, DN 40 MM, FORNECIDO E INSTALADO EM RAMAL DE DESCARGA OU RAMAL DE ESGOTO SANITÁRIO. AF_12/2014</t>
  </si>
  <si>
    <t>TUBO PVC, SERIE NORMAL, ESGOTO PREDIAL, DN 50 MM, FORNECIDO E INSTALADO EM RAMAL DE DESCARGA OU RAMAL DE ESGOTO SANITÁRIO. AF_12/2014</t>
  </si>
  <si>
    <t>TUBO PVC, SERIE NORMAL, ESGOTO PREDIAL, DN 75 MM, FORNECIDO E INSTALADO EM RAMAL DE DESCARGA OU RAMAL DE ESGOTO SANITÁRIO. AF_12/2014</t>
  </si>
  <si>
    <t>TUBO PVC, SERIE NORMAL, ESGOTO PREDIAL, DN 100 MM, FORNECIDO E INSTALADO EM RAMAL DE DESCARGA OU RAMAL DE ESGOTO SANITÁRIO. AF_12/2014</t>
  </si>
  <si>
    <t>TUBO, CPVC, SOLDÁVEL, DN 22MM, INSTALADO EM RAMAL DE DISTRIBUIÇÃO DE ÁGUA - FORNECIMENTO E INSTALAÇÃO. AF_12/2014</t>
  </si>
  <si>
    <t>TUBO, CPVC, SOLDÁVEL, DN 28MM, INSTALADO EM RAMAL DE DISTRIBUIÇÃO DE ÁGUA - FORNECIMENTO E INSTALAÇÃO. AF_12/2014</t>
  </si>
  <si>
    <t>TUBO, CPVC, SOLDÁVEL, DN 35MM, INSTALADO EM RAMAL DE DISTRIBUIÇÃO DE ÁGUA   FORNECIMENTO E INSTALAÇÃO. AF_12/2014</t>
  </si>
  <si>
    <t>JOELHO 90 GRAUS, CPVC, SOLDÁVEL, DN 22MM, INSTALADO EM RAMAL DE DISTRIBUIÇÃO DE ÁGUA   FORNECIMENTO E INSTALAÇÃO. AF_12/2014</t>
  </si>
  <si>
    <t>JOELHO 45 GRAUS, CPVC, SOLDÁVEL, DN 22MM, INSTALADO EM RAMAL DE DISTRIBUIÇÃO DE ÁGUA   FORNECIMENTO E INSTALAÇÃO. AF_12/2014</t>
  </si>
  <si>
    <t>CURVA 90 GRAUS, CPVC, SOLDÁVEL, DN 22MM, INSTALADO EM RAMAL DE DISTRIBUIÇÃO DE ÁGUA - FORNECIMENTO E INSTALAÇÃO. AF_12/2014</t>
  </si>
  <si>
    <t>JOELHO 90 GRAUS, CPVC, SOLDÁVEL, DN 28MM, INSTALADO EM RAMAL DE DISTRIBUIÇÃO DE ÁGUA   FORNECIMENTO E INSTALAÇÃO. AF_12/2014</t>
  </si>
  <si>
    <t>JOELHO 90 GRAUS, PVC, SERIE NORMAL, ESGOTO PREDIAL, DN 40 MM, JUNTA SOLDÁVEL, FORNECIDO E INSTALADO EM RAMAL DE DESCARGA OU RAMAL DE ESGOTO SANITÁRIO. AF_12/2014</t>
  </si>
  <si>
    <t>JOELHO 45 GRAUS, CPVC, SOLDÁVEL, DN 28MM, INSTALADO EM RAMAL DE DISTRIBUIÇÃO DE ÁGUA   FORNECIMENTO E INSTALAÇÃO. AF_12/2014</t>
  </si>
  <si>
    <t>JOELHO 45 GRAUS, PVC, SERIE NORMAL, ESGOTO PREDIAL, DN 40 MM, JUNTA SOLDÁVEL, FORNECIDO E INSTALADO EM RAMAL DE DESCARGA OU RAMAL DE ESGOTO SANITÁRIO. AF_12/2014</t>
  </si>
  <si>
    <t>CURVA 90 GRAUS, CPVC, SOLDÁVEL, DN 28MM, INSTALADO EM RAMAL DE DISTRIBUIÇÃO DE ÁGUA   FORNECIMENTO E INSTALAÇÃO. AF_12/2014</t>
  </si>
  <si>
    <t>CURVA CURTA 90 GRAUS, PVC, SERIE NORMAL, ESGOTO PREDIAL, DN 40 MM, JUNTA SOLDÁVEL, FORNECIDO E INSTALADO EM RAMAL DE DESCARGA OU RAMAL DE ESGOTO SANITÁRIO. AF_12/2014</t>
  </si>
  <si>
    <t>JOELHO 90 GRAUS, CPVC, SOLDÁVEL, DN 35MM, INSTALADO EM RAMAL DE DISTRIBUIÇÃO DE ÁGUA   FORNECIMENTO E INSTALAÇÃO. AF_12/2014</t>
  </si>
  <si>
    <t>CURVA LONGA 90 GRAUS, PVC, SERIE NORMAL, ESGOTO PREDIAL, DN 40 MM, JUNTA SOLDÁVEL, FORNECIDO E INSTALADO EM RAMAL DE DESCARGA OU RAMAL DE ESGOTO SANITÁRIO. AF_12/2014</t>
  </si>
  <si>
    <t>JOELHO 90 GRAUS, PVC, SERIE NORMAL, ESGOTO PREDIAL, DN 50 MM, JUNTA ELÁSTICA, FORNECIDO E INSTALADO EM RAMAL DE DESCARGA OU RAMAL DE ESGOTO SANITÁRIO. AF_12/2014</t>
  </si>
  <si>
    <t>JOELHO 45 GRAUS, PVC, SERIE NORMAL, ESGOTO PREDIAL, DN 50 MM, JUNTA ELÁSTICA, FORNECIDO E INSTALADO EM RAMAL DE DESCARGA OU RAMAL DE ESGOTO SANITÁRIO. AF_12/2014</t>
  </si>
  <si>
    <t>CURVA CURTA 90 GRAUS, PVC, SERIE NORMAL, ESGOTO PREDIAL, DN 50 MM, JUNTA ELÁSTICA, FORNECIDO E INSTALADO EM RAMAL DE DESCARGA OU RAMAL DE ESGOTO SANITÁRIO. AF_12/2014</t>
  </si>
  <si>
    <t>JOELHO 45 GRAUS, CPVC, SOLDÁVEL, DN 35MM, INSTALADO EM RAMAL DE DISTRIBUIÇÃO DE ÁGUA   FORNECIMENTO E INSTALAÇÃO. AF_12/2014</t>
  </si>
  <si>
    <t>CURVA LONGA 90 GRAUS, PVC, SERIE NORMAL, ESGOTO PREDIAL, DN 50 MM, JUNTA ELÁSTICA, FORNECIDO E INSTALADO EM RAMAL DE DESCARGA OU RAMAL DE ESGOTO SANITÁRIO. AF_12/2014</t>
  </si>
  <si>
    <t>LUVA, CPVC, SOLDÁVEL, DN 22MM, INSTALADO EM RAMAL DE DISTRIBUIÇÃO DE ÁGUA   FORNECIMENTO E INSTALAÇÃO. AF_12/2014</t>
  </si>
  <si>
    <t>JOELHO 90 GRAUS, PVC, SERIE NORMAL, ESGOTO PREDIAL, DN 75 MM, JUNTA ELÁSTICA, FORNECIDO E INSTALADO EM RAMAL DE DESCARGA OU RAMAL DE ESGOTO SANITÁRIO. AF_12/2014</t>
  </si>
  <si>
    <t>LUVA DE CORRER, CPVC, SOLDÁVEL, DN 22MM, INSTALADO EM RAMAL DE DISTRIBUIÇÃO DE ÁGUA   FORNECIMENTO E INSTALAÇÃO. AF_12/2014</t>
  </si>
  <si>
    <t>JOELHO 45 GRAUS, PVC, SERIE NORMAL, ESGOTO PREDIAL, DN 75 MM, JUNTA ELÁSTICA, FORNECIDO E INSTALADO EM RAMAL DE DESCARGA OU RAMAL DE ESGOTO SANITÁRIO. AF_12/2014</t>
  </si>
  <si>
    <t>CURVA CURTA 90 GRAUS, PVC, SERIE NORMAL, ESGOTO PREDIAL, DN 75 MM, JUNTA ELÁSTICA, FORNECIDO E INSTALADO EM RAMAL DE DESCARGA OU RAMAL DE ESGOTO SANITÁRIO. AF_12/2014</t>
  </si>
  <si>
    <t>CURVA LONGA 90 GRAUS, PVC, SERIE NORMAL, ESGOTO PREDIAL, DN 75 MM, JUNTA ELÁSTICA, FORNECIDO E INSTALADO EM RAMAL DE DESCARGA OU RAMAL DE ESGOTO SANITÁRIO. AF_12/2014</t>
  </si>
  <si>
    <t>JOELHO 90 GRAUS, PVC, SERIE NORMAL, ESGOTO PREDIAL, DN 100 MM, JUNTA ELÁSTICA, FORNECIDO E INSTALADO EM RAMAL DE DESCARGA OU RAMAL DE ESGOTO SANITÁRIO. AF_12/2014</t>
  </si>
  <si>
    <t>CONECTOR, CPVC, SOLDÁVEL, DN 22MM X 1/2 , INSTALADO EM RAMAL DE DISTRIBUIÇÃO DE ÁGUA   FORNECIMENTO E INSTALAÇÃO. AF_12/2014</t>
  </si>
  <si>
    <t>JOELHO 45 GRAUS, PVC, SERIE NORMAL, ESGOTO PREDIAL, DN 100 MM, JUNTA ELÁSTICA, FORNECIDO E INSTALADO EM RAMAL DE DESCARGA OU RAMAL DE ESGOTO SANITÁRIO. AF_12/2014</t>
  </si>
  <si>
    <t>CURVA CURTA 90 GRAUS, PVC, SERIE NORMAL, ESGOTO PREDIAL, DN 100 MM, JUNTA ELÁSTICA, FORNECIDO E INSTALADO EM RAMAL DE DESCARGA OU RAMAL DE ESGOTO SANITÁRIO. AF_12/2014</t>
  </si>
  <si>
    <t>CURVA LONGA 90 GRAUS, PVC, SERIE NORMAL, ESGOTO PREDIAL, DN 100 MM, JUNTA ELÁSTICA, FORNECIDO E INSTALADO EM RAMAL DE DESCARGA OU RAMAL DE ESGOTO SANITÁRIO. AF_12/2014</t>
  </si>
  <si>
    <t>BUCHA DE REDUÇÃO, CPVC, SOLDÁVEL, DN 22MM X 15MM, INSTALADO EM RAMAL DE DISTRIBUIÇÃO DE ÁGUA   FORNECIMENTO E INSTALAÇÃO. AF_12/2014</t>
  </si>
  <si>
    <t>LUVA SIMPLES, PVC, SERIE NORMAL, ESGOTO PREDIAL, DN 40 MM, JUNTA SOLDÁVEL, FORNECIDO E INSTALADO EM RAMAL DE DESCARGA OU RAMAL DE ESGOTO SANITÁRIO. AF_12/2014</t>
  </si>
  <si>
    <t>LUVA SIMPLES, PVC, SERIE NORMAL, ESGOTO PREDIAL, DN 50 MM, JUNTA ELÁSTICA, FORNECIDO E INSTALADO EM RAMAL DE DESCARGA OU RAMAL DE ESGOTO SANITÁRIO. AF_12/2014</t>
  </si>
  <si>
    <t>LUVA DE CORRER, PVC, SERIE NORMAL, ESGOTO PREDIAL, DN 50 MM, JUNTA ELÁSTICA, FORNECIDO E INSTALADO EM RAMAL DE DESCARGA OU RAMAL DE ESGOTO SANITÁRIO. AF_12/2014</t>
  </si>
  <si>
    <t>LUVA, CPVC, SOLDÁVEL, DN 28MM, INSTALADO EM RAMAL DE DISTRIBUIÇÃO DE ÁGUA   FORNECIMENTO E INSTALAÇÃO. AF_12/2014</t>
  </si>
  <si>
    <t>LUVA DE CORRER, CPVC, SOLDÁVEL, DN 28MM, INSTALADO EM RAMAL DE DISTRIBUIÇÃO DE ÁGUA   FORNECIMENTO E INSTALAÇÃO. AF_12/2014</t>
  </si>
  <si>
    <t>CONECTOR, CPVC, SOLDÁVEL, DN 28MM X 1 , INSTALADO EM RAMAL DE DISTRIBUIÇÃO DE ÁGUA   FORNECIMENTO E INSTALAÇÃO. AF_12/2014</t>
  </si>
  <si>
    <t>BUCHA DE REDUÇÃO, CPVC, SOLDÁVEL, DN 28MM X 22MM, INSTALADO EM RAMAL DE DISTRIBUIÇÃO DE ÁGUA - FORNECIMENTO E INSTALAÇÃO. AF_12/2014</t>
  </si>
  <si>
    <t>LUVA, CPVC, SOLDÁVEL, DN 35MM, INSTALADO EM RAMAL DE DISTRIBUIÇÃO DE ÁGUA - FORNECIMENTO E INSTALAÇÃO. AF_12/2014</t>
  </si>
  <si>
    <t>LUVA DE CORRER, CPVC, SOLDÁVEL, DN 35MM, INSTALADO EM RAMAL DE DISTRIBUIÇÃO DE ÁGUA - FORNECIMENTO E INSTALAÇÃO. AF_12/2014</t>
  </si>
  <si>
    <t>UNIÃO, CPVC, SOLDÁVEL, DN35MM, INSTALADO EM RAMAL DE DISTRIBUIÇÃO DE ÁGUA - FORNECIMENTO E INSTALAÇÃO. AF_12/2014</t>
  </si>
  <si>
    <t>CONECTOR, CPVC, SOLDÁVEL, DN 35MM X 1 1/4 , INSTALADO EM RAMAL DE DISTRIBUIÇÃO DE ÁGUA - FORNECIMENTO E INSTALAÇÃO. AF_12/2014</t>
  </si>
  <si>
    <t>TE, CPVC, SOLDÁVEL, DN 22MM, INSTALADO EM RAMAL DE DISTRIBUIÇÃO DE ÁGUA - FORNECIMENTO E INSTALAÇÃO. AF_12/2014</t>
  </si>
  <si>
    <t>TÊ MISTURADOR, CPVC, SOLDÁVEL, DN 22MM, INSTALADO EM RAMAL DE DISTRIBUIÇÃO DE ÁGUA - FORNECIMENTO E INSTALAÇÃO. AF_12/2014</t>
  </si>
  <si>
    <t>TÊ, CPVC, SOLDÁVEL, DN 28MM, INSTALADO EM RAMAL DE DISTRIBUIÇÃO DE ÁGUA - FORNECIMENTO E INSTALAÇÃO. AF_12/2014</t>
  </si>
  <si>
    <t>TUBO, CPVC, SOLDÁVEL, DN 35MM, INSTALADO EM PRUMADA DE ÁGUA  FORNECIMENTO E INSTALAÇÃO. AF_12/2014</t>
  </si>
  <si>
    <t>TUBO, CPVC, SOLDÁVEL, DN 42MM, INSTALADO EM PRUMADA DE ÁGUA  FORNECIMENTO E INSTALAÇÃO. AF_12/2014</t>
  </si>
  <si>
    <t>TUBO, CPVC, SOLDÁVEL, DN 54MM, INSTALADO EM PRUMADA DE ÁGUA  FORNECIMENTO E INSTALAÇÃO. AF_12/2014</t>
  </si>
  <si>
    <t>TUBO, CPVC, SOLDÁVEL, DN 73MM, INSTALADO EM PRUMADA DE ÁGUA  FORNECIMENTO E INSTALAÇÃO. AF_12/2014</t>
  </si>
  <si>
    <t>LUVA SIMPLES, PVC, SERIE NORMAL, ESGOTO PREDIAL, DN 75 MM, JUNTA ELÁSTICA, FORNECIDO E INSTALADO EM RAMAL DE DESCARGA OU RAMAL DE ESGOTO SANITÁRIO. AF_12/2014</t>
  </si>
  <si>
    <t>TUBO, CPVC, SOLDÁVEL, DN 89MM, INSTALADO EM PRUMADA DE ÁGUA  FORNECIMENTO E INSTALAÇÃO. AF_12/2014</t>
  </si>
  <si>
    <t>LUVA DE CORRER, PVC, SERIE NORMAL, ESGOTO PREDIAL, DN 75 MM, JUNTA ELÁSTICA, FORNECIDO E INSTALADO EM RAMAL DE DESCARGA OU RAMAL DE ESGOTO SANITÁRIO. AF_12/2014</t>
  </si>
  <si>
    <t>JOELHO 90 GRAUS, CPVC, SOLDÁVEL, DN 35MM, INSTALADO EM PRUMADA DE ÁGUA  FORNECIMENTO E INSTALAÇÃO. AF_12/2014</t>
  </si>
  <si>
    <t>LUVA SIMPLES, PVC, SERIE NORMAL, ESGOTO PREDIAL, DN 100 MM, JUNTA ELÁSTICA, FORNECIDO E INSTALADO EM RAMAL DE DESCARGA OU RAMAL DE ESGOTO SANITÁRIO. AF_12/2014</t>
  </si>
  <si>
    <t>LUVA DE CORRER, PVC, SERIE NORMAL, ESGOTO PREDIAL, DN 100 MM, JUNTA ELÁSTICA, FORNECIDO E INSTALADO EM RAMAL DE DESCARGA OU RAMAL DE ESGOTO SANITÁRIO. AF_12/2014</t>
  </si>
  <si>
    <t>JOELHO 90 GRAUS, CPVC, SOLDÁVEL, DN 42MM, INSTALADO EM PRUMADA DE ÁGUA  FORNECIMENTO E INSTALAÇÃO. AF_12/2014</t>
  </si>
  <si>
    <t>TE, PVC, SERIE NORMAL, ESGOTO PREDIAL, DN 40 X 40 MM, JUNTA SOLDÁVEL, FORNECIDO E INSTALADO EM RAMAL DE DESCARGA OU RAMAL DE ESGOTO SANITÁRIO. AF_12/2014</t>
  </si>
  <si>
    <t>JUNÇÃO SIMPLES, PVC, SERIE NORMAL, ESGOTO PREDIAL, DN 40 MM, JUNTA SOLDÁVEL, FORNECIDO E INSTALADO EM RAMAL DE DESCARGA OU RAMAL DE ESGOTO SANITÁRIO. AF_12/2014</t>
  </si>
  <si>
    <t>TE, PVC, SERIE NORMAL, ESGOTO PREDIAL, DN 50 X 50 MM, JUNTA ELÁSTICA, FORNECIDO E INSTALADO EM RAMAL DE DESCARGA OU RAMAL DE ESGOTO SANITÁRIO. AF_12/2014</t>
  </si>
  <si>
    <t>JUNÇÃO SIMPLES, PVC, SERIE NORMAL, ESGOTO PREDIAL, DN 50 X 50 MM, JUNTA ELÁSTICA, FORNECIDO E INSTALADO EM RAMAL DE DESCARGA OU RAMAL DE ESGOTO SANITÁRIO. AF_12/2014</t>
  </si>
  <si>
    <t>TE, PVC, SERIE NORMAL, ESGOTO PREDIAL, DN 75 X 75 MM, JUNTA ELÁSTICA, FORNECIDO E INSTALADO EM RAMAL DE DESCARGA OU RAMAL DE ESGOTO SANITÁRIO. AF_12/2014</t>
  </si>
  <si>
    <t>JOELHO 45 GRAUS, CPVC, SOLDÁVEL, DN 42MM, INSTALADO EM PRUMADA DE ÁGUA  FORNECIMENTO E INSTALAÇÃO. AF_12/2014</t>
  </si>
  <si>
    <t>JOELHO 90 GRAUS, CPVC, SOLDÁVEL, DN 54MM, INSTALADO EM PRUMADA DE ÁGUA  FORNECIMENTO E INSTALAÇÃO. AF_12/2014</t>
  </si>
  <si>
    <t>JOELHO 45 GRAUS, CPVC, SOLDÁVEL, DN 54MM, INSTALADO EM PRUMADA DE ÁGUA  FORNECIMENTO E INSTALAÇÃO. AF_12/2014</t>
  </si>
  <si>
    <t>JOELHO 90 GRAUS, CPVC, SOLDÁVEL, DN 73MM, INSTALADO EM PRUMADA DE ÁGUA  FORNECIMENTO E INSTALAÇÃO. AF_12/2014</t>
  </si>
  <si>
    <t>JOELHO 45 GRAUS, CPVC, SOLDÁVEL, DN 73MM, INSTALADO EM PRUMADA DE ÁGUA  FORNECIMENTO E INSTALAÇÃO. AF_12/2014</t>
  </si>
  <si>
    <t>JOELHO 90 GRAUS, CPVC, SOLDÁVEL, DN 89MM, INSTALADO EM PRUMADA DE ÁGUA  FORNECIMENTO E INSTALAÇÃO. AF_12/2014</t>
  </si>
  <si>
    <t>JOELHO 45 GRAUS, CPVC, SOLDÁVEL, DN 89MM, INSTALADO EM PRUMADA DE ÁGUA  FORNECIMENTO E INSTALAÇÃO. AF_12/2014</t>
  </si>
  <si>
    <t>LUVA, CPVC, SOLDÁVEL, DN 35MM, INSTALADO EM PRUMADA DE ÁGUA  FORNECIMENTO E INSTALAÇÃO. AF_12/2014</t>
  </si>
  <si>
    <t>JUNÇÃO SIMPLES, PVC, SERIE NORMAL, ESGOTO PREDIAL, DN 75 X 75 MM, JUNTA ELÁSTICA, FORNECIDO E INSTALADO EM RAMAL DE DESCARGA OU RAMAL DE ESGOTO SANITÁRIO. AF_12/2014</t>
  </si>
  <si>
    <t>TE, PVC, SERIE NORMAL, ESGOTO PREDIAL, DN 100 X 100 MM, JUNTA ELÁSTICA, FORNECIDO E INSTALADO EM RAMAL DE DESCARGA OU RAMAL DE ESGOTO SANITÁRIO. AF_12/2014</t>
  </si>
  <si>
    <t>JUNÇÃO SIMPLES, PVC, SERIE NORMAL, ESGOTO PREDIAL, DN 100 X 100 MM, JUNTA ELÁSTICA, FORNECIDO E INSTALADO EM RAMAL DE DESCARGA OU RAMAL DE ESGOTO SANITÁRIO. AF_12/2014</t>
  </si>
  <si>
    <t>TUBO PVC, SERIE NORMAL, ESGOTO PREDIAL, DN 50 MM, FORNECIDO E INSTALADO EM PRUMADA DE ESGOTO SANITÁRIO OU VENTILAÇÃO. AF_12/2014</t>
  </si>
  <si>
    <t>TUBO PVC, SERIE NORMAL, ESGOTO PREDIAL, DN 75 MM, FORNECIDO E INSTALADO EM PRUMADA DE ESGOTO SANITÁRIO OU VENTILAÇÃO. AF_12/2014</t>
  </si>
  <si>
    <t>TUBO PVC, SERIE NORMAL, ESGOTO PREDIAL, DN 100 MM, FORNECIDO E INSTALADO EM PRUMADA DE ESGOTO SANITÁRIO OU VENTILAÇÃO. AF_12/2014</t>
  </si>
  <si>
    <t>JOELHO 90 GRAUS, PVC, SERIE NORMAL, ESGOTO PREDIAL, DN 50 MM, JUNTA ELÁSTICA, FORNECIDO E INSTALADO EM PRUMADA DE ESGOTO SANITÁRIO OU VENTILAÇÃO. AF_12/2014</t>
  </si>
  <si>
    <t>JOELHO 45 GRAUS, PVC, SERIE NORMAL, ESGOTO PREDIAL, DN 50 MM, JUNTA ELÁSTICA, FORNECIDO E INSTALADO EM PRUMADA DE ESGOTO SANITÁRIO OU VENTILAÇÃO. AF_12/2014</t>
  </si>
  <si>
    <t>CURVA CURTA 90 GRAUS, PVC, SERIE NORMAL, ESGOTO PREDIAL, DN 50 MM, JUNTA ELÁSTICA, FORNECIDO E INSTALADO EM PRUMADA DE ESGOTO SANITÁRIO OU VENTILAÇÃO. AF_12/2014</t>
  </si>
  <si>
    <t>CURVA LONGA 90 GRAUS, PVC, SERIE NORMAL, ESGOTO PREDIAL, DN 50 MM, JUNTA ELÁSTICA, FORNECIDO E INSTALADO EM PRUMADA DE ESGOTO SANITÁRIO OU VENTILAÇÃO. AF_12/2014</t>
  </si>
  <si>
    <t>JOELHO 90 GRAUS, PVC, SERIE NORMAL, ESGOTO PREDIAL, DN 75 MM, JUNTA ELÁSTICA, FORNECIDO E INSTALADO EM PRUMADA DE ESGOTO SANITÁRIO OU VENTILAÇÃO. AF_12/2014</t>
  </si>
  <si>
    <t>JOELHO 45 GRAUS, PVC, SERIE NORMAL, ESGOTO PREDIAL, DN 75 MM, JUNTA ELÁSTICA, FORNECIDO E INSTALADO EM PRUMADA DE ESGOTO SANITÁRIO OU VENTILAÇÃO. AF_12/2014</t>
  </si>
  <si>
    <t>CURVA CURTA 90 GRAUS, PVC, SERIE NORMAL, ESGOTO PREDIAL, DN 75 MM, JUNTA ELÁSTICA, FORNECIDO E INSTALADO EM PRUMADA DE ESGOTO SANITÁRIO OU VENTILAÇÃO. AF_12/2014</t>
  </si>
  <si>
    <t>CURVA LONGA 90 GRAUS, PVC, SERIE NORMAL, ESGOTO PREDIAL, DN 75 MM, JUNTA ELÁSTICA, FORNECIDO E INSTALADO EM PRUMADA DE ESGOTO SANITÁRIO OU VENTILAÇÃO. AF_12/2014</t>
  </si>
  <si>
    <t>JOELHO 90 GRAUS, PVC, SERIE NORMAL, ESGOTO PREDIAL, DN 100 MM, JUNTA ELÁSTICA, FORNECIDO E INSTALADO EM PRUMADA DE ESGOTO SANITÁRIO OU VENTILAÇÃO. AF_12/2014</t>
  </si>
  <si>
    <t>JOELHO 45 GRAUS, PVC, SERIE NORMAL, ESGOTO PREDIAL, DN 100 MM, JUNTA ELÁSTICA, FORNECIDO E INSTALADO EM PRUMADA DE ESGOTO SANITÁRIO OU VENTILAÇÃO. AF_12/2014</t>
  </si>
  <si>
    <t>CURVA CURTA 90 GRAUS, PVC, SERIE NORMAL, ESGOTO PREDIAL, DN 100 MM, JUNTA ELÁSTICA, FORNECIDO E INSTALADO EM PRUMADA DE ESGOTO SANITÁRIO OU VENTILAÇÃO. AF_12/2014</t>
  </si>
  <si>
    <t>CURVA LONGA 90 GRAUS, PVC, SERIE NORMAL, ESGOTO PREDIAL, DN 100 MM, JUNTA ELÁSTICA, FORNECIDO E INSTALADO EM PRUMADA DE ESGOTO SANITÁRIO OU VENTILAÇÃO. AF_12/2014</t>
  </si>
  <si>
    <t>LUVA SIMPLES, PVC, SERIE NORMAL, ESGOTO PREDIAL, DN 50 MM, JUNTA ELÁSTICA, FORNECIDO E INSTALADO EM PRUMADA DE ESGOTO SANITÁRIO OU VENTILAÇÃO. AF_12/2014</t>
  </si>
  <si>
    <t>LUVA DE CORRER, PVC, SERIE NORMAL, ESGOTO PREDIAL, DN 50 MM, JUNTA ELÁSTICA, FORNECIDO E INSTALADO EM PRUMADA DE ESGOTO SANITÁRIO OU VENTILAÇÃO. AF_12/2014</t>
  </si>
  <si>
    <t>LUVA DE CORRER, CPVC, SOLDÁVEL, DN 35MM, INSTALADO EM PRUMADA DE ÁGUA  FORNECIMENTO E INSTALAÇÃO. AF_12/2014</t>
  </si>
  <si>
    <t>UNIÃO, CPVC, SOLDÁVEL, DN35MM, INSTALADO EM PRUMADA DE ÁGUA  FORNECIMENTO E INSTALAÇÃO. AF_12/2014</t>
  </si>
  <si>
    <t>LUVA SIMPLES, PVC, SERIE NORMAL, ESGOTO PREDIAL, DN 75 MM, JUNTA ELÁSTICA, FORNECIDO E INSTALADO EM PRUMADA DE ESGOTO SANITÁRIO OU VENTILAÇÃO. AF_12/2014</t>
  </si>
  <si>
    <t>CONECTOR, CPVC, SOLDÁVEL, DN 35MM X 1 1/4, INSTALADO EM PRUMADA DE ÁGUA  FORNECIMENTO E INSTALAÇÃO. AF_12/2014</t>
  </si>
  <si>
    <t>LUVA DE CORRER, PVC, SERIE NORMAL, ESGOTO PREDIAL, DN 75 MM, JUNTA ELÁSTICA, FORNECIDO E INSTALADO EM PRUMADA DE ESGOTO SANITÁRIO OU VENTILAÇÃO. AF_12/2014</t>
  </si>
  <si>
    <t>BUCHA DE REDUÇÃO, CPVC, SOLDÁVEL, DN35MM X 28MM, INSTALADO EM PRUMADA DE ÁGUA  FORNECIMENTO E INSTALAÇÃO. AF_12/2014</t>
  </si>
  <si>
    <t>LUVA SIMPLES, PVC, SERIE NORMAL, ESGOTO PREDIAL, DN 100 MM, JUNTA ELÁSTICA, FORNECIDO E INSTALADO EM PRUMADA DE ESGOTO SANITÁRIO OU VENTILAÇÃO. AF_12/2014</t>
  </si>
  <si>
    <t>LUVA, CPVC, SOLDÁVEL, DN 42MM, INSTALADO EM PRUMADA DE ÁGUA  FORNECIMENTO E INSTALAÇÃO. AF_12/2014</t>
  </si>
  <si>
    <t>LUVA DE CORRER, PVC, SERIE NORMAL, ESGOTO PREDIAL, DN 100 MM, JUNTA ELÁSTICA, FORNECIDO E INSTALADO EM PRUMADA DE ESGOTO SANITÁRIO OU VENTILAÇÃO. AF_12/2014</t>
  </si>
  <si>
    <t>LUVA DE CORRER, CPVC, SOLDÁVEL, DN 42MM, INSTALADO EM PRUMADA DE ÁGUA  FORNECIMENTO E INSTALAÇÃO. AF_12/2014</t>
  </si>
  <si>
    <t>TE, PVC, SERIE NORMAL, ESGOTO PREDIAL, DN 50 X 50 MM, JUNTA ELÁSTICA, FORNECIDO E INSTALADO EM PRUMADA DE ESGOTO SANITÁRIO OU VENTILAÇÃO. AF_12/2014</t>
  </si>
  <si>
    <t>LUVA DE TRANSIÇÃO, CPVC, SOLDÁVEL, DN42MM X 1.1/2, INSTALADO EM PRUMADA DE ÁGUA  FORNECIMENTO E INSTALAÇÃO. AF_12/2014</t>
  </si>
  <si>
    <t>JUNÇÃO SIMPLES, PVC, SERIE NORMAL, ESGOTO PREDIAL, DN 50 X 50 MM, JUNTA ELÁSTICA, FORNECIDO E INSTALADO EM PRUMADA DE ESGOTO SANITÁRIO OU VENTILAÇÃO. AF_12/2014</t>
  </si>
  <si>
    <t>UNIÃO, CPVC, SOLDÁVEL, DN42MM, INSTALADO EM PRUMADA DE ÁGUA  FORNECIMENTO E INSTALAÇÃO. AF_12/2014</t>
  </si>
  <si>
    <t>TE, PVC, SERIE NORMAL, ESGOTO PREDIAL, DN 75 X 75 MM, JUNTA ELÁSTICA, FORNECIDO E INSTALADO EM PRUMADA DE ESGOTO SANITÁRIO OU VENTILAÇÃO. AF_12/2014</t>
  </si>
  <si>
    <t>JUNÇÃO SIMPLES, PVC, SERIE NORMAL, ESGOTO PREDIAL, DN 75 X 75 MM, JUNTA ELÁSTICA, FORNECIDO E INSTALADO EM PRUMADA DE ESGOTO SANITÁRIO OU VENTILAÇÃO. AF_12/2014</t>
  </si>
  <si>
    <t>CONECTOR, CPVC, SOLDÁVEL, DN 42MM X 1.1/2, INSTALADO EM PRUMADA DE ÁGUA  FORNECIMENTO E INSTALAÇÃO. AF_12/2014</t>
  </si>
  <si>
    <t>BUCHA DE REDUÇÃO, CPVC, SOLDÁVEL, DN 42MM X 22MM, INSTALADO EM RAMAL DE DISTRIBUIÇÃO DE ÁGUA - FORNECIMENTO E INSTALAÇÃO. AF_12/2014</t>
  </si>
  <si>
    <t>TE, PVC, SERIE NORMAL, ESGOTO PREDIAL, DN 100 X 100 MM, JUNTA ELÁSTICA, FORNECIDO E INSTALADO EM PRUMADA DE ESGOTO SANITÁRIO OU VENTILAÇÃO. AF_12/2014</t>
  </si>
  <si>
    <t>JUNÇÃO SIMPLES, PVC, SERIE NORMAL, ESGOTO PREDIAL, DN 100 X 100 MM, JUNTA ELÁSTICA, FORNECIDO E INSTALADO EM PRUMADA DE ESGOTO SANITÁRIO OU VENTILAÇÃO. AF_12/2014</t>
  </si>
  <si>
    <t>LUVA, CPVC, SOLDÁVEL, DN 54MM, INSTALADO EM PRUMADA DE ÁGUA  FORNECIMENTO E INSTALAÇÃO. AF_12/2014</t>
  </si>
  <si>
    <t>LUVA DE TRANSIÇÃO, CPVC, SOLDÁVEL, DN 54MM X 2, INSTALADO EM PRUMADA DE ÁGUA  FORNECIMENTO E INSTALAÇÃO. AF_12/2014</t>
  </si>
  <si>
    <t>UNIÃO, CPVC, SOLDÁVEL, DN 54MM, INSTALADO EM PRUMADA DE ÁGUA  FORNECIMENTO E INSTALAÇÃO. AF_12/2014</t>
  </si>
  <si>
    <t>LUVA, CPVC, SOLDÁVEL, DN 73MM, INSTALADO EM PRUMADA DE ÁGUA  FORNECIMENTO E INSTALAÇÃO. AF_12/2014</t>
  </si>
  <si>
    <t>UNIÃO, CPVC, SOLDÁVEL, DN 73MM, INSTALADO EM PRUMADA DE ÁGUA  FORNECIMENTO E INSTALAÇÃO. AF_12/2014</t>
  </si>
  <si>
    <t>LUVA, CPVC, SOLDÁVEL, DN 89MM, INSTALADO EM PRUMADA DE ÁGUA  FORNECIMENTO E INSTALAÇÃO. AF_12/2014</t>
  </si>
  <si>
    <t>UNIÃO, CPVC, SOLDÁVEL, DN 89MM, INSTALADO EM PRUMADA DE ÁGUA  FORNECIMENTO E INSTALAÇÃO. AF_12/2014</t>
  </si>
  <si>
    <t>TÊ, CPVC, SOLDÁVEL, DN 35MM, INSTALADO EM PRUMADA DE ÁGUA  FORNECIMENTO E INSTALAÇÃO. AF_12/2014</t>
  </si>
  <si>
    <t>TE, CPVC, SOLDÁVEL, DN  42MM, INSTALADO EM PRUMADA DE ÁGUA  FORNECIMENTO E INSTALAÇÃO. AF_12/2014</t>
  </si>
  <si>
    <t>TÊ, CPVC, SOLDÁVEL, DN 54 MM, INSTALADO EM PRUMADA DE ÁGUA  FORNECIMENTO E INSTALAÇÃO. AF_12/2014</t>
  </si>
  <si>
    <t>TÊ, CPVC, SOLDÁVEL, DN 73MM, INSTALADO EM PRUMADA DE ÁGUA  FORNECIMENTO E INSTALAÇÃO. AF_12/2014</t>
  </si>
  <si>
    <t>TÊ, CPVC, SOLDÁVEL, DN 89MM, INSTALADO EM PRUMADA DE ÁGUA  FORNECIMENTO E INSTALAÇÃO. AF_12/2014</t>
  </si>
  <si>
    <t>TUBO PVC, SERIE NORMAL, ESGOTO PREDIAL, DN 100 MM, FORNECIDO E INSTALADO EM SUBCOLETOR AÉREO DE ESGOTO SANITÁRIO. AF_12/2014</t>
  </si>
  <si>
    <t>TUBO PVC, SERIE NORMAL, ESGOTO PREDIAL, DN 150 MM, FORNECIDO E INSTALADO EM SUBCOLETOR AÉREO DE ESGOTO SANITÁRIO. AF_12/2014</t>
  </si>
  <si>
    <t>JOELHO 90 GRAUS, PVC, SERIE NORMAL, ESGOTO PREDIAL, DN 100 MM, JUNTA ELÁSTICA, FORNECIDO E INSTALADO EM SUBCOLETOR AÉREO DE ESGOTO SANITÁRIO. AF_12/2014</t>
  </si>
  <si>
    <t>JOELHO 45 GRAUS, PVC, SERIE NORMAL, ESGOTO PREDIAL, DN 100 MM, JUNTA ELÁSTICA, FORNECIDO E INSTALADO EM SUBCOLETOR AÉREO DE ESGOTO SANITÁRIO. AF_12/2014</t>
  </si>
  <si>
    <t>CURVA CURTA 90 GRAUS, PVC, SERIE NORMAL, ESGOTO PREDIAL, DN 100 MM, JUNTA ELÁSTICA, FORNECIDO E INSTALADO EM SUBCOLETOR AÉREO DE ESGOTO SANITÁRIO. AF_12/2014</t>
  </si>
  <si>
    <t>CURVA LONGA 90 GRAUS, PVC, SERIE NORMAL, ESGOTO PREDIAL, DN 100 MM, JUNTA ELÁSTICA, FORNECIDO E INSTALADO EM SUBCOLETOR AÉREO DE ESGOTO SANITÁRIO. AF_12/2014</t>
  </si>
  <si>
    <t>JOELHO 90 GRAUS, PVC, SERIE NORMAL, ESGOTO PREDIAL, DN 150 MM, JUNTA ELÁSTICA, FORNECIDO E INSTALADO EM SUBCOLETOR AÉREO DE ESGOTO SANITÁRIO. AF_12/2014</t>
  </si>
  <si>
    <t>JOELHO 45 GRAUS, PVC, SERIE NORMAL, ESGOTO PREDIAL, DN 150 MM, JUNTA ELÁSTICA, FORNECIDO E INSTALADO EM SUBCOLETOR AÉREO DE ESGOTO SANITÁRIO. AF_12/2014</t>
  </si>
  <si>
    <t>LUVA SIMPLES, PVC, SERIE NORMAL, ESGOTO PREDIAL, DN 100 MM, JUNTA ELÁSTICA, FORNECIDO E INSTALADO EM SUBCOLETOR AÉREO DE ESGOTO SANITÁRIO. AF_12/2014</t>
  </si>
  <si>
    <t>LUVA DE CORRER, PVC, SERIE NORMAL, ESGOTO PREDIAL, DN 100 MM, JUNTA ELÁSTICA, FORNECIDO E INSTALADO EM SUBCOLETOR AÉREO DE ESGOTO SANITÁRIO. AF_12/2014</t>
  </si>
  <si>
    <t>LUVA DE CORRER, PVC, SERIE NORMAL, ESGOTO PREDIAL, DN 150 MM, JUNTA ELÁSTICA, FORNECIDO E INSTALADO EM SUBCOLETOR AÉREO DE ESGOTO SANITÁRIO. AF_12/2014</t>
  </si>
  <si>
    <t>TE, PVC, SERIE NORMAL, ESGOTO PREDIAL, DN 100 X 100 MM, JUNTA ELÁSTICA, FORNECIDO E INSTALADO EM SUBCOLETOR AÉREO DE ESGOTO SANITÁRIO. AF_12/2014</t>
  </si>
  <si>
    <t>JUNÇÃO SIMPLES, PVC, SERIE NORMAL, ESGOTO PREDIAL, DN 100 X 100 MM, JUNTA ELÁSTICA, FORNECIDO E INSTALADO EM SUBCOLETOR AÉREO DE ESGOTO SANITÁRIO. AF_12/2014</t>
  </si>
  <si>
    <t>TE, PVC, SERIE NORMAL, ESGOTO PREDIAL, DN 150 X 150 MM, JUNTA ELÁSTICA, FORNECIDO E INSTALADO EM SUBCOLETOR AÉREO DE ESGOTO SANITÁRIO. AF_12/2014</t>
  </si>
  <si>
    <t>JUNÇÃO SIMPLES, PVC, SERIE NORMAL, ESGOTO PREDIAL, DN 150 X 150 MM, JUNTA ELÁSTICA, FORNECIDO E INSTALADO EM SUBCOLETOR AÉREO DE ESGOTO SANITÁRIO. AF_12/2014</t>
  </si>
  <si>
    <t>JOELHO 90 GRAUS, PVC, SOLDÁVEL, DN 25MM, INSTALADO EM DRENO DE AR-CONDICIONADO - FORNECIMENTO E INSTALAÇÃO. AF_12/2014</t>
  </si>
  <si>
    <t>JOELHO 45 GRAUS, PVC, SOLDÁVEL, DN 25MM, INSTALADO EM DRENO DE AR-CONDICIONADO - FORNECIMENTO E INSTALAÇÃO. AF_12/2014</t>
  </si>
  <si>
    <t>TE, PVC, SOLDÁVEL, DN 25MM, INSTALADO EM DRENO DE AR-CONDICIONADO - FORNECIMENTO E INSTALAÇÃO. AF_12/2014</t>
  </si>
  <si>
    <t>PONTO DE CONSUMO TERMINAL DE ÁGUA FRIA (SUBRAMAL) COM TUBULAÇÃO DE PVC, DN 25 MM, INSTALADO EM RAMAL DE ÁGUA, INCLUSOS RASGO E CHUMBAMENTO EM ALVENARIA. AF_12/2014</t>
  </si>
  <si>
    <t>PONTO DE CONSUMO TERMINAL DE ÁGUA QUENTE (SUBRAMAL) COM TUBULAÇÃO DE CPVC, DN 22 MM, INSTALADO EM RAMAL DE ÁGUA, INCLUSOS RASGO E CHUMBAMENTO EM ALVENARIA. AF_12/2014</t>
  </si>
  <si>
    <t>KIT DE REGISTRO DE PRESSÃO BRUTO DE LATÃO ½", INCLUSIVE CONEXÕES,  ROSCÁVEL, INSTALADO EM RAMAL DE ÁGUA FRIA - FORNECIMENTO E INSTALAÇÃO. AF_12/2014</t>
  </si>
  <si>
    <t>KIT DE REGISTRO DE PRESSÃO BRUTO DE LATÃO ¾", INCLUSIVE CONEXÕES, ROSCÁVEL, INSTALADO EM RAMAL DE ÁGUA FRIA - FORNECIMENTO E INSTALAÇÃO. AF_12/2014</t>
  </si>
  <si>
    <t>KIT DE REGISTRO DE GAVETA BRUTO DE LATÃO ½", INCLUSIVE CONEXÕES, ROSCÁVEL, INSTALADO EM RAMAL DE ÁGUA FRIA - FORNECIMENTO E INSTALAÇÃO. AF_12/2014</t>
  </si>
  <si>
    <t>KIT DE REGISTRO DE GAVETA BRUTO DE LATÃO ¾", INCLUSIVE CONEXÕES, ROSCÁVEL, INSTALADO EM RAMAL DE ÁGUA FRIA - FORNECIMENTO E INSTALAÇÃO. AF_12/2014</t>
  </si>
  <si>
    <t>KIT DE MISTURADOR BASE BRUTA DE LATÃO ¾" MONOCOMANDO PARA CHUVEIRO, INCLUSIVE CONEXÕES, INSTALADO EM RAMAL DE ÁGUA - FORNECIMENTO E INSTALAÇÃO. AF_12/2014</t>
  </si>
  <si>
    <t>KIT DE TÊ MISTURADOR EM CPVC ¾" COM DUPLO COMANDO PARA CHUVEIRO, INCLUSIVE CONEXÕES, INSTALADO EM RAMAL DE ÁGUA - FORNECIMENTO E INSTALAÇÃO. AF_12/2014</t>
  </si>
  <si>
    <t>(COMPOSIÇÃO REPRESENTATIVA) DO SERVIÇO DE ALVENARIA DE VEDAÇÃO DE BLOCOS VAZADOS DE CERÂMICA DE 14X9X19CM (ESPESSURA 14CM, BLOCO DEITADO), PARA EDIFICAÇÃO HABITACIONAL UNIFAMILIAR (CASA) E EDIFICAÇÃO PÚBLICA PADRÃO. AF_12/2014</t>
  </si>
  <si>
    <t>(COMPOSIÇÃO REPRESENTATIVA) DO SERVIÇO DE ALVENARIA DE VEDAÇÃO DE BLOCOS VAZADOS DE CONCRETO DE 14X19X39CM (ESPESSURA 14CM), PARA EDIFICAÇÃO HABITACIONAL UNIFAMILIAR (CASA) E EDIFICAÇÃO PÚBLICA PADRÃO. AF_12/2014</t>
  </si>
  <si>
    <t>LUVA COM BUCHA DE LATÃO, PVC, SOLDÁVEL, DN 32MM X 1 , INSTALADO EM RAMAL OU SUB-RAMAL DE ÁGUA   FORNECIMENTO E INSTALAÇÃO. AF_12/2014</t>
  </si>
  <si>
    <t>LUVA COM BUCHA DE LATÃO, PVC, SOLDÁVEL, DN 25MM X 3/4, INSTALADO EM PRUMADA DE ÁGUA - FORNECIMENTO E INSTALAÇÃO. AF_12/2014</t>
  </si>
  <si>
    <t>LUVA SOLDÁVEL E COM BUCHA DE LATÃO, PVC, SOLDÁVEL, DN 32MM X 1 , INSTALADO EM PRUMADA DE ÁGUA   FORNECIMENTO E INSTALAÇÃO. AF_12/2014</t>
  </si>
  <si>
    <t>REGISTRO DE PRESSÃO BRUTO, LATÃO, ROSCÁVEL, 1/2", COM ACABAMENTO E CANOPLA CROMADOS. FORNECIDO E INSTALADO EM RAMAL DE ÁGUA. AF_12/2014</t>
  </si>
  <si>
    <t>REGISTRO DE PRESSÃO BRUTO, LATÃO, ROSCÁVEL, 3/4", COM ACABAMENTO E CANOPLA CROMADOS. FORNECIDO E INSTALADO EM RAMAL DE ÁGUA. AF_12/2014</t>
  </si>
  <si>
    <t>REGISTRO DE GAVETA BRUTO, LATÃO, ROSCÁVEL, 1/2", COM ACABAMENTO E CANOPLA CROMADOS. FORNECIDO E INSTALADO EM RAMAL DE ÁGUA. AF_12/2014</t>
  </si>
  <si>
    <t>REGISTRO DE GAVETA BRUTO, LATÃO, ROSCÁVEL, 3/4", COM ACABAMENTO E CANOPLA CROMADOS. FORNECIDO E INSTALADO EM RAMAL DE ÁGUA. AF_12/2014</t>
  </si>
  <si>
    <t>GRAUTEAMENTO DE CINTA INTERMEDIÁRIA OU DE CONTRAVERGA EM ALVENARIA ESTRUTURAL. AF_01/2015</t>
  </si>
  <si>
    <t>GRAUTEAMENTO DE CINTA SUPERIOR OU DE VERGA EM ALVENARIA ESTRUTURAL. AF_01/2015</t>
  </si>
  <si>
    <t>ARMAÇÃO VERTICAL DE ALVENARIA ESTRUTURAL; DIÂMETRO DE 10,0 MM. AF_01/2015</t>
  </si>
  <si>
    <t>ARMAÇÃO VERTICAL DE ALVENARIA ESTRUTURAL; DIÂMETRO DE 12,5 MM. AF_01/2015</t>
  </si>
  <si>
    <t>ARMAÇÃO DE CINTA DE ALVENARIA ESTRUTURAL; DIÂMETRO DE 10,0 MM. AF_01/2015</t>
  </si>
  <si>
    <t>ARMAÇÃO DE VERGA E CONTRAVERGA DE ALVENARIA ESTRUTURAL; DIÂMETRO DE 8,0 MM. AF_01/2015</t>
  </si>
  <si>
    <t>ARMAÇÃO DE VERGA E CONTRAVERGA DE ALVENARIA ESTRUTURAL; DIÂMETRO DE 10,0 MM. AF_01/2015</t>
  </si>
  <si>
    <t>ESCAVAÇÃO MECANIZADA DE VALA COM PROF. MAIOR QUE 1,5 M ATÉ 3,0 M (MÉDIA ENTRE MONTANTE E JUSANTE/UMA COMPOSIÇÃO POR TRECHO), COM ESCAVADEIRA HIDRÁULICA (0,8 M3/111 HP), LARGURA ATÉ 1,5 M, EM SOLO DE 1A CATEGORIA, EM LOCAIS COM ALTO NÍVEL DE INTERFERÊNCIA. AF_01/2015</t>
  </si>
  <si>
    <t>ESCAVAÇÃO MECANIZADA DE VALA COM PROF. MAIOR QUE 1,5 M ATÉ 3,0 M (MÉDIA ENTRE MONTANTE E JUSANTE/UMA COMPOSIÇÃO POR TRECHO), COM ESCAVADEIRA HIDRÁULICA (0,8 M3/111 HP), LARG. DE 1,5 M A 2,5 M, EM SOLO DE 1A CATEGORIA, EM LOCAIS COM ALTO NÍVEL DE INTERFERÊNCIA. AF_01/2015</t>
  </si>
  <si>
    <t>ESCAVAÇÃO MECANIZADA DE VALA COM PROF. MAIOR QUE 3,0 M ATÉ 4,5 M(MÉDIA ENTRE MONTANTE E JUSANTE/UMA COMPOSIÇÃO POR TRECHO), COM ESCAVADEIRA HIDRÁULICA (0,8 M3/111 HP), LARG. MENOR QUE 1,5 M, EM SOLO DE 1A CATEGORIA, EM LOCAIS COM ALTO NÍVEL DE INTERFERÊNCIA. AF_01/2015</t>
  </si>
  <si>
    <t>ESCAVAÇÃO MECANIZADA DE VALA COM PROF. DE 3,0 M ATÉ 4,5 M(MÉDIA ENTRE MONTANTE E JUSANTE/UMA COMPOSIÇÃO POR TRECHO), COM ESCAVADEIRA HIDRÁULICA (1,2 M3/155 HP), LARG. DE 1,5 M A 2,5 M, EM SOLO DE 1A CATEGORIA, EM LOCAIS COM ALTO NÍVEL DE INTERFERÊNCIA. AF_01/2015</t>
  </si>
  <si>
    <t>ESCAVAÇÃO MECANIZADA DE VALA COM PROF. MAIOR QUE 4,5 M ATÉ 6,0 M(MÉDIA ENTRE MONTANTE E JUSANTE/UMA COMPOSIÇÃO POR TRECHO), COM ESCAVADEIRA HIDRÁULICA (1,2 M3/155 HP), LARG. MENOR QUE 1,5 M, EM SOLO DE 1A CATEGORIA, EM LOCAIS COM ALTO NÍVEL DE INTERFERÊNCIA. AF_01/2015</t>
  </si>
  <si>
    <t>ESCAVAÇÃO MECANIZADA DE VALA COM PROF. MAIOR QUE 4,5 M ATÉ 6,0 M(MÉDIA ENTRE MONTANTE E JUSANTE/UMA COMPOSIÇÃO POR TRECHO), COM ESCAVADEIRA HIDRÁULICA (1,2 M3/155 HP), LARG. DE 1,5 M A 2,5 M, EM SOLO DE 1A CATEGORIA, EM LOCAIS COM ALTO NÍVEL DE INTERFERÊNCIA. AF_01/2015</t>
  </si>
  <si>
    <t>ESCAVAÇÃO MECANIZADA DE VALA COM PROF. MAIOR QUE 1,5 M E ATÉ 3,0 M(MÉDIA ENTRE MONTANTE E JUSANTE/UMA COMPOSIÇÃO POR TRECHO), COM ESCAVADEIRA HIDRÁULICA (0,8 M3/111 HP), LARG. MENOR QUE 1,5 M, EM SOLO DE 1A CATEGORIA, LOCAIS COM BAIXO NÍVEL DE INTERFERÊNCIA. AF_01/2015</t>
  </si>
  <si>
    <t>ESCAVAÇÃO MECANIZADA DE VALA COM PROF. MAIOR QUE 1,5 M ATÉ 3,0 M (MÉDIA ENTRE MONTANTE E JUSANTE/UMA COMPOSIÇÃO POR TRECHO), COM ESCAVADEIRA HIDRÁULICA (0,8 M3/111 HP), LARG. DE 1,5 M A 2,5 M, EM SOLO DE 1A CATEGORIA, LOCAIS COM BAIXO NÍVEL DE INTERFERÊNCIA. AF_01/2015</t>
  </si>
  <si>
    <t>ESCAVAÇÃO MECANIZADA DE VALA COM PROF. MAIOR QUE 3,0 M ATÉ 4,5 M (MÉDIA ENTRE MONTANTE E JUSANTE/UMA COMPOSIÇÃO POR TRECHO), COM ESCAVADEIRA HIDRÁULICA (0,8 M3/111 HP), LARG. MENOR QUE 1,5 M, EM SOLO DE 1A CATEGORIA, LOCAIS COM BAIXO NÍVEL DE INTERFERÊNCIA. AF_01/2015</t>
  </si>
  <si>
    <t>ESCAVAÇÃO MECANIZADA DE VALA COM PROF. MAIOR QUE 3,0 M ATÉ 4,5 M (MÉDIA ENTRE MONTANTE E JUSANTE/UMA COMPOSIÇÃO POR TRECHO), COM ESCAVADEIRA HIDRÁULICA (1,2 M3/155 HP), LARG. DE 1,5 M A 2,5 M, EM SOLO DE 1A CATEGORIA, LOCAIS COM BAIXO NÍVEL DE INTERFERÊNCIA. AF_01/2015</t>
  </si>
  <si>
    <t>ESCAVAÇÃO MECANIZADA DE VALA COM PROF. MAIOR QUE 4,5 M ATÉ 6,0 M (MÉDIA ENTRE MONTANTE E JUSANTE/UMA COMPOSIÇÃO POR TRECHO), COM ESCAVADEIRA HIDRÁULICA (1,2 M3/155 HP), LARG. MENOR QUE 1,5 M, EM SOLO DE 1A CATEGORIA, LOCAIS COM BAIXO NÍVEL DE INTERFERÊNCIA. AF_01/2015</t>
  </si>
  <si>
    <t>ESCAVAÇÃO MECANIZADA DE VALA COM PROF. MAIOR QUE 4,5 M ATÉ 6,0 M (MÉDIA ENTRE MONTANTE E JUSANTE/UMA COMPOSIÇÃO POR TRECHO), COM ESCAVADEIRA HIDRÁULICA (1,2 M3/155 HP), LARG. DE 1,5 M A 2,5 M, EM SOLO DE 1A CATEGORIA, LOCAIS COM BAIXO NÍVEL DE INTERFERÊNCIA. AF_01/2015</t>
  </si>
  <si>
    <t>ESCAVAÇÃO MECANIZADA DE VALA COM PROF. ATÉ 1,5 M (MÉDIA ENTRE MONTANTE E JUSANTE/UMA COMPOSIÇÃO POR TRECHO), COM RETROESCAVADEIRA (0,26 M3/88 HP), LARG. MENOR QUE 0,8 M, EM SOLO DE 1A CATEGORIA, EM LOCAIS COM ALTO NÍVEL DE INTERFERÊNCIA. AF_01/2015</t>
  </si>
  <si>
    <t>ESCAVAÇÃO MECANIZADA DE VALA COM PROF. ATÉ 1,5 M (MÉDIA ENTRE MONTANTE E JUSANTE/UMA COMPOSIÇÃO POR TRECHO), COM RETROESCAVADEIRA (0,26 M3/88 HP), LARG. DE 0,8 M A 1,5 M, EM SOLO DE 1A CATEGORIA, EM LOCAIS COM ALTO NÍVEL DE INTERFERÊNCIA. AF_01/2015</t>
  </si>
  <si>
    <t>ESCAVAÇÃO MECANIZADA DE VALA COM PROF. MAIOR QUE 1,5 M ATÉ 3,0 M (MÉDIA ENTRE MONTANTE E JUSANTE/UMA COMPOSIÇÃO POR TRECHO), COM RETROESCAVADEIRA (0,26 M3/88 HP), LARG. MENOR QUE 0,8 M, EM SOLO DE 1A CATEGORIA, EM LOCAIS COM ALTO NÍVEL DE INTERFERÊNCIA.AF_01/2015</t>
  </si>
  <si>
    <t>ESCAVAÇÃO MECANIZADA DE VALA COM PROF. MAIOR QUE 1,5 M ATÉ 3,0 M (MÉDIA ENTRE MONTANTE E JUSANTE/UMA COMPOSIÇÃO POR TRECHO), COM RETROESCAVADEIRA (0,26 M3/ POTÊNCIA:88 HP), LARGURA DE 0,8 M A 1,5 M, EM SOLO DE 1A CATEGORIA, EM LOCAIS COM ALTO NÍVEL DE INTERFERÊNCIA. AF_01/2015</t>
  </si>
  <si>
    <t>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t>
  </si>
  <si>
    <t>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t>
  </si>
  <si>
    <t>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t>
  </si>
  <si>
    <t>ALVENARIA DE VEDAÇÃO DE BLOCOS CERÂMICOS FURADOS NA VERTICAL DE 14X19X39CM (ESPESSURA 14CM) DE PAREDES COM ÁREA LÍQUIDA MENOR QUE 6M2 COM VÃOS E ARGAMASSA DE ASSENTAMENTO COM PREPARO MANUAL. AF_06/2014</t>
  </si>
  <si>
    <t>GRAUTE FGK=15 MPA; TRAÇO 1:0,04:2,0:2,4 (CIMENTO/ CAL/ AREIA GROSSA/ BRITA 0) - PREPARO MECÂNICO COM BETONEIRA 400 L. AF_02/2015</t>
  </si>
  <si>
    <t>GRAUTE FGK=20 MPA; TRAÇO 1:0,04:1,6:1,9 (CIMENTO/ CAL/ AREIA GROSSA/ BRITA 0) - PREPARO MECÂNICO COM BETONEIRA 400 L. AF_02/2015</t>
  </si>
  <si>
    <t>GRAUTE FGK=25 MPA; TRAÇO 1:0,02:1,2:1,5 (CIMENTO/ CAL/ AREIA GROSSA/ BRITA 0) - PREPARO MECÂNICO COM BETONEIRA 400 L. AF_02/2015</t>
  </si>
  <si>
    <t>GRAUTE FGK=30 MPA; TRAÇO 1:0,02:0,8:1,1 (CIMENTO/ CAL/ AREIA GROSSA/ BRITA 0) - PREPARO MECÂNICO COM BETONEIRA 400 L. AF_02/2015</t>
  </si>
  <si>
    <t>GRAUTE FGK=15 MPA; TRAÇO 1:2,0:2,4 (CIMENTO/ AREIA GROSSA/ BRITA 0/ ADITIVO) - PREPARO MECÂNICO COM BETONEIRA 400 L. AF_02/2015</t>
  </si>
  <si>
    <t>GRAUTE FGK=20 MPA; TRAÇO 1:1,6:1,9 (CIMENTO/ AREIA GROSSA/ BRITA 0/ ADITIVO) - PREPARO MECÂNICO COM BETONEIRA 400 L. AF_02/2015</t>
  </si>
  <si>
    <t>GRAUTE FGK=25 MPA; TRAÇO 1:1,2:1,5 (CIMENTO/ AREIA GROSSA/ BRITA 0/ ADITIVO) - PREPARO MECÂNICO COM BETONEIRA 400 L. AF_02/2015</t>
  </si>
  <si>
    <t>GRAUTE FGK=30 MPA; TRAÇO 1:0,8:1,1 (CIMENTO/ AREIA GROSSA/ BRITA 0/ ADITIVO) - PREPARO MECÂNICO COM BETONEIRA 400 L. AF_02/2015</t>
  </si>
  <si>
    <t>REGISTRO DE ESFERA, PVC, ROSCÁVEL, 3/4", FORNECIDO E INSTALADO EM RAMAL DE ÁGUA. AF_03/2015</t>
  </si>
  <si>
    <t>JOELHO 90 GRAUS COM BUCHA DE LATÃO, PVC, SOLDÁVEL, DN 25MM, X 1/2 INSTALADO EM RAMAL OU SUB-RAMAL DE ÁGUA - FORNECIMENTO E INSTALAÇÃO. AF_12/2014</t>
  </si>
  <si>
    <t>TÊ COM BUCHA DE LATÃO NA BOLSA CENTRAL, PVC, SOLDÁVEL, DN 25MM X 3/4, INSTALADO EM RAMAL OU SUB-RAMAL DE ÁGUA - FORNECIMENTO E INSTALAÇÃO. AF_03/2015</t>
  </si>
  <si>
    <t>MASSA ÚNICA, PARA RECEBIMENTO DE PINTURA, EM ARGAMASSA TRAÇO 1:2:8, PREPARO MECÂNICO COM BETONEIRA 400L, APLICADA MANUALMENTE EM TETO, ESPESSURA DE 20MM, COM EXECUÇÃO DE TALISCAS. AF_03/2015</t>
  </si>
  <si>
    <t>MASSA ÚNICA, PARA RECEBIMENTO DE PINTURA, EM ARGAMASSA TRAÇO 1:2:8, PREPARO MANUAL, APLICADA MANUALMENTE EM TETO, ESPESSURA DE 20MM, COM EXECUÇÃO DE TALISCAS. AF_03/2015</t>
  </si>
  <si>
    <t>MASSA ÚNICA, PARA RECEBIMENTO DE PINTURA, EM ARGAMASSA TRAÇO 1:2:8, PREPARO MECÂNICO COM BETONEIRA 400L, APLICADA MANUALMENTE EM TETO, ESPESSURA DE 10MM, COM EXECUÇÃO DE TALISCAS. AF_03/2015</t>
  </si>
  <si>
    <t>MASSA ÚNICA, PARA RECEBIMENTO DE PINTURA, EM ARGAMASSA TRAÇO 1:2:8, PREPARO MANUAL, APLICADA MANUALMENTE EM TETO, ESPESSURA DE 10MM, COM EXECUÇÃO DE TALISCAS. AF_03/2015</t>
  </si>
  <si>
    <t>RASGO EM CONTRAPISO PARA RAMAIS/ DISTRIBUIÇÃO COM DIÂMETROS MAIORES QUE 40 MM E MENORES OU IGUAIS A 75 MM. AF_05/2015</t>
  </si>
  <si>
    <t>RASGO EM CONTRAPISO PARA RAMAIS/ DISTRIBUIÇÃO COM DIÂMETROS MAIORES QUE 75 MM. AF_05/2015</t>
  </si>
  <si>
    <t>PASSANTE TIPO PEÇA EM POLIESTIRENO PARA ABERTURA PARA PASSAGEM DE 1 TUBO, FIXADO EM LAJE. AF_05/2015</t>
  </si>
  <si>
    <t>PASSANTE TIPO TUBO DE DIÂMETRO MAIOR QUE 75 MM, FIXADO EM LAJE. AF_05/2015</t>
  </si>
  <si>
    <t>QUEBRA EM ALVENARIA PARA INSTALAÇÃO DE CAIXA DE TOMADA (4X4 OU 4X2). AF_05/2015</t>
  </si>
  <si>
    <t>QUEBRA EM ALVENARIA PARA INSTALAÇÃO DE QUADRO DISTRIBUIÇÃO PEQUENO (19X25 CM). AF_05/2015</t>
  </si>
  <si>
    <t>QUEBRA EM ALVENARIA PARA INSTALAÇÃO DE QUADRO DISTRIBUIÇÃO GRANDE (76X40 CM). AF_05/2015</t>
  </si>
  <si>
    <t>QUEBRA EM ALVENARIA PARA INSTALAÇÃO DE ABRIGO PARA MANGUEIRAS (90X60 CM). AF_05/2015</t>
  </si>
  <si>
    <t>CHUMBAMENTO LINEAR EM CONTRAPISO PARA RAMAIS/DISTRIBUIÇÃO COM DIÂMETROS MENORES OU IGUAIS A 40 MM. AF_05/2015</t>
  </si>
  <si>
    <t>CHUMBAMENTO LINEAR EM CONTRAPISO PARA RAMAIS/DISTRIBUIÇÃO COM DIÂMETROS MAIORES QUE 40 MM E MENORES OU IGUAIS A 75 MM. AF_05/2015</t>
  </si>
  <si>
    <t>CHUMBAMENTO LINEAR EM CONTRAPISO PARA RAMAIS/DISTRIBUIÇÃO COM DIÂMETROS MAIORES QUE 75 MM. AF_05/2015</t>
  </si>
  <si>
    <t>VIBRADOR DE IMERSÃO, DIÂMETRO DE PONTEIRA 45MM, MOTOR ELÉTRICO TRIFÁSICO POTÊNCIA DE 2 CV - DEPRECIAÇÃO. AF_06/2015</t>
  </si>
  <si>
    <t>VIBRADOR DE IMERSÃO, DIÂMETRO DE PONTEIRA 45MM, MOTOR ELÉTRICO TRIFÁSICO POTÊNCIA DE 2 CV - JUROS. AF_06/2015</t>
  </si>
  <si>
    <t>VIBRADOR DE IMERSÃO, DIÂMETRO DE PONTEIRA 45MM, MOTOR ELÉTRICO TRIFÁSICO POTÊNCIA DE 2 CV - MANUTENÇÃO. AF_06/2015</t>
  </si>
  <si>
    <t>VIBRADOR DE IMERSÃO, DIÂMETRO DE PONTEIRA 45MM, MOTOR ELÉTRICO TRIFÁSICO POTÊNCIA DE 2 CV - MATERIAIS NA OPERAÇÃO. AF_06/2015</t>
  </si>
  <si>
    <t>VIBRADOR DE IMERSÃO, DIÂMETRO DE PONTEIRA 45MM, MOTOR ELÉTRICO TRIFÁSICO POTÊNCIA DE 2 CV - CHP DIURNO. AF_06/2015</t>
  </si>
  <si>
    <t>VIBRADOR DE IMERSÃO, DIÂMETRO DE PONTEIRA 45MM, MOTOR ELÉTRICO TRIFÁSICO POTÊNCIA DE 2 CV - CHI DIURNO. AF_06/2015</t>
  </si>
  <si>
    <t>PERFURATRIZ SOBRE ESTEIRA, TORQUE MÁXIMO 600 KGF, PESO MÉDIO 1000 KG, POTÊNCIA 20 HP, DIÂMETRO MÁXIMO 10" - MATERIAIS NA OPERAÇÃO. AF_06/2015</t>
  </si>
  <si>
    <t>BOMBA TRIPLEX, PARA INJEÇÃO DE NATA DE CIMENTO, VAZÃO MÁXIMA DE 100 LITROS/MINUTO, PRESSÃO MÁXIMA DE 70 BAR - DEPRECIAÇÃO. AF_06/2015</t>
  </si>
  <si>
    <t>BOMBA TRIPLEX, PARA INJEÇÃO DE NATA DE CIMENTO, VAZÃO MÁXIMA DE 100 LITROS/MINUTO, PRESSÃO MÁXIMA DE 70 BAR - JUROS. AF_06/2015</t>
  </si>
  <si>
    <t>BOMBA TRIPLEX, PARA INJEÇÃO DE NATA DE CIMENTO, VAZÃO MÁXIMA DE 100 LITROS/MINUTO, PRESSÃO MÁXIMA DE 70 BAR - MANUTENÇÃO. AF_06/2015</t>
  </si>
  <si>
    <t>BOMBA TRIPLEX, PARA INJEÇÃO DE NATA DE CIMENTO, VAZÃO MÁXIMA DE 100 LITROS/MINUTO, PRESSÃO MÁXIMA DE 70 BAR - MATERIAIS NA OPERAÇÃO. AF_06/2015</t>
  </si>
  <si>
    <t>BOMBA TRIPLEX, PARA INJEÇÃO DE NATA DE CIMENTO, VAZÃO MÁXIMA DE 100 LITROS/MINUTO, PRESSÃO MÁXIMA DE 70 BAR - CHP DIURNO. AF_06/2015</t>
  </si>
  <si>
    <t>BOMBA TRIPLEX, PARA INJEÇÃO DE NATA DE CIMENTO, VAZÃO MÁXIMA DE 100 LITROS/MINUTO, PRESSÃO MÁXIMA DE 70 BAR - CHI DIURNO. AF_06/2015</t>
  </si>
  <si>
    <t>BOMBA CENTRÍFUGA MONOESTÁGIO COM MOTOR ELÉTRICO MONOFÁSICO, POTÊNCIA 15 HP, DIÂMETRO DO ROTOR 173 MM, HM/Q = 30 MCA / 90 M3/H A 45 MCA / 55 M3/H - DEPRECIAÇÃO. AF_06/2015</t>
  </si>
  <si>
    <t>BOMBA CENTRÍFUGA MONOESTÁGIO COM MOTOR ELÉTRICO MONOFÁSICO, POTÊNCIA 15 HP, DIÂMETRO DO ROTOR 173 MM, HM/Q = 30 MCA / 90 M3/H A 45 MCA / 55 M3/H - JUROS. AF_06/2015</t>
  </si>
  <si>
    <t>BOMBA CENTRÍFUGA MONOESTÁGIO COM MOTOR ELÉTRICO MONOFÁSICO, POTÊNCIA 15 HP, DIÂMETRO DO ROTOR 173 MM, HM/Q = 30 MCA / 90 M3/H A 45 MCA / 55 M3/H - MANUTENÇÃO. AF_06/2015</t>
  </si>
  <si>
    <t>BOMBA CENTRÍFUGA MONOESTÁGIO COM MOTOR ELÉTRICO MONOFÁSICO, POTÊNCIA 15 HP, DIÂMETRO DO ROTOR 173 MM, HM/Q = 30 MCA / 90 M3/H A 45 MCA / 55 M3/H - MATERIAIS NA OPERAÇÃO. AF_06/2015</t>
  </si>
  <si>
    <t>BOMBA CENTRÍFUGA MONOESTÁGIO COM MOTOR ELÉTRICO MONOFÁSICO, POTÊNCIA 15 HP, DIÂMETRO DO ROTOR 173 MM, HM/Q = 30 MCA / 90 M3/H A 45 MCA / 55 M3/H - CHP DIURNO. AF_06/2015</t>
  </si>
  <si>
    <t>BOMBA CENTRÍFUGA MONOESTÁGIO COM MOTOR ELÉTRICO MONOFÁSICO, POTÊNCIA 15 HP, DIÂMETRO DO ROTOR 173 MM, HM/Q = 30 MCA / 90 M3/H A 45 MCA / 55 M3/H - CHI DIURNO. AF_06/2015</t>
  </si>
  <si>
    <t>BOMBA DE PROJEÇÃO DE CONCRETO SECO, POTÊNCIA 10 CV, VAZÃO 3 M3/H - DEPRECIAÇÃO. AF_06/2015</t>
  </si>
  <si>
    <t>BOMBA DE PROJEÇÃO DE CONCRETO SECO, POTÊNCIA 10 CV, VAZÃO 3 M3/H - JUROS. AF_06/2015</t>
  </si>
  <si>
    <t>BOMBA DE PROJEÇÃO DE CONCRETO SECO, POTÊNCIA 10 CV, VAZÃO 3 M3/H - MANUTENÇÃO. AF_06/2015</t>
  </si>
  <si>
    <t>BOMBA DE PROJEÇÃO DE CONCRETO SECO, POTÊNCIA 10 CV, VAZÃO 3 M3/H - MATERIAIS NA OPERAÇÃO. AF_06/2015</t>
  </si>
  <si>
    <t>BOMBA DE PROJEÇÃO DE CONCRETO SECO, POTÊNCIA 10 CV, VAZÃO 6 M3/H - DEPRECIAÇÃO. AF_06/2015</t>
  </si>
  <si>
    <t>BOMBA DE PROJEÇÃO DE CONCRETO SECO, POTÊNCIA 10 CV, VAZÃO 6 M3/H - JUROS. AF_06/2015</t>
  </si>
  <si>
    <t>BOMBA DE PROJEÇÃO DE CONCRETO SECO, POTÊNCIA 10 CV, VAZÃO 6 M3/H - MANUTENÇÃO. AF_06/2015</t>
  </si>
  <si>
    <t>BOMBA DE PROJEÇÃO DE CONCRETO SECO, POTÊNCIA 10 CV, VAZÃO 6 M3/H - MATERIAIS NA OPERAÇÃO. AF_06/2015</t>
  </si>
  <si>
    <t>PROJETOR PNEUMÁTICO DE ARGAMASSA PARA CHAPISCO E REBOCO COM RECIPIENTE ACOPLADO, TIPO CANEQUINHA, COM COMPRESSOR DE AR REBOCÁVEL VAZÃO 89 PCM E MOTOR DIESEL DE 20 CV - DEPRECIAÇÃO. AF_06/2015</t>
  </si>
  <si>
    <t>PROJETOR PNEUMÁTICO DE ARGAMASSA PARA CHAPISCO E REBOCO COM RECIPIENTE ACOPLADO, TIPO CANEQUINHA, COM COMPRESSOR DE AR REBOCÁVEL VAZÃO 89 PCM E MOTOR DIESEL DE 20 CV - JUROS. AF_06/2015</t>
  </si>
  <si>
    <t>PROJETOR PNEUMÁTICO DE ARGAMASSA PARA CHAPISCO E REBOCO COM RECIPIENTE ACOPLADO, TIPO CANEQUINHA, COM COMPRESSOR DE AR REBOCÁVEL VAZÃO 89 PCM E MOTOR DIESEL DE 20 CV - MANUTENÇÃO. AF_06/2015</t>
  </si>
  <si>
    <t>PROJETOR PNEUMÁTICO DE ARGAMASSA PARA CHAPISCO E REBOCO COM RECIPIENTE ACOPLADO, TIPO CANEQUINHA, COM COMPRESSOR DE AR REBOCÁVEL VAZÃO 89 PCM E MOTOR DIESEL DE 20 CV - MATERIAIS NA OPERAÇÃO. AF_06/2015</t>
  </si>
  <si>
    <t>PROJETOR PNEUMÁTICO DE ARGAMASSA PARA CHAPISCO E REBOCO COM RECIPIENTE ACOPLADO, TIPO CANEQUINHA, COM COMPRESSOR DE AR REBOCÁVEL VAZÃO 89 PCM E MOTOR DIESEL DE 20 CV - CHP DIURNO. AF_06/2015</t>
  </si>
  <si>
    <t>PROJETOR PNEUMÁTICO DE ARGAMASSA PARA CHAPISCO E REBOCO COM RECIPIENTE ACOPLADO, TIPO CANEQUINHA, COM COMPRESSOR DE AR REBOCÁVEL VAZÃO 89 PCM E MOTOR DIESEL DE 20 CV - CHI DIURNO. AF_06/2015</t>
  </si>
  <si>
    <t>PERFURATRIZ COM TORRE METÁLICA PARA EXECUÇÃO DE ESTACA HÉLICE CONTÍNUA, PROFUNDIDADE MÁXIMA DE 30 M, DIÂMETRO MÁXIMO DE 800 MM, POTÊNCIA INSTALADA DE 268 HP, MESA ROTATIVA COM TORQUE MÁXIMO DE 170 KNM - DEPRECIAÇÃO. AF_06/2015</t>
  </si>
  <si>
    <t>PERFURATRIZ COM TORRE METÁLICA PARA EXECUÇÃO DE ESTACA HÉLICE CONTÍNUA, PROFUNDIDADE MÁXIMA DE 30 M, DIÂMETRO MÁXIMO DE 800 MM, POTÊNCIA INSTALADA DE 268 HP, MESA ROTATIVA COM TORQUE MÁXIMO DE 170 KNM - JUROS. AF_06/2015</t>
  </si>
  <si>
    <t>PERFURATRIZ COM TORRE METÁLICA PARA EXECUÇÃO DE ESTACA HÉLICE CONTÍNUA, PROFUNDIDADE MÁXIMA DE 30 M, DIÂMETRO MÁXIMO DE 800 MM, POTÊNCIA INSTALADA DE 268 HP, MESA ROTATIVA COM TORQUE MÁXIMO DE 170 KNM - MANUTENÇÃO. AF_06/2015</t>
  </si>
  <si>
    <t>PERFURATRIZ COM TORRE METÁLICA PARA EXECUÇÃO DE ESTACA HÉLICE CONTÍNUA, PROFUNDIDADE MÁXIMA DE 30 M, DIÂMETRO MÁXIMO DE 800 MM, POTÊNCIA INSTALADA DE 268 HP, MESA ROTATIVA COM TORQUE MÁXIMO DE 170 KNM - MATERIAIS NA OPERAÇÃO. AF_06/2015</t>
  </si>
  <si>
    <t>PERFURATRIZ COM TORRE METÁLICA PARA EXECUÇÃO DE ESTACA HÉLICE CONTÍNUA, PROFUNDIDADE MÁXIMA DE 30 M, DIÂMETRO MÁXIMO DE 800 MM, POTÊNCIA INSTALADA DE 268 HP, MESA ROTATIVA COM TORQUE MÁXIMO DE 170 KNM - CHP DIURNO. AF_06/2015</t>
  </si>
  <si>
    <t>PERFURATRIZ COM TORRE METÁLICA PARA EXECUÇÃO DE ESTACA HÉLICE CONTÍNUA, PROFUNDIDADE MÁXIMA DE 30 M, DIÂMETRO MÁXIMO DE 800 MM, POTÊNCIA INSTALADA DE 268 HP, MESA ROTATIVA COM TORQUE MÁXIMO DE 170 KNM - CHI DIURNO. AF_06/2015</t>
  </si>
  <si>
    <t>PERFURATRIZ HIDRÁULICA SOBRE CAMINHÃO COM TRADO CURTO ACOPLADO, PROFUNDIDADE MÁXIMA DE 20 M, DIÂMETRO MÁXIMO DE 1500 MM, POTÊNCIA INSTALADA DE 137 HP, MESA ROTATIVA COM TORQUE MÁXIMO DE 30 KNM - DEPRECIAÇÃO. AF_06/2015</t>
  </si>
  <si>
    <t>PERFURATRIZ HIDRÁULICA SOBRE CAMINHÃO COM TRADO CURTO ACOPLADO, PROFUNDIDADE MÁXIMA DE 20 M, DIÂMETRO MÁXIMO DE 1500 MM, POTÊNCIA INSTALADA DE 137 HP, MESA ROTATIVA COM TORQUE MÁXIMO DE 30 KNM - JUROS. AF_06/2015</t>
  </si>
  <si>
    <t>PERFURATRIZ HIDRÁULICA SOBRE CAMINHÃO COM TRADO CURTO ACOPLADO, PROFUNDIDADE MÁXIMA DE 20 M, DIÂMETRO MÁXIMO DE 1500 MM, POTÊNCIA INSTALADA DE 137 HP, MESA ROTATIVA COM TORQUE MÁXIMO DE 30 KNM - MANUTENÇÃO. AF_06/2015</t>
  </si>
  <si>
    <t>PERFURATRIZ HIDRÁULICA SOBRE CAMINHÃO COM TRADO CURTO ACOPLADO, PROFUNDIDADE MÁXIMA DE 20 M, DIÂMETRO MÁXIMO DE 1500 MM, POTÊNCIA INSTALADA DE 137 HP, MESA ROTATIVA COM TORQUE MÁXIMO DE 30 KNM - MATERIAIS NA OPERAÇÃO. AF_06/2015</t>
  </si>
  <si>
    <t>PERFURATRIZ HIDRÁULICA SOBRE CAMINHÃO COM TRADO CURTO ACOPLADO, PROFUNDIDADE MÁXIMA DE 20 M, DIÂMETRO MÁXIMO DE 1500 MM, POTÊNCIA INSTALADA DE 137 HP, MESA ROTATIVA COM TORQUE MÁXIMO DE 30 KNM - CHP DIURNO. AF_06/2015</t>
  </si>
  <si>
    <t>PERFURATRIZ HIDRÁULICA SOBRE CAMINHÃO COM TRADO CURTO ACOPLADO, PROFUNDIDADE MÁXIMA DE 20 M, DIÂMETRO MÁXIMO DE 1500 MM, POTÊNCIA INSTALADA DE 137 HP, MESA ROTATIVA COM TORQUE MÁXIMO DE 30 KNM - CHI DIURNO. AF_06/2015</t>
  </si>
  <si>
    <t>MANIPULADOR TELESCÓPICO, POTÊNCIA DE 85 HP, CAPACIDADE DE CARGA DE 3.500 KG, ALTURA MÁXIMA DE ELEVAÇÃO DE 12,3 M - DEPRECIAÇÃO. AF_06/2015</t>
  </si>
  <si>
    <t>MANIPULADOR TELESCÓPICO, POTÊNCIA DE 85 HP, CAPACIDADE DE CARGA DE 3.500 KG, ALTURA MÁXIMA DE ELEVAÇÃO DE 12,3 M - JUROS. AF_06/2015</t>
  </si>
  <si>
    <t>MANIPULADOR TELESCÓPICO, POTÊNCIA DE 85 HP, CAPACIDADE DE CARGA DE 3.500 KG, ALTURA MÁXIMA DE ELEVAÇÃO DE 12,3 M - MANUTENÇÃO. AF_06/2015</t>
  </si>
  <si>
    <t>MANIPULADOR TELESCÓPICO, POTÊNCIA DE 85 HP, CAPACIDADE DE CARGA DE 3.500 KG, ALTURA MÁXIMA DE ELEVAÇÃO DE 12,3 M - MATERIAIS NA OPERAÇÃO. AF_06/2015</t>
  </si>
  <si>
    <t>MANIPULADOR TELESCÓPICO, POTÊNCIA DE 85 HP, CAPACIDADE DE CARGA DE 3.500 KG, ALTURA MÁXIMA DE ELEVAÇÃO DE 12,3 M - CHP DIURNO. AF_06/2015</t>
  </si>
  <si>
    <t>MANIPULADOR TELESCÓPICO, POTÊNCIA DE 85 HP, CAPACIDADE DE CARGA DE 3.500 KG, ALTURA MÁXIMA DE ELEVAÇÃO DE 12,3 M - CHI DIURNO. AF_06/2015</t>
  </si>
  <si>
    <t>MINICARREGADEIRA SOBRE RODAS, POTÊNCIA LÍQUIDA DE 47 HP, CAPACIDADE NOMINAL DE OPERAÇÃO DE 646 KG - DEPRECIAÇÃO. AF_06/2015</t>
  </si>
  <si>
    <t>MINICARREGADEIRA SOBRE RODAS, POTÊNCIA LÍQUIDA DE 47 HP, CAPACIDADE NOMINAL DE OPERAÇÃO DE 646 KG - JUROS. AF_06/2015</t>
  </si>
  <si>
    <t>MINICARREGADEIRA SOBRE RODAS, POTÊNCIA LÍQUIDA DE 47 HP, CAPACIDADE NOMINAL DE OPERAÇÃO DE 646 KG - MANUTENÇÃO. AF_06/2015</t>
  </si>
  <si>
    <t>MINICARREGADEIRA SOBRE RODAS, POTÊNCIA LÍQUIDA DE 47 HP, CAPACIDADE NOMINAL DE OPERAÇÃO DE 646 KG - MATERIAIS NA OPERAÇÃO. AF_06/2015</t>
  </si>
  <si>
    <t>MINICARREGADEIRA SOBRE RODAS, POTÊNCIA LÍQUIDA DE 47 HP, CAPACIDADE NOMINAL DE OPERAÇÃO DE 646 KG - CHP DIURNO. AF_06/2015</t>
  </si>
  <si>
    <t>MINICARREGADEIRA SOBRE RODAS, POTÊNCIA LÍQUIDA DE 47 HP, CAPACIDADE NOMINAL DE OPERAÇÃO DE 646 KG - CHI DIURNO. AF_06/2015</t>
  </si>
  <si>
    <t>TUBO DE PVC CORRUGADO DE DUPLA PAREDE PARA REDE COLETORA DE ESGOTO, DN 150 MM, JUNTA ELÁSTICA, INSTALADO EM LOCAL COM NÍVEL BAIXO DE INTERFERÊNCIAS - FORNECIMENTO E ASSENTAMENTO. AF_06/2015</t>
  </si>
  <si>
    <t>TUBO DE PVC CORRUGADO DE DUPLA PAREDE PARA REDE COLETORA DE ESGOTO, DN 200 MM, JUNTA ELÁSTICA, INSTALADO EM LOCAL COM NÍVEL BAIXO DE INTERFERÊNCIAS - FORNECIMENTO E ASSENTAMENTO. AF_06/2015</t>
  </si>
  <si>
    <t>TUBO DE PVC CORRUGADO DE DUPLA PAREDE PARA REDE COLETORA DE ESGOTO, DN 250 MM, JUNTA ELÁSTICA, INSTALADO EM LOCAL COM NÍVEL BAIXO DE INTERFERÊNCIAS - FORNECIMENTO E ASSENTAMENTO. AF_06/2015</t>
  </si>
  <si>
    <t>TUBO DE PVC CORRUGADO DE DUPLA PAREDE PARA REDE COLETORA DE ESGOTO, DN 300 MM, JUNTA ELÁSTICA, INSTALADO EM LOCAL COM NÍVEL BAIXO DE INTERFERÊNCIAS - FORNECIMENTO E ASSENTAMENTO. AF_06/2015</t>
  </si>
  <si>
    <t>TUBO DE PVC CORRUGADO DE DUPLA PAREDE PARA REDE COLETORA DE ESGOTO, DN 350 MM, JUNTA ELÁSTICA, INSTALADO EM LOCAL COM NÍVEL BAIXO DE INTERFERÊNCIAS - FORNECIMENTO E ASSENTAMENTO. AF_06/2015</t>
  </si>
  <si>
    <t>TUBO DE PVC CORRUGADO DE DUPLA PAREDE PARA REDE COLETORA DE ESGOTO, DN 400 MM, JUNTA ELÁSTICA, INSTALADO EM LOCAL COM NÍVEL BAIXO DE INTERFERÊNCIAS - FORNECIMENTO E ASSENTAMENTO. AF_06/2015</t>
  </si>
  <si>
    <t>TUBO DE PEAD CORRUGADO DE DUPLA PAREDE PARA REDE COLETORA DE ESGOTO, DN 600 MM, JUNTA ELÁSTICA INTEGRADA, INSTALADO EM LOCAL COM NÍVEL BAIXO DE INTERFERÊNCIAS - FORNECIMENTO E ASSENTAMENTO. AF_06/2015</t>
  </si>
  <si>
    <t>TUBO DE PVC CORRUGADO DE DUPLA PAREDE PARA REDE COLETORA DE ESGOTO, DN 150 MM, JUNTA ELÁSTICA, INSTALADO EM LOCAL COM NÍVEL ALTO DE INTERFERÊNCIAS - FORNECIMENTO E ASSENTAMENTO. AF_06/2015</t>
  </si>
  <si>
    <t>TUBO DE PVC CORRUGADO DE DUPLA PAREDE PARA REDE COLETORA DE ESGOTO, DN 200 MM, JUNTA ELÁSTICA, INSTALADO EM LOCAL COM NÍVEL ALTO DE INTERFERÊNCIAS - FORNECIMENTO E ASSENTAMENTO. AF_06/2015</t>
  </si>
  <si>
    <t>TUBO DE PVC CORRUGADO DE DUPLA PAREDE PARA REDE COLETORA DE ESGOTO, DN 250 MM, JUNTA ELÁSTICA, INSTALADO EM LOCAL COM NÍVEL ALTO DE INTERFERÊNCIAS - FORNECIMENTO E ASSENTAMENTO. AF_06/2015</t>
  </si>
  <si>
    <t>TUBO DE PVC CORRUGADO DE DUPLA PAREDE PARA REDE COLETORA DE ESGOTO, DN 300 MM, JUNTA ELÁSTICA, INSTALADO EM LOCAL COM NÍVEL ALTO DE INTERFERÊNCIAS - FORNECIMENTO E ASSENTAMENTO. AF_06/2015</t>
  </si>
  <si>
    <t>TUBO DE PVC CORRUGADO DE DUPLA PAREDE PARA REDE COLETORA DE ESGOTO, DN 350 MM, JUNTA ELÁSTICA, INSTALADO EM LOCAL COM NÍVEL ALTO DE INTERFERÊNCIAS - FORNECIMENTO E ASSENTAMENTO. AF_06/2015</t>
  </si>
  <si>
    <t>TUBO DE PVC CORRUGADO DE DUPLA PAREDE PARA REDE COLETORA DE ESGOTO, DN 400 MM, EM JUNTA ELÁSTICA, INSTALADO EM LOCAL COM NÍVEL ALTO DE INTERFERÊNCIAS - FORNECIMENTO E ASSENTAMENTO. AF_06/2015</t>
  </si>
  <si>
    <t>TUBO DE PEAD CORRUGADO DE DUPLA PAREDE PARA REDE COLETORA DE ESGOTO, DN 600 MM, JUNTA ELÁSTICA INTEGRADA, INSTALADO EM LOCAL COM NÍVEL ALTO DE INTERFERÊNCIAS - FORNECIMENTO E ASSENTAMENTO. AF_06/2015</t>
  </si>
  <si>
    <t>JUNTA ARGAMASSADA ENTRE TUBO DN 100 MM E O POÇO DE VISITA/ CAIXA DE CONCRETO OU ALVENARIA EM REDES DE ESGOTO. AF_06/2015</t>
  </si>
  <si>
    <t>JUNTA ARGAMASSADA ENTRE TUBO DN 150 MM E O POÇO DE VISITA/ CAIXA DE CONCRETO OU ALVENARIA EM REDES DE ESGOTO. AF_06/2015</t>
  </si>
  <si>
    <t>JUNTA ARGAMASSADA ENTRE TUBO DN 250 MM E O POÇO DE VISITA/ CAIXA DE CONCRETO OU ALVENARIA EM REDES DE ESGOTO. AF_06/2015</t>
  </si>
  <si>
    <t>JUNTA ARGAMASSADA ENTRE TUBO DN 300 MM E O POÇO DE VISITA/ CAIXA DE CONCRETO OU ALVENARIA EM REDES DE ESGOTO. AF_06/2015</t>
  </si>
  <si>
    <t>JUNTA ARGAMASSADA ENTRE TUBO DN 350 MM E O POÇO DE VISITA/ CAIXA DE CONCRETO OU ALVENARIA EM REDES DE ESGOTO. AF_06/2015</t>
  </si>
  <si>
    <t>JUNTA ARGAMASSADA ENTRE TUBO DN 400 MM E O POÇO DE VISITA/ CAIXA DE CONCRETO OU ALVENARIA EM REDES DE ESGOTO. AF_06/2015</t>
  </si>
  <si>
    <t>JUNTA ARGAMASSADA ENTRE TUBO DN 450 MM E O POÇO DE VISITA/ CAIXA DE CONCRETO OU ALVENARIA EM REDES DE ESGOTO. AF_06/2015</t>
  </si>
  <si>
    <t>JUNTA ARGAMASSADA ENTRE TUBO DN 600 MM E O POÇO DE VISITA/ CAIXA DE CONCRETO OU ALVENARIA EM REDES DE ESGOTO. AF_06/2015</t>
  </si>
  <si>
    <t>ASSENTAMENTO DE TUBO DE PVC PARA REDE COLETORA DE ESGOTO DE PAREDE MACIÇA, DN 100 MM, JUNTA ELÁSTICA, INSTALADO EM LOCAL COM NÍVEL BAIXO DE INTERFERÊNCIAS (NÃO INCLUI FORNECIMENTO). AF_06/2015</t>
  </si>
  <si>
    <t>ASSENTAMENTO DE TUBO DE PVC PARA REDE COLETORA DE ESGOTO DE PAREDE MACIÇA, DN 150 MM, JUNTA ELÁSTICA, INSTALADO EM LOCAL COM NÍVEL BAIXO DE INTERFERÊNCIAS (NÃO INCLUI FORNECIMENTO). AF_06/2015</t>
  </si>
  <si>
    <t>ASSENTAMENTO DE TUBO DE PVC PARA REDE COLETORA DE ESGOTO DE PAREDE MACIÇA, DN 200 MM, JUNTA ELÁSTICA, INSTALADO EM LOCAL COM NÍVEL BAIXO DE INTERFERÊNCIAS (NÃO INCLUI FORNECIMENTO). AF_06/2015</t>
  </si>
  <si>
    <t>ASSENTAMENTO DE TUBO DE PVC PARA REDE COLETORA DE ESGOTO DE PAREDE MACIÇA, DN 250 MM, JUNTA ELÁSTICA, INSTALADO EM LOCAL COM NÍVEL BAIXO DE INTERFERÊNCIAS (NÃO INCLUI FORNECIMENTO). AF_06/2015</t>
  </si>
  <si>
    <t>ASSENTAMENTO DE TUBO DE PVC PARA REDE COLETORA DE ESGOTO DE PAREDE MACIÇA, DN 300 MM, JUNTA ELÁSTICA, INSTALADO EM LOCAL COM NÍVEL BAIXO DE INTERFERÊNCIAS (NÃO INCLUI FORNECIMENTO). AF_06/2015</t>
  </si>
  <si>
    <t>ASSENTAMENTO DE TUBO DE PVC PARA REDE COLETORA DE ESGOTO DE PAREDE MACIÇA, DN 350 MM, JUNTA ELÁSTICA, INSTALADO EM LOCAL COM NÍVEL BAIXO DE INTERFERÊNCIAS (NÃO INCLUI FORNECIMENTO). AF_06/2015</t>
  </si>
  <si>
    <t>ASSENTAMENTO DE TUBO DE PVC PARA REDE COLETORA DE ESGOTO DE PAREDE MACIÇA, DN 400 MM, JUNTA ELÁSTICA, INSTALADO EM LOCAL COM NÍVEL BAIXO DE INTERFERÊNCIAS (NÃO INCLUI FORNECIMENTO). AF_06/2015</t>
  </si>
  <si>
    <t>ASSENTAMENTO DE TUBO DE PVC CORRUGADO DE DUPLA PAREDE PARA REDE COLETORA DE ESGOTO, DN 150 MM, JUNTA ELÁSTICA, INSTALADO EM LOCAL COM NÍVEL BAIXO DE INTERFERÊNCIAS (NÃO INCLUI FORNECIMENTO). AF_06/2015</t>
  </si>
  <si>
    <t>ASSENTAMENTO DE TUBO DE PVC CORRUGADO DE DUPLA PAREDE PARA REDE COLETORA DE ESGOTO, DN 200 MM, JUNTA ELÁSTICA, INSTALADO EM LOCAL COM NÍVEL BAIXO DE INTERFERÊNCIAS (NÃO INCLUI FORNECIMENTO). AF_06/2015</t>
  </si>
  <si>
    <t>ASSENTAMENTO DE TUBO DE PVC CORRUGADO DE DUPLA PAREDE PARA REDE COLETORA DE ESGOTO, DN 250 MM, JUNTA ELÁSTICA, INSTALADO EM LOCAL COM NÍVEL BAIXO DE INTERFERÊNCIAS (NÃO INCLUI FORNECIMENTO). AF_06/2015</t>
  </si>
  <si>
    <t>ASSENTAMENTO DE TUBO DE PVC CORRUGADO DE DUPLA PAREDE PARA REDE COLETORA DE ESGOTO, DN 300 MM, JUNTA ELÁSTICA, INSTALADO EM LOCAL COM NÍVEL BAIXO DE INTERFERÊNCIAS (NÃO INCLUI FORNECIMENTO). AF_06/2015</t>
  </si>
  <si>
    <t>ASSENTAMENTO DE TUBO DE PVC CORRUGADO DE DUPLA PAREDE PARA REDE COLETORA DE ESGOTO, DN 350 MM, JUNTA ELÁSTICA, INSTALADO EM LOCAL COM NÍVEL BAIXO DE INTERFERÊNCIAS (NÃO INCLUI FORNECIMENTO). AF_06/2015</t>
  </si>
  <si>
    <t>ASSENTAMENTO DE TUBO DE PVC CORRUGADO DE DUPLA PAREDE PARA REDE COLETORA DE ESGOTO, DN 400 MM, JUNTA ELÁSTICA, INSTALADO EM LOCAL COM NÍVEL BAIXO DE INTERFERÊNCIAS (NÃO INCLUI FORNECIMENTO). AF_06/2015</t>
  </si>
  <si>
    <t>ASSENTAMENTO DE TUBO DE PEAD CORRUGADO DE DUPLA PAREDE PARA REDE COLETORA DE ESGOTO, DN 450 MM, JUNTA ELÁSTICA INTEGRADA, INSTALADO EM LOCAL COM NÍVEL BAIXO DE INTERFERÊNCIAS (NÃO INCLUI FORNECIMENTO). AF_06/2015</t>
  </si>
  <si>
    <t>ASSENTAMENTO DE TUBO DE PEAD CORRUGADO DE DUPLA PAREDE PARA REDE COLETORA DE ESGOTO, DN 600 MM, JUNTA ELÁSTICA INTEGRADA, INSTALADO EM LOCAL COM NÍVEL BAIXO DE INTERFERÊNCIAS (NÃO INCLUI FORNECIMENTO). AF_06/2015</t>
  </si>
  <si>
    <t>ASSENTAMENTO DE TUBO DE PVC PARA REDE COLETORA DE ESGOTO DE PAREDE MACIÇA, DN 100 MM, JUNTA ELÁSTICA, INSTALADO EM LOCAL COM NÍVEL ALTO DE INTERFERÊNCIAS (NÃO INCLUI FORNECIMENTO). AF_06/2015</t>
  </si>
  <si>
    <t>ASSENTAMENTO DE TUBO DE PVC PARA REDE COLETORA DE ESGOTO DE PAREDE MACIÇA, DN 150 MM, JUNTA ELÁSTICA, INSTALADO EM LOCAL COM NÍVEL ALTO DE INTERFERÊNCIAS (NÃO INCLUI FORNECIMENTO). AF_06/2015</t>
  </si>
  <si>
    <t>ASSENTAMENTO DE TUBO DE PVC PARA REDE COLETORA DE ESGOTO DE PAREDE MACIÇA, DN 200 MM, JUNTA ELÁSTICA, INSTALADO EM LOCAL COM NÍVEL ALTO DE INTERFERÊNCIAS (NÃO INCLUI FORNECIMENTO). AF_06/2015</t>
  </si>
  <si>
    <t>ASSENTAMENTO DE TUBO DE PVC PARA REDE COLETORA DE ESGOTO DE PAREDE MACIÇA, DN 250 MM, JUNTA ELÁSTICA, INSTALADO EM LOCAL COM NÍVEL ALTO DE INTERFERÊNCIAS (NÃO INCLUI FORNECIMENTO). AF_06/2015</t>
  </si>
  <si>
    <t>ASSENTAMENTO DE TUBO DE PVC PARA REDE COLETORA DE ESGOTO DE PAREDE MACIÇA, DN 300 MM, JUNTA ELÁSTICA, INSTALADO EM LOCAL COM NÍVEL ALTO DE INTERFERÊNCIAS (NÃO INCLUI FORNECIMENTO). AF_06/2015</t>
  </si>
  <si>
    <t>ASSENTAMENTO DE TUBO DE PVC PARA REDE COLETORA DE ESGOTO DE PAREDE MACIÇA, DN 350 MM, JUNTA ELÁSTICA, INSTALADO EM LOCAL COM NÍVEL ALTO DE INTERFERÊNCIAS (NÃO INCLUI FORNECIMENTO). AF_06/2015</t>
  </si>
  <si>
    <t>ASSENTAMENTO DE TUBO DE PVC PARA REDE COLETORA DE ESGOTO DE PAREDE MACIÇA, DN 400 MM, JUNTA ELÁSTICA, INSTALADO EM LOCAL COM NÍVEL ALTO DE INTERFERÊNCIAS (NÃO INCLUI FORNECIMENTO). AF_06/2015</t>
  </si>
  <si>
    <t>ASSENTAMENTO DE TUBO DE PVC CORRUGADO DE DUPLA PAREDE PARA REDE COLETORA DE ESGOTO, DN 150 MM, JUNTA ELÁSTICA, INSTALADO EM LOCAL COM NÍVEL ALTO DE INTERFERÊNCIAS (NÃO INCLUI FORNECIMENTO). AF_06/2015</t>
  </si>
  <si>
    <t>ASSENTAMENTO DE TUBO DE PVC CORRUGADO DE DUPLA PAREDE PARA REDE COLETORA DE ESGOTO, DN 200 MM, JUNTA ELÁSTICA, INSTALADO EM LOCAL COM NÍVEL ALTO DE INTERFERÊNCIAS (NÃO INCLUI FORNECIMENTO). AF_06/2015</t>
  </si>
  <si>
    <t>ASSENTAMENTO DE TUBO DE PVC CORRUGADO DE DUPLA PAREDE PARA REDE COLETORA DE ESGOTO, DN 250 MM, JUNTA ELÁSTICA, INSTALADO EM LOCAL COM NÍVEL ALTO DE INTERFERÊNCIAS (NÃO INCLUI FORNECIMENTO). AF_06/2015</t>
  </si>
  <si>
    <t>ASSENTAMENTO DE TUBO DE PVC CORRUGADO DE DUPLA PAREDE PARA REDE COLETORA DE ESGOTO, DN 300 MM, JUNTA ELÁSTICA, INSTALADO EM LOCAL COM NÍVEL ALTO DE INTERFERÊNCIAS (NÃO INCLUI FORNECIMENTO). AF_06/2015</t>
  </si>
  <si>
    <t>ASSENTAMENTO DE TUBO DE PVC CORRUGADO DE DUPLA PAREDE PARA REDE COLETORA DE ESGOTO, DN 350 MM, JUNTA ELÁSTICA, INSTALADO EM LOCAL COM NÍVEL ALTO DE INTERFERÊNCIAS (NÃO INCLUI FORNECIMENTO). AF_06/2015</t>
  </si>
  <si>
    <t>ASSENTAMENTO DE TUBO DE PVC CORRUGADO DE DUPLA PAREDE PARA REDE COLETORA DE ESGOTO, DN 400 MM, EM JUNTA ELÁSTICA, INSTALADO EM LOCAL COM NÍVEL ALTO DE INTERFERÊNCIAS (NÃO INCLUI FORNECIMENTO). AF_06/2015</t>
  </si>
  <si>
    <t>ASSENTAMENTO DE TUBO DE PEAD CORRUGADO DE DUPLA PAREDE PARA REDE COLETORA DE ESGOTO, DN 450 MM, JUNTA ELÁSTICA INTEGRADA, INSTALADO EM LOCAL COM NÍVEL ALTO DE INTERFERÊNCIAS (NÃO INCLUI FORNECIMENTO). AF_06/2015</t>
  </si>
  <si>
    <t>ASSENTAMENTO DE TUBO DE PEAD CORRUGADO DE DUPLA PAREDE PARA REDE COLETORA DE ESGOTO, DN 600 MM, JUNTA ELÁSTICA INTEGRADA, INSTALADO EM LOCAL COM NÍVEL ALTO DE INTERFERÊNCIAS (NÃO INCLUI FORNECIMENTO). AF_06/2015</t>
  </si>
  <si>
    <t>CONTRAPISO ACÚSTICO EM ARGAMASSA TRAÇO 1:4 (CIMENTO E AREIA), PREPARO MANUAL, APLICADO EM ÁREAS SECAS MENORES QUE 15M2, ESPESSURA 5CM. AF_10/2014</t>
  </si>
  <si>
    <t>CONTRAPISO ACÚSTICO EM ARGAMASSA PRONTA, PREPARO MECÂNICO COM MISTURADOR 300 KG, APLICADO EM ÁREAS SECAS MENORES QUE 15M2, ESPESSURA 5CM. AF_10/2014</t>
  </si>
  <si>
    <t>CONTRAPISO ACÚSTICO EM ARGAMASSA PRONTA, PREPARO MANUAL, APLICADO EM ÁREAS SECAS MENORES QUE 15M2, ESPESSURA 5CM. AF_10/2014</t>
  </si>
  <si>
    <t>CONTRAPISO ACÚSTICO EM ARGAMASSA TRAÇO 1:4 (CIMENTO E AREIA), PREPARO MANUAL, APLICADO EM ÁREAS SECAS MENORES QUE 15M2, ESPESSURA 6CM. AF_10/2014</t>
  </si>
  <si>
    <t>CONTRAPISO ACÚSTICO EM ARGAMASSA PRONTA, PREPARO MECÂNICO COM MISTURADOR 300 KG, APLICADO EM ÁREAS SECAS MENORES QUE 15M2, ESPESSURA 6CM. AF_10/2014</t>
  </si>
  <si>
    <t>CONTRAPISO ACÚSTICO EM ARGAMASSA PRONTA, PREPARO MANUAL, APLICADO EM ÁREAS SECAS MENORES QUE 15M2, ESPESSURA 6CM. AF_10/2014</t>
  </si>
  <si>
    <t>CONTRAPISO ACÚSTICO EM ARGAMASSA TRAÇO 1:4 (CIMENTO E AREIA), PREPARO MANUAL, APLICADO EM ÁREAS SECAS MENORES QUE 15M2, ESPESSURA 7CM. AF_10/2014</t>
  </si>
  <si>
    <t>CONTRAPISO ACÚSTICO EM ARGAMASSA PRONTA, PREPARO MECÂNICO COM MISTURADOR 300 KG, APLICADO EM ÁREAS SECAS MENORES QUE 15M2, ESPESSURA 7CM. AF_10/2014</t>
  </si>
  <si>
    <t>CONTRAPISO ACÚSTICO EM ARGAMASSA PRONTA, PREPARO MANUAL, APLICADO EM ÁREAS SECAS MENORES QUE 15M2, ESPESSURA 7CM. AF_10/2014</t>
  </si>
  <si>
    <t>CONTRAPISO ACÚSTICO EM ARGAMASSA TRAÇO 1:4 (CIMENTO E AREIA), PREPARO MANUAL, APLICADO EM ÁREAS SECAS MAIORES QUE 15M2, ESPESSURA 5CM. AF_10/2014</t>
  </si>
  <si>
    <t>CONTRAPISO ACÚSTICO EM ARGAMASSA PRONTA, PREPARO MECÂNICO COM MISTURADOR 300 KG, APLICADO EM ÁREAS SECAS MAIORES QUE 15M2, ESPESSURA 5CM. AF_10/2014</t>
  </si>
  <si>
    <t>CONTRAPISO ACÚSTICO EM ARGAMASSA PRONTA, PREPARO MANUAL, APLICADO EM ÁREAS SECAS MAIORES QUE 15M2, ESPESSURA 5CM. AF_10/2014</t>
  </si>
  <si>
    <t>CONTRAPISO ACÚSTICO EM ARGAMASSA TRAÇO 1:4 (CIMENTO E AREIA), PREPARO MANUAL, APLICADO EM ÁREAS SECAS MAIORES QUE 15M2, ESPESSURA 6CM. AF_10/2014</t>
  </si>
  <si>
    <t>CONTRAPISO ACÚSTICO EM ARGAMASSA PRONTA, PREPARO MECÂNICO COM MISTURADOR 300 KG, APLICADO EM ÁREAS SECAS MAIORES QUE 15M2, ESPESSURA 6CM. AF_10/2014</t>
  </si>
  <si>
    <t>CONTRAPISO ACÚSTICO EM ARGAMASSA PRONTA, PREPARO MANUAL, APLICADO EM ÁREAS SECAS MAIORES QUE 15M2, ESPESSURA 6CM. AF_10/2014</t>
  </si>
  <si>
    <t>CONTRAPISO ACÚSTICO EM ARGAMASSA TRAÇO 1:4 (CIMENTO E AREIA), PREPARO MANUAL, APLICADO EM ÁREAS SECAS MAIORES QUE 15M2, ESPESSURA 7CM. AF_10/2014</t>
  </si>
  <si>
    <t>CONTRAPISO ACÚSTICO EM ARGAMASSA PRONTA, PREPARO MECÂNICO COM MISTURADOR 300 KG, APLICADO EM ÁREAS SECAS MAIORES QUE 15M2, ESPESSURA 7CM. AF_10/2014</t>
  </si>
  <si>
    <t>CONTRAPISO ACÚSTICO EM ARGAMASSA PRONTA, PREPARO MANUAL, APLICADO EM ÁREAS SECAS MAIORES QUE 15M2, ESPESSURA 7CM. AF_10/2014</t>
  </si>
  <si>
    <t>COMPRESSOR DE AR REBOCÁVEL, VAZÃO 89 PCM, PRESSÃO EFETIVA DE TRABALHO 102 PSI, MOTOR DIESEL, POTÊNCIA 20 CV - MATERIAIS NA OPERAÇÃO. AF_06/2015</t>
  </si>
  <si>
    <t>COMPRESSOR DE AR REBOCAVEL, VAZÃO 250 PCM, PRESSAO DE TRABALHO 102 PSI, MOTOR A DIESEL POTÊNCIA 81 CV - DEPRECIAÇÃO. AF_06/2015</t>
  </si>
  <si>
    <t>COMPRESSOR DE AR REBOCAVEL, VAZÃO 250 PCM, PRESSAO DE TRABALHO 102 PSI, MOTOR A DIESEL POTÊNCIA 81 CV - JUROS. AF_06/2015</t>
  </si>
  <si>
    <t>COMPRESSOR DE AR REBOCAVEL, VAZÃO 250 PCM, PRESSAO DE TRABALHO 102 PSI, MOTOR A DIESEL POTÊNCIA 81 CV - MANUTENÇÃO. AF_06/2015</t>
  </si>
  <si>
    <t>COMPRESSOR DE AR REBOCAVEL, VAZÃO 250 PCM, PRESSAO DE TRABALHO 102 PSI, MOTOR A DIESEL POTÊNCIA 81 CV - MATERIAIS NA OPERAÇÃO. AF_06/2015</t>
  </si>
  <si>
    <t>COMPRESSOR DE AR REBOCAVEL, VAZÃO 250 PCM, PRESSAO DE TRABALHO 102 PSI, MOTOR A DIESEL POTÊNCIA 81 CV - CHP DIURNO. AF_06/2015</t>
  </si>
  <si>
    <t>COMPRESSOR DE AR REBOCAVEL, VAZÃO 250 PCM, PRESSAO DE TRABALHO 102 PSI, MOTOR A DIESEL POTÊNCIA 81 CV - CHI DIURNO. AF_06/2015</t>
  </si>
  <si>
    <t>COMPRESSOR DE AR REBOCÁVEL, VAZÃO 748 PCM, PRESSÃO EFETIVA DE TRABALHO 102 PSI, MOTOR DIESEL, POTÊNCIA 210 CV - MATERIAIS NA OPERAÇÃO. AF_06/2015</t>
  </si>
  <si>
    <t>ESCAVADEIRA HIDRÁULICA SOBRE ESTEIRAS, CAÇAMBA 0,80 M3, PESO OPERACIONAL 17,8 T, POTÊNCIA LÍQUIDA 110 HP - CHP DIURNO. AF_10/2014</t>
  </si>
  <si>
    <t>COMPRESSOR DE AR REBOCAVEL, VAZÃO 400 PCM, PRESSAO DE TRABALHO 102 PSI, MOTOR A DIESEL POTÊNCIA 110 CV - DEPRECIAÇÃO. AF_06/2015</t>
  </si>
  <si>
    <t>COMPRESSOR DE AR REBOCAVEL, VAZÃO 400 PCM, PRESSAO DE TRABALHO 102 PSI, MOTOR A DIESEL POTÊNCIA 110 CV - JUROS. AF_06/2015</t>
  </si>
  <si>
    <t>COMPRESSOR DE AR REBOCAVEL, VAZÃO 400 PCM, PRESSAO DE TRABALHO 102 PSI, MOTOR A DIESEL POTÊNCIA 110 CV - MANUTENÇÃO. AF_06/2015</t>
  </si>
  <si>
    <t>COMPRESSOR DE AR REBOCAVEL, VAZÃO 400 PCM, PRESSAO DE TRABALHO 102 PSI, MOTOR A DIESEL POTÊNCIA 110 CV - MATERIAIS NA OPERAÇÃO. AF_06/2015</t>
  </si>
  <si>
    <t>FORMAS MANUSEÁVEIS PARA PAREDES DE CONCRETO MOLDADAS IN LOCO, DE EDIFICAÇÕES DE MULTIPLOS PAVIMENTO, EM PLATIBANDA. AF_06/2015</t>
  </si>
  <si>
    <t>FORMAS MANUSEÁVEIS PARA PAREDES DE CONCRETO MOLDADAS IN LOCO, DE EDIFICAÇÕES DE MULTIPLOS PAVIMENTOS, EM FACES INTERNAS DE PAREDES. AF_06/2015</t>
  </si>
  <si>
    <t>FORMAS MANUSEÁVEIS PARA PAREDES DE CONCRETO MOLDADAS IN LOCO, DE EDIFICAÇÕES DE MULTIPLOS PAVIMENTOS, EM LAJES. AF_06/2015</t>
  </si>
  <si>
    <t>COMPRESSOR DE AR REBOCAVEL, VAZÃO 400 PCM, PRESSAO DE TRABALHO 102 PSI, MOTOR A DIESEL POTÊNCIA 110 CV - CHP DIURNO. AF_06/2015</t>
  </si>
  <si>
    <t>FORMAS MANUSEÁVEIS PARA PAREDES DE CONCRETO MOLDADAS IN LOCO, DE EDIFICAÇÕES DE MULTIPLOS PAVIMENTOS, EM PANOS DE FACHADA COM VÃOS. AF_06/2015</t>
  </si>
  <si>
    <t>COMPRESSOR DE AR REBOCAVEL, VAZÃO 400 PCM, PRESSAO DE TRABALHO 102 PSI, MOTOR A DIESEL POTÊNCIA 110 CV - CHI DIURNO. AF_06/2015</t>
  </si>
  <si>
    <t>FORMAS MANUSEÁVEIS PARA PAREDES DE CONCRETO MOLDADAS IN LOCO, DE EDIFICAÇÕES DE MULTIPLOS PAVIMENTOS, EM PANOS DE FACHADA SEM VÃOS. AF_06/2015</t>
  </si>
  <si>
    <t>FORMAS MANUSEÁVEIS PARA PAREDES DE CONCRETO MOLDADAS IN LOCO, DE EDIFICAÇÕES DE MULTIPLOS PAVIMENTOS, EM PANOS DE FACHADA COM VARANDAS. AF_06/2015</t>
  </si>
  <si>
    <t>FORMAS MANUSEÁVEIS PARA PAREDES DE CONCRETO MOLDADAS IN LOCO, DE EDIFICAÇÕES DE PAVIMENTO ÚNICO, EM FACES INTERNAS DE PAREDES. AF_06/2015</t>
  </si>
  <si>
    <t>FORMAS MANUSEÁVEIS PARA PAREDES DE CONCRETO MOLDADAS IN LOCO, DE EDIFICAÇÕES DE PAVIMENTO ÚNICO, EM LAJES. AF_06/2015</t>
  </si>
  <si>
    <t>FORMAS MANUSEÁVEIS PARA PAREDES DE CONCRETO MOLDADAS IN LOCO, DE EDIFICAÇÕES DE PAVIMENTO ÚNICO, EM PANOS DE FACHADA COM VÃOS. AF_06/2015</t>
  </si>
  <si>
    <t>FORMAS MANUSEÁVEIS PARA PAREDES DE CONCRETO MOLDADAS IN LOCO, DE EDIFICAÇÕES DE PAVIMENTO ÚNICO, EM PANOS DE FACHADA SEM VÃOS. AF_06/2015</t>
  </si>
  <si>
    <t>FORMAS MANUSEÁVEIS PARA PAREDES DE CONCRETO MOLDADAS IN LOCO, DE EDIFICAÇÕES DE PAVIMENTO ÚNICO, EM PANOS DE FACHADA COM VARANDA. AF_06/2015</t>
  </si>
  <si>
    <t>PERFURATRIZ HIDRÁULICA SOBRE CAMINHÃO COM TRADO CURTO ACOPLADO, PROFUNDIDADE MÁXIMA DE 20 M, DIÂMETRO MÁXIMO DE 1500 MM, POTÊNCIA INSTALADA DE 137 HP, MESA ROTATIVA COM TORQUE MÁXIMO DE 30 KNM - IMPOSTOS E SEGUROS. AF_06/2015</t>
  </si>
  <si>
    <t>EXECUÇÃO DE REVESTIMENTO DE CONCRETO PROJETADO COM ESPESSURA DE 7 CM, ARMADO COM TELA, INCLINAÇÃO MENOR QUE 90°, APLICAÇÃO CONTÍNUA, UTILIZANDO EQUIPAMENTO DE PROJEÇÃO COM 6 M³/H DE CAPACIDADE. AF_01/2016</t>
  </si>
  <si>
    <t>EXECUÇÃO DE REVESTIMENTO DE CONCRETO PROJETADO COM ESPESSURA DE 10 CM, ARMADO COM TELA, INCLINAÇÃO MENOR QUE 90°, APLICAÇÃO CONTÍNUA, UTILIZANDO EQUIPAMENTO DE PROJEÇÃO COM 6 M³/H DE CAPACIDADE. AF_01/2016</t>
  </si>
  <si>
    <t>EXECUÇÃO DE REVESTIMENTO DE CONCRETO PROJETADO COM ESPESSURA DE 7 CM, ARMADO COM TELA, INCLINAÇÃO DE 90°, APLICAÇÃO CONTÍNUA, UTILIZANDO EQUIPAMENTO DE PROJEÇÃO COM 6 M³/H DE CAPACIDADE. AF_01/2016</t>
  </si>
  <si>
    <t>EXECUÇÃO DE REVESTIMENTO DE CONCRETO PROJETADO COM ESPESSURA DE 10 CM, ARMADO COM TELA, INCLINAÇÃO DE 90°, APLICAÇÃO CONTÍNUA, UTILIZANDO EQUIPAMENTO DE PROJEÇÃO COM 6 M³/H DE CAPACIDADE. AF_01/2016</t>
  </si>
  <si>
    <t>EXECUÇÃO DE REVESTIMENTO DE CONCRETO PROJETADO COM ESPESSURA DE 7 CM, ARMADO COM TELA, INCLINAÇÃO MENOR QUE 90°, APLICAÇÃO CONTÍNUA, UTILIZANDO EQUIPAMENTO DE PROJEÇÃO COM 3 M³/H DE CAPACIDADE. AF_01/2016</t>
  </si>
  <si>
    <t>EXECUÇÃO DE REVESTIMENTO DE CONCRETO PROJETADO COM ESPESSURA DE 10 CM, ARMADO COM TELA, INCLINAÇÃO MENOR QUE 90°, APLICAÇÃO CONTÍNUA, UTILIZANDO EQUIPAMENTO DE PROJEÇÃO COM 3 M³/H DE CAPACIDADE. AF_01/2016</t>
  </si>
  <si>
    <t>EXECUÇÃO DE REVESTIMENTO DE CONCRETO PROJETADO COM ESPESSURA DE 7 CM, ARMADO COM TELA, INCLINAÇÃO DE 90°, APLICAÇÃO CONTÍNUA, UTILIZANDO EQUIPAMENTO DE PROJEÇÃO COM 3 M³/H DE CAPACIDADE. AF_01/2016</t>
  </si>
  <si>
    <t>EXECUÇÃO DE REVESTIMENTO DE CONCRETO PROJETADO COM ESPESSURA DE 10 CM, ARMADO COM TELA, INCLINAÇÃO DE 90°, APLICAÇÃO CONTÍNUA, UTILIZANDO EQUIPAMENTO DE PROJEÇÃO COM 3 M³/H DE CAPACIDADE. AF_01/2016</t>
  </si>
  <si>
    <t>EXECUÇÃO DE REVESTIMENTO DE CONCRETO PROJETADO COM ESPESSURA DE 7 CM, ARMADO COM FIBRAS DE AÇO, INCLINAÇÃO MENOR QUE 90°, APLICAÇÃO CONTÍNUA, UTILIZANDO EQUIPAMENTO DE PROJEÇÃO COM 6 M³/H DE CAPACIDADE. AF_01/2016</t>
  </si>
  <si>
    <t>EXECUÇÃO DE REVESTIMENTO DE CONCRETO PROJETADO COM ESPESSURA DE 10 CM, ARMADO COM FIBRAS DE AÇO, INCLINAÇÃO MENOR QUE 90°, APLICAÇÃO CONTÍNUA, UTILIZANDO EQUIPAMENTO DE PROJEÇÃO COM 6 M³/H DE CAPACIDADE. AF_01/2016</t>
  </si>
  <si>
    <t>EXECUÇÃO DE REVESTIMENTO DE CONCRETO PROJETADO COM ESPESSURA DE 7 CM, ARMADO COM FIBRAS DE AÇO, INCLINAÇÃO DE 90°, APLICAÇÃO CONTÍNUA, UTILIZANDO EQUIPAMENTO DE PROJEÇÃO COM 6 M³/H DE CAPACIDADE. AF_01/2016</t>
  </si>
  <si>
    <t>EXECUÇÃO DE REVESTIMENTO DE CONCRETO PROJETADO COM ESPESSURA DE 10 CM, ARMADO COM FIBRAS DE AÇO, INCLINAÇÃO DE 90°, APLICAÇÃO CONTÍNUA, UTILIZANDO EQUIPAMENTO DE PROJEÇÃO COM 6 M³/H DE CAPACIDADE. AF_01/2016</t>
  </si>
  <si>
    <t>EXECUÇÃO DE REVESTIMENTO DE CONCRETO PROJETADO COM ESPESSURA DE 7 CM, ARMADO COM FIBRAS DE AÇO, INCLINAÇÃO MENOR QUE 90°, APLICAÇÃO CONTÍNUA, UTILIZANDO EQUIPAMENTO DE PROJEÇÃO COM 3 M³/H DE CAPACIDADE. AF_01/2016</t>
  </si>
  <si>
    <t>EXECUÇÃO DE REVESTIMENTO DE CONCRETO PROJETADO COM ESPESSURA DE 10 CM, ARMADO COM FIBRAS DE AÇO, INCLINAÇÃO MENOR QUE 90°, APLICAÇÃO CONTÍNUA, UTILIZANDO EQUIPAMENTO DE PROJEÇÃO COM 3 M³/H DE CAPACIDADE. AF_01/2016</t>
  </si>
  <si>
    <t>EXECUÇÃO DE REVESTIMENTO DE CONCRETO PROJETADO COM ESPESSURA DE 7 CM, ARMADO COM FIBRAS DE AÇO, INCLINAÇÃO DE 90°, APLICAÇÃO CONTÍNUA, UTILIZANDO EQUIPAMENTO DE PROJEÇÃO COM 3 M³/H DE CAPACIDADE. AF_01/2016</t>
  </si>
  <si>
    <t>EXECUÇÃO DE REVESTIMENTO DE CONCRETO PROJETADO COM ESPESSURA DE 10 CM, ARMADO COM FIBRAS DE AÇO, INCLINAÇÃO DE 90°, APLICAÇÃO CONTÍNUA, UTILIZANDO EQUIPAMENTO DE PROJEÇÃO COM 3 M³/H DE CAPACIDADE. AF_01/2016</t>
  </si>
  <si>
    <t>EXECUÇÃO DE REVESTIMENTO DE CONCRETO PROJETADO COM ESPESSURA DE 7 CM, ARMADO COM TELA, INCLINAÇÃO MENOR QUE 90°, APLICAÇÃO DESCONTÍNUA, UTILIZANDO EQUIPAMENTO DE PROJEÇÃO COM 6 M³/H DE CAPACIDADE. AF_01/2016</t>
  </si>
  <si>
    <t>EXECUÇÃO DE REVESTIMENTO DE CONCRETO PROJETADO COM ESPESSURA DE 10 CM, ARMADO COM TELA, INCLINAÇÃO MENOR QUE 90°, APLICAÇÃO DESCONTÍNUA, UTILIZANDO EQUIPAMENTO DE PROJEÇÃO COM 6 M³/H DE CAPACIDADE. AF_01/2016</t>
  </si>
  <si>
    <t>EXECUÇÃO DE REVESTIMENTO DE CONCRETO PROJETADO COM ESPESSURA DE 7 CM, ARMADO COM TELA, INCLINAÇÃO MENOR QUE 90°, APLICAÇÃO DESCONTÍNUA, UTILIZANDO EQUIPAMENTO DE PROJEÇÃO COM 3 M³/H DE CAPACIDADE. AF_01/2016</t>
  </si>
  <si>
    <t>EXECUÇÃO DE REVESTIMENTO DE CONCRETO PROJETADO COM ESPESSURA DE 10 CM, ARMADO COM TELA, INCLINAÇÃO MENOR QUE 90°, APLICAÇÃO DESCONTÍNUA, UTILIZANDO EQUIPAMENTO DE PROJEÇÃO COM 3 M³/H DE CAPACIDADE. AF_01/2016</t>
  </si>
  <si>
    <t>EXECUÇÃO DE REVESTIMENTO DE CONCRETO PROJETADO COM ESPESSURA DE 7 CM, ARMADO COM FIBRAS DE AÇO, INCLINAÇÃO MENOR QUE 90°, APLICAÇÃO DESCONTÍNUA, UTILIZANDO EQUIPAMENTO DE PROJEÇÃO COM 6 M³/H DE CAPACIDADE. AF_01/2016</t>
  </si>
  <si>
    <t>EXECUÇÃO DE REVESTIMENTO DE CONCRETO PROJETADO COM ESPESSURA DE 10 CM, ARMADO COM FIBRAS DE AÇO, INCLINAÇÃO MENOR QUE 90°, APLICAÇÃO DESCONTÍNUA, UTILIZANDO EQUIPAMENTO DE PROJEÇÃO COM 6 M³/H DE CAPACIDADE. AF_01/2016</t>
  </si>
  <si>
    <t>EXECUÇÃO DE REVESTIMENTO DE CONCRETO PROJETADO COM ESPESSURA DE 7 CM, ARMADO COM FIBRAS DE AÇO, INCLINAÇÃO DE 90°, APLICAÇÃO DESCONTÍNUA, UTILIZANDO EQUIPAMENTO DE PROJEÇÃO COM 6 M³/H DE CAPACIDADE. AF_01/2016</t>
  </si>
  <si>
    <t>EXECUÇÃO DE REVESTIMENTO DE CONCRETO PROJETADO COM ESPESSURA DE 10 CM, ARMADO COM FIBRAS DE AÇO, INCLINAÇÃO DE 90°, APLICAÇÃO DESCONTÍNUA, UTILIZANDO EQUIPAMENTO DE PROJEÇÃO COM 6 M³/H DE CAPACIDADE. AF_01/2016</t>
  </si>
  <si>
    <t>EXECUÇÃO DE REVESTIMENTO DE CONCRETO PROJETADO COM ESPESSURA DE 7 CM, ARMADO COM FIBRAS DE AÇO, INCLINAÇÃO MENOR QUE 90°, APLICAÇÃO DESCONTÍNUA, UTILIZANDO EQUIPAMENTO DE PROJEÇÃO COM 3 M³/H DE CAPACIDADE. AF_01/2016</t>
  </si>
  <si>
    <t>EXECUÇÃO DE REVESTIMENTO DE CONCRETO PROJETADO COM ESPESSURA DE 10 CM, ARMADO COM FIBRAS DE AÇO, INCLINAÇÃO MENOR QUE 90°, APLICAÇÃO DESCONTÍNUA, UTILIZANDO EQUIPAMENTO DE PROJEÇÃO COM 3 M³/H DE CAPACIDADE. AF_01/2016</t>
  </si>
  <si>
    <t>EXECUÇÃO DE REVESTIMENTO DE CONCRETO PROJETADO COM ESPESSURA DE 7 CM, ARMADO COM FIBRAS DE AÇO, INCLINAÇÃO DE 90°, APLICAÇÃO DESCONTÍNUA, UTILIZANDO EQUIPAMENTO DE PROJEÇÃO COM 3 M³/H DE CAPACIDADE. AF_01/2016</t>
  </si>
  <si>
    <t>EXECUÇÃO DE REVESTIMENTO DE CONCRETO PROJETADO COM ESPESSURA DE 10 CM, ARMADO COM FIBRAS DE AÇO, INCLINAÇÃO DE 90°, APLICAÇÃO DESCONTÍNUA, UTILIZANDO EQUIPAMENTO DE PROJEÇÃO COM 3 M³/H DE CAPACIDADE. AF_01/2016</t>
  </si>
  <si>
    <t>FIXAÇÃO DE TUBOS HORIZONTAIS DE PEX DIAMETROS IGUAIS OU INFERIORES A 40 MM COM ABRAÇADEIRA PLÁSTICA 390 MM, FIXADA EM LAJE. AF_05/2015</t>
  </si>
  <si>
    <t>FIXAÇÃO DE TUBOS HORIZONTAIS DE PPR DIÂMETROS MENORES OU IGUAIS A 40 MM COM ABRAÇADEIRA METÁLICA RÍGIDA TIPO D 1/2", FIXADA EM PERFILADO EM LAJE. AF_05/2015</t>
  </si>
  <si>
    <t>FIXAÇÃO DE TUBOS HORIZONTAIS DE PPR DIÂMETROS MAIORES QUE 40 MM E MENORES OU IGUAIS A 75 MM COM ABRAÇADEIRA METÁLICA RÍGIDA TIPO D 1 1/2", FIXADA EM PERFILADO EM LAJE. AF_05/2015</t>
  </si>
  <si>
    <t>FIXAÇÃO DE TUBOS HORIZONTAIS DE PPR DIÂMETROS MAIORES QUE 75 MM COM ABRAÇADEIRA METÁLICA RÍGIDA TIPO D 3", FIXADA EM PERFILADO EM LAJE. AF_05/2015</t>
  </si>
  <si>
    <t>FIXAÇÃO DE TUBOS HORIZONTAIS DE PVC, CPVC OU COBRE DIÂMETROS MENORES OU IGUAIS A 40 MM OU ELETROCALHAS ATÉ 150MM DE LARGURA, COM ABRAÇADEIRA METÁLICA RÍGIDA TIPO D 1/2, FIXADA EM PERFILADO EM LAJE. AF_05/2015</t>
  </si>
  <si>
    <t>FIXAÇÃO DE TUBOS HORIZONTAIS DE PVC, CPVC OU COBRE DIÂMETROS MAIORES QUE 40 MM E MENORES OU IGUAIS A 75 MM COM ABRAÇADEIRA METÁLICA RÍGIDA TIPO D 1 1/2", FIXADA EM PERFILADO EM LAJE. AF_05/2015</t>
  </si>
  <si>
    <t>FIXAÇÃO DE TUBOS HORIZONTAIS DE PVC, CPVC OU COBRE DIÂMETROS MAIORES QUE 75 MM COM ABRAÇADEIRA METÁLICA RÍGIDA TIPO D 3", FIXADA EM PERFILADO EM LAJE. AF_05/2015</t>
  </si>
  <si>
    <t>FIXAÇÃO DE TUBOS VERTICAIS DE PPR DIÂMETROS MENORES OU IGUAIS A 40 MM COM ABRAÇADEIRA METÁLICA RÍGIDA TIPO D 1/2", FIXADA EM PERFILADO EM ALVENARIA. AF_05/2015</t>
  </si>
  <si>
    <t>FIXAÇÃO DE TUBOS VERTICAIS DE PPR DIÂMETROS MAIORES QUE 40 MM E MENORES OU IGUAIS A 75 MM COM ABRAÇADEIRA METÁLICA RÍGIDA TIPO D 1 1/2", FIXADA EM PERFILADO EM ALVENARIA. AF_05/2015</t>
  </si>
  <si>
    <t>FIXAÇÃO DE TUBOS VERTICAIS DE PPR DIÂMETROS MAIORES QUE 75 MM COM ABRAÇADEIRA METÁLICA RÍGIDA TIPO D 3", FIXADA EM PERFILADO EM ALVENARIA. AF_05/2015</t>
  </si>
  <si>
    <t>FIXAÇÃO DE TUBOS HORIZONTAIS DE PPR DIÂMETROS MENORES OU IGUAIS A 40 MM COM ABRAÇADEIRA METÁLICA RÍGIDA TIPO  D  1/2" , FIXADA DIRETAMENTE NA LAJE. AF_05/2015</t>
  </si>
  <si>
    <t>FIXAÇÃO DE TUBOS HORIZONTAIS DE PPR DIÂMETROS MAIORES QUE 40 MM E MENORES OU IGUAIS A 75 MM COM ABRAÇADEIRA METÁLICA RÍGIDA TIPO  D  1 1/2" , FIXADA DIRETAMENTE NA LAJE. AF_05/2015</t>
  </si>
  <si>
    <t>FIXAÇÃO DE TUBOS HORIZONTAIS DE PPR DIÂMETROS MAIORES QUE 75 MM COM ABRAÇADEIRA METÁLICA RÍGIDA TIPO  D  3" , FIXADA DIRETAMENTE NA LAJE. AF_05/2015</t>
  </si>
  <si>
    <t>FIXAÇÃO DE TUBOS HORIZONTAIS DE PVC, CPVC OU COBRE DIÂMETROS MENORES OU IGUAIS A 40 MM COM ABRAÇADEIRA METÁLICA RÍGIDA TIPO  D  1/2" , FIXADA DIRETAMENTE NA LAJE. AF_05/2015</t>
  </si>
  <si>
    <t>FIXAÇÃO DE TUBOS HORIZONTAIS DE PVC, CPVC OU COBRE DIÂMETROS MAIORES QUE 40 MM E MENORES OU IGUAIS A 75 MM COM ABRAÇADEIRA METÁLICA RÍGIDA TIPO D 1 1/2, FIXADA DIRETAMENTE NA LAJE. AF_05/2015</t>
  </si>
  <si>
    <t>FIXAÇÃO DE TUBOS HORIZONTAIS DE PVC, CPVC OU COBRE DIÂMETROS MAIORES QUE 75 MM COM ABRAÇADEIRA METÁLICA RÍGIDA TIPO  D  3" , FIXADA DIRETAMENTE NA LAJE. AF_05/2015</t>
  </si>
  <si>
    <t>FIXAÇÃO DE TUBOS HORIZONTAIS DE PPR DIÂMETROS MENORES OU IGUAIS A 40 MM COM ABRAÇADEIRA METÁLICA FLEXÍVEL 18 MM, FIXADA DIRETAMENTE NA LAJE. AF_05/2015</t>
  </si>
  <si>
    <t>FIXAÇÃO DE TUBOS HORIZONTAIS DE PPR DIÂMETROS MAIORES QUE 40 MM E MENORES OU IGUAIS A 75 MM COM ABRAÇADEIRA METÁLICA FLEXÍVEL 18 MM, FIXADA DIRETAMENTE NA LAJE. AF_05/2015</t>
  </si>
  <si>
    <t>FIXAÇÃO DE TUBOS HORIZONTAIS DE PPR DIÂMETROS MAIORES QUE 75 MM COM ABRAÇADEIRA METÁLICA FLEXÍVEL 18 MM, FIXADA DIRETAMENTE NA LAJE. AF_05/2015</t>
  </si>
  <si>
    <t>FIXAÇÃO DE TUBOS HORIZONTAIS DE PVC, CPVC OU COBRE DIÂMETROS MENORES OU IGUAIS A 40 MM COM ABRAÇADEIRA METÁLICA FLEXÍVEL 18 MM, FIXADA DIRETAMENTE NA LAJE. AF_05/2015</t>
  </si>
  <si>
    <t>FIXAÇÃO DE TUBOS HORIZONTAIS DE PVC, CPVC OU COBRE DIÂMETROS MAIORES QUE 40 MM E MENORES OU IGUAIS A 75 MM COM ABRAÇADEIRA METÁLICA FLEXÍVEL 18 MM, FIXADA DIRETAMENTE NA LAJE. AF_05/2015</t>
  </si>
  <si>
    <t>FIXAÇÃO DE TUBOS HORIZONTAIS DE PVC, CPVC OU COBRE DIÂMETROS MAIORES QUE 75 MM COM ABRAÇADEIRA METÁLICA FLEXÍVEL 18 MM, FIXADA DIRETAMENTE NA LAJE. AF_05/2015</t>
  </si>
  <si>
    <t>CHUMBAMENTO PONTUAL DE ABERTURA EM LAJE COM PASSAGEM DE 1 TUBO DE DIAMETRO EQUIVALENTE IGUAL À  50 MM. AF_05/2015</t>
  </si>
  <si>
    <t>PLACA VIBRATÓRIA REVERSÍVEL COM MOTOR 4 TEMPOS A GASOLINA, FORÇA CENTRÍFUGA DE 25 KN (2500 KGF), POTÊNCIA 5,5 CV - DEPRECIAÇÃO. AF_08/2015</t>
  </si>
  <si>
    <t>PLACA VIBRATÓRIA REVERSÍVEL COM MOTOR 4 TEMPOS A GASOLINA, FORÇA CENTRÍFUGA DE 25 KN (2500 KGF), POTÊNCIA 5,5 CV - JUROS. AF_08/2015</t>
  </si>
  <si>
    <t>PLACA VIBRATÓRIA REVERSÍVEL COM MOTOR 4 TEMPOS A GASOLINA, FORÇA CENTRÍFUGA DE 25 KN (2500 KGF), POTÊNCIA 5,5 CV - MANUTENÇÃO. AF_08/2015</t>
  </si>
  <si>
    <t>PLACA VIBRATÓRIA REVERSÍVEL COM MOTOR 4 TEMPOS A GASOLINA, FORÇA CENTRÍFUGA DE 25 KN (2500 KGF), POTÊNCIA 5,5 CV - MATERIAIS NA OPERAÇÃO. AF_08/2015</t>
  </si>
  <si>
    <t>PLACA VIBRATÓRIA REVERSÍVEL COM MOTOR 4 TEMPOS A GASOLINA, FORÇA CENTRÍFUGA DE 25 KN (2500 KGF), POTÊNCIA 5,5 CV - CHP DIURNO. AF_08/2015</t>
  </si>
  <si>
    <t>PLACA VIBRATÓRIA REVERSÍVEL COM MOTOR 4 TEMPOS A GASOLINA, FORÇA CENTRÍFUGA DE 25 KN (2500 KGF), POTÊNCIA 5,5 CV - CHI DIURNO. AF_08/2015</t>
  </si>
  <si>
    <t>CORTADORA DE PISO COM MOTOR 4 TEMPOS A GASOLINA, POTÊNCIA DE 13 HP, COM DISCO DE CORTE DIAMANTADO SEGMENTADO PARA CONCRETO, DIÂMETRO DE 350 MM, FURO DE 1" (14 X 1") - DEPRECIAÇÃO. AF_08/2015</t>
  </si>
  <si>
    <t>CORTADORA DE PISO COM MOTOR 4 TEMPOS A GASOLINA, POTÊNCIA DE 13 HP, COM DISCO DE CORTE DIAMANTADO SEGMENTADO PARA CONCRETO, DIÂMETRO DE 350 MM, FURO DE 1" (14 X 1") - JUROS. AF_08/2015</t>
  </si>
  <si>
    <t>CORTADORA DE PISO COM MOTOR 4 TEMPOS A GASOLINA, POTÊNCIA DE 13 HP, COM DISCO DE CORTE DIAMANTADO SEGMENTADO PARA CONCRETO, DIÂMETRO DE 350 MM, FURO DE 1" (14 X 1") - MANUTENÇÃO. AF_08/2015</t>
  </si>
  <si>
    <t>CORTADORA DE PISO COM MOTOR 4 TEMPOS A GASOLINA, POTÊNCIA DE 13 HP, COM DISCO DE CORTE DIAMANTADO SEGMENTADO PARA CONCRETO, DIÂMETRO DE 350 MM, FURO DE 1" (14 X 1") - MATERIAIS NA OPERAÇÃO. AF_08/2015</t>
  </si>
  <si>
    <t>CORTADORA DE PISO COM MOTOR 4 TEMPOS A GASOLINA, POTÊNCIA DE 13 HP, COM DISCO DE CORTE DIAMANTADO SEGMENTADO PARA CONCRETO, DIÂMETRO DE 350 MM, FURO DE 1" (14 X 1") - CHP DIURNO. AF_08/2015</t>
  </si>
  <si>
    <t>CORTADORA DE PISO COM MOTOR 4 TEMPOS A GASOLINA, POTÊNCIA DE 13 HP, COM DISCO DE CORTE DIAMANTADO SEGMENTADO PARA CONCRETO, DIÂMETRO DE 350 MM, FURO DE 1" (14 X 1") - CHI DIURNO. AF_08/2015</t>
  </si>
  <si>
    <t>CAMINHÃO PIPA 6.000 L, PESO BRUTO TOTAL 13.000 KG, DISTÂNCIA ENTRE EIXOS 4,80 M, POTÊNCIA 189 CV INCLUSIVE TANQUE DE AÇO PARA TRANSPORTE DE ÁGUA, CAPACIDADE 6 M3 - DEPRECIAÇÃO. AF_06/2014</t>
  </si>
  <si>
    <t>CAMINHÃO PIPA 6.000 L, PESO BRUTO TOTAL 13.000 KG, DISTÂNCIA ENTRE EIXOS 4,80 M, POTÊNCIA 189 CV INCLUSIVE TANQUE DE AÇO PARA TRANSPORTE DE ÁGUA, CAPACIDADE 6 M3 - JUROS. AF_06/2014</t>
  </si>
  <si>
    <t>CAMINHÃO PIPA 6.000 L, PESO BRUTO TOTAL 13.000 KG, DISTÂNCIA ENTRE EIXOS 4,80 M, POTÊNCIA 189 CV INCLUSIVE TANQUE DE AÇO PARA TRANSPORTE DE ÁGUA, CAPACIDADE 6 M3 - IMPOSTOS E SEGUROS. AF_06/2014</t>
  </si>
  <si>
    <t>CAMINHÃO BASCULANTE 6 M3, PESO BRUTO TOTAL 16.000 KG, CARGA ÚTIL MÁXIMA 13.071 KG, DISTÂNCIA ENTRE EIXOS 4,80 M, POTÊNCIA 230 CV INCLUSIVE CAÇAMBA METÁLICA - DEPRECIAÇÃO. AF_06/2014</t>
  </si>
  <si>
    <t>CAMINHÃO BASCULANTE 6 M3, PESO BRUTO TOTAL 16.000 KG, CARGA ÚTIL MÁXIMA 13.071 KG, DISTÂNCIA ENTRE EIXOS 4,80 M, POTÊNCIA 230 CV INCLUSIVE CAÇAMBA METÁLICA - JUROS. AF_06/2014</t>
  </si>
  <si>
    <t>CAMINHÃO BASCULANTE 6 M3, PESO BRUTO TOTAL 16.000 KG, CARGA ÚTIL MÁXIMA 13.071 KG, DISTÂNCIA ENTRE EIXOS 4,80 M, POTÊNCIA 230 CV INCLUSIVE CAÇAMBA METÁLICA - IMPOSTOS E SEGUROS. AF_06/2014</t>
  </si>
  <si>
    <t>CAMINHÃO TOCO, PESO BRUTO TOTAL 16.000 KG, CARGA ÚTIL MÁXIMA DE 10.685 KG, DISTÂNCIA ENTRE EIXOS 4,80 M, POTÊNCIA 189 CV EXCLUSIVE CARROCERIA - DEPRECIAÇÃO. AF_06/2014</t>
  </si>
  <si>
    <t>CAMINHÃO TOCO, PESO BRUTO TOTAL 16.000 KG, CARGA ÚTIL MÁXIMA DE 10.685 KG, DISTÂNCIA ENTRE EIXOS 4,80 M, POTÊNCIA 189 CV EXCLUSIVE CARROCERIA - JUROS. AF_06/2014</t>
  </si>
  <si>
    <t>CAMINHÃO TOCO, PESO BRUTO TOTAL 16.000 KG, CARGA ÚTIL MÁXIMA DE 10.685 KG, DISTÂNCIA ENTRE EIXOS 4,80 M, POTÊNCIA 189 CV EXCLUSIVE CARROCERIA - IMPOSTOS E SEGUROS. AF_06/2014</t>
  </si>
  <si>
    <t>CAMINHÃO BASCULANTE 10 M3, TRUCADO CABINE SIMPLES, PESO BRUTO TOTAL 23.000 KG, CARGA ÚTIL MÁXIMA 15.935 KG, DISTÂNCIA ENTRE EIXOS 4,80 M, POTÊNCIA 230 CV INCLUSIVE CAÇAMBA METÁLICA - DEPRECIAÇÃO. AF_06/2014</t>
  </si>
  <si>
    <t>CAMINHÃO BASCULANTE 10 M3, TRUCADO CABINE SIMPLES, PESO BRUTO TOTAL 23.000 KG, CARGA ÚTIL MÁXIMA 15.935 KG, DISTÂNCIA ENTRE EIXOS 4,80 M, POTÊNCIA 230 CV INCLUSIVE CAÇAMBA METÁLICA - JUROS. AF_06/2014</t>
  </si>
  <si>
    <t>CAMINHÃO BASCULANTE 10 M3, TRUCADO CABINE SIMPLES, PESO BRUTO TOTAL 23.000 KG, CARGA ÚTIL MÁXIMA 15.935 KG, DISTÂNCIA ENTRE EIXOS 4,80 M, POTÊNCIA 230 CV INCLUSIVE CAÇAMBA METÁLICA - IMPOSTOS E SEGUROS. AF_06/2014</t>
  </si>
  <si>
    <t>CAMINHÃO BASCULANTE 10 M3, TRUCADO CABINE SIMPLES, PESO BRUTO TOTAL 23.000 KG, CARGA ÚTIL MÁXIMA 15.935 KG, DISTÂNCIA ENTRE EIXOS 4,80 M, POTÊNCIA 230 CV INCLUSIVE CAÇAMBA METÁLICA - MANUTENÇÃO. AF_06/2014</t>
  </si>
  <si>
    <t>CAMINHÃO BASCULANTE 10 M3, TRUCADO CABINE SIMPLES, PESO BRUTO TOTAL 23.000 KG, CARGA ÚTIL MÁXIMA 15.935 KG, DISTÂNCIA ENTRE EIXOS 4,80 M, POTÊNCIA 230 CV INCLUSIVE CAÇAMBA METÁLICA - MATERIAIS NA OPERAÇÃO. AF_06/2014</t>
  </si>
  <si>
    <t>CAMINHÃO BASCULANTE 10 M3, TRUCADO CABINE SIMPLES, PESO BRUTO TOTAL 23.000 KG, CARGA ÚTIL MÁXIMA 15.935 KG, DISTÂNCIA ENTRE EIXOS 4,80 M, POTÊNCIA 230 CV INCLUSIVE CAÇAMBA METÁLICA - CHP DIURNO. AF_06/2014</t>
  </si>
  <si>
    <t>CAMINHÃO BASCULANTE 10 M3, TRUCADO CABINE SIMPLES, PESO BRUTO TOTAL 23.000 KG, CARGA ÚTIL MÁXIMA 15.935 KG, DISTÂNCIA ENTRE EIXOS 4,80 M, POTÊNCIA 230 CV INCLUSIVE CAÇAMBA METÁLICA - CHI DIURNO. AF_06/2014</t>
  </si>
  <si>
    <t>CAMINHÃO TOCO, PBT 14.300 KG, CARGA ÚTIL MÁX. 9.710 KG, DIST. ENTRE EIXOS 3,56 M, POTÊNCIA 185 CV, INCLUSIVE CARROCERIA FIXA ABERTA DE MADEIRA P/ TRANSPORTE GERAL DE CARGA SECA, DIMEN. APROX. 2,50 X 6,50 X 0,50 M - DEPRECIAÇÃO. AF_06/2014</t>
  </si>
  <si>
    <t>CAMINHÃO TOCO, PBT 14.300 KG, CARGA ÚTIL MÁX. 9.710 KG, DIST. ENTRE EIXOS 3,56 M, POTÊNCIA 185 CV, INCLUSIVE CARROCERIA FIXA ABERTA DE MADEIRA P/ TRANSPORTE GERAL DE CARGA SECA, DIMEN. APROX. 2,50 X 6,50 X 0,50 M - JUROS. AF_06/2014</t>
  </si>
  <si>
    <t>CAMINHÃO TOCO, PBT 14.300 KG, CARGA ÚTIL MÁX. 9.710 KG, DIST. ENTRE EIXOS 3,56 M, POTÊNCIA 185 CV, INCLUSIVE CARROCERIA FIXA ABERTA DE MADEIRA P/ TRANSPORTE GERAL DE CARGA SECA, DIMEN. APROX. 2,50 X 6,50 X 0,50 M - IMPOSTOS E SEGUROS. AF_06/2014</t>
  </si>
  <si>
    <t>CAMINHÃO TOCO, PBT 14.300 KG, CARGA ÚTIL MÁX. 9.710 KG, DIST. ENTRE EIXOS 3,56 M, POTÊNCIA 185 CV, INCLUSIVE CARROCERIA FIXA ABERTA DE MADEIRA P/ TRANSPORTE GERAL DE CARGA SECA, DIMEN. APROX. 2,50 X 6,50 X 0,50 M - CHI DIURNO. AF_06/2014</t>
  </si>
  <si>
    <t>CAMINHÃO PIPA 10.000 L TRUCADO, PESO BRUTO TOTAL 23.000 KG, CARGA ÚTIL MÁXIMA 15.935 KG, DISTÂNCIA ENTRE EIXOS 4,8 M, POTÊNCIA 230 CV, INCLUSIVE TANQUE DE AÇO PARA TRANSPORTE DE ÁGUA - DEPRECIAÇÃO. AF_06/2014</t>
  </si>
  <si>
    <t>CAMINHÃO PIPA 10.000 L TRUCADO, PESO BRUTO TOTAL 23.000 KG, CARGA ÚTIL MÁXIMA 15.935 KG, DISTÂNCIA ENTRE EIXOS 4,8 M, POTÊNCIA 230 CV, INCLUSIVE TANQUE DE AÇO PARA TRANSPORTE DE ÁGUA - JUROS. AF_06/2014</t>
  </si>
  <si>
    <t>CAMINHÃO PIPA 10.000 L TRUCADO, PESO BRUTO TOTAL 23.000 KG, CARGA ÚTIL MÁXIMA 15.935 KG, DISTÂNCIA ENTRE EIXOS 4,8 M, POTÊNCIA 230 CV, INCLUSIVE TANQUE DE AÇO PARA TRANSPORTE DE ÁGUA - IMPOSTOS E SEGUROS. AF_06/2014</t>
  </si>
  <si>
    <t>CAMINHÃO BASCULANTE 6 M3 TOCO, PESO BRUTO TOTAL 16.000 KG, CARGA ÚTIL MÁXIMA 11.130 KG, DISTÂNCIA ENTRE EIXOS 5,36 M, POTÊNCIA 185 CV, INCLUSIVE CAÇAMBA METÁLICA - IMPOSTOS E SEGUROS. AF_06/2014</t>
  </si>
  <si>
    <t>GUINDAUTO HIDRÁULICO, CAPACIDADE MÁXIMA DE CARGA 6200 KG, MOMENTO MÁXIMO DE CARGA 11,7 TM, ALCANCE MÁXIMO HORIZONTAL 9,70 M, INCLUSIVE CAMINHÃO TOCO PBT 16.000 KG, POTÊNCIA DE 189 CV - IMPOSTOS E SEGUROS. AF_08/2015</t>
  </si>
  <si>
    <t>GUINDAUTO HIDRÁULICO, CAPACIDADE MÁXIMA DE CARGA 6200 KG, MOMENTO MÁXIMO DE CARGA 11,7 TM, ALCANCE MÁXIMO HORIZONTAL 9,70 M, INCLUSIVE CAMINHÃO TOCO PBT 16.000 KG, POTÊNCIA DE 189 CV - MATERIAIS NA OPERAÇÃO. AF_08/2015</t>
  </si>
  <si>
    <t>ESPARGIDOR DE ASFALTO PRESSURIZADO, TANQUE 6 M3 COM ISOLAÇÃO TÉRMICA, AQUECIDO COM 2 MAÇARICOS, COM BARRA ESPARGIDORA 3,60 M, MONTADO SOBRE CAMINHÃO  TOCO, PBT 14.300 KG, POTÊNCIA 185 CV - DEPRECIAÇÃO. AF_08/2015</t>
  </si>
  <si>
    <t>ESPARGIDOR DE ASFALTO PRESSURIZADO, TANQUE 6 M3 COM ISOLAÇÃO TÉRMICA, AQUECIDO COM 2 MAÇARICOS, COM BARRA ESPARGIDORA 3,60 M, MONTADO SOBRE CAMINHÃO  TOCO, PBT 14.300 KG, POTÊNCIA 185 CV - IMPOSTOS E SEGUROS. AF_08/2015</t>
  </si>
  <si>
    <t>ESPARGIDOR DE ASFALTO PRESSURIZADO, TANQUE 6 M3 COM ISOLAÇÃO TÉRMICA, AQUECIDO COM 2 MAÇARICOS, COM BARRA ESPARGIDORA 3,60 M, MONTADO SOBRE CAMINHÃO  TOCO, PBT 14.300 KG, POTÊNCIA 185 CV - MATERIAIS NA OPERAÇÃO. AF_08/2015</t>
  </si>
  <si>
    <t>ESPARGIDOR DE ASFALTO PRESSURIZADO, TANQUE 6 M3 COM ISOLAÇÃO TÉRMICA, AQUECIDO COM 2 MAÇARICOS, COM BARRA ESPARGIDORA 3,60 M, MONTADO SOBRE CAMINHÃO  TOCO, PBT 14.300 KG, POTÊNCIA 185 CV - CHI DIURNO. AF_08/2015</t>
  </si>
  <si>
    <t>ESTUCAMENTO DE PANOS DE FACHADA SEM VÃOS DO SISTEMA DE PAREDES DE CONCRETO EM EDIFICAÇÕES DE MÚLTIPLOS PAVIMENTOS. AF_06/2015</t>
  </si>
  <si>
    <t>ESTUCAMENTO DE PANOS DE FACHADA COM VÃOS DO SISTEMA DE PAREDES DE CONCRETO EM EDIFICAÇÕES DE MÚLTIPLOS PAVIMENTOS. AF_06/2015</t>
  </si>
  <si>
    <t>ESTUCAMENTO DE SUPERFÍCIE EXTERNA DA SACADA DO SISTEMA DE PAREDES DE CONCRETO EM EDIFICAÇÕES DE MÚLTIPLOS PAVIMENTOS. AF_06/2015</t>
  </si>
  <si>
    <t>ESTUCAMENTO DE PANOS DE FACHADA SEM VÃOS DO SISTEMA DE PAREDES DE CONCRETO EM EDIFICAÇÕES DE PAVIMENTO ÚNICO. AF_06/2015</t>
  </si>
  <si>
    <t>ESTUCAMENTO DE PANOS DE FACHADA COM VÃOS DO SISTEMA DE PAREDES DE CONCRETO EM EDIFICAÇÕES DE PAVIMENTO ÚNICO. AF_06/2015</t>
  </si>
  <si>
    <t>ESTUCAMENTO DE DENSIDADE BAIXA NAS FACES INTERNAS DE PAREDES DO SISTEMA DE PAREDES DE CONCRETO. AF_06/2015</t>
  </si>
  <si>
    <t>ESTUCAMENTO DE DENSIDADE ALTA, NAS FACES INTERNAS DE PAREDES DO SISTEMA DE PAREDES DE CONCRETO. AF_06/2015</t>
  </si>
  <si>
    <t>COMPACTADOR DE SOLOS DE PERCUSSÃO (SOQUETE) COM MOTOR A GASOLINA 4 TEMPOS, POTÊNCIA 4 CV - DEPRECIAÇÃO. AF_08/2015</t>
  </si>
  <si>
    <t>COMPACTADOR DE SOLOS DE PERCUSSÃO (SOQUETE) COM MOTOR A GASOLINA 4 TEMPOS, POTÊNCIA 4 CV - JUROS. AF_08/2015</t>
  </si>
  <si>
    <t>COMPACTADOR DE SOLOS DE PERCUSSÃO (SOQUETE) COM MOTOR A GASOLINA 4 TEMPOS, POTÊNCIA 4 CV - MANUTENÇÃO. AF_08/2015</t>
  </si>
  <si>
    <t>COMPACTADOR DE SOLOS DE PERCUSSÃO (SOQUETE) COM MOTOR A GASOLINA 4 TEMPOS, POTÊNCIA 4 CV - MATERIAIS NA OPERAÇÃO. AF_08/2015</t>
  </si>
  <si>
    <t>COMPACTADOR DE SOLOS DE PERCUSSÃO (SOQUETE) COM MOTOR A GASOLINA 4 TEMPOS, POTÊNCIA 4 CV - CHP DIURNO. AF_08/2015</t>
  </si>
  <si>
    <t>COMPACTADOR DE SOLOS DE PERCUSSÃO (SOQUETE) COM MOTOR A GASOLINA 4 TEMPOS, POTÊNCIA 4 CV - CHI DIURNO. AF_08/2015</t>
  </si>
  <si>
    <t>GUINDAUTO HIDRÁULICO, CAPACIDADE MÁXIMA DE CARGA 6500 KG, MOMENTO MÁXIMO DE CARGA 5,8 TM, ALCANCE MÁXIMO HORIZONTAL 7,60 M, INCLUSIVE CAMINHÃO TOCO PBT 9.700 KG, POTÊNCIA DE 160 CV - DEPRECIAÇÃO. AF_08/2015</t>
  </si>
  <si>
    <t>GUINDAUTO HIDRÁULICO, CAPACIDADE MÁXIMA DE CARGA 6500 KG, MOMENTO MÁXIMO DE CARGA 5,8 TM, ALCANCE MÁXIMO HORIZONTAL 7,60 M, INCLUSIVE CAMINHÃO TOCO PBT 9.700 KG, POTÊNCIA DE 160 CV - JUROS. AF_08/2015</t>
  </si>
  <si>
    <t>GUINDAUTO HIDRÁULICO, CAPACIDADE MÁXIMA DE CARGA 6500 KG, MOMENTO MÁXIMO DE CARGA 5,8 TM, ALCANCE MÁXIMO HORIZONTAL 7,60 M, INCLUSIVE CAMINHÃO TOCO PBT 9.700 KG, POTÊNCIA DE 160 CV - IMPOSTOS E SEGUROS. AF_08/2015</t>
  </si>
  <si>
    <t>GUINDAUTO HIDRÁULICO, CAPACIDADE MÁXIMA DE CARGA 6500 KG, MOMENTO MÁXIMO DE CARGA 5,8 TM, ALCANCE MÁXIMO HORIZONTAL 7,60 M, INCLUSIVE CAMINHÃO TOCO PBT 9.700 KG, POTÊNCIA DE 160 CV - MANUTENÇÃO. AF_08/2015</t>
  </si>
  <si>
    <t>GUINDAUTO HIDRÁULICO, CAPACIDADE MÁXIMA DE CARGA 6500 KG, MOMENTO MÁXIMO DE CARGA 5,8 TM, ALCANCE MÁXIMO HORIZONTAL 7,60 M, INCLUSIVE CAMINHÃO TOCO PBT 9.700 KG, POTÊNCIA DE 160 CV - MATERIAIS NA OPERAÇÃO. AF_08/2015</t>
  </si>
  <si>
    <t>GUINDAUTO HIDRÁULICO, CAPACIDADE MÁXIMA DE CARGA 6500 KG, MOMENTO MÁXIMO DE CARGA 5,8 TM, ALCANCE MÁXIMO HORIZONTAL 7,60 M, INCLUSIVE CAMINHÃO TOCO PBT 9.700 KG, POTÊNCIA DE 160 CV - CHP DIURNO. AF_08/2015</t>
  </si>
  <si>
    <t>GUINDAUTO HIDRÁULICO, CAPACIDADE MÁXIMA DE CARGA 6500 KG, MOMENTO MÁXIMO DE CARGA 5,8 TM, ALCANCE MÁXIMO HORIZONTAL 7,60 M, INCLUSIVE CAMINHÃO TOCO PBT 9.700 KG, POTÊNCIA DE 160 CV - CHI DIURNO. AF_08/2015</t>
  </si>
  <si>
    <t>CAMINHÃO DE TRANSPORTE DE MATERIAL ASFÁLTICO 30.000 L, COM CAVALO MECÂNICO DE CAPACIDADE MÁXIMA DE TRAÇÃO COMBINADO DE 66.000 KG, POTÊNCIA 360 CV, INCLUSIVE TANQUE DE ASFALTO COM SERPENTINA - DEPRECIAÇÃO. AF_08/2015</t>
  </si>
  <si>
    <t>CAMINHÃO DE TRANSPORTE DE MATERIAL ASFÁLTICO 30.000 L, COM CAVALO MECÂNICO DE CAPACIDADE MÁXIMA DE TRAÇÃO COMBINADO DE 66.000 KG, POTÊNCIA 360 CV, INCLUSIVE TANQUE DE ASFALTO COM SERPENTINA - JUROS. AF_08/2015</t>
  </si>
  <si>
    <t>CAMINHÃO DE TRANSPORTE DE MATERIAL ASFÁLTICO 30.000 L, COM CAVALO MECÂNICO DE CAPACIDADE MÁXIMA DE TRAÇÃO COMBINADO DE 66.000 KG, POTÊNCIA 360 CV, INCLUSIVE TANQUE DE ASFALTO COM SERPENTINA - IMPOSTOS E SEGUROS. AF_08/2015</t>
  </si>
  <si>
    <t>CAMINHÃO DE TRANSPORTE DE MATERIAL ASFÁLTICO 30.000 L, COM CAVALO MECÂNICO DE CAPACIDADE MÁXIMA DE TRAÇÃO COMBINADO DE 66.000 KG, POTÊNCIA 360 CV, INCLUSIVE TANQUE DE ASFALTO COM SERPENTINA - MANUTENÇÃO. AF_08/2015</t>
  </si>
  <si>
    <t>CAMINHÃO DE TRANSPORTE DE MATERIAL ASFÁLTICO 30.000 L, COM CAVALO MECÂNICO DE CAPACIDADE MÁXIMA DE TRAÇÃO COMBINADO DE 66.000 KG, POTÊNCIA 360 CV, INCLUSIVE TANQUE DE ASFALTO COM SERPENTINA - MATERIAIS NA OPERAÇÃO. AF_08/2015</t>
  </si>
  <si>
    <t>CAMINHÃO DE TRANSPORTE DE MATERIAL ASFÁLTICO 30.000 L, COM CAVALO MECÂNICO DE CAPACIDADE MÁXIMA DE TRAÇÃO COMBINADO DE 66.000 KG, POTÊNCIA 360 CV, INCLUSIVE TANQUE DE ASFALTO COM SERPENTINA - CHP DIURNO. AF_08/2015</t>
  </si>
  <si>
    <t>CAMINHÃO DE TRANSPORTE DE MATERIAL ASFÁLTICO 30.000 L, COM CAVALO MECÂNICO DE CAPACIDADE MÁXIMA DE TRAÇÃO COMBINADO DE 66.000 KG, POTÊNCIA 360 CV, INCLUSIVE TANQUE DE ASFALTO COM SERPENTINA - CHI DIURNO. AF_08/2015</t>
  </si>
  <si>
    <t>SERRA CIRCULAR DE BANCADA COM MOTOR ELÉTRICO POTÊNCIA DE 5HP, COM COIFA PARA DISCO 10" - DEPRECIAÇÃO. AF_08/2015</t>
  </si>
  <si>
    <t>SERRA CIRCULAR DE BANCADA COM MOTOR ELÉTRICO POTÊNCIA DE 5HP, COM COIFA PARA DISCO 10" - JUROS. AF_08/2015</t>
  </si>
  <si>
    <t>SERRA CIRCULAR DE BANCADA COM MOTOR ELÉTRICO POTÊNCIA DE 5HP, COM COIFA PARA DISCO 10" - MANUTENÇÃO. AF_08/2015</t>
  </si>
  <si>
    <t>SERRA CIRCULAR DE BANCADA COM MOTOR ELÉTRICO POTÊNCIA DE 5HP, COM COIFA PARA DISCO 10" - MATERIAIS NA OPERAÇÃO. AF_08/2015</t>
  </si>
  <si>
    <t>SERRA CIRCULAR DE BANCADA COM MOTOR ELÉTRICO POTÊNCIA DE 5HP, COM COIFA PARA DISCO 10" - CHP DIURNO. AF_08/2015</t>
  </si>
  <si>
    <t>SERRA CIRCULAR DE BANCADA COM MOTOR ELÉTRICO POTÊNCIA DE 5HP, COM COIFA PARA DISCO 10" - CHI DIURNO. AF_08/2015</t>
  </si>
  <si>
    <t>(COMPOSIÇÃO REPRESENTATIVA) DO SERVIÇO DE INSTALAÇÃO TUBOS DE PVC, SOLDÁVEL, ÁGUA FRIA, DN 32 MM (INSTALADO EM RAMAL, SUB-RAMAL, RAMAL DE DISTRIBUIÇÃO OU PRUMADA), INCLUSIVE CONEXÕES, CORTES E FIXAÇÕES, PARA PRÉDIOS. AF_10/2015</t>
  </si>
  <si>
    <t>(COMPOSIÇÃO REPRESENTATIVA) DO SERVIÇO DE INSTALAÇÃO DE TUBOS DE PVC, SOLDÁVEL, ÁGUA FRIA, DN 40 MM (INSTALADO EM PRUMADA), INCLUSIVE CONEXÕES, CORTES E FIXAÇÕES, PARA PRÉDIOS. AF_10/2015</t>
  </si>
  <si>
    <t>(COMPOSIÇÃO REPRESENTATIVA) DO SERVIÇO DE INSTALAÇÃO DE TUBOS DE PVC, SOLDÁVEL, ÁGUA FRIA, DN 50 MM (INSTALADO EM PRUMADA), INCLUSIVE CONEXÕES, CORTES E FIXAÇÕES, PARA PRÉDIOS. AF_10/2015</t>
  </si>
  <si>
    <t>(COMPOSIÇÃO REPRESENTATIVA) DO SERVIÇO DE INSTALAÇÃO DE TUBOS DE PVC, SÉRIE R, ÁGUA PLUVIAL, DN 100 MM (INSTALADO EM RAMAL DE ENCAMINHAMENTO, OU CONDUTORES VERTICAIS), INCLUSIVE CONEXÕES, CORTES E FIXAÇÕES, PARA PRÉDIOS. AF_10/2015</t>
  </si>
  <si>
    <t>(COMPOSIÇÃO REPRESENTATIVA) DO SERVIÇO DE INSTALAÇÃO DE TUBO DE PVC, SÉRIE NORMAL, ESGOTO PREDIAL, DN 40 MM (INSTALADO EM RAMAL DE DESCARGA OU RAMAL DE ESGOTO SANITÁRIO), INCLUSIVE CONEXÕES, CORTES E FIXAÇÕES, PARA PRÉDIOS. AF_10/2015</t>
  </si>
  <si>
    <t>(COMPOSIÇÃO REPRESENTATIVA) DO SERVIÇO DE INSTALAÇÃO DE TUBO DE PVC, SÉRIE NORMAL, ESGOTO PREDIAL, DN 50 MM (INSTALADO EM RAMAL DE DESCARGA OU RAMAL DE ESGOTO SANITÁRIO), INCLUSIVE CONEXÕES, CORTES E FIXAÇÕES PARA, PRÉDIOS. AF_10/2015</t>
  </si>
  <si>
    <t>(COMPOSIÇÃO REPRESENTATIVA) DO SERVIÇO DE INST. TUBO PVC, SÉRIE N, ESGOTO PREDIAL, DN 75 MM, (INST. EM RAMAL DE DESCARGA, RAMAL DE ESG. SANITÁRIO, PRUMADA DE ESG. SANITÁRIO OU VENTILAÇÃO), INCL. CONEXÕES, CORTES E FIXAÇÕES, P/ PRÉDIOS. AF_10/2015</t>
  </si>
  <si>
    <t>(COMPOSIÇÃO REPRESENTATIVA) DO SERVIÇO DE INST. TUBO PVC, SÉRIE N, ESGOTO PREDIAL, 100 MM (INST. RAMAL DESCARGA, RAMAL DE ESG. SANIT., PRUMADA ESG. SANIT., VENTILAÇÃO OU SUB-COLETOR AÉREO), INCL. CONEXÕES E CORTES, FIXAÇÕES, P/ PRÉDIOS. AF_10/2015</t>
  </si>
  <si>
    <t>(COMPOSIÇÃO REPRESENTATIVA) DO SERVIÇO DE INSTALAÇÃO DE TUBO DE PVC, SÉRIE NORMAL, ESGOTO PREDIAL, DN 150 MM (INSTALADO EM SUB-COLETOR AÉREO), INCLUSIVE CONEXÕES, CORTES E FIXAÇÕES, PARA PRÉDIOS. AF_10/2015</t>
  </si>
  <si>
    <t>(COMPOSIÇÃO REPRESENTATIVA) DE ALVENARIA DE BLOCOS DE CONCRETO ESTRUTURAL 14X19X39 CM, (ESPESSURA 14 CM), FBK = 4,5 MPA, UTILIZANDO PALHETA, PARA EDIFICAÇÃO HABITACIONAL. AF_10/2015</t>
  </si>
  <si>
    <t>COMPOSIÇÃO REPRESENTATIVA DE SERVIÇOS DE ALVENARIA DE BLOCOS DE CONCRETO ESTRUTURAL 14X19X29 CM, (ESPESSURA 14 CM), FBK = 4,5 MPA, UTILIZANDO PALHETA, PARA EDIFICAÇÃO HABITACIONAL. AF_10/2015</t>
  </si>
  <si>
    <t>ELETRODUTO FLEXÍVEL CORRUGADO, PVC, DN 20 MM (1/2"), PARA CIRCUITOS TERMINAIS, INSTALADO EM FORRO - FORNECIMENTO E INSTALAÇÃO. AF_12/2015</t>
  </si>
  <si>
    <t>ELETRODUTO FLEXÍVEL CORRUGADO, PVC, DN 25 MM (3/4"), PARA CIRCUITOS TERMINAIS, INSTALADO EM FORRO - FORNECIMENTO E INSTALAÇÃO. AF_12/2015</t>
  </si>
  <si>
    <t>ELETRODUTO FLEXÍVEL CORRUGADO, PVC, DN 32 MM (1"), PARA CIRCUITOS TERMINAIS, INSTALADO EM FORRO - FORNECIMENTO E INSTALAÇÃO. AF_12/2015</t>
  </si>
  <si>
    <t>ELETRODUTO FLEXÍVEL CORRUGADO, PVC, DN 20 MM (1/2"), PARA CIRCUITOS TERMINAIS, INSTALADO EM LAJE - FORNECIMENTO E INSTALAÇÃO. AF_12/2015</t>
  </si>
  <si>
    <t>ELETRODUTO FLEXÍVEL CORRUGADO, PVC, DN 25 MM (3/4"), PARA CIRCUITOS TERMINAIS, INSTALADO EM LAJE - FORNECIMENTO E INSTALAÇÃO. AF_12/2015</t>
  </si>
  <si>
    <t>ELETRODUTO FLEXÍVEL CORRUGADO, PVC, DN 32 MM (1"), PARA CIRCUITOS TERMINAIS, INSTALADO EM LAJE - FORNECIMENTO E INSTALAÇÃO. AF_12/2015</t>
  </si>
  <si>
    <t>ELETRODUTO FLEXÍVEL CORRUGADO, PVC, DN 20 MM (1/2"), PARA CIRCUITOS TERMINAIS, INSTALADO EM PAREDE - FORNECIMENTO E INSTALAÇÃO. AF_12/2015</t>
  </si>
  <si>
    <t>ELETRODUTO FLEXÍVEL CORRUGADO, PVC, DN 25 MM (3/4"), PARA CIRCUITOS TERMINAIS, INSTALADO EM PAREDE - FORNECIMENTO E INSTALAÇÃO. AF_12/2015</t>
  </si>
  <si>
    <t>ELETRODUTO FLEXÍVEL CORRUGADO, PVC, DN 32 MM (1"), PARA CIRCUITOS TERMINAIS, INSTALADO EM PAREDE - FORNECIMENTO E INSTALAÇÃO. AF_12/2015</t>
  </si>
  <si>
    <t>ELETRODUTO RÍGIDO ROSCÁVEL, PVC, DN 20 MM (1/2"), PARA CIRCUITOS TERMINAIS, INSTALADO EM FORRO - FORNECIMENTO E INSTALAÇÃO. AF_12/2015</t>
  </si>
  <si>
    <t>ELETRODUTO RÍGIDO ROSCÁVEL, PVC, DN 25 MM (3/4"), PARA CIRCUITOS TERMINAIS, INSTALADO EM FORRO - FORNECIMENTO E INSTALAÇÃO. AF_12/2015</t>
  </si>
  <si>
    <t>ELETRODUTO RÍGIDO ROSCÁVEL, PVC, DN 32 MM (1"), PARA CIRCUITOS TERMINAIS, INSTALADO EM FORRO - FORNECIMENTO E INSTALAÇÃO. AF_12/2015</t>
  </si>
  <si>
    <t>ELETRODUTO RÍGIDO ROSCÁVEL, PVC, DN 40 MM (1 1/4"), PARA CIRCUITOS TERMINAIS, INSTALADO EM FORRO - FORNECIMENTO E INSTALAÇÃO. AF_12/2015</t>
  </si>
  <si>
    <t>ELETRODUTO RÍGIDO ROSCÁVEL, PVC, DN 20 MM (1/2"), PARA CIRCUITOS TERMINAIS, INSTALADO EM LAJE - FORNECIMENTO E INSTALAÇÃO. AF_12/2015</t>
  </si>
  <si>
    <t>ELETRODUTO RÍGIDO ROSCÁVEL, PVC, DN 25 MM (3/4"), PARA CIRCUITOS TERMINAIS, INSTALADO EM LAJE - FORNECIMENTO E INSTALAÇÃO. AF_12/2015</t>
  </si>
  <si>
    <t>ELETRODUTO RÍGIDO ROSCÁVEL, PVC, DN 32 MM (1"), PARA CIRCUITOS TERMINAIS, INSTALADO EM LAJE - FORNECIMENTO E INSTALAÇÃO. AF_12/2015</t>
  </si>
  <si>
    <t>ELETRODUTO RÍGIDO ROSCÁVEL, PVC, DN 40 MM (1 1/4"), PARA CIRCUITOS TERMINAIS, INSTALADO EM LAJE - FORNECIMENTO E INSTALAÇÃO. AF_12/2015</t>
  </si>
  <si>
    <t>ELETRODUTO RÍGIDO ROSCÁVEL, PVC, DN 20 MM (1/2"), PARA CIRCUITOS TERMINAIS, INSTALADO EM PAREDE - FORNECIMENTO E INSTALAÇÃO. AF_12/2015</t>
  </si>
  <si>
    <t>ELETRODUTO RÍGIDO ROSCÁVEL, PVC, DN 25 MM (3/4"), PARA CIRCUITOS TERMINAIS, INSTALADO EM PAREDE - FORNECIMENTO E INSTALAÇÃO. AF_12/2015</t>
  </si>
  <si>
    <t>ELETRODUTO RÍGIDO ROSCÁVEL, PVC, DN 32 MM (1"), PARA CIRCUITOS TERMINAIS, INSTALADO EM PAREDE - FORNECIMENTO E INSTALAÇÃO. AF_12/2015</t>
  </si>
  <si>
    <t>ELETRODUTO RÍGIDO ROSCÁVEL, PVC, DN 40 MM (1 1/4"), PARA CIRCUITOS TERMINAIS, INSTALADO EM PAREDE - FORNECIMENTO E INSTALAÇÃO. AF_12/2015</t>
  </si>
  <si>
    <t>LUVA PARA ELETRODUTO, PVC, ROSCÁVEL, DN 20 MM (1/2"), PARA CIRCUITOS TERMINAIS, INSTALADA EM FORRO - FORNECIMENTO E INSTALAÇÃO. AF_12/2015</t>
  </si>
  <si>
    <t>LUVA PARA ELETRODUTO, PVC, ROSCÁVEL, DN 25 MM (3/4"), PARA CIRCUITOS TERMINAIS, INSTALADA EM FORRO - FORNECIMENTO E INSTALAÇÃO. AF_12/2015</t>
  </si>
  <si>
    <t>LUVA PARA ELETRODUTO, PVC, ROSCÁVEL, DN 32 MM (1"), PARA CIRCUITOS TERMINAIS, INSTALADA EM FORRO - FORNECIMENTO E INSTALAÇÃO. AF_12/2015</t>
  </si>
  <si>
    <t>LUVA PARA ELETRODUTO, PVC, ROSCÁVEL, DN 20 MM (1/2"), PARA CIRCUITOS TERMINAIS, INSTALADA EM LAJE - FORNECIMENTO E INSTALAÇÃO. AF_12/2015</t>
  </si>
  <si>
    <t>LUVA PARA ELETRODUTO, PVC, ROSCÁVEL, DN 25 MM (3/4"), PARA CIRCUITOS TERMINAIS, INSTALADA EM LAJE - FORNECIMENTO E INSTALAÇÃO. AF_12/2015</t>
  </si>
  <si>
    <t>LUVA PARA ELETRODUTO, PVC, ROSCÁVEL, DN 32 MM (1"), PARA CIRCUITOS TERMINAIS, INSTALADA EM LAJE - FORNECIMENTO E INSTALAÇÃO. AF_12/2015</t>
  </si>
  <si>
    <t>LUVA PARA ELETRODUTO, PVC, ROSCÁVEL, DN 20 MM (1/2"), PARA CIRCUITOS TERMINAIS, INSTALADA EM PAREDE - FORNECIMENTO E INSTALAÇÃO. AF_12/2015</t>
  </si>
  <si>
    <t>LUVA PARA ELETRODUTO, PVC, ROSCÁVEL, DN 25 MM (3/4"), PARA CIRCUITOS TERMINAIS, INSTALADA EM PAREDE - FORNECIMENTO E INSTALAÇÃO. AF_12/2015</t>
  </si>
  <si>
    <t>LUVA PARA ELETRODUTO, PVC, ROSCÁVEL, DN 32 MM (1"), PARA CIRCUITOS TERMINAIS, INSTALADA EM PAREDE - FORNECIMENTO E INSTALAÇÃO. AF_12/2015</t>
  </si>
  <si>
    <t>LUVA PARA ELETRODUTO, PVC, ROSCÁVEL, DN 40 MM (1 1/4"), PARA CIRCUITOS TERMINAIS, INSTALADA EM PAREDE - FORNECIMENTO E INSTALAÇÃO. AF_12/2015</t>
  </si>
  <si>
    <t>CURVA 90 GRAUS PARA ELETRODUTO, PVC, ROSCÁVEL, DN 20 MM (1/2"), PARA CIRCUITOS TERMINAIS, INSTALADA EM FORRO - FORNECIMENTO E INSTALAÇÃO. AF_12/2015</t>
  </si>
  <si>
    <t>CURVA 180 GRAUS PARA ELETRODUTO, PVC, ROSCÁVEL, DN 20 MM (1/2"), PARA CIRCUITOS TERMINAIS, INSTALADA EM FORRO - FORNECIMENTO E INSTALAÇÃO. AF_12/2015</t>
  </si>
  <si>
    <t>CURVA 90 GRAUS PARA ELETRODUTO, PVC, ROSCÁVEL, DN 25 MM (3/4"), PARA CIRCUITOS TERMINAIS, INSTALADA EM FORRO - FORNECIMENTO E INSTALAÇÃO. AF_12/2015</t>
  </si>
  <si>
    <t>CURVA 180 GRAUS PARA ELETRODUTO, PVC, ROSCÁVEL, DN 25 MM (3/4"), PARA CIRCUITOS TERMINAIS, INSTALADA EM FORRO - FORNECIMENTO E INSTALAÇÃO. AF_12/2015</t>
  </si>
  <si>
    <t>CURVA 90 GRAUS PARA ELETRODUTO, PVC, ROSCÁVEL, DN 32 MM (1"), PARA CIRCUITOS TERMINAIS, INSTALADA EM FORRO - FORNECIMENTO E INSTALAÇÃO. AF_12/2015</t>
  </si>
  <si>
    <t>CURVA 180 GRAUS PARA ELETRODUTO, PVC, ROSCÁVEL, DN 40 MM (1 1/4"), PARA CIRCUITOS TERMINAIS, INSTALADA EM FORRO - FORNECIMENTO E INSTALAÇÃO. AF_12/2015</t>
  </si>
  <si>
    <t>CURVA 90 GRAUS PARA ELETRODUTO, PVC, ROSCÁVEL, DN 20 MM (1/2"), PARA CIRCUITOS TERMINAIS, INSTALADA EM LAJE - FORNECIMENTO E INSTALAÇÃO. AF_12/2015</t>
  </si>
  <si>
    <t>CURVA 180 GRAUS PARA ELETRODUTO, PVC, ROSCÁVEL, DN 20 MM (1/2"), PARA CIRCUITOS TERMINAIS, INSTALADA EM LAJE - FORNECIMENTO E INSTALAÇÃO. AF_12/2015</t>
  </si>
  <si>
    <t>CURVA 90 GRAUS PARA ELETRODUTO, PVC, ROSCÁVEL, DN 25 MM (3/4"), PARA CIRCUITOS TERMINAIS, INSTALADA EM LAJE - FORNECIMENTO E INSTALAÇÃO. AF_12/2015</t>
  </si>
  <si>
    <t>CURVA 180 GRAUS PARA ELETRODUTO, PVC, ROSCÁVEL, DN 25 MM (3/4"), PARA CIRCUITOS TERMINAIS, INSTALADA EM LAJE - FORNECIMENTO E INSTALAÇÃO. AF_12/2015</t>
  </si>
  <si>
    <t>CURVA 90 GRAUS PARA ELETRODUTO, PVC, ROSCÁVEL, DN 32 MM (1"), PARA CIRCUITOS TERMINAIS, INSTALADA EM LAJE - FORNECIMENTO E INSTALAÇÃO. AF_12/2015</t>
  </si>
  <si>
    <t>CURVA 90 GRAUS PARA ELETRODUTO, PVC, ROSCÁVEL, DN 40 MM (1 1/4"), PARA CIRCUITOS TERMINAIS, INSTALADA EM LAJE - FORNECIMENTO E INSTALAÇÃO. AF_12/2015</t>
  </si>
  <si>
    <t>CURVA 180 GRAUS PARA ELETRODUTO, PVC, ROSCÁVEL, DN 40 MM (1 1/4"), PARA CIRCUITOS TERMINAIS, INSTALADA EM LAJE - FORNECIMENTO E INSTALAÇÃO. AF_12/2015</t>
  </si>
  <si>
    <t>CURVA 90 GRAUS PARA ELETRODUTO, PVC, ROSCÁVEL, DN 20 MM (1/2"), PARA CIRCUITOS TERMINAIS, INSTALADA EM PAREDE - FORNECIMENTO E INSTALAÇÃO. AF_12/2015</t>
  </si>
  <si>
    <t>CURVA 90 GRAUS PARA ELETRODUTO, PVC, ROSCÁVEL, DN 25 MM (3/4"), PARA CIRCUITOS TERMINAIS, INSTALADA EM PAREDE - FORNECIMENTO E INSTALAÇÃO. AF_12/2015</t>
  </si>
  <si>
    <t>CURVA 90 GRAUS PARA ELETRODUTO, PVC, ROSCÁVEL, DN 32 MM (1"), PARA CIRCUITOS TERMINAIS, INSTALADA EM PAREDE - FORNECIMENTO E INSTALAÇÃO. AF_12/2015</t>
  </si>
  <si>
    <t>CURVA 180 GRAUS PARA ELETRODUTO, PVC, ROSCÁVEL, DN 40 MM (1 1/4"), PARA CIRCUITOS TERMINAIS, INSTALADA EM PAREDE - FORNECIMENTO E INSTALAÇÃO. AF_12/2015</t>
  </si>
  <si>
    <t>CABO DE COBRE FLEXÍVEL ISOLADO, 1,5 MM², ANTI-CHAMA 450/750 V, PARA CIRCUITOS TERMINAIS - FORNECIMENTO E INSTALAÇÃO. AF_12/2015</t>
  </si>
  <si>
    <t>CABO DE COBRE FLEXÍVEL ISOLADO, 1,5 MM², ANTI-CHAMA 0,6/1,0 KV, PARA CIRCUITOS TERMINAIS - FORNECIMENTO E INSTALAÇÃO. AF_12/2015</t>
  </si>
  <si>
    <t>CABO DE COBRE FLEXÍVEL ISOLADO, 2,5 MM², ANTI-CHAMA 450/750 V, PARA CIRCUITOS TERMINAIS - FORNECIMENTO E INSTALAÇÃO. AF_12/2015</t>
  </si>
  <si>
    <t>CABO DE COBRE FLEXÍVEL ISOLADO, 2,5 MM², ANTI-CHAMA 0,6/1,0 KV, PARA CIRCUITOS TERMINAIS - FORNECIMENTO E INSTALAÇÃO. AF_12/2015</t>
  </si>
  <si>
    <t>CABO DE COBRE FLEXÍVEL ISOLADO, 4 MM², ANTI-CHAMA 450/750 V, PARA CIRCUITOS TERMINAIS - FORNECIMENTO E INSTALAÇÃO. AF_12/2015</t>
  </si>
  <si>
    <t>CABO DE COBRE FLEXÍVEL ISOLADO, 4 MM², ANTI-CHAMA 0,6/1,0 KV, PARA CIRCUITOS TERMINAIS - FORNECIMENTO E INSTALAÇÃO. AF_12/2015</t>
  </si>
  <si>
    <t>CABO DE COBRE FLEXÍVEL ISOLADO, 6 MM², ANTI-CHAMA 450/750 V, PARA CIRCUITOS TERMINAIS - FORNECIMENTO E INSTALAÇÃO. AF_12/2015</t>
  </si>
  <si>
    <t>CABO DE COBRE FLEXÍVEL ISOLADO, 6 MM², ANTI-CHAMA 0,6/1,0 KV, PARA CIRCUITOS TERMINAIS - FORNECIMENTO E INSTALAÇÃO. AF_12/2015</t>
  </si>
  <si>
    <t>CABO DE COBRE FLEXÍVEL ISOLADO, 10 MM², ANTI-CHAMA 450/750 V, PARA CIRCUITOS TERMINAIS - FORNECIMENTO E INSTALAÇÃO. AF_12/2015</t>
  </si>
  <si>
    <t>CABO DE COBRE FLEXÍVEL ISOLADO, 10 MM², ANTI-CHAMA 0,6/1,0 KV, PARA CIRCUITOS TERMINAIS - FORNECIMENTO E INSTALAÇÃO. AF_12/2015</t>
  </si>
  <si>
    <t>CABO DE COBRE FLEXÍVEL ISOLADO, 16 MM², ANTI-CHAMA 450/750 V, PARA CIRCUITOS TERMINAIS - FORNECIMENTO E INSTALAÇÃO. AF_12/2015</t>
  </si>
  <si>
    <t>CABO DE COBRE FLEXÍVEL ISOLADO, 16 MM², ANTI-CHAMA 0,6/1,0 KV, PARA CIRCUITOS TERMINAIS - FORNECIMENTO E INSTALAÇÃO. AF_12/2015</t>
  </si>
  <si>
    <t>CAIXA OCTOGONAL 4" X 4", PVC, INSTALADA EM LAJE - FORNECIMENTO E INSTALAÇÃO. AF_12/2015</t>
  </si>
  <si>
    <t>CAIXA OCTOGONAL 3" X 3", PVC, INSTALADA EM LAJE - FORNECIMENTO E INSTALAÇÃO. AF_12/2015</t>
  </si>
  <si>
    <t>CAIXA RETANGULAR 4" X 2" ALTA (2,00 M DO PISO), PVC, INSTALADA EM PAREDE - FORNECIMENTO E INSTALAÇÃO. AF_12/2015</t>
  </si>
  <si>
    <t>CAIXA RETANGULAR 4" X 2" MÉDIA (1,30 M DO PISO), PVC, INSTALADA EM PAREDE - FORNECIMENTO E INSTALAÇÃO. AF_12/2015</t>
  </si>
  <si>
    <t>CAIXA RETANGULAR 4" X 2" BAIXA (0,30 M DO PISO), PVC, INSTALADA EM PAREDE - FORNECIMENTO E INSTALAÇÃO. AF_12/2015</t>
  </si>
  <si>
    <t>CAIXA RETANGULAR 4" X 4" ALTA (2,00 M DO PISO), PVC, INSTALADA EM PAREDE - FORNECIMENTO E INSTALAÇÃO. AF_12/2015</t>
  </si>
  <si>
    <t>CAIXA RETANGULAR 4" X 4" MÉDIA (1,30 M DO PISO), PVC, INSTALADA EM PAREDE - FORNECIMENTO E INSTALAÇÃO. AF_12/2015</t>
  </si>
  <si>
    <t>CAIXA RETANGULAR 4" X 4" BAIXA (0,30 M DO PISO), PVC, INSTALADA EM PAREDE - FORNECIMENTO E INSTALAÇÃO. AF_12/2015</t>
  </si>
  <si>
    <t>INTERRUPTOR SIMPLES (1 MÓDULO), 10A/250V, SEM SUPORTE E SEM PLACA - FORNECIMENTO E INSTALAÇÃO. AF_12/2015</t>
  </si>
  <si>
    <t>INTERRUPTOR PARALELO (1 MÓDULO), 10A/250V, SEM SUPORTE E SEM PLACA - FORNECIMENTO E INSTALAÇÃO. AF_12/2015</t>
  </si>
  <si>
    <t>INTERRUPTOR SIMPLES (1 MÓDULO) COM INTERRUPTOR PARALELO (1 MÓDULO), 10A/250V, SEM SUPORTE E SEM PLACA - FORNECIMENTO E INSTALAÇÃO. AF_12/2015</t>
  </si>
  <si>
    <t>INTERRUPTOR SIMPLES (1 MÓDULO) COM INTERRUPTOR PARALELO (1 MÓDULO), 10A/250V, INCLUINDO SUPORTE E PLACA - FORNECIMENTO E INSTALAÇÃO. AF_12/2015</t>
  </si>
  <si>
    <t>INTERRUPTOR SIMPLES (2 MÓDULOS), 10A/250V, SEM SUPORTE E SEM PLACA - FORNECIMENTO E INSTALAÇÃO. AF_12/2015</t>
  </si>
  <si>
    <t>INTERRUPTOR SIMPLES (1 MÓDULO) COM INTERRUPTOR PARALELO (2 MÓDULOS), 10A/250V, SEM SUPORTE E SEM PLACA - FORNECIMENTO E INSTALAÇÃO. AF_12/2015</t>
  </si>
  <si>
    <t>INTERRUPTOR SIMPLES (1 MÓDULO) COM INTERRUPTOR PARALELO (2 MÓDULOS), 10A/250V, INCLUINDO SUPORTE E PLACA - FORNECIMENTO E INSTALAÇÃO. AF_12/2015</t>
  </si>
  <si>
    <t>INTERRUPTOR SIMPLES (2 MÓDULOS) COM INTERRUPTOR PARALELO (1 MÓDULO), 10A/250V, SEM SUPORTE E SEM PLACA - FORNECIMENTO E INSTALAÇÃO. AF_12/2015</t>
  </si>
  <si>
    <t>INTERRUPTOR SIMPLES (2 MÓDULOS) COM INTERRUPTOR PARALELO (1 MÓDULO), 10A/250V, INCLUINDO SUPORTE E PLACA - FORNECIMENTO E INSTALAÇÃO. AF_12/2015</t>
  </si>
  <si>
    <t>INTERRUPTOR SIMPLES (3 MÓDULOS), 10A/250V, SEM SUPORTE E SEM PLACA - FORNECIMENTO E INSTALAÇÃO. AF_12/2015</t>
  </si>
  <si>
    <t>INTERRUPTOR SIMPLES (3 MÓDULOS) COM INTERRUPTOR PARALELO (1 MÓDULO), 10A/250V, SEM SUPORTE E SEM PLACA - FORNECIMENTO E INSTALAÇÃO. AF_12/2015</t>
  </si>
  <si>
    <t>INTERRUPTOR SIMPLES (3 MÓDULOS) COM INTERRUPTOR PARALELO (1 MÓDULO), 10A/250V, INCLUINDO SUPORTE E PLACA - FORNECIMENTO E INSTALAÇÃO. AF_12/2015</t>
  </si>
  <si>
    <t>INTERRUPTOR SIMPLES (2 MÓDULOS) COM INTERRUPTOR PARALELO (2 MÓDULOS), 10A/250V, SEM SUPORTE E SEM PLACA - FORNECIMENTO E INSTALAÇÃO. AF_12/2015</t>
  </si>
  <si>
    <t>INTERRUPTOR SIMPLES (2 MÓDULOS) COM INTERRUPTOR PARALELO (2 MÓDULOS), 10A/250V, INCLUINDO SUPORTE E PLACA - FORNECIMENTO E INSTALAÇÃO. AF_12/2015</t>
  </si>
  <si>
    <t>INTERRUPTOR SIMPLES (4 MÓDULOS), 10A/250V, SEM SUPORTE E SEM PLACA - FORNECIMENTO E INSTALAÇÃO. AF_12/2015</t>
  </si>
  <si>
    <t>INTERRUPTOR SIMPLES (6 MÓDULOS), 10A/250V, SEM SUPORTE E SEM PLACA - FORNECIMENTO E INSTALAÇÃO. AF_12/2015</t>
  </si>
  <si>
    <t>TOMADA ALTA DE EMBUTIR (1 MÓDULO), 2P+T 10 A, INCLUINDO SUPORTE E PLACA - FORNECIMENTO E INSTALAÇÃO. AF_12/2015</t>
  </si>
  <si>
    <t>TOMADA ALTA DE EMBUTIR (1 MÓDULO), 2P+T 20 A, INCLUINDO SUPORTE E PLACA - FORNECIMENTO E INSTALAÇÃO. AF_12/2015</t>
  </si>
  <si>
    <t>TOMADA MÉDIA DE EMBUTIR (1 MÓDULO), 2P+T 10 A, INCLUINDO SUPORTE E PLACA - FORNECIMENTO E INSTALAÇÃO. AF_12/2015</t>
  </si>
  <si>
    <t>TOMADA MÉDIA DE EMBUTIR (1 MÓDULO), 2P+T 20 A, INCLUINDO SUPORTE E PLACA - FORNECIMENTO E INSTALAÇÃO. AF_12/2015</t>
  </si>
  <si>
    <t>TOMADA BAIXA DE EMBUTIR (1 MÓDULO), 2P+T 10 A, INCLUINDO SUPORTE E PLACA - FORNECIMENTO E INSTALAÇÃO. AF_12/2015</t>
  </si>
  <si>
    <t>TOMADA BAIXA DE EMBUTIR (1 MÓDULO), 2P+T 20 A, INCLUINDO SUPORTE E PLACA - FORNECIMENTO E INSTALAÇÃO. AF_12/2015</t>
  </si>
  <si>
    <t>TOMADA MÉDIA DE EMBUTIR (2 MÓDULOS), 2P+T 10 A, SEM SUPORTE E SEM PLACA - FORNECIMENTO E INSTALAÇÃO. AF_12/2015</t>
  </si>
  <si>
    <t>TOMADA MÉDIA DE EMBUTIR (2 MÓDULOS), 2P+T 20 A, SEM SUPORTE E SEM PLACA - FORNECIMENTO E INSTALAÇÃO. AF_12/2015</t>
  </si>
  <si>
    <t>TOMADA MÉDIA DE EMBUTIR (2 MÓDULOS), 2P+T 10 A, INCLUINDO SUPORTE E PLACA - FORNECIMENTO E INSTALAÇÃO. AF_12/2015</t>
  </si>
  <si>
    <t>TOMADA MÉDIA DE EMBUTIR (2 MÓDULOS), 2P+T 20 A, INCLUINDO SUPORTE E PLACA - FORNECIMENTO E INSTALAÇÃO. AF_12/2015</t>
  </si>
  <si>
    <t>TOMADA BAIXA DE EMBUTIR (2 MÓDULOS), 2P+T 10 A, SEM SUPORTE E SEM PLACA - FORNECIMENTO E INSTALAÇÃO. AF_12/2015</t>
  </si>
  <si>
    <t>TOMADA BAIXA DE EMBUTIR (2 MÓDULOS), 2P+T 20 A, SEM SUPORTE E SEM PLACA - FORNECIMENTO E INSTALAÇÃO. AF_12/2015</t>
  </si>
  <si>
    <t>TOMADA BAIXA DE EMBUTIR (2 MÓDULOS), 2P+T 10 A, INCLUINDO SUPORTE E PLACA - FORNECIMENTO E INSTALAÇÃO. AF_12/2015</t>
  </si>
  <si>
    <t>TOMADA BAIXA DE EMBUTIR (2 MÓDULOS), 2P+T 20 A, INCLUINDO SUPORTE E PLACA - FORNECIMENTO E INSTALAÇÃO. AF_12/2015</t>
  </si>
  <si>
    <t>TOMADA MÉDIA DE EMBUTIR (3 MÓDULOS), 2P+T 10 A, SEM SUPORTE E SEM PLACA - FORNECIMENTO E INSTALAÇÃO. AF_12/2015</t>
  </si>
  <si>
    <t>TOMADA MÉDIA DE EMBUTIR (3 MÓDULOS), 2P+T 20 A, SEM SUPORTE E SEM PLACA - FORNECIMENTO E INSTALAÇÃO. AF_12/2015</t>
  </si>
  <si>
    <t>TOMADA MÉDIA DE EMBUTIR (3 MÓDULOS), 2P+T 10 A, INCLUINDO SUPORTE E PLACA - FORNECIMENTO E INSTALAÇÃO. AF_12/2015</t>
  </si>
  <si>
    <t>TOMADA MÉDIA DE EMBUTIR (3 MÓDULOS), 2P+T 20 A, INCLUINDO SUPORTE E PLACA - FORNECIMENTO E INSTALAÇÃO. AF_12/2015</t>
  </si>
  <si>
    <t>TOMADA BAIXA DE EMBUTIR (3 MÓDULOS), 2P+T 10 A, SEM SUPORTE E SEM PLACA - FORNECIMENTO E INSTALAÇÃO. AF_12/2015</t>
  </si>
  <si>
    <t>TOMADA BAIXA DE EMBUTIR (3 MÓDULOS), 2P+T 20 A, SEM SUPORTE E SEM PLACA - FORNECIMENTO E INSTALAÇÃO. AF_12/2015</t>
  </si>
  <si>
    <t>TOMADA BAIXA DE EMBUTIR (3 MÓDULOS), 2P+T 10 A, INCLUINDO SUPORTE E PLACA - FORNECIMENTO E INSTALAÇÃO. AF_12/2015</t>
  </si>
  <si>
    <t>TOMADA BAIXA DE EMBUTIR (3 MÓDULOS), 2P+T 20 A, INCLUINDO SUPORTE E PLACA - FORNECIMENTO E INSTALAÇÃO. AF_12/2015</t>
  </si>
  <si>
    <t>TOMADA BAIXA DE EMBUTIR (4 MÓDULOS), 2P+T 10 A, SEM SUPORTE E SEM PLACA - FORNECIMENTO E INSTALAÇÃO. AF_12/2015</t>
  </si>
  <si>
    <t>TOMADA BAIXA DE EMBUTIR (4 MÓDULOS), 2P+T 10 A, INCLUINDO SUPORTE E PLACA - FORNECIMENTO E INSTALAÇÃO. AF_12/2015</t>
  </si>
  <si>
    <t>TOMADA BAIXA DE EMBUTIR (6 MÓDULOS), 2P+T 10 A, SEM SUPORTE E SEM PLACA - FORNECIMENTO E INSTALAÇÃO. AF_12/2015</t>
  </si>
  <si>
    <t>TOMADA BAIXA DE EMBUTIR (6 MÓDULOS), 2P+T 10 A, INCLUINDO SUPORTE E PLACA - FORNECIMENTO E INSTALAÇÃO. AF_12/2015</t>
  </si>
  <si>
    <t>INTERRUPTOR SIMPLES (1 MÓDULO) COM 1 TOMADA DE EMBUTIR 2P+T 10 A,  INCLUINDO SUPORTE E PLACA - FORNECIMENTO E INSTALAÇÃO. AF_12/2015</t>
  </si>
  <si>
    <t>INTERRUPTOR SIMPLES (1 MÓDULO) COM 2 TOMADAS DE EMBUTIR 2P+T 10 A,  SEM SUPORTE E SEM PLACA - FORNECIMENTO E INSTALAÇÃO. AF_12/2015</t>
  </si>
  <si>
    <t>INTERRUPTOR SIMPLES (1 MÓDULO) COM 2 TOMADAS DE EMBUTIR 2P+T 10 A,  INCLUINDO SUPORTE E PLACA - FORNECIMENTO E INSTALAÇÃO. AF_12/2015</t>
  </si>
  <si>
    <t>INTERRUPTOR SIMPLES (2 MÓDULOS) COM 1 TOMADA DE EMBUTIR 2P+T 10 A,  SEM SUPORTE E SEM PLACA - FORNECIMENTO E INSTALAÇÃO. AF_12/2015</t>
  </si>
  <si>
    <t>INTERRUPTOR SIMPLES (2 MÓDULOS) COM 1 TOMADA DE EMBUTIR 2P+T 10 A,  INCLUINDO SUPORTE E PLACA - FORNECIMENTO E INSTALAÇÃO. AF_12/2015</t>
  </si>
  <si>
    <t>INTERRUPTOR PARALELO (1 MÓDULO) COM 1 TOMADA DE EMBUTIR 2P+T 10 A,  SEM SUPORTE E SEM PLACA - FORNECIMENTO E INSTALAÇÃO. AF_12/2015</t>
  </si>
  <si>
    <t>INTERRUPTOR PARALELO (1 MÓDULO) COM 1 TOMADA DE EMBUTIR 2P+T 10 A,  INCLUINDO SUPORTE E PLACA - FORNECIMENTO E INSTALAÇÃO. AF_12/2015</t>
  </si>
  <si>
    <t>INTERRUPTOR PARALELO (1 MÓDULO) COM 2 TOMADAS DE EMBUTIR 2P+T 10 A,  SEM SUPORTE E SEM PLACA - FORNECIMENTO E INSTALAÇÃO. AF_12/2015</t>
  </si>
  <si>
    <t>INTERRUPTOR PARALELO (1 MÓDULO) COM 2 TOMADAS DE EMBUTIR 2P+T 10 A,  INCLUINDO SUPORTE E PLACA - FORNECIMENTO E INSTALAÇÃO. AF_12/2015</t>
  </si>
  <si>
    <t>INTERRUPTOR PARALELO (2 MÓDULOS) COM 1 TOMADA DE EMBUTIR 2P+T 10 A,  SEM SUPORTE E SEM PLACA - FORNECIMENTO E INSTALAÇÃO. AF_12/2015</t>
  </si>
  <si>
    <t>INTERRUPTOR PARALELO (2 MÓDULOS) COM 1 TOMADA DE EMBUTIR 2P+T 10 A,  INCLUINDO SUPORTE E PLACA - FORNECIMENTO E INSTALAÇÃO. AF_12/2015</t>
  </si>
  <si>
    <t>INTERRUPTOR SIMPLES (1 MÓDULO), INTERRUPTOR PARALELO (1 MÓDULO) E 1 TOMADA DE EMBUTIR 2P+T 10 A,  SEM SUPORTE E SEM PLACA - FORNECIMENTO E INSTALAÇÃO. AF_12/2015</t>
  </si>
  <si>
    <t>INTERRUPTOR SIMPLES (1 MÓDULO), INTERRUPTOR PARALELO (1 MÓDULO) E 1 TOMADA DE EMBUTIR 2P+T 10 A,  INCLUINDO SUPORTE E PLACA - FORNECIMENTO E INSTALAÇÃO. AF_12/2015</t>
  </si>
  <si>
    <t>DISTRIBUIDOR DE AGREGADOS REBOCAVEL, CAPACIDADE 1,9 M³, LARGURA DE TRABALHO 3,66 M - DEPRECIAÇÃO. AF_11/2015</t>
  </si>
  <si>
    <t>DISTRIBUIDOR DE AGREGADOS REBOCAVEL, CAPACIDADE 1,9 M³, LARGURA DE TRABALHO 3,66 M - JUROS. AF_11/2015</t>
  </si>
  <si>
    <t>DISTRIBUIDOR DE AGREGADOS REBOCAVEL, CAPACIDADE 1,9 M³, LARGURA DE TRABALHO 3,66 M - MANUTENÇÃO. AF_11/2015</t>
  </si>
  <si>
    <t>DISTRIBUIDOR DE AGREGADOS REBOCAVEL, CAPACIDADE 1,9 M³, LARGURA DE TRABALHO 3,66 M - CHP DIURNO. AF_11/2015</t>
  </si>
  <si>
    <t>DISTRIBUIDOR DE AGREGADOS REBOCAVEL, CAPACIDADE 1,9 M³, LARGURA DE TRABALHO 3,66 M - CHI DIURNO. AF_11/2015</t>
  </si>
  <si>
    <t>CAMINHÃO PARA EQUIPAMENTO DE LIMPEZA A SUCÇÃO COM CAMINHÃO TRUCADO DE PESO BRUTO TOTAL 23000 KG, CARGA ÚTIL MÁXIMA 15935 KG, DISTÂNCIA ENTRE EIXOS 4,80 M, POTÊNCIA 230 CV, INCLUSIVE LIMPADORA A SUCÇÃO, TANQUE 12000 L - DEPRECIAÇÃO. AF_11/2015</t>
  </si>
  <si>
    <t>CAMINHÃO PARA EQUIPAMENTO DE LIMPEZA A SUCÇÃO COM CAMINHÃO TRUCADO DE PESO BRUTO TOTAL 23000 KG, CARGA ÚTIL MÁXIMA 15935 KG, DISTÂNCIA ENTRE EIXOS 4,80 M, POTÊNCIA 230 CV, INCLUSIVE LIMPADORA A SUCÇÃO, TANQUE 12000 L - JUROS. AF_11/2015</t>
  </si>
  <si>
    <t>CAMINHÃO PARA EQUIPAMENTO DE LIMPEZA A SUCÇÃO COM CAMINHÃO TRUCADO DE PESO BRUTO TOTAL 23000 KG, CARGA ÚTIL MÁXIMA 15935 KG, DISTÂNCIA ENTRE EIXOS 4,80 M, POTÊNCIA 230 CV, INCLUSIVE LIMPADORA A SUCÇÃO, TANQUE 12000 L - IMPOSTOS E SEGUROS. AF_11/2015</t>
  </si>
  <si>
    <t>CAMINHÃO PARA EQUIPAMENTO DE LIMPEZA A SUCÇÃO COM CAMINHÃO TRUCADO DE PESO BRUTO TOTAL 23000 KG, CARGA ÚTIL MÁXIMA 15935 KG, DISTÂNCIA ENTRE EIXOS 4,80 M, POTÊNCIA 230 CV, INCLUSIVE LIMPADORA A SUCÇÃO, TANQUE 12000 L - MANUTENÇÃO. AF_11/2015</t>
  </si>
  <si>
    <t>CAMINHÃO PARA EQUIPAMENTO DE LIMPEZA A SUCÇÃO, COM CAMINHÃO TRUCADO DE PESO BRUTO TOTAL 23000 KG, CARGA ÚTIL MÁXIMA 15935 KG, DISTÂNCIA ENTRE EIXOS 4,80 M, POTÊNCIA 230 CV, INCLUSIVE LIMPADORA A SUCÇÃO, TANQUE 12000 L - CHP DIURNO. AF_11/2015</t>
  </si>
  <si>
    <t>CAMINHÃO PARA EQUIPAMENTO DE LIMPEZA A SUCÇÃO COM CAMINHÃO TRUCADO DE PESO BRUTO TOTAL 23000 KG, CARGA ÚTIL MÁXIMA 15935 KG, DISTÂNCIA ENTRE EIXOS 4,80 M, POTÊNCIA 230 CV, INCLUSIVE LIMPADORA A SUCÇÃO, TANQUE 12000 L - CHI DIURNO. AF_11/2015</t>
  </si>
  <si>
    <t>CAMINHONETE COM MOTOR A DIESEL, POTÊNCIA 180 CV, CABINE DUPLA, 4X4 - DEPRECIAÇÃO. AF_11/2015</t>
  </si>
  <si>
    <t>CAMINHONETE COM MOTOR A DIESEL, POTÊNCIA 180 CV, CABINE DUPLA, 4X4 - JUROS. AF_11/2015</t>
  </si>
  <si>
    <t>CAMINHONETE COM MOTOR A DIESEL, POTÊNCIA 180 CV, CABINE DUPLA, 4X4 - IMPOSTOS E SEGUROS. AF_11/2015</t>
  </si>
  <si>
    <t>CAMINHONETE COM MOTOR A DIESEL, POTÊNCIA 180 CV, CABINE DUPLA, 4X4 - MANUTENÇÃO. AF_11/2015</t>
  </si>
  <si>
    <t>CAMINHONETE COM MOTOR A DIESEL, POTÊNCIA 180 CV, CABINE DUPLA, 4X4 - MATERIAIS NA OPERAÇÃO. AF_11/2015</t>
  </si>
  <si>
    <t>CAMINHONETE COM MOTOR A DIESEL, POTÊNCIA 180 CV, CABINE DUPLA, 4X4 - CHP DIURNO. AF_11/2015</t>
  </si>
  <si>
    <t>CAMINHONETE COM MOTOR A DIESEL, POTÊNCIA 180 CV, CABINE DUPLA, 4X4 - CHI DIURNO. AF_11/2015</t>
  </si>
  <si>
    <t>TUBO DE CONCRETO PARA REDES COLETORAS DE ÁGUAS PLUVIAIS, DIÂMETRO DE 400 MM, JUNTA RÍGIDA, INSTALADO EM LOCAL COM BAIXO NÍVEL DE INTERFERÊNCIAS - FORNECIMENTO E ASSENTAMENTO. AF_12/2015</t>
  </si>
  <si>
    <t>TUBO DE CONCRETO PARA REDES COLETORAS DE ÁGUAS PLUVIAIS, DIÂMETRO DE 500 MM, JUNTA RÍGIDA, INSTALADO EM LOCAL COM BAIXO NÍVEL DE INTERFERÊNCIAS - FORNECIMENTO E ASSENTAMENTO. AF_12/2015</t>
  </si>
  <si>
    <t>TUBO DE CONCRETO PARA REDES COLETORAS DE ÁGUAS PLUVIAIS, DIÂMETRO DE 600 MM, JUNTA RÍGIDA, INSTALADO EM LOCAL COM BAIXO NÍVEL DE INTERFERÊNCIAS - FORNECIMENTO E ASSENTAMENTO. AF_12/2015</t>
  </si>
  <si>
    <t>TUBO DE CONCRETO PARA REDES COLETORAS DE ÁGUAS PLUVIAIS, DIÂMETRO DE 700 MM, JUNTA RÍGIDA, INSTALADO EM LOCAL COM BAIXO NÍVEL DE INTERFERÊNCIAS - FORNECIMENTO E ASSENTAMENTO. AF_12/2015</t>
  </si>
  <si>
    <t>TUBO DE CONCRETO PARA REDES COLETORAS DE ÁGUAS PLUVIAIS, DIÂMETRO DE 800 MM, JUNTA RÍGIDA, INSTALADO EM LOCAL COM BAIXO NÍVEL DE INTERFERÊNCIAS - FORNECIMENTO E ASSENTAMENTO. AF_12/2015</t>
  </si>
  <si>
    <t>TUBO DE CONCRETO PARA REDES COLETORAS DE ÁGUAS PLUVIAIS, DIÂMETRO DE 900 MM, JUNTA RÍGIDA, INSTALADO EM LOCAL COM BAIXO NÍVEL DE INTERFERÊNCIAS - FORNECIMENTO E ASSENTAMENTO. AF_12/2015</t>
  </si>
  <si>
    <t>TUBO DE CONCRETO PARA REDES COLETORAS DE ÁGUAS PLUVIAIS, DIÂMETRO DE 1000 MM, JUNTA RÍGIDA, INSTALADO EM LOCAL COM BAIXO NÍVEL DE INTERFERÊNCIAS - FORNECIMENTO E ASSENTAMENTO. AF_12/2015</t>
  </si>
  <si>
    <t>TUBO DE CONCRETO PARA REDES COLETORAS DE ÁGUAS PLUVIAIS, DIÂMETRO DE 400 MM, JUNTA RÍGIDA, INSTALADO EM LOCAL COM ALTO NÍVEL DE INTERFERÊNCIAS - FORNECIMENTO E ASSENTAMENTO. AF_12/2015</t>
  </si>
  <si>
    <t>TUBO DE CONCRETO PARA REDES COLETORAS DE ÁGUAS PLUVIAIS, DIÂMETRO DE 500 MM, JUNTA RÍGIDA, INSTALADO EM LOCAL COM ALTO NÍVEL DE INTERFERÊNCIAS - FORNECIMENTO E ASSENTAMENTO. AF_12/2015</t>
  </si>
  <si>
    <t>TUBO DE CONCRETO PARA REDES COLETORAS DE ÁGUAS PLUVIAIS, DIÂMETRO DE 600 MM, JUNTA RÍGIDA, INSTALADO EM LOCAL COM ALTO NÍVEL DE INTERFERÊNCIAS - FORNECIMENTO E ASSENTAMENTO. AF_12/2015</t>
  </si>
  <si>
    <t>TUBO DE CONCRETO PARA REDES COLETORAS DE ÁGUAS PLUVIAIS, DIÂMETRO DE 700 MM, JUNTA RÍGIDA, INSTALADO EM LOCAL COM ALTO NÍVEL DE INTERFERÊNCIAS - FORNECIMENTO E ASSENTAMENTO. AF_12/2015</t>
  </si>
  <si>
    <t>TUBO DE CONCRETO PARA REDES COLETORAS DE ÁGUAS PLUVIAIS, DIÂMETRO DE 800 MM, JUNTA RÍGIDA, INSTALADO EM LOCAL COM ALTO NÍVEL DE INTERFERÊNCIAS - FORNECIMENTO E ASSENTAMENTO. AF_12/2015</t>
  </si>
  <si>
    <t>TUBO DE CONCRETO PARA REDES COLETORAS DE ÁGUAS PLUVIAIS, DIÂMETRO DE 900 MM, JUNTA RÍGIDA, INSTALADO EM LOCAL COM ALTO NÍVEL DE INTERFERÊNCIAS - FORNECIMENTO E ASSENTAMENTO. AF_12/2015</t>
  </si>
  <si>
    <t>TUBO DE CONCRETO PARA REDES COLETORAS DE ÁGUAS PLUVIAIS, DIÂMETRO DE 1000 MM, JUNTA RÍGIDA, INSTALADO EM LOCAL COM ALTO NÍVEL DE INTERFERÊNCIAS - FORNECIMENTO E ASSENTAMENTO. AF_12/2015</t>
  </si>
  <si>
    <t>CAMINHÃO DE TRANSPORTE DE MATERIAL ASFÁLTICO 20.000 L, COM CAVALO MECÂNICO DE CAPACIDADE MÁXIMA DE TRAÇÃO COMBINADO DE 45.000 KG, POTÊNCIA 330 CV, INCLUSIVE TANQUE DE ASFALTO COM MAÇARICO - DEPRECIAÇÃO. AF_12/2015</t>
  </si>
  <si>
    <t>CAMINHÃO DE TRANSPORTE DE MATERIAL ASFÁLTICO 20.000 L, COM CAVALO MECÂNICO DE CAPACIDADE MÁXIMA DE TRAÇÃO COMBINADO DE 45.000 KG, POTÊNCIA 330 CV, INCLUSIVE TANQUE DE ASFALTO COM MAÇARICO - JUROS. AF_12/2015</t>
  </si>
  <si>
    <t>CAMINHÃO DE TRANSPORTE DE MATERIAL ASFÁLTICO 20.000 L, COM CAVALO MECÂNICO DE CAPACIDADE MÁXIMA DE TRAÇÃO COMBINADO DE 45.000 KG, POTÊNCIA 330 CV, INCLUSIVE TANQUE DE ASFALTO COM MAÇARICO - IMPOSTOS E SEGUROS. AF_12/2015</t>
  </si>
  <si>
    <t>CAMINHÃO DE TRANSPORTE DE MATERIAL ASFÁLTICO 20.000 L, COM CAVALO MECÂNICO DE CAPACIDADE MÁXIMA DE TRAÇÃO COMBINADO DE 45.000 KG, POTÊNCIA 330 CV, INCLUSIVE TANQUE DE ASFALTO COM MAÇARICO - MANUTENÇÃO. AF_12/2015</t>
  </si>
  <si>
    <t>CAMINHÃO DE TRANSPORTE DE MATERIAL ASFÁLTICO 20.000 L, COM CAVALO MECÂNICO DE CAPACIDADE MÁXIMA DE TRAÇÃO COMBINADO DE 45.000 KG, POTÊNCIA 330 CV, INCLUSIVE TANQUE DE ASFALTO COM MAÇARICO - MATERIAIS NA OPERAÇÃO. AF_12/2015</t>
  </si>
  <si>
    <t>CAMINHÃO DE TRANSPORTE DE MATERIAL ASFÁLTICO 20.000 L, COM CAVALO MECÂNICO DE CAPACIDADE MÁXIMA DE TRAÇÃO COMBINADO DE 45.000 KG, POTÊNCIA 330 CV, INCLUSIVE TANQUE DE ASFALTO COM MAÇARICO - CHP DIURNO. AF_12/2015</t>
  </si>
  <si>
    <t>CAMINHÃO DE TRANSPORTE DE MATERIAL ASFÁLTICO 20.000 L, COM CAVALO MECÂNICO DE CAPACIDADE MÁXIMA DE TRAÇÃO COMBINADO DE 45.000 KG, POTÊNCIA 330 CV, INCLUSIVE TANQUE DE ASFALTO COM MAÇARICO - CHI DIURNO. AF_12/2015</t>
  </si>
  <si>
    <t>FABRICAÇÃO DE FÔRMA PARA PILARES E ESTRUTURAS SIMILARES, EM CHAPA DE MADEIRA COMPENSADA RESINADA, E = 17 MM. AF_12/2015</t>
  </si>
  <si>
    <t>FABRICAÇÃO DE FÔRMA PARA PILARES E ESTRUTURAS SIMILARES, EM CHAPA DE MADEIRA COMPENSADA PLASTIFICADA, E = 18 MM. AF_12/2015</t>
  </si>
  <si>
    <t>FABRICAÇÃO DE FÔRMA PARA VIGAS, EM CHAPA DE MADEIRA COMPENSADA RESINADA, E = 17 MM. AF_12/2015</t>
  </si>
  <si>
    <t>FABRICAÇÃO DE FÔRMA PARA VIGAS, EM CHAPA DE MADEIRA COMPENSADA PLASTIFICADA, E = 18 MM. AF_12/2015</t>
  </si>
  <si>
    <t>FABRICAÇÃO DE FÔRMA PARA LAJES, EM CHAPA DE MADEIRA COMPENSADA RESINADA, E = 17 MM. AF_12/2015</t>
  </si>
  <si>
    <t>FABRICAÇÃO DE FÔRMA PARA LAJES, EM CHAPA DE MADEIRA COMPENSADA PLASTIFICADA, E = 18 MM. AF_12/2015</t>
  </si>
  <si>
    <t>FABRICAÇÃO DE FÔRMA PARA PILARES E ESTRUTURAS SIMILARES, EM MADEIRA SERRADA, E=25 MM. AF_12/2015</t>
  </si>
  <si>
    <t>FABRICAÇÃO DE FÔRMA PARA VIGAS, COM MADEIRA SERRADA, E = 25 MM. AF_12/2015</t>
  </si>
  <si>
    <t>FABRICAÇÃO DE FÔRMA PARA LAJES, EM MADEIRA SERRADA, E=25 MM. AF_12/2015</t>
  </si>
  <si>
    <t>TUBO DE AÇO GALVANIZADO COM COSTURA, CLASSE MÉDIA, CONEXÃO RANHURADA, DN 50 (2"), INSTALADO EM PRUMADAS - FORNECIMENTO E INSTALAÇÃO. AF_12/2015</t>
  </si>
  <si>
    <t>TUBO DE AÇO GALVANIZADO COM COSTURA, CLASSE MÉDIA, CONEXÃO RANHURADA, DN 65 (2 1/2"), INSTALADO EM PRUMADAS - FORNECIMENTO E INSTALAÇÃO. AF_12/2015</t>
  </si>
  <si>
    <t>TUBO DE AÇO GALVANIZADO COM COSTURA, CLASSE MÉDIA, CONEXÃO RANHURADA, DN 80 (3"), INSTALADO EM PRUMADAS - FORNECIMENTO E INSTALAÇÃO. AF_12/2015</t>
  </si>
  <si>
    <t>TUBO DE AÇO PRETO SEM COSTURA, CONEXÃO SOLDADA, DN 65 (2 1/2"), INSTALADO EM PRUMADAS - FORNECIMENTO E INSTALAÇÃO. AF_12/2015</t>
  </si>
  <si>
    <t>TUBO DE AÇO GALVANIZADO COM COSTURA, CLASSE MÉDIA, DN 50 (2"), CONEXÃO ROSQUEADA, INSTALADO EM PRUMADAS - FORNECIMENTO E INSTALAÇÃO. AF_12/2015</t>
  </si>
  <si>
    <t>TUBO DE AÇO GALVANIZADO COM COSTURA, CLASSE MÉDIA, DN 65 (2 1/2"), CONEXÃO ROSQUEADA, INSTALADO EM PRUMADAS - FORNECIMENTO E INSTALAÇÃO. AF_12/2015</t>
  </si>
  <si>
    <t>TUBO DE AÇO GALVANIZADO COM COSTURA, CLASSE MÉDIA, DN 80 (3"), CONEXÃO ROSQUEADA, INSTALADO EM PRUMADAS - FORNECIMENTO E INSTALAÇÃO. AF_12/2015</t>
  </si>
  <si>
    <t>LUVA, EM FERRO GALVANIZADO, DN 50 (2"), CONEXÃO ROSQUEADA, INSTALADO EM PRUMADAS - FORNECIMENTO E INSTALAÇÃO. AF_12/2015</t>
  </si>
  <si>
    <t>NIPLE, EM FERRO GALVANIZADO, DN 65 (2 1/2"), CONEXÃO ROSQUEADA, INSTALADO EM PRUMADAS - FORNECIMENTO E INSTALAÇÃO. AF_12/2015</t>
  </si>
  <si>
    <t>LUVA, EM FERRO GALVANIZADO, DN 65 (2 1/2"), CONEXÃO ROSQUEADA, INSTALADO EM PRUMADAS - FORNECIMENTO E INSTALAÇÃO. AF_12/2015</t>
  </si>
  <si>
    <t>LUVA, EM FERRO GALVANIZADO, DN 80 (3"), CONEXÃO ROSQUEADA, INSTALADO EM PRUMADAS - FORNECIMENTO E INSTALAÇÃO. AF_12/2015</t>
  </si>
  <si>
    <t>JOELHO 45 GRAUS, EM FERRO GALVANIZADO, DN 65 (2 1/2"), CONEXÃO ROSQUEADA, INSTALADO EM PRUMADAS - FORNECIMENTO E INSTALAÇÃO. AF_12/2015</t>
  </si>
  <si>
    <t>JOELHO 90 GRAUS, EM FERRO GALVANIZADO, DN 65 (2 1/2"), CONEXÃO ROSQUEADA, INSTALADO EM PRUMADAS - FORNECIMENTO E INSTALAÇÃO. AF_12/2015</t>
  </si>
  <si>
    <t>TUBO DE AÇO PRETO SEM COSTURA, CONEXÃO SOLDADA, DN 50 (2"), INSTALADO EM REDE DE ALIMENTAÇÃO PARA HIDRANTE - FORNECIMENTO E INSTALAÇÃO. AF_12/2015</t>
  </si>
  <si>
    <t>TUBO DE AÇO PRETO SEM COSTURA, CONEXÃO SOLDADA, DN 65 (2 1/2"), INSTALADO EM REDE DE ALIMENTAÇÃO PARA HIDRANTE - FORNECIMENTO E INSTALAÇÃO. AF_12/2015</t>
  </si>
  <si>
    <t>TUBO DE AÇO GALVANIZADO COM COSTURA, CLASSE MÉDIA, DN 32 (1 1/4"), CONEXÃO ROSQUEADA, INSTALADO EM REDE DE ALIMENTAÇÃO PARA HIDRANTE - FORNECIMENTO E INSTALAÇÃO. AF_12/2015</t>
  </si>
  <si>
    <t>TUBO DE AÇO GALVANIZADO COM COSTURA, CLASSE MÉDIA, DN 40 (1 1/2"), CONEXÃO ROSQUEADA, INSTALADO EM REDE DE ALIMENTAÇÃO PARA HIDRANTE - FORNECIMENTO E INSTALAÇÃO. AF_12/2015</t>
  </si>
  <si>
    <t>TUBO DE AÇO GALVANIZADO COM COSTURA, CLASSE MÉDIA, DN 50 (2"), CONEXÃO ROSQUEADA, INSTALADO EM REDE DE ALIMENTAÇÃO PARA HIDRANTE - FORNECIMENTO E INSTALAÇÃO. AF_12/2015</t>
  </si>
  <si>
    <t>TUBO DE AÇO GALVANIZADO COM COSTURA, CLASSE MÉDIA, DN 65 (2 1/2"), CONEXÃO ROSQUEADA, INSTALADO EM REDE DE ALIMENTAÇÃO PARA HIDRANTE - FORNECIMENTO E INSTALAÇÃO. AF_12/2015</t>
  </si>
  <si>
    <t>TUBO DE AÇO GALVANIZADO COM COSTURA, CLASSE MÉDIA, DN 80 (3"), CONEXÃO ROSQUEADA, INSTALADO EM REDE DE ALIMENTAÇÃO PARA HIDRANTE - FORNECIMENTO E INSTALAÇÃO. AF_12/2015</t>
  </si>
  <si>
    <t>NIPLE, EM FERRO GALVANIZADO, DN 25 (1"), CONEXÃO ROSQUEADA, INSTALADO EM REDE DE ALIMENTAÇÃO PARA HIDRANTE - FORNECIMENTO E INSTALAÇÃO. AF_12/2015</t>
  </si>
  <si>
    <t>LUVA, EM FERRO GALVANIZADO, DN 25 (1"), CONEXÃO ROSQUEADA, INSTALADO EM REDE DE ALIMENTAÇÃO PARA HIDRANTE - FORNECIMENTO E INSTALAÇÃO. AF_12/2015</t>
  </si>
  <si>
    <t>NIPLE, EM FERRO GALVANIZADO, DN 32 (1 1/4"), CONEXÃO ROSQUEADA, INSTALADO EM REDE DE ALIMENTAÇÃO PARA HIDRANTE - FORNECIMENTO E INSTALAÇÃO. AF_12/2015</t>
  </si>
  <si>
    <t>LUVA, EM FERRO GALVANIZADO, DN 32 (1 1/4"), CONEXÃO ROSQUEADA, INSTALADO EM REDE DE ALIMENTAÇÃO PARA HIDRANTE - FORNECIMENTO E INSTALAÇÃO. AF_12/2015</t>
  </si>
  <si>
    <t>NIPLE, EM FERRO GALVANIZADO, DN 40 (1 1/2"), CONEXÃO ROSQUEADA, INSTALADO EM REDE DE ALIMENTAÇÃO PARA HIDRANTE - FORNECIMENTO E INSTALAÇÃO. AF_12/2015</t>
  </si>
  <si>
    <t>LUVA, EM FERRO GALVANIZADO, DN 40 (1 1/2"), CONEXÃO ROSQUEADA, INSTALADO EM REDE DE ALIMENTAÇÃO PARA HIDRANTE - FORNECIMENTO E INSTALAÇÃO. AF_12/2015</t>
  </si>
  <si>
    <t>NIPLE, EM FERRO GALVANIZADO, DN 50 (2"), CONEXÃO ROSQUEADA, INSTALADO EM REDE DE ALIMENTAÇÃO PARA HIDRANTE - FORNECIMENTO E INSTALAÇÃO. AF_12/2015</t>
  </si>
  <si>
    <t>LUVA, EM FERRO GALVANIZADO, DN 50 (2"), CONEXÃO ROSQUEADA, INSTALADO EM REDE DE ALIMENTAÇÃO PARA HIDRANTE - FORNECIMENTO E INSTALAÇÃO. AF_12/2015</t>
  </si>
  <si>
    <t>NIPLE, EM FERRO GALVANIZADO, DN 65 (2 1/2"), CONEXÃO ROSQUEADA, INSTALADO EM REDE DE ALIMENTAÇÃO PARA HIDRANTE - FORNECIMENTO E INSTALAÇÃO. AF_12/2015</t>
  </si>
  <si>
    <t>LUVA, EM FERRO GALVANIZADO, DN 65 (2 1/2"), CONEXÃO ROSQUEADA, INSTALADO EM REDE DE ALIMENTAÇÃO PARA HIDRANTE - FORNECIMENTO E INSTALAÇÃO. AF_12/2015</t>
  </si>
  <si>
    <t>NIPLE, EM FERRO GALVANIZADO, DN 80 (3"), CONEXÃO ROSQUEADA, INSTALADO EM REDE DE ALIMENTAÇÃO PARA HIDRANTE - FORNECIMENTO E INSTALAÇÃO. AF_12/2015</t>
  </si>
  <si>
    <t>LUVA, EM FERRO GALVANIZADO, DN 80 (3"), CONEXÃO ROSQUEADA, INSTALADO EM REDE DE ALIMENTAÇÃO PARA HIDRANTE - FORNECIMENTO E INSTALAÇÃO. AF_12/2015</t>
  </si>
  <si>
    <t>JOELHO 45 GRAUS, EM FERRO GALVANIZADO, DN 25 (1"), CONEXÃO ROSQUEADA, INSTALADO EM REDE DE ALIMENTAÇÃO PARA HIDRANTE - FORNECIMENTO E INSTALAÇÃO. AF_12/2015</t>
  </si>
  <si>
    <t>JOELHO 90 GRAUS, EM FERRO GALVANIZADO, DN 25 (1"), CONEXÃO ROSQUEADA, INSTALADO EM REDE DE ALIMENTAÇÃO PARA HIDRANTE - FORNECIMENTO E INSTALAÇÃO. AF_12/2015</t>
  </si>
  <si>
    <t>JOELHO 45 GRAUS, EM FERRO GALVANIZADO, DN 32 (1 1/4"), CONEXÃO ROSQUEADA, INSTALADO EM REDE DE ALIMENTAÇÃO PARA HIDRANTE - FORNECIMENTO E INSTALAÇÃO. AF_12/2015</t>
  </si>
  <si>
    <t>JOELHO 90 GRAUS, EM FERRO GALVANIZADO, DN 32 (1 1/4"), CONEXÃO ROSQUEADA, INSTALADO EM REDE DE ALIMENTAÇÃO PARA HIDRANTE - FORNECIMENTO E INSTALAÇÃO. AF_12/2015</t>
  </si>
  <si>
    <t>JOELHO 45 GRAUS, EM FERRO GALVANIZADO, DN 40 (1 1/2"), CONEXÃO ROSQUEADA, INSTALADO EM REDE DE ALIMENTAÇÃO PARA HIDRANTE - FORNECIMENTO E INSTALAÇÃO. AF_12/2015</t>
  </si>
  <si>
    <t>JOELHO 90 GRAUS, EM FERRO GALVANIZADO, DN 40 (1 1/2"), CONEXÃO ROSQUEADA, INSTALADO EM REDE DE ALIMENTAÇÃO PARA HIDRANTE - FORNECIMENTO E INSTALAÇÃO. AF_12/2015</t>
  </si>
  <si>
    <t>JOELHO 45 GRAUS, EM FERRO GALVANIZADO, DN 50 (2"), CONEXÃO ROSQUEADA, INSTALADO EM REDE DE ALIMENTAÇÃO PARA HIDRANTE - FORNECIMENTO E INSTALAÇÃO. AF_12/2015</t>
  </si>
  <si>
    <t>JOELHO 90 GRAUS, EM FERRO GALVANIZADO, DN 50 (2"), CONEXÃO ROSQUEADA, INSTALADO EM REDE DE ALIMENTAÇÃO PARA HIDRANTE - FORNECIMENTO E INSTALAÇÃO. AF_12/2015</t>
  </si>
  <si>
    <t>JOELHO 45 GRAUS, EM FERRO GALVANIZADO, DN 65 (2 1/2"), CONEXÃO ROSQUEADA, INSTALADO EM REDE DE ALIMENTAÇÃO PARA HIDRANTE - FORNECIMENTO E INSTALAÇÃO. AF_12/2015</t>
  </si>
  <si>
    <t>JOELHO 90 GRAUS, EM FERRO GALVANIZADO, DN 65 (2 1/2"), CONEXÃO ROSQUEADA, INSTALADO EM REDE DE ALIMENTAÇÃO PARA HIDRANTE - FORNECIMENTO E INSTALAÇÃO. AF_12/2015</t>
  </si>
  <si>
    <t>EXECUÇÃO DE PASSEIO EM PISO INTERTRAVADO, COM BLOCO RETANGULAR COR NATURAL DE 20 X 10 CM, ESPESSURA 6 CM. AF_12/2015</t>
  </si>
  <si>
    <t>EXECUÇÃO DE PÁTIO/ESTACIONAMENTO EM PISO INTERTRAVADO, COM BLOCO RETANGULAR COR NATURAL DE 20 X 10 CM, ESPESSURA 6 CM. AF_12/2015</t>
  </si>
  <si>
    <t>EXECUÇÃO DE PÁTIO/ESTACIONAMENTO EM PISO INTERTRAVADO, COM BLOCO RETANGULAR COR NATURAL DE 20 X 10 CM, ESPESSURA 8 CM. AF_12/2015</t>
  </si>
  <si>
    <t>EXECUÇÃO DE PÁTIO/ESTACIONAMENTO EM PISO INTERTRAVADO, COM BLOCO RETANGULAR DE 20 X 10 CM, ESPESSURA 10 CM. AF_12/2015</t>
  </si>
  <si>
    <t>EXECUÇÃO DE PASSEIO EM PISO INTERTRAVADO, COM BLOCO 16 FACES DE 22 X 11 CM, ESPESSURA 6 CM. AF_12/2015</t>
  </si>
  <si>
    <t>EXECUÇÃO DE PÁTIO/ESTACIONAMENTO EM PISO INTERTRAVADO, COM BLOCO 16 FACES DE 22 X 11 CM, ESPESSURA 6 CM. AF_12/2015</t>
  </si>
  <si>
    <t>EXECUÇÃO DE PÁTIO/ESTACIONAMENTO EM PISO INTERTRAVADO, COM BLOCO 16 FACES DE 22 X 11 CM, ESPESSURA 8 CM. AF_12/2015</t>
  </si>
  <si>
    <t>EXECUÇÃO DE VIA EM PISO INTERTRAVADO, COM BLOCO 16 FACES DE 22 X 11 CM, ESPESSURA 8 CM. AF_12/2015</t>
  </si>
  <si>
    <t>EXECUÇÃO DE PÁTIO/ESTACIONAMENTO EM PISO INTERTRAVADO, COM BLOCO 16 FACES DE 22 X 11 CM, ESPESSURA 10 CM. AF_12/2015</t>
  </si>
  <si>
    <t>EXECUÇÃO DE VIA EM PISO INTERTRAVADO, COM BLOCO 16 FACES DE 22 X 11 CM, ESPESSURA 10 CM. AF_12/2015</t>
  </si>
  <si>
    <t>MONTAGEM E DESMONTAGEM DE FÔRMA DE PILARES RETANGULARES E ESTRUTURAS SIMILARES COM ÁREA MÉDIA DAS SEÇÕES MENOR OU IGUAL A 0,25 M², PÉ-DIREITO SIMPLES, EM MADEIRA SERRADA, 1 UTILIZAÇÃO. AF_12/2015</t>
  </si>
  <si>
    <t>MONTAGEM E DESMONTAGEM DE FÔRMA DE PILARES RETANGULARES E ESTRUTURAS SIMILARES COM ÁREA MÉDIA DAS SEÇÕES MAIOR QUE 0,25 M², PÉ-DIREITO SIMPLES, EM MADEIRA SERRADA, 1 UTILIZAÇÃO. AF_12/2015</t>
  </si>
  <si>
    <t>MONTAGEM E DESMONTAGEM DE FÔRMA DE PILARES RETANGULARES E ESTRUTURAS SIMILARES COM ÁREA MÉDIA DAS SEÇÕES MENOR OU IGUAL A 0,25 M², PÉ-DIREITO SIMPLES, EM MADEIRA SERRADA, 2 UTILIZAÇÕES. AF_12/2015</t>
  </si>
  <si>
    <t>MONTAGEM E DESMONTAGEM DE FÔRMA DE PILARES RETANGULARES E ESTRUTURAS SIMILARES COM ÁREA MÉDIA DAS SEÇÕES MAIOR QUE 0,25 M², PÉ-DIREITO SIMPLES, EM MADEIRA SERRADA, 2 UTILIZAÇÕES. AF_12/2015</t>
  </si>
  <si>
    <t>MONTAGEM E DESMONTAGEM DE FÔRMA DE PILARES RETANGULARES E ESTRUTURAS SIMILARES COM ÁREA MÉDIA DAS SEÇÕES MENOR OU IGUAL A 0,25 M², PÉ-DIREITO SIMPLES, EM MADEIRA SERRADA, 4 UTILIZAÇÕES. AF_12/2015</t>
  </si>
  <si>
    <t>MONTAGEM E DESMONTAGEM DE FÔRMA DE PILARES RETANGULARES E ESTRUTURAS SIMILARES COM ÁREA MÉDIA DAS SEÇÕES MAIOR QUE 0,25 M², PÉ-DIREITO SIMPLES, EM MADEIRA SERRADA, 4 UTILIZAÇÕES. AF_12/2015</t>
  </si>
  <si>
    <t>MONTAGEM E DESMONTAGEM DE FÔRMA DE PILARES RETANGULARES E ESTRUTURAS SIMILARES COM ÁREA MÉDIA DAS SEÇÕES MENOR OU IGUAL A 0,25 M², PÉ-DIREITO SIMPLES, EM CHAPA DE MADEIRA COMPENSADA RESINADA, 2 UTILIZAÇÕES. AF_12/2015</t>
  </si>
  <si>
    <t>MONTAGEM E DESMONTAGEM DE FÔRMA DE PILARES RETANGULARES E ESTRUTURAS SIMILARES COM ÁREA MÉDIA DAS SEÇÕES MAIOR QUE 0,25 M², PÉ-DIREITO SIMPLES, EM CHAPA DE MADEIRA COMPENSADA RESINADA, 2 UTILIZAÇÕES. AF_12/2015</t>
  </si>
  <si>
    <t>MONTAGEM E DESMONTAGEM DE FÔRMA DE PILARES RETANGULARES E ESTRUTURAS SIMILARES COM ÁREA MÉDIA DAS SEÇÕES MENOR OU IGUAL A 0,25 M², PÉ-DIREITO DUPLO, EM CHAPA DE MADEIRA COMPENSADA RESINADA, 2 UTILIZAÇÕES. AF_12/2015</t>
  </si>
  <si>
    <t>MONTAGEM E DESMONTAGEM DE FÔRMA DE PILARES RETANGULARES E ESTRUTURAS SIMILARES COM ÁREA MÉDIA DAS SEÇÕES MAIOR QUE 0,25 M², PÉ-DIREITO DUPLO, EM CHAPA DE MADEIRA COMPENSADA RESINADA, 2 UTILIZAÇÕES. AF_12/2015</t>
  </si>
  <si>
    <t>MONTAGEM E DESMONTAGEM DE FÔRMA DE PILARES RETANGULARES E ESTRUTURAS SIMILARES COM ÁREA MÉDIA DAS SEÇÕES MENOR OU IGUAL A 0,25 M², PÉ-DIREITO SIMPLES, EM CHAPA DE MADEIRA COMPENSADA RESINADA, 4 UTILIZAÇÕES. AF_12/2015</t>
  </si>
  <si>
    <t>MONTAGEM E DESMONTAGEM DE FÔRMA DE PILARES RETANGULARES E ESTRUTURAS SIMILARES COM ÁREA MÉDIA DAS SEÇÕES MAIOR QUE 0,25 M², PÉ-DIREITO SIMPLES, EM CHAPA DE MADEIRA COMPENSADA RESINADA, 4 UTILIZAÇÕES. AF_12/2015</t>
  </si>
  <si>
    <t>MONTAGEM E DESMONTAGEM DE FÔRMA DE PILARES RETANGULARES E ESTRUTURAS SIMILARES COM ÁREA MÉDIA DAS SEÇÕES MENOR OU IGUAL A 0,25 M², PÉ-DIREITO DUPLO, EM CHAPA DE MADEIRA COMPENSADA RESINADA, 4 UTILIZAÇÕES. AF_12/2015</t>
  </si>
  <si>
    <t>MONTAGEM E DESMONTAGEM DE FÔRMA DE PILARES RETANGULARES E ESTRUTURAS SIMILARES COM ÁREA MÉDIA DAS SEÇÕES MAIOR QUE 0,25 M², PÉ-DIREITO DUPLO, EM CHAPA DE MADEIRA COMPENSADA RESINADA, 4 UTILIZAÇÕES. AF_12/2015</t>
  </si>
  <si>
    <t>MONTAGEM E DESMONTAGEM DE FÔRMA DE PILARES RETANGULARES E ESTRUTURAS SIMILARES COM ÁREA MÉDIA DAS SEÇÕES MENOR OU IGUAL A 0,25 M², PÉ-DIREITO SIMPLES, EM CHAPA DE MADEIRA COMPENSADA RESINADA, 6 UTILIZAÇÕES. AF_12/2015</t>
  </si>
  <si>
    <t>MONTAGEM E DESMONTAGEM DE FÔRMA DE PILARES RETANGULARES E ESTRUTURAS SIMILARES COM ÁREA MÉDIA DAS SEÇÕES MAIOR QUE 0,25 M², PÉ-DIREITO SIMPLES, EM CHAPA DE MADEIRA COMPENSADA RESINADA, 6 UTILIZAÇÕES. AF_12/2015</t>
  </si>
  <si>
    <t>MONTAGEM E DESMONTAGEM DE FÔRMA DE PILARES RETANGULARES E ESTRUTURAS SIMILARES COM ÁREA MÉDIA DAS SEÇÕES MENOR OU IGUAL A 0,25 M², PÉ-DIREITO DUPLO, EM CHAPA DE MADEIRA COMPENSADA RESINADA, 6 UTILIZAÇÕES. AF_12/2015</t>
  </si>
  <si>
    <t>MONTAGEM E DESMONTAGEM DE FÔRMA DE PILARES RETANGULARES E ESTRUTURAS SIMILARES COM ÁREA MÉDIA DAS SEÇÕES MAIOR QUE 0,25 M², PÉ-DIREITO DUPLO, EM CHAPA DE MADEIRA COMPENSADA RESINADA, 6 UTILIZAÇÕES. AF_12/2015</t>
  </si>
  <si>
    <t>MONTAGEM E DESMONTAGEM DE FÔRMA DE PILARES RETANGULARES E ESTRUTURAS SIMILARES COM ÁREA MÉDIA DAS SEÇÕES MENOR OU IGUAL A 0,25 M², PÉ-DIREITO SIMPLES, EM CHAPA DE MADEIRA COMPENSADA RESINADA, 8 UTILIZAÇÕES. AF_12/2015</t>
  </si>
  <si>
    <t>MONTAGEM E DESMONTAGEM DE FÔRMA DE PILARES RETANGULARES E ESTRUTURAS SIMILARES COM ÁREA MÉDIA DAS SEÇÕES MAIOR QUE 0,25 M², PÉ-DIREITO SIMPLES, EM CHAPA DE MADEIRA COMPENSADA RESINADA, 8 UTILIZAÇÕES. AF_12/2015</t>
  </si>
  <si>
    <t>MONTAGEM E DESMONTAGEM DE FÔRMA DE PILARES RETANGULARES E ESTRUTURAS SIMILARES COM ÁREA MÉDIA DAS SEÇÕES MENOR OU IGUAL A 0,25 M², PÉ-DIREITO DUPLO, EM CHAPA DE MADEIRA COMPENSADA RESINADA, 8 UTILIZAÇÕES. AF_12/2015</t>
  </si>
  <si>
    <t>MONTAGEM E DESMONTAGEM DE FÔRMA DE PILARES RETANGULARES E ESTRUTURAS SIMILARES COM ÁREA MÉDIA DAS SEÇÕES MAIOR QUE 0,25 M², PÉ-DIREITO DUPLO, EM CHAPA DE MADEIRA COMPENSADA RESINADA, 8 UTILIZAÇÕES. AF_12/2015</t>
  </si>
  <si>
    <t>MONTAGEM E DESMONTAGEM DE FÔRMA DE PILARES RETANGULARES E ESTRUTURAS SIMILARES COM ÁREA MÉDIA DAS SEÇÕES MENOR OU IGUAL A 0,25 M², PÉ-DIREITO SIMPLES, EM CHAPA DE MADEIRA COMPENSADA PLASTIFICADA, 10 UTILIZAÇÕES. AF_12/2015</t>
  </si>
  <si>
    <t>MONTAGEM E DESMONTAGEM DE FÔRMA DE PILARES RETANGULARES E ESTRUTURAS SIMILARES COM ÁREA MÉDIA DAS SEÇÕES MAIOR QUE 0,25 M², PÉ-DIREITO SIMPLES, EM CHAPA DE MADEIRA COMPENSADA PLASTIFICADA, 10 UTILIZAÇÕES. AF_12/2015</t>
  </si>
  <si>
    <t>MONTAGEM E DESMONTAGEM DE FÔRMA DE PILARES RETANGULARES E ESTRUTURAS SIMILARES COM ÁREA MÉDIA DAS SEÇÕES MENOR OU IGUAL A 0,25 M², PÉ-DIREITO DUPLO, EM CHAPA DE MADEIRA COMPENSADA PLASTIFICADA, 10 UTILIZAÇÕES. AF_12/2015</t>
  </si>
  <si>
    <t>MONTAGEM E DESMONTAGEM DE FÔRMA DE PILARES RETANGULARES E ESTRUTURAS SIMILARES COM ÁREA MÉDIA DAS SEÇÕES MAIOR QUE 0,25 M², PÉ-DIREITO DUPLO, EM CHAPA DE MADEIRA COMPENSADA PLASTIFICADA, 10 UTILIZAÇÕES. AF_12/2015</t>
  </si>
  <si>
    <t>MONTAGEM E DESMONTAGEM DE FÔRMA DE PILARES RETANGULARES E ESTRUTURAS SIMILARES COM ÁREA MÉDIA DAS SEÇÕES MENOR OU IGUAL A 0,25 M², PÉ-DIREITO SIMPLES, EM CHAPA DE MADEIRA COMPENSADA PLASTIFICADA, 12 UTILIZAÇÕES. AF_12/2015</t>
  </si>
  <si>
    <t>MONTAGEM E DESMONTAGEM DE FÔRMA DE PILARES RETANGULARES E ESTRUTURAS SIMILARES COM ÁREA MÉDIA DAS SEÇÕES MAIOR QUE 0,25 M², PÉ-DIREITO SIMPLES, EM CHAPA DE MADEIRA COMPENSADA PLASTIFICADA, 12 UTILIZAÇÕES. AF_12/2015</t>
  </si>
  <si>
    <t>MONTAGEM E DESMONTAGEM DE FÔRMA DE PILARES RETANGULARES E ESTRUTURAS SIMILARES COM ÁREA MÉDIA DAS SEÇÕES MENOR OU IGUAL A 0,25 M², PÉ-DIREITO DUPLO, EM CHAPA DE MADEIRA COMPENSADA PLASTIFICADA, 12 UTILIZAÇÕES. AF_12/2015</t>
  </si>
  <si>
    <t>MONTAGEM E DESMONTAGEM DE FÔRMA DE PILARES RETANGULARES E ESTRUTURAS SIMILARES COM ÁREA MÉDIA DAS SEÇÕES MAIOR QUE 0,25 M², PÉ-DIREITO DUPLO, EM CHAPA DE MADEIRA COMPENSADA PLASTIFICADA, 12 UTILIZAÇÕES. AF_12/2015</t>
  </si>
  <si>
    <t>MONTAGEM E DESMONTAGEM DE FÔRMA DE PILARES RETANGULARES E ESTRUTURAS SIMILARES COM ÁREA MÉDIA DAS SEÇÕES MENOR OU IGUAL A 0,25 M², PÉ-DIREITO SIMPLES, EM CHAPA DE MADEIRA COMPENSADA PLASTIFICADA, 14 UTILIZAÇÕES. AF_12/2015</t>
  </si>
  <si>
    <t>MONTAGEM E DESMONTAGEM DE FÔRMA DE PILARES RETANGULARES E ESTRUTURAS SIMILARES COM ÁREA MÉDIA DAS SEÇÕES MAIOR QUE 0,25 M², PÉ-DIREITO SIMPLES, EM CHAPA DE MADEIRA COMPENSADA PLASTIFICADA, 14 UTILIZAÇÕES. AF_12/2015</t>
  </si>
  <si>
    <t>MONTAGEM E DESMONTAGEM DE FÔRMA DE PILARES RETANGULARES E ESTRUTURAS SIMILARES COM ÁREA MÉDIA DAS SEÇÕES MENOR OU IGUAL A 0,25 M², PÉ-DIREITO DUPLO, EM CHAPA DE MADEIRA COMPENSADA PLASTIFICADA, 14 UTILIZAÇÕES. AF_12/2015</t>
  </si>
  <si>
    <t>MONTAGEM E DESMONTAGEM DE FÔRMA DE PILARES RETANGULARES E ESTRUTURAS SIMILARES COM ÁREA MÉDIA DAS SEÇÕES MAIOR QUE 0,25 M², PÉ-DIREITO DUPLO, EM CHAPA DE MADEIRA COMPENSADA PLASTIFICADA, 14 UTILIZAÇÕES. AF_12/2015</t>
  </si>
  <si>
    <t>MONTAGEM E DESMONTAGEM DE FÔRMA DE PILARES RETANGULARES E ESTRUTURAS SIMILARES COM ÁREA MÉDIA DAS SEÇÕES MENOR OU IGUAL A 0,25 M², PÉ-DIREITO SIMPLES, EM CHAPA DE MADEIRA COMPENSADA PLASTIFICADA, 18 UTILIZAÇÕES. AF_12/2015</t>
  </si>
  <si>
    <t>MONTAGEM E DESMONTAGEM DE FÔRMA DE PILARES RETANGULARES E ESTRUTURAS SIMILARES COM ÁREA MÉDIA DAS SEÇÕES MAIOR QUE 0,25 M², PÉ-DIREITO SIMPLES, EM CHAPA DE MADEIRA COMPENSADA PLASTIFICADA, 18 UTILIZAÇÕES. AF_12/2015</t>
  </si>
  <si>
    <t>MONTAGEM E DESMONTAGEM DE FÔRMA DE PILARES RETANGULARES E ESTRUTURAS SIMILARES COM ÁREA MÉDIA DAS SEÇÕES MENOR OU IGUAL A 0,25 M², PÉ-DIREITO DUPLO, EM CHAPA DE MADEIRA COMPENSADA PLASTIFICADA, 18 UTILIZAÇÕES. AF_12/2015</t>
  </si>
  <si>
    <t>MONTAGEM E DESMONTAGEM DE FÔRMA DE PILARES RETANGULARES E ESTRUTURAS SIMILARES COM ÁREA MÉDIA DAS SEÇÕES MAIOR QUE 0,25 M², PÉ-DIREITO DUPLO, EM CHAPA DE MADEIRA COMPENSADA PLASTIFICADA, 18 UTILIZAÇÕES. AF_12/2015</t>
  </si>
  <si>
    <t>MONTAGEM E DESMONTAGEM DE FÔRMA DE VIGA, ESCORAMENTO COM PONTALETE DE MADEIRA, PÉ-DIREITO SIMPLES, EM MADEIRA SERRADA, 1 UTILIZAÇÃO. AF_12/2015</t>
  </si>
  <si>
    <t>MONTAGEM E DESMONTAGEM DE FÔRMA DE VIGA, ESCORAMENTO COM PONTALETE DE MADEIRA, PÉ-DIREITO SIMPLES, EM MADEIRA SERRADA, 2 UTILIZAÇÕES. AF_12/2015</t>
  </si>
  <si>
    <t>MONTAGEM E DESMONTAGEM DE FÔRMA DE VIGA, ESCORAMENTO COM PONTALETE DE MADEIRA, PÉ-DIREITO SIMPLES, EM MADEIRA SERRADA, 4 UTILIZAÇÕES. AF_12/2015</t>
  </si>
  <si>
    <t>MONTAGEM E DESMONTAGEM DE FÔRMA DE VIGA, ESCORAMENTO COM GARFO DE MADEIRA, PÉ-DIREITO DUPLO, EM CHAPA DE MADEIRA RESINADA, 2 UTILIZAÇÕES. AF_12/2015</t>
  </si>
  <si>
    <t>MONTAGEM E DESMONTAGEM DE FÔRMA DE VIGA, ESCORAMENTO METÁLICO, PÉ-DIREITO DUPLO, EM CHAPA DE MADEIRA RESINADA, 2 UTILIZAÇÕES. AF_12/2015</t>
  </si>
  <si>
    <t>MONTAGEM E DESMONTAGEM DE FÔRMA DE VIGA, ESCORAMENTO COM GARFO DE MADEIRA, PÉ-DIREITO SIMPLES, EM CHAPA DE MADEIRA RESINADA, 2 UTILIZAÇÕES. AF_12/2015</t>
  </si>
  <si>
    <t>MONTAGEM E DESMONTAGEM DE FÔRMA DE VIGA, ESCORAMENTO METÁLICO, PÉ-DIREITO SIMPLES, EM CHAPA DE MADEIRA RESINADA, 2 UTILIZAÇÕES. AF_12/2015</t>
  </si>
  <si>
    <t>MONTAGEM E DESMONTAGEM DE FÔRMA DE VIGA, ESCORAMENTO COM GARFO DE MADEIRA, PÉ-DIREITO DUPLO, EM CHAPA DE MADEIRA RESINADA, 4 UTILIZAÇÕES. AF_12/2015</t>
  </si>
  <si>
    <t>MONTAGEM E DESMONTAGEM DE FÔRMA DE VIGA, ESCORAMENTO METÁLICO, PÉ-DIREITO DUPLO, EM CHAPA DE MADEIRA RESINADA, 4 UTILIZAÇÕES. AF_12/2015</t>
  </si>
  <si>
    <t>MONTAGEM E DESMONTAGEM DE FÔRMA DE VIGA, ESCORAMENTO COM GARFO DE MADEIRA, PÉ-DIREITO SIMPLES, EM CHAPA DE MADEIRA RESINADA, 4 UTILIZAÇÕES. AF_12/2015</t>
  </si>
  <si>
    <t>MONTAGEM E DESMONTAGEM DE FÔRMA DE VIGA, ESCORAMENTO METÁLICO, PÉ-DIREITO SIMPLES, EM CHAPA DE MADEIRA RESINADA, 4 UTILIZAÇÕES. AF_12/2015</t>
  </si>
  <si>
    <t>MONTAGEM E DESMONTAGEM DE FÔRMA DE VIGA, ESCORAMENTO COM GARFO DE MADEIRA, PÉ-DIREITO DUPLO, EM CHAPA DE MADEIRA RESINADA, 6 UTILIZAÇÕES. AF_12/2015</t>
  </si>
  <si>
    <t>MONTAGEM E DESMONTAGEM DE FÔRMA DE VIGA, ESCORAMENTO METÁLICO, PÉ-DIREITO DUPLO, EM CHAPA DE MADEIRA RESINADA, 6 UTILIZAÇÕES. AF_12/2015</t>
  </si>
  <si>
    <t>MONTAGEM E DESMONTAGEM DE FÔRMA DE VIGA, ESCORAMENTO COM GARFO DE MADEIRA, PÉ-DIREITO SIMPLES, EM CHAPA DE MADEIRA RESINADA, 6 UTILIZAÇÕES. AF_12/2015</t>
  </si>
  <si>
    <t>MONTAGEM E DESMONTAGEM DE FÔRMA DE VIGA, ESCORAMENTO METÁLICO, PÉ-DIREITO SIMPLES, EM CHAPA DE MADEIRA RESINADA, 6 UTILIZAÇÕES. AF_12/2015</t>
  </si>
  <si>
    <t>MONTAGEM E DESMONTAGEM DE FÔRMA DE VIGA, ESCORAMENTO COM GARFO DE MADEIRA, PÉ-DIREITO DUPLO, EM CHAPA DE MADEIRA RESINADA, 8 UTILIZAÇÕES. AF_12/2015</t>
  </si>
  <si>
    <t>MONTAGEM E DESMONTAGEM DE FÔRMA DE VIGA, ESCORAMENTO METÁLICO, PÉ-DIREITO DUPLO, EM CHAPA DE MADEIRA RESINADA, 8 UTILIZAÇÕES. AF_12/2015</t>
  </si>
  <si>
    <t>MONTAGEM E DESMONTAGEM DE FÔRMA DE VIGA, ESCORAMENTO COM GARFO DE MADEIRA, PÉ-DIREITO SIMPLES, EM CHAPA DE MADEIRA RESINADA, 8 UTILIZAÇÕES. AF_12/2015</t>
  </si>
  <si>
    <t>MONTAGEM E DESMONTAGEM DE FÔRMA DE VIGA, ESCORAMENTO METÁLICO, PÉ-DIREITO SIMPLES, EM CHAPA DE MADEIRA RESINADA, 8 UTILIZAÇÕES. AF_12/2015</t>
  </si>
  <si>
    <t>MONTAGEM E DESMONTAGEM DE FÔRMA DE VIGA, ESCORAMENTO COM GARFO DE MADEIRA, PÉ-DIREITO DUPLO, EM CHAPA DE MADEIRA PLASTIFICADA, 10 UTILIZAÇÕES. AF_12/2015</t>
  </si>
  <si>
    <t>MONTAGEM E DESMONTAGEM DE FÔRMA DE VIGA, ESCORAMENTO METÁLICO, PÉ-DIREITO DUPLO, EM CHAPA DE MADEIRA PLASTIFICADA, 10 UTILIZAÇÕES. AF_12/2015</t>
  </si>
  <si>
    <t>MONTAGEM E DESMONTAGEM DE FÔRMA DE VIGA, ESCORAMENTO COM GARFO DE MADEIRA, PÉ-DIREITO SIMPLES, EM CHAPA DE MADEIRA PLASTIFICADA, 10 UTILIZAÇÕES. AF_12/2015</t>
  </si>
  <si>
    <t>MONTAGEM E DESMONTAGEM DE FÔRMA DE VIGA, ESCORAMENTO METÁLICO, PÉ-DIREITO SIMPLES, EM CHAPA DE MADEIRA PLASTIFICADA, 10 UTILIZAÇÕES. AF_12/2015</t>
  </si>
  <si>
    <t>MONTAGEM E DESMONTAGEM DE FÔRMA DE VIGA, ESCORAMENTO COM GARFO DE MADEIRA, PÉ-DIREITO DUPLO, EM CHAPA DE MADEIRA PLASTIFICADA, 12 UTILIZAÇÕES. AF_12/2015</t>
  </si>
  <si>
    <t>MONTAGEM E DESMONTAGEM DE FÔRMA DE VIGA, ESCORAMENTO METÁLICO, PÉ-DIREITO DUPLO, EM CHAPA DE MADEIRA PLASTIFICADA, 12 UTILIZAÇÕES. AF_12/2015</t>
  </si>
  <si>
    <t>MONTAGEM E DESMONTAGEM DE FÔRMA DE VIGA, ESCORAMENTO COM GARFO DE MADEIRA, PÉ-DIREITO SIMPLES, EM CHAPA DE MADEIRA PLASTIFICADA, 12 UTILIZAÇÕES. AF_12/2015</t>
  </si>
  <si>
    <t>MONTAGEM E DESMONTAGEM DE FÔRMA DE VIGA, ESCORAMENTO METÁLICO, PÉ-DIREITO SIMPLES, EM CHAPA DE MADEIRA PLASTIFICADA, 12 UTILIZAÇÕES. AF_12/2015</t>
  </si>
  <si>
    <t>MONTAGEM E DESMONTAGEM DE FÔRMA DE VIGA, ESCORAMENTO COM GARFO DE MADEIRA, PÉ-DIREITO DUPLO, EM CHAPA DE MADEIRA PLASTIFICADA, 14 UTILIZAÇÕES. AF_12/2015</t>
  </si>
  <si>
    <t>MONTAGEM E DESMONTAGEM DE FÔRMA DE VIGA, ESCORAMENTO METÁLICO, PÉ-DIREITO DUPLO, EM CHAPA DE MADEIRA PLASTIFICADA, 14 UTILIZAÇÕES. AF_12/2015</t>
  </si>
  <si>
    <t>MONTAGEM E DESMONTAGEM DE FÔRMA DE VIGA, ESCORAMENTO COM GARFO DE MADEIRA, PÉ-DIREITO SIMPLES, EM CHAPA DE MADEIRA PLASTIFICADA, 14 UTILIZAÇÕES. AF_12/2015</t>
  </si>
  <si>
    <t>MONTAGEM E DESMONTAGEM DE FÔRMA DE VIGA, ESCORAMENTO METÁLICO, PÉ-DIREITO SIMPLES, EM CHAPA DE MADEIRA PLASTIFICADA, 14 UTILIZAÇÕES. AF_12/2015</t>
  </si>
  <si>
    <t>MONTAGEM E DESMONTAGEM DE FÔRMA DE VIGA, ESCORAMENTO COM GARFO DE MADEIRA, PÉ-DIREITO DUPLO, EM CHAPA DE MADEIRA PLASTIFICADA, 18 UTILIZAÇÕES. AF_12/2015</t>
  </si>
  <si>
    <t>MONTAGEM E DESMONTAGEM DE FÔRMA DE VIGA, ESCORAMENTO METÁLICO, PÉ-DIREITO DUPLO, EM CHAPA DE MADEIRA PLASTIFICADA, 18 UTILIZAÇÕES. AF_12/2015</t>
  </si>
  <si>
    <t>MONTAGEM E DESMONTAGEM DE FÔRMA DE VIGA, ESCORAMENTO COM GARFO DE MADEIRA, PÉ-DIREITO SIMPLES, EM CHAPA DE MADEIRA PLASTIFICADA, 18 UTILIZAÇÕES. AF_12/2015</t>
  </si>
  <si>
    <t>MONTAGEM E DESMONTAGEM DE FÔRMA DE VIGA, ESCORAMENTO METÁLICO, PÉ-DIREITO SIMPLES, EM CHAPA DE MADEIRA PLASTIFICADA, 18 UTILIZAÇÕES. AF_12/2015</t>
  </si>
  <si>
    <t>MONTAGEM E DESMONTAGEM DE FÔRMA DE LAJE MACIÇA COM ÁREA MÉDIA MAIOR QUE 20 M², PÉ-DIREITO SIMPLES, EM MADEIRA SERRADA, 1 UTILIZAÇÃO. AF_12/2015</t>
  </si>
  <si>
    <t>MONTAGEM E DESMONTAGEM DE FÔRMA DE LAJE MACIÇA COM ÁREA MÉDIA MAIOR QUE 20 M², PÉ-DIREITO SIMPLES, EM MADEIRA SERRADA, 2 UTILIZAÇÕES. AF_12/2015</t>
  </si>
  <si>
    <t>MONTAGEM E DESMONTAGEM DE FÔRMA DE LAJE MACIÇA COM ÁREA MÉDIA MAIOR QUE 20 M², PÉ-DIREITO SIMPLES, EM MADEIRA SERRADA, 4 UTILIZAÇÕES. AF_12/2015</t>
  </si>
  <si>
    <t>MONTAGEM E DESMONTAGEM DE FÔRMA DE LAJE NERVURADA COM CUBETA E ASSOALHO COM ÁREA MÉDIA MENOR OU IGUAL A 20 M², PÉ-DIREITO DUPLO, EM CHAPA DE MADEIRA COMPENSADA RESINADA, 8 UTILIZAÇÕES. AF_12/2015</t>
  </si>
  <si>
    <t>MONTAGEM E DESMONTAGEM DE FÔRMA DE LAJE NERVURADA COM CUBETA E ASSOALHO COM ÁREA MÉDIA MAIOR QUE 20 M², PÉ-DIREITO DUPLO, EM CHAPA DE MADEIRA COMPENSADA RESINADA, 8 UTILIZAÇÕES. AF_12/2015</t>
  </si>
  <si>
    <t>MONTAGEM E DESMONTAGEM DE FÔRMA DE LAJE NERVURADA COM CUBETA E ASSOALHO COM ÁREA MÉDIA MENOR OU IGUAL A 20 M², PÉ-DIREITO SIMPLES, EM CHAPA DE MADEIRA COMPENSADA RESINADA, 8 UTILIZAÇÕES. AF_12/2015</t>
  </si>
  <si>
    <t>MONTAGEM E DESMONTAGEM DE FÔRMA DE LAJE NERVURADA COM CUBETA E ASSOALHO COM ÁREA MÉDIA MAIOR QUE 20 M², PÉ-DIREITO SIMPLES, EM CHAPA DE MADEIRA COMPENSADA RESINADA, 8 UTILIZAÇÕES. AF_12/2015</t>
  </si>
  <si>
    <t>MONTAGEM E DESMONTAGEM DE FÔRMA DE LAJE NERVURADA COM CUBETA E ASSOALHO COM ÁREA MÉDIA MENOR OU IGUAL A 20 M², PÉ-DIREITO DUPLO, EM CHAPA DE MADEIRA COMPENSADA RESINADA, 10 UTILIZAÇÕES. AF_12/2015</t>
  </si>
  <si>
    <t>MONTAGEM E DESMONTAGEM DE FÔRMA DE LAJE NERVURADA COM CUBETA E ASSOALHO COM ÁREA MÉDIA MAIOR QUE 20 M², PÉ-DIREITO DUPLO, EM CHAPA DE MADEIRA COMPENSADA RESINADA, 10 UTILIZAÇÕES. AF_12/2015</t>
  </si>
  <si>
    <t>MONTAGEM E DESMONTAGEM DE FÔRMA DE LAJE NERVURADA COM CUBETA E ASSOALHO COM ÁREA MÉDIA MENOR OU IGUAL A 20 M², PÉ-DIREITO SIMPLES, EM CHAPA DE MADEIRA COMPENSADA RESINADA, 10 UTILIZAÇÕES. AF_12/2015</t>
  </si>
  <si>
    <t>MONTAGEM E DESMONTAGEM DE FÔRMA DE LAJE NERVURADA COM CUBETA E ASSOALHO COM ÁREA MÉDIA MAIOR QUE 20 M², PÉ-DIREITO SIMPLES, EM CHAPA DE MADEIRA COMPENSADA RESINADA, 10 UTILIZAÇÕES. AF_12/2015</t>
  </si>
  <si>
    <t>MONTAGEM E DESMONTAGEM DE FÔRMA DE LAJE NERVURADA COM CUBETA E ASSOALHO COM ÁREA MÉDIA MENOR OU IGUAL A 20 M², PÉ-DIREITO DUPLO, EM CHAPA DE MADEIRA COMPENSADA RESINADA, 12 UTILIZAÇÕES. AF_12/2015</t>
  </si>
  <si>
    <t>MONTAGEM E DESMONTAGEM DE FÔRMA DE LAJE NERVURADA COM CUBETA E ASSOALHO COM ÁREA MÉDIA MAIOR QUE 20 M², PÉ-DIREITO DUPLO, EM CHAPA DE MADEIRA COMPENSADA RESINADA, 12 UTILIZAÇÕES. AF_12/2015</t>
  </si>
  <si>
    <t>MONTAGEM E DESMONTAGEM DE FÔRMA DE LAJE NERVURADA COM CUBETA E ASSOALHO COM ÁREA MÉDIA MENOR OU IGUAL A 20 M², PÉ-DIREITO SIMPLES, EM CHAPA DE MADEIRA COMPENSADA RESINADA, 12 UTILIZAÇÕES. AF_12/2015</t>
  </si>
  <si>
    <t>MONTAGEM E DESMONTAGEM DE FÔRMA DE LAJE NERVURADA COM CUBETA E ASSOALHO COM ÁREA MÉDIA MAIOR QUE 20 M², PÉ-DIREITO SIMPLES, EM CHAPA DE MADEIRA COMPENSADA RESINADA, 12 UTILIZAÇÕES. AF_12/2015</t>
  </si>
  <si>
    <t>MONTAGEM E DESMONTAGEM DE FÔRMA DE LAJE NERVURADA COM CUBETA E ASSOALHO COM ÁREA MÉDIA MENOR OU IGUAL A 20 M², PÉ-DIREITO DUPLO, EM CHAPA DE MADEIRA COMPENSADA RESINADA, 14 UTILIZAÇÕES. AF_12/2015</t>
  </si>
  <si>
    <t>MONTAGEM E DESMONTAGEM DE FÔRMA DE LAJE NERVURADA COM CUBETA E ASSOALHO COM ÁREA MÉDIA MAIOR QUE 20 M², PÉ-DIREITO DUPLO, EM CHAPA DE MADEIRA COMPENSADA RESINADA, 14 UTILIZAÇÕES. AF_12/2015</t>
  </si>
  <si>
    <t>MONTAGEM E DESMONTAGEM DE FÔRMA DE LAJE NERVURADA COM CUBETA E ASSOALHO COM ÁREA MÉDIA MENOR OU IGUAL A 20 M², PÉ-DIREITO SIMPLES, EM CHAPA DE MADEIRA COMPENSADA RESINADA, 14 UTILIZAÇÕES. AF_12/2015</t>
  </si>
  <si>
    <t>MONTAGEM E DESMONTAGEM DE FÔRMA DE LAJE NERVURADA COM CUBETA E ASSOALHO COM ÁREA MÉDIA MAIOR QUE 20 M², PÉ-DIREITO SIMPLES, EM CHAPA DE MADEIRA COMPENSADA RESINADA, 14 UTILIZAÇÕES. AF_12/2015</t>
  </si>
  <si>
    <t>MONTAGEM E DESMONTAGEM DE FÔRMA DE LAJE NERVURADA COM CUBETA E ASSOALHO COM ÁREA MÉDIA MENOR OU IGUAL A 20 M², PÉ-DIREITO DUPLO, EM CHAPA DE MADEIRA COMPENSADA RESINADA, 18 UTILIZAÇÕES. AF_12/2015</t>
  </si>
  <si>
    <t>MONTAGEM E DESMONTAGEM DE FÔRMA DE LAJE NERVURADA COM CUBETA E ASSOALHO COM ÁREA MÉDIA MAIOR QUE 20 M², PÉ-DIREITO DUPLO, EM CHAPA DE MADEIRA COMPENSADA RESINADA, 18 UTILIZAÇÕES. AF_12/2015</t>
  </si>
  <si>
    <t>MONTAGEM E DESMONTAGEM DE FÔRMA DE LAJE NERVURADA COM CUBETA E ASSOALHO COM ÁREA MÉDIA MENOR OU IGUAL A 20 M², PÉ-DIREITO SIMPLES, EM CHAPA DE MADEIRA COMPENSADA RESINADA, 18 UTILIZAÇÕES. AF_12/2015</t>
  </si>
  <si>
    <t>MONTAGEM E DESMONTAGEM DE FÔRMA DE LAJE NERVURADA COM CUBETA E ASSOALHO COM ÁREA MÉDIA MAIOR QUE 20 M², PÉ-DIREITO SIMPLES, EM CHAPA DE MADEIRA COMPENSADA RESINADA, 18 UTILIZAÇÕES. AF_12/2015</t>
  </si>
  <si>
    <t>MONTAGEM E DESMONTAGEM DE FÔRMA DE LAJE MACIÇA COM ÁREA MÉDIA MENOR OU IGUAL A 20 M², PÉ-DIREITO DUPLO, EM CHAPA DE MADEIRA COMPENSADA RESINADA, 2 UTILIZAÇÕES. AF_12/2015</t>
  </si>
  <si>
    <t>MONTAGEM E DESMONTAGEM DE FÔRMA DE LAJE MACIÇA COM ÁREA MÉDIA MAIOR QUE 20 M², PÉ-DIREITO DUPLO, EM CHAPA DE MADEIRA COMPENSADA RESINADA, 2 UTILIZAÇÕES. AF_12/2015</t>
  </si>
  <si>
    <t>MONTAGEM E DESMONTAGEM DE FÔRMA DE LAJE MACIÇA COM ÁREA MÉDIA MENOR OU IGUAL A 20 M², PÉ-DIREITO SIMPLES, EM CHAPA DE MADEIRA COMPENSADA RESINADA, 2 UTILIZAÇÕES. AF_12/2015</t>
  </si>
  <si>
    <t>MONTAGEM E DESMONTAGEM DE FÔRMA DE LAJE MACIÇA COM ÁREA MÉDIA MAIOR QUE 20 M², PÉ-DIREITO SIMPLES, EM CHAPA DE MADEIRA COMPENSADA RESINADA, 2 UTILIZAÇÕES. AF_12/2015</t>
  </si>
  <si>
    <t>MONTAGEM E DESMONTAGEM DE FÔRMA DE LAJE MACIÇA COM ÁREA MÉDIA MENOR OU IGUAL A 20 M², PÉ-DIREITO DUPLO, EM CHAPA DE MADEIRA COMPENSADA RESINADA, 4 UTILIZAÇÕES. AF_12/2015</t>
  </si>
  <si>
    <t>MONTAGEM E DESMONTAGEM DE FÔRMA DE LAJE MACIÇA COM ÁREA MÉDIA MAIOR QUE 20 M², PÉ-DIREITO DUPLO, EM CHAPA DE MADEIRA COMPENSADA RESINADA, 4 UTILIZAÇÕES. AF_12/2015</t>
  </si>
  <si>
    <t>MONTAGEM E DESMONTAGEM DE FÔRMA DE LAJE MACIÇA COM ÁREA MÉDIA MENOR OU IGUAL A 20 M², PÉ-DIREITO SIMPLES, EM CHAPA DE MADEIRA COMPENSADA RESINADA, 4 UTILIZAÇÕES. AF_12/2015</t>
  </si>
  <si>
    <t>MONTAGEM E DESMONTAGEM DE FÔRMA DE LAJE MACIÇA COM ÁREA MÉDIA MAIOR QUE 20 M², PÉ-DIREITO SIMPLES, EM CHAPA DE MADEIRA COMPENSADA RESINADA, 4 UTILIZAÇÕES. AF_12/2015</t>
  </si>
  <si>
    <t>MONTAGEM E DESMONTAGEM DE FÔRMA DE LAJE MACIÇA COM ÁREA MÉDIA MAIOR QUE 20 M², PÉ-DIREITO DUPLO, EM CHAPA DE MADEIRA COMPENSADA RESINADA, 6 UTILIZAÇÕES. AF_12/2015</t>
  </si>
  <si>
    <t>MONTAGEM E DESMONTAGEM DE FÔRMA DE LAJE MACIÇA COM ÁREA MÉDIA MENOR OU IGUAL A 20 M², PÉ-DIREITO DUPLO, EM CHAPA DE MADEIRA COMPENSADA RESINADA, 6 UTILIZAÇÕES. AF_12/2015</t>
  </si>
  <si>
    <t>MONTAGEM E DESMONTAGEM DE FÔRMA DE LAJE MACIÇA COM ÁREA MÉDIA MENOR OU IGUAL A 20 M², PÉ-DIREITO SIMPLES, EM CHAPA DE MADEIRA COMPENSADA RESINADA, 6 UTILIZAÇÕES. AF_12/2015</t>
  </si>
  <si>
    <t>MONTAGEM E DESMONTAGEM DE FÔRMA DE LAJE MACIÇA COM ÁREA MÉDIA MAIOR QUE 20 M², PÉ-DIREITO SIMPLES, EM CHAPA DE MADEIRA COMPENSADA RESINADA, 6 UTILIZAÇÕES. AF_12/2015</t>
  </si>
  <si>
    <t>MONTAGEM E DESMONTAGEM DE FÔRMA DE LAJE MACIÇA COM ÁREA MÉDIA MENOR OU IGUAL A 20 M², PÉ-DIREITO DUPLO, EM CHAPA DE MADEIRA COMPENSADA RESINADA, 8 UTILIZAÇÕES. AF_12/2015</t>
  </si>
  <si>
    <t>MONTAGEM E DESMONTAGEM DE FÔRMA DE LAJE MACIÇA COM ÁREA MÉDIA MAIOR QUE 20 M², PÉ-DIREITO DUPLO, EM CHAPA DE MADEIRA COMPENSADA RESINADA, 8 UTILIZAÇÕES. AF_12/2015</t>
  </si>
  <si>
    <t>MONTAGEM E DESMONTAGEM DE FÔRMA DE LAJE MACIÇA COM ÁREA MÉDIA MENOR OU IGUAL A 20 M², PÉ-DIREITO SIMPLES, EM CHAPA DE MADEIRA COMPENSADA RESINADA, 8 UTILIZAÇÕES. AF_12/2015</t>
  </si>
  <si>
    <t>MONTAGEM E DESMONTAGEM DE FÔRMA DE LAJE MACIÇA COM ÁREA MÉDIA MAIOR QUE 20 M², PÉ-DIREITO SIMPLES, EM CHAPA DE MADEIRA COMPENSADA RESINADA, 8 UTILIZAÇÕES. AF_12/2015</t>
  </si>
  <si>
    <t>MONTAGEM E DESMONTAGEM DE FÔRMA DE LAJE MACIÇA COM ÁREA MÉDIA MENOR OU IGUAL A 20 M², PÉ-DIREITO DUPLO, EM CHAPA DE MADEIRA COMPENSADA PLASTIFICADA, 10 UTILIZAÇÕES. AF_12/2015</t>
  </si>
  <si>
    <t>MONTAGEM E DESMONTAGEM DE FÔRMA DE LAJE MACIÇA COM ÁREA MÉDIA MAIOR QUE 20 M², PÉ-DIREITO DUPLO, EM CHAPA DE MADEIRA COMPENSADA PLASTIFICADA, 10 UTILIZAÇÕES. AF_12/2015</t>
  </si>
  <si>
    <t>MONTAGEM E DESMONTAGEM DE FÔRMA DE LAJE MACIÇA COM ÁREA MÉDIA MENOR OU IGUAL A 20 M², PÉ-DIREITO SIMPLES, EM CHAPA DE MADEIRA COMPENSADA PLASTIFICADA, 10 UTILIZAÇÕES. AF_12/2015</t>
  </si>
  <si>
    <t>MONTAGEM E DESMONTAGEM DE FÔRMA DE LAJE MACIÇA COM ÁREA MÉDIA MAIOR QUE 20 M², PÉ-DIREITO SIMPLES, EM CHAPA DE MADEIRA COMPENSADA PLASTIFICADA, 10 UTILIZAÇÕES. AF_12/2015</t>
  </si>
  <si>
    <t>MONTAGEM E DESMONTAGEM DE FÔRMA DE LAJE MACIÇA COM ÁREA MÉDIA MENOR OU IGUAL A 20 M², PÉ-DIREITO DUPLO, EM CHAPA DE MADEIRA COMPENSADA PLASTIFICADA, 12 UTILIZAÇÕES. AF_12/2015</t>
  </si>
  <si>
    <t>MONTAGEM E DESMONTAGEM DE FÔRMA DE LAJE MACIÇA COM ÁREA MÉDIA MAIOR QUE 20 M², PÉ-DIREITO DUPLO, EM CHAPA DE MADEIRA COMPENSADA PLASTIFICADA, 12 UTILIZAÇÕES. AF_12/2015</t>
  </si>
  <si>
    <t>MONTAGEM E DESMONTAGEM DE FÔRMA DE LAJE MACIÇA COM ÁREA MÉDIA MENOR OU IGUAL A 20 M², PÉ-DIREITO SIMPLES, EM CHAPA DE MADEIRA COMPENSADA PLASTIFICADA, 12 UTILIZAÇÕES. AF_12/2015</t>
  </si>
  <si>
    <t>MONTAGEM E DESMONTAGEM DE FÔRMA DE LAJE MACIÇA COM ÁREA MÉDIA MAIOR QUE 20 M², PÉ-DIREITO SIMPLES, EM CHAPA DE MADEIRA COMPENSADA PLASTIFICADA, 12 UTILIZAÇÕES. AF_12/2015</t>
  </si>
  <si>
    <t>MONTAGEM E DESMONTAGEM DE FÔRMA DE LAJE MACIÇA COM ÁREA MÉDIA MENOR OU IGUAL A 20 M², PÉ-DIREITO DUPLO, EM CHAPA DE MADEIRA COMPENSADA PLASTIFICADA, 14 UTILIZAÇÕES. AF_12/2015</t>
  </si>
  <si>
    <t>MONTAGEM E DESMONTAGEM DE FÔRMA DE LAJE MACIÇA COM ÁREA MÉDIA MAIOR QUE 20 M², PÉ-DIREITO DUPLO, EM CHAPA DE MADEIRA COMPENSADA PLASTIFICADA, 14 UTILIZAÇÕES. AF_12/2015</t>
  </si>
  <si>
    <t>MONTAGEM E DESMONTAGEM DE FÔRMA DE LAJE MACIÇA COM ÁREA MÉDIA MENOR OU IGUAL A 20 M², PÉ-DIREITO SIMPLES, EM CHAPA DE MADEIRA COMPENSADA PLASTIFICADA, 14 UTILIZAÇÕES. AF_12/2015</t>
  </si>
  <si>
    <t>MONTAGEM E DESMONTAGEM DE FÔRMA DE LAJE MACIÇA COM ÁREA MÉDIA MAIOR QUE 20 M², PÉ-DIREITO SIMPLES, EM CHAPA DE MADEIRA COMPENSADA PLASTIFICADA, 14 UTILIZAÇÕES. AF_12/2015</t>
  </si>
  <si>
    <t>MONTAGEM E DESMONTAGEM DE FÔRMA DE LAJE MACIÇA COM ÁREA MÉDIA MENOR OU IGUAL A 20 M², PÉ-DIREITO DUPLO, EM CHAPA DE MADEIRA COMPENSADA PLASTIFICADA, 18 UTILIZAÇÕES. AF_12/2015</t>
  </si>
  <si>
    <t>MONTAGEM E DESMONTAGEM DE FÔRMA DE LAJE MACIÇA COM ÁREA MÉDIA MAIOR QUE 20 M², PÉ-DIREITO DUPLO, EM CHAPA DE MADEIRA COMPENSADA PLASTIFICADA, 18 UTILIZAÇÕES. AF_12/2015</t>
  </si>
  <si>
    <t>MONTAGEM E DESMONTAGEM DE FÔRMA DE LAJE MACIÇA COM ÁREA MÉDIA MENOR OU IGUAL A 20 M², PÉ-DIREITO SIMPLES, EM CHAPA DE MADEIRA COMPENSADA PLASTIFICADA, 18 UTILIZAÇÕES. AF_12/2015</t>
  </si>
  <si>
    <t>MONTAGEM E DESMONTAGEM DE FÔRMA DE LAJE MACIÇA COM ÁREA MÉDIA MAIOR QUE 20 M², PÉ-DIREITO SIMPLES, EM CHAPA DE MADEIRA COMPENSADA PLASTIFICADA, 18 UTILIZAÇÕES. AF_12/2015</t>
  </si>
  <si>
    <t>FABRICAÇÃO E INSTALAÇÃO DE ESTRUTURA PONTALETADA DE MADEIRA NÃO APARELHADA PARA TELHADOS COM ATÉ 2 ÁGUAS E PARA TELHA CERÂMICA OU DE CONCRETO, INCLUSO TRANSPORTE VERTICAL. AF_12/2015</t>
  </si>
  <si>
    <t>FABRICAÇÃO E INSTALAÇÃO DE ESTRUTURA PONTALETADA DE MADEIRA NÃO APARELHADA PARA TELHADOS COM ATÉ 2 ÁGUAS E PARA TELHA ONDULADA DE FIBROCIMENTO, METÁLICA, PLÁSTICA OU TERMOACÚSTICA, INCLUSO TRANSPORTE VERTICAL. AF_12/2015</t>
  </si>
  <si>
    <t>FABRICAÇÃO E INSTALAÇÃO DE ESTRUTURA PONTALETADA DE MADEIRA NÃO APARELHADA PARA TELHADOS COM MAIS QUE 2 ÁGUAS E PARA TELHA CERÂMICA OU DE CONCRETO, INCLUSO TRANSPORTE VERTICAL. AF_12/2015</t>
  </si>
  <si>
    <t>FABRICAÇÃO E INSTALAÇÃO DE TESOURA INTEIRA EM AÇO, VÃO DE 3 M, PARA TELHA CERÂMICA OU DE CONCRETO, INCLUSO IÇAMENTO. AF_12/2015</t>
  </si>
  <si>
    <t>FABRICAÇÃO E INSTALAÇÃO DE TESOURA INTEIRA EM AÇO, VÃO DE 4 M, PARA TELHA CERÂMICA OU DE CONCRETO, INCLUSO IÇAMENTO. AF_12/2015</t>
  </si>
  <si>
    <t>FABRICAÇÃO E INSTALAÇÃO DE TESOURA INTEIRA EM AÇO, VÃO DE 5 M, PARA TELHA CERÂMICA OU DE CONCRETO, INCLUSO IÇAMENTO. AF_12/2015</t>
  </si>
  <si>
    <t>FABRICAÇÃO E INSTALAÇÃO DE TESOURA INTEIRA EM AÇO, VÃO DE 6 M, PARA TELHA CERÂMICA OU DE CONCRETO, INCLUSO IÇAMENTO. AF_12/2015</t>
  </si>
  <si>
    <t>FABRICAÇÃO E INSTALAÇÃO DE TESOURA INTEIRA EM AÇO, VÃO DE 7 M, PARA TELHA CERÂMICA OU DE CONCRETO, INCLUSO IÇAMENTO. AF_12/2015</t>
  </si>
  <si>
    <t>FABRICAÇÃO E INSTALAÇÃO DE TESOURA INTEIRA EM AÇO, VÃO DE 8 M, PARA TELHA CERÂMICA OU DE CONCRETO, INCLUSO IÇAMENTO. AF_12/2015</t>
  </si>
  <si>
    <t>FABRICAÇÃO E INSTALAÇÃO DE TESOURA INTEIRA EM AÇO, VÃO DE 9 M, PARA TELHA CERÂMICA OU DE CONCRETO, INCLUSO IÇAMENTO. AF_12/2015</t>
  </si>
  <si>
    <t>FABRICAÇÃO E INSTALAÇÃO DE TESOURA INTEIRA EM AÇO, VÃO DE 10 M, PARA TELHA CERÂMICA OU DE CONCRETO, INCLUSO IÇAMENTO. AF_12/2015</t>
  </si>
  <si>
    <t>FABRICAÇÃO E INSTALAÇÃO DE TESOURA INTEIRA EM AÇO, VÃO DE 11 M, PARA TELHA CERÂMICA OU DE CONCRETO, INCLUSO IÇAMENTO. AF_12/2015</t>
  </si>
  <si>
    <t>FABRICAÇÃO E INSTALAÇÃO DE TESOURA INTEIRA EM AÇO, VÃO DE 12 M, PARA TELHA CERÂMICA OU DE CONCRETO, INCLUSO IÇAMENTO. AF_12/2015</t>
  </si>
  <si>
    <t>FABRICAÇÃO E INSTALAÇÃO DE TESOURA INTEIRA EM AÇO, VÃO DE 3 M, PARA TELHA ONDULADA DE FIBROCIMENTO, METÁLICA, PLÁSTICA OU TERMOACÚSTICA, INCLUSO IÇAMENTO.. AF_12/2015</t>
  </si>
  <si>
    <t>FABRICAÇÃO E INSTALAÇÃO DE TESOURA INTEIRA EM AÇO, VÃO DE 4 M, PARA TELHA ONDULADA DE FIBROCIMENTO, METÁLICA, PLÁSTICA OU TERMOACÚSTICA, INCLUSO IÇAMENTO. AF_12/2015</t>
  </si>
  <si>
    <t>FABRICAÇÃO E INSTALAÇÃO DE TESOURA INTEIRA EM AÇO, VÃO DE 5 M, PARA TELHA ONDULADA DE FIBROCIMENTO, METÁLICA, PLÁSTICA OU TERMOACÚSTICA, INCLUSO IÇAMENTO. AF_12/2015</t>
  </si>
  <si>
    <t>FABRICAÇÃO E INSTALAÇÃO DE TESOURA INTEIRA EM AÇO, VÃO DE 6 M, PARA TELHA ONDULADA DE FIBROCIMENTO, METÁLICA, PLÁSTICA OU TERMOACÚSTICA, INCLUSO IÇAMENTO. AF_12/2015</t>
  </si>
  <si>
    <t>FABRICAÇÃO E INSTALAÇÃO DE TESOURA INTEIRA EM AÇO, VÃO DE 7 M, PARA TELHA ONDULADA DE FIBROCIMENTO, METÁLICA, PLÁSTICA OU TERMOACÚSTICA, INCLUSO IÇAMENTO. AF_12/2015</t>
  </si>
  <si>
    <t>FABRICAÇÃO E INSTALAÇÃO DE TESOURA INTEIRA EM AÇO, VÃO DE 8 M, PARA TELHA ONDULADA DE FIBROCIMENTO, METÁLICA, PLÁSTICA OU TERMOACÚSTICA, INCLUSO IÇAMENTO, INCLUSO IÇAMENTO. AF_12/2015</t>
  </si>
  <si>
    <t>FABRICAÇÃO E INSTALAÇÃO DE TESOURA INTEIRA EM AÇO, VÃO DE 9 M, PARA TELHA ONDULADA DE FIBROCIMENTO, METÁLICA, PLÁSTICA OU TERMOACÚSTICA, INCLUSO IÇAMENTO. AF_12/2015</t>
  </si>
  <si>
    <t>FABRICAÇÃO E INSTALAÇÃO DE TESOURA INTEIRA EM AÇO, VÃO DE 10 M, PARA TELHA ONDULADA DE FIBROCIMENTO, METÁLICA, PLÁSTICA OU TERMOACÚSTICA, INCLUSO IÇAMENTO. AF_12/2015</t>
  </si>
  <si>
    <t>FABRICAÇÃO E INSTALAÇÃO DE TESOURA INTEIRA EM AÇO, VÃO DE 11 M, PARA TELHA ONDULADA DE FIBROCIMENTO, METÁLICA, PLÁSTICA OU TERMOACÚSTICA, INCLUSO IÇAMENTO. AF_12/2015</t>
  </si>
  <si>
    <t>FABRICAÇÃO E INSTALAÇÃO DE TESOURA INTEIRA EM AÇO, VÃO DE 12 M, PARA TELHA ONDULADA DE FIBROCIMENTO, METÁLICA, PLÁSTICA OU TERMOACÚSTICA, INCLUSO IÇAMENTO. AF_12/2015</t>
  </si>
  <si>
    <t>JOELHO 45 GRAUS, EM FERRO GALVANIZADO, CONEXÃO ROSQUEADA, DN 80 (3"), INSTALADO EM REDE DE ALIMENTAÇÃO PARA HIDRANTE - FORNECIMENTO E INSTALAÇÃO. AF_12/2015</t>
  </si>
  <si>
    <t>JOELHO 90 GRAUS, EM FERRO GALVANIZADO, CONEXÃO ROSQUEADA, DN 80 (3"), INSTALADO EM REDE DE ALIMENTAÇÃO PARA HIDRANTE - FORNECIMENTO E INSTALAÇÃO. AF_12/2015</t>
  </si>
  <si>
    <t>TÊ, EM FERRO GALVANIZADO, CONEXÃO ROSQUEADA, DN 25 (1"), INSTALADO EM REDE DE ALIMENTAÇÃO PARA HIDRANTE - FORNECIMENTO E INSTALAÇÃO. AF_12/2015</t>
  </si>
  <si>
    <t>TÊ, EM FERRO GALVANIZADO, CONEXÃO ROSQUEADA, DN 32 (1 1/4"), INSTALADO EM REDE DE ALIMENTAÇÃO PARA HIDRANTE - FORNECIMENTO E INSTALAÇÃO. AF_12/2015</t>
  </si>
  <si>
    <t>TÊ, EM FERRO GALVANIZADO, CONEXÃO ROSQUEADA, DN 40 (1 1/2"), INSTALADO EM REDE DE ALIMENTAÇÃO PARA HIDRANTE - FORNECIMENTO E INSTALAÇÃO. AF_12/2015</t>
  </si>
  <si>
    <t>TÊ, EM FERRO GALVANIZADO, CONEXÃO ROSQUEADA, DN 50 (2"), INSTALADO EM REDE DE ALIMENTAÇÃO PARA HIDRANTE - FORNECIMENTO E INSTALAÇÃO. AF_12/2015</t>
  </si>
  <si>
    <t>TÊ, EM FERRO GALVANIZADO, CONEXÃO ROSQUEADA, DN 65 (2 1/2"), INSTALADO EM REDE DE ALIMENTAÇÃO PARA HIDRANTE - FORNECIMENTO E INSTALAÇÃO. AF_12/2015</t>
  </si>
  <si>
    <t>TÊ, EM FERRO GALVANIZADO, CONEXÃO ROSQUEADA, DN 80 (3"), INSTALADO EM REDE DE ALIMENTAÇÃO PARA HIDRANTE - FORNECIMENTO E INSTALAÇÃO. AF_12/2015</t>
  </si>
  <si>
    <t>TUBO DE AÇO PRETO SEM COSTURA, CONEXÃO SOLDADA, DN 40 (1 1/2"), INSTALADO EM REDE DE ALIMENTAÇÃO PARA SPRINKLER - FORNECIMENTO E INSTALAÇÃO. AF_12/2015</t>
  </si>
  <si>
    <t>TUBO DE AÇO PRETO SEM COSTURA, CONEXÃO SOLDADA, DN 50 (2"), INSTALADO EM REDE DE ALIMENTAÇÃO PARA SPRINKLER - FORNECIMENTO E INSTALAÇÃO. AF_12/2015</t>
  </si>
  <si>
    <t>TUBO DE AÇO PRETO SEM COSTURA, CONEXÃO SOLDADA, DN 65 (2 1/2"), INSTALADO EM REDE DE ALIMENTAÇÃO PARA SPRINKLER - FORNECIMENTO E INSTALAÇÃO. AF_12/2015</t>
  </si>
  <si>
    <t>TUBO DE AÇO GALVANIZADO COM COSTURA, CLASSE MÉDIA, CONEXÃO ROSQUEADA, DN 32 (1 1/4"), INSTALADO EM REDE DE ALIMENTAÇÃO PARA SPRINKLER - FORNECIMENTO E INSTALAÇÃO. AF_12/2015</t>
  </si>
  <si>
    <t>TUBO DE AÇO GALVANIZADO COM COSTURA, CLASSE MÉDIA, CONEXÃO ROSQUEADA, DN 40 (1 1/2"), INSTALADO EM REDE DE ALIMENTAÇÃO PARA SPRINKLER - FORNECIMENTO E INSTALAÇÃO. AF_12/2015</t>
  </si>
  <si>
    <t>TUBO DE AÇO GALVANIZADO COM COSTURA, CLASSE MÉDIA, CONEXÃO ROSQUEADA, DN 50 (2"), INSTALADO EM REDE DE ALIMENTAÇÃO PARA SPRINKLER - FORNECIMENTO E INSTALAÇÃO. AF_12/2015</t>
  </si>
  <si>
    <t>TUBO DE AÇO GALVANIZADO COM COSTURA, CLASSE MÉDIA, CONEXÃO ROSQUEADA, DN 65 (2 1/2"), INSTALADO EM REDE DE ALIMENTAÇÃO PARA SPRINKLER - FORNECIMENTO E INSTALAÇÃO. AF_12/2015</t>
  </si>
  <si>
    <t>TUBO DE AÇO GALVANIZADO COM COSTURA, CLASSE MÉDIA, CONEXÃO ROSQUEADA, DN 80 (3"), INSTALADO EM REDE DE ALIMENTAÇÃO PARA SPRINKLER - FORNECIMENTO E INSTALAÇÃO. AF_12/2015</t>
  </si>
  <si>
    <t>NIPLE, EM FERRO GALVANIZADO, CONEXÃO ROSQUEADA, DN 25 (1"), INSTALADO EM REDE DE ALIMENTAÇÃO PARA SPRINKLER - FORNECIMENTO E INSTALAÇÃO. AF_12/2015</t>
  </si>
  <si>
    <t>LUVA, EM FERRO GALVANIZADO, CONEXÃO ROSQUEADA, DN 25 (1"), INSTALADO EM REDE DE ALIMENTAÇÃO PARA SPRINKLER - FORNECIMENTO E INSTALAÇÃO. AF_12/2015</t>
  </si>
  <si>
    <t>NIPLE, EM FERRO GALVANIZADO, CONEXÃO ROSQUEADA, DN 32 (1 1/4"), INSTALADO EM REDE DE ALIMENTAÇÃO PARA SPRINKLER - FORNECIMENTO E INSTALAÇÃO. AF_12/2015</t>
  </si>
  <si>
    <t>LUVA, EM FERRO GALVANIZADO, CONEXÃO ROSQUEADA, DN 32 (1 1/4"), INSTALADO EM REDE DE ALIMENTAÇÃO PARA SPRINKLER - FORNECIMENTO E INSTALAÇÃO. AF_12/2015</t>
  </si>
  <si>
    <t>NIPLE, EM FERRO GALVANIZADO, CONEXÃO ROSQUEADA, DN 40 (1 1/2"), INSTALADO EM REDE DE ALIMENTAÇÃO PARA SPRINKLER - FORNECIMENTO E INSTALAÇÃO. AF_12/2015</t>
  </si>
  <si>
    <t>LUVA, EM FERRO GALVANIZADO, CONEXÃO ROSQUEADA, DN 40 (1 1/2"), INSTALADO EM REDE DE ALIMENTAÇÃO PARA SPRINKLER - FORNECIMENTO E INSTALAÇÃO. AF_12/2015</t>
  </si>
  <si>
    <t>NIPLE, EM FERRO GALVANIZADO, CONEXÃO ROSQUEADA, DN 50 (2"), INSTALADO EM REDE DE ALIMENTAÇÃO PARA SPRINKLER - FORNECIMENTO E INSTALAÇÃO. AF_12/2015</t>
  </si>
  <si>
    <t>LUVA, EM FERRO GALVANIZADO, CONEXÃO ROSQUEADA, DN 50 (2"), INSTALADO EM REDE DE ALIMENTAÇÃO PARA SPRINKLER - FORNECIMENTO E INSTALAÇÃO. AF_12/2015</t>
  </si>
  <si>
    <t>NIPLE, EM FERRO GALVANIZADO, CONEXÃO ROSQUEADA, DN 65 (2 1/2"), INSTALADO EM REDE DE ALIMENTAÇÃO PARA SPRINKLER - FORNECIMENTO E INSTALAÇÃO. AF_12/2015</t>
  </si>
  <si>
    <t>LUVA, EM FERRO GALVANIZADO, CONEXÃO ROSQUEADA, DN 65 (2 1/2"), INSTALADO EM REDE DE ALIMENTAÇÃO PARA SPRINKLER - FORNECIMENTO E INSTALAÇÃO. AF_12/2015</t>
  </si>
  <si>
    <t>NIPLE, EM FERRO GALVANIZADO, CONEXÃO ROSQUEADA, DN 80 (3"), INSTALADO EM REDE DE ALIMENTAÇÃO PARA SPRINKLER - FORNECIMENTO E INSTALAÇÃO. AF_12/2015</t>
  </si>
  <si>
    <t>LUVA, EM FERRO GALVANIZADO, CONEXÃO ROSQUEADA, DN 80 (3"), INSTALADO EM REDE DE ALIMENTAÇÃO PARA SPRINKLER - FORNECIMENTO E INSTALAÇÃO. AF_12/2015</t>
  </si>
  <si>
    <t>JOELHO 45 GRAUS, EM FERRO GALVANIZADO, CONEXÃO ROSQUEADA, DN 25 (1"), INSTALADO EM REDE DE ALIMENTAÇÃO PARA SPRINKLER - FORNECIMENTO E INSTALAÇÃO. AF_12/2015</t>
  </si>
  <si>
    <t>JOELHO 90 GRAUS, EM FERRO GALVANIZADO, CONEXÃO ROSQUEADA, DN 25 (1"), INSTALADO EM REDE DE ALIMENTAÇÃO PARA SPRINKLER - FORNECIMENTO E INSTALAÇÃO. AF_12/2015</t>
  </si>
  <si>
    <t>JOELHO 45 GRAUS, EM FERRO GALVANIZADO, CONEXÃO ROSQUEADA, DN 32 (1 1/4"), INSTALADO EM REDE DE ALIMENTAÇÃO PARA SPRINKLER - FORNECIMENTO E INSTALAÇÃO. AF_12/2015</t>
  </si>
  <si>
    <t>JOELHO 90 GRAUS, EM FERRO GALVANIZADO, CONEXÃO ROSQUEADA, DN 32 (1 1/4"), INSTALADO EM REDE DE ALIMENTAÇÃO PARA SPRINKLER - FORNECIMENTO E INSTALAÇÃO. AF_12/2015</t>
  </si>
  <si>
    <t>JOELHO 45 GRAUS, EM FERRO GALVANIZADO, CONEXÃO ROSQUEADA, DN 40 (1 1/2"), INSTALADO EM REDE DE ALIMENTAÇÃO PARA SPRINKLER - FORNECIMENTO E INSTALAÇÃO. AF_12/2015</t>
  </si>
  <si>
    <t>JOELHO 90 GRAUS, EM FERRO GALVANIZADO, CONEXÃO ROSQUEADA, DN 40 (1 1/2"), INSTALADO EM REDE DE ALIMENTAÇÃO PARA SPRINKLER - FORNECIMENTO E INSTALAÇÃO. AF_12/2015</t>
  </si>
  <si>
    <t>JOELHO 45 GRAUS, EM FERRO GALVANIZADO, CONEXÃO ROSQUEADA, DN 50 (2"), INSTALADO EM REDE DE ALIMENTAÇÃO PARA SPRINKLER - FORNECIMENTO E INSTALAÇÃO. AF_12/2015</t>
  </si>
  <si>
    <t>JOELHO 90 GRAUS, EM FERRO GALVANIZADO, CONEXÃO ROSQUEADA, DN 50 (2"), INSTALADO EM REDE DE ALIMENTAÇÃO PARA SPRINKLER - FORNECIMENTO E INSTALAÇÃO. AF_12/2015</t>
  </si>
  <si>
    <t>JOELHO 45 GRAUS, EM FERRO GALVANIZADO, CONEXÃO ROSQUEADA, DN 65 (2 1/2"), INSTALADO EM REDE DE ALIMENTAÇÃO PARA SPRINKLER - FORNECIMENTO E INSTALAÇÃO. AF_12/2015</t>
  </si>
  <si>
    <t>JOELHO 90 GRAUS, EM FERRO GALVANIZADO, CONEXÃO ROSQUEADA, DN 65 (2 1/2"), INSTALADO EM REDE DE ALIMENTAÇÃO PARA SPRINKLER - FORNECIMENTO E INSTALAÇÃO. AF_12/2015</t>
  </si>
  <si>
    <t>JOELHO 45 GRAUS, EM FERRO GALVANIZADO, CONEXÃO ROSQUEADA, DN 80 (3"), INSTALADO EM REDE DE ALIMENTAÇÃO PARA SPRINKLER - FORNECIMENTO E INSTALAÇÃO. AF_12/2015</t>
  </si>
  <si>
    <t>JOELHO 90 GRAUS, EM FERRO GALVANIZADO, CONEXÃO ROSQUEADA, DN 80 (3"), INSTALADO EM REDE DE ALIMENTAÇÃO PARA SPRINKLER - FORNECIMENTO E INSTALAÇÃO. AF_12/2015</t>
  </si>
  <si>
    <t>TÊ, EM FERRO GALVANIZADO, CONEXÃO ROSQUEADA, DN 25 (1"), INSTALADO EM REDE DE ALIMENTAÇÃO PARA SPRINKLER - FORNECIMENTO E INSTALAÇÃO. AF_12/2015</t>
  </si>
  <si>
    <t>TÊ, EM FERRO GALVANIZADO, CONEXÃO ROSQUEADA, DN 32 (1 1/4"), INSTALADO EM REDE DE ALIMENTAÇÃO PARA SPRINKLER - FORNECIMENTO E INSTALAÇÃO. AF_12/2015</t>
  </si>
  <si>
    <t>TÊ, EM FERRO GALVANIZADO, CONEXÃO ROSQUEADA, DN 40 (1 1/2"), INSTALADO EM REDE DE ALIMENTAÇÃO PARA SPRINKLER - FORNECIMENTO E INSTALAÇÃO. AF_12/2015</t>
  </si>
  <si>
    <t>TÊ, EM FERRO GALVANIZADO, CONEXÃO ROSQUEADA, DN 50 (2"), INSTALADO EM REDE DE ALIMENTAÇÃO PARA SPRINKLER - FORNECIMENTO E INSTALAÇÃO. AF_12/2015</t>
  </si>
  <si>
    <t>TÊ, EM FERRO GALVANIZADO, CONEXÃO ROSQUEADA, DN 65 (2 1/2"), INSTALADO EM REDE DE ALIMENTAÇÃO PARA SPRINKLER - FORNECIMENTO E INSTALAÇÃO. AF_12/2015</t>
  </si>
  <si>
    <t>TÊ, EM FERRO GALVANIZADO, CONEXÃO ROSQUEADA, DN 80 (3"), INSTALADO EM REDE DE ALIMENTAÇÃO PARA SPRINKLER - FORNECIMENTO E INSTALAÇÃO. AF_12/2015</t>
  </si>
  <si>
    <t>TUBO DE AÇO PRETO SEM COSTURA, CLASSE MÉDIA, CONEXÃO SOLDADA, DN 15 (1/2"), INSTALADO EM RAMAIS E SUB-RAMAIS DE GÁS - FORNECIMENTO E INSTALAÇÃO. AF_12/2015</t>
  </si>
  <si>
    <t>TUBO DE AÇO PRETO SEM COSTURA, CLASSE MÉDIA, CONEXÃO SOLDADA, DN 20 (3/4"), INSTALADO EM RAMAIS E SUB-RAMAIS DE GÁS - FORNECIMENTO E INSTALAÇÃO. AF_12/2015</t>
  </si>
  <si>
    <t>NIPLE, EM FERRO GALVANIZADO, CONEXÃO ROSQUEADA, DN 15 (1/2"), INSTALADO EM RAMAIS E SUB-RAMAIS DE GÁS - FORNECIMENTO E INSTALAÇÃO. AF_12/2015</t>
  </si>
  <si>
    <t>NIPLE, EM FERRO GALVANIZADO, CONEXÃO ROSQUEADA, DN 20 (3/4"), INSTALADO EM RAMAIS E SUB-RAMAIS DE GÁS - FORNECIMENTO E INSTALAÇÃO. AF_12/2015</t>
  </si>
  <si>
    <t>LUVA, EM FERRO GALVANIZADO, CONEXÃO ROSQUEADA, DN 25 (1"), INSTALADO EM RAMAIS E SUB-RAMAIS DE GÁS - FORNECIMENTO E INSTALAÇÃO. AF_12/2015</t>
  </si>
  <si>
    <t>JOELHO 45 GRAUS, EM FERRO GALVANIZADO, CONEXÃO ROSQUEADA, DN 15 (1/2"), INSTALADO EM RAMAIS E SUB-RAMAIS DE GÁS - FORNECIMENTO E INSTALAÇÃO. AF_12/2015</t>
  </si>
  <si>
    <t>JOELHO 90 GRAUS, EM FERRO GALVANIZADO, CONEXÃO ROSQUEADA, DN 15 (1/2"), INSTALADO EM RAMAIS E SUB-RAMAIS DE GÁS - FORNECIMENTO E INSTALAÇÃO. AF_12/2015</t>
  </si>
  <si>
    <t>JOELHO 45 GRAUS, EM FERRO GALVANIZADO, CONEXÃO ROSQUEADA, DN 20 (3/4"), INSTALADO EM RAMAIS E SUB-RAMAIS DE GÁS - FORNECIMENTO E INSTALAÇÃO. AF_12/2015</t>
  </si>
  <si>
    <t>JOELHO 90 GRAUS, EM FERRO GALVANIZADO, CONEXÃO ROSQUEADA, DN 20 (3/4"), INSTALADO EM RAMAIS E SUB-RAMAIS DE GÁS - FORNECIMENTO E INSTALAÇÃO. AF_12/2015</t>
  </si>
  <si>
    <t>JOELHO 45 GRAUS, EM FERRO GALVANIZADO, CONEXÃO ROSQUEADA, DN 25 (1"), INSTALADO EM RAMAIS E SUB-RAMAIS DE GÁS - FORNECIMENTO E INSTALAÇÃO. AF_12/2015</t>
  </si>
  <si>
    <t>JOELHO 90 GRAUS, EM FERRO GALVANIZADO, CONEXÃO ROSQUEADA, DN 25 (1"), INSTALADO EM RAMAIS E SUB-RAMAIS DE GÁS - FORNECIMENTO E INSTALAÇÃO. AF_12/2015</t>
  </si>
  <si>
    <t>TÊ, EM FERRO GALVANIZADO, CONEXÃO ROSQUEADA, DN 15 (1/2"), INSTALADO EM RAMAIS E SUB-RAMAIS DE GÁS - FORNECIMENTO E INSTALAÇÃO. AF_12/2015</t>
  </si>
  <si>
    <t>TÊ, EM FERRO GALVANIZADO, CONEXÃO ROSQUEADA, DN 20 (3/4"), INSTALADO EM RAMAIS E SUB-RAMAIS DE GÁS - FORNECIMENTO E INSTALAÇÃO. AF_12/2015</t>
  </si>
  <si>
    <t>APARELHO PARA CORTE E SOLDA OXI-ACETILENO SOBRE RODAS, INCLUSIVE CILINDROS E MAÇARICOS - DEPRECIAÇÃO. AF_12/2015</t>
  </si>
  <si>
    <t>APARELHO PARA CORTE E SOLDA OXI-ACETILENO SOBRE RODAS, INCLUSIVE CILINDROS E MAÇARICOS - JUROS. AF_12/2015</t>
  </si>
  <si>
    <t>APARELHO PARA CORTE E SOLDA OXI-ACETILENO SOBRE RODAS, INCLUSIVE CILINDROS E MAÇARICOS - MANUTENÇÃO. AF_12/2015</t>
  </si>
  <si>
    <t>APARELHO PARA CORTE E SOLDA OXI-ACETILENO SOBRE RODAS, INCLUSIVE CILINDROS E MAÇARICOS - MATERIAIS NA OPERAÇÃO. AF_12/2015</t>
  </si>
  <si>
    <t>APARELHO PARA CORTE E SOLDA OXI-ACETILENO SOBRE RODAS, INCLUSIVE CILINDROS E MAÇARICOS - CHP DIURNO. AF_12/2015</t>
  </si>
  <si>
    <t>APARELHO PARA CORTE E SOLDA OXI-ACETILENO SOBRE RODAS, INCLUSIVE CILINDROS E MAÇARICOS - CHI DIURNO. AF_12/2015</t>
  </si>
  <si>
    <t>CONCRETAGEM DE PILARES, FCK = 25 MPA,  COM USO DE BALDES EM EDIFICAÇÃO COM SEÇÃO MÉDIA DE PILARES MENOR OU IGUAL A 0,25 M² - LANÇAMENTO, ADENSAMENTO E ACABAMENTO. AF_12/2015</t>
  </si>
  <si>
    <t>CONCRETAGEM DE PILARES, FCK = 25 MPA, COM USO DE GRUA EM EDIFICAÇÃO COM SEÇÃO MÉDIA DE PILARES MENOR OU IGUAL A 0,25 M² - LANÇAMENTO, ADENSAMENTO E ACABAMENTO. AF_12/2015</t>
  </si>
  <si>
    <t>CONCRETAGEM DE PILARES, FCK = 25 MPA, COM USO DE BOMBA EM EDIFICAÇÃO COM SEÇÃO MÉDIA DE PILARES MENOR OU IGUAL A 0,25 M² - LANÇAMENTO, ADENSAMENTO E ACABAMENTO. AF_12/2015</t>
  </si>
  <si>
    <t>CONCRETAGEM DE PILARES, FCK = 25 MPA, COM USO DE GRUA EM EDIFICAÇÃO COM SEÇÃO MÉDIA DE PILARES MAIOR QUE 0,25 M² - LANÇAMENTO, ADENSAMENTO E ACABAMENTO. AF_12/2015</t>
  </si>
  <si>
    <t>CONCRETAGEM DE PILARES, FCK = 25 MPA, COM USO DE BOMBA EM EDIFICAÇÃO COM SEÇÃO MÉDIA DE PILARES MAIOR QUE 0,25 M² - LANÇAMENTO, ADENSAMENTO E ACABAMENTO. AF_12/2015</t>
  </si>
  <si>
    <t>CONCRETAGEM DE VIGAS E LAJES, FCK=20 MPA, PARA LAJES PREMOLDADAS COM USO DE BOMBA EM EDIFICAÇÃO COM ÁREA MÉDIA DE LAJES MENOR OU IGUAL A 20 M² - LANÇAMENTO, ADENSAMENTO E ACABAMENTO. AF_12/2015</t>
  </si>
  <si>
    <t>CONCRETAGEM DE VIGAS E LAJES, FCK=20 MPA, PARA LAJES PREMOLDADAS COM USO DE BOMBA EM EDIFICAÇÃO COM ÁREA MÉDIA DE LAJES MAIOR QUE 20 M² - LANÇAMENTO, ADENSAMENTO E ACABAMENTO. AF_12/2015</t>
  </si>
  <si>
    <t>CONCRETAGEM DE VIGAS E LAJES, FCK=20 MPA, PARA LAJES MACIÇAS OU NERVURADAS COM USO DE BOMBA EM EDIFICAÇÃO COM ÁREA MÉDIA DE LAJES MENOR OU IGUAL A 20 M² - LANÇAMENTO, ADENSAMENTO E ACABAMENTO. AF_12/2015</t>
  </si>
  <si>
    <t>CONCRETAGEM DE VIGAS E LAJES, FCK=20 MPA, PARA LAJES MACIÇAS OU NERVURADAS COM USO DE BOMBA EM EDIFICAÇÃO COM ÁREA MÉDIA DE LAJES MAIOR QUE 20 M² - LANÇAMENTO, ADENSAMENTO E ACABAMENTO. AF_12/2015</t>
  </si>
  <si>
    <t>CONCRETAGEM DE VIGAS E LAJES, FCK=20 MPA, PARA LAJES PREMOLDADAS COM JERICAS EM ELEVADOR DE CABO EM EDIFICAÇÃO DE MULTIPAVIMENTOS ATÉ 16 ANDARES, COM ÁREA MÉDIA DE LAJES MENOR OU IGUAL A 20 M² - LANÇAMENTO, ADENSAMENTO E ACABAMENTO. AF_12/2015</t>
  </si>
  <si>
    <t>CONCRETAGEM DE VIGAS E LAJES, FCK=20 MPA, PARA LAJES PREMOLDADAS COM JERICAS EM ELEVADOR DE CABO EM EDIFICAÇÃO DE MULTIPAVIMENTOS ATÉ 16 ANDARES, COM ÁREA MÉDIA DE LAJES MAIOR QUE 20 M² - LANÇAMENTO, ADENSAMENTO E ACABAMENTO. AF_12/2015</t>
  </si>
  <si>
    <t>CONCRETAGEM DE VIGAS E LAJES, FCK=20 MPA, PARA LAJES MACIÇAS OU NERVURADAS COM JERICAS EM ELEVADOR DE CABO EM EDIFICAÇÃO DE MULTIPAVIMENTOS ATÉ 16 ANDARES, COM ÁREA MÉDIA DE LAJES MAIOR QUE 20 M² - LANÇAMENTO, ADENSAMENTO E ACABAMENTO. AF_12/2015</t>
  </si>
  <si>
    <t>CONCRETAGEM DE VIGAS E LAJES, FCK=20 MPA, PARA LAJES PREMOLDADAS COM JERICAS EM CREMALHEIRA EM EDIFICAÇÃO DE MULTIPAVIMENTOS ATÉ 16 ANDARES, COM ÁREA MÉDIA DE LAJES MENOR OU IGUAL A 20 M² - LANÇAMENTO, ADENSAMENTO E ACABAMENTO. AF_12/2015</t>
  </si>
  <si>
    <t>CONCRETAGEM DE VIGAS E LAJES, FCK=20 MPA, PARA LAJES PREMOLDADAS COM JERICAS EM CREMALHEIRA EM EDIFICAÇÃO DE MULTIPAVIMENTOS ATÉ 16 ANDARES, COM ÁREA MÉDIA DE LAJES MAIOR QUE 20 M² - LANÇAMENTO, ADENSAMENTO E ACABAMENTO. AF_12/2015</t>
  </si>
  <si>
    <t>CONCRETAGEM DE VIGAS E LAJES, FCK=20 MPA, PARA LAJES MACIÇAS OU NERVURADAS COM JERICAS EM CREMALHEIRA EM EDIFICAÇÃO DE MULTIPAVIMENTOS ATÉ 16 ANDARES, COM ÁREA MÉDIA DE LAJES MENOR OU IGUAL A 20 M² - LANÇAMENTO, ADENSAMENTO E ACABAMENTO. AF_12/2015</t>
  </si>
  <si>
    <t>CONCRETAGEM DE VIGAS E LAJES, FCK=20 MPA, PARA LAJES MACIÇAS OU NERVURADAS COM JERICAS EM CREMALHEIRA EM EDIFICAÇÃO DE MULTIPAVIMENTOS ATÉ 16 ANDARES, COM ÁREA MÉDIA DE LAJES MAIOR QUE 20 M² - LANÇAMENTO, ADENSAMENTO E ACABAMENTO. AF_12/2015</t>
  </si>
  <si>
    <t>CONCRETAGEM DE VIGAS E LAJES, FCK=20 MPA, PARA LAJES PREMOLDADAS COM GRUA DE CAÇAMBA DE 350 L EM EDIFICAÇÃO DE MULTIPAVIMENTOS ATÉ 16 ANDARES, COM ÁREA MÉDIA DE LAJES MENOR OU IGUAL A 20 M² - LANÇAMENTO, ADENSAMENTO E ACABAMENTO. AF_12/2015</t>
  </si>
  <si>
    <t>CONCRETAGEM DE VIGAS E LAJES, FCK=20 MPA, PARA LAJES PREMOLDADAS COM GRUA DE CAÇAMBA DE 350 L EM EDIFICAÇÃO DE MULTIPAVIMENTOS ATÉ 16 ANDARES, COM ÁREA MÉDIA DE LAJES MAIOR QUE 20 M² - LANÇAMENTO, ADENSAMENTO E ACABAMENTO. AF_12/2015</t>
  </si>
  <si>
    <t>CONCRETAGEM DE VIGAS E LAJES, FCK=20 MPA, PARA LAJES MACIÇAS OU NERVURADAS COM GRUA DE CAÇAMBA DE 500 L EM EDIFICAÇÃO DE MULTIPAVIMENTOS ATÉ 16 ANDARES, COM ÁREA MÉDIA DE LAJES MENOR OU IGUAL A 20 M² - LANÇAMENTO, ADENSAMENTO E ACABAMENTO. AF_12/2015</t>
  </si>
  <si>
    <t>CONCRETAGEM DE VIGAS E LAJES, FCK=20 MPA, PARA LAJES MACIÇAS OU NERVURADAS COM GRUA DE CAÇAMBA DE 500 L EM EDIFICAÇÃO DE MULTIPAVIMENTOS ATÉ 16 ANDARES, COM ÁREA MÉDIA DE LAJES MAIOR QUE 20 M² - LANÇAMENTO, ADENSAMENTO E ACABAMENTO. AF_12/2015</t>
  </si>
  <si>
    <t>CONCRETAGEM DE VIGAS E LAJES, FCK=20 MPA, PARA QUALQUER TIPO DE LAJE COM BALDES EM EDIFICAÇÃO TÉRREA, COM ÁREA MÉDIA DE LAJES MENOR OU IGUAL A 20 M² - LANÇAMENTO, ADENSAMENTO E ACABAMENTO. AF_12/2015</t>
  </si>
  <si>
    <t>CONCRETAGEM DE VIGAS E LAJES, FCK=20 MPA, PARA QUALQUER TIPO DE LAJE COM BALDES EM EDIFICAÇÃO DE MULTIPAVIMENTOS ATÉ 04 ANDARES, COM ÁREA MÉDIA DE LAJES MENOR OU IGUAL A 20 M² - LANÇAMENTO, ADENSAMENTO E ACABAMENTO. AF_12/2015</t>
  </si>
  <si>
    <t>PROTEÇÃO SUPERFICIAL DE CANAL EM GABIÃO TIPO COLCHÃO, ALTURA DE 17 CENTÍMETROS, ENCHIMENTO COM PEDRA DE MÃO TIPO RACHÃO - FORNECIMENTO E EXECUÇÃO. AF_12/2015</t>
  </si>
  <si>
    <t>PROTEÇÃO SUPERFICIAL DE CANAL EM GABIÃO TIPO COLCHÃO, ALTURA DE 23 CENTÍMETROS, ENCHIMENTO COM PEDRA DE MÃO TIPO RACHÃO - FORNECIMENTO E EXECUÇÃO. AF_12/2015</t>
  </si>
  <si>
    <t>PROTEÇÃO SUPERFICIAL DE CANAL EM GABIÃO TIPO COLCHÃO, ALTURA DE 30 CENTÍMETROS, ENCHIMENTO COM PEDRA DE MÃO TIPO RACHÃO - FORNECIMENTO E EXECUÇÃO. AF_12/2015</t>
  </si>
  <si>
    <t>PROTEÇÃO SUPERFICIAL DE CANAL EM GABIÃO TIPO SACO, DIÂMETRO DE 65 CENTÍMETROS, ENCHIMENTO MANUAL COM PEDRA DE MÃO TIPO RACHÃO - FORNECIMENTO E EXECUÇÃO. AF_12/2015</t>
  </si>
  <si>
    <t>ARMAÇÃO DE PILAR OU VIGA DE UMA ESTRUTURA CONVENCIONAL DE CONCRETO ARMADO EM UM EDIFÍCIO DE MÚLTIPLOS PAVIMENTOS UTILIZANDO AÇO CA-60 DE 5,0 MM - MONTAGEM. AF_12/2015</t>
  </si>
  <si>
    <t>ARMAÇÃO DE PILAR OU VIGA DE UMA ESTRUTURA CONVENCIONAL DE CONCRETO ARMADO EM UM EDIFÍCIO DE MÚLTIPLOS PAVIMENTOS UTILIZANDO AÇO CA-50 DE 6,3 MM - MONTAGEM. AF_12/2015</t>
  </si>
  <si>
    <t>ARMAÇÃO DE PILAR OU VIGA DE UMA ESTRUTURA CONVENCIONAL DE CONCRETO ARMADO EM UM EDIFÍCIO DE MÚLTIPLOS PAVIMENTOS UTILIZANDO AÇO CA-50 DE 8,0 MM - MONTAGEM. AF_12/2015</t>
  </si>
  <si>
    <t>ARMAÇÃO DE PILAR OU VIGA DE UMA ESTRUTURA CONVENCIONAL DE CONCRETO ARMADO EM UM EDIFÍCIO DE MÚLTIPLOS PAVIMENTOS UTILIZANDO AÇO CA-50 DE 10,0 MM - MONTAGEM. AF_12/2015</t>
  </si>
  <si>
    <t>ARMAÇÃO DE PILAR OU VIGA DE UMA ESTRUTURA CONVENCIONAL DE CONCRETO ARMADO EM UM EDIFÍCIO DE MÚLTIPLOS PAVIMENTOS UTILIZANDO AÇO CA-50 DE 12,5 MM - MONTAGEM. AF_12/2015</t>
  </si>
  <si>
    <t>ARMAÇÃO DE PILAR OU VIGA DE UMA ESTRUTURA CONVENCIONAL DE CONCRETO ARMADO EM UM EDIFÍCIO DE MÚLTIPLOS PAVIMENTOS UTILIZANDO AÇO CA-50 DE 16,0 MM - MONTAGEM. AF_12/2015</t>
  </si>
  <si>
    <t>ARMAÇÃO DE PILAR OU VIGA DE UMA ESTRUTURA CONVENCIONAL DE CONCRETO ARMADO EM UM EDIFÍCIO DE MÚLTIPLOS PAVIMENTOS UTILIZANDO AÇO CA-50 DE 20,0 MM - MONTAGEM. AF_12/2015</t>
  </si>
  <si>
    <t>ARMAÇÃO DE PILAR OU VIGA DE UMA ESTRUTURA CONVENCIONAL DE CONCRETO ARMADO EM UM EDIFÍCIO DE MÚLTIPLOS PAVIMENTOS UTILIZANDO AÇO CA-50 DE 25,0 MM - MONTAGEM. AF_12/2015</t>
  </si>
  <si>
    <t>ARMAÇÃO DE LAJE DE UMA ESTRUTURA CONVENCIONAL DE CONCRETO ARMADO EM UM EDIFÍCIO DE MÚLTIPLOS PAVIMENTOS UTILIZANDO AÇO CA-60 DE 4,2 MM - MONTAGEM. AF_12/2015</t>
  </si>
  <si>
    <t>ARMAÇÃO DE LAJE DE UMA ESTRUTURA CONVENCIONAL DE CONCRETO ARMADO EM UM EDIFÍCIO DE MÚLTIPLOS PAVIMENTOS UTILIZANDO AÇO CA-60 DE 5,0 MM - MONTAGEM. AF_12/2015</t>
  </si>
  <si>
    <t>ARMAÇÃO DE LAJE DE UMA ESTRUTURA CONVENCIONAL DE CONCRETO ARMADO EM UM EDIFÍCIO DE MÚLTIPLOS PAVIMENTOS UTILIZANDO AÇO CA-50 DE 6,3 MM - MONTAGEM. AF_12/2015</t>
  </si>
  <si>
    <t>ARMAÇÃO DE LAJE DE UMA ESTRUTURA CONVENCIONAL DE CONCRETO ARMADO EM UM EDIFÍCIO DE MÚLTIPLOS PAVIMENTOS UTILIZANDO AÇO CA-50 DE 8,0 MM - MONTAGEM. AF_12/2015</t>
  </si>
  <si>
    <t>ARMAÇÃO DE LAJE DE UMA ESTRUTURA CONVENCIONAL DE CONCRETO ARMADO EM UM EDIFÍCIO DE MÚLTIPLOS PAVIMENTOS UTILIZANDO AÇO CA-50 DE 10,0 MM - MONTAGEM. AF_12/2015</t>
  </si>
  <si>
    <t>ARMAÇÃO DE LAJE DE UMA ESTRUTURA CONVENCIONAL DE CONCRETO ARMADO EM UM EDIFÍCIO DE MÚLTIPLOS PAVIMENTOS UTILIZANDO AÇO CA-50 DE 12,5 MM - MONTAGEM. AF_12/2015</t>
  </si>
  <si>
    <t>ARMAÇÃO DE LAJE DE UMA ESTRUTURA CONVENCIONAL DE CONCRETO ARMADO EM UM EDIFÍCIO DE MÚLTIPLOS PAVIMENTOS UTILIZANDO AÇO CA-50 DE 16,0 MM - MONTAGEM. AF_12/2015</t>
  </si>
  <si>
    <t>ARMAÇÃO DE LAJE DE UMA ESTRUTURA CONVENCIONAL DE CONCRETO ARMADO EM UM EDIFÍCIO DE MÚLTIPLOS PAVIMENTOS UTILIZANDO AÇO CA-50 DE 20,0 MM - MONTAGEM. AF_12/2015</t>
  </si>
  <si>
    <t>ARMAÇÃO DE PILAR OU VIGA DE UMA ESTRUTURA CONVENCIONAL DE CONCRETO ARMADO EM UMA EDIFICAÇÃO TÉRREA OU SOBRADO UTILIZANDO AÇO CA-60 DE 5,0 MM - MONTAGEM. AF_12/2015</t>
  </si>
  <si>
    <t>ARMAÇÃO DE PILAR OU VIGA DE UMA ESTRUTURA CONVENCIONAL DE CONCRETO ARMADO EM UMA EDIFICAÇÃO TÉRREA OU SOBRADO UTILIZANDO AÇO CA-50 DE 6,3 MM - MONTAGEM. AF_12/2015</t>
  </si>
  <si>
    <t>ARMAÇÃO DE PILAR OU VIGA DE UMA ESTRUTURA CONVENCIONAL DE CONCRETO ARMADO EM UMA EDIFICAÇÃO TÉRREA OU SOBRADO UTILIZANDO AÇO CA-50 DE 8,0 MM - MONTAGEM. AF_12/2015</t>
  </si>
  <si>
    <t>ARMAÇÃO DE PILAR OU VIGA DE UMA ESTRUTURA CONVENCIONAL DE CONCRETO ARMADO EM UMA EDIFICAÇÃO TÉRREA OU SOBRADO UTILIZANDO AÇO CA-50 DE 10,0 MM - MONTAGEM. AF_12/2015</t>
  </si>
  <si>
    <t>ARMAÇÃO DE PILAR OU VIGA DE UMA ESTRUTURA CONVENCIONAL DE CONCRETO ARMADO EM UMA EDIFICAÇÃO TÉRREA OU SOBRADO UTILIZANDO AÇO CA-50 DE 12,5 MM - MONTAGEM. AF_12/2015</t>
  </si>
  <si>
    <t>ARMAÇÃO DE PILAR OU VIGA DE UMA ESTRUTURA CONVENCIONAL DE CONCRETO ARMADO EM UMA EDIFICAÇÃO TÉRREA OU SOBRADO UTILIZANDO AÇO CA-50 DE 16,0 MM - MONTAGEM. AF_12/2015</t>
  </si>
  <si>
    <t>ARMAÇÃO DE PILAR OU VIGA DE UMA ESTRUTURA CONVENCIONAL DE CONCRETO ARMADO EM UMA EDIFICAÇÃO TÉRREA OU SOBRADO UTILIZANDO AÇO CA-50 DE 20,0 MM - MONTAGEM. AF_12/2015</t>
  </si>
  <si>
    <t>ARMAÇÃO DE PILAR OU VIGA DE UMA ESTRUTURA CONVENCIONAL DE CONCRETO ARMADO EM UMA EDIFICAÇÃO TÉRREA OU SOBRADO UTILIZANDO AÇO CA-50 DE 25,0 MM - MONTAGEM. AF_12/2015</t>
  </si>
  <si>
    <t>ARMAÇÃO DE LAJE DE UMA ESTRUTURA CONVENCIONAL DE CONCRETO ARMADO EM UMA EDIFICAÇÃO TÉRREA OU SOBRADO UTILIZANDO AÇO CA-60 DE 4,2 MM - MONTAGEM. AF_12/2015</t>
  </si>
  <si>
    <t>ARMAÇÃO DE LAJE DE UMA ESTRUTURA CONVENCIONAL DE CONCRETO ARMADO EM UMA EDIFICAÇÃO TÉRREA OU SOBRADO UTILIZANDO AÇO CA-60 DE 5,0 MM - MONTAGEM. AF_12/2015</t>
  </si>
  <si>
    <t>ARMAÇÃO DE LAJE DE UMA ESTRUTURA CONVENCIONAL DE CONCRETO ARMADO EM UMA EDIFICAÇÃO TÉRREA OU SOBRADO UTILIZANDO AÇO CA-50 DE 6,3 MM - MONTAGEM. AF_12/2015</t>
  </si>
  <si>
    <t>ARMAÇÃO DE LAJE DE UMA ESTRUTURA CONVENCIONAL DE CONCRETO ARMADO EM UMA EDIFICAÇÃO TÉRREA OU SOBRADO UTILIZANDO AÇO CA-50 DE 8,0 MM - MONTAGEM. AF_12/2015</t>
  </si>
  <si>
    <t>ARMAÇÃO DE LAJE DE UMA ESTRUTURA CONVENCIONAL DE CONCRETO ARMADO EM UMA EDIFICAÇÃO TÉRREA OU SOBRADO UTILIZANDO AÇO CA-50 DE 10,0 MM - MONTAGEM. AF_12/2015</t>
  </si>
  <si>
    <t>ARMAÇÃO DE LAJE DE UMA ESTRUTURA CONVENCIONAL DE CONCRETO ARMADO EM UMA EDIFICAÇÃO TÉRREA OU SOBRADO UTILIZANDO AÇO CA-50 DE 12,5 MM - MONTAGEM. AF_12/2015</t>
  </si>
  <si>
    <t>ARMAÇÃO DE LAJE DE UMA ESTRUTURA CONVENCIONAL DE CONCRETO ARMADO EM UMA EDIFICAÇÃO TÉRREA OU SOBRADO UTILIZANDO AÇO CA-50 DE 16,0 MM - MONTAGEM. AF_12/2015</t>
  </si>
  <si>
    <t>ARMAÇÃO DE LAJE DE UMA ESTRUTURA CONVENCIONAL DE CONCRETO ARMADO EM UMA EDIFICAÇÃO TÉRREA OU SOBRADO UTILIZANDO AÇO CA-50 DE 20,0 MM - MONTAGEM. AF_12/2015</t>
  </si>
  <si>
    <t>CORTE E DOBRA DE AÇO CA-60, DIÂMETRO DE 5,0 MM, UTILIZADO EM ESTRUTURAS DIVERSAS, EXCETO LAJES. AF_12/2015</t>
  </si>
  <si>
    <t>CORTE E DOBRA DE AÇO CA-50, DIÂMETRO DE 6,3 MM, UTILIZADO EM ESTRUTURAS DIVERSAS, EXCETO LAJES. AF_12/2015</t>
  </si>
  <si>
    <t>CORTE E DOBRA DE AÇO CA-50, DIÂMETRO DE 8,0 MM, UTILIZADO EM ESTRUTURAS DIVERSAS, EXCETO LAJES. AF_12/2015</t>
  </si>
  <si>
    <t>CORTE E DOBRA DE AÇO CA-50, DIÂMETRO DE 10,0 MM, UTILIZADO EM ESTRUTURAS DIVERSAS, EXCETO LAJES. AF_12/2015</t>
  </si>
  <si>
    <t>CORTE E DOBRA DE AÇO CA-50, DIÂMETRO DE 12,5 MM, UTILIZADO EM ESTRUTURAS DIVERSAS, EXCETO LAJES. AF_12/2015</t>
  </si>
  <si>
    <t>CORTE E DOBRA DE AÇO CA-50, DIÂMETRO DE 16,0 MM, UTILIZADO EM ESTRUTURAS DIVERSAS, EXCETO LAJES. AF_12/2015</t>
  </si>
  <si>
    <t>CORTE E DOBRA DE AÇO CA-50, DIÂMETRO DE 20,0 MM, UTILIZADO EM ESTRUTURAS DIVERSAS, EXCETO LAJES. AF_12/2015</t>
  </si>
  <si>
    <t>CORTE E DOBRA DE AÇO CA-50, DIÂMETRO DE 25,0 MM, UTILIZADO EM ESTRUTURAS DIVERSAS, EXCETO LAJES. AF_12/2015</t>
  </si>
  <si>
    <t>CORTE E DOBRA DE AÇO CA-60, DIÂMETRO DE 4,2 MM, UTILIZADO EM LAJE. AF_12/2015</t>
  </si>
  <si>
    <t>CORTE E DOBRA DE AÇO CA-60, DIÂMETRO DE 5,0 MM, UTILIZADO EM LAJE. AF_12/2015</t>
  </si>
  <si>
    <t>CORTE E DOBRA DE AÇO CA-50, DIÂMETRO DE 6,3 MM, UTILIZADO EM LAJE. AF_12/2015</t>
  </si>
  <si>
    <t>CORTE E DOBRA DE AÇO CA-50, DIÂMETRO DE 8,0 MM, UTILIZADO EM LAJE. AF_12/2015</t>
  </si>
  <si>
    <t>CORTE E DOBRA DE AÇO CA-50, DIÂMETRO DE 10,0 MM, UTILIZADO EM LAJE. AF_12/2015</t>
  </si>
  <si>
    <t>CORTE E DOBRA DE AÇO CA-50, DIÂMETRO DE 12,5 MM, UTILIZADO EM LAJE. AF_12/2015</t>
  </si>
  <si>
    <t>CORTE E DOBRA DE AÇO CA-50, DIÂMETRO DE 16,0 MM, UTILIZADO EM LAJE. AF_12/2015</t>
  </si>
  <si>
    <t>CORTE E DOBRA DE AÇO CA-50, DIÂMETRO DE 20,0 MM, UTILIZADO EM LAJE. AF_12/2015</t>
  </si>
  <si>
    <t>ASSENTAMENTO DE TUBO DE CONCRETO PARA REDES COLETORAS DE ÁGUAS PLUVIAIS, DIÂMETRO DE 300 MM, JUNTA RÍGIDA, INSTALADO EM LOCAL COM BAIXO NÍVEL DE INTERFERÊNCIAS (NÃO INCLUI FORNECIMENTO). AF_12/2015</t>
  </si>
  <si>
    <t>ASSENTAMENTO DE TUBO DE CONCRETO PARA REDES COLETORAS DE ÁGUAS PLUVIAIS, DIÂMETRO DE 400 MM, JUNTA RÍGIDA, INSTALADO EM LOCAL COM BAIXO NÍVEL DE INTERFERÊNCIAS (NÃO INCLUI FORNECIMENTO). AF_12/2015</t>
  </si>
  <si>
    <t>ASSENTAMENTO DE TUBO DE CONCRETO PARA REDES COLETORAS DE ÁGUAS PLUVIAIS, DIÂMETRO DE 500 MM, JUNTA RÍGIDA, INSTALADO EM LOCAL COM BAIXO NÍVEL DE INTERFERÊNCIAS (NÃO INCLUI FORNECIMENTO). AF_12/2015</t>
  </si>
  <si>
    <t>ASSENTAMENTO DE TUBO DE CONCRETO PARA REDES COLETORAS DE ÁGUAS PLUVIAIS, DIÂMETRO DE 600 MM, JUNTA RÍGIDA, INSTALADO EM LOCAL COM BAIXO NÍVEL DE INTERFERÊNCIAS (NÃO INCLUI FORNECIMENTO). AF_12/2015</t>
  </si>
  <si>
    <t>ASSENTAMENTO DE TUBO DE CONCRETO PARA REDES COLETORAS DE ÁGUAS PLUVIAIS, DIÂMETRO DE 700 MM, JUNTA RÍGIDA, INSTALADO EM LOCAL COM BAIXO NÍVEL DE INTERFERÊNCIAS (NÃO INCLUI FORNECIMENTO). AF_12/2015</t>
  </si>
  <si>
    <t>ASSENTAMENTO DE TUBO DE CONCRETO PARA REDES COLETORAS DE ÁGUAS PLUVIAIS, DIÂMETRO DE 800 MM, JUNTA RÍGIDA, INSTALADO EM LOCAL COM BAIXO NÍVEL DE INTERFERÊNCIAS (NÃO INCLUI FORNECIMENTO). AF_12/2015</t>
  </si>
  <si>
    <t>ASSENTAMENTO DE TUBO DE CONCRETO PARA REDES COLETORAS DE ÁGUAS PLUVIAIS, DIÂMETRO DE 900 MM, JUNTA RÍGIDA, INSTALADO EM LOCAL COM BAIXO NÍVEL DE INTERFERÊNCIAS (NÃO INCLUI FORNECIMENTO). AF_12/2015</t>
  </si>
  <si>
    <t>ASSENTAMENTO DE TUBO DE CONCRETO PARA REDES COLETORAS DE ÁGUAS PLUVIAIS, DIÂMETRO DE 1000 MM, JUNTA RÍGIDA, INSTALADO EM LOCAL COM BAIXO NÍVEL DE INTERFERÊNCIAS (NÃO INCLUI FORNECIMENTO). AF_12/2015</t>
  </si>
  <si>
    <t>TUBO DE CONCRETO PARA REDES COLETORAS DE ÁGUAS PLUVIAIS, DIÂMETRO DE 1200 MM, JUNTA RÍGIDA, INSTALADO EM LOCAL COM BAIXO NÍVEL DE INTERFERÊNCIAS - FORNECIMENTO E ASSENTAMENTO. AF_12/2015</t>
  </si>
  <si>
    <t>ASSENTAMENTO DE TUBO DE CONCRETO PARA REDES COLETORAS DE ÁGUAS PLUVIAIS, DIÂMETRO DE 1200 MM, JUNTA RÍGIDA, INSTALADO EM LOCAL COM BAIXO NÍVEL DE INTERFERÊNCIAS (NÃO INCLUI FORNECIMENTO). AF_12/2015</t>
  </si>
  <si>
    <t>TUBO DE CONCRETO PARA REDES COLETORAS DE ÁGUAS PLUVIAIS, DIÂMETRO DE 1500 MM, JUNTA RÍGIDA, INSTALADO EM LOCAL COM BAIXO NÍVEL DE INTERFERÊNCIAS - FORNECIMENTO E ASSENTAMENTO. AF_12/2015</t>
  </si>
  <si>
    <t>ASSENTAMENTO DE TUBO DE CONCRETO PARA REDES COLETORAS DE ÁGUAS PLUVIAIS, DIÂMETRO DE 1500 MM, JUNTA RÍGIDA, INSTALADO EM LOCAL COM BAIXO NÍVEL DE INTERFERÊNCIAS (NÃO INCLUI FORNECIMENTO). AF_12/2015</t>
  </si>
  <si>
    <t>ASSENTAMENTO DE TUBO DE CONCRETO PARA REDES COLETORAS DE ÁGUAS PLUVIAIS, DIÂMETRO DE 300 MM, JUNTA RÍGIDA, INSTALADO EM LOCAL COM ALTO NÍVEL DE INTERFERÊNCIAS (NÃO INCLUI FORNECIMENTO). AF_12/2015</t>
  </si>
  <si>
    <t>ASSENTAMENTO DE TUBO DE CONCRETO PARA REDES COLETORAS DE ÁGUAS PLUVIAIS, DIÂMETRO DE 400 MM, JUNTA RÍGIDA, INSTALADO EM LOCAL COM ALTO NÍVEL DE INTERFERÊNCIAS (NÃO INCLUI FORNECIMENTO). AF_12/2015</t>
  </si>
  <si>
    <t>ASSENTAMENTO DE TUBO DE CONCRETO PARA REDES COLETORAS DE ÁGUAS PLUVIAIS, DIÂMETRO DE 500 MM, JUNTA RÍGIDA, INSTALADO EM LOCAL COM ALTO NÍVEL DE INTERFERÊNCIAS (NÃO INCLUI FORNECIMENTO). AF_12/2015</t>
  </si>
  <si>
    <t>ASSENTAMENTO DE TUBO DE CONCRETO PARA REDES COLETORAS DE ÁGUAS PLUVIAIS, DIÂMETRO DE 600 MM, JUNTA RÍGIDA, INSTALADO EM LOCAL COM ALTO NÍVEL DE INTERFERÊNCIAS (NÃO INCLUI FORNECIMENTO). AF_12/2015</t>
  </si>
  <si>
    <t>ASSENTAMENTO DE TUBO DE CONCRETO PARA REDES COLETORAS DE ÁGUAS PLUVIAIS, DIÂMETRO DE 700 MM, JUNTA RÍGIDA, INSTALADO EM LOCAL COM ALTO NÍVEL DE INTERFERÊNCIAS (NÃO INCLUI FORNECIMENTO). AF_12/2015</t>
  </si>
  <si>
    <t>ASSENTAMENTO DE TUBO DE CONCRETO PARA REDES COLETORAS DE ÁGUAS PLUVIAIS, DIÂMETRO DE 800 MM, JUNTA RÍGIDA, INSTALADO EM LOCAL COM ALTO NÍVEL DE INTERFERÊNCIAS (NÃO INCLUI FORNECIMENTO). AF_12/2015</t>
  </si>
  <si>
    <t>ASSENTAMENTO DE TUBO DE CONCRETO PARA REDES COLETORAS DE ÁGUAS PLUVIAIS, DIÂMETRO DE 900 MM, JUNTA RÍGIDA, INSTALADO EM LOCAL COM ALTO NÍVEL DE INTERFERÊNCIAS (NÃO INCLUI FORNECIMENTO). AF_12/2015</t>
  </si>
  <si>
    <t>ASSENTAMENTO DE TUBO DE CONCRETO PARA REDES COLETORAS DE ÁGUAS PLUVIAIS, DIÂMETRO DE 1000 MM, JUNTA RÍGIDA, INSTALADO EM LOCAL COM ALTO NÍVEL DE INTERFERÊNCIAS (NÃO INCLUI FORNECIMENTO). AF_12/2015</t>
  </si>
  <si>
    <t>TUBO DE CONCRETO PARA REDES COLETORAS DE ÁGUAS PLUVIAIS, DIÂMETRO DE 1200 MM, JUNTA RÍGIDA, INSTALADO EM LOCAL COM ALTO NÍVEL DE INTERFERÊNCIAS - FORNECIMENTO E ASSENTAMENTO. AF_12/2015</t>
  </si>
  <si>
    <t>ASSENTAMENTO DE TUBO DE CONCRETO PARA REDES COLETORAS DE ÁGUAS PLUVIAIS, DIÂMETRO DE 1200 MM, JUNTA RÍGIDA, INSTALADO EM LOCAL COM ALTO NÍVEL DE INTERFERÊNCIAS (NÃO INCLUI FORNECIMENTO). AF_12/2015</t>
  </si>
  <si>
    <t>TUBO DE CONCRETO PARA REDES COLETORAS DE ÁGUAS PLUVIAIS, DIÂMETRO DE 1500 MM, JUNTA RÍGIDA, INSTALADO EM LOCAL COM ALTO NÍVEL DE INTERFERÊNCIAS - FORNECIMENTO E ASSENTAMENTO. AF_12/2015</t>
  </si>
  <si>
    <t>ASSENTAMENTO DE TUBO DE CONCRETO PARA REDES COLETORAS DE ÁGUAS PLUVIAIS, DIÂMETRO DE 1500 MM, JUNTA RÍGIDA, INSTALADO EM LOCAL COM ALTO NÍVEL DE INTERFERÊNCIAS (NÃO INCLUI FORNECIMENTO). AF_12/2015</t>
  </si>
  <si>
    <t>TUBO DE CONCRETO PARA REDES COLETORAS DE ESGOTO SANITÁRIO, DIÂMETRO DE 300 MM, JUNTA ELÁSTICA, INSTALADO EM LOCAL COM BAIXO NÍVEL DE INTERFERÊNCIAS - FORNECIMENTO E ASSENTAMENTO. AF_12/2015</t>
  </si>
  <si>
    <t>ASSENTAMENTO DE TUBO DE CONCRETO PARA REDES COLETORAS DE ESGOTO SANITÁRIO, DIÂMETRO DE 300 MM, JUNTA ELÁSTICA, INSTALADO EM LOCAL COM BAIXO NÍVEL DE INTERFERÊNCIAS (NÃO INCLUI FORNECIMENTO). AF_12/2015</t>
  </si>
  <si>
    <t>TUBO DE CONCRETO PARA REDES COLETORAS DE ESGOTO SANITÁRIO, DIÂMETRO DE 400 MM, JUNTA ELÁSTICA, INSTALADO EM LOCAL COM BAIXO NÍVEL DE INTERFERÊNCIAS - FORNECIMENTO E ASSENTAMENTO. AF_12/2015</t>
  </si>
  <si>
    <t>ASSENTAMENTO DE TUBO DE CONCRETO PARA REDES COLETORAS DE ESGOTO SANITÁRIO, DIÂMETRO DE 400 MM, JUNTA ELÁSTICA, INSTALADO EM LOCAL COM BAIXO NÍVEL DE INTERFERÊNCIAS (NÃO INCLUI FORNECIMENTO). AF_12/2015</t>
  </si>
  <si>
    <t>TUBO DE CONCRETO PARA REDES COLETORAS DE ESGOTO SANITÁRIO, DIÂMETRO DE 500 MM, JUNTA ELÁSTICA, INSTALADO EM LOCAL COM BAIXO NÍVEL DE INTERFERÊNCIAS - FORNECIMENTO E ASSENTAMENTO. AF_12/2015</t>
  </si>
  <si>
    <t>ASSENTAMENTO DE TUBO DE CONCRETO PARA REDES COLETORAS DE ESGOTO SANITÁRIO, DIÂMETRO DE 500 MM, JUNTA ELÁSTICA, INSTALADO EM LOCAL COM BAIXO NÍVEL DE INTERFERÊNCIAS (NÃO INCLUI FORNECIMENTO). AF_12/2015</t>
  </si>
  <si>
    <t>TUBO DE CONCRETO PARA REDES COLETORAS DE ESGOTO SANITÁRIO, DIÂMETRO DE 600 MM, JUNTA ELÁSTICA, INSTALADO EM LOCAL COM BAIXO NÍVEL DE INTERFERÊNCIAS - FORNECIMENTO E ASSENTAMENTO. AF_12/2015</t>
  </si>
  <si>
    <t>ASSENTAMENTO DE TUBO DE CONCRETO PARA REDES COLETORAS DE ESGOTO SANITÁRIO, DIÂMETRO DE 600 MM, JUNTA ELÁSTICA, INSTALADO EM LOCAL COM BAIXO NÍVEL DE INTERFERÊNCIAS (NÃO INCLUI FORNECIMENTO). AF_12/2015</t>
  </si>
  <si>
    <t>TUBO DE CONCRETO PARA REDES COLETORAS DE ESGOTO SANITÁRIO, DIÂMETRO DE 700 MM, JUNTA ELÁSTICA, INSTALADO EM LOCAL COM BAIXO NÍVEL DE INTERFERÊNCIAS - FORNECIMENTO E ASSENTAMENTO. AF_12/2015</t>
  </si>
  <si>
    <t>ASSENTAMENTO DE TUBO DE CONCRETO PARA REDES COLETORAS DE ESGOTO SANITÁRIO, DIÂMETRO DE 700 MM, JUNTA ELÁSTICA, INSTALADO EM LOCAL COM BAIXO NÍVEL DE INTERFERÊNCIAS (NÃO INCLUI FORNECIMENTO). AF_12/2015</t>
  </si>
  <si>
    <t>ASSENTAMENTO DE TUBO DE CONCRETO PARA REDES COLETORAS DE ESGOTO SANITÁRIO, DIÂMETRO DE 800 MM, JUNTA ELÁSTICA, INSTALADO EM LOCAL COM BAIXO NÍVEL DE INTERFERÊNCIAS (NÃO INCLUI FORNECIMENTO). AF_12/2015</t>
  </si>
  <si>
    <t>ASSENTAMENTO DE TUBO DE CONCRETO PARA REDES COLETORAS DE ESGOTO SANITÁRIO, DIÂMETRO DE 900 MM, JUNTA ELÁSTICA, INSTALADO EM LOCAL COM BAIXO NÍVEL DE INTERFERÊNCIAS (NÃO INCLUI FORNECIMENTO). AF_12/2015</t>
  </si>
  <si>
    <t>TUBO DE CONCRETO PARA REDES COLETORAS DE ESGOTO SANITÁRIO, DIÂMETRO DE 1000 MM, JUNTA ELÁSTICA, INSTALADO EM LOCAL COM BAIXO NÍVEL DE INTERFERÊNCIAS - FORNECIMENTO E ASSENTAMENTO. AF_12/2015</t>
  </si>
  <si>
    <t>ASSENTAMENTO DE TUBO DE CONCRETO PARA REDES COLETORAS DE ESGOTO SANITÁRIO, DIÂMETRO DE 1000 MM, JUNTA ELÁSTICA, INSTALADO EM LOCAL COM BAIXO NÍVEL DE INTERFERÊNCIAS (NÃO INCLUI FORNECIMENTO). AF_12/2015</t>
  </si>
  <si>
    <t>TUBO DE CONCRETO PARA REDES COLETORAS DE ESGOTO SANITÁRIO, DIÂMETRO DE 300 MM, JUNTA ELÁSTICA, INSTALADO EM LOCAL COM ALTO NÍVEL DE INTERFERÊNCIAS - FORNECIMENTO E ASSENTAMENTO. AF_12/2015</t>
  </si>
  <si>
    <t>ASSENTAMENTO DE TUBO DE CONCRETO PARA REDES COLETORAS DE ESGOTO SANITÁRIO, DIÂMETRO DE 300 MM, JUNTA ELÁSTICA, INSTALADO EM LOCAL COM ALTO NÍVEL DE INTERFERÊNCIAS (NÃO INCLUI FORNECIMENTO). AF_12/2015</t>
  </si>
  <si>
    <t>TUBO DE CONCRETO PARA REDES COLETORAS DE ESGOTO SANITÁRIO, DIÂMETRO DE 400 MM, JUNTA ELÁSTICA, INSTALADO EM LOCAL COM ALTO NÍVEL DE INTERFERÊNCIAS - FORNECIMENTO E ASSENTAMENTO. AF_12/2015</t>
  </si>
  <si>
    <t>ASSENTAMENTO DE TUBO DE CONCRETO PARA REDES COLETORAS DE ESGOTO SANITÁRIO, DIÂMETRO DE 400 MM, JUNTA ELÁSTICA, INSTALADO EM LOCAL COM ALTO NÍVEL DE INTERFERÊNCIAS (NÃO INCLUI FORNECIMENTO). AF_12/2015</t>
  </si>
  <si>
    <t>TUBO DE CONCRETO PARA REDES COLETORAS DE ESGOTO SANITÁRIO, DIÂMETRO DE 500 MM, JUNTA ELÁSTICA, INSTALADO EM LOCAL COM ALTO NÍVEL DE INTERFERÊNCIAS - FORNECIMENTO E ASSENTAMENTO. AF_12/2015</t>
  </si>
  <si>
    <t>ASSENTAMENTO DE TUBO DE CONCRETO PARA REDES COLETORAS DE ESGOTO SANITÁRIO, DIÂMETRO DE 500 MM, JUNTA ELÁSTICA, INSTALADO EM LOCAL COM ALTO NÍVEL DE INTERFERÊNCIAS (NÃO INCLUI FORNECIMENTO). AF_12/2015</t>
  </si>
  <si>
    <t>TUBO DE CONCRETO PARA REDES COLETORAS DE ESGOTO SANITÁRIO, DIÂMETRO DE 600 MM, JUNTA ELÁSTICA, INSTALADO EM LOCAL COM ALTO NÍVEL DE INTERFERÊNCIAS - FORNECIMENTO E ASSENTAMENTO. AF_12/2015</t>
  </si>
  <si>
    <t>ASSENTAMENTO DE TUBO DE CONCRETO PARA REDES COLETORAS DE ESGOTO SANITÁRIO, DIÂMETRO DE 600 MM, JUNTA ELÁSTICA, INSTALADO EM LOCAL COM ALTO NÍVEL DE INTERFERÊNCIAS (NÃO INCLUI FORNECIMENTO). AF_12/2015</t>
  </si>
  <si>
    <t>TUBO DE CONCRETO PARA REDES COLETORAS DE ESGOTO SANITÁRIO, DIÂMETRO DE 700 MM, JUNTA ELÁSTICA, INSTALADO EM LOCAL COM ALTO NÍVEL DE INTERFERÊNCIAS - FORNECIMENTO E ASSENTAMENTO. AF_12/2015</t>
  </si>
  <si>
    <t>ASSENTAMENTO DE TUBO DE CONCRETO PARA REDES COLETORAS DE ESGOTO SANITÁRIO, DIÂMETRO DE 700 MM, JUNTA ELÁSTICA, INSTALADO EM LOCAL COM ALTO NÍVEL DE INTERFERÊNCIAS (NÃO INCLUI FORNECIMENTO). AF_12/2015</t>
  </si>
  <si>
    <t>ASSENTAMENTO DE TUBO DE CONCRETO PARA REDES COLETORAS DE ESGOTO SANITÁRIO, DIÂMETRO DE 800 MM, JUNTA ELÁSTICA, INSTALADO EM LOCAL COM ALTO NÍVEL DE INTERFERÊNCIAS (NÃO INCLUI FORNECIMENTO). AF_12/2015</t>
  </si>
  <si>
    <t>ASSENTAMENTO DE TUBO DE CONCRETO PARA REDES COLETORAS DE ESGOTO SANITÁRIO, DIÂMETRO DE 900 MM, JUNTA ELÁSTICA, INSTALADO EM LOCAL COM ALTO NÍVEL DE INTERFERÊNCIAS (NÃO INCLUI FORNECIMENTO). AF_12/2015</t>
  </si>
  <si>
    <t>TUBO DE CONCRETO PARA REDES COLETORAS DE ESGOTO SANITÁRIO, DIÂMETRO DE 1000 MM, JUNTA ELÁSTICA, INSTALADO EM LOCAL COM ALTO NÍVEL DE INTERFERÊNCIAS - FORNECIMENTO E ASSENTAMENTO. AF_12/2015</t>
  </si>
  <si>
    <t>ASSENTAMENTO DE TUBO DE CONCRETO PARA REDES COLETORAS DE ESGOTO SANITÁRIO, DIÂMETRO DE 1000 MM, JUNTA ELÁSTICA, INSTALADO EM LOCAL COM ALTO NÍVEL DE INTERFERÊNCIAS (NÃO INCLUI FORNECIMENTO). AF_12/2015</t>
  </si>
  <si>
    <t>CAIXA RETANGULAR 4" X 2" MÉDIA (1,30 M DO PISO), METÁLICA, INSTALADA EM PAREDE - FORNECIMENTO E INSTALAÇÃO. AF_12/2015</t>
  </si>
  <si>
    <t>CAIXA RETANGULAR 4" X 2" BAIXA (0,30 M DO PISO), METÁLICA, INSTALADA EM PAREDE - FORNECIMENTO E INSTALAÇÃO. AF_12/2015</t>
  </si>
  <si>
    <t>CAIXA RETANGULAR 4" X 4" MÉDIA (1,30 M DO PISO), METÁLICA, INSTALADA EM PAREDE - FORNECIMENTO E INSTALAÇÃO. AF_12/2015</t>
  </si>
  <si>
    <t>CAIXA RETANGULAR 4" X 4" BAIXA (0,30 M DO PISO), METÁLICA, INSTALADA EM PAREDE - FORNECIMENTO E INSTALAÇÃO. AF_12/2015</t>
  </si>
  <si>
    <t>LANÇAMENTO COM USO DE BOMBA, ADENSAMENTO E ACABAMENTO DE CONCRETO EM ESTRUTURAS. AF_12/2015</t>
  </si>
  <si>
    <t>CORTE E DOBRA DE AÇO CA-25, DIÂMETRO DE 6,3 MM. AF_12/2015</t>
  </si>
  <si>
    <t>CORTE E DOBRA DE AÇO CA-25, DIÂMETRO DE 8,0 MM. AF_12/2015</t>
  </si>
  <si>
    <t>CORTE E DOBRA DE AÇO CA-25, DIÂMETRO DE 10,0 MM. AF_12/2015</t>
  </si>
  <si>
    <t>CORTE E DOBRA DE AÇO CA-25, DIÂMETRO DE 12,5 MM. AF_12/2015</t>
  </si>
  <si>
    <t>CORTE E DOBRA DE AÇO CA-25, DIÂMETRO DE 16,0 MM. AF_12/2015</t>
  </si>
  <si>
    <t>CORTE E DOBRA DE AÇO CA-25, DIÂMETRO DE 20,0 MM. AF_12/2015</t>
  </si>
  <si>
    <t>CORTE E DOBRA DE AÇO CA-25, DIÂMETRO DE 25,0 MM. AF_12/2015</t>
  </si>
  <si>
    <t>ARMAÇÃO UTILIZANDO AÇO CA-25 DE 6,3 MM - MONTAGEM. AF_12/2015</t>
  </si>
  <si>
    <t>ARMAÇÃO UTILIZANDO AÇO CA-25 DE 8,0 MM - MONTAGEM. AF_12/2015</t>
  </si>
  <si>
    <t>ARMAÇÃO UTILIZANDO AÇO CA-25 DE 10,0 MM - MONTAGEM. AF_12/2015</t>
  </si>
  <si>
    <t>ARMAÇÃO UTILIZANDO AÇO CA-25 DE 12,5 MM - MONTAGEM. AF_12/2015</t>
  </si>
  <si>
    <t>ARMAÇÃO UTILIZANDO AÇO CA-25 DE 16,0 MM - MONTAGEM. AF_12/2015</t>
  </si>
  <si>
    <t>ARMAÇÃO UTILIZANDO AÇO CA-25 DE 20,0 MM - MONTAGEM. AF_12/2015</t>
  </si>
  <si>
    <t>ARMAÇÃO UTILIZANDO AÇO CA-25 DE 25,0 MM - MONTAGEM. AF_12/2015</t>
  </si>
  <si>
    <t>UNIÃO, EM FERRO GALVANIZADO, DN 65 (2 1/2"), CONEXÃO ROSQUEADA, INSTALADO EM PRUMADAS - FORNECIMENTO E INSTALAÇÃO. AF_12/2015</t>
  </si>
  <si>
    <t>UNIÃO, EM FERRO GALVANIZADO, DN 25 (1"), CONEXÃO ROSQUEADA, INSTALADO EM REDE DE ALIMENTAÇÃO PARA HIDRANTE - FORNECIMENTO E INSTALAÇÃO. AF_12/2015</t>
  </si>
  <si>
    <t>UNIÃO, EM FERRO GALVANIZADO, DN 32 (1 1/4"), CONEXÃO ROSQUEADA, INSTALADO EM REDE DE ALIMENTAÇÃO PARA HIDRANTE - FORNECIMENTO E INSTALAÇÃO. AF_12/2015</t>
  </si>
  <si>
    <t>UNIÃO, EM FERRO GALVANIZADO, DN 40 (1 1/2"), CONEXÃO ROSQUEADA, INSTALADO EM REDE DE ALIMENTAÇÃO PARA HIDRANTE - FORNECIMENTO E INSTALAÇÃO. AF_12/2015</t>
  </si>
  <si>
    <t>UNIÃO, EM FERRO GALVANIZADO, DN 50 (2"), CONEXÃO ROSQUEADA, INSTALADO EM REDE DE ALIMENTAÇÃO PARA HIDRANTE - FORNECIMENTO E INSTALAÇÃO. AF_12/2015</t>
  </si>
  <si>
    <t>UNIÃO, EM FERRO GALVANIZADO, DN 65 (2 1/2"), CONEXÃO ROSQUEADA, INSTALADO EM REDE DE ALIMENTAÇÃO PARA HIDRANTE - FORNECIMENTO E INSTALAÇÃO. AF_12/2015</t>
  </si>
  <si>
    <t>UNIÃO, EM FERRO GALVANIZADO, DN 80 (3"), CONEXÃO ROSQUEADA, INSTALADO EM REDE DE ALIMENTAÇÃO PARA HIDRANTE - FORNECIMENTO E INSTALAÇÃO. AF_12/2015</t>
  </si>
  <si>
    <t>UNIÃO, EM FERRO GALVANIZADO, CONEXÃO ROSQUEADA, DN 25 (1"), INSTALADO EM REDE DE ALIMENTAÇÃO PARA SPRINKLER - FORNECIMENTO E INSTALAÇÃO. AF_12/2015</t>
  </si>
  <si>
    <t>UNIÃO, EM FERRO GALVANIZADO, CONEXÃO ROSQUEADA, DN 32 (1 1/4"), INSTALADO EM REDE DE ALIMENTAÇÃO PARA SPRINKLER - FORNECIMENTO E INSTALAÇÃO. AF_12/2015</t>
  </si>
  <si>
    <t>UNIÃO, EM FERRO GALVANIZADO, CONEXÃO ROSQUEADA, DN 40 (1 1/2"), INSTALADO EM REDE DE ALIMENTAÇÃO PARA SPRINKLER - FORNECIMENTO E INSTALAÇÃO. AF_12/2015</t>
  </si>
  <si>
    <t>UNIÃO, EM FERRO GALVANIZADO, CONEXÃO ROSQUEADA, DN 50 (2"), INSTALADO EM REDE DE ALIMENTAÇÃO PARA SPRINKLER - FORNECIMENTO E INSTALAÇÃO. AF_12/2015</t>
  </si>
  <si>
    <t>UNIÃO, EM FERRO GALVANIZADO, CONEXÃO ROSQUEADA, DN 65 (2 1/2"), INSTALADO EM REDE DE ALIMENTAÇÃO PARA SPRINKLER - FORNECIMENTO E INSTALAÇÃO. AF_12/2015</t>
  </si>
  <si>
    <t>UNIÃO, EM FERRO GALVANIZADO, CONEXÃO ROSQUEADA, DN 80 (3"), INSTALADO EM REDE DE ALIMENTAÇÃO PARA SPRINKLER - FORNECIMENTO E INSTALAÇÃO. AF_12/2015</t>
  </si>
  <si>
    <t>UNIÃO, EM FERRO GALVANIZADO, CONEXÃO ROSQUEADA, DN 15 (1/2"), INSTALADO EM RAMAIS E SUB-RAMAIS DE GÁS - FORNECIMENTO E INSTALAÇÃO. AF_12/2015</t>
  </si>
  <si>
    <t>UNIÃO, EM FERRO GALVANIZADO, CONEXÃO ROSQUEADA, DN 20 (3/4"), INSTALADO EM RAMAIS E SUB-RAMAIS DE GÁS - FORNECIMENTO E INSTALAÇÃO. AF_12/2015</t>
  </si>
  <si>
    <t>LUVA DE REDUÇÃO, EM FERRO GALVANIZADO, 2" X 1", CONEXÃO ROSQUEADA, INSTALADO EM PRUMADAS - FORNECIMENTO E INSTALAÇÃO. AF_12/2015</t>
  </si>
  <si>
    <t>LUVA DE REDUÇÃO, EM FERRO GALVANIZADO, 3" X 2", CONEXÃO ROSQUEADA, INSTALADO EM PRUMADAS - FORNECIMENTO E INSTALAÇÃO. AF_12/2015</t>
  </si>
  <si>
    <t>LUVA DE REDUÇÃO, EM FERRO GALVANIZADO, 1" X 1/2", CONEXÃO ROSQUEADA, INSTALADO EM REDE DE ALIMENTAÇÃO PARA HIDRANTE - FORNECIMENTO E INSTALAÇÃO. AF_12/2015</t>
  </si>
  <si>
    <t>LUVA DE REDUÇÃO, EM FERRO GALVANIZADO, 1" X 3/4", CONEXÃO ROSQUEADA, INSTALADO EM REDE DE ALIMENTAÇÃO PARA HIDRANTE - FORNECIMENTO E INSTALAÇÃO. AF_12/2015</t>
  </si>
  <si>
    <t>LUVA DE REDUÇÃO, EM FERRO GALVANIZADO, 1 1/4" X 1", CONEXÃO ROSQUEADA, INSTALADO EM REDE DE ALIMENTAÇÃO PARA HIDRANTE - FORNECIMENTO E INSTALAÇÃO. AF_12/2015</t>
  </si>
  <si>
    <t>LUVA DE REDUÇÃO, EM FERRO GALVANIZADO, 1 1/4" X 1/2", CONEXÃO ROSQUEADA, INSTALADO EM REDE DE ALIMENTAÇÃO PARA HIDRANTE - FORNECIMENTO E INSTALAÇÃO. AF_12/2015</t>
  </si>
  <si>
    <t>LUVA DE REDUÇÃO, EM FERRO GALVANIZADO, 1 1/4" X 3/4", CONEXÃO ROSQUEADA, INSTALADO EM REDE DE ALIMENTAÇÃO PARA HIDRANTE - FORNECIMENTO E INSTALAÇÃO. AF_12/2015</t>
  </si>
  <si>
    <t>LUVA DE REDUÇÃO, EM FERRO GALVANIZADO, 2" X 1", CONEXÃO ROSQUEADA, INSTALADO EM REDE DE ALIMENTAÇÃO PARA HIDRANTE - FORNECIMENTO E INSTALAÇÃO. AF_12/2015</t>
  </si>
  <si>
    <t>LUVA DE REDUÇÃO, EM FERRO GALVANIZADO, 3" X 2", CONEXÃO ROSQUEADA, INSTALADO EM REDE DE ALIMENTAÇÃO PARA HIDRANTE - FORNECIMENTO E INSTALAÇÃO. AF_12/2015</t>
  </si>
  <si>
    <t>LUVA DE REDUÇÃO, EM FERRO GALVANIZADO, 1" X 1/2", CONEXÃO ROSQUEADA, INSTALADO EM REDE DE ALIMENTAÇÃO PARA SPRINKLER - FORNECIMENTO E INSTALAÇÃO. AF_12/2015</t>
  </si>
  <si>
    <t>LUVA DE REDUÇÃO, EM FERRO GALVANIZADO, 1" X 3/4", CONEXÃO ROSQUEADA, INSTALADO EM REDE DE ALIMENTAÇÃO PARA SPRINKLER - FORNECIMENTO E INSTALAÇÃO. AF_12/2015</t>
  </si>
  <si>
    <t>LUVA DE REDUÇÃO, EM FERRO GALVANIZADO, 2" X 1", CONEXÃO ROSQUEADA, INSTALADO EM REDE DE ALIMENTAÇÃO PARA SPRINKLER - FORNECIMENTO E INSTALAÇÃO. AF_12/2015</t>
  </si>
  <si>
    <t>LUVA DE REDUÇÃO, EM FERRO GALVANIZADO, 2 1/2" X 2", CONEXÃO ROSQUEADA, INSTALADO EM REDE DE ALIMENTAÇÃO PARA SPRINKLER - FORNECIMENTO E INSTALAÇÃO. AF_12/2015</t>
  </si>
  <si>
    <t>LUVA DE REDUÇÃO, EM FERRO GALVANIZADO, 3" X 2", CONEXÃO ROSQUEADA, INSTALADO EM REDE DE ALIMENTAÇÃO PARA SPRINKLER - FORNECIMENTO E INSTALAÇÃO. AF_12/2015</t>
  </si>
  <si>
    <t>MÁQUINA EXTRUSORA DE CONCRETO PARA GUIAS E SARJETAS, MOTOR A DIESEL, POTÊNCIA 14 CV - DEPRECIAÇÃO. AF_12/2015</t>
  </si>
  <si>
    <t>MÁQUINA EXTRUSORA DE CONCRETO PARA GUIAS E SARJETAS, MOTOR A DIESEL, POTÊNCIA 14 CV - JUROS. AF_12/2015</t>
  </si>
  <si>
    <t>MÁQUINA EXTRUSORA DE CONCRETO PARA GUIAS E SARJETAS, MOTOR A DIESEL, POTÊNCIA 14 CV - MANUTENÇÃO. AF_12/2015</t>
  </si>
  <si>
    <t>MÁQUINA EXTRUSORA DE CONCRETO PARA GUIAS E SARJETAS, MOTOR A DIESEL, POTÊNCIA 14 CV - MATERIAIS NA OPERAÇÃO. AF_12/2015</t>
  </si>
  <si>
    <t>MÁQUINA EXTRUSORA DE CONCRETO PARA GUIAS E SARJETAS, MOTOR A DIESEL, POTÊNCIA 14 CV - CHP DIURNO. AF_12/2015</t>
  </si>
  <si>
    <t>MÁQUINA EXTRUSORA DE CONCRETO PARA GUIAS E SARJETAS, MOTOR A DIESEL, POTÊNCIA 14 CV - CHI DIURNO. AF_12/2015</t>
  </si>
  <si>
    <t>MARTELO PERFURADOR PNEUMÁTICO MANUAL, HASTE 25 X 75 MM, 21 KG - DEPRECIAÇÃO. AF_12/2015</t>
  </si>
  <si>
    <t>MARTELO PERFURADOR PNEUMÁTICO MANUAL, HASTE 25 X 75 MM, 21 KG - MANUTENÇÃO. AF_12/2015</t>
  </si>
  <si>
    <t>MARTELO PERFURADOR PNEUMÁTICO MANUAL, HASTE 25 X 75 MM, 21 KG - CHP DIURNO. AF_12/2015</t>
  </si>
  <si>
    <t>MARTELO PERFURADOR PNEUMÁTICO MANUAL, HASTE 25 X 75 MM, 21 KG - CHI DIURNO. AF_12/2015</t>
  </si>
  <si>
    <t>CABO DE COBRE FLEXÍVEL ISOLADO, 10 MM², ANTI-CHAMA 450/750 V, PARA DISTRIBUIÇÃO - FORNECIMENTO E INSTALAÇÃO. AF_12/2015</t>
  </si>
  <si>
    <t>CABO DE COBRE FLEXÍVEL ISOLADO, 10 MM², ANTI-CHAMA 0,6/1,0 KV, PARA DISTRIBUIÇÃO - FORNECIMENTO E INSTALAÇÃO. AF_12/2015</t>
  </si>
  <si>
    <t>CABO DE COBRE FLEXÍVEL ISOLADO, 16 MM², ANTI-CHAMA 450/750 V, PARA DISTRIBUIÇÃO - FORNECIMENTO E INSTALAÇÃO. AF_12/2015</t>
  </si>
  <si>
    <t>CABO DE COBRE FLEXÍVEL ISOLADO, 16 MM², ANTI-CHAMA 0,6/1,0 KV, PARA DISTRIBUIÇÃO - FORNECIMENTO E INSTALAÇÃO. AF_12/2015</t>
  </si>
  <si>
    <t>CABO DE COBRE FLEXÍVEL ISOLADO, 25 MM², ANTI-CHAMA 450/750 V, PARA DISTRIBUIÇÃO - FORNECIMENTO E INSTALAÇÃO. AF_12/2015</t>
  </si>
  <si>
    <t>CABO DE COBRE FLEXÍVEL ISOLADO, 25 MM², ANTI-CHAMA 0,6/1,0 KV, PARA DISTRIBUIÇÃO - FORNECIMENTO E INSTALAÇÃO. AF_12/2015</t>
  </si>
  <si>
    <t>CABO DE COBRE FLEXÍVEL ISOLADO, 35 MM², ANTI-CHAMA 450/750 V, PARA DISTRIBUIÇÃO - FORNECIMENTO E INSTALAÇÃO. AF_12/2015</t>
  </si>
  <si>
    <t>CABO DE COBRE FLEXÍVEL ISOLADO, 35 MM², ANTI-CHAMA 0,6/1,0 KV, PARA DISTRIBUIÇÃO - FORNECIMENTO E INSTALAÇÃO. AF_12/2015</t>
  </si>
  <si>
    <t>CABO DE COBRE FLEXÍVEL ISOLADO, 50 MM², ANTI-CHAMA 450/750 V, PARA DISTRIBUIÇÃO - FORNECIMENTO E INSTALAÇÃO. AF_12/2015</t>
  </si>
  <si>
    <t>CABO DE COBRE FLEXÍVEL ISOLADO, 50 MM², ANTI-CHAMA 0,6/1,0 KV, PARA DISTRIBUIÇÃO - FORNECIMENTO E INSTALAÇÃO. AF_12/2015</t>
  </si>
  <si>
    <t>CABO DE COBRE FLEXÍVEL ISOLADO, 70 MM², ANTI-CHAMA 450/750 V, PARA DISTRIBUIÇÃO - FORNECIMENTO E INSTALAÇÃO. AF_12/2015</t>
  </si>
  <si>
    <t>CABO DE COBRE FLEXÍVEL ISOLADO, 70 MM², ANTI-CHAMA 0,6/1,0 KV, PARA DISTRIBUIÇÃO - FORNECIMENTO E INSTALAÇÃO. AF_12/2015</t>
  </si>
  <si>
    <t>CABO DE COBRE FLEXÍVEL ISOLADO, 95 MM², ANTI-CHAMA 450/750 V, PARA DISTRIBUIÇÃO - FORNECIMENTO E INSTALAÇÃO. AF_12/2015</t>
  </si>
  <si>
    <t>CABO DE COBRE FLEXÍVEL ISOLADO, 95 MM², ANTI-CHAMA 0,6/1,0 KV, PARA DISTRIBUIÇÃO - FORNECIMENTO E INSTALAÇÃO. AF_12/2015</t>
  </si>
  <si>
    <t>CABO DE COBRE FLEXÍVEL ISOLADO, 120 MM², ANTI-CHAMA 450/750 V, PARA DISTRIBUIÇÃO - FORNECIMENTO E INSTALAÇÃO. AF_12/2015</t>
  </si>
  <si>
    <t>CABO DE COBRE FLEXÍVEL ISOLADO, 120 MM², ANTI-CHAMA 0,6/1,0 KV, PARA DISTRIBUIÇÃO - FORNECIMENTO E INSTALAÇÃO. AF_12/2015</t>
  </si>
  <si>
    <t>CABO DE COBRE FLEXÍVEL ISOLADO, 150 MM², ANTI-CHAMA 450/750 V, PARA DISTRIBUIÇÃO - FORNECIMENTO E INSTALAÇÃO. AF_12/2015</t>
  </si>
  <si>
    <t>CABO DE COBRE FLEXÍVEL ISOLADO, 150 MM², ANTI-CHAMA 0,6/1,0 KV, PARA DISTRIBUIÇÃO - FORNECIMENTO E INSTALAÇÃO. AF_12/2015</t>
  </si>
  <si>
    <t>CABO DE COBRE FLEXÍVEL ISOLADO, 185 MM², ANTI-CHAMA 450/750 V, PARA DISTRIBUIÇÃO - FORNECIMENTO E INSTALAÇÃO. AF_12/2015</t>
  </si>
  <si>
    <t>CABO DE COBRE FLEXÍVEL ISOLADO, 185 MM², ANTI-CHAMA 0,6/1,0 KV, PARA DISTRIBUIÇÃO - FORNECIMENTO E INSTALAÇÃO. AF_12/2015</t>
  </si>
  <si>
    <t>CABO DE COBRE FLEXÍVEL ISOLADO, 240 MM², ANTI-CHAMA 450/750 V, PARA DISTRIBUIÇÃO - FORNECIMENTO E INSTALAÇÃO. AF_12/2015</t>
  </si>
  <si>
    <t>CABO DE COBRE FLEXÍVEL ISOLADO, 240 MM², ANTI-CHAMA 0,6/1,0 KV, PARA DISTRIBUIÇÃO - FORNECIMENTO E INSTALAÇÃO. AF_12/2015</t>
  </si>
  <si>
    <t>CABO DE COBRE RÍGIDO ISOLADO, 300 MM², ANTI-CHAMA 450/750 V, PARA DISTRIBUIÇÃO - FORNECIMENTO E INSTALAÇÃO. AF_12/2015</t>
  </si>
  <si>
    <t>CABO DE COBRE FLEXÍVEL ISOLADO, 300 MM², ANTI-CHAMA 0,6/1,0 KV, PARA DISTRIBUIÇÃO - FORNECIMENTO E INSTALAÇÃO. AF_12/2015</t>
  </si>
  <si>
    <t>ELETRODUTO RÍGIDO ROSCÁVEL, PVC, DN 50 MM (1 1/2") - FORNECIMENTO E INSTALAÇÃO. AF_12/2015</t>
  </si>
  <si>
    <t>ELETRODUTO RÍGIDO ROSCÁVEL, PVC, DN 60 MM (2") - FORNECIMENTO E INSTALAÇÃO. AF_12/2015</t>
  </si>
  <si>
    <t>ELETRODUTO RÍGIDO ROSCÁVEL, PVC, DN 75 MM (2 1/2") - FORNECIMENTO E INSTALAÇÃO. AF_12/2015</t>
  </si>
  <si>
    <t>ELETRODUTO RÍGIDO ROSCÁVEL, PVC, DN 85 MM (3") - FORNECIMENTO E INSTALAÇÃO. AF_12/2015</t>
  </si>
  <si>
    <t>ELETRODUTO RÍGIDO ROSCÁVEL, PVC, DN 110 MM (4") - FORNECIMENTO E INSTALAÇÃO. AF_12/2015</t>
  </si>
  <si>
    <t>LUVA PARA ELETRODUTO, PVC, ROSCÁVEL, DN 60 MM (2") - FORNECIMENTO E INSTALAÇÃO. AF_12/2015</t>
  </si>
  <si>
    <t>LUVA PARA ELETRODUTO, PVC, ROSCÁVEL, DN 85 MM (3") - FORNECIMENTO E INSTALAÇÃO. AF_12/2015</t>
  </si>
  <si>
    <t>LUVA PARA ELETRODUTO, PVC, ROSCÁVEL, DN 110 MM (4") - FORNECIMENTO E INSTALAÇÃO. AF_12/2015</t>
  </si>
  <si>
    <t>CURVA 90 GRAUS PARA ELETRODUTO, PVC, ROSCÁVEL, DN 50 MM (1 1/2") - FORNECIMENTO E INSTALAÇÃO. AF_12/2015</t>
  </si>
  <si>
    <t>CURVA 90 GRAUS PARA ELETRODUTO, PVC, ROSCÁVEL, DN 60 MM (2") - FORNECIMENTO E INSTALAÇÃO. AF_12/2015</t>
  </si>
  <si>
    <t>CURVA 90 GRAUS PARA ELETRODUTO, PVC, ROSCÁVEL, DN 75 MM (2 1/2") - FORNECIMENTO E INSTALAÇÃO. AF_12/2015</t>
  </si>
  <si>
    <t>CURVA 90 GRAUS PARA ELETRODUTO, PVC, ROSCÁVEL, DN 85 MM (3") - FORNECIMENTO E INSTALAÇÃO. AF_12/2015</t>
  </si>
  <si>
    <t>CURVA 90 GRAUS PARA ELETRODUTO, PVC, ROSCÁVEL, DN 110 MM (4") - FORNECIMENTO E INSTALAÇÃO. AF_12/2015</t>
  </si>
  <si>
    <t>PONTO DE ILUMINAÇÃO RESIDENCIAL INCLUINDO INTERRUPTOR SIMPLES, CAIXA ELÉTRICA, ELETRODUTO, CABO, RASGO, QUEBRA E CHUMBAMENTO (EXCLUINDO LUMINÁRIA E LÂMPADA). AF_01/2016</t>
  </si>
  <si>
    <t>PONTO DE ILUMINAÇÃO RESIDENCIAL INCLUINDO INTERRUPTOR SIMPLES (2 MÓDULOS), CAIXA ELÉTRICA, ELETRODUTO, CABO, RASGO, QUEBRA E CHUMBAMENTO (EXCLUINDO LUMINÁRIA E LÂMPADA). AF_01/2016</t>
  </si>
  <si>
    <t>PONTO DE ILUMINAÇÃO RESIDENCIAL INCLUINDO INTERRUPTOR PARALELO, CAIXA ELÉTRICA, ELETRODUTO, CABO, RASGO, QUEBRA E CHUMBAMENTO (EXCLUINDO LUMINÁRIA E LÂMPADA). AF_01/2016</t>
  </si>
  <si>
    <t>PONTO DE ILUMINAÇÃO RESIDENCIAL INCLUINDO INTERRUPTOR PARALELO (2 MÓDULOS), CAIXA ELÉTRICA, ELETRODUTO, CABO, RASGO, QUEBRA E CHUMBAMENTO (EXCLUINDO LUMINÁRIA E LÂMPADA). AF_01/2016</t>
  </si>
  <si>
    <t>PONTO DE ILUMINAÇÃO RESIDENCIAL INCLUINDO INTERRUPTOR SIMPLES CONJUGADO COM PARALELO, CAIXA ELÉTRICA, ELETRODUTO, CABO, RASGO, QUEBRA E CHUMBAMENTO (EXCLUINDO LUMINÁRIA E LÂMPADA). AF_01/2016</t>
  </si>
  <si>
    <t>PONTO DE TOMADA RESIDENCIAL INCLUINDO TOMADA (2 MÓDULOS) 10A/250V, CAIXA ELÉTRICA, ELETRODUTO, CABO, RASGO, QUEBRA E CHUMBAMENTO. AF_01/2016</t>
  </si>
  <si>
    <t>PONTO DE UTILIZAÇÃO DE EQUIPAMENTOS ELÉTRICOS, RESIDENCIAL, INCLUINDO SUPORTE E PLACA, CAIXA ELÉTRICA, ELETRODUTO, CABO, RASGO, QUEBRA E CHUMBAMENTO. AF_01/2016</t>
  </si>
  <si>
    <t>PONTO DE ILUMINAÇÃO E TOMADA, RESIDENCIAL, INCLUINDO INTERRUPTOR SIMPLES E TOMADA 10A/250V, CAIXA ELÉTRICA, ELETRODUTO, CABO, RASGO, QUEBRA E CHUMBAMENTO (EXCLUINDO LUMINÁRIA E LÂMPADA). AF_01/2016</t>
  </si>
  <si>
    <t>PONTO DE ILUMINAÇÃO E TOMADA, RESIDENCIAL, INCLUINDO INTERRUPTOR PARALELO E TOMADA 10A/250V, CAIXA ELÉTRICA, ELETRODUTO, CABO, RASGO, QUEBRA E CHUMBAMENTO (EXCLUINDO LUMINÁRIA E LÂMPADA). AF_01/2016</t>
  </si>
  <si>
    <t>PONTO DE ILUMINAÇÃO E TOMADA, RESIDENCIAL, INCLUINDO INTERRUPTOR SIMPLES, INTERRUPTOR PARALELO E TOMADA 10A/250V, CAIXA ELÉTRICA, ELETRODUTO, CABO, RASGO, QUEBRA E CHUMBAMENTO (EXCLUINDO LUMINÁRIA E LÂMPADA). AF_01/2016</t>
  </si>
  <si>
    <t>TRANSPORTE DE MATERIAL ASFALTICO, COM CAMINHÃO COM CAPACIDADE DE 30000 L EM RODOVIA PAVIMENTADA PARA DISTÂNCIAS MÉDIAS DE TRANSPORTE SUPERIORES A 100 KM. AF_02/2016</t>
  </si>
  <si>
    <t>TRANSPORTE DE MATERIAL ASFALTICO, COM CAMINHÃO COM CAPACIDADE DE 20000 L EM RODOVIA PAVIMENTADA PARA DISTÂNCIAS MÉDIAS DE TRANSPORTE IGUAL OU INFERIOR A 100 KM. AF_02/2016</t>
  </si>
  <si>
    <t>TRANSPORTE DE MATERIAL ASFALTICO, COM CAMINHÃO COM CAPACIDADE DE 30000 L EM RODOVIA NÃO PAVIMENTADA PARA DISTÂNCIAS MÉDIAS DE TRANSPORTE SUPERIORES A 100 KM. AF_02/2016</t>
  </si>
  <si>
    <t>TRANSPORTE DE MATERIAL ASFALTICO, COM CAMINHÃO COM CAPACIDADE DE 20000 L EM RODOVIA NÃO PAVIMENTADA PARA DISTÂNCIAS MÉDIAS DE TRANSPORTE IGUAL OU INFERIOR A 100 KM. AF_02/2016</t>
  </si>
  <si>
    <t>VERGA MOLDADA IN LOCO EM CONCRETO PARA JANELAS COM ATÉ 1,5 M DE VÃO. AF_03/2016</t>
  </si>
  <si>
    <t>VERGA MOLDADA IN LOCO EM CONCRETO PARA JANELAS COM MAIS DE 1,5 M DE VÃO. AF_03/2016</t>
  </si>
  <si>
    <t>VERGA MOLDADA IN LOCO EM CONCRETO PARA PORTAS COM ATÉ 1,5 M DE VÃO. AF_03/2016</t>
  </si>
  <si>
    <t>VERGA MOLDADA IN LOCO EM CONCRETO PARA PORTAS COM MAIS DE 1,5 M DE VÃO. AF_03/2016</t>
  </si>
  <si>
    <t>VERGA MOLDADA IN LOCO COM UTILIZAÇÃO DE BLOCOS CANALETA PARA JANELAS COM ATÉ 1,5 M DE VÃO. AF_03/2016</t>
  </si>
  <si>
    <t>VERGA MOLDADA IN LOCO COM UTILIZAÇÃO DE BLOCOS CANALETA PARA JANELAS COM MAIS DE 1,5 M DE VÃO. AF_03/2016</t>
  </si>
  <si>
    <t>VERGA MOLDADA IN LOCO COM UTILIZAÇÃO DE BLOCOS CANALETA PARA PORTAS COM ATÉ 1,5 M DE VÃO. AF_03/2016</t>
  </si>
  <si>
    <t>VERGA MOLDADA IN LOCO COM UTILIZAÇÃO DE BLOCOS CANALETA PARA PORTAS COM MAIS DE 1,5 M DE VÃO. AF_03/2016</t>
  </si>
  <si>
    <t>CONTRAVERGA PRÉ-MOLDADA PARA VÃOS DE ATÉ 1,5 M DE COMPRIMENTO. AF_03/2016</t>
  </si>
  <si>
    <t>CONTRAVERGA PRÉ-MOLDADA PARA VÃOS DE MAIS DE 1,5 M DE COMPRIMENTO. AF_03/2016</t>
  </si>
  <si>
    <t>CONTRAVERGA MOLDADA IN LOCO EM CONCRETO PARA VÃOS DE ATÉ 1,5 M DE COMPRIMENTO. AF_03/2016</t>
  </si>
  <si>
    <t>CONTRAVERGA MOLDADA IN LOCO COM UTILIZAÇÃO DE BLOCOS CANALETA PARA VÃOS DE ATÉ 1,5 M DE COMPRIMENTO. AF_03/2016</t>
  </si>
  <si>
    <t>CONTRAVERGA MOLDADA IN LOCO COM UTILIZAÇÃO DE BLOCOS CANALETA PARA VÃOS DE MAIS DE 1,5 M DE COMPRIMENTO. AF_03/2016</t>
  </si>
  <si>
    <t>FIXAÇÃO (ENCUNHAMENTO) DE ALVENARIA DE VEDAÇÃO COM TIJOLO MACIÇO. AF_03/2016</t>
  </si>
  <si>
    <t>CINTA DE AMARRAÇÃO DE ALVENARIA MOLDADA IN LOCO EM CONCRETO. AF_03/2016</t>
  </si>
  <si>
    <t>CINTA DE AMARRAÇÃO DE ALVENARIA MOLDADA IN LOCO COM UTILIZAÇÃO DE BLOCOS CANALETA. AF_03/2016</t>
  </si>
  <si>
    <t>EXECUÇÃO DE ESCRITÓRIO EM CANTEIRO DE OBRA EM ALVENARIA, NÃO INCLUSO MOBILIÁRIO E EQUIPAMENTOS. AF_02/2016</t>
  </si>
  <si>
    <t>EXECUÇÃO DE ESCRITÓRIO EM CANTEIRO DE OBRA EM CHAPA DE MADEIRA COMPENSADA, NÃO INCLUSO MOBILIÁRIO E EQUIPAMENTOS. AF_02/2016</t>
  </si>
  <si>
    <t>EXECUÇÃO DE ALMOXARIFADO EM CANTEIRO DE OBRA EM CHAPA DE MADEIRA COMPENSADA, INCLUSO PRATELEIRAS. AF_02/2016</t>
  </si>
  <si>
    <t>EXECUÇÃO DE ALMOXARIFADO EM CANTEIRO DE OBRA EM ALVENARIA, INCLUSO PRATELEIRAS. AF_02/2016</t>
  </si>
  <si>
    <t>EXECUÇÃO DE REFEITÓRIO EM CANTEIRO DE OBRA EM ALVENARIA, NÃO INCLUSO MOBILIÁRIO E EQUIPAMENTOS. AF_02/2016</t>
  </si>
  <si>
    <t>EXECUÇÃO DE SANITÁRIO E VESTIÁRIO EM CANTEIRO DE OBRA EM CHAPA DE MADEIRA COMPENSADA, NÃO INCLUSO MOBILIÁRIO. AF_02/2016</t>
  </si>
  <si>
    <t>EXECUÇÃO DE SANITÁRIO E VESTIÁRIO EM CANTEIRO DE OBRA EM ALVENARIA, NÃO INCLUSO MOBILIÁRIO. AF_02/2016</t>
  </si>
  <si>
    <t>PERFURATRIZ COM TORRE METÁLICA PARA EXECUÇÃO DE ESTACA HÉLICE CONTÍNUA, PROFUNDIDADE MÁXIMA DE 32 M, DIÂMETRO MÁXIMO DE 1000 MM, POTÊNCIA INSTALADA DE 350 HP, MESA ROTATIVA COM TORQUE MÁXIMO DE 263 KNM - DEPRECIAÇÃO. AF_01/2016</t>
  </si>
  <si>
    <t>PERFURATRIZ COM TORRE METÁLICA PARA EXECUÇÃO DE ESTACA HÉLICE CONTÍNUA, PROFUNDIDADE MÁXIMA DE 32 M, DIÂMETRO MÁXIMO DE 1000 MM, POTÊNCIA INSTALADA DE 350 HP, MESA ROTATIVA COM TORQUE MÁXIMO DE 263 KNM - JUROS. AF_01/2016</t>
  </si>
  <si>
    <t>PERFURATRIZ COM TORRE METÁLICA PARA EXECUÇÃO DE ESTACA HÉLICE CONTÍNUA, PROFUNDIDADE MÁXIMA DE 32 M, DIÂMETRO MÁXIMO DE 1000 MM, POTÊNCIA INSTALADA DE 350 HP, MESA ROTATIVA COM TORQUE MÁXIMO DE 263 KNM - MANUTENÇÃO. AF_01/2016</t>
  </si>
  <si>
    <t>PERFURATRIZ COM TORRE METÁLICA PARA EXECUÇÃO DE ESTACA HÉLICE CONTÍNUA, PROFUNDIDADE MÁXIMA DE 32 M, DIÂMETRO MÁXIMO DE 1000 MM, POTÊNCIA INSTALADA DE 350 HP, MESA ROTATIVA COM TORQUE MÁXIMO DE 263 KNM  MATERIAIS NA OPERAÇÃO. AF_01/2016</t>
  </si>
  <si>
    <t>PERFURATRIZ COM TORRE METÁLICA PARA EXECUÇÃO DE ESTACA HÉLICE CONTÍNUA, PROFUNDIDADE MÁXIMA DE 32 M, DIÂMETRO MÁXIMO DE 1000 MM, POTÊNCIA INSTALADA DE 350 HP, MESA ROTATIVA COM TORQUE MÁXIMO DE 263 KNM - CHP DIURNO. AF_01/2016</t>
  </si>
  <si>
    <t>PERFURATRIZ COM TORRE METÁLICA PARA EXECUÇÃO DE ESTACA HÉLICE CONTÍNUA, PROFUNDIDADE MÁXIMA DE 32 M, DIÂMETRO MÁXIMO DE 1000 MM, POTÊNCIA INSTALADA DE 350 HP, MESA ROTATIVA COM TORQUE MÁXIMO DE 263 KNM - CHI DIURNO. AF_01/2016</t>
  </si>
  <si>
    <t>BETONEIRA CAPACIDADE NOMINAL 400 L, CAPACIDADE DE MISTURA 310 L, MOTOR A GASOLINA POTÊNCIA 5,5 HP, SEM CARREGADOR - MATERIAIS NA OPERAÇÃO. AF_02/2016</t>
  </si>
  <si>
    <t>GRUPO GERADOR ESTACIONÁRIO, MOTOR DIESEL POTÊNCIA 170 KVA - JUROS. AF_02/2016</t>
  </si>
  <si>
    <t>ROLO COMPACTADOR VIBRATÓRIO REBOCÁVEL, CILINDRO DE AÇO LISO, POTÊNCIA DE TRAÇÃO DE 65 CV, PESO 4,7 T, IMPACTO DINÂMICO 18,3 T, LARGURA DE TRABALHO 1,67 M - JUROS. AF_02/2016</t>
  </si>
  <si>
    <t>ROLO COMPACTADOR VIBRATÓRIO PÉ DE CARNEIRO, OPERADO POR CONTROLE REMOTO, POTÊNCIA 12,5 KW, PESO OPERACIONAL 1,675 T, LARGURA DE TRABALHO 0,85 M - JUROS. AF_02/2016</t>
  </si>
  <si>
    <t>ROLO COMPACTADOR VIBRATÓRIO PÉ DE CARNEIRO, OPERADO POR CONTROLE REMOTO, POTÊNCIA 12,5 KW, PESO OPERACIONAL 1,675 T, LARGURA DE TRABALHO 0,85 M - MATERIAIS NA OPERAÇÃO. AF_02/2016</t>
  </si>
  <si>
    <t>GRUA ASCENCIONAL, LANÇA DE 30 M, CAPACIDADE DE 1,0 T A 30 M, ALTURA ATÉ 39 M  DEPRECIAÇÃO. AF_03/2016</t>
  </si>
  <si>
    <t>GRUA ASCENCIONAL, LANÇA DE 30 M, CAPACIDADE DE 1,0 T A 30 M, ALTURA ATÉ 39 M   JUROS. AF_03/2016</t>
  </si>
  <si>
    <t>GRUA ASCENCIONAL, LANÇA DE 30 M, CAPACIDADE DE 1,0 T A 30 M, ALTURA ATÉ 39 M   MANUTENÇÃO. AF_03/2016</t>
  </si>
  <si>
    <t>GRUA ASCENCIONAL, LANÇA DE 30 M, CAPACIDADE DE 1,0 T A 30 M, ALTURA ATÉ 39 M   MATERIAIS NA OPERAÇÃO. AF_03/2016</t>
  </si>
  <si>
    <t>GRUA ASCENSIONAL, LANCA DE 30 M, CAPACIDADE DE 1,0 T A 30 M, ALTURA ATE 39 M - CHP DIURNO. AF_03/2016</t>
  </si>
  <si>
    <t>GRUA ASCENSIONAL, LANÇA DE 30 M, CAPACIDADE DE 1,0 T A 30 M, ALTURA ATÉ 39 M - CHI DIURNO. AF_03/2016</t>
  </si>
  <si>
    <t>GUINCHO ELÉTRICO DE COLUNA, CAPACIDADE 400 KG, COM MOTO FREIO, MOTOR TRIFÁSICO DE 1,25 CV - DEPRECIAÇÃO. AF_03/2016</t>
  </si>
  <si>
    <t>GUINCHO ELÉTRICO DE COLUNA, CAPACIDADE 400 KG, COM MOTO FREIO, MOTOR TRIFÁSICO DE 1,25 CV - JUROS. AF_03/2016</t>
  </si>
  <si>
    <t>GUINCHO ELÉTRICO DE COLUNA, CAPACIDADE 400 KG, COM MOTO FREIO, MOTOR TRIFÁSICO DE 1,25 CV - MANUTENÇÃO. AF_03/2016</t>
  </si>
  <si>
    <t>GUINCHO ELÉTRICO DE COLUNA, CAPACIDADE 400 KG, COM MOTO FREIO, MOTOR TRIFÁSICO DE 1,25 CV - MATERIAIS NA OPERAÇÃO. AF_03/2016</t>
  </si>
  <si>
    <t>GUINCHO ELÉTRICO DE COLUNA, CAPACIDADE 400 KG, COM MOTO FREIO, MOTOR TRIFÁSICO DE 1,25 CV - CHP DIURNO. AF_03/2016</t>
  </si>
  <si>
    <t>GUINCHO ELÉTRICO DE COLUNA, CAPACIDADE 400 KG, COM MOTO FREIO, MOTOR TRIFÁSICO DE 1,25 CV - CHI DIURNO. AF_03/2016</t>
  </si>
  <si>
    <t>GUINDASTE HIDRÁULICO AUTOPROPELIDO, COM LANÇA TELESCÓPICA 40 M, CAPACIDADE MÁXIMA 60 T, POTÊNCIA 260 KW - DEPRECIAÇÃO. AF_03/2016</t>
  </si>
  <si>
    <t>GUINDASTE HIDRÁULICO AUTOPROPELIDO, COM LANÇA TELESCÓPICA 40 M, CAPACIDADE MÁXIMA 60 T, POTÊNCIA 260 KW - JUROS. AF_03/2016</t>
  </si>
  <si>
    <t>GUINDASTE HIDRÁULICO AUTOPROPELIDO, COM LANÇA TELESCÓPICA 40 M, CAPACIDADE MÁXIMA 60 T, POTÊNCIA 260 KW - MANUTENÇÃO. AF_03/2016</t>
  </si>
  <si>
    <t>GUINDASTE HIDRÁULICO AUTOPROPELIDO, COM LANÇA TELESCÓPICA 40 M, CAPACIDADE MÁXIMA 60 T, POTÊNCIA 260 KW - MATERIAIS NA OPERAÇÃO. AF_03/2016</t>
  </si>
  <si>
    <t>GUINDASTE HIDRÁULICO AUTOPROPELIDO, COM LANÇA TELESCÓPICA 40 M, CAPACIDADE MÁXIMA 60 T, POTÊNCIA 260 KW - CHP DIURNO. AF_03/2016</t>
  </si>
  <si>
    <t>GUINDASTE HIDRÁULICO AUTOPROPELIDO, COM LANÇA TELESCÓPICA 40 M, CAPACIDADE MÁXIMA 60 T, POTÊNCIA 260 KW - CHI DIURNO. AF_03/2016</t>
  </si>
  <si>
    <t>GUINDASTE HIDRÁULICO AUTOPROPELIDO, COM LANÇA TELESCÓPICA 40 M, CAPACIDADE MÁXIMA 60 T, POTÊNCIA 260 KW - IMPOSTOS E SEGUROS. AF_03/2016</t>
  </si>
  <si>
    <t>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</si>
  <si>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</si>
  <si>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</si>
  <si>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</si>
  <si>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</si>
  <si>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</si>
  <si>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</si>
  <si>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t>
  </si>
  <si>
    <t>REATERRO MECANIZADO DE VALA COM ESCAVADEIRA HIDRÁULICA (CAPACIDADE DA CAÇAMBA: 0,8 M³ / POTÊNCIA: 111 HP), LARGURA DE 1,5 A 2,5 M, PROFUNDIDADE DE 3,0  A 4,5 M, COM SOLO (SEM SUBSTITUIÇÃO) DE 1ª CATEGORIA EM LOCAIS COM ALTO NÍVEL DE INTERFERÊNCIA. AF_04/2016</t>
  </si>
  <si>
    <t>REATERRO MECANIZADO DE VALA COM ESCAVADEIRA HIDRÁULICA (CAPACIDADE DA CAÇAMBA: 0,8 M³ / POTÊNCIA: 111 HP), LARGURA DE 1,5 A 2,5 M, PROFUNDIDADE DE 1,5 A 3,0 M, COM SOLO (SEM SUBSTITUIÇÃO) DE 1ª CATEGORIA EM LOCAIS COM BAIXO NÍVEL DE INTERFERÊNCIA. AF_04/2016</t>
  </si>
  <si>
    <t>REATERRO MECANIZADO DE VALA COM ESCAVADEIRA HIDRÁULICA (CAPACIDADE DA CAÇAMBA: 0,8 M³ / POTÊNCIA: 111 HP), LARGURA DE 1,5 A 2,5 M, PROFUNDIDADE DE 3,0 A 4,5 M, COM SOLO (SEM SUBSTITUIÇÃO) DE 1ª CATEGORIA EM LOCAIS COM BAIXO NÍVEL DE INTERFERÊNCIA. AF_04/2016</t>
  </si>
  <si>
    <t>REATERRO MECANIZADO DE VALA COM ESCAVADEIRA HIDRÁULICA (CAPACIDADE DA CAÇAMBA: 0,8 M³ / POTÊNCIA: 111 HP), LARGURA DE 1,5 A 2,5 M, PROFUNDIDADE DE 4,5 A 6,0 M, COM SOLO (SEM SUBSTITUIÇÃO) DE 1ª CATEGORIA EM LOCAIS COM BAIXO NÍVEL DE INTERFERÊNCIA. AF_04/2016</t>
  </si>
  <si>
    <t>REATERRO MECANIZADO DE VALA COM RETROESCAVADEIRA (CAPACIDADE DA CAÇAMBA DA RETRO: 0,26 M³ / POTÊNCIA: 88 HP), LARGURA ATÉ 0,8 M, PROFUNDIDADE ATÉ 1,5 M, COM SOLO (SEM SUBSTITUIÇÃO)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</si>
  <si>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</si>
  <si>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BAIXO NÍVEL DE INTERFERÊNCIA. AF_04/2016</t>
  </si>
  <si>
    <t>REVESTIMENTO CERÂMICO PARA PISO COM PLACAS TIPO ESMALTADA PADRÃO POPULAR DE DIMENSÕES 35X35 CM APLICADA EM AMBIENTES DE ÁREA MENOR QUE 5 M2. AF_06/2014</t>
  </si>
  <si>
    <t>REVESTIMENTO CERÂMICO PARA PISO COM PLACAS TIPO ESMALTADA PADRÃO POPULAR DE DIMENSÕES 35X35 CM APLICADA EM AMBIENTES DE ÁREA ENTRE 5 M2 E 10 M2. AF_06/2014</t>
  </si>
  <si>
    <t>REVESTIMENTO CERÂMICO PARA PISO COM PLACAS TIPO ESMALTADA PADRÃO POPULAR DE DIMENSÕES 35X35 CM APLICADA EM AMBIENTES DE ÁREA MAIOR QUE 10 M2. AF_06/2014</t>
  </si>
  <si>
    <t>GUINDAUTO HIDRÁULICO, CAPACIDADE MÁXIMA DE CARGA 3300 KG, MOMENTO MÁXIMO DE CARGA 5,8 TM, ALCANCE MÁXIMO HORIZONTAL 7,60 M, INCLUSIVE CAMINHÃO TOCO PBT 16.000 KG, POTÊNCIA DE 189 CV - DEPRECIAÇÃO. AF_03/2016</t>
  </si>
  <si>
    <t>GUINDAUTO HIDRÁULICO, CAPACIDADE MÁXIMA DE CARGA 3300 KG, MOMENTO MÁXIMO DE CARGA 5,8 TM, ALCANCE MÁXIMO HORIZONTAL 7,60 M, INCLUSIVE CAMINHÃO TOCO PBT 16.000 KG, POTÊNCIA DE 189 CV - JUROS. AF_03/2016</t>
  </si>
  <si>
    <t>GUINDAUTO HIDRÁULICO, CAPACIDADE MÁXIMA DE CARGA 3300 KG, MOMENTO MÁXIMO DE CARGA 5,8 TM, ALCANCE MÁXIMO HORIZONTAL 7,60 M, INCLUSIVE CAMINHÃO TOCO PBT 16.000 KG, POTÊNCIA DE 189 CV  IMPOSTOS E SEGUROS. AF_03/2016</t>
  </si>
  <si>
    <t>GUINDAUTO HIDRÁULICO, CAPACIDADE MÁXIMA DE CARGA 3300 KG, MOMENTO MÁXIMO DE CARGA 5,8 TM, ALCANCE MÁXIMO HORIZONTAL 7,60 M, INCLUSIVE CAMINHÃO TOCO PBT 16.000 KG, POTÊNCIA DE 189 CV - MANUTENÇÃO. AF_03/2016</t>
  </si>
  <si>
    <t>GUINDAUTO HIDRÁULICO, CAPACIDADE MÁXIMA DE CARGA 3300 KG, MOMENTO MÁXIMO DE CARGA 5,8 TM, ALCANCE MÁXIMO HORIZONTAL 7,60 M, INCLUSIVE CAMINHÃO TOCO PBT 16.000 KG, POTÊNCIA DE 189 CV - MATERIAIS NA OPERAÇÃO. AF_03/2016</t>
  </si>
  <si>
    <t>GUINDAUTO HIDRÁULICO, CAPACIDADE MÁXIMA DE CARGA 3300 KG, MOMENTO MÁXIMO DE CARGA 5,8 TM, ALCANCE MÁXIMO HORIZONTAL 7,60 M, INCLUSIVE CAMINHÃO TOCO PBT 16.000 KG, POTÊNCIA DE 189 CV - CHI DIURNO. AF_03/2016</t>
  </si>
  <si>
    <t>GERADOR PORTÁTIL MONOFÁSICO, POTÊNCIA 5500 VA, MOTOR A GASOLINA, POTÊNCIA DO MOTOR 13 CV - DEPRECIAÇÃO. AF_03/2016</t>
  </si>
  <si>
    <t>GERADOR PORTÁTIL MONOFÁSICO, POTÊNCIA 5500 VA, MOTOR A GASOLINA, POTÊNCIA DO MOTOR 13 CV - JUROS. AF_03/2016</t>
  </si>
  <si>
    <t>GERADOR PORTÁTIL MONOFÁSICO, POTÊNCIA 5500 VA, MOTOR A GASOLINA, POTÊNCIA DO MOTOR 13 CV - MANUTENÇÃO. AF_03/2016</t>
  </si>
  <si>
    <t>GERADOR PORTÁTIL MONOFÁSICO, POTÊNCIA 5500 VA, MOTOR A GASOLINA, POTÊNCIA DO MOTOR 13 CV - MATERIAIS NA OPERAÇÃO. AF_03/2016</t>
  </si>
  <si>
    <t>GERADOR PORTÁTIL MONOFÁSICO, POTÊNCIA 5500 VA, MOTOR A GASOLINA, POTÊNCIA DO MOTOR 13 CV - CHP DIURNO. AF_03/2016</t>
  </si>
  <si>
    <t>GERADOR PORTÁTIL MONOFÁSICO, POTÊNCIA 5500 VA, MOTOR A GASOLINA, POTÊNCIA DO MOTOR 13 CV - CHI DIURNO. AF_03/2016</t>
  </si>
  <si>
    <t>GRUPO GERADOR REBOCÁVEL, POTÊNCIA 66 KVA, MOTOR A DIESEL - DEPRECIAÇÃO. AF_03/2016</t>
  </si>
  <si>
    <t>GRUPO GERADOR REBOCÁVEL, POTÊNCIA 66 KVA, MOTOR A DIESEL - JUROS. AF_03/2016</t>
  </si>
  <si>
    <t>GRUPO GERADOR REBOCÁVEL, POTÊNCIA 66 KVA, MOTOR A DIESEL - MATERIAIS NA OPERAÇÃO. AF_03/2016</t>
  </si>
  <si>
    <t>GRUPO GERADOR ESTACIONÁRIO, POTÊNCIA 150 KVA, MOTOR A DIESEL- DEPRECIAÇÃO. AF_03/2016</t>
  </si>
  <si>
    <t>GRUPO GERADOR ESTACIONÁRIO, POTÊNCIA 150 KVA, MOTOR A DIESEL- JUROS. AF_03/2016</t>
  </si>
  <si>
    <t>GRUPO GERADOR ESTACIONÁRIO, POTÊNCIA 150 KVA, MOTOR A DIESEL- MANUTENÇÃO. AF_03/2016</t>
  </si>
  <si>
    <t>GRUPO GERADOR ESTACIONÁRIO, POTÊNCIA 150 KVA, MOTOR A DIESEL- MATERIAIS NA OPERAÇÃO. AF_03/2016</t>
  </si>
  <si>
    <t>GRUPO GERADOR ESTACIONÁRIO, POTÊNCIA 150 KVA, MOTOR A DIESEL- CHP DIURNO. AF_03/2016</t>
  </si>
  <si>
    <t>GRUPO GERADOR ESTACIONÁRIO, POTÊNCIA 150 KVA, MOTOR A DIESEL- CHI DIURNO. AF_03/2016</t>
  </si>
  <si>
    <t>USINA DE MISTURA ASFÁLTICA À QUENTE, TIPO CONTRA FLUXO, PROD 40 A 80 TON/HORA - DEPRECIAÇÃO. AF_03/2016</t>
  </si>
  <si>
    <t>USINA DE MISTURA ASFÁLTICA À QUENTE, TIPO CONTRA FLUXO, PROD 40 A 80 TON/HORA - JUROS. AF_03/2016</t>
  </si>
  <si>
    <t>USINA DE MISTURA ASFÁLTICA À QUENTE, TIPO CONTRA FLUXO, PROD 40 A 80 TON/HORA - MANUTENÇÃO. AF_03/2016</t>
  </si>
  <si>
    <t>USINA DE MISTURA ASFÁLTICA À QUENTE, TIPO CONTRA FLUXO, PROD 40 A 80 TON/HORA - MATERIAIS NA OPERAÇÃO. AF_03/2016</t>
  </si>
  <si>
    <t>USINA DE MISTURA ASFÁLTICA À QUENTE, TIPO CONTRA FLUXO, PROD 40 A 80 TON/HORA - CHP DIURNO. AF_03/2016</t>
  </si>
  <si>
    <t>USINA DE MISTURA ASFÁLTICA À QUENTE, TIPO CONTRA FLUXO, PROD 40 A 80 TON/HORA - CHI DIURNO. AF_03/2016</t>
  </si>
  <si>
    <t>USINA DE ASFALTO À FRIO, CAPACIDADE DE 40 A 60 TON/HORA, ELÉTRICA POTÊNCIA 30 CV - DEPRECIAÇÃO. AF_03/2016</t>
  </si>
  <si>
    <t>USINA DE ASFALTO À FRIO, CAPACIDADE DE 40 A 60 TON/HORA, ELÉTRICA POTÊNCIA 30 CV - JUROS. AF_03/2016</t>
  </si>
  <si>
    <t>USINA DE ASFALTO À FRIO, CAPACIDADE DE 40 A 60 TON/HORA, ELÉTRICA POTÊNCIA 30 CV - MANUTENÇÃO. AF_03/2016</t>
  </si>
  <si>
    <t>USINA DE ASFALTO À FRIO, CAPACIDADE DE 40 A 60 TON/HORA, ELÉTRICA POTÊNCIA 30 CV - MATERIAIS NA OPERAÇÃO. AF_03/2016</t>
  </si>
  <si>
    <t>USINA DE ASFALTO À FRIO, CAPACIDADE DE 40 A 60 TON/HORA, ELÉTRICA POTÊNCIA 30 CV - CHP DIURNO. AF_03/2016</t>
  </si>
  <si>
    <t>USINA DE ASFALTO À FRIO, CAPACIDADE DE 40 A 60 TON/HORA, ELÉTRICA POTÊNCIA 30 CV - CHI DIURNO. AF_03/2016</t>
  </si>
  <si>
    <t>EXECUÇÃO DE CENTRAL DE ARMADURA EM CANTEIRO DE OBRA, NÃO INCLUSO MOBILIÁRIO E EQUIPAMENTOS. AF_04/2016</t>
  </si>
  <si>
    <t>EXECUÇÃO DE CENTRAL DE FÔRMAS, PRODUÇÃO DE ARGAMASSA OU CONCRETO EM CANTEIRO DE OBRA, NÃO INCLUSO MOBILIÁRIO E EQUIPAMENTOS. AF_04/2016</t>
  </si>
  <si>
    <t>EXECUÇÃO DE DEPÓSITO EM CANTEIRO DE OBRA EM CHAPA DE MADEIRA COMPENSADA, NÃO INCLUSO MOBILIÁRIO. AF_04/2016</t>
  </si>
  <si>
    <t>EXECUÇÃO DE GUARITA EM CANTEIRO DE OBRA EM CHAPA DE MADEIRA COMPENSADA, NÃO INCLUSO MOBILIÁRIO. AF_04/2016</t>
  </si>
  <si>
    <t>TRANSPORTE COM CAMINHÃO BASCULANTE DE 10 M3, EM VIA URBANA EM LEITO NATURAL (UNIDADE: M3XKM). AF_04/2016</t>
  </si>
  <si>
    <t>TRANSPORTE COM CAMINHÃO BASCULANTE DE 10 M3, EM VIA URBANA EM REVESTIMENTO PRIMÁRIO (UNIDADE: M3XKM). AF_04/2016</t>
  </si>
  <si>
    <t>TRANSPORTE COM CAMINHÃO BASCULANTE DE 10 M3, EM VIA URBANA PAVIMENTADA, DMT ACIMA DE 30KM (UNIDADE: M3XKM). AF_04/2016</t>
  </si>
  <si>
    <t>TRANSPORTE COM CAMINHÃO BASCULANTE DE 14 M3, EM VIA URBANA EM LEITO NATURAL (UNIDADE: M3XKM). AF_04/2016</t>
  </si>
  <si>
    <t>TRANSPORTE COM CAMINHÃO BASCULANTE DE 14 M3, EM VIA URBANA EM REVESTIMENTO PRIMÁRIO (UNIDADE: M3XKM). AF_04/2016</t>
  </si>
  <si>
    <t>TRANSPORTE COM CAMINHÃO BASCULANTE DE 14 M3, EM VIA URBANA PAVIMENTADA, DMT ACIMA DE 30 KM (UNIDADE: M3XKM). AF_04/2016</t>
  </si>
  <si>
    <t>DISJUNTOR BIPOLAR TIPO DIN, CORRENTE NOMINAL DE 10A - FORNECIMENTO E INSTALAÇÃO. AF_04/2016</t>
  </si>
  <si>
    <t>DISJUNTOR BIPOLAR TIPO DIN, CORRENTE NOMINAL DE 16A - FORNECIMENTO E INSTALAÇÃO. AF_04/2016</t>
  </si>
  <si>
    <t>DISJUNTOR BIPOLAR TIPO DIN, CORRENTE NOMINAL DE 20A - FORNECIMENTO E INSTALAÇÃO. AF_04/2016</t>
  </si>
  <si>
    <t>DISJUNTOR BIPOLAR TIPO DIN, CORRENTE NOMINAL DE 25A - FORNECIMENTO E INSTALAÇÃO. AF_04/2016</t>
  </si>
  <si>
    <t>DISJUNTOR BIPOLAR TIPO DIN, CORRENTE NOMINAL DE 32A - FORNECIMENTO E INSTALAÇÃO. AF_04/2016</t>
  </si>
  <si>
    <t>DISJUNTOR BIPOLAR TIPO DIN, CORRENTE NOMINAL DE 40A - FORNECIMENTO E INSTALAÇÃO. AF_04/2016</t>
  </si>
  <si>
    <t>DISJUNTOR BIPOLAR TIPO DIN, CORRENTE NOMINAL DE 50A - FORNECIMENTO E INSTALAÇÃO. AF_04/2016</t>
  </si>
  <si>
    <t>EXECUÇÃO DE PASSEIO EM PISO INTERTRAVADO, COM BLOCO RETANGULAR COLORIDO DE 20 X 10 CM, ESPESSURA 6 CM. AF_12/2015</t>
  </si>
  <si>
    <t>EXECUÇÃO DE PÁTIO/ESTACIONAMENTO EM PISO INTERTRAVADO, COM BLOCO RETANGULAR COLORIDO DE 20 X 10 CM, ESPESSURA 6 CM. AF_12/2015</t>
  </si>
  <si>
    <t>EXECUÇÃO DE PÁTIO/ESTACIONAMENTO EM PISO INTERTRAVADO, COM BLOCO RETANGULAR COLORIDO DE 20 X 10 CM, ESPESSURA 8 CM. AF_12/2015</t>
  </si>
  <si>
    <t>EXECUÇÃO DE GRAMPO PARA SOLO GRAMPEADO COM COMPRIMENTO MAIOR QUE 4 M E MENOR OU IGUAL A 6 M, DIÂMETRO DE 10 CM, PERFURAÇÃO COM EQUIPAMENTO MANUAL E ARMADURA COM DIÂMETRO DE 16 MM. AF_05/2016</t>
  </si>
  <si>
    <t>EXECUÇÃO DE GRAMPO PARA SOLO GRAMPEADO COM COMPRIMENTO MAIOR QUE 6 M E MENOR OU IGUAL A 8 M, DIÂMETRO DE 10 CM, PERFURAÇÃO COM EQUIPAMENTO MANUAL E ARMADURA COM DIÂMETRO DE 16 MM. AF_05/2016</t>
  </si>
  <si>
    <t>EXECUÇÃO DE GRAMPO PARA SOLO GRAMPEADO COM COMPRIMENTO MAIOR QUE 10 M, DIÂMETRO DE 10 CM, PERFURAÇÃO COM EQUIPAMENTO MANUAL E ARMADURA COM DIÂMETRO DE 16 MM. AF_05/2016</t>
  </si>
  <si>
    <t>EXECUÇÃO DE GRAMPO PARA SOLO GRAMPEADO COM COMPRIMENTO MAIOR QUE 4 M E MENOR OU IGUAL A 6 M, DIÂMETRO DE 10 CM, PERFURAÇÃO COM EQUIPAMENTO MANUAL E ARMADURA COM DIÂMETRO DE 20 MM. AF_05/2016</t>
  </si>
  <si>
    <t>EXECUÇÃO DE GRAMPO PARA SOLO GRAMPEADO COM COMPRIMENTO MAIOR QUE 6 M E MENOR OU IGUAL A 8 M, DIÂMETRO DE 10 CM, PERFURAÇÃO COM EQUIPAMENTO MANUAL E ARMADURA COM DIÂMETRO DE 20 MM. AF_05/2016</t>
  </si>
  <si>
    <t>EXECUÇÃO DE GRAMPO PARA SOLO GRAMPEADO COM COMPRIMENTO MAIOR QUE 10 M, DIÂMETRO DE 10 CM, PERFURAÇÃO COM EQUIPAMENTO MANUAL E ARMADURA COM DIÂMETRO DE 20 MM. AF_05/2016</t>
  </si>
  <si>
    <t>EXECUÇÃO DE GRAMPO PARA SOLO GRAMPEADO COM COMPRIMENTO MAIOR QUE 4 E MENOR OU IGUAL A 6 M, DIÂMETRO DE 7 CM, PERFURAÇÃO COM EQUIPAMENTO MANUAL E ARMADURA COM DIÂMETRO DE 16 MM. AF_05/2016</t>
  </si>
  <si>
    <t>EXECUÇÃO DE GRAMPO PARA SOLO GRAMPEADO COM COMPRIMENTO MAIOR QUE 6 M E MENOR OU IGUAL A 8 M, DIÂMETRO DE 7 CM, PERFURAÇÃO COM EQUIPAMENTO MANUAL E ARMADURA COM DIÂMETRO DE 16 MM. AF_05/2016</t>
  </si>
  <si>
    <t>EXECUÇÃO DE GRAMPO PARA SOLO GRAMPEADO COM COMPRIMENTO MAIOR QUE 8 M E MENOR OU IGUAL A 10 M, DIÂMETRO DE 7 CM, PERFURAÇÃO COM EQUIPAMENTO MANUAL E ARMADURA COM DIÂMETRO DE 16 MM. AF_05/2016</t>
  </si>
  <si>
    <t>EXECUÇÃO DE GRAMPO PARA SOLO GRAMPEADO COM COMPRIMENTO MAIOR QUE 10 M, DIÂMETRO DE 7 CM, PERFURAÇÃO COM EQUIPAMENTO MANUAL E ARMADURA COM DIÂMETRO DE 16 MM. AF_05/2016</t>
  </si>
  <si>
    <t>EXECUÇÃO DE GRAMPO PARA SOLO GRAMPEADO COM COMPRIMENTO MAIOR QUE 4 E MENOR OU IGUAL A 6 M, DIÂMETRO DE 7 CM, PERFURAÇÃO COM EQUIPAMENTO MANUAL E ARMADURA COM DIÂMETRO DE 20 MM. AF_05/2016</t>
  </si>
  <si>
    <t>EXECUÇÃO DE GRAMPO PARA SOLO GRAMPEADO COM COMPRIMENTO MAIOR QUE 6 M E MENOR OU IGUAL A 8 M, DIÂMETRO DE 7 CM, PERFURAÇÃO COM EQUIPAMENTO MANUAL E ARMADURA COM DIÂMETRO DE 20 MM. AF_05/2016</t>
  </si>
  <si>
    <t>EXECUÇÃO DE GRAMPO PARA SOLO GRAMPEADO COM COMPRIMENTO MAIOR QUE 8 MENOR OU IGUAL A 10 M, DIÂMETRO DE 7 CM, PERFURAÇÃO COM EQUIPAMENTO MANUAL E ARMADURA COM DIÂMETRO DE 20 MM. AF_05/2016</t>
  </si>
  <si>
    <t>EXECUÇÃO DE GRAMPO PARA SOLO GRAMPEADO COM COMPRIMENTO MAIOR QUE 10 M, DIÂMETRO DE 7 CM, PERFURAÇÃO COM EQUIPAMENTO MANUAL E ARMADURA COM DIÂMETRO DE 20 MM. AF_05/2016</t>
  </si>
  <si>
    <t>ESCORAMENTO DE VALA, TIPO PONTALETEAMENTO, COM PROFUNDIDADE DE 0 A 1,5 M, LARGURA MAIOR OU IGUAL A 1,5 M E MENOR QUE 2,5 M, EM LOCAL COM NÍVEL ALTO DE INTERFERÊNCIA. AF_06/2016</t>
  </si>
  <si>
    <t>ESCORAMENTO DE VALA, TIPO PONTALETEAMENTO, COM PROFUNDIDADE DE 1,5 A 3,0 M, LARGURA MENOR QUE 1,5 M, EM LOCAL COM NÍVEL ALTO DE INTERFERÊNCIA. AF_06/2016</t>
  </si>
  <si>
    <t>ESCORAMENTO DE VALA, TIPO PONTALETEAMENTO, COM PROFUNDIDADE DE 1,5 A 3,0 M, LARGURA MAIOR OU IGUAL A 1,5 M E MENOR QUE 2,5 M, EM LOCAL COM NÍVEL ALTO DE INTERFERÊNCIA. AF_06/2016</t>
  </si>
  <si>
    <t>ESCORAMENTO DE VALA, TIPO PONTALETEAMENTO, COM PROFUNDIDADE DE 3,0 A 4,5 M, LARGURA MENOR QUE 1,5 M EM LOCAL COM NÍVEL ALTO DE INTERFERÊNCIA. AF_06/2016</t>
  </si>
  <si>
    <t>ESCORAMENTO DE VALA, TIPO PONTALETEAMENTO, COM PROFUNDIDADE DE 3,0 A 4,5 M, LARGURA MAIOR OU IGUAL A 1,5 M E MENOR QUE 2,5 M, EM LOCAL COM NÍVEL ALTO DE INTERFERÊNCIA. AF_06/2016</t>
  </si>
  <si>
    <t>ESCORAMENTO DE VALA, TIPO PONTALETEAMENTO, COM PROFUNDIDADE DE 0 A 1,5 M, LARGURA MENOR QUE 1,5 M, EM LOCAL COM NÍVEL BAIXO DE INTERFERÊNCIA. AF_06/2016</t>
  </si>
  <si>
    <t>ESCORAMENTO DE VALA, TIPO PONTALETEAMENTO, COM PROFUNDIDADE DE 0 A 1,5 M, LARGURA MAIOR OU IGUAL A 1,5 M E MENOR QUE 2,5 M, EM LOCAL COM NÍVEL BAIXO DE INTERFERÊNCIA. AF_06/2016</t>
  </si>
  <si>
    <t>ESCORAMENTO DE VALA, TIPO PONTALETEAMENTO, COM PROFUNDIDADE DE 1,5 A 3,0 M, LARGURA MENOR QUE 1,5 M, EM LOCAL COM NÍVEL BAIXO DE INTERFERÊNCIA. AF_06/2016</t>
  </si>
  <si>
    <t>ESCORAMENTO DE VALA, TIPO PONTALETEAMENTO, COM PROFUNDIDADE DE 1,5 A 3,0 M, LARGURA MAIOR OU IGUAL A 1,5 M E MENOR QUE 2,5 M, EM LOCAL COM NÍVEL BAIXO DE INTERFERÊNCIA. AF_06/2016</t>
  </si>
  <si>
    <t>ESCORAMENTO DE VALA, TIPO PONTALETEAMENTO, COM PROFUNDIDADE DE 3,0 A 4,5 M, LARGURA MENOR QUE 1,5 M EM LOCAL COM NÍVEL BAIXO DE INTERFERÊNCIA. AF_06/2016</t>
  </si>
  <si>
    <t>ESCORAMENTO DE VALA, TIPO PONTALETEAMENTO, COM PROFUNDIDADE DE 3,0 A 4,5 M, LARGURA MAIOR OU IGUAL A 1,5 M E MENOR QUE 2,5 M, EM LOCAL COM NÍVEL BAIXO DE INTERFERÊNCIA. AF_06/2016</t>
  </si>
  <si>
    <t>ESCORAMENTO DE VALA, TIPO DESCONTÍNUO, COM PROFUNDIDADE DE 0 A 1,5 M, LARGURA MENOR QUE 1,5 M, EM LOCAL COM NÍVEL ALTO DE INTERFERÊNCIA. AF_06/2016</t>
  </si>
  <si>
    <t>ESCORAMENTO DE VALA, TIPO DESCONTÍNUO, COM PROFUNDIDADE DE 0 A 1,5 M, LARGURA MAIOR OU IGUAL A 1,5 M E MENOR QUE 2,5 M, EM LOCAL COM NÍVEL ALTO DE INTERFERÊNCIA. AF_06/2016</t>
  </si>
  <si>
    <t>ESCORAMENTO DE VALA, TIPO DESCONTÍNUO, COM PROFUNDIDADE DE 1,5 A 3,0 M, LARGURA MAIOR OU IGUAL A 1,5 M E MENOR QUE 2,5 M, EM LOCAL COM NÍVEL ALTO DE INTERFERÊNCIA. AF_06/2016</t>
  </si>
  <si>
    <t>ESCORAMENTO DE VALA, TIPO DESCONTÍNUO, COM PROFUNDIDADE DE 3,0 A 4,5 M, LARGURA MENOR QUE 1,5 M, EM LOCAL COM NÍVEL ALTO DE INTERFERÊNCIA. AF_06/2016</t>
  </si>
  <si>
    <t>ESCORAMENTO DE VALA, TIPO DESCONTÍNUO, COM PROFUNDIDADE DE 3,0 A 4,5 M, LARGURA MAIOR OU IGUAL A 1,5 E MENOR QUE 2,5 M, EM LOCAL COM NÍVEL ALTO DE INTERFERÊNCIA. AF_06/2016</t>
  </si>
  <si>
    <t>ESCORAMENTO DE VALA, TIPO DESCONTÍNUO, COM PROFUNDIDADE DE 0 A 1,5 M, LARGURA MENOR QUE 1,5 M, EM LOCAL COM NÍVEL BAIXO DE INTERFERÊNCIA. AF_06/2016</t>
  </si>
  <si>
    <t>ESCORAMENTO DE VALA, TIPO DESCONTÍNUO, COM PROFUNDIDADE DE 0 A 1,5 M, LARGURA MAIOR OU IGUAL A 1,5 M E MENOR QUE 2,5 M, EM LOCAL COM NÍVEL BAIXO DE INTERFERÊNCIA. AF_06/2016</t>
  </si>
  <si>
    <t>ESCORAMENTO DE VALA, TIPO DESCONTÍNUO, COM PROFUNDIDADE DE 1,5 M A 3,0 M, LARGURA MENOR QUE 1,5 M, EM LOCAL COM NÍVEL BAIXO DE INTERFERÊNCIA. AF_06/2016</t>
  </si>
  <si>
    <t>ESCORAMENTO DE VALA, TIPO DESCONTÍNUO, COM PROFUNDIDADE DE 1,5 A 3,0 M, LARGURA MAIOR OU IGUAL A 1,5 M E MENOR QUE 2,5 M, EM LOCAL COM NÍVEL BAIXO DE INTERFERÊNCIA. AF_06/2016</t>
  </si>
  <si>
    <t>ESCORAMENTO DE VALA, TIPO DESCONTÍNUO, COM PROFUNDIDADE DE 3,0 A 4,5 M, LARGURA MENOR QUE 1,5 M, EM LOCAL COM NÍVEL BAIXO DE INTERFERÊNCIA. AF_06/2016</t>
  </si>
  <si>
    <t>ESCORAMENTO DE VALA, TIPO DESCONTÍNUO, COM PROFUNDIDADE DE 3,0 A 4,5 M, LARGURA MAIOR OU IGUAL A 1,5 E MENOR QUE 2,5 M, EM LOCAL COM NÍVEL BAIXO DE INTERFERÊNCIA. AF_06/2016</t>
  </si>
  <si>
    <t>PREPARO DE FUNDO DE VALA COM LARGURA MENOR QUE 1,5 M, EM LOCAL COM NÍVEL BAIXO DE INTERFERÊNCIA. AF_06/2016</t>
  </si>
  <si>
    <t>PREPARO DE FUNDO DE VALA  COM LARGURA MENOR QUE 1,5 M, EM LOCAL COM NÍVEL ALTO DE INTERFERÊNCIA. AF_06/2016</t>
  </si>
  <si>
    <t>PREPARO DE FUNDO DE VALA COM LARGURA MAIOR OU IGUAL A 1,5 M E MENOR QUE 2,5 M, EM LOCAL COM NÍVEL BAIXO DE INTERFERÊNCIA. AF_06/2016</t>
  </si>
  <si>
    <t>PREPARO DE FUNDO DE VALA  COM LARGURA MAIOR OU IGUAL A 1,5 M E MENOR QUE 2,5 M, EM LOCAL COM NÍVEL ALTO DE INTERFERÊNCIA. AF_06/2016</t>
  </si>
  <si>
    <t>LASTRO DE VALA COM PREPARO DE FUNDO, LARGURA MENOR QUE 1,5 M, COM CAMADA DE AREIA, LANÇAMENTO MANUAL, EM LOCAL COM NÍVEL BAIXO DE INTERFERÊNCIA. AF_06/2016</t>
  </si>
  <si>
    <t>LASTRO DE VALA COM PREPARO DE FUNDO, LARGURA MENOR QUE 1,5 M, COM CAMADA DE BRITA, LANÇAMENTO MANUAL, EM LOCAL COM NÍVEL BAIXO DE INTERFERÊNCIA. AF_06/2016</t>
  </si>
  <si>
    <t>LASTRO DE VALA COM PREPARO DE FUNDO, LARGURA MENOR QUE 1,5 M, COM CAMADA DE AREIA, LANÇAMENTO MANUAL, EM LOCAL COM NÍVEL ALTO DE INTERFERÊNCIA. AF_06/2016</t>
  </si>
  <si>
    <t>LASTRO DE VALA COM PREPARO DE FUNDO, LARGURA MENOR QUE 1,5 M, COM CAMADA DE BRITA, LANÇAMENTO MANUAL, EM LOCAL COM NÍVEL ALTO DE INTERFERÊNCIA. AF_06/2016</t>
  </si>
  <si>
    <t>LASTRO COM PREPARO DE FUNDO, LARGURA MAIOR OU IGUAL A 1,5 M, COM CAMADA DE AREIA, LANÇAMENTO MANUAL, EM LOCAL COM NÍVEL BAIXO DE INTERFERÊNCIA. AF_06/2016</t>
  </si>
  <si>
    <t>LASTRO COM PREPARO DE FUNDO, LARGURA MAIOR OU IGUAL A 1,5 M, COM CAMADA DE BRITA, LANÇAMENTO MANUAL, EM LOCAL COM NÍVEL BAIXO DE INTERFERÊNCIA. AF_06/2016</t>
  </si>
  <si>
    <t>LASTRO COM PREPARO DE FUNDO, LARGURA MAIOR OU IGUAL A 1,5 M, COM CAMADA DE AREIA, LANÇAMENTO MANUAL, EM LOCAL COM NÍVEL ALTO DE INTERFERÊNCIA. AF_06/2016</t>
  </si>
  <si>
    <t>LASTRO COM PREPARO DE FUNDO, LARGURA MAIOR OU IGUAL A 1,5 M, COM CAMADA DE BRITA, LANÇAMENTO MANUAL, EM LOCAL COM NÍVEL ALTO DE INTERFERÊNCIA. AF_06/2016</t>
  </si>
  <si>
    <t>LASTRO DE VALA COM PREPARO DE FUNDO, LARGURA MENOR QUE 1,5 M, COM CAMADA DE AREIA, LANÇAMENTO MECANIZADO, EM LOCAL COM NÍVEL BAIXO DE INTERFERÊNCIA. AF_06/2016</t>
  </si>
  <si>
    <t>LASTRO DE VALA COM PREPARO DE FUNDO, LARGURA MENOR QUE 1,5 M, COM CAMADA DE BRITA, LANÇAMENTO MECANIZADO, EM LOCAL COM NÍVEL BAIXO DE INTERFERÊNCIA. AF_06/2016</t>
  </si>
  <si>
    <t>LASTRO DE VALA COM PREPARO DE FUNDO, LARGURA MENOR QUE 1,5 M, COM CAMADA DE AREIA, LANÇAMENTO MECANIZADO, EM LOCAL COM NÍVEL ALTO DE INTERFERÊNCIA. AF_06/2016</t>
  </si>
  <si>
    <t>LASTRO DE VALA COM PREPARO DE FUNDO, LARGURA MENOR QUE 1,5 M, COM CAMADA DE BRITA, LANÇAMENTO MECANIZADO, EM LOCAL COM NÍVEL ALTO DE INTERFERÊNCIA. AF_06/2016</t>
  </si>
  <si>
    <t>LASTRO COM PREPARO DE FUNDO, LARGURA MAIOR OU IGUAL A 1,5 M, COM CAMADA DE AREIA, LANÇAMENTO MECANIZADO, EM LOCAL COM NÍVEL BAIXO DE INTERFERÊNCIA. AF_06/2016</t>
  </si>
  <si>
    <t>LASTRO COM PREPARO DE FUNDO, LARGURA MAIOR OU IGUAL A 1,5 M, COM CAMADA DE BRITA, LANÇAMENTO MECANIZADO, EM LOCAL COM NÍVEL BAIXO DE INTERFERÊNCIA. AF_06/2016</t>
  </si>
  <si>
    <t>LASTRO COM PREPARO DE FUNDO, LARGURA MAIOR OU IGUAL A 1,5 M, COM CAMADA DE AREIA, LANÇAMENTO MECANIZADO, EM LOCAL COM NÍVEL ALTO DE INTERFERÊNCIA. AF_06/2016</t>
  </si>
  <si>
    <t>LASTRO COM PREPARO DE FUNDO, LARGURA MAIOR OU IGUAL A 1,5 M, COM CAMADA DE BRITA, LANÇAMENTO MECANIZADO, EM LOCAL COM NÍVEL ALTO DE INTERFERÊNCIA. AF_06/2016</t>
  </si>
  <si>
    <t>ASSENTAMENTO DE GUIA (MEIO-FIO) EM TRECHO RETO, CONFECCIONADA EM CONCRETO PRÉ-FABRICADO, DIMENSÕES 100X15X13X30 CM (COMPRIMENTO X BASE INFERIOR X BASE SUPERIOR X ALTURA), PARA VIAS URBANAS (USO VIÁRIO). AF_06/2016</t>
  </si>
  <si>
    <t>ASSENTAMENTO DE GUIA (MEIO-FIO) EM TRECHO CURVO, CONFECCIONADA EM CONCRETO PRÉ-FABRICADO, DIMENSÕES 100X15X13X30 CM (COMPRIMENTO X BASE INFERIOR X BASE SUPERIOR X ALTURA), PARA VIAS URBANAS (USO VIÁRIO). AF_06/2016</t>
  </si>
  <si>
    <t>ASSENTAMENTO DE GUIA (MEIO-FIO) EM TRECHO RETO, CONFECCIONADA EM CONCRETO PRÉ-FABRICADO, DIMENSÕES 100X15X13X20 CM (COMPRIMENTO X BASE INFERIOR X BASE SUPERIOR X ALTURA), PARA URBANIZAÇÃO INTERNA DE EMPREENDIMENTOS. AF_06/2016_P</t>
  </si>
  <si>
    <t>ASSENTAMENTO DE GUIA (MEIO-FIO) EM TRECHO CURVO, CONFECCIONADA EM CONCRETO PRÉ-FABRICADO, DIMENSÕES 100X15X13X20 CM (COMPRIMENTO X BASE INFERIOR X BASE SUPERIOR X ALTURA), PARA URBANIZAÇÃO INTERNA DE EMPREENDIMENTOS. AF_06/2016_P</t>
  </si>
  <si>
    <t>EXECUÇÃO DE SARJETA DE CONCRETO USINADO, MOLDADA  IN LOCO  EM TRECHO RETO, 30 CM BASE X 15 CM ALTURA. AF_06/2016</t>
  </si>
  <si>
    <t>EXECUÇÃO DE SARJETA DE CONCRETO USINADO, MOLDADA  IN LOCO  EM TRECHO CURVO, 30 CM BASE X 15 CM ALTURA. AF_06/2016</t>
  </si>
  <si>
    <t>EXECUÇÃO DE SARJETA DE CONCRETO USINADO, MOLDADA  IN LOCO  EM TRECHO RETO, 45 CM BASE X 15 CM ALTURA. AF_06/2016</t>
  </si>
  <si>
    <t>EXECUÇÃO DE SARJETA DE CONCRETO USINADO, MOLDADA  IN LOCO  EM TRECHO CURVO, 45 CM BASE X 15 CM ALTURA. AF_06/2016</t>
  </si>
  <si>
    <t>EXECUÇÃO DE SARJETA DE CONCRETO USINADO, MOLDADA  IN LOCO  EM TRECHO RETO, 60 CM BASE X 15 CM ALTURA. AF_06/2016</t>
  </si>
  <si>
    <t>EXECUÇÃO DE SARJETA DE CONCRETO USINADO, MOLDADA  IN LOCO  EM TRECHO CURVO, 60 CM BASE X 15 CM ALTURA. AF_06/2016</t>
  </si>
  <si>
    <t>EXECUÇÃO DE SARJETA DE CONCRETO USINADO, MOLDADA  IN LOCO  EM TRECHO RETO, 30 CM BASE X 10 CM ALTURA. AF_06/2016</t>
  </si>
  <si>
    <t>EXECUÇÃO DE SARJETA DE CONCRETO USINADO, MOLDADA  IN LOCO  EM TRECHO CURVO, 30 CM BASE X 10 CM ALTURA. AF_06/2016</t>
  </si>
  <si>
    <t>EXECUÇÃO DE SARJETA DE CONCRETO USINADO, MOLDADA  IN LOCO  EM TRECHO RETO, 45 CM BASE X 10 CM ALTURA. AF_06/2016</t>
  </si>
  <si>
    <t>EXECUÇÃO DE SARJETA DE CONCRETO USINADO, MOLDADA  IN LOCO  EM TRECHO CURVO, 45 CM BASE X 10 CM ALTURA. AF_06/2016</t>
  </si>
  <si>
    <t>EXECUÇÃO DE SARJETA DE CONCRETO USINADO, MOLDADA  IN LOCO  EM TRECHO RETO, 60 CM BASE X 10 CM ALTURA. AF_06/2016</t>
  </si>
  <si>
    <t>EXECUÇÃO DE SARJETA DE CONCRETO USINADO, MOLDADA  IN LOCO  EM TRECHO CURVO, 60 CM BASE X 10 CM ALTURA. AF_06/2016</t>
  </si>
  <si>
    <t>EXECUÇÃO DE ESCORAS DE CONCRETO PARA CONTENÇÃO DE GUIAS PRÉ-FABRICADAS. AF_06/2016</t>
  </si>
  <si>
    <t>ATERRO MECANIZADO DE VALA COM ESCAVADEIRA HIDRÁULICA (CAPACIDADE DA CAÇAMBA: 0,8 M³ / POTÊNCIA: 111 HP), LARGURA DE 1,5 A 2,5 M, PROFUNDIDADE ATÉ 1,5 M, COM SOLO ARGILO-ARENOSO. AF_05/2016</t>
  </si>
  <si>
    <t>ATERRO MECANIZADO DE VALA COM ESCAVADEIRA HIDRÁULICA (CAPACIDADE DA CAÇAMBA: 0,8 M³ / POTÊNCIA: 111 HP), LARGURA ATÉ 1,5 M, PROFUNDIDADE DE 1,5 A 3,0 M, COM SOLO ARGILO-ARENOSO. AF_05/2016</t>
  </si>
  <si>
    <t>ATERRO MECANIZADO DE VALA COM ESCAVADEIRA HIDRÁULICA (CAPACIDADE DA CAÇAMBA: 0,8 M³ / POTÊNCIA: 111 HP), LARGURA DE 1,5 A 2,5 M, PROFUNDIDADE DE 1,5 A 3,0 M, COM SOLO ARGILO-ARENOSO. AF_05/2016</t>
  </si>
  <si>
    <t>ATERRO MECANIZADO DE VALA COM ESCAVADEIRA HIDRÁULICA (CAPACIDADE DA CAÇAMBA: 0,8 M³ / POTÊNCIA: 111 HP), LARGURA ATÉ 1,5 M, PROFUNDIDADE DE 3,0 A 4,5 M, COM SOLO ARGILO-ARENOSO. AF_05/2016</t>
  </si>
  <si>
    <t>ATERRO MECANIZADO DE VALA COM ESCAVADEIRA HIDRÁULICA (CAPACIDADE DA CAÇAMBA: 0,8 M³ / POTÊNCIA: 111 HP), LARGURA DE 1,5 A 2,5 M, PROFUNDIDADE DE 3,0 A 4,5 M, COM SOLO ARGILO-ARENOSO. AF_05/2016</t>
  </si>
  <si>
    <t>ATERRO MECANIZADO DE VALA COM ESCAVADEIRA HIDRÁULICA (CAPACIDADE DA CAÇAMBA: 0,8 M³ / POTÊNCIA: 111 HP), LARGURA ATÉ 1,5 M, PROFUNDIDADE DE 4,5 A 6,0 M, COM SOLO ARGILO-ARENOSO. AF_05/2016</t>
  </si>
  <si>
    <t>ATERRO MECANIZADO DE VALA COM ESCAVADEIRA HIDRÁULICA (CAPACIDADE DA CAÇAMBA: 0,8 M³ / POTÊNCIA: 111 HP), LARGURA DE 1,5 A 2,5 M, PROFUNDIDADE DE 4,5 A 6,0 M, COM SOLO ARGILO-ARENOSO. AF_05/2016</t>
  </si>
  <si>
    <t>ATERRO MECANIZADO DE VALA COM RETROESCAVADEIRA (CAPACIDADE DA CAÇAMBA DA RETRO: 0,26 M³ / POTÊNCIA: 88 HP), LARGURA DE 0,8 A 1,5 M, PROFUNDIDADE ATÉ 1,5 M, COM SOLO ARGILO-ARENOSO. AF_05/2016</t>
  </si>
  <si>
    <t>ATERRO MECANIZADO DE VALA COM RETROESCAVADEIRA (CAPACIDADE DA CAÇAMBA DA RETRO: 0,26 M³ / POTÊNCIA: 88 HP), LARGURA DE 0,8 A 1,5 M, PROFUNDIDADE DE 1,5 A 3,0 M, COM SOLO ARGILO-ARENOSO. AF_05/2016</t>
  </si>
  <si>
    <t>ATERRO MANUAL DE VALAS COM SOLO ARGILO-ARENOSO E COMPACTAÇÃO MECANIZADA. AF_05/2016</t>
  </si>
  <si>
    <t>ATERRO MECANIZADO DE VALA COM ESCAVADEIRA HIDRÁULICA (CAPACIDADE DA CAÇAMBA: 0,8 M³ / POTÊNCIA: 111 HP), LARGURA DE 1,5 A 2,5 M, PROFUNDIDADE ATÉ 1,5 M, COM AREIA PARA ATERRO. AF_05/2016</t>
  </si>
  <si>
    <t>ATERRO MECANIZADO DE VALA COM ESCAVADEIRA HIDRÁULICA (CAPACIDADE DA CAÇAMBA: 0,8 M³ / POTÊNCIA: 111 HP), LARGURA ATÉ 1,5 M, PROFUNDIDADE DE 1,5 A 3,0 M, COM AREIA PARA ATERRO. AF_05/2016</t>
  </si>
  <si>
    <t>ATERRO MECANIZADO DE VALA COM ESCAVADEIRA HIDRÁULICA (CAPACIDADE DA CAÇAMBA: 0,8 M³ / POTÊNCIA: 111 HP), LARGURA DE 1,5 A 2,5 M, PROFUNDIDADE DE 1,5 A 3,0 M, COM AREIA PARA ATERRO. AF_05/2016</t>
  </si>
  <si>
    <t>ATERRO MECANIZADO DE VALA COM ESCAVADEIRA HIDRÁULICA (CAPACIDADE DA CAÇAMBA: 0,8 M³ / POTÊNCIA: 111 HP), LARGURA ATÉ 1,5 M, PROFUNDIDADE DE 3,0 A 4,5 M, COM AREIA PARA ATERRO. AF_05/2016</t>
  </si>
  <si>
    <t>ATERRO MECANIZADO DE VALA COM ESCAVADEIRA HIDRÁULICA (CAPACIDADE DA CAÇAMBA: 0,8 M³ / POTÊNCIA: 111 HP), LARGURA DE 1,5 A 2,5 M, PROFUNDIDADE DE 3,0 A 4,5 M, COM AREIA PARA ATERRO. AF_05/2016</t>
  </si>
  <si>
    <t>ATERRO MECANIZADO DE VALA COM ESCAVADEIRA HIDRÁULICA (CAPACIDADE DA CAÇAMBA: 0,8 M³ / POTÊNCIA: 111 HP), LARGURA ATÉ 1,5 M, PROFUNDIDADE DE 4,5 A 6,0 M, COM AREIA PARA ATERRO. AF_05/2016</t>
  </si>
  <si>
    <t>ATERRO MECANIZADO DE VALA COM ESCAVADEIRA HIDRÁULICA (CAPACIDADE DA CAÇAMBA: 0,8 M³ / POTÊNCIA: 111 HP), LARGURA DE 1,5 A 2,5 M, PROFUNDIDADE DE 4,5 A 6,0 M, COM AREIA PARA ATERRO. AF_05/2016</t>
  </si>
  <si>
    <t>ATERRO MECANIZADO DE VALA COM RETROESCAVADEIRA (CAPACIDADE DA CAÇAMBA DA RETRO: 0,26 M³ / POTÊNCIA: 88 HP), LARGURA DE 0,8 A 1,5 M, PROFUNDIDADE ATÉ 1,5 M, COM AREIA PARA ATERRO. AF_05/2016</t>
  </si>
  <si>
    <t>ATERRO MECANIZADO DE VALA COM RETROESCAVADEIRA (CAPACIDADE DA CAÇAMBA DA RETRO: 0,26 M³ / POTÊNCIA: 88 HP), LARGURA DE 0,8 A 1,5 M, PROFUNDIDADE DE 1,5 A 3,0 M, COM AREIA PARA ATERRO. AF_05/2016</t>
  </si>
  <si>
    <t>(COMPOSIÇÃO REPRESENTATIVA) DO SERVIÇO DE CONTRAPISO EM ARGAMASSA TRAÇO 1:4 (CIM E AREIA), EM BETONEIRA 400 L, ESPESSURA 3 CM ÁREAS SECAS E 3 CM ÁREAS MOLHADAS, PARA EDIFICAÇÃO HABITACIONAL UNIFAMILIAR (CASA) E EDIFICAÇÃO PÚBLICA PADRÃO. AF_11/2014</t>
  </si>
  <si>
    <t>(COMPOSIÇÃO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t>
  </si>
  <si>
    <t>TUBO DE AÇO GALVANIZADO COM COSTURA, CLASSE MÉDIA, DN 50 (2), CONEXÃO ROSQUEADA, INSTALADO EM RESERVAÇÃO DE ÁGUA DE EDIFICAÇÃO QUE POSSUA RESERVATÓRIO DE FIBRA/FIBROCIMENTO  FORNECIMENTO E INSTALAÇÃO. AF_06/2016</t>
  </si>
  <si>
    <t>TUBO DE AÇO GALVANIZADO COM COSTURA, CLASSE MÉDIA, DN 65 (2 1/2), CONEXÃO ROSQUEADA, INSTALADO EM RESERVAÇÃO DE ÁGUA DE EDIFICAÇÃO QUE POSSUA RESERVATÓRIO DE FIBRA/FIBROCIMENTO  FORNECIMENTO E INSTALAÇÃO. AF_06/2016</t>
  </si>
  <si>
    <t>TUBO DE AÇO GALVANIZADO COM COSTURA, CLASSE MÉDIA, DN 80 (3), CONEXÃO ROSQUEADA, INSTALADO EM RESERVAÇÃO DE ÁGUA DE EDIFICAÇÃO QUE POSSUA RESERVATÓRIO DE FIBRA/FIBROCIMENTO  FORNECIMENTO E INSTALAÇÃO. AF_06/2016</t>
  </si>
  <si>
    <t>LUVA, EM FERRO GALVANIZADO, CONEXÃO ROSQUEADA, DN 50 (2), INSTALADO EM RESERVAÇÃO DE ÁGUA DE EDIFICAÇÃO QUE POSSUA RESERVATÓRIO DE FIBRA/FIBROCIMENTO  FORNECIMENTO E INSTALAÇÃO. AF_06/2016</t>
  </si>
  <si>
    <t>NIPLE, EM FERRO GALVANIZADO, CONEXÃO ROSQUEADA, DN 50 (2), INSTALADO EM RESERVAÇÃO DE ÁGUA DE EDIFICAÇÃO QUE POSSUA RESERVATÓRIO DE FIBRA/FIBROCIMENTO  FORNECIMENTO E INSTALAÇÃO. AF_06/2016</t>
  </si>
  <si>
    <t>LUVA, EM FERRO GALVANIZADO, CONEXÃO ROSQUEADA, DN 65 (2 1/2), INSTALADO EM RESERVAÇÃO DE ÁGUA DE EDIFICAÇÃO QUE POSSUA RESERVATÓRIO DE FIBRA/FIBROCIMENTO  FORNECIMENTO E INSTALAÇÃO. AF_06/2016</t>
  </si>
  <si>
    <t>NIPLE, EM FERRO GALVANIZADO, CONEXÃO ROSQUEADA, DN 65 (2 1/2), INSTALADO EM RESERVAÇÃO DE ÁGUA DE EDIFICAÇÃO QUE POSSUA RESERVATÓRIO DE FIBRA/FIBROCIMENTO  FORNECIMENTO E INSTALAÇÃO. AF_06/2016</t>
  </si>
  <si>
    <t>LUVA, EM FERRO GALVANIZADO, CONEXÃO ROSQUEADA, DN 80 (3), INSTALADO EM RESERVAÇÃO DE ÁGUA DE EDIFICAÇÃO QUE POSSUA RESERVATÓRIO DE FIBRA/FIBROCIMENTO  FORNECIMENTO E INSTALAÇÃO. AF_06/2016</t>
  </si>
  <si>
    <t>NIPLE, EM FERRO GALVANIZADO, CONEXÃO ROSQUEADA, DN 80 (3), INSTALADO EM RESERVAÇÃO DE ÁGUA DE EDIFICAÇÃO QUE POSSUA RESERVATÓRIO DE FIBRA/FIBROCIMENTO  FORNECIMENTO E INSTALAÇÃO. AF_06/2016</t>
  </si>
  <si>
    <t>COTOVELO 90 GRAUS, EM FERRO GALVANIZADO, CONEXÃO ROSQUEADA, DN 50 (2), INSTALADO EM RESERVAÇÃO DE ÁGUA DE EDIFICAÇÃO QUE POSSUA RESERVATÓRIO DE FIBRA/FIBROCIMENTO  FORNECIMENTO E INSTALAÇÃO. AF_06/2016</t>
  </si>
  <si>
    <t>COTOVELO 45 GRAUS, EM FERRO GALVANIZADO, CONEXÃO ROSQUEADA, DN 50 (2), INSTALADO EM RESERVAÇÃO DE ÁGUA DE EDIFICAÇÃO QUE POSSUA RESERVATÓRIO DE FIBRA/FIBROCIMENTO  FORNECIMENTO E INSTALAÇÃO. AF_06/2016</t>
  </si>
  <si>
    <t>COTOVELO 90 GRAUS, EM FERRO GALVANIZADO, CONEXÃO ROSQUEADA, DN 65 (2 1/2), INSTALADO EM RESERVAÇÃO DE ÁGUA DE EDIFICAÇÃO QUE POSSUA RESERVATÓRIO DE FIBRA/FIBROCIMENTO  FORNECIMENTO E INSTALAÇÃO. AF_06/2016</t>
  </si>
  <si>
    <t>COTOVELO 45 GRAUS, EM FERRO GALVANIZADO, CONEXÃO ROSQUEADA, DN 65 (2 1/2), INSTALADO EM RESERVAÇÃO DE ÁGUA DE EDIFICAÇÃO QUE POSSUA RESERVATÓRIO DE FIBRA/FIBROCIMENTO  FORNECIMENTO E INSTALAÇÃO. AF_06/2016</t>
  </si>
  <si>
    <t>COTOVELO 90 GRAUS, EM FERRO GALVANIZADO, CONEXÃO ROSQUEADA, DN 80 (3), INSTALADO EM RESERVAÇÃO DE ÁGUA DE EDIFICAÇÃO QUE POSSUA RESERVATÓRIO DE FIBRA/FIBROCIMENTO  FORNECIMENTO E INSTALAÇÃO. AF_06/2016</t>
  </si>
  <si>
    <t>COTOVELO 45 GRAUS, EM FERRO GALVANIZADO, CONEXÃO ROSQUEADA, DN 80 (3), INSTALADO EM RESERVAÇÃO DE ÁGUA DE EDIFICAÇÃO QUE POSSUA RESERVATÓRIO DE FIBRA/FIBROCIMENTO  FORNECIMENTO E INSTALAÇÃO. AF_06/2016</t>
  </si>
  <si>
    <t>TÊ, EM FERRO GALVANIZADO, CONEXÃO ROSQUEADA, DN 50 (2), INSTALADO EM RESERVAÇÃO DE ÁGUA DE EDIFICAÇÃO QUE POSSUA RESERVATÓRIO DE FIBRA/FIBROCIMENTO  FORNECIMENTO E INSTALAÇÃO. AF_06/2016</t>
  </si>
  <si>
    <t>TÊ, EM FERRO GALVANIZADO, CONEXÃO ROSQUEADA, DN 65 (2 1/2), INSTALADO EM RESERVAÇÃO DE ÁGUA DE EDIFICAÇÃO QUE POSSUA RESERVATÓRIO DE FIBRA/FIBROCIMENTO  FORNECIMENTO E INSTALAÇÃO. AF_06/2016</t>
  </si>
  <si>
    <t>TÊ, EM FERRO GALVANIZADO, CONEXÃO ROSQUEADA, DN 80 (3), INSTALADO EM RESERVAÇÃO DE ÁGUA DE EDIFICAÇÃO QUE POSSUA RESERVATÓRIO DE FIBRA/FIBROCIMENTO  FORNECIMENTO E INSTALAÇÃO. AF_06/2016</t>
  </si>
  <si>
    <t>CONJUNTO HIDRÁULICO PARA INSTALAÇÃO DE BOMBA EM AÇO ROSCÁVEL, DN SUCÇÃO 65 (2½) E DN RECALQUE 50 (2), PARA EDIFICAÇÃO ENTRE 12 E 18 PAVIMENTOS  FORNECIMENTO E INSTALAÇÃO. AF_06/2016</t>
  </si>
  <si>
    <t>CONJUNTO HIDRÁULICO PARA INSTALAÇÃO DE BOMBA EM AÇO ROSCÁVEL, DN SUCÇÃO 50 (2) E DN RECALQUE 40 (1 1/2), PARA EDIFICAÇÃO ENTRE 8 E 12 PAVIMENTOS  FORNECIMENTO E INSTALAÇÃO. AF_06/2016</t>
  </si>
  <si>
    <t>CONJUNTO HIDRÁULICO PARA INSTALAÇÃO DE BOMBA EM AÇO ROSCÁVEL, DN SUCÇÃO 40 (1 1/2) E DN RECALQUE 32 (1 1/4), PARA EDIFICAÇÃO ENTRE 4 E 8 PAVIMENTOS  FORNECIMENTO E INSTALAÇÃO. AF_06/2016</t>
  </si>
  <si>
    <t>CONJUNTO HIDRÁULICO PARA INSTALAÇÃO DE BOMBA EM AÇO ROSCÁVEL, DN SUCÇÃO 32 (1 1/4) E DN RECALQUE 25 (1), PARA EDIFICAÇÃO ATÉ 4 PAVIMENTOS  FORNECIMENTO E INSTALAÇÃO. AF_06/2016</t>
  </si>
  <si>
    <t>REGISTRO DE ESFERA, PVC, SOLDÁVEL, DN  25 MM, INSTALADO EM RESERVAÇÃO DE ÁGUA DE EDIFICAÇÃO QUE POSSUA RESERVATÓRIO DE FIBRA/FIBROCIMENTO   FORNECIMENTO E INSTALAÇÃO. AF_06/2016</t>
  </si>
  <si>
    <t>REGISTRO DE ESFERA, PVC, SOLDÁVEL, DN  32 MM, INSTALADO EM RESERVAÇÃO DE ÁGUA DE EDIFICAÇÃO QUE POSSUA RESERVATÓRIO DE FIBRA/FIBROCIMENTO   FORNECIMENTO E INSTALAÇÃO. AF_06/2016</t>
  </si>
  <si>
    <t>REGISTRO DE ESFERA, PVC, SOLDÁVEL, DN  40 MM, INSTALADO EM RESERVAÇÃO DE ÁGUA DE EDIFICAÇÃO QUE POSSUA RESERVATÓRIO DE FIBRA/FIBROCIMENTO   FORNECIMENTO E INSTALAÇÃO. AF_06/2016</t>
  </si>
  <si>
    <t>REGISTRO DE ESFERA, PVC, SOLDÁVEL, DN  50 MM, INSTALADO EM RESERVAÇÃO DE ÁGUA DE EDIFICAÇÃO QUE POSSUA RESERVATÓRIO DE FIBRA/FIBROCIMENTO   FORNECIMENTO E INSTALAÇÃO. AF_06/2016</t>
  </si>
  <si>
    <t>REGISTRO DE ESFERA, PVC, SOLDÁVEL, DN  60 MM, INSTALADO EM RESERVAÇÃO DE ÁGUA DE EDIFICAÇÃO QUE POSSUA RESERVATÓRIO DE FIBRA/FIBROCIMENTO   FORNECIMENTO E INSTALAÇÃO. AF_06/2016</t>
  </si>
  <si>
    <t>REGISTRO DE GAVETA BRUTO, LATÃO, ROSCÁVEL, 3/4, INSTALADO EM RESERVAÇÃO DE ÁGUA DE EDIFICAÇÃO QUE POSSUA RESERVATÓRIO DE FIBRA/FIBROCIMENTO  FORNECIMENTO E INSTALAÇÃO. AF_06/2016</t>
  </si>
  <si>
    <t>REGISTRO DE GAVETA BRUTO, LATÃO, ROSCÁVEL, 1, INSTALADO EM RESERVAÇÃO DE ÁGUA DE EDIFICAÇÃO QUE POSSUA RESERVATÓRIO DE FIBRA/FIBROCIMENTO  FORNECIMENTO E INSTALAÇÃO. AF_06/2016</t>
  </si>
  <si>
    <t>REGISTRO DE GAVETA BRUTO, LATÃO, ROSCÁVEL, 1 1/4, INSTALADO EM RESERVAÇÃO DE ÁGUA DE EDIFICAÇÃO QUE POSSUA RESERVATÓRIO DE FIBRA/FIBROCIMENTO  FORNECIMENTO E INSTALAÇÃO. AF_06/2016</t>
  </si>
  <si>
    <t>REGISTRO DE GAVETA BRUTO, LATÃO, ROSCÁVEL, 1 1/2, INSTALADO EM RESERVAÇÃO DE ÁGUA DE EDIFICAÇÃO QUE POSSUA RESERVATÓRIO DE FIBRA/FIBROCIMENTO  FORNECIMENTO E INSTALAÇÃO. AF_06/2016</t>
  </si>
  <si>
    <t>REGISTRO DE GAVETA BRUTO, LATÃO, ROSCÁVEL, 2, INSTALADO EM RESERVAÇÃO DE ÁGUA DE EDIFICAÇÃO QUE POSSUA RESERVATÓRIO DE FIBRA/FIBROCIMENTO  FORNECIMENTO E INSTALAÇÃO. AF_06/2016</t>
  </si>
  <si>
    <t>REGISTRO DE GAVETA BRUTO, LATÃO, ROSCÁVEL, 2 1/2, INSTALADO EM RESERVAÇÃO DE ÁGUA DE EDIFICAÇÃO QUE POSSUA RESERVATÓRIO DE FIBRA/FIBROCIMENTO  FORNECIMENTO E INSTALAÇÃO. AF_06/2016</t>
  </si>
  <si>
    <t>REGISTRO DE GAVETA BRUTO, LATÃO, ROSCÁVEL, 3, INSTALADO EM RESERVAÇÃO DE ÁGUA DE EDIFICAÇÃO QUE POSSUA RESERVATÓRIO DE FIBRA/FIBROCIMENTO  FORNECIMENTO E INSTALAÇÃO. AF_06/2016</t>
  </si>
  <si>
    <t>REGISTRO DE GAVETA BRUTO, LATÃO, ROSCÁVEL, 4, INSTALADO EM RESERVAÇÃO DE ÁGUA DE EDIFICAÇÃO QUE POSSUA RESERVATÓRIO DE FIBRA/FIBROCIMENTO  FORNECIMENTO E INSTALAÇÃO. AF_06/2016</t>
  </si>
  <si>
    <t>TUBO, PVC, SOLDÁVEL, DN  25 MM, INSTALADO EM RESERVAÇÃO DE ÁGUA DE EDIFICAÇÃO QUE POSSUA RESERVATÓRIO DE FIBRA/FIBROCIMENTO   FORNECIMENTO E INSTALAÇÃO. AF_06/2016</t>
  </si>
  <si>
    <t>TUBO, PVC, SOLDÁVEL, DN 32 MM, INSTALADO EM RESERVAÇÃO DE ÁGUA DE EDIFICAÇÃO QUE POSSUA RESERVATÓRIO DE FIBRA/FIBROCIMENTO   FORNECIMENTO E INSTALAÇÃO. AF_06/2016</t>
  </si>
  <si>
    <t>TUBO, PVC, SOLDÁVEL, DN 40 MM, INSTALADO EM RESERVAÇÃO DE ÁGUA DE EDIFICAÇÃO QUE POSSUA RESERVATÓRIO DE FIBRA/FIBROCIMENTO   FORNECIMENTO E INSTALAÇÃO. AF_06/2016</t>
  </si>
  <si>
    <t>TUBO, PVC, SOLDÁVEL, DN 50 MM, INSTALADO EM RESERVAÇÃO DE ÁGUA DE EDIFICAÇÃO QUE POSSUA RESERVATÓRIO DE FIBRA/FIBROCIMENTO   FORNECIMENTO E INSTALAÇÃO. AF_06/2016</t>
  </si>
  <si>
    <t>TUBO, PVC, SOLDÁVEL, DN 60 MM, INSTALADO EM RESERVAÇÃO DE ÁGUA DE EDIFICAÇÃO QUE POSSUA RESERVATÓRIO DE FIBRA/FIBROCIMENTO   FORNECIMENTO E INSTALAÇÃO. AF_06/2016</t>
  </si>
  <si>
    <t>TUBO, PVC, SOLDÁVEL, DN 75 MM, INSTALADO EM RESERVAÇÃO DE ÁGUA DE EDIFICAÇÃO QUE POSSUA RESERVATÓRIO DE FIBRA/FIBROCIMENTO   FORNECIMENTO E INSTALAÇÃO. AF_06/2016</t>
  </si>
  <si>
    <t>TUBO, PVC, SOLDÁVEL, DN 85 MM, INSTALADO EM RESERVAÇÃO DE ÁGUA DE EDIFICAÇÃO QUE POSSUA RESERVATÓRIO DE FIBRA/FIBROCIMENTO   FORNECIMENTO E INSTALAÇÃO. AF_06/2016</t>
  </si>
  <si>
    <t>TUBO, PVC, SOLDÁVEL, DN 110 MM, INSTALADO EM RESERVAÇÃO DE ÁGUA DE EDIFICAÇÃO QUE POSSUA RESERVATÓRIO DE FIBRA/FIBROCIMENTO   FORNECIMENTO E INSTALAÇÃO. AF_06/2016</t>
  </si>
  <si>
    <t>ADAPTADOR CURTO COM BOLSA E ROSCA PARA REGISTRO, PVC, SOLDÁVEL, DN  25 MM X 3/4 , INSTALADO EM RESERVAÇÃO DE ÁGUA DE EDIFICAÇÃO QUE POSSUA RESERVATÓRIO DE FIBRA/FIBROCIMENTO   FORNECIMENTO E INSTALAÇÃO. AF_06/2016</t>
  </si>
  <si>
    <t>LUVA PVC, SOLDÁVEL, DN  25 MM, INSTALADA EM RESERVAÇÃO DE ÁGUA DE EDIFICAÇÃO QUE POSSUA RESERVATÓRIO DE FIBRA/FIBROCIMENTO   FORNECIMENTO E INSTALAÇÃO. AF_06/2016</t>
  </si>
  <si>
    <t>ADAPTADOR CURTO COM BOLSA E ROSCA PARA REGISTRO, PVC, SOLDÁVEL, DN 32 MM X 1 , INSTALADO EM RESERVAÇÃO DE ÁGUA DE EDIFICAÇÃO QUE POSSUA RESERVATÓRIO DE FIBRA/FIBROCIMENTO   FORNECIMENTO E INSTALAÇÃO. AF_06/2016</t>
  </si>
  <si>
    <t>LUVA PVC, SOLDÁVEL, DN 32 MM, INSTALADA EM RESERVAÇÃO DE ÁGUA DE EDIFICAÇÃO QUE POSSUA RESERVATÓRIO DE FIBRA/FIBROCIMENTO   FORNECIMENTO E INSTALAÇÃO. AF_06/2016</t>
  </si>
  <si>
    <t>ADAPTADOR CURTO COM BOLSA E ROSCA PARA REGISTRO, PVC, SOLDÁVEL, DN 40 MM X 1 1/4 , INSTALADO EM RESERVAÇÃO DE ÁGUA DE EDIFICAÇÃO QUE POSSUA RESERVATÓRIO DE FIBRA/FIBROCIMENTO   FORNECIMENTO E INSTALAÇÃO. AF_06/2016</t>
  </si>
  <si>
    <t>LUVA, PVC, SOLDÁVEL, DN 40 MM, INSTALADO EM RESERVAÇÃO DE ÁGUA DE EDIFICAÇÃO QUE POSSUA RESERVATÓRIO DE FIBRA/FIBROCIMENTO   FORNECIMENTO E INSTALAÇÃO. AF_06/2016</t>
  </si>
  <si>
    <t>ADAPTADOR CURTO COM BOLSA E ROSCA PARA REGISTRO, PVC, SOLDÁVEL, DN 50 MM X 1 1/2 , INSTALADO EM RESERVAÇÃO DE ÁGUA DE EDIFICAÇÃO QUE POSSUA RESERVATÓRIO DE FIBRA/FIBROCIMENTO   FORNECIMENTO E INSTALAÇÃO. AF_06/2016</t>
  </si>
  <si>
    <t>LUVA, PVC, SOLDÁVEL, DN 50 MM, INSTALADO EM RESERVAÇÃO DE ÁGUA DE EDIFICAÇÃO QUE POSSUA RESERVATÓRIO DE FIBRA/FIBROCIMENTO   FORNECIMENTO E INSTALAÇÃO. AF_06/2016</t>
  </si>
  <si>
    <t>ADAPTADOR CURTO COM BOLSA E ROSCA PARA REGISTRO, PVC, SOLDÁVEL, DN 60 MM X 2 , INSTALADO EM RESERVAÇÃO DE ÁGUA DE EDIFICAÇÃO QUE POSSUA RESERVATÓRIO DE FIBRA/FIBROCIMENTO   FORNECIMENTO E INSTALAÇÃO. AF_06/2016</t>
  </si>
  <si>
    <t>LUVA, PVC, SOLDÁVEL, DN 60 MM, INSTALADO EM RESERVAÇÃO DE ÁGUA DE EDIFICAÇÃO QUE POSSUA RESERVATÓRIO DE FIBRA/FIBROCIMENTO   FORNECIMENTO E INSTALAÇÃO. AF_06/2016</t>
  </si>
  <si>
    <t>ADAPTADOR CURTO COM BOLSA E ROSCA PARA REGISTRO, PVC, SOLDÁVEL, DN 75 MM X 2 1/2 , INSTALADO EM RESERVAÇÃO DE ÁGUA DE EDIFICAÇÃO QUE POSSUA RESERVATÓRIO DE FIBRA/FIBROCIMENTO   FORNECIMENTO E INSTALAÇÃO. AF_06/2016</t>
  </si>
  <si>
    <t>LUVA, PVC, SOLDÁVEL, DN 75 MM, INSTALADO EM RESERVAÇÃO DE ÁGUA DE EDIFICAÇÃO QUE POSSUA RESERVATÓRIO DE FIBRA/FIBROCIMENTO   FORNECIMENTO E INSTALAÇÃO. AF_06/2016</t>
  </si>
  <si>
    <t>ADAPTADOR CURTO COM BOLSA E ROSCA PARA REGISTRO, PVC, SOLDÁVEL, DN 85 MM X 3 , INSTALADO EM RESERVAÇÃO DE ÁGUA DE EDIFICAÇÃO QUE POSSUA RESERVATÓRIO DE FIBRA/FIBROCIMENTO   FORNECIMENTO E INSTALAÇÃO. AF_06/2016</t>
  </si>
  <si>
    <t>LUVA, PVC, SOLDÁVEL, DN 85 MM, INSTALADO EM RESERVAÇÃO DE ÁGUA DE EDIFICAÇÃO QUE POSSUA RESERVATÓRIO DE FIBRA/FIBROCIMENTO   FORNECIMENTO E INSTALAÇÃO. AF_06/2016</t>
  </si>
  <si>
    <t>ADAPTADOR CURTO COM BOLSA E ROSCA PARA REGISTRO, PVC, SOLDÁVEL, DN 110 MM X 4 , INSTALADO EM RESERVAÇÃO DE ÁGUA DE EDIFICAÇÃO QUE POSSUA RESERVATÓRIO DE FIBRA/FIBROCIMENTO   FORNECIMENTO E INSTALAÇÃO. AF_06/2016</t>
  </si>
  <si>
    <t>LUVA, PVC, SOLDÁVEL, DN 110 MM, INSTALADO EM RESERVAÇÃO DE ÁGUA DE EDIFICAÇÃO QUE POSSUA RESERVATÓRIO DE FIBRA/FIBROCIMENTO   FORNECIMENTO E INSTALAÇÃO. AF_06/2016</t>
  </si>
  <si>
    <t>JOELHO 90 GRAUS COM BUCHA DE LATÃO, PVC, SOLDÁVEL, DN  25 MM, X 3/4 INSTALADO EM RESERVAÇÃO DE ÁGUA DE EDIFICAÇÃO QUE POSSUA RESERVATÓRIO DE FIBRA/FIBROCIMENTO   FORNECIMENTO E INSTALAÇÃO. AF_06/2016</t>
  </si>
  <si>
    <t>CURVA 90 GRAUS, PVC, SOLDÁVEL, DN  25 MM, INSTALADO EM RESERVAÇÃO DE ÁGUA DE EDIFICAÇÃO QUE POSSUA RESERVATÓRIO DE FIBRA/FIBROCIMENTO   FORNECIMENTO E INSTALAÇÃO. AF_06/2016</t>
  </si>
  <si>
    <t>JOELHO 90 GRAUS, PVC, SOLDÁVEL, DN 32 MM INSTALADO EM RESERVAÇÃO DE ÁGUA DE EDIFICAÇÃO QUE POSSUA RESERVATÓRIO DE FIBRA/FIBROCIMENTO   FORNECIMENTO E INSTALAÇÃO. AF_06/2016</t>
  </si>
  <si>
    <t>CURVA 90 GRAUS, PVC, SOLDÁVEL, DN 32 MM, INSTALADO EM RESERVAÇÃO DE ÁGUA DE EDIFICAÇÃO QUE POSSUA RESERVATÓRIO DE FIBRA/FIBROCIMENTO   FORNECIMENTO E INSTALAÇÃO. AF_06/2016</t>
  </si>
  <si>
    <t>JOELHO 90 GRAUS, PVC, SOLDÁVEL, DN 40 MM INSTALADO EM RESERVAÇÃO DE ÁGUA DE EDIFICAÇÃO QUE POSSUA RESERVATÓRIO DE FIBRA/FIBROCIMENTO   FORNECIMENTO E INSTALAÇÃO. AF_06/2016</t>
  </si>
  <si>
    <t>CURVA 90 GRAUS, PVC, SOLDÁVEL, DN 40 MM, INSTALADO EM RESERVAÇÃO DE ÁGUA DE EDIFICAÇÃO QUE POSSUA RESERVATÓRIO DE FIBRA/FIBROCIMENTO   FORNECIMENTO E INSTALAÇÃO. AF_06/2016</t>
  </si>
  <si>
    <t>JOELHO 90 GRAUS, PVC, SOLDÁVEL, DN 50 MM INSTALADO EM RESERVAÇÃO DE ÁGUA DE EDIFICAÇÃO QUE POSSUA RESERVATÓRIO DE FIBRA/FIBROCIMENTO   FORNECIMENTO E INSTALAÇÃO. AF_06/2016</t>
  </si>
  <si>
    <t>CURVA 90 GRAUS, PVC, SOLDÁVEL, DN 50 MM, INSTALADO EM RESERVAÇÃO DE ÁGUA DE EDIFICAÇÃO QUE POSSUA RESERVATÓRIO DE FIBRA/FIBROCIMENTO   FORNECIMENTO E INSTALAÇÃO. AF_06/2016</t>
  </si>
  <si>
    <t>JOELHO 90 GRAUS, PVC, SOLDÁVEL, DN 60 MM INSTALADO EM RESERVAÇÃO DE ÁGUA DE EDIFICAÇÃO QUE POSSUA RESERVATÓRIO DE FIBRA/FIBROCIMENTO   FORNECIMENTO E INSTALAÇÃO. AF_06/2016</t>
  </si>
  <si>
    <t>CURVA 90 GRAUS, PVC, SOLDÁVEL, DN 60 MM, INSTALADO EM RESERVAÇÃO DE ÁGUA DE EDIFICAÇÃO QUE POSSUA RESERVATÓRIO DE FIBRA/FIBROCIMENTO   FORNECIMENTO E INSTALAÇÃO. AF_06/2016</t>
  </si>
  <si>
    <t>JOELHO 90 GRAUS, PVC, SOLDÁVEL, DN 75 MM INSTALADO EM RESERVAÇÃO DE ÁGUA DE EDIFICAÇÃO QUE POSSUA RESERVATÓRIO DE FIBRA/FIBROCIMENTO   FORNECIMENTO E INSTALAÇÃO. AF_06/2016</t>
  </si>
  <si>
    <t>CURVA 90 GRAUS, PVC, SOLDÁVEL, DN 75 MM, INSTALADO EM RESERVAÇÃO DE ÁGUA DE EDIFICAÇÃO QUE POSSUA RESERVATÓRIO DE FIBRA/FIBROCIMENTO   FORNECIMENTO E INSTALAÇÃO. AF_06/2016</t>
  </si>
  <si>
    <t>JOELHO 90 GRAUS, PVC, SOLDÁVEL, DN 85 MM INSTALADO EM RESERVAÇÃO DE ÁGUA DE EDIFICAÇÃO QUE POSSUA RESERVATÓRIO DE FIBRA/FIBROCIMENTO   FORNECIMENTO E INSTALAÇÃO. AF_06/2016</t>
  </si>
  <si>
    <t>CURVA 90 GRAUS, PVC, SOLDÁVEL, DN 85 MM, INSTALADO EM RESERVAÇÃO DE ÁGUA DE EDIFICAÇÃO QUE POSSUA RESERVATÓRIO DE FIBRA/FIBROCIMENTO   FORNECIMENTO E INSTALAÇÃO. AF_06/2016</t>
  </si>
  <si>
    <t>JOELHO 90 GRAUS, PVC, SOLDÁVEL, DN 110 MM INSTALADO EM RESERVAÇÃO DE ÁGUA DE EDIFICAÇÃO QUE POSSUA RESERVATÓRIO DE FIBRA/FIBROCIMENTO   FORNECIMENTO E INSTALAÇÃO. AF_06/2016</t>
  </si>
  <si>
    <t>CURVA 90 GRAUS, PVC, SOLDÁVEL, DN 110 MM, INSTALADO EM RESERVAÇÃO DE ÁGUA DE EDIFICAÇÃO QUE POSSUA RESERVATÓRIO DE FIBRA/FIBROCIMENTO   FORNECIMENTO E INSTALAÇÃO. AF_06/2016</t>
  </si>
  <si>
    <t>TÊ, PVC, SOLDÁVEL, DN  25 MM INSTALADO EM RESERVAÇÃO DE ÁGUA DE EDIFICAÇÃO QUE POSSUA RESERVATÓRIO DE FIBRA/FIBROCIMENTO   FORNECIMENTO E INSTALAÇÃO. AF_06/2016</t>
  </si>
  <si>
    <t>TÊ COM BUCHA DE LATÃO NA BOLSA CENTRAL, PVC, SOLDÁVEL, DN  25 MM X 3/4 , INSTALADO EM RESERVAÇÃO DE ÁGUA DE EDIFICAÇÃO QUE POSSUA RESERVATÓRIO DE FIBRA/FIBROCIMENTO   FORNECIMENTO E INSTALAÇÃO. AF_06/2016</t>
  </si>
  <si>
    <t>TÊ, PVC, SOLDÁVEL, DN 32 MM INSTALADO EM RESERVAÇÃO DE ÁGUA DE EDIFICAÇÃO QUE POSSUA RESERVATÓRIO DE FIBRA/FIBROCIMENTO   FORNECIMENTO E INSTALAÇÃO. AF_06/2016</t>
  </si>
  <si>
    <t>TÊ DE REDUÇÃO, PVC, SOLDÁVEL, DN 32 MM X  25 MM, INSTALADO EM RESERVAÇÃO DE ÁGUA DE EDIFICAÇÃO QUE POSSUA RESERVATÓRIO DE FIBRA/FIBROCIMENTO   FORNECIMENTO E INSTALAÇÃO. AF_06/2016</t>
  </si>
  <si>
    <t>TÊ, PVC, SOLDÁVEL, DN 40 MM INSTALADO EM RESERVAÇÃO DE ÁGUA DE EDIFICAÇÃO QUE POSSUA RESERVATÓRIO DE FIBRA/FIBROCIMENTO   FORNECIMENTO E INSTALAÇÃO. AF_06/2016</t>
  </si>
  <si>
    <t>TÊ DE REDUÇÃO, PVC, SOLDÁVEL, DN 40 MM X 32 MM, INSTALADO EM RESERVAÇÃO DE ÁGUA DE EDIFICAÇÃO QUE POSSUA RESERVATÓRIO DE FIBRA/FIBROCIMENTO   FORNECIMENTO E INSTALAÇÃO. AF_06/2016</t>
  </si>
  <si>
    <t>TÊ, PVC, SOLDÁVEL, DN 50 MM INSTALADO EM RESERVAÇÃO DE ÁGUA DE EDIFICAÇÃO QUE POSSUA RESERVATÓRIO DE FIBRA/FIBROCIMENTO   FORNECIMENTO E INSTALAÇÃO. AF_06/2016</t>
  </si>
  <si>
    <t>TÊ DE REDUÇÃO, PVC, SOLDÁVEL, DN 50 MM X 40 MM, INSTALADO EM RESERVAÇÃO DE ÁGUA DE EDIFICAÇÃO QUE POSSUA RESERVATÓRIO DE FIBRA/FIBROCIMENTO   FORNECIMENTO E INSTALAÇÃO. AF_06/2016</t>
  </si>
  <si>
    <t>TÊ, PVC, SOLDÁVEL, DN 60 MM INSTALADO EM RESERVAÇÃO DE ÁGUA DE EDIFICAÇÃO QUE POSSUA RESERVATÓRIO DE FIBRA/FIBROCIMENTO   FORNECIMENTO E INSTALAÇÃO. AF_06/2016</t>
  </si>
  <si>
    <t>TÊ, PVC, SOLDÁVEL, DN 75 MM INSTALADO EM RESERVAÇÃO DE ÁGUA DE EDIFICAÇÃO QUE POSSUA RESERVATÓRIO DE FIBRA/FIBROCIMENTO   FORNECIMENTO E INSTALAÇÃO. AF_06/2016</t>
  </si>
  <si>
    <t>TÊ DE REDUÇÃO, PVC, SOLDÁVEL, DN 75 MM X 50 MM, INSTALADO EM RESERVAÇÃO DE ÁGUA DE EDIFICAÇÃO QUE POSSUA RESERVATÓRIO DE FIBRA/FIBROCIMENTO   FORNECIMENTO E INSTALAÇÃO. AF_06/2016</t>
  </si>
  <si>
    <t>TÊ, PVC, SOLDÁVEL, DN 85 MM INSTALADO EM RESERVAÇÃO DE ÁGUA DE EDIFICAÇÃO QUE POSSUA RESERVATÓRIO DE FIBRA/FIBROCIMENTO   FORNECIMENTO E INSTALAÇÃO. AF_06/2016</t>
  </si>
  <si>
    <t>TÊ DE REDUÇÃO, PVC, SOLDÁVEL, DN 85 MM X 60 MM, INSTALADO EM RESERVAÇÃO DE ÁGUA DE EDIFICAÇÃO QUE POSSUA RESERVATÓRIO DE FIBRA/FIBROCIMENTO   FORNECIMENTO E INSTALAÇÃO. AF_06/2016</t>
  </si>
  <si>
    <t>TÊ, PVC, SOLDÁVEL, DN 110 MM INSTALADO EM RESERVAÇÃO DE ÁGUA DE EDIFICAÇÃO QUE POSSUA RESERVATÓRIO DE FIBRA/FIBROCIMENTO   FORNECIMENTO E INSTALAÇÃO. AF_06/2016</t>
  </si>
  <si>
    <t>TÊ DE REDUÇÃO, PVC, SOLDÁVEL, DN 110 MM X 60 MM, INSTALADO EM RESERVAÇÃO DE ÁGUA DE EDIFICAÇÃO QUE POSSUA RESERVATÓRIO DE FIBRA/FIBROCIMENTO   FORNECIMENTO E INSTALAÇÃO. AF_06/2016</t>
  </si>
  <si>
    <t>ADAPTADOR COM FLANGE E ANEL DE VEDAÇÃO, PVC, SOLDÁVEL, DN  25 MM X 3/4 , INSTALADO EM RESERVAÇÃO DE ÁGUA DE EDIFICAÇÃO QUE POSSUA RESERVATÓRIO DE FIBRA/FIBROCIMENTO   FORNECIMENTO E INSTALAÇÃO. AF_06/2016</t>
  </si>
  <si>
    <t>ADAPTADOR COM FLANGE E ANEL DE VEDAÇÃO, PVC, SOLDÁVEL, DN 40 MM X 1 1/4 , INSTALADO EM RESERVAÇÃO DE ÁGUA DE EDIFICAÇÃO QUE POSSUA RESERVATÓRIO DE FIBRA/FIBROCIMENTO   FORNECIMENTO E INSTALAÇÃO. AF_06/2016</t>
  </si>
  <si>
    <t>ADAPTADOR COM FLANGE E ANEL DE VEDAÇÃO, PVC, SOLDÁVEL, DN 50 MM X 1 1/2 , INSTALADO EM RESERVAÇÃO DE ÁGUA DE EDIFICAÇÃO QUE POSSUA RESERVATÓRIO DE FIBRA/FIBROCIMENTO   FORNECIMENTO E INSTALAÇÃO. AF_06/2016</t>
  </si>
  <si>
    <t>ADAPTADOR COM FLANGES LIVRES, PVC, SOLDÁVEL, DN  25 MM X 3/4 , INSTALADO EM RESERVAÇÃO DE ÁGUA DE EDIFICAÇÃO QUE POSSUA RESERVATÓRIO DE FIBRA/FIBROCIMENTO   FORNECIMENTO E INSTALAÇÃO. AF_06/2016</t>
  </si>
  <si>
    <t>ADAPTADOR COM FLANGES LIVRES, PVC, SOLDÁVEL, DN 32 MM X 1 , INSTALADO EM RESERVAÇÃO DE ÁGUA DE EDIFICAÇÃO QUE POSSUA RESERVATÓRIO DE FIBRA/FIBROCIMENTO   FORNECIMENTO E INSTALAÇÃO. AF_06/2016</t>
  </si>
  <si>
    <t>ADAPTADOR COM FLANGES LIVRES, PVC, SOLDÁVEL, DN 40 MM X 1 1/4 , INSTALADO EM RESERVAÇÃO DE ÁGUA DE EDIFICAÇÃO QUE POSSUA RESERVATÓRIO DE FIBRA/FIBROCIMENTO   FORNECIMENTO E INSTALAÇÃO. AF_06/2016</t>
  </si>
  <si>
    <t>ADAPTADOR COM FLANGES LIVRES, PVC, SOLDÁVEL, DN 50 MM X 1 1/2 , INSTALADO EM RESERVAÇÃO DE ÁGUA DE EDIFICAÇÃO QUE POSSUA RESERVATÓRIO DE FIBRA/FIBROCIMENTO   FORNECIMENTO E INSTALAÇÃO. AF_06/2016</t>
  </si>
  <si>
    <t>ADAPTADOR COM FLANGES LIVRES, PVC, SOLDÁVEL, DN 60 MM X 2 , INSTALADO EM RESERVAÇÃO DE ÁGUA DE EDIFICAÇÃO QUE POSSUA RESERVATÓRIO DE FIBRA/FIBROCIMENTO   FORNECIMENTO E INSTALAÇÃO. AF_06/2016</t>
  </si>
  <si>
    <t>ADAPTADOR COM FLANGES LIVRES, PVC, SOLDÁVEL, DN 75 MM X 2 1/2 , INSTALADO EM RESERVAÇÃO DE ÁGUA DE EDIFICAÇÃO QUE POSSUA RESERVATÓRIO DE FIBRA/FIBROCIMENTO   FORNECIMENTO E INSTALAÇÃO. AF_06/2016</t>
  </si>
  <si>
    <t>ADAPTADOR COM FLANGES LIVRES, PVC, SOLDÁVEL, DN 85 MM X 3 , INSTALADO EM RESERVAÇÃO DE ÁGUA DE EDIFICAÇÃO QUE POSSUA RESERVATÓRIO DE FIBRA/FIBROCIMENTO   FORNECIMENTO E INSTALAÇÃO. AF_06/2016</t>
  </si>
  <si>
    <t>ADAPTADOR COM FLANGES LIVRES, PVC, SOLDÁVEL, DN 110 MM X 4 , INSTALADO EM RESERVAÇÃO DE ÁGUA DE EDIFICAÇÃO QUE POSSUA RESERVATÓRIO DE FIBRA/FIBROCIMENTO   FORNECIMENTO E INSTALAÇÃO. AF_06/2016</t>
  </si>
  <si>
    <t>TUBO, CPVC, SOLDÁVEL, DN 22 MM, INSTALADO EM RESERVAÇÃO DE ÁGUA DE EDIFICAÇÃO QUE POSSUA RESERVATÓRIO DE FIBRA/FIBROCIMENTO  FORNECIMENTO E INSTALAÇÃO. AF_06/2016</t>
  </si>
  <si>
    <t>TUBO, CPVC, SOLDÁVEL, DN 28 MM, INSTALADO EM RESERVAÇÃO DE ÁGUA DE EDIFICAÇÃO QUE POSSUA RESERVATÓRIO DE FIBRA/FIBROCIMENTO  FORNECIMENTO E INSTALAÇÃO. AF_06/2016</t>
  </si>
  <si>
    <t>TUBO, CPVC, SOLDÁVEL, DN 35 MM, INSTALADO EM RESERVAÇÃO DE ÁGUA DE EDIFICAÇÃO QUE POSSUA RESERVATÓRIO DE FIBRA/FIBROCIMENTO  FORNECIMENTO E INSTALAÇÃO. AF_06/2016</t>
  </si>
  <si>
    <t>TUBO, CPVC, SOLDÁVEL, DN 42 MM, INSTALADO EM RESERVAÇÃO DE ÁGUA DE EDIFICAÇÃO QUE POSSUA RESERVATÓRIO DE FIBRA/FIBROCIMENTO  FORNECIMENTO E INSTALAÇÃO. AF_06/2016</t>
  </si>
  <si>
    <t>TUBO, CPVC, SOLDÁVEL, DN 54 MM, INSTALADO EM RESERVAÇÃO DE ÁGUA DE EDIFICAÇÃO QUE POSSUA RESERVATÓRIO DE FIBRA/FIBROCIMENTO  FORNECIMENTO E INSTALAÇÃO. AF_06/2016</t>
  </si>
  <si>
    <t>TUBO, CPVC, SOLDÁVEL, DN 73 MM, INSTALADO EM RESERVAÇÃO DE ÁGUA DE EDIFICAÇÃO QUE POSSUA RESERVATÓRIO DE FIBRA/FIBROCIMENTO  FORNECIMENTO E INSTALAÇÃO. AF_06/2016</t>
  </si>
  <si>
    <t>TUBO, CPVC, SOLDÁVEL, DN 89 MM, INSTALADO EM RESERVAÇÃO DE ÁGUA DE EDIFICAÇÃO QUE POSSUA RESERVATÓRIO DE FIBRA/FIBROCIMENTO  FORNECIMENTO E INSTALAÇÃO. AF_06/2016</t>
  </si>
  <si>
    <t>CONECTOR, CPVC, SOLDÁVEL, DN 22 MM X 3/4, INSTALADO EM RESERVAÇÃO DE ÁGUA DE EDIFICAÇÃO QUE POSSUA RESERVATÓRIO DE FIBRA/FIBROCIMENTO  FORNECIMENTO E INSTALAÇÃO. AF_06/2016</t>
  </si>
  <si>
    <t>LUVA, CPVC, SOLDÁVEL, DN 22 MM, INSTALADO EM RESERVAÇÃO DE ÁGUA DE EDIFICAÇÃO QUE POSSUA RESERVATÓRIO DE FIBRA/FIBROCIMENTO  FORNECIMENTO E INSTALAÇÃO. AF_06/2016</t>
  </si>
  <si>
    <t>CONECTOR, CPVC, SOLDÁVEL, DN 28 MM X 1, INSTALADO EM RESERVAÇÃO DE ÁGUA DE EDIFICAÇÃO QUE POSSUA RESERVATÓRIO DE FIBRA/FIBROCIMENTO  FORNECIMENTO E INSTALAÇÃO. AF_06/2016</t>
  </si>
  <si>
    <t>LUVA, CPVC, SOLDÁVEL, DN 28 MM, INSTALADO EM RESERVAÇÃO DE ÁGUA DE EDIFICAÇÃO QUE POSSUA RESERVATÓRIO DE FIBRA/FIBROCIMENTO  FORNECIMENTO E INSTALAÇÃO. AF_06/2016</t>
  </si>
  <si>
    <t>CONECTOR, CPVC, SOLDÁVEL, DN 35 MM X 1 1/4, INSTALADO EM RESERVAÇÃO DE ÁGUA DE EDIFICAÇÃO QUE POSSUA RESERVATÓRIO DE FIBRA/FIBROCIMENTO  FORNECIMENTO E INSTALAÇÃO. AF_06/2016</t>
  </si>
  <si>
    <t>LUVA, CPVC, SOLDÁVEL, DN 35 MM, INSTALADO EM RESERVAÇÃO DE ÁGUA DE EDIFICAÇÃO QUE POSSUA RESERVATÓRIO DE FIBRA/FIBROCIMENTO  FORNECIMENTO E INSTALAÇÃO. AF_06/2016</t>
  </si>
  <si>
    <t>CONECTOR, CPVC, SOLDÁVEL, DN 42 MM X 1 1/2, INSTALADO EM RESERVAÇÃO DE ÁGUA DE EDIFICAÇÃO QUE POSSUA RESERVATÓRIO DE FIBRA/FIBROCIMENTO  FORNECIMENTO E INSTALAÇÃO. AF_06/2016</t>
  </si>
  <si>
    <t>LUVA, CPVC, SOLDÁVEL, DN 42 MM, INSTALADO EM RESERVAÇÃO DE ÁGUA DE EDIFICAÇÃO QUE POSSUA RESERVATÓRIO DE FIBRA/FIBROCIMENTO  FORNECIMENTO E INSTALAÇÃO. AF_06/2016</t>
  </si>
  <si>
    <t>LUVA, CPVC, SOLDÁVEL, DN 54 MM, INSTALADO EM RESERVAÇÃO DE ÁGUA DE EDIFICAÇÃO QUE POSSUA RESERVATÓRIO DE FIBRA/FIBROCIMENTO  FORNECIMENTO E INSTALAÇÃO. AF_06/2016</t>
  </si>
  <si>
    <t>LUVA, CPVC, SOLDÁVEL, DN 89 MM, INSTALADO EM RESERVAÇÃO DE ÁGUA DE EDIFICAÇÃO QUE POSSUA RESERVATÓRIO DE FIBRA/FIBROCIMENTO  FORNECIMENTO E INSTALAÇÃO. AF_06/2016</t>
  </si>
  <si>
    <t>JOELHO 90 GRAUS, CPVC, SOLDÁVEL, DN 22 MM, INSTALADO EM RESERVAÇÃO DE ÁGUA DE EDIFICAÇÃO QUE POSSUA RESERVATÓRIO DE FIBRA/FIBROCIMENTO  FORNECIMENTO E INSTALAÇÃO. AF_06/2016</t>
  </si>
  <si>
    <t>CURVA 90 GRAUS, CPVC, SOLDÁVEL, DN 22 MM, INSTALADO EM RESERVAÇÃO DE ÁGUA DE EDIFICAÇÃO QUE POSSUA RESERVATÓRIO DE FIBRA/FIBROCIMENTO  FORNECIMENTO E INSTALAÇÃO. AF_06/2016</t>
  </si>
  <si>
    <t>JOELHO 90 GRAUS, CPVC, SOLDÁVEL, DN 28 MM, INSTALADO EM RESERVAÇÃO DE ÁGUA DE EDIFICAÇÃO QUE POSSUA RESERVATÓRIO DE FIBRA/FIBROCIMENTO  FORNECIMENTO E INSTALAÇÃO. AF_06/2016</t>
  </si>
  <si>
    <t>CURVA 90 GRAUS, CPVC, SOLDÁVEL, DN 28 MM, INSTALADO EM RESERVAÇÃO DE ÁGUA DE EDIFICAÇÃO QUE POSSUA RESERVATÓRIO DE FIBRA/FIBROCIMENTO  FORNECIMENTO E INSTALAÇÃO. AF_06/2016</t>
  </si>
  <si>
    <t>JOELHO 90 GRAUS, CPVC, SOLDÁVEL, DN 35 MM, INSTALADO EM RESERVAÇÃO DE ÁGUA DE EDIFICAÇÃO QUE POSSUA RESERVATÓRIO DE FIBRA/FIBROCIMENTO  FORNECIMENTO E INSTALAÇÃO. AF_06/2016</t>
  </si>
  <si>
    <t>JOELHO 90 GRAUS, CPVC, SOLDÁVEL, DN 42 MM, INSTALADO EM RESERVAÇÃO DE ÁGUA DE EDIFICAÇÃO QUE POSSUA RESERVATÓRIO DE FIBRA/FIBROCIMENTO  FORNECIMENTO E INSTALAÇÃO. AF_06/2016</t>
  </si>
  <si>
    <t>JOELHO 90 GRAUS, CPVC, SOLDÁVEL, DN 54 MM, INSTALADO EM RESERVAÇÃO DE ÁGUA DE EDIFICAÇÃO QUE POSSUA RESERVATÓRIO DE FIBRA/FIBROCIMENTO  FORNECIMENTO E INSTALAÇÃO. AF_06/2016</t>
  </si>
  <si>
    <t>JOELHO 90 GRAUS, CPVC, SOLDÁVEL, DN 73 MM, INSTALADO EM RESERVAÇÃO DE ÁGUA DE EDIFICAÇÃO QUE POSSUA RESERVATÓRIO DE FIBRA/FIBROCIMENTO  FORNECIMENTO E INSTALAÇÃO. AF_06/2016</t>
  </si>
  <si>
    <t>JOELHO 90 GRAUS, CPVC, SOLDÁVEL, DN 89 MM, INSTALADO EM RESERVAÇÃO DE ÁGUA DE EDIFICAÇÃO QUE POSSUA RESERVATÓRIO DE FIBRA/FIBROCIMENTO  FORNECIMENTO E INSTALAÇÃO. AF_06/2016</t>
  </si>
  <si>
    <t>TE, CPVC, SOLDÁVEL, DN 22 MM, INSTALADO EM RESERVAÇÃO DE ÁGUA DE EDIFICAÇÃO QUE POSSUA RESERVATÓRIO DE FIBRA/FIBROCIMENTO  FORNECIMENTO E INSTALAÇÃO. AF_06/2016</t>
  </si>
  <si>
    <t>TE, CPVC, SOLDÁVEL, DN 28 MM, INSTALADO EM RESERVAÇÃO DE ÁGUA DE EDIFICAÇÃO QUE POSSUA RESERVATÓRIO DE FIBRA/FIBROCIMENTO  FORNECIMENTO E INSTALAÇÃO. AF_06/2016</t>
  </si>
  <si>
    <t>TE, CPVC, SOLDÁVEL, DN 35 MM, INSTALADO EM RESERVAÇÃO DE ÁGUA DE EDIFICAÇÃO QUE POSSUA RESERVATÓRIO DE FIBRA/FIBROCIMENTO  FORNECIMENTO E INSTALAÇÃO. AF_06/2016</t>
  </si>
  <si>
    <t>TE, CPVC, SOLDÁVEL, DN 42 MM, INSTALADO EM RESERVAÇÃO DE ÁGUA DE EDIFICAÇÃO QUE POSSUA RESERVATÓRIO DE FIBRA/FIBROCIMENTO  FORNECIMENTO E INSTALAÇÃO. AF_06/2016</t>
  </si>
  <si>
    <t>TE, CPVC, SOLDÁVEL, DN 54 MM, INSTALADO EM RESERVAÇÃO DE ÁGUA DE EDIFICAÇÃO QUE POSSUA RESERVATÓRIO DE FIBRA/FIBROCIMENTO  FORNECIMENTO E INSTALAÇÃO. AF_06/2016</t>
  </si>
  <si>
    <t>TE, CPVC, SOLDÁVEL, DN 73 MM, INSTALADO EM RESERVAÇÃO DE ÁGUA DE EDIFICAÇÃO QUE POSSUA RESERVATÓRIO DE FIBRA/FIBROCIMENTO  FORNECIMENTO E INSTALAÇÃO. AF_06/2016</t>
  </si>
  <si>
    <t>TE, CPVC, SOLDÁVEL, DN 89 MM, INSTALADO EM RESERVAÇÃO DE ÁGUA DE EDIFICAÇÃO QUE POSSUA RESERVATÓRIO DE FIBRA/FIBROCIMENTO  FORNECIMENTO E INSTALAÇÃO. AF_06/2016</t>
  </si>
  <si>
    <t>(COMPOSIÇÃO REPRESENTATIVA) DO SERVIÇO DE CONTRAPISO EM ARGAMASSA TRAÇO 1:4 (CIM E AREIA), EM BETONEIRA 400 L, ESPESSURA 3 CM ÁREAS SECAS E 3 CM ÁREAS MOLHADAS, PARA EDIFICAÇÃO HABITACIONAL MULTIFAMILIAR (PRÉDIO). AF_11/2014</t>
  </si>
  <si>
    <t>(COMPOSIÇÃO REPRESENTATIVA) DO SERVIÇO DE CONTRAPISO EM ARGAMASSA TRAÇO 1:4 (CIM E AREIA), EM BETONEIRA 400 L, ESPESSURA 4 CM ÁREAS SECAS E AREAS MOLHADAS SOBRE LAJE E 3 CM ÁREAS MOLHADAS SOBRE IMPERMEABILIZAÇÃO, PARA EDIFICAÇÃO HABITACIONAL MULTIFAMILIAR (PRÉDIO). AF_11/2014</t>
  </si>
  <si>
    <t>ADAPTADOR COM FLANGE E ANEL DE VEDAÇÃO, PVC, SOLDÁVEL, DN  20 MM X 1/2 , INSTALADO EM RESERVAÇÃO DE ÁGUA DE EDIFICAÇÃO QUE POSSUA RESERVATÓRIO DE FIBRA/FIBROCIMENTO   FORNECIMENTO E INSTALAÇÃO. AF_06/2016</t>
  </si>
  <si>
    <t>ADAPTADOR COM FLANGES LIVRES, PVC, SOLDÁVEL LONGO, DN 32 MM X 1 , INSTALADO EM RESERVAÇÃO DE ÁGUA DE EDIFICAÇÃO QUE POSSUA RESERVATÓRIO DE FIBRA/FIBROCIMENTO   FORNECIMENTO E INSTALAÇÃO. AF_06/2016</t>
  </si>
  <si>
    <t>ADAPTADOR COM FLANGES LIVRES, PVC, SOLDÁVEL LONGO, DN 60 MM X 2 , INSTALADO EM RESERVAÇÃO DE ÁGUA DE EDIFICAÇÃO QUE POSSUA RESERVATÓRIO DE FIBRA/FIBROCIMENTO   FORNECIMENTO E INSTALAÇÃO. AF_06/2016</t>
  </si>
  <si>
    <t>ADAPTADOR COM FLANGES LIVRES, PVC, SOLDÁVEL LONGO, DN 85 MM X 3 , INSTALADO EM RESERVAÇÃO DE ÁGUA DE EDIFICAÇÃO QUE POSSUA RESERVATÓRIO DE FIBRA/FIBROCIMENTO   FORNECIMENTO E INSTALAÇÃO. AF_06/2016</t>
  </si>
  <si>
    <t>ADAPTADOR COM FLANGES LIVRES, PVC, SOLDÁVEL LONGO, DN 110 MM X 4 , INSTALADO EM RESERVAÇÃO DE ÁGUA DE EDIFICAÇÃO QUE POSSUA RESERVATÓRIO DE FIBRA/FIBROCIMENTO   FORNECIMENTO E INSTALAÇÃO. AF_06/2016</t>
  </si>
  <si>
    <t>REGISTRO DE GAVETA BRUTO, LATÃO, ROSCÁVEL, 1, COM ACABAMENTO E CANOPLA CROMADOS, INSTALADO EM RESERVAÇÃO DE ÁGUA DE EDIFICAÇÃO QUE POSSUA RESERVATÓRIO DE FIBRA/FIBROCIMENTO  FORNECIMENTO E INSTALAÇÃO. AF_06/2016</t>
  </si>
  <si>
    <t>REGISTRO DE GAVETA BRUTO, LATÃO, ROSCÁVEL, 1 1/4, COM ACABAMENTO E CANOPLA CROMADOS, INSTALADO EM RESERVAÇÃO DE ÁGUA DE EDIFICAÇÃO QUE POSSUA RESERVATÓRIO DE FIBRA/FIBROCIMENTO  FORNECIMENTO E INSTALAÇÃO. AF_06/2016</t>
  </si>
  <si>
    <t>REGISTRO DE GAVETA BRUTO, LATÃO, ROSCÁVEL, 1 1/2, COM ACABAMENTO E CANOPLA CROMADOS, INSTALADO EM RESERVAÇÃO DE ÁGUA DE EDIFICAÇÃO QUE POSSUA RESERVATÓRIO DE FIBRA/FIBROCIMENTO  FORNECIMENTO E INSTALAÇÃO. AF_06/2016</t>
  </si>
  <si>
    <t>LUVA, CPVC, SOLDÁVEL, DN 73 MM, INSTALADO EM RESERVAÇÃO DE ÁGUA DE EDIFICAÇÃO QUE POSSUA RESERVATÓRIO DE FIBRA/FIBROCIMENTO  FORNECIMENTO E INSTALAÇÃO. AF_06/2016</t>
  </si>
  <si>
    <t>TUBO DE PEAD CORRUGADO DE DUPLA PAREDE PARA REDE COLETORA DE ESGOTO, DN 250 MM, JUNTA ELÁSTICA INTEGRADA, INSTALADO EM LOCAL COM NÍVEL BAIXO DE INTERFERÊNCIAS - FORNECIMENTO E ASSENTAMENTO. AF_06/2016</t>
  </si>
  <si>
    <t>ASSENTAMENTO DE TUBO DE PEAD CORRUGADO DE DUPLA PAREDE PARA REDE COLETORA DE ESGOTO, DN 250 MM, JUNTA ELÁSTICA INTEGRADA, INSTALADO EM LOCAL COM NÍVEL BAIXO DE INTERFERÊNCIAS (NÃO INCLUI FORNECIMENTO). AF_06/2016</t>
  </si>
  <si>
    <t>TUBO DE PEAD CORRUGADO DE DUPLA PAREDE PARA REDE COLETORA DE ESGOTO, DN 300 MM, JUNTA ELÁSTICA INTEGRADA, INSTALADO EM LOCAL COM NÍVEL BAIXO DE INTERFERÊNCIAS - FORNECIMENTO E ASSENTAMENTO. AF_06/2016</t>
  </si>
  <si>
    <t>ASSENTAMENTO DE TUBO DE PEAD CORRUGADO DE DUPLA PAREDE PARA REDE COLETORA DE ESGOTO, DN 300 MM, JUNTA ELÁSTICA INTEGRADA, INSTALADO EM LOCAL COM NÍVEL BAIXO DE INTERFERÊNCIAS (NÃO INCLUI FORNECIMENTO). AF_06/2016</t>
  </si>
  <si>
    <t>TUBO DE PEAD CORRUGADO DE DUPLA PAREDE PARA REDE COLETORA DE ESGOTO, DN 750 MM, JUNTA ELÁSTICA INTEGRADA, INSTALADO EM LOCAL COM NÍVEL BAIXO DE INTERFERÊNCIAS - FORNECIMENTO E ASSENTAMENTO. AF_06/2016</t>
  </si>
  <si>
    <t>ASSENTAMENTO DE TUBO DE PEAD CORRUGADO DE DUPLA PAREDE PARA REDE COLETORA DE ESGOTO, DN 750 MM, JUNTA ELÁSTICA INTEGRADA, INSTALADO EM LOCAL COM NÍVEL BAIXO DE INTERFERÊNCIAS (NÃO INCLUI FORNECIMENTO). AF_06/2016</t>
  </si>
  <si>
    <t>ASSENTAMENTO DE TUBO DE PEAD CORRUGADO DE DUPLA PAREDE PARA REDE COLETORA DE ESGOTO, DN 900 MM, JUNTA ELÁSTICA INTEGRADA, INSTALADO EM LOCAL COM NÍVEL BAIXO DE INTERFERÊNCIAS (NÃO INCLUI FORNECIMENTO). AF_06/2016</t>
  </si>
  <si>
    <t>TUBO DE PEAD CORRUGADO DE DUPLA PAREDE PARA REDE COLETORA DE ESGOTO, DN 1000 MM, JUNTA ELÁSTICA INTEGRADA, INSTALADO EM LOCAL COM NÍVEL BAIXO DE INTERFERÊNCIAS - FORNECIMENTO E ASSENTAMENTO. AF_06/2016</t>
  </si>
  <si>
    <t>ASSENTAMENTO DE TUBO DE PEAD CORRUGADO DE DUPLA PAREDE PARA REDE COLETORA DE ESGOTO, DN 1000 MM, JUNTA ELÁSTICA INTEGRADA, INSTALADO EM LOCAL COM NÍVEL BAIXO DE INTERFERÊNCIAS (NÃO INCLUI FORNECIMENTO). AF_06/2016</t>
  </si>
  <si>
    <t>TUBO DE PEAD CORRUGADO DE DUPLA PAREDE PARA REDE COLETORA DE ESGOTO, DN 1200 MM, JUNTA ELÁSTICA INTEGRADA, INSTALADO EM LOCAL COM NÍVEL BAIXO DE INTERFERÊNCIAS - FORNECIMENTO E ASSENTAMENTO. AF_06/2016</t>
  </si>
  <si>
    <t>ASSENTAMENTO DE TUBO DE PEAD CORRUGADO DE DUPLA PAREDE PARA REDE COLETORA DE ESGOTO, DN 1200 MM, JUNTA ELÁSTICA INTEGRADA, INSTALADO EM LOCAL COM NÍVEL BAIXO DE INTERFERÊNCIAS (NÃO INCLUI FORNECIMENTO). AF_06/2016</t>
  </si>
  <si>
    <t>ASSENTAMENTO DE TUBO DE PEAD CORRUGADO DE DUPLA PAREDE PARA REDE COLETORA DE ESGOTO, DN 1500 MM, JUNTA ELÁSTICA INTEGRADA, INSTALADO EM LOCAL COM NÍVEL BAIXO DE INTERFERÊNCIAS (NÃO INCLUI FORNECIMENTO). AF_06/2016</t>
  </si>
  <si>
    <t>TUBO DE PEAD CORRUGADO DE DUPLA PAREDE PARA REDE COLETORA DE ESGOTO, DN 250 MM, JUNTA ELÁSTICA INTEGRADA, INSTALADO EM LOCAL COM NÍVEL ALTO DE INTERFERÊNCIAS - FORNECIMENTO E ASSENTAMENTO. AF_06/2016</t>
  </si>
  <si>
    <t>ASSENTAMENTO DE TUBO DE PEAD CORRUGADO DE DUPLA PAREDE PARA REDE COLETORA DE ESGOTO, DN 250 MM, JUNTA ELÁSTICA INTEGRADA, INSTALADO EM LOCAL COM NÍVEL ALTO DE INTERFERÊNCIAS (NÃO INCLUI FORNECIMENTO). AF_06/2016</t>
  </si>
  <si>
    <t>TUBO DE PEAD CORRUGADO DE DUPLA PAREDE PARA REDE COLETORA DE ESGOTO, DN 300 MM, JUNTA ELÁSTICA INTEGRADA, INSTALADO EM LOCAL COM NÍVEL ALTO DE INTERFERÊNCIAS - FORNECIMENTO E ASSENTAMENTO. AF_06/2016</t>
  </si>
  <si>
    <t>ASSENTAMENTO DE TUBO DE PEAD CORRUGADO DE DUPLA PAREDE PARA REDE COLETORA DE ESGOTO, DN 300 MM, JUNTA ELÁSTICA INTEGRADA, INSTALADO EM LOCAL COM NÍVEL ALTO DE INTERFERÊNCIAS (NÃO INCLUI FORNECIMENTO). AF_06/2016</t>
  </si>
  <si>
    <t>TUBO DE PEAD CORRUGADO DE DUPLA PAREDE PARA REDE COLETORA DE ESGOTO, DN 750 MM, JUNTA ELÁSTICA INTEGRADA, INSTALADO EM LOCAL COM NÍVEL ALTO DE INTERFERÊNCIAS - FORNECIMENTO E ASSENTAMENTO. AF_06/2016</t>
  </si>
  <si>
    <t>ASSENTAMENTO DE TUBO DE PEAD CORRUGADO DE DUPLA PAREDE PARA REDE COLETORA DE ESGOTO, DN 750 MM, JUNTA ELÁSTICA INTEGRADA, INSTALADO EM LOCAL COM NÍVEL ALTO DE INTERFERÊNCIAS (NÃO INCLUI FORNECIMENTO). AF_06/2016</t>
  </si>
  <si>
    <t>ASSENTAMENTO DE TUBO DE PEAD CORRUGADO DE DUPLA PAREDE PARA REDE COLETORA DE ESGOTO, DN 900 MM, JUNTA ELÁSTICA INTEGRADA, INSTALADO EM LOCAL COM NÍVEL ALTO DE INTERFERÊNCIAS (NÃO INCLUI FORNECIMENTO). AF_06/2016</t>
  </si>
  <si>
    <t>TUBO DE PEAD CORRUGADO DE DUPLA PAREDE PARA REDE COLETORA DE ESGOTO, DN 1000 MM, JUNTA ELÁSTICA INTEGRADA, INSTALADO EM LOCAL COM NÍVEL ALTO DE INTERFERÊNCIAS - FORNECIMENTO E ASSENTAMENTO. AF_06/2016</t>
  </si>
  <si>
    <t>ASSENTAMENTO DE TUBO DE PEAD CORRUGADO DE DUPLA PAREDE PARA REDE COLETORA DE ESGOTO, DN 1000 MM, JUNTA ELÁSTICA INTEGRADA, INSTALADO EM LOCAL COM NÍVEL ALTO DE INTERFERÊNCIAS (NÃO INCLUI FORNECIMENTO). AF_06/2016</t>
  </si>
  <si>
    <t>TUBO DE PEAD CORRUGADO DE DUPLA PAREDE PARA REDE COLETORA DE ESGOTO, DN 1200 MM, JUNTA ELÁSTICA INTEGRADA, INSTALADO EM LOCAL COM NÍVEL ALTO DE INTERFERÊNCIAS - FORNECIMENTO E ASSENTAMENTO. AF_06/2016</t>
  </si>
  <si>
    <t>ASSENTAMENTO DE TUBO DE PEAD CORRUGADO DE DUPLA PAREDE PARA REDE COLETORA DE ESGOTO, DN 1200 MM, JUNTA ELÁSTICA INTEGRADA, INSTALADO EM LOCAL COM NÍVEL ALTO DE INTERFERÊNCIAS (NÃO INCLUI FORNECIMENTO). AF_06/2016</t>
  </si>
  <si>
    <t>ASSENTAMENTO DE TUBO DE PEAD CORRUGADO DE DUPLA PAREDE PARA REDE COLETORA DE ESGOTO, DN 1500 MM, JUNTA ELÁSTICA INTEGRADA, INSTALADO EM LOCAL COM NÍVEL ALTO DE INTERFERÊNCIAS (NÃO INCLUI FORNECIMENTO). AF_06/2016</t>
  </si>
  <si>
    <t>CONCRETO MAGRO PARA LASTRO, TRAÇO 1:4,5:4,5 (CIMENTO/ AREIA MÉDIA/ BRITA 1)  - PREPARO MECÂNICO COM BETONEIRA 400 L. AF_07/2016</t>
  </si>
  <si>
    <t>CONCRETO FCK = 15MPA, TRAÇO 1:3,4:3,5 (CIMENTO/ AREIA MÉDIA/ BRITA 1)  - PREPARO MECÂNICO COM BETONEIRA 400 L. AF_07/2016</t>
  </si>
  <si>
    <t>CONCRETO FCK = 25MPA, TRAÇO 1:2,3:2,7 (CIMENTO/ AREIA MÉDIA/ BRITA 1)  - PREPARO MECÂNICO COM BETONEIRA 400 L. AF_07/2016</t>
  </si>
  <si>
    <t>CONCRETO FCK = 30MPA, TRAÇO 1:2,1:2,5 (CIMENTO/ AREIA MÉDIA/ BRITA 1)  - PREPARO MECÂNICO COM BETONEIRA 400 L. AF_07/2016</t>
  </si>
  <si>
    <t>CONCRETO FCK = 40MPA, TRAÇO 1:1,6:1,9 (CIMENTO/ AREIA MÉDIA/ BRITA 1)  - PREPARO MECÂNICO COM BETONEIRA 400 L. AF_07/2016</t>
  </si>
  <si>
    <t>CONCRETO MAGRO PARA LASTRO, TRAÇO 1:4,5:4,5 (CIMENTO/ AREIA MÉDIA/ BRITA 1)  - PREPARO MECÂNICO COM BETONEIRA 600 L. AF_07/2016</t>
  </si>
  <si>
    <t>CONCRETO FCK = 15MPA, TRAÇO 1:3,4:3,5 (CIMENTO/ AREIA MÉDIA/ BRITA 1)  - PREPARO MECÂNICO COM BETONEIRA 600 L. AF_07/2016</t>
  </si>
  <si>
    <t>CONCRETO FCK = 25MPA, TRAÇO 1:2,3:2,7 (CIMENTO/ AREIA MÉDIA/ BRITA 1)  - PREPARO MECÂNICO COM BETONEIRA 600 L. AF_07/2016</t>
  </si>
  <si>
    <t>CONCRETO FCK = 30MPA, TRAÇO 1:2,1:2,5 (CIMENTO/ AREIA MÉDIA/ BRITA 1)  - PREPARO MECÂNICO COM BETONEIRA 600 L. AF_07/2016</t>
  </si>
  <si>
    <t>CONCRETO FCK = 40MPA, TRAÇO 1:1,6:1,9 (CIMENTO/ AREIA MÉDIA/ BRITA 1)  - PREPARO MECÂNICO COM BETONEIRA 600 L. AF_07/2016</t>
  </si>
  <si>
    <t>CONCRETO MAGRO PARA LASTRO, TRAÇO 1:4,5:4,5 (CIMENTO/ AREIA MÉDIA/ BRITA 1)  - PREPARO MANUAL. AF_07/2016</t>
  </si>
  <si>
    <t>CONCRETO FCK = 15MPA, TRAÇO 1:3,4:3,5 (CIMENTO/ AREIA MÉDIA/ BRITA 1)  - PREPARO MANUAL. AF_07/2016</t>
  </si>
  <si>
    <t>EXECUÇÃO DE PASSEIO (CALÇADA) OU PISO DE CONCRETO COM CONCRETO MOLDADO IN LOCO, FEITO EM OBRA, ACABAMENTO CONVENCIONAL, NÃO ARMADO. AF_07/2016</t>
  </si>
  <si>
    <t>EXECUÇÃO DE PASSEIO (CALÇADA) OU PISO DE CONCRETO COM CONCRETO MOLDADO IN LOCO, FEITO EM OBRA, ACABAMENTO CONVENCIONAL, ESPESSURA 6 CM, ARMADO. AF_07/2016</t>
  </si>
  <si>
    <t>EXECUÇÃO DE PASSEIO (CALÇADA) OU PISO DE CONCRETO COM CONCRETO MOLDADO IN LOCO, USINADO, ACABAMENTO CONVENCIONAL, ESPESSURA 6 CM, ARMADO. AF_07/2016</t>
  </si>
  <si>
    <t>EXECUÇÃO DE PASSEIO (CALÇADA) OU PISO DE CONCRETO COM CONCRETO MOLDADO IN LOCO, FEITO EM OBRA, ACABAMENTO CONVENCIONAL, ESPESSURA 8 CM, ARMADO. AF_07/2016</t>
  </si>
  <si>
    <t>EXECUÇÃO DE PASSEIO (CALÇADA) OU PISO DE CONCRETO COM CONCRETO MOLDADO IN LOCO, USINADO, ACABAMENTO CONVENCIONAL, ESPESSURA 8 CM, ARMADO. AF_07/2016</t>
  </si>
  <si>
    <t>EXECUÇÃO DE PASSEIO (CALÇADA) OU PISO DE CONCRETO COM CONCRETO MOLDADO IN LOCO, FEITO EM OBRA, ACABAMENTO CONVENCIONAL, ESPESSURA 10 CM, ARMADO. AF_07/2016</t>
  </si>
  <si>
    <t>EXECUÇÃO DE PASSEIO (CALÇADA) OU PISO DE CONCRETO COM CONCRETO MOLDADO IN LOCO, USINADO, ACABAMENTO CONVENCIONAL, ESPESSURA 10 CM, ARMADO. AF_07/2016</t>
  </si>
  <si>
    <t>EXECUÇÃO DE PASSEIO (CALÇADA) OU PISO DE CONCRETO COM CONCRETO MOLDADO IN LOCO, FEITO EM OBRA, ACABAMENTO CONVENCIONAL, ESPESSURA 12 CM, ARMADO. AF_07/2016</t>
  </si>
  <si>
    <t>EXECUÇÃO DE PASSEIO (CALÇADA) OU PISO DE CONCRETO COM CONCRETO MOLDADO IN LOCO, USINADO, ACABAMENTO CONVENCIONAL, ESPESSURA 12 CM, ARMADO. AF_07/2016</t>
  </si>
  <si>
    <t>EXECUÇÃO DE PROTEÇÃO DA CABEÇA DO TIRANTE COM USO DE FÔRMAS EM CHAPA COMPENSADA PLASTIFICADA DE MADEIRA E CONCRETO FCK =15 MPA. AF_07/2016</t>
  </si>
  <si>
    <t>MARTELETE OU ROMPEDOR PNEUMÁTICO MANUAL, 28 KG, COM SILENCIADOR - DEPRECIAÇÃO. AF_07/2016</t>
  </si>
  <si>
    <t>MARTELETE OU ROMPEDOR PNEUMÁTICO MANUAL, 28 KG, COM SILENCIADOR - JUROS. AF_07/2016</t>
  </si>
  <si>
    <t>USINA MISTURADORA DE SOLOS, CAPACIDADE DE 200 A 500 TON/H, POTENCIA 75KW - DEPRECIAÇÃO. AF_07/2016</t>
  </si>
  <si>
    <t>USINA MISTURADORA DE SOLOS, CAPACIDADE DE 200 A 500 TON/H, POTENCIA 75KW - JUROS. AF_07/2016</t>
  </si>
  <si>
    <t>USINA MISTURADORA DE SOLOS, CAPACIDADE DE 200 A 500 TON/H, POTENCIA 75KW - MATERIAIS NA OPERAÇÃO. AF_07/2016</t>
  </si>
  <si>
    <t>USINA MISTURADORA DE SOLOS, CAPACIDADE DE 200 A 500 TON/H, POTENCIA 75KW - CHP DIURNO. AF_07/2016</t>
  </si>
  <si>
    <t>USINA MISTURADORA DE SOLOS, CAPACIDADE DE 200 A 500 TON/H, POTENCIA 75KW - CHI DIURNO. AF_07/2016</t>
  </si>
  <si>
    <t>DISTRIBUIDOR DE AGREGADOS AUTOPROPELIDO, CAP 3 M3, A DIESEL, POTÊNCIA 176CV  MATERIAIS NA OPERAÇÃO. AF_07/2016</t>
  </si>
  <si>
    <t>MÁQUINA DEMARCADORA DE FAIXA DE TRÁFEGO À FRIO, AUTOPROPELIDA, POTÊNCIA 38 HP - DEPRECIAÇÃO. AF_07/2016</t>
  </si>
  <si>
    <t>MÁQUINA DEMARCADORA DE FAIXA DE TRÁFEGO À FRIO, AUTOPROPELIDA, POTÊNCIA 38 HP - JUROS. AF_07/2016</t>
  </si>
  <si>
    <t>MÁQUINA DEMARCADORA DE FAIXA DE TRÁFEGO À FRIO, AUTOPROPELIDA, POTÊNCIA 38 HP - MANUTENÇÃO. AF_07/2016</t>
  </si>
  <si>
    <t>MÁQUINA DEMARCADORA DE FAIXA DE TRÁFEGO À FRIO, AUTOPROPELIDA, POTÊNCIA 38 HP - MATERIAIS NA OPERAÇÃO. AF_07/2016</t>
  </si>
  <si>
    <t>MÁQUINA DEMARCADORA DE FAIXA DE TRÁFEGO À FRIO, AUTOPROPELIDA, POTÊNCIA 38 HP - CHP DIURNO. AF_07/2016</t>
  </si>
  <si>
    <t>TALHA MANUAL DE CORRENTE, CAPACIDADE DE 2 TON. COM ELEVAÇÃO DE 3 M - DEPRECIAÇÃO. AF_07/2016</t>
  </si>
  <si>
    <t>TALHA MANUAL DE CORRENTE, CAPACIDADE DE 2 TON. COM ELEVAÇÃO DE 3 M - JUROS. AF_07/2016</t>
  </si>
  <si>
    <t>TALHA MANUAL DE CORRENTE, CAPACIDADE DE 2 TON. COM ELEVAÇÃO DE 3 M - MANUTENÇÃO. AF_07/2016</t>
  </si>
  <si>
    <t>TALHA MANUAL DE CORRENTE, CAPACIDADE DE 2 TON. COM ELEVAÇÃO DE 3 M - CHP DIURNO. AF_07/2016</t>
  </si>
  <si>
    <t>TALHA MANUAL DE CORRENTE, CAPACIDADE DE 2 TON. COM ELEVAÇÃO DE 3 M - CHI DIURNO. AF_07/2016</t>
  </si>
  <si>
    <t>ADAPTADOR COM FLANGES LIVRES, PVC, SOLDÁVEL LONGO, DN  25 MM X 3/4 , INSTALADO EM RESERVAÇÃO DE ÁGUA DE EDIFICAÇÃO QUE POSSUA RESERVATÓRIO DE FIBRA/FIBROCIMENTO    FORNECIMENTO E INSTALAÇÃO. AF_06/2016</t>
  </si>
  <si>
    <t>GRUA ASCENCIONAL, LANÇA DE 42 M, CAPACIDADE DE 1,5 T A 30 M, ALTURA ATÉ 39 M  DEPRECIAÇÃO. AF_08/2016</t>
  </si>
  <si>
    <t>GRUA ASCENCIONAL, LANCA DE 42 M, CAPACIDADE DE 1,5 T A 30 M, ALTURA ATE 39 M  JUROS. AF_08/2016</t>
  </si>
  <si>
    <t>GRUA ASCENCIONAL, LANCA DE 42 M, CAPACIDADE DE 1,5 T A 30 M, ALTURA ATE 39 M  MANUTENÇÃO. AF_08/2016</t>
  </si>
  <si>
    <t>GRUA ASCENCIONAL, LANCA DE 42 M, CAPACIDADE DE 1,5 T A 30 M, ALTURA ATE 39 M  MATERIAIS NA OPERAÇÃO. AF_08/2016</t>
  </si>
  <si>
    <t>GRUA ASCENCIONAL, LANCA DE 42 M, CAPACIDADE DE 1,5 T A 30 M, ALTURA ATE 39 M - CHP DIURNO. AF_08/2016</t>
  </si>
  <si>
    <t>GRUA ASCENCIONAL, LANÇA DE 42 M, CAPACIDADE DE 1,5 T A 30 M, ALTURA ATÉ 39 M - CHI DIURNO. AF_08/2016</t>
  </si>
  <si>
    <t>PULVERIZADOR DE TINTA ELÉTRICO/MÁQUINA DE PINTURA AIRLESS, VAZÃO 2 L/MIN - DEPRECIAÇÃO. AF_08/2016</t>
  </si>
  <si>
    <t>PULVERIZADOR DE TINTA ELÉTRICO/MÁQUINA DE PINTURA AIRLESS, VAZÃO 2 L/MIN - JUROS. AF_08/2016</t>
  </si>
  <si>
    <t>PULVERIZADOR DE TINTA ELÉTRICO/MÁQUINA DE PINTURA AIRLESS, VAZÃO 2 L/MIN - MANUTENÇÃO. AF_08/2016</t>
  </si>
  <si>
    <t>PULVERIZADOR DE TINTA ELÉTRICO/MÁQUINA DE PINTURA AIRLESS, VAZÃO 2 L/MIN - MATERIAIS NA OPERAÇÃO. AF_08/2016</t>
  </si>
  <si>
    <t>PULVERIZADOR DE TINTA ELÉTRICO/MÁQUINA DE PINTURA AIRLESS, VAZÃO 2 L/MIN - CHP DIURNO. AF_08/2016</t>
  </si>
  <si>
    <t>PULVERIZADOR DE TINTA ELÉTRICO/MÁQUINA DE PINTURA AIRLESS, VAZÃO 2 L/MIN - CHI DIURNO. AF_08/2016</t>
  </si>
  <si>
    <t>LUVA COM BUCHA DE LATÃO, PVC, SOLDÁVEL, DN 32MM X 1 , INSTALADO EM RAMAL DE DISTRIBUIÇÃO DE ÁGUA   FORNECIMENTO E INSTALAÇÃO. AF_12/2014</t>
  </si>
  <si>
    <t>VÁLVULA DE ESFERA BRUTA, BRONZE, ROSCÁVEL, 1/2  , INSTALADO EM RESERVAÇÃO DE ÁGUA DE EDIFICAÇÃO QUE POSSUA RESERVATÓRIO DE FIBRA/FIBROCIMENTO - FORNECIMENTO E INSTALAÇÃO. AF_06/2016</t>
  </si>
  <si>
    <t>VÁLVULA DE ESFERA BRUTA, BRONZE, ROSCÁVEL, 3/4'', INSTALADO EM RESERVAÇÃO DE ÁGUA DE EDIFICAÇÃO QUE POSSUA RESERVATÓRIO DE FIBRA/FIBROCIMENTO - FORNECIMENTO E INSTALAÇÃO. AF_06/2016</t>
  </si>
  <si>
    <t>VÁLVULA DE ESFERA BRUTA, BRONZE, ROSCÁVEL, 1'', INSTALADO EM RESERVAÇÃO DE ÁGUA DE EDIFICAÇÃO QUE POSSUA RESERVATÓRIO DE FIBRA/FIBROCIMENTO -   FORNECIMENTO E INSTALAÇÃO. AF_06/2016</t>
  </si>
  <si>
    <t>VÁLVULA DE ESFERA BRUTA, BRONZE, ROSCÁVEL, 1 1/4'', INSTALADO EM RESERVAÇÃO DE ÁGUA DE EDIFICAÇÃO QUE POSSUA RESERVATÓRIO DE FIBRA/FIBROCIMENTO -   FORNECIMENTO E INSTALAÇÃO. AF_06/2016</t>
  </si>
  <si>
    <t>VÁLVULA DE ESFERA BRUTA, BRONZE, ROSCÁVEL, 1 1/2'', INSTALADO EM RESERVAÇÃO DE ÁGUA DE EDIFICAÇÃO QUE POSSUA RESERVATÓRIO DE FIBRA/FIBROCIMENTO -   FORNECIMENTO E INSTALAÇÃO. AF_06/2016</t>
  </si>
  <si>
    <t>VÁLVULA DE ESFERA BRUTA, BRONZE, ROSCÁVEL, 2'', INSTALADO EM RESERVAÇÃO DE ÁGUA DE EDIFICAÇÃO QUE POSSUA RESERVATÓRIO DE FIBRA/FIBROCIMENTO - FORNECIMENTO E INSTALAÇÃO. AF_06/2016</t>
  </si>
  <si>
    <t>COMPACTADOR DE SOLOS DE PERCUSÃO (SOQUETE) COM MOTOR A GASOLINA, POTÊNCIA 3 CV - DEPRECIAÇÃO. AF_09/2016</t>
  </si>
  <si>
    <t>COMPACTADOR DE SOLOS DE PERCUSÃO (SOQUETE) COM MOTOR A GASOLINA, POTÊNCIA 3 CV - JUROS. AF_09/2016</t>
  </si>
  <si>
    <t>COMPACTADOR DE SOLOS DE PERCUSÃO (SOQUETE) COM MOTOR A GASOLINA, POTÊNCIA 3 CV - MANUTENÇÃO. AF_09/2016</t>
  </si>
  <si>
    <t>COMPACTADOR DE SOLOS DE PERCUSÃO (SOQUETE) COM MOTOR A GASOLINA, POTÊNCIA 3 CV - MATERIAIS NA OPERAÇÃO. AF_09/2016</t>
  </si>
  <si>
    <t>COMPACTADOR DE SOLOS DE PERCUSÃO (SOQUETE) COM MOTOR A GASOLINA, POTÊNCIA 3 CV - CHP DIURNO. AF_09/2016</t>
  </si>
  <si>
    <t>COMPACTADOR DE SOLOS DE PERCUSÃO (SOQUETE) COM MOTOR A GASOLINA, POTÊNCIA 3 CV - CHI DIURNO. AF_09/2016</t>
  </si>
  <si>
    <t>RÉGUA VIBRATÓRIA DUPLA PARA CONCRETO, PESO DE 60KG, COMPRIMENTO 4 M, COM MOTOR A GASOLINA, POTÊNCIA 5,5 HP - DEPRECIAÇÃO. AF_09/2016</t>
  </si>
  <si>
    <t>RÉGUA VIBRATÓRIA DUPLA PARA CONCRETO, PESO DE 60KG, COMPRIMENTO 4 M, COM MOTOR A GASOLINA, POTÊNCIA 5,5 HP - JUROS. AF_09/2016</t>
  </si>
  <si>
    <t>RÉGUA VIBRATÓRIA DUPLA PARA CONCRETO, PESO DE 60KG, COMPRIMENTO 4 M, COM MOTOR A GASOLINA, POTÊNCIA 5,5 HP - MANUTENÇÃO. AF_09/2016</t>
  </si>
  <si>
    <t>RÉGUA VIBRATÓRIA DUPLA PARA CONCRETO, PESO DE 60KG, COMPRIMENTO 4 M, COM MOTOR A GASOLINA, POTÊNCIA 5,5 HP  MATERIAIS NA OPERAÇÃO. AF_09/2016</t>
  </si>
  <si>
    <t>RÉGUA VIBRATÓRIA DUPLA PARA CONCRETO, PESO DE 60KG, COMPRIMENTO 4 M, COM MOTOR A GASOLINA, POTÊNCIA 5,5 HP - CHP DIURNO. AF_09/2016</t>
  </si>
  <si>
    <t>RÉGUA VIBRATÓRIA DUPLA PARA CONCRETO, PESO DE 60KG, COMPRIMENTO 4 M, COM MOTOR A GASOLINA, POTÊNCIA 5,5 HP - CHI DIURNO. AF_09/2016</t>
  </si>
  <si>
    <t>POLIDORA DE PISO (POLITRIZ), PESO DE 100KG, DIÂMETRO 450 MM, MOTOR ELÉTRICO, POTÊNCIA 4 HP - DEPRECIAÇÃO. AF_09/2016</t>
  </si>
  <si>
    <t>POLIDORA DE PISO (POLITRIZ), PESO DE 100KG, DIÂMETRO 450 MM, MOTOR ELÉTRICO, POTÊNCIA 4 HP - JUROS. AF_09/2016</t>
  </si>
  <si>
    <t>POLIDORA DE PISO (POLITRIZ), PESO DE 100KG, DIÂMETRO 450 MM, MOTOR ELÉTRICO, POTÊNCIA 4 HP - MANUTENÇÃO. AF_09/2016</t>
  </si>
  <si>
    <t>POLIDORA DE PISO (POLITRIZ), PESO DE 100KG, DIÂMETRO 450 MM, MOTOR ELÉTRICO, POTÊNCIA 4 HP  MATERIAIS NA OPERAÇÃO. AF_09/2016</t>
  </si>
  <si>
    <t>POLIDORA DE PISO (POLITRIZ), PESO DE 100KG, DIÂMETRO 450 MM, MOTOR ELÉTRICO, POTÊNCIA 4 HP - CHP DIURNO. AF_09/2016</t>
  </si>
  <si>
    <t>POLIDORA DE PISO (POLITRIZ), PESO DE 100KG, DIÂMETRO 450 MM, MOTOR ELÉTRICO, POTÊNCIA 4 HP - CHI DIURNO. AF_09/2016</t>
  </si>
  <si>
    <t>DESEMPENADEIRA DE CONCRETO, PESO DE 75KG, 4 PÁS, MOTOR A GASOLINA, POTÊNCIA 5,5 HP - DEPRECIAÇÃO. AF_09/2016</t>
  </si>
  <si>
    <t>DESEMPENADEIRA DE CONCRETO, PESO DE 75KG, 4 PÁS, MOTOR A GASOLINA, POTÊNCIA 5,5 HP - JUROS. AF_09/2016</t>
  </si>
  <si>
    <t>DESEMPENADEIRA DE CONCRETO, PESO DE 75KG, 4 PÁS, MOTOR A GASOLINA, POTÊNCIA 5,5 HP - MANUTENÇÃO. AF_09/2016</t>
  </si>
  <si>
    <t>DESEMPENADEIRA DE CONCRETO, PESO DE 75KG, 4 PÁS, MOTOR A GASOLINA, POTÊNCIA 5,5 HP  MATERIAIS NA OPERAÇÃO. AF_09/2016</t>
  </si>
  <si>
    <t>DESEMPENADEIRA DE CONCRETO, PESO DE 75KG, 4 PÁS, MOTOR A GASOLINA, POTÊNCIA 5,5 HP - CHP DIURNO. AF_09/2016</t>
  </si>
  <si>
    <t>DESEMPENADEIRA DE CONCRETO, PESO DE 75KG, 4 PÁS, MOTOR A GASOLINA, POTÊNCIA 5,5 HP - CHI DIURNO. AF_09/2016</t>
  </si>
  <si>
    <t>TRANSPORTE COM CAMINHÃO BASCULANTE 10 M3 DE MASSA ASFALTICA PARA PAVIMENTAÇÃO URBANA</t>
  </si>
  <si>
    <t>CURSO DE CAPACITAÇÃO PARA AJUDANTE DE ARMADOR (ENCARGOS COMPLEMENTARES) - HORISTA</t>
  </si>
  <si>
    <t>CURSO DE CAPACITAÇÃO PARA AJUDANTE DE CARPINTEIRO (ENCARGOS COMPLEMENTARES) - HORISTA</t>
  </si>
  <si>
    <t>CURSO DE CAPACITAÇÃO PARA AJUDANTE DE ESTRUTURA METÁLICA (ENCARGOS COMPLEMENTARES) - HORISTA</t>
  </si>
  <si>
    <t>CURSO DE CAPACITAÇÃO PARA AJUDANTE DE OPERAÇÃO EM GERAL (ENCARGOS COMPLEMENTARES) - HORISTA</t>
  </si>
  <si>
    <t>CURSO DE CAPACITAÇÃO PARA AJUDANTE DE PEDREIRO (ENCARGOS COMPLEMENTARES) - HORISTA</t>
  </si>
  <si>
    <t>CURSO DE CAPACITAÇÃO PARA AJUDANTE ESPECIALIZADO (ENCARGOS COMPLEMENTARES) - HORISTA</t>
  </si>
  <si>
    <t>CURSO DE CAPACITAÇÃO PARA ASSENTADOR DE TUBOS (ENCARGOS COMPLEMENTARES) - HORISTA</t>
  </si>
  <si>
    <t>CURSO DE CAPACITAÇÃO PARA AUXILIAR DE ELETRICISTA (ENCARGOS COMPLEMENTARES) - HORISTA</t>
  </si>
  <si>
    <t>CURSO DE CAPACITAÇÃO PARA AUXILIAR DE ENCANADOR OU BOMBEIRO HIDRÁULICO (ENCARGOS COMPLEMENTARES) - HORISTA</t>
  </si>
  <si>
    <t>CURSO DE CAPACITAÇÃO PARA AUXILIAR DE LABORATÓRIO (ENCARGOS COMPLEMENTARES) - HORISTA</t>
  </si>
  <si>
    <t>CURSO DE CAPACITAÇÃO PARA AUXILIAR DE MECÂNICO (ENCARGOS COMPLEMENTARES) - HORISTA</t>
  </si>
  <si>
    <t>CURSO DE CAPACITAÇÃO PARA AUXILIAR DE SERRALHEIRO (ENCARGOS COMPLEMENTARES) - HORISTA</t>
  </si>
  <si>
    <t>CURSO DE CAPACITAÇÃO PARA AUXILIAR DE SERVIÇOS GERAIS (ENCARGOS COMPLEMENTARES) - HORISTA</t>
  </si>
  <si>
    <t>CURSO DE CAPACITAÇÃO PARA AUXILIAR DE TOPÓGRAFO (ENCARGOS COMPLEMENTARES) - HORISTA</t>
  </si>
  <si>
    <t>CURSO DE CAPACITAÇÃO PARA AUXILIAR TÉCNICO DE ENGENHARIA (ENCARGOS COMPLEMENTARES) - HORISTA</t>
  </si>
  <si>
    <t>CURSO DE CAPACITAÇÃO PARA AZULEJISTA OU LADRILHISTA (ENCARGOS COMPLEMENTARES) - HORISTA</t>
  </si>
  <si>
    <t>CURSO DE CAPACITAÇÃO PARA BLASTER, DINAMITADOR OU CABO DE FOGO (ENCARGOS COMPLEMENTARES) - HORISTA</t>
  </si>
  <si>
    <t>CURSO DE CAPACITAÇÃO PARA CADASTRISTA DE REDES DE AGUA E ESGOTO (ENCARGOS COMPLEMENTARES) - HORISTA</t>
  </si>
  <si>
    <t>CURSO DE CAPACITAÇÃO PARA CALAFETADOR/CALAFATE (ENCARGOS COMPLEMENTARES) - HORISTA</t>
  </si>
  <si>
    <t>CURSO DE CAPACITAÇÃO PARA CALCETEIRO (ENCARGOS COMPLEMENTARES) - HORISTA</t>
  </si>
  <si>
    <t>CURSO DE CAPACITAÇÃO PARA CARPINTEIRO DE ESQUADRIA (ENCARGOS COMPLEMENTARES) - HORISTA</t>
  </si>
  <si>
    <t>CURSO DE CAPACITAÇÃO PARA CARPINTEIRO DE FÔRMAS (ENCARGOS COMPLEMENTARES) - HORISTA</t>
  </si>
  <si>
    <t>CURSO DE CAPACITAÇÃO PARA CAVOUQUEIRO OU OPERADOR PERFURATRIZ/ROMPEDOR (ENCARGOS COMPLEMENTARES) - HORISTA</t>
  </si>
  <si>
    <t>CURSO DE CAPACITAÇÃO PARA ELETRICISTA (ENCARGOS COMPLEMENTARES) - HORISTA</t>
  </si>
  <si>
    <t>CURSO DE CAPACITAÇÃO PARA ELETRICISTA INDUSTRIAL (ENCARGOS COMPLEMENTARES) - HORISTA</t>
  </si>
  <si>
    <t>CURSO DE CAPACITAÇÃO PARA ELETROTÉCNICO (ENCARGOS COMPLEMENTARES) - HORISTA</t>
  </si>
  <si>
    <t>CURSO DE CAPACITAÇÃO PARA ENCANADOR OU BOMBEIRO HIDRÁULICO (ENCARGOS COMPLEMENTARES) - HORISTA</t>
  </si>
  <si>
    <t>CURSO DE CAPACITAÇÃO PARA ESTUCADOR (ENCARGOS COMPLEMENTARES) - HORISTA</t>
  </si>
  <si>
    <t>CURSO DE CAPACITAÇÃO PARA IMPERMEABILIZADOR (ENCARGOS COMPLEMENTARES) - HORISTA</t>
  </si>
  <si>
    <t>CURSO DE CAPACITAÇÃO PARA MAÇARIQUEIRO (ENCARGOS COMPLEMENTARES) - HORISTA</t>
  </si>
  <si>
    <t>CURSO DE CAPACITAÇÃO PARA MARCENEIRO (ENCARGOS COMPLEMENTARES) - HORISTA</t>
  </si>
  <si>
    <t>CURSO DE CAPACITAÇÃO PARA MARMORISTA/GRANITEIRO (ENCARGOS COMPLEMENTARES) - HORISTA</t>
  </si>
  <si>
    <t>CURSO DE CAPACITAÇÃO PARA MECÂNICO DE EQUIPAMENTOS PESADOS (ENCARGOS COMPLEMENTARES) - HORISTA</t>
  </si>
  <si>
    <t>CURSO DE CAPACITAÇÃO PARA MONTADOR  DE TUBO AÇO/EQUIPAMENTOS (ENCARGOS COMPLEMENTARES) - HORISTA</t>
  </si>
  <si>
    <t>CURSO DE CAPACITAÇÃO PARA MONTADOR DE ESTRUTURA METÁLICA (ENCARGOS COMPLEMENTARES) - HORISTA</t>
  </si>
  <si>
    <t>CURSO DE CAPACITAÇÃO PARA MONTADOR ELETROMECÂNICO (ENCARGOS COMPLEMENTARES) - HORISTA</t>
  </si>
  <si>
    <t>CURSO DE CAPACITAÇÃO PARA MOTORISTA DE BASCULANTE (ENCARGOS COMPLEMENTARES) - HORISTA</t>
  </si>
  <si>
    <t>CURSO DE CAPACITAÇÃO PARA MOTORISTA DE CAMINHÃO (ENCARGOS COMPLEMENTARES) - HORISTA</t>
  </si>
  <si>
    <t>CURSO DE CAPACITAÇÃO PARA MOTORISTA DE CAMINHÃO E CARRETA (ENCARGOS COMPLEMENTARES) - HORISTA</t>
  </si>
  <si>
    <t>CURSO DE CAPACITAÇÃO PARA MOTORISTA DE VEÍCULO LEVE (ENCARGOS COMPLEMENTARES) - HORISTA</t>
  </si>
  <si>
    <t>CURSO DE CAPACITAÇÃO PARA MOTORISTA DE VEÍCULO PESADO (ENCARGOS COMPLEMENTARES) - HORISTA</t>
  </si>
  <si>
    <t>CURSO DE CAPACITAÇÃO PARA MOTORISTA OPERADOR DE MUNCK (ENCARGOS COMPLEMENTARES) - HORISTA</t>
  </si>
  <si>
    <t>CURSO DE CAPACITAÇÃO PARA NIVELADOR (ENCARGOS COMPLEMENTARES) - HORISTA</t>
  </si>
  <si>
    <t>CURSO DE CAPACITAÇÃO PARA OPERADOR DE BETONEIRA (CAMINHÃO) (ENCARGOS COMPLEMENTARES) - HORISTA</t>
  </si>
  <si>
    <t>CURSO DE CAPACITAÇÃO PARA OPERADOR DE COMPRESSOR OU COMPRESSORISTA (ENCARGOS COMPLEMENTARES) - HORISTA</t>
  </si>
  <si>
    <t>CURSO DE CAPACITAÇÃO PARA OPERADOR DE DEMARCADORA DE FAIXAS (ENCARGOS COMPLEMENTARES) - HORISTA</t>
  </si>
  <si>
    <t>CURSO DE CAPACITAÇÃO PARA OPERADOR DE ESCAVADEIRA (ENCARGOS COMPLEMENTARES) - HORISTA</t>
  </si>
  <si>
    <t>CURSO DE CAPACITAÇÃO PARA OPERADOR DE GUINCHO (ENCARGOS COMPLEMENTARES) - HORISTA</t>
  </si>
  <si>
    <t>CURSO DE CAPACITAÇÃO PARA OPERADOR DE GUINDASTE (ENCARGOS COMPLEMENTARES) - HORISTA</t>
  </si>
  <si>
    <t>CURSO DE CAPACITAÇÃO PARA OPERADOR DE MÁQUINAS E EQUIPAMENTOS (ENCARGOS COMPLEMENTARES) - HORISTA</t>
  </si>
  <si>
    <t>CURSO DE CAPACITAÇÃO PARA OPERADOR DE MARTELETE OU MARTELETEIRO (ENCARGOS COMPLEMENTARES) - HORISTA</t>
  </si>
  <si>
    <t>CURSO DE CAPACITAÇÃO PARA OPERADOR DE MOTO-ESCREIPER (ENCARGOS COMPLEMENTARES) - HORISTA</t>
  </si>
  <si>
    <t>CURSO DE CAPACITAÇÃO PARA OPERADOR DE MOTONIVELADORA (ENCARGOS COMPLEMENTARES) - HORISTA</t>
  </si>
  <si>
    <t>CURSO DE CAPACITAÇÃO PARA OPERADOR DE PÁ CARREGADEIRA (ENCARGOS COMPLEMENTARES) - HORISTA</t>
  </si>
  <si>
    <t>CURSO DE CAPACITAÇÃO PARA OPERADOR DE PAVIMENTADORA (ENCARGOS COMPLEMENTARES) - HORISTA</t>
  </si>
  <si>
    <t>CURSO DE CAPACITAÇÃO PARA OPERADOR DE ROLO COMPACTADOR (ENCARGOS COMPLEMENTARES) - HORISTA</t>
  </si>
  <si>
    <t>CURSO DE CAPACITAÇÃO PARA OPERADOR DE USINA DE ASFALTO, DE SOLOS OU DE CONCRETO (ENCARGOS COMPLEMENTARES) - HORISTA</t>
  </si>
  <si>
    <t>CURSO DE CAPACITAÇÃO PARA OPERADOR JATO DE AREIA OU JATISTA (ENCARGOS COMPLEMENTARES) - HORISTA</t>
  </si>
  <si>
    <t>CURSO DE CAPACITAÇÃO PARA OPERADOR PARA BATE ESTACAS (ENCARGOS COMPLEMENTARES) - HORISTA</t>
  </si>
  <si>
    <t>CURSO DE CAPACITAÇÃO PARA PASTILHEIRO (ENCARGOS COMPLEMENTARES) - HORISTA</t>
  </si>
  <si>
    <t>CURSO DE CAPACITAÇÃO PARA PINTOR DE LETREIROS (ENCARGOS COMPLEMENTARES) - HORISTA</t>
  </si>
  <si>
    <t>CURSO DE CAPACITAÇÃO PARA PINTOR PARA TINTA EPÓXI (ENCARGOS COMPLEMENTARES) - HORISTA</t>
  </si>
  <si>
    <t>CURSO DE CAPACITAÇÃO PARA RASTELEIRO (ENCARGOS COMPLEMENTARES) - HORISTA</t>
  </si>
  <si>
    <t>CURSO DE CAPACITAÇÃO PARA SERRALHEIRO (ENCARGOS COMPLEMENTARES) - HORISTA</t>
  </si>
  <si>
    <t>CURSO DE CAPACITAÇÃO PARA SOLDADOR A (PARA SOLDA A SER TESTADA COM RAIOS  X ) (ENCARGOS COMPLEMENTARES) - HORISTA</t>
  </si>
  <si>
    <t>CURSO DE CAPACITAÇÃO PARA TAQUEADOR OU TAQUEIRO (ENCARGOS COMPLEMENTARES) - HORISTA</t>
  </si>
  <si>
    <t>CURSO DE CAPACITAÇÃO PARA TÉCNICO DE LABORATÓRIO (ENCARGOS COMPLEMENTARES) - HORISTA</t>
  </si>
  <si>
    <t>CURSO DE CAPACITAÇÃO PARA TÉCNICO DE SONDAGEM (ENCARGOS COMPLEMENTARES) - HORISTA</t>
  </si>
  <si>
    <t>CURSO DE CAPACITAÇÃO PARA TELHADISTA (ENCARGOS COMPLEMENTARES) - HORISTA</t>
  </si>
  <si>
    <t>CURSO DE CAPACITAÇÃO PARA TRATORISTA (ENCARGOS COMPLEMENTARES) - HORISTA</t>
  </si>
  <si>
    <t>CURSO DE CAPACITAÇÃO PARA VIDRACEIRO (ENCARGOS COMPLEMENTARES) - HORISTA</t>
  </si>
  <si>
    <t>CURSO DE CAPACITAÇÃO PARA VIGIA NOTURNO (ENCARGOS COMPLEMENTARES) - HORISTA</t>
  </si>
  <si>
    <t>CURSO DE CAPACITAÇÃO PARA OPERADOR DE BETONEIRA ESTACIONÁRIA/MISTURADOR (ENCARGOS COMPLEMENTARES) - HORISTA</t>
  </si>
  <si>
    <t>CURSO DE CAPACITAÇÃO PARA JARDINEIRO (ENCARGOS COMPLEMENTARES) - HORISTA</t>
  </si>
  <si>
    <t>CURSO DE CAPACITAÇÃO PARA DESENHISTA DETALHISTA (ENCARGOS COMPLEMENTARES) - HORISTA</t>
  </si>
  <si>
    <t>CURSO DE CAPACITAÇÃO PARA ALMOXARIFE (ENCARGOS COMPLEMENTARES) - HORISTA</t>
  </si>
  <si>
    <t>CURSO DE CAPACITAÇÃO PARA APONTADOR OU APROPRIADOR (ENCARGOS COMPLEMENTARES) - HORISTA</t>
  </si>
  <si>
    <t>CURSO DE CAPACITAÇÃO PARA ARQUITETO DE OBRA JÚNIOR (ENCARGOS COMPLEMENTARES) - HORISTA</t>
  </si>
  <si>
    <t>CURSO DE CAPACITAÇÃO PARA ARQUITETO DE OBRA PLENO (ENCARGOS COMPLEMENTARES) - HORISTA</t>
  </si>
  <si>
    <t>CURSO DE CAPACITAÇÃO PARA ARQUITETO DE OBRA SÊNIOR (ENCARGOS COMPLEMENTARES) - HORISTA</t>
  </si>
  <si>
    <t>CURSO DE CAPACITAÇÃO PARA AUXILIAR DE DESENHISTA (ENCARGOS COMPLEMENTARES) - HORISTA</t>
  </si>
  <si>
    <t>CURSO DE CAPACITAÇÃO PARA AUXILIAR DE ESCRITÓRIO (ENCARGOS COMPLEMENTARES) - HORISTA</t>
  </si>
  <si>
    <t>CURSO DE CAPACITAÇÃO PARA DESENHISTA COPISTA (ENCARGOS COMPLEMENTARES) - HORISTA</t>
  </si>
  <si>
    <t>CURSO DE CAPACITAÇÃO PARA DESENHISTA PROJETISTA (ENCARGOS COMPLEMENTARES) - HORISTA</t>
  </si>
  <si>
    <t>CURSO DE CAPACITAÇÃO PARA ENCARREGADO GERAL (ENCARGOS COMPLEMENTARES) - HORISTA</t>
  </si>
  <si>
    <t>CURSO DE CAPACITAÇÃO PARA ENGENHEIRO CIVIL DE OBRA JÚNIOR (ENCARGOS COMPLEMENTARES) - HORISTA</t>
  </si>
  <si>
    <t>CURSO DE CAPACITAÇÃO PARA ENGENHEIRO CIVIL DE OBRA PLENO (ENCARGOS COMPLEMENTARES) - HORISTA</t>
  </si>
  <si>
    <t>CURSO DE CAPACITAÇÃO PARA ENGENHEIRO CIVIL DE OBRA SÊNIOR (ENCARGOS COMPLEMENTARES) - HORISTA</t>
  </si>
  <si>
    <t>CURSO DE CAPACITAÇÃO PARA MESTRE DE OBRAS (ENCARGOS COMPLEMENTARES) - HORISTA</t>
  </si>
  <si>
    <t>CURSO DE CAPACITAÇÃO PARA TOPÓGRAFO (ENCARGOS COMPLEMENTARES) - HORISTA</t>
  </si>
  <si>
    <t>CURSO DE CAPACITAÇÃO PARA ENGENHEIRO ELETRICISTA (ENCARGOS COMPLEMENTARES) - HORISTA</t>
  </si>
  <si>
    <t>CURSO DE CAPACITAÇÃO  PARA MOTORISTA DE CAMINHÃO (ENCARGOS COMPLEMENTARES) - MENSALISTA</t>
  </si>
  <si>
    <t>CURSO DE CAPACITAÇÃO PARA DESENHISTA DETALHISTA (ENCARGOS COMPLEMENTARES) - MENSALISTA</t>
  </si>
  <si>
    <t>CURSO DE CAPACITAÇÃO PARA DESENHISTA COPISTA (ENCARGOS COMPLEMENTARES) - MENSALISTA</t>
  </si>
  <si>
    <t>CURSO DE CAPACITAÇÃO PARA DESENHISTA PROJETISTA (ENCARGOS COMPLEMENTARES) - MENSALISTA</t>
  </si>
  <si>
    <t>CURSO DE CAPACITAÇÃO PARA AUXILIAR DE DESENHISTA (ENCARGOS COMPLEMENTARES) - MENSALISTA</t>
  </si>
  <si>
    <t>CURSO DE CAPACITAÇÃO PARA ALMOXARIFE (ENCARGOS COMPLEMENTARES) - MENSALISTA</t>
  </si>
  <si>
    <t>CURSO DE CAPACITAÇÃO PARA APONTADOR OU APROPRIADOR (ENCARGOS COMPLEMENTARES) - MENSALISTA</t>
  </si>
  <si>
    <t>CURSO DE CAPACITAÇÃO PARA ENGENHEIRO CIVIL DE OBRA JÚNIOR (ENCARGOS COMPLEMENTARES) - MENSALISTA</t>
  </si>
  <si>
    <t>CURSO DE CAPACITAÇÃO PARA AUXILIAR DE ESCRITÓRIO (ENCARGOS COMPLEMENTARES) - MENSALISTA</t>
  </si>
  <si>
    <t>CURSO DE CAPACITAÇÃO PARA ENGENHEIRO CIVIL DE OBRA PLENO (ENCARGOS COMPLEMENTARES) - MENSALISTA</t>
  </si>
  <si>
    <t>CURSO DE CAPACITAÇÃO PARA ENGENHEIRO CIVIL DE OBRA SÊNIOR (ENCARGOS COMPLEMENTARES) - MENSALISTA</t>
  </si>
  <si>
    <t>CURSO DE CAPACITAÇÃO PARA ARQUITETO JÚNIOR (ENCARGOS COMPLEMENTARES) - MENSALISTA</t>
  </si>
  <si>
    <t>CURSO DE CAPACITAÇÃO PARA ARQUITETO PLENO (ENCARGOS COMPLEMENTARES) - MENSALISTA</t>
  </si>
  <si>
    <t>CURSO DE CAPACITAÇÃO PARA ARQUITETO SÊNIOR (ENCARGOS COMPLEMENTARES) - MENSALISTA</t>
  </si>
  <si>
    <t>CURSO DE CAPACITAÇÃO PARA ENCARREGADO GERAL DE OBRAS (ENCARGOS COMPLEMENTARES) - MENSALISTA</t>
  </si>
  <si>
    <t>CURSO DE CAPACITAÇÃO PARA MESTRE DE OBRAS (ENCARGOS COMPLEMENTARES) - MENSALISTA</t>
  </si>
  <si>
    <t>CURSO DE CAPACITAÇÃO PARA TOPÓGRAFO (ENCARGOS COMPLEMENTARES) - MENSALISTA</t>
  </si>
  <si>
    <t>TRANSPORTE COM CAMINHÃO BASCULANTE DE 18 M3, EM VIA URBANA EM LEITO NATURAL (UNIDADE: M3XKM). AF_09/2016</t>
  </si>
  <si>
    <t>TRANSPORTE COM CAMINHÃO BASCULANTE DE 18 M3, EM VIA URBANA EM REVESTIMENTO PRIMÁRIO (UNIDADE: M3XKM). AF_09/2016</t>
  </si>
  <si>
    <t>TRANSPORTE COM CAMINHÃO BASCULANTE DE 18 M3, EM VIA URBANA PAVIMENTADA, DMT ACIMA DE 30 KM(UNIDADE: M3XKM). AF_09/2016</t>
  </si>
  <si>
    <t>CORTE E DOBRA DE AÇO CA-60, DIÂMETRO DE 5,0 MM, UTILIZADO EM ESTRIBO CONTÍNUO HELICOIDAL. AF_10/2016</t>
  </si>
  <si>
    <t>CORTE E DOBRA DE AÇO CA-50, DIÂMETRO DE 6,3 MM, UTILIZADO EM ESTRIBO CONTÍNUO HELICOIDAL. AF_10/2016</t>
  </si>
  <si>
    <t>VASO SANITARIO SIFONADO CONVENCIONAL COM LOUÇA BRANCA, INCLUSO CONJUNTO DE LIGAÇÃO PARA BACIA SANITÁRIA AJUSTÁVEL - FORNECIMENTO E INSTALAÇÃO. AF_10/2016</t>
  </si>
  <si>
    <t>FIXAÇÃO UTILIZANDO PARAFUSO E BUCHA DE NYLON, SOMENTE MÃO DE OBRA. AF_10/2016</t>
  </si>
  <si>
    <t>TUBO DE CONCRETO PARA REDES COLETORAS DE ÁGUAS PLUVIAIS, DIÂMETRO DE 300MM, JUNTA RÍGIDA, INSTALADO EM LOCAL COM BAIXO NÍVEL DE INTERFERÊNCIAS - FORNECIMENTO E ASSENTAMENTO. AF_12/2015</t>
  </si>
  <si>
    <t>TUBO DE CONCRETO PARA REDES COLETORAS DE ÁGUAS PLUVIAIS, DIÂMETRO DE 300MM, JUNTA RÍGIDA, INSTALADO EM LOCAL COM ALTO NÍVEL DE INTERFERÊNCIAS - FORNECIMENTO E ASSENTAMENTO. AF_12/2015</t>
  </si>
  <si>
    <t>TUBO DE CONCRETO (SIMPLES) PARA REDES COLETORAS DE ÁGUAS PLUVIAIS, DIÂMETRO DE 300 MM, JUNTA RÍGIDA, INSTALADO EM LOCAL COM BAIXO NÍVEL DE INTERFERÊNCIAS - FORNECIMENTO E ASSENTAMENTO. AF_12/2015</t>
  </si>
  <si>
    <t>TUBO DE CONCRETO (SIMPLES) PARA REDES COLETORAS DE ÁGUAS PLUVIAIS, DIÂMETRO DE 400 MM, JUNTA RÍGIDA, INSTALADO EM LOCAL COM BAIXO NÍVEL DE INTERFERÊNCIAS - FORNECIMENTO E ASSENTAMENTO. AF_12/2015</t>
  </si>
  <si>
    <t>TUBO DE CONCRETO (SIMPLES) PARA REDES COLETORAS DE ÁGUAS PLUVIAIS, DIÂMETRO DE 500 MM, JUNTA RÍGIDA, INSTALADO EM LOCAL COM BAIXO NÍVEL DE INTERFERÊNCIAS - FORNECIMENTO E ASSENTAMENTO. AF_12/2015</t>
  </si>
  <si>
    <t>TUBO DE CONCRETO (SIMPLES) PARA REDES COLETORAS DE ÁGUAS PLUVIAIS, DIÂMETRO DE 300 MM, JUNTA RÍGIDA, INSTALADO EM LOCAL COM ALTO NÍVEL DE INTERFERÊNCIAS - FORNECIMENTO E ASSENTAMENTO. AF_12/2015</t>
  </si>
  <si>
    <t>TUBO DE CONCRETO (SIMPLES) PARA REDES COLETORAS DE ÁGUAS PLUVIAIS, DIÂMETRO DE 400 MM, JUNTA RÍGIDA, INSTALADO EM LOCAL COM ALTO NÍVEL DE INTERFERÊNCIAS - FORNECIMENTO E ASSENTAMENTO. AF_12/2015</t>
  </si>
  <si>
    <t>TUBO DE CONCRETO (SIMPLES) PARA REDES COLETORAS DE ÁGUAS PLUVIAIS, DIÂMETRO DE 500 MM, JUNTA RÍGIDA, INSTALADO EM LOCAL COM ALTO NÍVEL DE INTERFERÊNCIAS - FORNECIMENTO E ASSENTAMENTO. AF_12/2015</t>
  </si>
  <si>
    <t>MONTAGEM DE ARMADURA LONGITUDINAL DE ESTACAS DE SEÇÃO CIRCULAR, DIÂMETRO = 10,0 MM. AF_11/2016</t>
  </si>
  <si>
    <t>MONTAGEM DE ARMADURA LONGITUDINAL DE ESTACAS DE SEÇÃO CIRCULAR, DIÂMETRO = 16,0 MM. AF_11/2016</t>
  </si>
  <si>
    <t>MONTAGEM DE ARMADURA LONGITUDINAL DE ESTACAS DE SEÇÃO CIRCULAR, DIÂMETRO = 20,0 MM. AF_11/2016</t>
  </si>
  <si>
    <t>MONTAGEM DE ARMADURA LONGITUDINAL DE ESTACAS DE SEÇÃO CIRCULAR, DIÂMETRO = 25,0 MM. AF_11/2016</t>
  </si>
  <si>
    <t>MONTAGEM DE ARMADURA TRANSVERSAL DE ESTACAS DE SEÇÃO CIRCULAR, DIÂMETRO = 5,0 MM. AF_11/2016</t>
  </si>
  <si>
    <t>MONTAGEM DE ARMADURA TRANSVERSAL DE ESTACAS DE SEÇÃO CIRCULAR, DIÂMETRO = 6,3 MM. AF_11/2016</t>
  </si>
  <si>
    <t>MONTAGEM DE ARMADURA LONGITUDINAL DE ESTACAS DE SEÇÃO RETANGULAR (BARRETE), DIÂMETRO = 10,0 MM. AF_11/2016</t>
  </si>
  <si>
    <t>MONTAGEM DE ARMADURA LONGITUDINAL DE ESTACAS DE SEÇÃO RETANGULAR (BARRETE), DIÂMETRO = 16,0 MM. AF_11/2016</t>
  </si>
  <si>
    <t>MONTAGEM DE ARMADURA LONGITUDINAL DE ESTACAS DE SEÇÃO RETANGULAR (BARRETE), DIÂMETRO = 20,0 MM. AF_11/2016</t>
  </si>
  <si>
    <t>MONTAGEM DE ARMADURA LONGITUDINAL DE ESTACAS DE SEÇÃO RETANGULAR (BARRETE), DIÂMETRO = 25,0 MM. AF_11/2016</t>
  </si>
  <si>
    <t>MONTAGEM DE ARMADURA TRANSVERSAL DE ESTACAS DE SEÇÃO RETANGULAR (BARRETE), DIÂMETRO = 5,0 MM. AF_11/2016</t>
  </si>
  <si>
    <t>MONTAGEM DE ARMADURA TRANSVERSAL DE ESTACAS DE SEÇÃO RETANGULAR (BARRETE), DIÂMETRO = 6,3 MM. AF_11/2016</t>
  </si>
  <si>
    <t>UMIDIFICAÇÃO DE MATERIAL PARA VALAS COM CAMINHÃO PIPA 10000L. AF_11/2016</t>
  </si>
  <si>
    <t>ARRASAMENTO DE ESTACA METÁLICA, PERFIL LAMINADO TIPO I FAMÍLIA 250. AF_11/2016</t>
  </si>
  <si>
    <t>ARRASAMENTO DE ESTACA METÁLICA, PERFIL LAMINADO TIPO H FAMÍLIA 250. AF_11/2016</t>
  </si>
  <si>
    <t>ARRASAMENTO DE ESTACA METÁLICA, PERFIL LAMINADO TIPO H FAMÍLIA 310. AF_11/2016</t>
  </si>
  <si>
    <t>PERFURATRIZ PNEUMATICA MANUAL DE PESO MEDIO, MARTELETE, 18KG, COMPRIMENTO MÁXIMO DE CURSO DE 6 M, DIAMETRO DO PISTAO DE 5,5 CM - DEPRECIAÇÃO. AF_11/2016</t>
  </si>
  <si>
    <t>PERFURATRIZ PNEUMATICA MANUAL DE PESO MEDIO, MARTELETE, 18KG, COMPRIMENTO MÁXIMO DE CURSO DE 6 M, DIAMETRO DO PISTAO DE 5,5 CM - JUROS. AF_11/2016</t>
  </si>
  <si>
    <t>PERFURATRIZ PNEUMATICA MANUAL DE PESO MEDIO, MARTELETE, 18KG, COMPRIMENTO MÁXIMO DE CURSO DE 6 M, DIAMETRO DO PISTAO DE 5,5 CM - MANUTENÇÃO. AF_11/2016</t>
  </si>
  <si>
    <t>PERFURATRIZ PNEUMATICA MANUAL DE PESO MEDIO, MARTELETE, 18KG, COMPRIMENTO MÁXIMO DE CURSO DE 6 M, DIAMETRO DO PISTAO DE 5,5 CM - CHP DIURNO. AF_11/2016</t>
  </si>
  <si>
    <t>PERFURATRIZ PNEUMATICA MANUAL DE PESO MEDIO, MARTELETE, 18KG, COMPRIMENTO MÁXIMO DE CURSO DE 6 M, DIAMETRO DO PISTAO DE 5,5 CM - CHI DIURNO. AF_11/2016</t>
  </si>
  <si>
    <t>APLICAÇÃO MANUAL DE TINTA LÁTEX ACRÍLICA EM SUPERFÍCIES EXTERNAS DE SACADA DE EDIFÍCIOS DE MÚLTIPLOS PAVIMENTOS, DUAS DEMÃOS. AF_11/2016</t>
  </si>
  <si>
    <t>APLICAÇÃO MANUAL DE TINTA LÁTEX ACRÍLICA EM SUPERFÍCIES INTERNAS DE SACADA DE EDIFÍCIOS DE MÚLTIPLOS PAVIMENTOS, DUAS DEMÃOS. AF_11/2016</t>
  </si>
  <si>
    <t>ROLO COMPACTADOR VIBRATORIO TANDEM, ACO LISO, POTENCIA 125 HP, PESO SEM/COM LASTRO 10,20/11,65 T, LARGURA DE TRABALHO 1,73 M - DEPRECIAÇÃO. AF_11/2016</t>
  </si>
  <si>
    <t>ROLO COMPACTADOR VIBRATORIO TANDEM, ACO LISO, POTENCIA 125 HP, PESO SEM/COM LASTRO 10,20/11,65 T, LARGURA DE TRABALHO 1,73 M - JUROS. AF_11/2016</t>
  </si>
  <si>
    <t>ROLO COMPACTADOR VIBRATORIO TANDEM, ACO LISO, POTENCIA 125 HP, PESO SEM/COM LASTRO 10,20/11,65 T, LARGURA DE TRABALHO 1,73 M - MANUTENÇÃO. AF_11/2016</t>
  </si>
  <si>
    <t>ROLO COMPACTADOR VIBRATORIO TANDEM, ACO LISO, POTENCIA 125 HP, PESO SEM/COM LASTRO 10,20/11,65 T, LARGURA DE TRABALHO 1,73 M - MATERIAIS NA OPERAÇÃO. AF_11/2016</t>
  </si>
  <si>
    <t>ROLO COMPACTADOR VIBRATORIO TANDEM, ACO LISO, POTENCIA 125 HP, PESO SEM/COM LASTRO 10,20/11,65 T, LARGURA DE TRABALHO 1,73 M - CHP DIURNO. AF_11/2016</t>
  </si>
  <si>
    <t>ROLO COMPACTADOR VIBRATORIO TANDEM, ACO LISO, POTENCIA 125 HP, PESO SEM/COM LASTRO 10,20/11,65 T, LARGURA DE TRABALHO 1,73 M - CHI DIURNO. AF_11/2016</t>
  </si>
  <si>
    <t>KIT CAVALETE PARA MEDIÇÃO DE ÁGUA - ENTRADA PRINCIPAL, EM AÇO GALVANIZADO DN 32 (1 ¼)  FORNECIMENTO E INSTALAÇÃO (EXCLUSIVE HIDRÔMETRO). AF_11/2016</t>
  </si>
  <si>
    <t>KIT CAVALETE PARA MEDIÇÃO DE ÁGUA - ENTRADA PRINCIPAL, EM AÇO GALVANIZADO DN 40 (1 ½)  FORNECIMENTO E INSTALAÇÃO (EXCLUSIVE HIDRÔMETRO). AF_11/2016</t>
  </si>
  <si>
    <t>KIT CAVALETE PARA MEDIÇÃO DE ÁGUA - ENTRADA PRINCIPAL, EM AÇO GALVANIZADO DN 50 (2)  FORNECIMENTO E INSTALAÇÃO (EXCLUSIVE HIDRÔMETRO). AF_11/2016</t>
  </si>
  <si>
    <t>KIT CAVALETE PARA MEDIÇÃO DE ÁGUA - ENTRADA INDIVIDUALIZADA, EM PVC DN 25 (¾), PARA 2 MEDIDORES  FORNECIMENTO E INSTALAÇÃO (EXCLUSIVE HIDRÔMETRO). AF_11/2016</t>
  </si>
  <si>
    <t>KIT CAVALETE PARA MEDIÇÃO DE ÁGUA - ENTRADA INDIVIDUALIZADA, EM PVC DN 25 (¾), PARA 3 MEDIDORES  FORNECIMENTO E INSTALAÇÃO (EXCLUSIVE HIDRÔMETRO). AF_11/2016</t>
  </si>
  <si>
    <t>KIT CAVALETE PARA MEDIÇÃO DE ÁGUA - ENTRADA INDIVIDUALIZADA, EM PVC DN 25 (¾), PARA 4 MEDIDORES  FORNECIMENTO E INSTALAÇÃO (EXCLUSIVE HIDRÔMETRO). AF_11/2016</t>
  </si>
  <si>
    <t>KIT CAVALETE PARA MEDIÇÃO DE ÁGUA - ENTRADA INDIVIDUALIZADA, EM PVC DN 32 (1), PARA 1 MEDIDOR  FORNECIMENTO E INSTALAÇÃO (EXCLUSIVE HIDRÔMETRO). AF_11/2016</t>
  </si>
  <si>
    <t>KIT CAVALETE PARA MEDIÇÃO DE ÁGUA - ENTRADA INDIVIDUALIZADA, EM PVC DN 32 (1), PARA 2 MEDIDORES  FORNECIMENTO E INSTALAÇÃO (EXCLUSIVE HIDRÔMETRO). AF_11/2016</t>
  </si>
  <si>
    <t>KIT CAVALETE PARA MEDIÇÃO DE ÁGUA - ENTRADA INDIVIDUALIZADA, EM PVC DN 32 (1), PARA 3 MEDIDORES  FORNECIMENTO E INSTALAÇÃO (EXCLUSIVE HIDRÔMETRO). AF_11/2016</t>
  </si>
  <si>
    <t>KIT CAVALETE PARA MEDIÇÃO DE ÁGUA - ENTRADA INDIVIDUALIZADA, EM PVC DN 32 (1), PARA 4 MEDIDORES  FORNECIMENTO E INSTALAÇÃO (EXCLUSIVE HIDRÔMETRO). AF_11/2016</t>
  </si>
  <si>
    <t>HIDRÔMETRO DN 20 (½), 1,5 M³/H  FORNECIMENTO E INSTALAÇÃO. AF_11/2016</t>
  </si>
  <si>
    <t>HIDRÔMETRO DN 20 (½), 3,0 M³/H  FORNECIMENTO E INSTALAÇÃO. AF_11/2016</t>
  </si>
  <si>
    <t>CAIXA EM CONCRETO PRÉ-MOLDADO PARA ABRIGO DE HIDRÔMETRO COM DN 20 (½)  FORNECIMENTO E INSTALAÇÃO. AF_11/2016</t>
  </si>
  <si>
    <t>LUVA SIMPLES, PVC, SÉRIE NORMAL, ESGOTO PREDIAL, DN 150 MM, JUNTA ELÁSTICA, FORNECIDO E INSTALADO EM SUBCOLETOR AÉREO DE ESGOTO SANITÁRIO. AF_12/2014</t>
  </si>
  <si>
    <t>CURVA 90 GRAUS, PVC, SERIE R, ÁGUA PLUVIAL, DN 100 MM, JUNTA ELÁSTICA, FORNECIDO E INSTALADO EM CONDUTORES VERTICAIS DE ÁGUAS PLUVIAIS. AF_12/2014</t>
  </si>
  <si>
    <t>PERFURATRIZ MANUAL, TORQUE MAXIMO 55 KGF.M, POTENCIA 5 CV, COM DIAMETRO MAXIMO 8 1/2" - DEPRECIAÇÃO. AF_11/2016</t>
  </si>
  <si>
    <t>PERFURATRIZ MANUAL, TORQUE MAXIMO 55 KGF.M, POTENCIA 5 CV, COM DIAMETRO MAXIMO 8 1/2" - JUROS. AF_11/2016</t>
  </si>
  <si>
    <t>PERFURATRIZ MANUAL, TORQUE MAXIMO 55 KGF.M, POTENCIA 5 CV, COM DIAMETRO MAXIMO 8 1/2" - MANUTENÇÃO. AF_11/2016</t>
  </si>
  <si>
    <t>PERFURATRIZ MANUAL, TORQUE MAXIMO 55 KGF.M, POTENCIA 5 CV, COM DIAMETRO MAXIMO 8 1/2" - MATERIAIS NA OPERAÇÃO. AF_11/2016</t>
  </si>
  <si>
    <t>PERFURATRIZ MANUAL, TORQUE MAXIMO 55 KGF.M, POTENCIA 5 CV, COM DIAMETRO MAXIMO 8 1/2" - CHP DIURNO. AF_11/2016</t>
  </si>
  <si>
    <t>PERFURATRIZ MANUAL, TORQUE MAXIMO 55 KGF.M, POTENCIA 5 CV, COM DIAMETRO MAXIMO 8 1/2" - CHI DIURNO. AF_11/2016</t>
  </si>
  <si>
    <t>PERFURATRIZ SOBRE ESTEIRA, TORQUE MÁXIMO 600 KGF, POTÊNCIA ENTRE 50 E 60 HP, DIÂMETRO MÁXIMO 10 - DEPRECIAÇÃO. AF_11/2016</t>
  </si>
  <si>
    <t>PERFURATRIZ SOBRE ESTEIRA, TORQUE MÁXIMO 600 KGF, POTÊNCIA ENTRE 50 E 60 HP, DIÂMETRO MÁXIMO 10 - JUROS. AF_11/2016</t>
  </si>
  <si>
    <t>PERFURATRIZ SOBRE ESTEIRA, TORQUE MÁXIMO 600 KGF, POTÊNCIA ENTRE 50 E 60 HP, DIÂMETRO MÁXIMO 10 - MANUTENÇÃO. AF_11/2016</t>
  </si>
  <si>
    <t>PERFURATRIZ SOBRE ESTEIRA, TORQUE MÁXIMO 600 KGF, POTÊNCIA ENTRE 50 E 60 HP, DIÂMETRO MÁXIMO 10 - MATERIAIS NA OPERAÇÃO. AF_11/2016</t>
  </si>
  <si>
    <t>PERFURATRIZ SOBRE ESTEIRA, TORQUE MÁXIMO 600 KGF, POTÊNCIA ENTRE 50 E 60 HP, DIÂMETRO MÁXIMO 10 - CHP DIURNO. AF_11/2016</t>
  </si>
  <si>
    <t>PERFURATRIZ SOBRE ESTEIRA, TORQUE MÁXIMO 600 KGF, POTÊNCIA ENTRE 50 E 60 HP, DIÂMETRO MÁXIMO 10 - CHI DIURNO. AF_11/2016</t>
  </si>
  <si>
    <t>ESCAVADEIRA HIDRAULICA SOBRE ESTEIRA, COM GARRA GIRATORIA DE MANDIBULAS, PESO OPERACIONAL ENTRE 22,00 E 25,50 TON, POTENCIA LIQUIDA ENTRE 150 E 160 HP - DEPRECIAÇÃO. AF_11/2016</t>
  </si>
  <si>
    <t>ESCAVADEIRA HIDRAULICA SOBRE ESTEIRA, COM GARRA GIRATORIA DE MANDIBULAS, PESO OPERACIONAL ENTRE 22,00 E 25,50 TON, POTENCIA LIQUIDA ENTRE 150 E 160 HP - JUROS. AF_11/2016</t>
  </si>
  <si>
    <t>ESCAVADEIRA HIDRAULICA SOBRE ESTEIRA, COM GARRA GIRATORIA DE MANDIBULAS, PESO OPERACIONAL ENTRE 22,00 E 25,50 TON, POTENCIA LIQUIDA ENTRE 150 E 160 HP - MANUTENÇÃO. AF_11/2016</t>
  </si>
  <si>
    <t>ESCAVADEIRA HIDRAULICA SOBRE ESTEIRA, COM GARRA GIRATORIA DE MANDIBULAS, PESO OPERACIONAL ENTRE 22,00 E 25,50 TON, POTENCIA LIQUIDA ENTRE 150 E 160 HP - MATERIAIS NA OPERAÇÃO. AF_11/2016</t>
  </si>
  <si>
    <t>ESCAVADEIRA HIDRAULICA SOBRE ESTEIRA, COM GARRA GIRATORIA DE MANDIBULAS, PESO OPERACIONAL ENTRE 22,00 E 25,50 TON, POTENCIA LIQUIDA ENTRE 150 E 160 HP - CHP DIURNO. AF_11/2016</t>
  </si>
  <si>
    <t>ESCAVADEIRA HIDRAULICA SOBRE ESTEIRA, COM GARRA GIRATORIA DE MANDIBULAS, PESO OPERACIONAL ENTRE 22,00 E 25,50 TON, POTENCIA LIQUIDA ENTRE 150 E 160 HP - CHI DIURNO. AF_11/2016</t>
  </si>
  <si>
    <t>ESCAVADEIRA HIDRAULICA SOBRE ESTEIRA, EQUIPADA COM CLAMSHELL, COM CAPACIDADE DA CAÇAMBA ENTRE 1,20 E 1,50 M3, PESO OPERACIONAL ENTRE 20,00 E 22,00 TON, POTENCIA LIQUIDA ENTRE 150 E 160 HP - DEPRECIAÇÃO. AF_11/2016</t>
  </si>
  <si>
    <t>ESCAVADEIRA HIDRAULICA SOBRE ESTEIRA, EQUIPADA COM CLAMSHELL, COM CAPACIDADE DA CAÇAMBA ENTRE 1,20 E 1,50 M3, PESO OPERACIONAL ENTRE 20,00 E 22,00 TON, POTENCIA LIQUIDA ENTRE 150 E 160 HP - JUROS. AF_11/2016</t>
  </si>
  <si>
    <t>ESCAVADEIRA HIDRAULICA SOBRE ESTEIRA, EQUIPADA COM CLAMSHELL, COM CAPACIDADE DA CAÇAMBA ENTRE 1,20 E 1,50 M3, PESO OPERACIONAL ENTRE 20,00 E 22,00 TON, POTENCIA LIQUIDA ENTRE 150 E 160 HP - MANUTENÇÃO. AF_11/2016</t>
  </si>
  <si>
    <t>ESCAVADEIRA HIDRAULICA SOBRE ESTEIRA, EQUIPADA COM CLAMSHELL, COM CAPACIDADE DA CAÇAMBA ENTRE 1,20 E 1,50 M3, PESO OPERACIONAL ENTRE 20,00 E 22,00 TON, POTENCIA LIQUIDA ENTRE 150 E 160 HP - MATERIAIS NA OPERAÇÃO. AF_11/2016</t>
  </si>
  <si>
    <t>ESCAVADEIRA HIDRAULICA SOBRE ESTEIRA, EQUIPADA COM CLAMSHELL, COM CAPACIDADE DA CAÇAMBA ENTRE 1,20 E 1,50 M3, PESO OPERACIONAL ENTRE 20,00 E 22,00 TON, POTENCIA LIQUIDA ENTRE 150 E 160 HP - CHP DIURNO. AF_11/2016</t>
  </si>
  <si>
    <t>ESCAVADEIRA HIDRAULICA SOBRE ESTEIRA, EQUIPADA COM CLAMSHELL, COM CAPACIDADE DA CAÇAMBA ENTRE 1,20 E 1,50 M3, PESO OPERACIONAL ENTRE 20,00 E 22,00 TON, POTENCIA LIQUIDA ENTRE 150 E 160 HP - CHI DIURNO. AF_11/2016</t>
  </si>
  <si>
    <t>ELETRODUTO RÍGIDO SOLDÁVEL, PVC, DN 20 MM (½), APARENTE, INSTALADO EM TETO - FORNECIMENTO E INSTALAÇÃO. AF_11/2016_P</t>
  </si>
  <si>
    <t>ELETRODUTO RÍGIDO SOLDÁVEL, PVC, DN 25 MM (3/4), APARENTE, INSTALADO EM TETO - FORNECIMENTO E INSTALAÇÃO. AF_11/2016_P</t>
  </si>
  <si>
    <t>ELETRODUTO RÍGIDO SOLDÁVEL, PVC, DN 32 MM (1), APARENTE, INSTALADO EM TETO - FORNECIMENTO E INSTALAÇÃO. AF_11/2016_P</t>
  </si>
  <si>
    <t>ELETRODUTO RÍGIDO SOLDÁVEL, PVC, DN 20 MM (½), APARENTE, INSTALADO EM PAREDE - FORNECIMENTO E INSTALAÇÃO. AF_11/2016_P</t>
  </si>
  <si>
    <t>ELETRODUTO RÍGIDO SOLDÁVEL, PVC, DN 25 MM (3/4), APARENTE, INSTALADO EM PAREDE - FORNECIMENTO E INSTALAÇÃO. AF_11/2016_P</t>
  </si>
  <si>
    <t>ELETRODUTO RÍGIDO SOLDÁVEL, PVC, DN 32 MM (1), APARENTE, INSTALADO EM PAREDE - FORNECIMENTO E INSTALAÇÃO. AF_11/2016_P</t>
  </si>
  <si>
    <t>LUVA PARA ELETRODUTO, PVC, SOLDÁVEL, DN 20 MM (1/2), APARENTE, INSTALADA EM TETO - FORNECIMENTO E INSTALAÇÃO. AF_11/2016_P</t>
  </si>
  <si>
    <t>LUVA PARA ELETRODUTO, PVC, SOLDÁVEL, DN 25 MM (3/4), APARENTE, INSTALADA EM TETO - FORNECIMENTO E INSTALAÇÃO. AF_11/2016_P</t>
  </si>
  <si>
    <t>LUVA PARA ELETRODUTO, PVC, SOLDÁVEL, DN 32 MM (1), APARENTE, INSTALADA EM TETO - FORNECIMENTO E INSTALAÇÃO. AF_11/2016_P</t>
  </si>
  <si>
    <t>LUVA PARA ELETRODUTO, PVC, SOLDÁVEL, DN 20 MM (1/2), APARENTE, INSTALADA EM PAREDE - FORNECIMENTO E INSTALAÇÃO. AF_11/2016_P</t>
  </si>
  <si>
    <t>LUVA PARA ELETRODUTO, PVC, SOLDÁVEL, DN 25 MM (3/4), APARENTE, INSTALADA EM PAREDE - FORNECIMENTO E INSTALAÇÃO. AF_11/2016_P</t>
  </si>
  <si>
    <t>LUVA PARA ELETRODUTO, PVC, SOLDÁVEL, DN 32 MM (1), APARENTE, INSTALADA EM PAREDE - FORNECIMENTO E INSTALAÇÃO. AF_11/2016_P</t>
  </si>
  <si>
    <t>ELETRODUTO DE AÇO GALVANIZADO, CLASSE LEVE, DN 20 MM (3/4), APARENTE, INSTALADO EM TETO - FORNECIMENTO E INSTALAÇÃO. AF_11/2016_P</t>
  </si>
  <si>
    <t>ELETRODUTO DE AÇO GALVANIZADO, CLASSE LEVE, DN 25 MM (1), APARENTE, INSTALADO EM TETO - FORNECIMENTO E INSTALAÇÃO. AF_11/2016_P</t>
  </si>
  <si>
    <t>ELETRODUTO DE AÇO GALVANIZADO, CLASSE SEMI PESADO, DN 32 MM (1 1/4), APARENTE, INSTALADO EM TETO - FORNECIMENTO E INSTALAÇÃO. AF_11/2016_P</t>
  </si>
  <si>
    <t>ELETRODUTO DE AÇO GALVANIZADO, CLASSE LEVE, DN 20 MM (3/4), APARENTE, INSTALADO EM PAREDE - FORNECIMENTO E INSTALAÇÃO. AF_11/2016_P</t>
  </si>
  <si>
    <t>ELETRODUTO DE AÇO GALVANIZADO, CLASSE LEVE, DN 25 MM (1), APARENTE, INSTALADO EM PAREDE - FORNECIMENTO E INSTALAÇÃO. AF_11/2016_P</t>
  </si>
  <si>
    <t>ELETRODUTO DE AÇO GALVANIZADO, CLASSE SEMI PESADO, DN 32 MM (1 1/4), APARENTE, INSTALADO EM PAREDE - FORNECIMENTO E INSTALAÇÃO. AF_11/2016_P</t>
  </si>
  <si>
    <t>ELETRODUTO DE AÇO GALVANIZADO, CLASSE SEMI PESADO, DN 40 MM (1 1/2  ), APARENTE, INSTALADO EM PAREDE - FORNECIMENTO E INSTALAÇÃO. AF_11/2016_P</t>
  </si>
  <si>
    <t>LUVA DE EMENDA PARA ELETRODUTO, AÇO GALVANIZADO, DN 20 MM (3/4  ), APARENTE, INSTALADA EM TETO - FORNECIMENTO E INSTALAÇÃO. AF_11/2016_P</t>
  </si>
  <si>
    <t>LUVA DE EMENDA PARA ELETRODUTO, AÇO GALVANIZADO, DN 25 MM (1''), APARENTE, INSTALADA EM TETO - FORNECIMENTO E INSTALAÇÃO. AF_11/2016_P</t>
  </si>
  <si>
    <t>LUVA DE EMENDA PARA ELETRODUTO, AÇO GALVANIZADO, DN 32 MM (1 1/4''), APARENTE, INSTALADA EM TETO - FORNECIMENTO E INSTALAÇÃO. AF_11/2016_P</t>
  </si>
  <si>
    <t>LUVA DE EMENDA PARA ELETRODUTO, AÇO GALVANIZADO, DN 40 MM (1 1/2''), APARENTE, INSTALADA EM TETO - FORNECIMENTO E INSTALAÇÃO. AF_11/2016_P</t>
  </si>
  <si>
    <t>LUVA DE EMENDA PARA ELETRODUTO, AÇO GALVANIZADO, DN 20 MM (3/4''), APARENTE, INSTALADA EM PAREDE - FORNECIMENTO E INSTALAÇÃO. AF_11/2016_P</t>
  </si>
  <si>
    <t>LUVA DE EMENDA PARA ELETRODUTO, AÇO GALVANIZADO, DN 25 MM (1''), APARENTE, INSTALADA EM PAREDE - FORNECIMENTO E INSTALAÇÃO. AF_11/2016_P</t>
  </si>
  <si>
    <t>LUVA DE EMENDA PARA ELETRODUTO, AÇO GALVANIZADO, DN 32 MM (1 1/4''), APARENTE, INSTALADA EM PAREDE - FORNECIMENTO E INSTALAÇÃO. AF_11/2016_P</t>
  </si>
  <si>
    <t>LUVA DE EMENDA PARA ELETRODUTO, AÇO GALVANIZADO, DN 40 MM (1 1/2''), APARENTE, INSTALADA EM PAREDE - FORNECIMENTO E INSTALAÇÃO. AF_11/2016_P</t>
  </si>
  <si>
    <t>CONDULETE DE ALUMÍNIO, TIPO B, PARA ELETRODUTO DE AÇO GALVANIZADO DN 20 MM (3/4''), APARENTE - FORNECIMENTO E INSTALAÇÃO. AF_11/2016_P</t>
  </si>
  <si>
    <t>CONDULETE DE ALUMÍNIO, TIPO C, PARA ELETRODUTO DE AÇO GALVANIZADO DN 20 MM (3/4''), APARENTE - FORNECIMENTO E INSTALAÇÃO. AF_11/2016_P</t>
  </si>
  <si>
    <t>CONDULETE DE ALUMÍNIO, TIPO E, PARA ELETRODUTO DE AÇO GALVANIZADO DN 20 MM (3/4''), APARENTE - FORNECIMENTO E INSTALAÇÃO. AF_11/2016_P</t>
  </si>
  <si>
    <t>CONDULETE DE ALUMÍNIO, TIPO B, PARA ELETRODUTO DE AÇO GALVANIZADO DN 25 MM (1''), APARENTE - FORNECIMENTO E INSTALAÇÃO. AF_11/2016_P</t>
  </si>
  <si>
    <t>CONDULETE DE ALUMÍNIO, TIPO C, PARA ELETRODUTO DE AÇO GALVANIZADO DN 25 MM (1''), APARENTE - FORNECIMENTO E INSTALAÇÃO. AF_11/2016_P</t>
  </si>
  <si>
    <t>CONDULETE DE ALUMÍNIO, TIPO E, PARA ELETRODUTO DE AÇO GALVANIZADO DN 32 MM (1 1/4''), APARENTE - FORNECIMENTO E INSTALAÇÃO. AF_11/2016_P</t>
  </si>
  <si>
    <t>CONDULETE DE ALUMÍNIO, TIPO T, PARA ELETRODUTO DE AÇO GALVANIZADO DN 20 MM (3/4''), APARENTE - FORNECIMENTO E INSTALAÇÃO. AF_11/2016_P</t>
  </si>
  <si>
    <t>CONDULETE DE ALUMÍNIO, TIPO T, PARA ELETRODUTO DE AÇO GALVANIZADO DN 25 MM (1''), APARENTE - FORNECIMENTO E INSTALAÇÃO. AF_11/2016_P</t>
  </si>
  <si>
    <t>CONDULETE DE ALUMÍNIO, TIPO T, PARA ELETRODUTO DE AÇO GALVANIZADO DN 32 MM (1 1/4''), APARENTE - FORNECIMENTO E INSTALAÇÃO. AF_11/2016_P</t>
  </si>
  <si>
    <t>CONDULETE DE ALUMÍNIO, TIPO X, PARA ELETRODUTO DE AÇO GALVANIZADO DN 20 MM (3/4''), APARENTE - FORNECIMENTO E INSTALAÇÃO. AF_11/2016_P</t>
  </si>
  <si>
    <t>CONDULETE DE ALUMÍNIO, TIPO X, PARA ELETRODUTO DE AÇO GALVANIZADO DN 25 MM (1''), APARENTE - FORNECIMENTO E INSTALAÇÃO. AF_11/2016_P</t>
  </si>
  <si>
    <t>CONDULETE DE ALUMÍNIO, TIPO X, PARA ELETRODUTO DE AÇO GALVANIZADO DN 32 MM (1 1/4''), APARENTE - FORNECIMENTO E INSTALAÇÃO. AF_11/2016_P</t>
  </si>
  <si>
    <t>CONDULETE DE PVC, TIPO B, PARA ELETRODUTO DE PVC SOLDÁVEL DN 20 MM (1/2''), APARENTE - FORNECIMENTO E INSTALAÇÃO. AF_11/2016</t>
  </si>
  <si>
    <t>CONDULETE DE PVC, TIPO B, PARA ELETRODUTO DE PVC SOLDÁVEL DN 25 MM (3/4''), APARENTE - FORNECIMENTO E INSTALAÇÃO. AF_11/2016</t>
  </si>
  <si>
    <t>CONDULETE DE PVC, TIPO B, PARA ELETRODUTO DE PVC SOLDÁVEL DN 32 MM (1''), APARENTE - FORNECIMENTO E INSTALAÇÃO. AF_11/2016</t>
  </si>
  <si>
    <t>CONDULETE DE PVC, TIPO LL, PARA ELETRODUTO DE PVC SOLDÁVEL DN 20 MM (1/2''), APARENTE - FORNECIMENTO E INSTALAÇÃO. AF_11/2016</t>
  </si>
  <si>
    <t>CONDULETE DE PVC, TIPO LL, PARA ELETRODUTO DE PVC SOLDÁVEL DN 25 MM (3/4''), APARENTE - FORNECIMENTO E INSTALAÇÃO. AF_11/2016</t>
  </si>
  <si>
    <t>CONDULETE DE PVC, TIPO LL, PARA ELETRODUTO DE PVC SOLDÁVEL DN 32 MM (1''), APARENTE - FORNECIMENTO E INSTALAÇÃO. AF_11/2016</t>
  </si>
  <si>
    <t>CONDULETE DE PVC, TIPO LB, PARA ELETRODUTO DE PVC SOLDÁVEL DN 20 MM (1/2''), APARENTE - FORNECIMENTO E INSTALAÇÃO. AF_11/2016</t>
  </si>
  <si>
    <t>CONDULETE DE PVC, TIPO LB, PARA ELETRODUTO DE PVC SOLDÁVEL DN 25 MM (3/4''), APARENTE - FORNECIMENTO E INSTALAÇÃO. AF_11/2016</t>
  </si>
  <si>
    <t>CONDULETE DE PVC, TIPO LB, PARA ELETRODUTO DE PVC SOLDÁVEL DN 32 MM (1''), APARENTE - FORNECIMENTO E INSTALAÇÃO. AF_11/2016</t>
  </si>
  <si>
    <t>CONDULETE DE PVC, TIPO TB, PARA ELETRODUTO DE PVC SOLDÁVEL DN 20 MM (1/2''), APARENTE - FORNECIMENTO E INSTALAÇÃO. AF_11/2016</t>
  </si>
  <si>
    <t>CONDULETE DE PVC, TIPO TB, PARA ELETRODUTO DE PVC SOLDÁVEL DN 25 MM (3/4''), APARENTE - FORNECIMENTO E INSTALAÇÃO. AF_11/2016</t>
  </si>
  <si>
    <t>CONDULETE DE PVC, TIPO TB, PARA ELETRODUTO DE PVC SOLDÁVEL DN 32 MM (1''), APARENTE - FORNECIMENTO E INSTALAÇÃO. AF_11/2016</t>
  </si>
  <si>
    <t>CONDULETE DE PVC, TIPO X, PARA ELETRODUTO DE PVC SOLDÁVEL DN 20 MM (1/2''), APARENTE - FORNECIMENTO E INSTALAÇÃO. AF_11/2016</t>
  </si>
  <si>
    <t>CONDULETE DE PVC, TIPO X, PARA ELETRODUTO DE PVC SOLDÁVEL DN 25 MM (3/4''), APARENTE - FORNECIMENTO E INSTALAÇÃO. AF_11/2016</t>
  </si>
  <si>
    <t>CONDULETE DE PVC, TIPO X, PARA ELETRODUTO DE PVC SOLDÁVEL DN 32 MM (1''), APARENTE - FORNECIMENTO E INSTALAÇÃO. AF_11/2016</t>
  </si>
  <si>
    <t>TRANSPORTE COM CAMINHÃO BASCULANTE DE 10 M3, EM VIA URBANA PAVIMENTADA, DMT ATÉ 30 KM (UNIDADE: M3XKM). AF_12/2016</t>
  </si>
  <si>
    <t>TRANSPORTE COM CAMINHÃO BASCULANTE DE 14 M3, EM VIA URBANA PAVIMENTADA, DMT ATÉ 30 KM (UNIDADE: M3XKM). AF_12/2016</t>
  </si>
  <si>
    <t>TRANSPORTE COM CAMINHÃO BASCULANTE DE 18 M3, EM VIA URBANA PAVIMENTADA, DMT ATÉ 30 KM (UNIDADE: M3XKM). AF_12/2016</t>
  </si>
  <si>
    <t>FABRICAÇÃO DE FÔRMA PARA ESCADAS, COM 2 LANCES, EM CHAPA DE MADEIRA COMPENSADA PLASTIFICADA, E=18 MM. AF_01/2017</t>
  </si>
  <si>
    <t>FABRICAÇÃO DE FÔRMA PARA ESCADAS, COM 2 LANCES, EM CHAPA DE MADEIRA COMPENSADA RESINADA, E= 17 MM. AF_01/2017</t>
  </si>
  <si>
    <t>FABRICAÇÃO DE FÔRMA PARA ESCADAS, COM 2 LANCES, EM MADEIRA SERRADA, E=25 MM. AF_01/2017</t>
  </si>
  <si>
    <t>MONTAGEM E DESMONTAGEM DE FÔRMA PARA ESCADAS, COM 2 LANCES, EM CHAPA DE MADEIRA COMPENSADA RESINADA, 4 UTILIZAÇÕES. AF_01/2017</t>
  </si>
  <si>
    <t>MONTAGEM E DESMONTAGEM DE FÔRMA PARA ESCADAS, COM 2 LANCES, EM CHAPA DE MADEIRA COMPENSADA PLASTIFICADA, 6 UTILIZAÇÕES. AF_01/2017</t>
  </si>
  <si>
    <t>MONTAGEM E DESMONTAGEM DE FÔRMA PARA ESCADAS, COM 2 LANCES, EM CHAPA DE MADEIRA COMPENSADA PLASTIFICADA, 8 UTILIZAÇÕES. AF_01/2017</t>
  </si>
  <si>
    <t>MONTAGEM E DESMONTAGEM DE FÔRMA PARA ESCADAS, COM 2 LANCES, EM CHAPA DE MADEIRA COMPENSADA PLASTIFICADA, 10 UTILIZAÇÕES. AF_01/2017</t>
  </si>
  <si>
    <t>ARMAÇÃO DE ESCADA, COM 2 LANCES, DE UMA ESTRUTURA CONVENCIONAL DE CONCRETO ARMADO UTILIZANDO AÇO CA-60 DE 5,0 MM - MONTAGEM. AF_01/2017</t>
  </si>
  <si>
    <t>ARMAÇÃO DE ESCADA, COM 2 LANCES, DE UMA ESTRUTURA CONVENCIONAL DE CONCRETO ARMADO UTILIZANDO AÇO CA-50 DE 6,3 MM - MONTAGEM. AF_01/2017</t>
  </si>
  <si>
    <t>ARMAÇÃO DE ESCADA, COM 2 LANCES, DE UMA ESTRUTURA CONVENCIONAL DE CONCRETO ARMADO UTILIZANDO AÇO CA-50 DE 8,0 MM - MONTAGEM. AF_01/2017</t>
  </si>
  <si>
    <t>ARMAÇÃO DE ESCADA, COM 2 LANCES, DE UMA ESTRUTURA CONVENCIONAL DE CONCRETO ARMADO UTILIZANDO AÇO CA-50 DE 10,0 MM - MONTAGEM. AF_01/2017</t>
  </si>
  <si>
    <t>ARMAÇÃO DE ESCADA, COM 2 LANCES, DE UMA ESTRUTURA CONVENCIONAL DE CONCRETO ARMADO UTILIZANDO AÇO CA-50 DE 12,5 MM - MONTAGEM. AF_01/2017</t>
  </si>
  <si>
    <t>ARMAÇÃO DE ESCADA, COM 2 LANCES, DE UMA ESTRUTURA CONVENCIONAL DE CONCRETO ARMADO UTILIZANDO AÇO CA-50 DE 16,0 MM - MONTAGEM. AF_01/2017</t>
  </si>
  <si>
    <t>(COMPOSIÇÃO REPRESENTATIVA) EXECUÇÃO DE ESTRUTURAS DE CONCRETO ARMADO, PARA EDIFICAÇÃO HABITACIONAL UNIFAMILIAR COM DOIS PAVIMENTOS (CASA ISOLADA), FCK = 25 MPA. AF_01/2017</t>
  </si>
  <si>
    <t>(COMPOSIÇÃO REPRESENTATIVA) EXECUÇÃO DE ESTRUTURAS DE CONCRETO ARMADO, PARA EDIFICAÇÃO HABITACIONAL UNIFAMILIAR TÉRREA (CASA EM EMPREENDIMENTOS), FCK = 25 MPA. AF_01/2017</t>
  </si>
  <si>
    <t>SERVIÇOS TÉCNICOS ESPECIALIZADOS PARA ACOMPANHAMENTO DE EXECUÇÃO DE FUNDAÇÕES PROFUNDAS E ESTRUTURAS DE CONTENÇÃO</t>
  </si>
  <si>
    <t>(COMPOSIÇÃO REPRESENTATIVA) EXECUÇÃO DE ESCADA EM CONCRETO ARMADO, MOLDADA IN LOCO, FCK = 25 MPA. AF_02/2017</t>
  </si>
  <si>
    <t>TRATOR DE PNEUS COM POTÊNCIA DE 122 CV, TRAÇÃO 4X4, COM VASSOURA MECÂNICA ACOPLADA - DEPRECIAÇÃO. AF_02/2017</t>
  </si>
  <si>
    <t>TRATOR DE PNEUS COM POTÊNCIA DE 122 CV, TRAÇÃO 4X4, COM VASSOURA MECÂNICA ACOPLADA - JUROS. AF_02/2017</t>
  </si>
  <si>
    <t>TRATOR DE PNEUS COM POTÊNCIA DE 122 CV, TRAÇÃO 4X4, COM VASSOURA MECÂNICA ACOPLADA - MANUTENÇÃO. AF_02/2017</t>
  </si>
  <si>
    <t>TRATOR DE PNEUS COM POTÊNCIA DE 122 CV, TRAÇÃO 4X4, COM VASSOURA MECÂNICA ACOPLADA - MATERIAIS NA OPERAÇÃO. AF_02/2017</t>
  </si>
  <si>
    <t>TRATOR DE PNEUS COM POTÊNCIA DE 122 CV, TRAÇÃO 4X4, COM VASSOURA MECÂNICA ACOPLADA - CHP DIURNO. AF_02/2017</t>
  </si>
  <si>
    <t>TRATOR DE PNEUS COM POTÊNCIA DE 122 CV, TRAÇÃO 4X4, COM VASSOURA MECÂNICA ACOPLADA - CHI DIURNO. AF_02/2017</t>
  </si>
  <si>
    <t>TRATOR DE PNEUS COM POTÊNCIA DE 122 CV, TRAÇÃO 4X4, COM GRADE DE DISCOS ACOPLADA - DEPRECIAÇÃO. AF_02/2017</t>
  </si>
  <si>
    <t>TRATOR DE PNEUS COM POTÊNCIA DE 122 CV, TRAÇÃO 4X4, COM GRADE DE DISCOS ACOPLADA - JUROS. AF_02/2017</t>
  </si>
  <si>
    <t>TRATOR DE PNEUS COM POTÊNCIA DE 122 CV, TRAÇÃO 4X4, COM GRADE DE DISCOS ACOPLADA - MANUTENÇÃO. AF_02/2017</t>
  </si>
  <si>
    <t>TRATOR DE PNEUS COM POTÊNCIA DE 122 CV, TRAÇÃO 4X4, COM GRADE DE DISCOS ACOPLADA - MATERIAIS NA OPERAÇÃO. AF_02/2017</t>
  </si>
  <si>
    <t>TRATOR DE PNEUS COM POTÊNCIA DE 122 CV, TRAÇÃO 4X4, COM GRADE DE DISCOS ACOPLADA - CHP DIURNO. AF_02/2017</t>
  </si>
  <si>
    <t>TRATOR DE PNEUS COM POTÊNCIA DE 122 CV, TRAÇÃO 4X4, COM GRADE DE DISCOS ACOPLADA - CHI DIURNO. AF_02/2017</t>
  </si>
  <si>
    <t>CAMINHÃO BASCULANTE 10 M3, TRUCADO, POTÊNCIA 230 CV, INCLUSIVE CAÇAMBA METÁLICA, COM DISTRIBUIDOR DE AGREGADOS ACOPLADO - DEPRECIAÇÃO. AF_02/2017</t>
  </si>
  <si>
    <t>CAMINHÃO BASCULANTE 10 M3, TRUCADO, POTÊNCIA 230 CV, INCLUSIVE CAÇAMBA METÁLICA, COM DISTRIBUIDOR DE AGREGADOS ACOPLADO - IMPOSTOS E SEGUROS. AF_02/2017</t>
  </si>
  <si>
    <t>CAMINHÃO BASCULANTE 10 M3, TRUCADO, POTÊNCIA 230 CV, INCLUSIVE CAÇAMBA METÁLICA, COM DISTRIBUIDOR DE AGREGADOS ACOPLADO - MANUTENÇÃO. AF_02/2017</t>
  </si>
  <si>
    <t>CAMINHÃO BASCULANTE 10 M3, TRUCADO, POTÊNCIA 230 CV, INCLUSIVE CAÇAMBA METÁLICA, COM DISTRIBUIDOR DE AGREGADOS ACOPLADO - MATERIAIS NA OPERAÇÃO. AF_02/2017</t>
  </si>
  <si>
    <t>CAMINHÃO BASCULANTE 10 M3, TRUCADO, POTÊNCIA 230 CV, INCLUSIVE CAÇAMBA METÁLICA, COM DISTRIBUIDOR DE AGREGADOS ACOPLADO - CHP DIURNO. AF_02/2017</t>
  </si>
  <si>
    <t>CAMINHÃO BASCULANTE 10 M3, TRUCADO, POTÊNCIA 230 CV, INCLUSIVE CAÇAMBA METÁLICA, COM DISTRIBUIDOR DE AGREGADOS ACOPLADO - CHI DIURNO. AF_02/2017</t>
  </si>
  <si>
    <t>TRATOR DE PNEUS COM POTÊNCIA DE 85 CV, TRAÇÃO 4X4, COM VASSOURA MECÂNICA ACOPLADA - DEPRECIAÇÃO. AF_03/2017</t>
  </si>
  <si>
    <t>TRATOR DE PNEUS COM POTÊNCIA DE 85 CV, TRAÇÃO 4X4, COM VASSOURA MECÂNICA ACOPLADA - JUROS. AF_03/2017</t>
  </si>
  <si>
    <t>TRATOR DE PNEUS COM POTÊNCIA DE 85 CV, TRAÇÃO 4X4, COM VASSOURA MECÂNICA ACOPLADA - MANUTENÇÃO. AF_03/2017</t>
  </si>
  <si>
    <t>TRATOR DE PNEUS COM POTÊNCIA DE 85 CV, TRAÇÃO 4X4, COM VASSOURA MECÂNICA ACOPLADA - MATERIAIS NA OPERAÇÃO. AF_03/2017</t>
  </si>
  <si>
    <t>FORRO EM PLACAS DE GESSO, PARA AMBIENTES RESIDENCIAIS. AF_05/2017_P</t>
  </si>
  <si>
    <t>FORRO EM DRYWALL, PARA AMBIENTES RESIDENCIAIS, INCLUSIVE ESTRUTURA DE FIXAÇÃO. AF_05/2017_P</t>
  </si>
  <si>
    <t>FORRO EM RÉGUAS DE PVC, FRISADO, PARA AMBIENTES RESIDENCIAIS, INCLUSIVE ESTRUTURA DE FIXAÇÃO. AF_05/2017_P</t>
  </si>
  <si>
    <t>FORRO EM MADEIRA PINUS, PARA AMBIENTES RESIDENCIAIS, INCLUSIVE ESTRUTURA DE FIXAÇÃO. AF_05/2017</t>
  </si>
  <si>
    <t>FORRO EM PLACAS DE GESSO, PARA AMBIENTES COMERCIAIS. AF_05/2017_P</t>
  </si>
  <si>
    <t>FORRO EM DRYWALL, PARA AMBIENTES COMERCIAIS, INCLUSIVE ESTRUTURA DE FIXAÇÃO. AF_05/2017_P</t>
  </si>
  <si>
    <t>FORRO EM RÉGUAS DE PVC, FRISADO, PARA AMBIENTES COMERCIAIS, INCLUSIVE ESTRUTURA DE FIXAÇÃO. AF_05/2017_P</t>
  </si>
  <si>
    <t>FORRO EM MADEIRA PINUS, PARA AMBIENTES COMERCIAIS, INCLUSIVE ESTRUTURA DE FIXAÇÃO. AF_05/2017</t>
  </si>
  <si>
    <t>ACABAMENTOS PARA FORRO (MOLDURA DE GESSO). AF_05/2017</t>
  </si>
  <si>
    <t>ACABAMENTOS PARA FORRO (RODA-FORRO EM PERFIL METÁLICO E PLÁSTICO). AF_05/2017</t>
  </si>
  <si>
    <t>ACABAMENTOS PARA FORRO (RODA-FORRO EM MADEIRA PINUS). AF_05/2017</t>
  </si>
  <si>
    <t>ACABAMENTOS PARA FORRO (MOLDURA EM DRYWALL, COM LARGURA DE 15 CM). AF_05/2017_P</t>
  </si>
  <si>
    <t>APLICAÇÃO MANUAL DE MASSA ACRÍLICA EM PANOS DE FACHADA COM PRESENÇA DE VÃOS, DE EDIFÍCIOS DE MÚLTIPLOS PAVIMENTOS, UMA DEMÃO. AF_05/2017</t>
  </si>
  <si>
    <t>APLICAÇÃO MANUAL DE MASSA ACRÍLICA EM PANOS DE FACHADA SEM PRESENÇA DE VÃOS, DE EDIFÍCIOS DE MÚLTIPLOS PAVIMENTOS, UMA DEMÃO. AF_05/2017</t>
  </si>
  <si>
    <t>APLICAÇÃO MANUAL DE MASSA ACRÍLICA EM SUPERFÍCIES EXTERNAS DE SACADA DE EDIFÍCIOS DE MÚLTIPLOS PAVIMENTOS, UMA DEMÃO. AF_05/2017</t>
  </si>
  <si>
    <t>APLICAÇÃO MANUAL DE MASSA ACRÍLICA EM SUPERFÍCIES INTERNAS DE SACADA DE EDIFÍCIOS DE MÚLTIPLOS PAVIMENTOS, UMA DEMÃO. AF_05/2017</t>
  </si>
  <si>
    <t>APLICAÇÃO MANUAL DE MASSA ACRÍLICA EM PAREDES EXTERNAS DE CASAS, UMA DEMÃO. AF_05/2017</t>
  </si>
  <si>
    <t>APLICAÇÃO MANUAL DE MASSA ACRÍLICA EM PANOS DE FACHADA COM PRESENÇA DE VÃOS, DE EDIFÍCIOS DE MÚLTIPLOS PAVIMENTOS, DUAS DEMÃOS. AF_05/2017</t>
  </si>
  <si>
    <t>APLICAÇÃO MANUAL DE MASSA ACRÍLICA EM PANOS DE FACHADA SEM PRESENÇA DE VÃOS, DE EDIFÍCIOS DE MÚLTIPLOS PAVIMENTOS, DUAS DEMÃOS. AF_05/2017</t>
  </si>
  <si>
    <t>APLICAÇÃO MANUAL DE MASSA ACRÍLICA EM SUPERFÍCIES EXTERNAS DE SACADA DE EDIFÍCIOS DE MÚLTIPLOS PAVIMENTOS, DUAS DEMÃOS. AF_05/2017</t>
  </si>
  <si>
    <t>APLICAÇÃO MANUAL DE MASSA ACRÍLICA EM SUPERFÍCIES INTERNAS DE SACADA DE EDIFÍCIOS DE MÚLTIPLOS PAVIMENTOS, DUAS DEMÃOS. AF_05/2017</t>
  </si>
  <si>
    <t>APLICAÇÃO MANUAL DE MASSA ACRÍLICA EM PAREDES EXTERNAS DE CASAS, DUAS DEMÃOS. AF_05/2017</t>
  </si>
  <si>
    <t>TRATOR DE PNEUS COM POTÊNCIA DE 85 CV, TRAÇÃO 4X4, COM VASSOURA MECÂNICA ACOPLADA - CHI DIURNO. AF_02/2017</t>
  </si>
  <si>
    <t>TRATOR DE PNEUS COM POTÊNCIA DE 85 CV, TRAÇÃO 4X4, COM VASSOURA MECÂNICA ACOPLADA - CHP DIURNO. AF_03/2017</t>
  </si>
  <si>
    <t>MÁQUINA DEMARCADORA DE FAIXA DE TRÁFEGO À FRIO, AUTOPROPELIDA, POTÊNCIA 38 HP - CHI DIURNO. AF_07/2016</t>
  </si>
  <si>
    <t>MINIESCAVADEIRA SOBRE ESTEIRAS, POTENCIA LIQUIDA DE *30* HP, PESO OPERACIONAL DE *3.500* KG - DEPRECIACAO. AF_04/2017</t>
  </si>
  <si>
    <t>MINIESCAVADEIRA SOBRE ESTEIRAS, POTENCIA LIQUIDA DE *30* HP, PESO OPERACIONAL DE *3.500* KG - JUROS. AF_04/2017</t>
  </si>
  <si>
    <t>MINIESCAVADEIRA SOBRE ESTEIRAS, POTENCIA LIQUIDA DE *30* HP, PESO OPERACIONAL DE *3.500* KG - MANUTENCAO. AF_04/2017</t>
  </si>
  <si>
    <t>MINIESCAVADEIRA SOBRE ESTEIRAS, POTENCIA LIQUIDA DE *30* HP, PESO OPERACIONAL DE *3.500* KG - MATERIAIS NA OPERACAO. AF_04/2017</t>
  </si>
  <si>
    <t>MINIESCAVADEIRA SOBRE ESTEIRAS, POTENCIA LIQUIDA DE *30* HP, PESO OPERACIONAL DE *3.500* KG - CHP DIURNO. AF_04/2017</t>
  </si>
  <si>
    <t>MINIESCAVADEIRA SOBRE ESTEIRAS, POTENCIA LIQUIDA DE *30* HP, PESO OPERACIONAL DE *3.500* KG - CHI DIURNO. AF_04/2017</t>
  </si>
  <si>
    <t>FABRICAÇÃO DE FÔRMA PARA PILARES CIRCULARES, EM CHAPA DE MADEIRA COMPENSADA RESINADA. AF_06/2017</t>
  </si>
  <si>
    <t>MONTAGEM E DESMONTAGEM DE FÔRMA DE PILARES CIRCULARES, COM ÁREA MÉDIA DAS SEÇÕES MENOR OU IGUAL A 0,28 M², PÉ-DIREITO SIMPLES, EM MADEIRA, 2 UTILIZAÇÕES. AF_06/2017</t>
  </si>
  <si>
    <t>MONTAGEM E DESMONTAGEM DE FÔRMA DE PILARES CIRCULARES, COM ÁREA MÉDIA DAS SEÇÕES MAIOR QUE 0,28 M², PÉ-DIREITO SIMPLES, EM MADEIRA, 2 UTILIZAÇÕES. AF_06/2017</t>
  </si>
  <si>
    <t>MONTAGEM E DESMONTAGEM DE FÔRMA DE PILARES CIRCULARES, COM ÁREA MÉDIA DAS SEÇÕES MENOR OU IGUAL A 0,28 M², PÉ-DIREITO DUPLO, EM MADEIRA, 2 UTILIZAÇÕES. AF_06/2017</t>
  </si>
  <si>
    <t>PERFURATRIZ ROTATIVA SOBRE ESTEIRA, TORQUE MAXIMO 2500 KGM, POTENCIA 110 HP, MOTOR DIESEL - DEPRECIAÇÃO. AF_05/2017</t>
  </si>
  <si>
    <t>PERFURATRIZ ROTATIVA SOBRE ESTEIRA, TORQUE MAXIMO 2500 KGM, POTENCIA 110 HP, MOTOR DIESEL - JUROS. AF_05/2017</t>
  </si>
  <si>
    <t>PERFURATRIZ ROTATIVA SOBRE ESTEIRA, TORQUE MAXIMO 2500 KGM, POTENCIA 110 HP, MOTOR DIESEL - MANUTENÇÃO. AF_05/2017</t>
  </si>
  <si>
    <t>PERFURATRIZ ROTATIVA SOBRE ESTEIRA, TORQUE MAXIMO 2500 KGM, POTENCIA 110 HP, MOTOR DIESEL - MATERIAIS NA OPERAÇÃO. AF_05/2017</t>
  </si>
  <si>
    <t>PERFURATRIZ ROTATIVA SOBRE ESTEIRA, TORQUE MAXIMO 2500 KGM, POTENCIA 110 HP, MOTOR DIESEL - CHI DIURNO. AF_05/2017</t>
  </si>
  <si>
    <t>PERFURATRIZ ROTATIVA SOBRE ESTEIRA, TORQUE MAXIMO 2500 KGM, POTENCIA 110 HP, MOTOR DIESEL- CHP DIURNO. AF_05/2017</t>
  </si>
  <si>
    <t>COMPRESSOR DE AR, VAZAO DE 10 PCM, RESERVATORIO 100 L, PRESSAO DE TRABALHO ENTRE 6,9 E 9,7 BAR,  POTENCIA 2 HP, TENSAO 110/220 V - DEPRECIAÇÃO. AF_05/2017</t>
  </si>
  <si>
    <t>COMPRESSOR DE AR, VAZAO DE 10 PCM, RESERVATORIO 100 L, PRESSAO DE TRABALHO ENTRE 6,9 E 9,7 BAR,  POTENCIA 2 HP, TENSAO 110/220 V - JUROS. AF_05/2017</t>
  </si>
  <si>
    <t>COMPRESSOR DE AR, VAZAO DE 10 PCM, RESERVATORIO 100 L, PRESSAO DE TRABALHO ENTRE 6,9 E 9,7 BAR,  POTENCIA 2 HP, TENSAO 110/220 V - MANUTENÇÃO. AF_05/2017</t>
  </si>
  <si>
    <t>COMPRESSOR DE AR, VAZAO DE 10 PCM, RESERVATORIO 100 L, PRESSAO DE TRABALHO ENTRE 6,9 E 9,7 BAR, POTENCIA 2 HP, TENSAO 110/220 V - MATERIAIS NA OPERAÇÃO. AF_05/2017</t>
  </si>
  <si>
    <t>COMPRESSOR DE AR, VAZAO DE 10 PCM, RESERVATORIO 100 L, PRESSAO DE TRABALHO ENTRE 6,9 E 9,7 BAR  POTENCIA 2 HP, TENSAO 110/220 V  CHI DIURNO. AF_05/2017</t>
  </si>
  <si>
    <t>COMPRESSOR DE AR, VAZAO DE 10 PCM, RESERVATORIO 100 L, PRESSAO DE TRABALHO ENTRE 6,9 E 9,7 BAR, POTENCIA 2 HP, TENSAO 110/220 V - CHP DIURNO. AF_05/2017</t>
  </si>
  <si>
    <t>PAREDE COM PLACAS DE GESSO ACARTONADO (DRYWALL), PARA USO INTERNO, COM DUAS FACES SIMPLES E ESTRUTURA METÁLICA COM GUIAS SIMPLES, SEM VÃOS. AF_06/2017_P</t>
  </si>
  <si>
    <t>PAREDE COM PLACAS DE GESSO ACARTONADO (DRYWALL), PARA USO INTERNO, COM DUAS FACES SIMPLES E ESTRUTURA METÁLICA COM GUIAS SIMPLES, COM VÃOS AF_06/2017_P</t>
  </si>
  <si>
    <t>PAREDE COM PLACAS DE GESSO ACARTONADO (DRYWALL), PARA USO INTERNO, COM DUAS FACES SIMPLES E ESTRUTURA METÁLICA COM GUIAS DUPLAS, SEM VÃOS. AF_06/2017_P</t>
  </si>
  <si>
    <t>PAREDE COM PLACAS DE GESSO ACARTONADO (DRYWALL), PARA USO INTERNO, COM DUAS FACES SIMPLES E ESTRUTURA METÁLICA COM GUIAS DUPLAS, COM VÃOS. AF_06/2017_P</t>
  </si>
  <si>
    <t>PAREDE COM PLACAS DE GESSO ACARTONADO (DRYWALL), PARA USO INTERNO, COM UMA FACE SIMPLES E OUTRA FACE DUPLA E ESTRUTURA METÁLICA COM GUIAS SIMPLES, SEM VÃOS. AF_06/2017_P</t>
  </si>
  <si>
    <t>PAREDE COM PLACAS DE GESSO ACARTONADO (DRYWALL), PARA USO INTERNO, COM UMA FACE SIMPLES E OUTRA FACE DUPLA E ESTRUTURA METÁLICA COM GUIAS SIMPLES, COM VÃOS. AF_06/2017_P</t>
  </si>
  <si>
    <t>PAREDE COM PLACAS DE GESSO ACARTONADO (DRYWALL), PARA USO INTERNO COM UMA FACE SIMPLES E OUTRA FACE DUPLA E ESTRUTURA METÁLICA COM GUIAS DUPLAS, SEM VÃOS. AF_06/2017_P</t>
  </si>
  <si>
    <t>PAREDE COM PLACAS DE GESSO ACARTONADO (DRYWALL), PARA USO INTERNO, COM UMA FACE SIMPLES E OUTRA FACE DUPLA E   ESTRUTURA METÁLICA COM GUIAS DUPLAS, COM VÃOS. AF_06/2017_P</t>
  </si>
  <si>
    <t>PAREDE COM PLACAS DE GESSO ACARTONADO (DRYWALL), PARA USO INTERNO, COM DUAS FACES DUPLAS E ESTRUTURA METÁLICA COM GUIAS SIMPLES, SEM VÃOS. AF_06/2017_P</t>
  </si>
  <si>
    <t>PAREDE COM PLACAS DE GESSO ACARTONADO (DRYWALL), PARA USO INTERNO, COM DUAS FACES DUPLAS E ESTRUTURA METÁLICA COM GUIAS SIMPLES, COM VÃOS. AF_06/2017_P</t>
  </si>
  <si>
    <t>PAREDE COM PLACAS DE GESSO ACARTONADO (DRYWALL), PARA USO INTERNO COM DUAS FACES DUPLAS E ESTRUTURA METÁLICA COM GUIAS DUPLAS, SEM VÃOS. AF_06/2017</t>
  </si>
  <si>
    <t>PAREDE COM PLACAS DE GESSO ACARTONADO (DRYWALL), PARA USO INTERNO, COM DUAS FACES DUPLAS E ESTRUTURA METÁLICA COM GUIAS DUPLAS, COM VÃOS. AF_06/2017_P</t>
  </si>
  <si>
    <t>PAREDE COM PLACAS DE GESSO ACARTONADO (DRYWALL), PARA USO INTERNO, COM UMA FACE SIMPLES E ESTRUTURA METÁLICA COM GUIAS SIMPLES, SEM VÃOS. AF_06/2017_P</t>
  </si>
  <si>
    <t>PAREDE COM PLACAS DE GESSO ACARTONADO (DRYWALL), PARA USO INTERNO, COM UMA FACE SIMPLES E ESTRUTURA METÁLICA COM GUIAS SIMPLES, COM VÃOS. AF_06/2017_P</t>
  </si>
  <si>
    <t>INSTALAÇÃO DE ISOLAMENTO COM LÃ DE ROCHA EM PAREDES DRYWALL. AF_06/2017</t>
  </si>
  <si>
    <t>INSTALAÇÃO DE REFORÇO METÁLICO EM PAREDE DRYWALL. AF_06/2017</t>
  </si>
  <si>
    <t>INSTALAÇÃO DE REFORÇO DE MADEIRA EM PAREDE DRYWALL. AF_06/2017</t>
  </si>
  <si>
    <t>ROLO COMPACTADOR DE PNEUS, ESTATICO, PRESSAO VARIAVEL, POTENCIA 110 HP, PESO SEM/COM LASTRO 10,8/27 T, LARGURA DE ROLAGEM 2,30 M - MATERIAIS NA OPERACAO. AF_06/2017</t>
  </si>
  <si>
    <t>ROLO COMPACTADOR DE PNEUS, ESTATICO, PRESSAO VARIAVEL, POTENCIA 110 HP, PESO SEM/COM LASTRO 10,8/27 T, LARGURA DE ROLAGEM 2,30 M - MANUTENCAO. AF_06/2017</t>
  </si>
  <si>
    <t>ROLO COMPACTADOR DE PNEUS, ESTATICO, PRESSAO VARIAVEL, POTENCIA 110 HP, PESO SEM/COM LASTRO 10,8/27 T, LARGURA DE ROLAGEM 2,30 M - JUROS. AF_06/2017</t>
  </si>
  <si>
    <t>ROLO COMPACTADOR DE PNEUS, ESTATICO, PRESSAO VARIAVEL, POTENCIA 110 HP, PESO SEM/COM LASTRO 10,8/27 T, LARGURA DE ROLAGEM 2,30 M - DEPRECIAÇÃO. AF_06/2017</t>
  </si>
  <si>
    <t>ROLO COMPACTADOR DE PNEUS, ESTATICO, PRESSAO VARIAVEL, POTENCIA 110 HP, PESO SEM/COM LASTRO 10,8/27 T, LARGURA DE ROLAGEM 2,30 M - CHP DIURNO. AF_06/2017</t>
  </si>
  <si>
    <t>ROLO COMPACTADOR DE PNEUS, ESTATICO, PRESSAO VARIAVEL, POTENCIA 110 HP, PESO SEM/COM LASTRO 10,8/27 T, LARGURA DE ROLAGEM 2,30 M - CHI DIURNO. AF_06/2017</t>
  </si>
  <si>
    <t>RODAPÉ CERÂMICO DE 7CM DE ALTURA COM PLACAS TIPO ESMALTADA COMERCIAL DE DIMENSÕES 35X35CM (PADRAO POPULAR). AF_06/2017</t>
  </si>
  <si>
    <t>FORRO EM RÉGUAS DE PVC, LISO, PARA AMBIENTES RESIDENCIAIS, INCLUSIVE ESTRUTURA DE FIXAÇÃO. AF_05/2017_P</t>
  </si>
  <si>
    <t>FORRO DE PVC, LISO, PARA AMBIENTES COMERCIAIS, INCLUSIVE ESTRUTURA DE FIXAÇÃO. AF_05/2017_P</t>
  </si>
  <si>
    <t>ESCAVAÇÃO MECANIZADA PARA BLOCO DE COROAMENTO OU SAPATA, SEM PREVISÃO DE FÔRMA, COM RETROESCAVADEIRA. AF_06/2017</t>
  </si>
  <si>
    <t>ESCAVAÇÃO MECANIZADA PARA BLOCO DE COROAMENTO OU SAPATA, COM PREVISÃO DE FÔRMA, COM RETROESCAVADEIRA. AF_06/2017</t>
  </si>
  <si>
    <t>ESCAVAÇÃO MANUAL PARA BLOCO DE COROAMENTO OU SAPATA, SEM PREVISÃO DE FÔRMA. AF_06/2017</t>
  </si>
  <si>
    <t>ESCAVAÇÃO MANUAL PARA BLOCO DE COROAMENTO OU SAPATA, COM PREVISÃO DE FÔRMA. AF_06/2017</t>
  </si>
  <si>
    <t>ESCAVAÇÃO MECANIZADA PARA VIGA BALDRAME, SEM PREVISÃO DE FÔRMA, COM MINI-ESCAVADEIRA. AF_06/2017</t>
  </si>
  <si>
    <t>ESCAVAÇÃO MECANIZADA PARA VIGA BALDRAME, COM PREVISÃO DE FÔRMA, COM MINI-ESCAVADEIRA. AF_06/2017</t>
  </si>
  <si>
    <t>ESCAVAÇÃO MANUAL DE VALA PARA VIGA BALDRAME, SEM PREVISÃO DE FÔRMA. AF_06/2017</t>
  </si>
  <si>
    <t>ESCAVAÇÃO MANUAL DE VALA PARA VIGA BALDRAME, COM PREVISÃO DE FÔRMA. AF_06/2017</t>
  </si>
  <si>
    <t>FABRICAÇÃO, MONTAGEM E DESMONTAGEM DE FÔRMA PARA BLOCO DE COROAMENTO, EM MADEIRA SERRADA, E=25 MM, 1 UTILIZAÇÃO. AF_06/2017</t>
  </si>
  <si>
    <t>FABRICAÇÃO, MONTAGEM E DESMONTAGEM DE FÔRMA PARA SAPATA, EM MADEIRA SERRADA, E=25 MM, 1 UTILIZAÇÃO. AF_06/2017</t>
  </si>
  <si>
    <t>FABRICAÇÃO, MONTAGEM E DESMONTAGEM DE FÔRMA PARA VIGA BALDRAME, EM MADEIRA SERRADA, E=25 MM, 1 UTILIZAÇÃO. AF_06/2017</t>
  </si>
  <si>
    <t>FABRICAÇÃO, MONTAGEM E DESMONTAGEM DE FÔRMA PARA BLOCO DE COROAMENTO, EM MADEIRA SERRADA, E=25 MM, 2 UTILIZAÇÕES. AF_06/2017</t>
  </si>
  <si>
    <t>FABRICAÇÃO, MONTAGEM E DESMONTAGEM DE FÔRMA PARA SAPATA, EM MADEIRA SERRADA, E=25 MM, 2 UTILIZAÇÕES. AF_06/2017</t>
  </si>
  <si>
    <t>FABRICAÇÃO, MONTAGEM E DESMONTAGEM DE FÔRMA PARA VIGA BALDRAME, EM MADEIRA SERRADA, E=25 MM, 2 UTILIZAÇÕES. AF_06/2017</t>
  </si>
  <si>
    <t>FABRICAÇÃO, MONTAGEM E DESMONTAGEM DE FÔRMA PARA BLOCO DE COROAMENTO, EM MADEIRA SERRADA, E=25 MM, 4 UTILIZAÇÕES. AF_06/2017</t>
  </si>
  <si>
    <t>FABRICAÇÃO, MONTAGEM E DESMONTAGEM DE FÔRMA PARA SAPATA, EM MADEIRA SERRADA, E=25 MM, 4 UTILIZAÇÕES. AF_06/2017</t>
  </si>
  <si>
    <t>FABRICAÇÃO, MONTAGEM E DESMONTAGEM DE FÔRMA PARA VIGA BALDRAME, EM MADEIRA SERRADA, E=25 MM, 4 UTILIZAÇÕES. AF_06/2017</t>
  </si>
  <si>
    <t>FABRICAÇÃO, MONTAGEM E DESMONTAGEM DE FÔRMA PARA BLOCO DE COROAMENTO, EM CHAPA DE MADEIRA COMPENSADA RESINADA, E=17 MM, 2 UTILIZAÇÕES. AF_06/2017</t>
  </si>
  <si>
    <t>FABRICAÇÃO, MONTAGEM E DESMONTAGEM DE FÔRMA PARA SAPATA, EM CHAPA DE MADEIRA COMPENSADA RESINADA, E=17 MM, 2 UTILIZAÇÕES. AF_06/2017</t>
  </si>
  <si>
    <t>FABRICAÇÃO, MONTAGEM E DESMONTAGEM DE FÔRMA PARA VIGA BALDRAME, EM CHAPA DE MADEIRA COMPENSADA RESINADA, E=17 MM, 2 UTILIZAÇÕES. AF_06/2017</t>
  </si>
  <si>
    <t>FABRICAÇÃO, MONTAGEM E DESMONTAGEM DE FÔRMA PARA BLOCO DE COROAMENTO, EM CHAPA DE MADEIRA COMPENSADA RESINADA, E=17 MM, 4 UTILIZAÇÕES. AF_06/2017</t>
  </si>
  <si>
    <t>FABRICAÇÃO, MONTAGEM E DESMONTAGEM DE FÔRMA PARA SAPATA, EM CHAPA DE MADEIRA COMPENSADA RESINADA, E=17 MM, 4 UTILIZAÇÕES. AF_06/2017</t>
  </si>
  <si>
    <t>FABRICAÇÃO, MONTAGEM E DESMONTAGEM DE FÔRMA PARA VIGA BALDRAME, EM CHAPA DE MADEIRA COMPENSADA RESINADA, E=17 MM, 4 UTILIZAÇÕES. AF_06/2017</t>
  </si>
  <si>
    <t>ARMAÇÃO DE BLOCO, VIGA BALDRAME E SAPATA UTILIZANDO AÇO CA-60 DE 5 MM - MONTAGEM. AF_06/2017</t>
  </si>
  <si>
    <t>ARMAÇÃO DE BLOCO, VIGA BALDRAME OU SAPATA UTILIZANDO AÇO CA-50 DE 6,3 MM - MONTAGEM. AF_06/2017</t>
  </si>
  <si>
    <t>ARMAÇÃO DE BLOCO, VIGA BALDRAME OU SAPATA UTILIZANDO AÇO CA-50 DE 8 MM - MONTAGEM. AF_06/2017</t>
  </si>
  <si>
    <t>ARMAÇÃO DE BLOCO, VIGA BALDRAME OU SAPATA UTILIZANDO AÇO CA-50 DE 10 MM - MONTAGEM. AF_06/2017</t>
  </si>
  <si>
    <t>ARMAÇÃO DE BLOCO, VIGA BALDRAME OU SAPATA UTILIZANDO AÇO CA-50 DE 12,5 MM - MONTAGEM. AF_06/2017</t>
  </si>
  <si>
    <t>ARMAÇÃO DE BLOCO, VIGA BALDRAME OU SAPATA UTILIZANDO AÇO CA-50 DE 16 MM - MONTAGEM. AF_06/2017</t>
  </si>
  <si>
    <t>ARMAÇÃO DE BLOCO, VIGA BALDRAME OU SAPATA UTILIZANDO AÇO CA-50 DE 20 MM - MONTAGEM. AF_06/2017</t>
  </si>
  <si>
    <t>ARMAÇÃO DE BLOCO, VIGA BALDRAME OU SAPATA UTILIZANDO AÇO CA-50 DE 25 MM - MONTAGEM. AF_06/2017</t>
  </si>
  <si>
    <t>CONCRETAGEM DE BLOCOS DE COROAMENTO E VIGAS BALDRAME, FCK 30 MPA, COM USO DE JERICA  LANÇAMENTO, ADENSAMENTO E ACABAMENTO. AF_06/2017</t>
  </si>
  <si>
    <t>CONCRETAGEM DE SAPATAS, FCK 30 MPA, COM USO DE JERICA  LANÇAMENTO, ADENSAMENTO E ACABAMENTO. AF_06/2017</t>
  </si>
  <si>
    <t>CONCRETAGEM DE BLOCOS DE COROAMENTO E VIGAS BALDRAMES, FCK 30 MPA, COM USO DE BOMBA  LANÇAMENTO, ADENSAMENTO E ACABAMENTO. AF_06/2017</t>
  </si>
  <si>
    <t>CONCRETAGEM DE SAPATAS, FCK 30 MPA, COM USO DE BOMBA  LANÇAMENTO, ADENSAMENTO E ACABAMENTO. AF_11/2016</t>
  </si>
  <si>
    <t>LASTRO DE CONCRETO MAGRO, APLICADO EM BLOCOS DE COROAMENTO OU SAPATAS. AF_08/2017</t>
  </si>
  <si>
    <t>LASTRO DE CONCRETO MAGRO, APLICADO EM BLOCOS DE COROAMENTO OU SAPATAS, ESPESSURA DE 3 CM. AF_08/2017</t>
  </si>
  <si>
    <t>LASTRO DE CONCRETO MAGRO, APLICADO EM BLOCOS DE COROAMENTO OU SAPATAS, ESPESSURA DE 5 CM. AF_08/2017</t>
  </si>
  <si>
    <t>LASTRO DE CONCRETO MAGRO, APLICADO EM PISOS OU RADIERS. AF_08/2017</t>
  </si>
  <si>
    <t>LASTRO COM MATERIAL GRANULAR, APLICAÇÃO EM BLOCOS DE COROAMENTO, ESPESSURA DE *5 CM*. AF_08/2017</t>
  </si>
  <si>
    <t>LASTRO COM MATERIAL GRANULAR, APLICAÇÃO EM PISOS OU RADIERS, ESPESSURA DE *5 CM*. AF_08/2017</t>
  </si>
  <si>
    <t>LASTRO COM MATERIAL GRANULAR, APLICADO EM BLOCOS DE COROAMENTO, ESPESSURA DE *10 CM*. AF_08/2017</t>
  </si>
  <si>
    <t>TUBO, PPR, DN 25, CLASSE PN 20,  INSTALADO EM RAMAL OU SUB-RAMAL DE ÁGUA  FORNECIMENTO E INSTALAÇÃO. AF_06/2015</t>
  </si>
  <si>
    <t>TUBO, PPR, DN 25, CLASSE PN 25 INSTALADO EM RAMAL OU SUB-RAMAL DE ÁGUA  FORNECIMENTO E INSTALAÇÃO. AF_06/2015</t>
  </si>
  <si>
    <t>JOELHO 90 GRAUS, PPR, DN 25 MM, CLASSE PN 25, INSTALADO EM RAMAL OU SUB-RAMAL DE ÁGUA  FORNECIMENTO E INSTALAÇÃO . AF_06/2015</t>
  </si>
  <si>
    <t>JOELHO 45 GRAUS, PPR, DN 25 MM, CLASSE PN 25, INSTALADO EM RAMAL OU SUB-RAMAL DE ÁGUA  FORNECIMENTO E INSTALAÇÃO . AF_06/2015</t>
  </si>
  <si>
    <t>LUVA, PPR, DN 25 MM, CLASSE PN 25, INSTALADO EM RAMAL OU SUB-RAMAL DE ÁGUA  FORNECIMENTO E INSTALAÇÃO . AF_06/2015</t>
  </si>
  <si>
    <t>CONECTOR MACHO, PPR, 25 X 1/2'', CLASSE PN 25, INSTALADO EM RAMAL OU SUB-RAMAL DE ÁGUA   FORNECIMENTO E INSTALAÇÃO . AF_06/2015</t>
  </si>
  <si>
    <t>CONECTOR FÊMEA, PPR, 25 X 1/2'', CLASSE PN 25, INSTALADO EM RAMAL OU SUB-RAMAL DE ÁGUA   FORNECIMENTO E INSTALAÇÃO . AF_06/2015</t>
  </si>
  <si>
    <t>TÊ NORMAL, PPR, DN 25 MM, CLASSE PN 25, INSTALADO EM RAMAL OU SUB-RAMAL DE ÁGUA  FORNECIMENTO E INSTALAÇÃO . AF_06/2015</t>
  </si>
  <si>
    <t>TÊ MISTURADOR, PPR, 25 X 3/4'' , CLASSE PN 25, INSTALADO EM RAMAL OU SUB-RAMAL DE ÁGUA  FORNECIMENTO E INSTALAÇÃO . AF_06/2015</t>
  </si>
  <si>
    <t>TUBO, PPR, DN 25, CLASSE PN 20,  INSTALADO EM RAMAL DE DISTRIBUIÇÃO DE ÁGUA  FORNECIMENTO E INSTALAÇÃO. AF_06/2015</t>
  </si>
  <si>
    <t>TUBO, PPR, DN 32, CLASSE PN 12,  INSTALADO EM RAMAL DE DISTRIBUIÇÃO DE ÁGUA  FORNECIMENTO E INSTALAÇÃO. AF_06/2015</t>
  </si>
  <si>
    <t>TUBO, PPR, DN 40, CLASSE PN 12,  INSTALADO EM RAMAL DE DISTRIBUIÇÃO DE ÁGUA  FORNECIMENTO E INSTALAÇÃO. AF_06/2015</t>
  </si>
  <si>
    <t>TUBO, PPR, DN 25, CLASSE PN 25,  INSTALADO EM RAMAL DE DISTRIBUIÇÃO DE ÁGUA  FORNECIMENTO E INSTALAÇÃO. AF_06/2015</t>
  </si>
  <si>
    <t>TUBO, PPR, DN 32, CLASSE PN 25,  INSTALADO EM RAMAL DE DISTRIBUIÇÃO DE ÁGUA  FORNECIMENTO E INSTALAÇÃO. AF_06/2015</t>
  </si>
  <si>
    <t>TUBO, PPR, DN 40, CLASSE PN 25,  INSTALADO EM RAMAL DE DISTRIBUIÇÃO DE ÁGUA  FORNECIMENTO E INSTALAÇÃO. AF_06/2015</t>
  </si>
  <si>
    <t>JOELHO 90 GRAUS, PPR, DN 25 MM, CLASSE PN 25, INSTALADO EM RAMAL DE DISTRIBUIÇÃO  FORNECIMENTO E INSTALAÇÃO . AF_06/2015</t>
  </si>
  <si>
    <t>JOELHO 45 GRAUS, PPR, DN 25 MM, CLASSE PN 25, INSTALADO EM RAMAL DE DISTRIBUIÇÃO DE ÁGUA  FORNECIMENTO E INSTALAÇÃO . AF_06/2015</t>
  </si>
  <si>
    <t>JOELHO 90 GRAUS, PPR, DN 32 MM, CLASSE PN 25, INSTALADO EM RAMAL DE DISTRIBUIÇÃO  FORNECIMENTO E INSTALAÇÃO . AF_06/2015</t>
  </si>
  <si>
    <t>JOELHO 45 GRAUS, PPR, DN 32 MM, CLASSE PN 25, INSTALADO EM RAMAL DE DISTRIBUIÇÃO DE ÁGUA  FORNECIMENTO E INSTALAÇÃO . AF_06/2015</t>
  </si>
  <si>
    <t>JOELHO 90 GRAUS, PPR, DN 40 MM, CLASSE PN 25, INSTALADO EM RAMAL DE DISTRIBUIÇÃO  FORNECIMENTO E INSTALAÇÃO . AF_06/2015</t>
  </si>
  <si>
    <t>JOELHO 45 GRAUS, PPR, DN 40 MM, CLASSE PN 25, INSTALADO EM RAMAL DE DISTRIBUIÇÃO DE ÁGUA  FORNECIMENTO E INSTALAÇÃO . AF_06/2015</t>
  </si>
  <si>
    <t>LUVA, PPR, DN 25 MM, CLASSE PN 25, INSTALADO EM RAMAL DE DISTRIBUIÇÃO DE ÁGUA  FORNECIMENTO E INSTALAÇÃO . AF_06/2015</t>
  </si>
  <si>
    <t>CONECTOR MACHO, PPR, 25 X 1/2, CLASSE PN 25, INSTALADO EM RAMAL DE DISTRIBUIÇÃO DE ÁGUA  FORNECIMENTO E INSTALAÇÃO . AF_06/2015</t>
  </si>
  <si>
    <t>CONECTOR FÊMEA, PPR, 25 X 1/2'', CLASSE PN 25, INSTALADO EM RAMAL DE DISTRIBUIÇÃO DE ÁGUA   FORNECIMENTO E INSTALAÇÃO . AF_06/2015</t>
  </si>
  <si>
    <t>LUVA, PPR, DN 32 MM, CLASSE PN 25, INSTALADO EM RAMAL DE DISTRIBUIÇÃO DE ÁGUA  FORNECIMENTO E INSTALAÇÃO. AF_06/2015</t>
  </si>
  <si>
    <t>CONECTOR MACHO, PPR, 32 X 3/4'', CLASSE PN 25, INSTALADO EM RAMAL DE DISTRIBUIÇÃO DE ÁGUA   FORNECIMENTO E INSTALAÇÃO. AF_06/2015</t>
  </si>
  <si>
    <t>CONECTOR FÊMEA, PPR, 32 X 3/4'', CLASSE PN 25, INSTALADO EM RAMAL DE DISTRIBUIÇÃO DE ÁGUA   FORNECIMENTO E INSTALAÇÃO . AF_06/2015</t>
  </si>
  <si>
    <t>BUCHA DE REDUÇÃO, PPR, 32 X 25, CLASSE PN 25, INSTALADO EM RAMAL DE DISTRIBUIÇÃO DE ÁGUA  FORNECIMENTO E INSTALAÇÃO . AF_06/2015</t>
  </si>
  <si>
    <t>LUVA, PPR, DN 40 MM, CLASSE PN 25, INSTALADO EM RAMAL DE DISTRIBUIÇÃO DE ÁGUA  FORNECIMENTO E INSTALAÇÃO. AF_06/2015</t>
  </si>
  <si>
    <t>BUCHA DE REDUÇÃO, PPR, 40 X 25, CLASSE PN 25, INSTALADO EM RAMAL DE DISTRIBUIÇÃO DE ÁGUA  FORNECIMENTO E INSTALAÇÃO . AF_06/2015</t>
  </si>
  <si>
    <t>TÊ NORMAL, PPR, DN 25 MM, CLASSE PN 25, INSTALADO EM RAMAL DE DISTRIBUIÇÃO DE ÁGUA  FORNECIMENTO E INSTALAÇÃO . AF_06/2015</t>
  </si>
  <si>
    <t>TÊ NORMAL, PPR, DN 32 MM, CLASSE PN 25, INSTALADO EM RAMAL DE DISTRIBUIÇÃO DE ÁGUA  FORNECIMENTO E INSTALAÇÃO . AF_06/2015</t>
  </si>
  <si>
    <t>TÊ NORMAL, PPR, DN 40 MM, CLASSE PN 25, INSTALADO EM RAMAL DE DISTRIBUIÇÃO DE ÁGUA  FORNECIMENTO E INSTALAÇÃO . AF_06/2015</t>
  </si>
  <si>
    <t>TUBO, PPR, DN 25, CLASSE PN 20,  INSTALADO EM PRUMADA DE ÁGUA  FORNECIMENTO E INSTALAÇÃO. AF_06/2015</t>
  </si>
  <si>
    <t>TUBO, PPR, DN 32, CLASSE PN 12,  INSTALADO EM PRUMADA DE ÁGUA  FORNECIMENTO E INSTALAÇÃO. AF_06/2015</t>
  </si>
  <si>
    <t>TUBO, PPR, DN 40, CLASSE PN 12,  INSTALADO EM PRUMADA DE ÁGUA  FORNECIMENTO E INSTALAÇÃO. AF_06/2015</t>
  </si>
  <si>
    <t>TUBO, PPR, DN 50, CLASSE PN 12,  INSTALADO EM PRUMADA DE ÁGUA  FORNECIMENTO E INSTALAÇÃO. AF_06/2015</t>
  </si>
  <si>
    <t>TUBO, PPR, DN 63, CLASSE PN 12,  INSTALADO EM PRUMADA DE ÁGUA  FORNECIMENTO E INSTALAÇÃO. AF_06/2015</t>
  </si>
  <si>
    <t>TUBO, PPR, DN 75, CLASSE PN 12,  INSTALADO EM PRUMADA DE ÁGUA  FORNECIMENTO E INSTALAÇÃO. AF_06/2015</t>
  </si>
  <si>
    <t>TUBO, PPR, DN 90, CLASSE PN 12,  INSTALADO EM PRUMADA DE ÁGUA  FORNECIMENTO E INSTALAÇÃO. AF_06/2015</t>
  </si>
  <si>
    <t>TUBO, PPR, DN 110, CLASSE PN 12,  INSTALADO EM PRUMADA DE ÁGUA  FORNECIMENTO E INSTALAÇÃO. AF_06/2015</t>
  </si>
  <si>
    <t>TUBO, PPR, DN 25, CLASSE PN 25,  INSTALADO EM PRUMADA DE ÁGUA  FORNECIMENTO E INSTALAÇÃO. AF_06/2015</t>
  </si>
  <si>
    <t>TUBO, PPR, DN 32, CLASSE PN 25,  INSTALADO EM PRUMADA DE ÁGUA  FORNECIMENTO E INSTALAÇÃO. AF_06/2015</t>
  </si>
  <si>
    <t>TUBO, PPR, DN 40, CLASSE PN 25,  INSTALADO EM PRUMADA DE ÁGUA  FORNECIMENTO E INSTALAÇÃO. AF_06/2015</t>
  </si>
  <si>
    <t>TUBO, PPR, DN 50, CLASSE PN 25,  INSTALADO EM PRUMADA DE ÁGUA  FORNECIMENTO E INSTALAÇÃO. AF_06/2015</t>
  </si>
  <si>
    <t>TUBO, PPR, DN 63, CLASSE PN 25,  INSTALADO EM PRUMADA DE ÁGUA  FORNECIMENTO E INSTALAÇÃO. AF_06/2015</t>
  </si>
  <si>
    <t>TUBO, PPR, DN 75, CLASSE PN 25,  INSTALADO EM PRUMADA DE ÁGUA  FORNECIMENTO E INSTALAÇÃO. AF_06/2015</t>
  </si>
  <si>
    <t>TUBO, PPR, DN 90, CLASSE PN 25,  INSTALADO EM PRUMADA DE ÁGUA  FORNECIMENTO E INSTALAÇÃO. AF_06/2015</t>
  </si>
  <si>
    <t>TUBO, PPR, DN 110, CLASSE PN 25,  INSTALADO EM PRUMADA DE ÁGUA  FORNECIMENTO E INSTALAÇÃO. AF_06/2015</t>
  </si>
  <si>
    <t>JOELHO 90 GRAUS, PPR, DN 25 MM, CLASSE PN 25, INSTALADO EM PRUMADA DE ÁGUA  FORNECIMENTO E INSTALAÇÃO . AF_06/2015</t>
  </si>
  <si>
    <t>JOELHO 45 GRAUS, PPR, DN 25 MM, CLASSE PN 25, INSTALADO EM PRUMADA DE ÁGUA  FORNECIMENTO E INSTALAÇÃO . AF_06/2015</t>
  </si>
  <si>
    <t>JOELHO 90 GRAUS, PPR, DN 32 MM, CLASSE PN 25, INSTALADO EM PRUMADA DE ÁGUA  FORNECIMENTO E INSTALAÇÃO . AF_06/2015</t>
  </si>
  <si>
    <t>JOELHO 45 GRAUS, PPR, DN 32 MM, CLASSE PN 25, INSTALADO EM PRUMADA DE ÁGUA  FORNECIMENTO E INSTALAÇÃO . AF_06/2015</t>
  </si>
  <si>
    <t>JOELHO 90 GRAUS, PPR, DN 40 MM, CLASSE PN 25, INSTALADO EM PRUMADA DE ÁGUA  FORNECIMENTO E INSTALAÇÃO . AF_06/2015</t>
  </si>
  <si>
    <t>JOELHO 45 GRAUS, PPR, DN 40 MM, CLASSE PN 25, INSTALADO EM PRUMADA DE ÁGUA  FORNECIMENTO E INSTALAÇÃO . AF_06/2015</t>
  </si>
  <si>
    <t>JOELHO 90 GRAUS, PPR, DN 50 MM, CLASSE PN 25, INSTALADO EM PRUMADA DE ÁGUA  FORNECIMENTO E INSTALAÇÃO . AF_06/2015</t>
  </si>
  <si>
    <t>JOELHO 45 GRAUS, PPR, DN 50 MM, CLASSE PN 25, INSTALADO EM PRUMADA DE ÁGUA  FORNECIMENTO E INSTALAÇÃO . AF_06/2015</t>
  </si>
  <si>
    <t>JOELHO 90 GRAUS, PPR, DN 63 MM, CLASSE PN 25, INSTALADO EM PRUMADA DE ÁGUA  FORNECIMENTO E INSTALAÇÃO . AF_06/2015</t>
  </si>
  <si>
    <t>JOELHO 45 GRAUS, PPR, DN 63 MM, CLASSE PN 25, INSTALADO EM PRUMADA DE ÁGUA  FORNECIMENTO E INSTALAÇÃO . AF_06/2015</t>
  </si>
  <si>
    <t>JOELHO 90 GRAUS, PPR, DN 75 MM, CLASSE PN 25, INSTALADO EM PRUMADA DE ÁGUA  FORNECIMENTO E INSTALAÇÃO . AF_06/2015</t>
  </si>
  <si>
    <t>JOELHO 45 GRAUS, PPR, DN 75 MM, CLASSE PN 25, INSTALADO EM PRUMADA DE ÁGUA  FORNECIMENTO E INSTALAÇÃO . AF_06/2015</t>
  </si>
  <si>
    <t>JOELHO 90 GRAUS, PPR, DN 90 MM, CLASSE PN 25, INSTALADO EM PRUMADA DE ÁGUA  FORNECIMENTO E INSTALAÇÃO . AF_06/2015</t>
  </si>
  <si>
    <t>JOELHO 90 GRAUS, PPR, DN 110 MM, CLASSE PN 25, INSTALADO EM PRUMADA DE ÁGUA  FORNECIMENTO E INSTALAÇÃO . AF_06/2015</t>
  </si>
  <si>
    <t>LUVA, PPR, DN 25 MM, CLASSE PN 25, INSTALADO EM PRUMADA DE ÁGUA  FORNECIMENTO E INSTALAÇÃO . AF_06/2015</t>
  </si>
  <si>
    <t>CONECTOR MACHO, PPR, 25 X 1/2'', CLASSE PN 25, INSTALADO EM PRUMADA DE ÁGUA   FORNECIMENTO E INSTALAÇÃO . AF_06/2015</t>
  </si>
  <si>
    <t>CONECTOR FÊMEA, PPR, 25 X 1/2'', CLASSE PN 25, INSTALADO EM PRUMADA DE ÁGUA   FORNECIMENTO E INSTALAÇÃO . AF_06/2015</t>
  </si>
  <si>
    <t>LUVA, PPR, DN 32 MM, CLASSE PN 25, INSTALADO EM PRUMADA DE ÁGUA  FORNECIMENTO E INSTALAÇÃO. AF_06/2015</t>
  </si>
  <si>
    <t>BUCHA DE REDUÇÃO, PPR, 32 X 25, CLASSE PN 25, INSTALADO EM PRUMADA DE ÁGUA  FORNECIMENTO E INSTALAÇÃO . AF_06/2015</t>
  </si>
  <si>
    <t>LUVA, PPR, DN 40 MM, CLASSE PN 25, INSTALADO EM PRUMADA DE ÁGUA  FORNECIMENTO E INSTALAÇÃO. AF_06/2015</t>
  </si>
  <si>
    <t>BUCHA DE REDUÇÃO, PPR, 40 X 25, CLASSE PN 25, INSTALADO EM PRUMADA DE ÁGUA  FORNECIMENTO E INSTALAÇÃO . AF_06/2015</t>
  </si>
  <si>
    <t>LUVA, PPR, DN 50 MM, CLASSE PN 25, INSTALADO EM PRUMADA DE ÁGUA  FORNECIMENTO E INSTALAÇÃO. AF_06/2015</t>
  </si>
  <si>
    <t>LUVA, PPR, DN 63 MM, CLASSE PN 25, INSTALADO EM PRUMADA DE ÁGUA  FORNECIMENTO E INSTALAÇÃO. AF_06/2015</t>
  </si>
  <si>
    <t>LUVA, PPR, DN 75 MM, CLASSE PN 25, INSTALADO EM PRUMADA DE ÁGUA  FORNECIMENTO E INSTALAÇÃO. AF_06/2015</t>
  </si>
  <si>
    <t>LUVA, PPR, DN 90 MM, CLASSE PN 25, INSTALADO EM PRUMADA DE ÁGUA  FORNECIMENTO E INSTALAÇÃO. AF_06/2015</t>
  </si>
  <si>
    <t>LUVA, PPR, DN 110 MM, CLASSE PN 25, INSTALADO EM PRUMADA DE ÁGUA  FORNECIMENTO E INSTALAÇÃO. AF_06/2015</t>
  </si>
  <si>
    <t>TÊ NORMAL, PPR, DN 25 MM, CLASSE PN 25, INSTALADO EM PRUMADA DE ÁGUA  FORNECIMENTO E INSTALAÇÃO . AF_06/2015</t>
  </si>
  <si>
    <t>TÊ NORMAL, PPR, DN 32 MM, CLASSE PN 25, INSTALADO EM PRUMADA DE ÁGUA  FORNECIMENTO E INSTALAÇÃO . AF_06/2015</t>
  </si>
  <si>
    <t>TÊ NORMAL, PPR, DN 40 MM, CLASSE PN 25, INSTALADO EM PRUMADA DE ÁGUA  FORNECIMENTO E INSTALAÇÃO . AF_06/2015</t>
  </si>
  <si>
    <t>TÊ NORMAL, PPR, DN 50 MM, CLASSE PN 25, INSTALADO EM PRUMADA DE ÁGUA  FORNECIMENTO E INSTALAÇÃO . AF_06/2015</t>
  </si>
  <si>
    <t>TÊ NORMAL, PPR, DN 63 MM, CLASSE PN 25, INSTALADO EM PRUMADA DE ÁGUA  FORNECIMENTO E INSTALAÇÃO . AF_06/2015</t>
  </si>
  <si>
    <t>TÊ NORMAL, PPR, DN 75 MM, CLASSE PN 25, INSTALADO EM PRUMADA DE ÁGUA  FORNECIMENTO E INSTALAÇÃO . AF_06/2015</t>
  </si>
  <si>
    <t>TÊ NORMAL, PPR, DN 90 MM, CLASSE PN 25, INSTALADO EM PRUMADA DE ÁGUA  FORNECIMENTO E INSTALAÇÃO . AF_06/2015</t>
  </si>
  <si>
    <t>TÊ NORMAL, PPR, DN 110 MM, CLASSE PN 25, INSTALADO EM PRUMADA DE ÁGUA  FORNECIMENTO E INSTALAÇÃO . AF_06/2015</t>
  </si>
  <si>
    <t>TUBO, PPR, DN 20, CLASSE PN 20,  INSTALADO EM RESERVAÇÃO DE ÁGUA DE EDIFICAÇÃO QUE POSSUA RESERVATÓRIO DE FIBRA/FIBROCIMENTO  FORNECIMENTO E INSTALAÇÃO. AF_06/2016</t>
  </si>
  <si>
    <t>TUBO, PPR, DN 25, CLASSE PN 20,  INSTALADO EM RESERVAÇÃO DE ÁGUA DE EDIFICAÇÃO QUE POSSUA RESERVATÓRIO DE FIBRA/FIBROCIMENTO  FORNECIMENTO E INSTALAÇÃO. AF_06/2016</t>
  </si>
  <si>
    <t>TUBO, PPR, DN 32, CLASSE PN 12,  INSTALADO EM RESERVAÇÃO DE ÁGUA DE EDIFICAÇÃO QUE POSSUA RESERVATÓRIO DE FIBRA/FIBROCIMENTO  FORNECIMENTO E INSTALAÇÃO. AF_06/2016</t>
  </si>
  <si>
    <t>TUBO, PPR, DN 40, CLASSE PN 12,  INSTALADO EM RESERVAÇÃO DE ÁGUA DE EDIFICAÇÃO QUE POSSUA RESERVATÓRIO DE FIBRA/FIBROCIMENTO  FORNECIMENTO E INSTALAÇÃO. AF_06/2016</t>
  </si>
  <si>
    <t>TUBO, PPR, DN 50, CLASSE PN 12,  INSTALADO EM RESERVAÇÃO DE ÁGUA DE EDIFICAÇÃO QUE POSSUA RESERVATÓRIO DE FIBRA/FIBROCIMENTO  FORNECIMENTO E INSTALAÇÃO. AF_06/2016</t>
  </si>
  <si>
    <t>TUBO, PPR, DN 63, CLASSE PN 12,  INSTALADO EM RESERVAÇÃO DE ÁGUA DE EDIFICAÇÃO QUE POSSUA RESERVATÓRIO DE FIBRA/FIBROCIMENTO  FORNECIMENTO E INSTALAÇÃO. AF_06/2016</t>
  </si>
  <si>
    <t>TUBO, PPR, DN 75, CLASSE PN 12,  INSTALADO EM RESERVAÇÃO DE ÁGUA DE EDIFICAÇÃO QUE POSSUA RESERVATÓRIO DE FIBRA/FIBROCIMENTO  FORNECIMENTO E INSTALAÇÃO. AF_06/2016</t>
  </si>
  <si>
    <t>TUBO, PPR, DN 90, CLASSE PN 12,  INSTALADO EM RESERVAÇÃO DE ÁGUA DE EDIFICAÇÃO QUE POSSUA RESERVATÓRIO DE FIBRA/FIBROCIMENTO  FORNECIMENTO E INSTALAÇÃO. AF_06/2016</t>
  </si>
  <si>
    <t>TUBO, PPR, DN 110, CLASSE PN 12,  INSTALADO EM RESERVAÇÃO DE ÁGUA DE EDIFICAÇÃO QUE POSSUA RESERVATÓRIO DE FIBRA/FIBROCIMENTO  FORNECIMENTO E INSTALAÇÃO. AF_06/2016</t>
  </si>
  <si>
    <t>TUBO, PPR, DN 20, CLASSE PN 25,  INSTALADO EM RESERVAÇÃO DE ÁGUA DE EDIFICAÇÃO QUE POSSUA RESERVATÓRIO DE FIBRA/FIBROCIMENTO  FORNECIMENTO E INSTALAÇÃO. AF_06/2016</t>
  </si>
  <si>
    <t>TUBO, PPR, DN 25, CLASSE PN 25,  INSTALADO EM RESERVAÇÃO DE ÁGUA DE EDIFICAÇÃO QUE POSSUA RESERVATÓRIO DE FIBRA/FIBROCIMENTO  FORNECIMENTO E INSTALAÇÃO. AF_06/2016</t>
  </si>
  <si>
    <t>TUBO, PPR, DN 32, CLASSE PN 25,  INSTALADO EM RESERVAÇÃO DE ÁGUA DE EDIFICAÇÃO QUE POSSUA RESERVATÓRIO DE FIBRA/FIBROCIMENTO  FORNECIMENTO E INSTALAÇÃO. AF_06/2016</t>
  </si>
  <si>
    <t>TUBO, PPR, DN 40, CLASSE PN 25,  INSTALADO EM RESERVAÇÃO DE ÁGUA DE EDIFICAÇÃO QUE POSSUA RESERVATÓRIO DE FIBRA/FIBROCIMENTO  FORNECIMENTO E INSTALAÇÃO. AF_06/2016</t>
  </si>
  <si>
    <t>TUBO, PPR, DN 50, CLASSE PN 25,  INSTALADO EM RESERVAÇÃO DE ÁGUA DE EDIFICAÇÃO QUE POSSUA RESERVATÓRIO DE FIBRA/FIBROCIMENTO  FORNECIMENTO E INSTALAÇÃO. AF_06/2016</t>
  </si>
  <si>
    <t>TUBO, PPR, DN 63, CLASSE PN 25,  INSTALADO EM RESERVAÇÃO DE ÁGUA DE EDIFICAÇÃO QUE POSSUA RESERVATÓRIO DE FIBRA/FIBROCIMENTO  FORNECIMENTO E INSTALAÇÃO. AF_06/2016</t>
  </si>
  <si>
    <t>TUBO, PPR, DN 75, CLASSE PN 25,  INSTALADO EM RESERVAÇÃO DE ÁGUA DE EDIFICAÇÃO QUE POSSUA RESERVATÓRIO DE FIBRA/FIBROCIMENTO  FORNECIMENTO E INSTALAÇÃO. AF_06/2016</t>
  </si>
  <si>
    <t>TUBO, PPR, DN 90, CLASSE PN 25,  INSTALADO EM RESERVAÇÃO DE ÁGUA DE EDIFICAÇÃO QUE POSSUA RESERVATÓRIO DE FIBRA/FIBROCIMENTO  FORNECIMENTO E INSTALAÇÃO. AF_06/2016</t>
  </si>
  <si>
    <t>TUBO, PPR, DN 110, CLASSE PN 25,  INSTALADO EM RESERVAÇÃO DE ÁGUA DE EDIFICAÇÃO QUE POSSUA RESERVATÓRIO DE FIBRA/FIBROCIMENTO  FORNECIMENTO E INSTALAÇÃO. AF_06/2016</t>
  </si>
  <si>
    <t>LUVA, PPR, DN 20 MM, CLASSE PN 25, INSTALADO EM RESERVAÇÃO DE ÁGUA DE EDIFICAÇÃO QUE POSSUA RESERVATÓRIO DE FIBRA/FIBROCIMENTO  FORNECIMENTO E INSTALAÇÃO. AF_06/2016</t>
  </si>
  <si>
    <t>LUVA, PPR, DN 25 MM, CLASSE PN 25, INSTALADO EM RESERVAÇÃO DE ÁGUA DE EDIFICAÇÃO QUE POSSUA RESERVATÓRIO DE FIBRA/FIBROCIMENTO  FORNECIMENTO E INSTALAÇÃO. AF_06/2016</t>
  </si>
  <si>
    <t>CONECTOR MACHO, PPR, 25 X 1/2'', CLASSE PN 25,  INSTALADO EM RESERVAÇÃO DE ÁGUA DE EDIFICAÇÃO QUE POSSUA RESERVATÓRIO DE FIBRA/FIBROCIMENTO   FORNECIMENTO E INSTALAÇÃO. AF_06/2016</t>
  </si>
  <si>
    <t>LUVA, PPR, DN 32 MM, CLASSE PN 25, INSTALADO EM RESERVAÇÃO DE ÁGUA DE EDIFICAÇÃO QUE POSSUA RESERVATÓRIO DE FIBRA/FIBROCIMENTO  FORNECIMENTO E INSTALAÇÃO. AF_06/2016</t>
  </si>
  <si>
    <t>CONECTOR MACHO, PPR, 32 X 3/4'', CLASSE PN 25,  INSTALADO EM RESERVAÇÃO DE ÁGUA DE EDIFICAÇÃO QUE POSSUA RESERVATÓRIO DE FIBRA/FIBROCIMENTO   FORNECIMENTO E INSTALAÇÃO. AF_06/2016</t>
  </si>
  <si>
    <t>LUVA, PPR, DN 40 MM, CLASSE PN 25, INSTALADO EM RESERVAÇÃO DE ÁGUA DE EDIFICAÇÃO QUE POSSUA RESERVATÓRIO DE FIBRA/FIBROCIMENTO  FORNECIMENTO E INSTALAÇÃO. AF_06/2016</t>
  </si>
  <si>
    <t>LUVA, PPR, DN 50 MM, CLASSE PN 25, INSTALADO EM RESERVAÇÃO DE ÁGUA DE EDIFICAÇÃO QUE POSSUA RESERVATÓRIO DE FIBRA/FIBROCIMENTO  FORNECIMENTO E INSTALAÇÃO. AF_06/2016</t>
  </si>
  <si>
    <t>LUVA, PPR, DN 63 MM, CLASSE PN 25, INSTALADO EM RESERVAÇÃO DE ÁGUA DE EDIFICAÇÃO QUE POSSUA RESERVATÓRIO DE FIBRA/FIBROCIMENTO  FORNECIMENTO E INSTALAÇÃO. AF_06/2016</t>
  </si>
  <si>
    <t>LUVA, PPR, DN 75 MM, CLASSE PN 25, INSTALADO EM RESERVAÇÃO DE ÁGUA DE EDIFICAÇÃO QUE POSSUA RESERVATÓRIO DE FIBRA/FIBROCIMENTO  FORNECIMENTO E INSTALAÇÃO. AF_06/2016</t>
  </si>
  <si>
    <t>LUVA, PPR, DN 90 MM, CLASSE PN 25, INSTALADO EM RESERVAÇÃO DE ÁGUA DE EDIFICAÇÃO QUE POSSUA RESERVATÓRIO DE FIBRA/FIBROCIMENTO  FORNECIMENTO E INSTALAÇÃO. AF_06/2016</t>
  </si>
  <si>
    <t>LUVA, PPR, DN 110 MM, CLASSE PN 25, INSTALADO EM RESERVAÇÃO DE ÁGUA DE EDIFICAÇÃO QUE POSSUA RESERVATÓRIO DE FIBRA/FIBROCIMENTO  FORNECIMENTO E INSTALAÇÃO. AF_06/2016</t>
  </si>
  <si>
    <t>JOELHO 90 GRAUS, PPR, DN 20 MM, CLASSE PN 25,  INSTALADO EM RESERVAÇÃO DE ÁGUA DE EDIFICAÇÃO QUE POSSUA RESERVATÓRIO DE FIBRA/FIBROCIMENTO  FORNECIMENTO E INSTALAÇÃO. AF_06/2016</t>
  </si>
  <si>
    <t>JOELHO 90 GRAUS, PPR, DN 25 MM, CLASSE PN 25,  INSTALADO EM RESERVAÇÃO DE ÁGUA DE EDIFICAÇÃO QUE POSSUA RESERVATÓRIO DE FIBRA/FIBROCIMENTO  FORNECIMENTO E INSTALAÇÃO. AF_06/2016</t>
  </si>
  <si>
    <t>JOELHO 90 GRAUS, PPR, DN 32 MM, CLASSE PN 25,  INSTALADO EM RESERVAÇÃO DE ÁGUA DE EDIFICAÇÃO QUE POSSUA RESERVATÓRIO DE FIBRA/FIBROCIMENTO  FORNECIMENTO E INSTALAÇÃO. AF_06/2016</t>
  </si>
  <si>
    <t>JOELHO 90 GRAUS, PPR, DN 40 MM, CLASSE PN 25,  INSTALADO EM RESERVAÇÃO DE ÁGUA DE EDIFICAÇÃO QUE POSSUA RESERVATÓRIO DE FIBRA/FIBROCIMENTO  FORNECIMENTO E INSTALAÇÃO. AF_06/2016</t>
  </si>
  <si>
    <t>JOELHO 90 GRAUS, PPR, DN 50 MM, CLASSE PN 25,  INSTALADO EM RESERVAÇÃO DE ÁGUA DE EDIFICAÇÃO QUE POSSUA RESERVATÓRIO DE FIBRA/FIBROCIMENTO  FORNECIMENTO E INSTALAÇÃO. AF_06/2016</t>
  </si>
  <si>
    <t>JOELHO 90 GRAUS, PPR, DN 63 MM, CLASSE PN 25,  INSTALADO EM RESERVAÇÃO DE ÁGUA DE EDIFICAÇÃO QUE POSSUA RESERVATÓRIO DE FIBRA/FIBROCIMENTO  FORNECIMENTO E INSTALAÇÃO. AF_06/2016</t>
  </si>
  <si>
    <t>JOELHO 90 GRAUS, PPR, DN 75 MM, CLASSE PN 25,  INSTALADO EM RESERVAÇÃO DE ÁGUA DE EDIFICAÇÃO QUE POSSUA RESERVATÓRIO DE FIBRA/FIBROCIMENTO  FORNECIMENTO E INSTALAÇÃO. AF_06/2016</t>
  </si>
  <si>
    <t>JOELHO 90 GRAUS, PPR, DN 90 MM, CLASSE PN 25,  INSTALADO EM RESERVAÇÃO DE ÁGUA DE EDIFICAÇÃO QUE POSSUA RESERVATÓRIO DE FIBRA/FIBROCIMENTO  FORNECIMENTO E INSTALAÇÃO. AF_06/2016</t>
  </si>
  <si>
    <t>JOELHO 90 GRAUS, PPR, DN 110 MM, CLASSE PN 25,  INSTALADO EM RESERVAÇÃO DE ÁGUA DE EDIFICAÇÃO QUE POSSUA RESERVATÓRIO DE FIBRA/FIBROCIMENTO  FORNECIMENTO E INSTALAÇÃO. AF_06/2016</t>
  </si>
  <si>
    <t>TÊ MISTURADOR, PPR, DN 20 MM, CLASSE PN 25,  INSTALADO EM RESERVAÇÃO DE ÁGUA DE EDIFICAÇÃO QUE POSSUA RESERVATÓRIO DE FIBRA/FIBROCIMENTO  FORNECIMENTO E INSTALAÇÃO. AF_06/2016</t>
  </si>
  <si>
    <t>TÊ MISTURADOR, PPR, DN 25 MM, CLASSE PN 25,  INSTALADO EM RESERVAÇÃO DE ÁGUA DE EDIFICAÇÃO QUE POSSUA RESERVATÓRIO DE FIBRA/FIBROCIMENTO  FORNECIMENTO E INSTALAÇÃO. AF_06/2016</t>
  </si>
  <si>
    <t>TÊ, PPR, DN 32 MM, CLASSE PN 25,  INSTALADO EM RESERVAÇÃO DE ÁGUA DE EDIFICAÇÃO QUE POSSUA RESERVATÓRIO DE FIBRA/FIBROCIMENTO  FORNECIMENTO E INSTALAÇÃO. AF_06/2016</t>
  </si>
  <si>
    <t>TÊ, PPR, DN 40 MM, CLASSE PN 25,  INSTALADO EM RESERVAÇÃO DE ÁGUA DE EDIFICAÇÃO QUE POSSUA RESERVATÓRIO DE FIBRA/FIBROCIMENTO  FORNECIMENTO E INSTALAÇÃO. AF_06/2016</t>
  </si>
  <si>
    <t>TÊ, PPR, DN 50 MM, CLASSE PN 25,  INSTALADO EM RESERVAÇÃO DE ÁGUA DE EDIFICAÇÃO QUE POSSUA RESERVATÓRIO DE FIBRA/FIBROCIMENTO  FORNECIMENTO E INSTALAÇÃO. AF_06/2016</t>
  </si>
  <si>
    <t>TÊ, PPR, DN 63 MM, CLASSE PN 25,  INSTALADO EM RESERVAÇÃO DE ÁGUA DE EDIFICAÇÃO QUE POSSUA RESERVATÓRIO DE FIBRA/FIBROCIMENTO  FORNECIMENTO E INSTALAÇÃO. AF_06/2016</t>
  </si>
  <si>
    <t>TÊ, PPR, DN 75 MM, CLASSE PN 25,  INSTALADO EM RESERVAÇÃO DE ÁGUA DE EDIFICAÇÃO QUE POSSUA RESERVATÓRIO DE FIBRA/FIBROCIMENTO  FORNECIMENTO E INSTALAÇÃO. AF_06/2016</t>
  </si>
  <si>
    <t>TÊ, PPR, DN 90 MM, CLASSE PN 25,  INSTALADO EM RESERVAÇÃO DE ÁGUA DE EDIFICAÇÃO QUE POSSUA RESERVATÓRIO DE FIBRA/FIBROCIMENTO  FORNECIMENTO E INSTALAÇÃO. AF_06/2016</t>
  </si>
  <si>
    <t>TÊ, PPR, DN 110 MM, CLASSE PN 25,  INSTALADO EM RESERVAÇÃO DE ÁGUA DE EDIFICAÇÃO QUE POSSUA RESERVATÓRIO DE FIBRA/FIBROCIMENTO  FORNECIMENTO E INSTALAÇÃO. AF_06/2016</t>
  </si>
  <si>
    <t>TUBO, PEX, MONOCAMADA, DN 16, INSTALADO EM RAMAL OU SUB-RAMAL DE ÁGUA  FORNECIMENTO E INSTALAÇÃO. AF_06/2015</t>
  </si>
  <si>
    <t>TUBO, PEX, MONOCAMADA, DN 20, INSTALADO EM RAMAL OU SUB-RAMAL DE ÁGUA  FORNECIMENTO E INSTALAÇÃO. AF_06/2015</t>
  </si>
  <si>
    <t>TUBO, PEX, MONOCAMADA, DN 25, INSTALADO EM RAMAL OU SUB-RAMAL DE ÁGUA  FORNECIMENTO E INSTALAÇÃO. AF_06/2015</t>
  </si>
  <si>
    <t>TUBO, PEX, MONOCAMADA, DN 32, INSTALADO EM RAMAL OU SUB-RAMAL DE ÁGUA  FORNECIMENTO E INSTALAÇÃO. AF_06/2015</t>
  </si>
  <si>
    <t>TUBO, PEX, MONOCAMADA, DN 16, INSTALADO EM RAMAL DE DISTRIBUIÇÃO DE ÁGUA  FORNECIMENTO E INSTALAÇÃO. AF_06/2015</t>
  </si>
  <si>
    <t>TUBO, PEX, MONOCAMADA, DN 20, INSTALADO EM RAMAL DE DISTRIBUIÇÃO DE ÁGUA  FORNECIMENTO E INSTALAÇÃO. AF_06/2015</t>
  </si>
  <si>
    <t>TUBO, PEX, MONOCAMADA, DN 25, INSTALADO EM RAMAL DE DISTRIBUIÇÃO DE ÁGUA  FORNECIMENTO E INSTALAÇÃO. AF_06/2015</t>
  </si>
  <si>
    <t>TUBO, PEX, MONOCAMADA, DN 32, INSTALADO EM RAMAL DE DISTRIBUIÇÃO DE ÁGUA  FORNECIMENTO E INSTALAÇÃO. AF_06/2015</t>
  </si>
  <si>
    <t>KIT CHASSI PEX, PRÉ-FABRICADO, PARA CHUVEIRO COM REGISTROS DE PRESSÃO E CONEXÕES POR CRIMPAGEM  FORNECIMENTO E INSTALAÇÃO. AF_06/2015</t>
  </si>
  <si>
    <t>KIT CHASSI PEX, PRÉ-FABRICADO, PARA COZINHA COM CUBA SIMPLES E CONEXÕES POR CRIMPAGEM  FORNECIMENTO E INSTALAÇÃO. AF_06/2015</t>
  </si>
  <si>
    <t>KIT CHASSI PEX, PRÉ-FABRICADO, PARA ÁREA DE SERVIÇO COM TANQUE E MÁQUINA DE LAVAR ROUPA, E CONEXÕES POR CRIMPAGEM  FORNECIMENTO E INSTALAÇÃO. AF_06/2015</t>
  </si>
  <si>
    <t>KIT CHASSI PEX, PRÉ-FABRICADO, PARA CHUVEIRO COM REGISTROS DE PRESSÃO E CONEXÕES POR ANEL DESLIZANTE  FORNECIMENTO E INSTALAÇÃO. AF_06/2015</t>
  </si>
  <si>
    <t>KIT CHASSI PEX, PRÉ-FABRICADO, PARA COZINHA COM CUBA SIMPLES E CONEXÕES POR ANEL DESLIZANTE  FORNECIMENTO E INSTALAÇÃO. AF_06/2015</t>
  </si>
  <si>
    <t>KIT CHASSI PEX, PRÉ-FABRICADO, PARA ÁREA DE SERVIÇO COM TANQUE E MÁQUINA DE LAVAR ROUPA, E CONEXÕES POR ANEL DESLIZANTE  FORNECIMENTO E INSTALAÇÃO. AF_06/2015</t>
  </si>
  <si>
    <t>UNIÃO METÁLICA PARA INSTALAÇÕES EM PEX, DN 16 MM, FIXAÇÃO DAS CONEXÕES POR ANEL DESLIZANTE  FORNECIMENTO E INSTALAÇÃO . AF_06/2015</t>
  </si>
  <si>
    <t>CONEXÃO FIXA, ROSCA FÊMEA, METÁLICA, PARA INSTALAÇÕES EM PEX, DN 16 MM X 1/2", COM ANEL DESLIZANTE. FORNECIMENTO E INSTALAÇÃO. AF_06/2015</t>
  </si>
  <si>
    <t>CONEXÃO MÓVEL, ROSCA FÊMEA, METÁLICA, PARA INSTALAÇÕES EM PEX, DN 16 MM X 3/4", COM ANEL DESLIZANTE. FORNECIMENTO E INSTALAÇÃO. AF_06/2015</t>
  </si>
  <si>
    <t>UNIÃO METÁLICA PARA INSTALAÇÕES EM PEX, DN 20 MM, FIXAÇÃO DAS CONEXÕES POR ANEL DESLIZANTE  FORNECIMENTO E INSTALAÇÃO . AF_06/2015</t>
  </si>
  <si>
    <t>CONEXÃO FIXA, ROSCA FÊMEA, METÁLICA, PARA INSTALAÇÕES EM PEX, DN 20 MM X 1/2", COM ANEL DESLIZANTE. FORNECIMENTO E INSTALAÇÃO. AF_06/2015</t>
  </si>
  <si>
    <t>CONEXÃO FIXA, ROSCA FÊMEA, METÁLICA, PARA INSTALAÇÕES EM PEX, DN 20 MM X 3/4", COM ANEL DESLIZANTE. FORNECIMENTO E INSTALAÇÃO. AF_06/2015</t>
  </si>
  <si>
    <t>UNIÃO DE REDUÇÃO, METÁLICA, PARA INSTALAÇÕES EM PEX, DN 20 X 16 MM, CONEXÃO POR ANEL DESLIZANTE  FORNECIMENTO E INSTALAÇÃO. AF_06/2015</t>
  </si>
  <si>
    <t>UNIÃO METÁLICA PARA INSTALAÇÕES EM PEX, DN 25 MM, FIXAÇÃO DAS CONEXÕES POR ANEL DESLIZANTE   FORNECIMENTO E INSTALAÇÃO. AF_06/2015</t>
  </si>
  <si>
    <t>CONEXÃO FIXA, ROSCA FÊMEA, METÁLICA, PARA INSTALAÇÕES EM PEX, DN 25 MM X 3/4", COM ANEL DESLIZANTE. FORNECIMENTO E INSTALAÇÃO. AF_06/2015</t>
  </si>
  <si>
    <t>CONEXÃO FIXA, ROSCA FÊMEA, METÁLICA, PARA INSTALAÇÕES EM PEX, DN 25 MM X 1", COM ANEL DESLIZANTE. FORNECIMENTO E INSTALAÇÃO. AF_06/2015</t>
  </si>
  <si>
    <t>UNIÃO DE REDUÇÃO, METÁLICA, PEX, DN 25 X 16 MM, CONEXÃO POR ANEL DESLIZANTE  FORNECIMENTO E INSTALAÇÃO. AF_06/2015</t>
  </si>
  <si>
    <t>UNIÃO DE REDUÇÃO, METÁLICA, PEX, DN 25 X 20 MM, CONEXÃO POR ANEL DESLIZANTE  FORNECIMENTO E INSTALAÇÃO. AF_06/2015</t>
  </si>
  <si>
    <t>UNIÃO METÁLICA PARA INSTALAÇÕES EM PEX, DN 32 MM, FIXAÇÃO DAS CONEXÕES POR ANEL DESLIZANTE   FORNECIMENTO E INSTALAÇÃO. AF_06/2015</t>
  </si>
  <si>
    <t>CONEXÃO FIXA, ROSCA FÊMEA, METÁLICA, PARA INSTALAÇÕES EM PEX, DN 32 MM X 1", COM ANEL DESLIZANTE  FORNECIMENTO E INSTALAÇÃO. AF_06/2015</t>
  </si>
  <si>
    <t>UNIÃO DE REDUÇÃO, METÁLICA, PEX, DN 32 X 25 MM, CONEXÃO POR ANEL DESLIZANTE  FORNECIMENTO E INSTALAÇÃO. AF_06/2015</t>
  </si>
  <si>
    <t>LUVA PARA INSTALAÇÕES EM PEX, DN 16 MM, CONEXÃO POR CRIMPAGEM  FORNECIMENTO E INSTALAÇÃO . AF_06/2015</t>
  </si>
  <si>
    <t>CONEXÃO FIXA, ROSCA FÊMEA, PARA INSTALAÇÕES EM PEX, DN 16MM X 1/2", CONEXÃO POR CRIMPAGEM  FORNECIMENTO E INSTALAÇÃO. AF_06/2015</t>
  </si>
  <si>
    <t>CONEXÃO FIXA, ROSCA FÊMEA, PARA INSTALAÇÕES EM PEX, DN 16MM X 3/4", CONEXÃO POR CRIMPAGEM  FORNECIMENTO E INSTALAÇÃO. AF_06/2015</t>
  </si>
  <si>
    <t>LUVA PARA INSTALAÇÕES EM PEX, DN 20 MM, CONEXÃO POR CRIMPAGEM   FORNECIMENTO E INSTALAÇÃO. AF_06/2015</t>
  </si>
  <si>
    <t>CONEXÃO FIXA, ROSCA FÊMEA, PARA INSTALAÇÕES EM PEX, DN 20MM X 1/2", CONEXÃO POR CRIMPAGEM  FORNECIMENTO E INSTALAÇÃO. AF_06/2015</t>
  </si>
  <si>
    <t>CONEXÃO FIXA, ROSCA FÊMEA, PARA INSTALAÇÕES EM PEX, DN 20MM X 3/4", CONEXÃO POR CRIMPAGEM  FORNECIMENTO E INSTALAÇÃO. AF_06/2015</t>
  </si>
  <si>
    <t>LUVA DE REDUÇÃO PARA INSTALAÇÕES EM PEX, DN 20 X 16 MM, CONEXÃO POR CRIMPAGEM  FORNECIMENTO E INSTALAÇÃO. AF_06/2015</t>
  </si>
  <si>
    <t>LUVA PARA INSTALAÇÕES EM PEX, DN 25 MM, CONEXÃO POR CRIMPAGEM   FORNECIMENTO E INSTALAÇÃO. AF_06/2015</t>
  </si>
  <si>
    <t>CONEXÃO FIXA, ROSCA FÊMEA, PARA INSTALAÇÕES EM PEX, DN 25MM X 1/2", CONEXÃO POR CRIMPAGEM  FORNECIMENTO E INSTALAÇÃO. AF_06/2015</t>
  </si>
  <si>
    <t>CONEXÃO FIXA, ROSCA FÊMEA, PARA INSTALAÇÕES EM PEX, DN 25MM X 3/4", CONEXÃO POR CRIMPAGEM  FORNECIMENTO E INSTALAÇÃO. AF_06/2015</t>
  </si>
  <si>
    <t>LUVA DE REDUÇÃO PARA INSTALAÇÕES EM PEX, DN 25 X 16 MM, CONEXÃO POR CRIMPAGEM  FORNECIMENTO E INSTALAÇÃO. AF_06/2015</t>
  </si>
  <si>
    <t>LUVA PARA INSTALAÇÕES EM PEX, DN 32 MM, CONEXÃO POR CRIMPAGEM  FORNECIMENTO E INSTALAÇÃO . AF_06/2015</t>
  </si>
  <si>
    <t>CONEXÃO FIXA, ROSCA FÊMEA, PARA INSTALAÇÕES EM PEX, DN 32 MM X 3/4", CONEXÃO POR CRIMPAGEM  FORNECIMENTO E INSTALAÇÃO. AF_06/2015</t>
  </si>
  <si>
    <t>LUVA DE REDUÇÃO PARA INSTALAÇÕES EM PEX, DN 32 X 25 MM, CONEXÃO POR CRIMPAGEM  FORNECIMENTO E INSTALAÇÃO. AF_06/2015</t>
  </si>
  <si>
    <t>JOELHO 90 GRAUS, METÁLICO, PARA INSTALAÇÕES EM PEX, DN 16 MM, CONEXÃO POR ANEL DESLIZANTE   FORNECIMENTO E INSTALAÇÃO. AF_06/2015</t>
  </si>
  <si>
    <t>JOELHO 90 GRAUS, ROSCA FÊMEA TERMINAL, METÁLICO, PARA INSTALAÇÕES EM PEX, DN 16MM X 1/2", CONEXÃO POR ANEL DESLIZANTE  FORNECIMENTO E INSTALAÇÃO. AF_06/2015</t>
  </si>
  <si>
    <t>JOELHO, ROSCA FÊMEA, COM BASE FIXA, METÁLICO, PARA INSTALAÇÕES EM PEX, DN 16MM X 1/2", CONEXÃO POR ANEL DESLIZANTE  FORNECIMENTO E INSTALAÇÃO. AF_06/2015</t>
  </si>
  <si>
    <t>JOELHO 90 GRAUS, METÁLICO, PARA INSTALAÇÕES EM PEX, DN 20 MM, CONEXÃO POR ANEL DESLIZANTE  FORNECIMENTO E INSTALAÇÃO . AF_06/2015</t>
  </si>
  <si>
    <t>JOELHO 90 GRAUS, ROSCA FÊMEA TERMINAL, METÁLICO, PARA INSTALAÇÕES EM PEX, DN 20 MM X 1/2", CONEXÃO POR ANEL DESLIZANTE  FORNECIMENTO E INSTALAÇÃO. AF_06/2015</t>
  </si>
  <si>
    <t>JOELHO 90 GRAUS, ROSCA FÊMEA TERMINAL, METÁLICO, PARA INSTALAÇÕES EM PEX, DN 20 MM X 3/4", CONEXÃO POR ANEL DESLIZANTE  FORNECIMENTO E INSTALAÇÃO. AF_06/2015</t>
  </si>
  <si>
    <t>JOELHO ROSCA FÊMEA, COM BASE FIXA, METÁLICO, PARA INSTALAÇÕES EM PEX, DN 20MM X 1/2", CONEXÃO POR ANEL DESLIZANTE  FORNECIMENTO E INSTALAÇÃO. AF_06/2015</t>
  </si>
  <si>
    <t>JOELHO ROSCA FÊMEA, MÓVEL, METÁLICO, PARA INSTALAÇÕES EM PEX, DN 20MM X 3/4", CONEXÃO POR ANEL DESLIZANTE  FORNECIMENTO E INSTALAÇÃO. AF_06/2015</t>
  </si>
  <si>
    <t>JOELHO 90 GRAUS, METÁLICO, PARA INSTALAÇÕES EM PEX, DN 25 MM, CONEXÃO POR ANEL DESLIZANTE   FORNECIMENTO E INSTALAÇÃO. AF_06/2015</t>
  </si>
  <si>
    <t>JOELHO 90 GRAUS, ROSCA FÊMEA TERMINAL, METÁLICO, PARA INSTALAÇÕES EM PEX, DN 25 MM X 3/4", CONEXÃO POR ANEL DESLIZANTE  FORNECIMENTO E INSTALAÇÃO. AF_06/2015</t>
  </si>
  <si>
    <t>JOELHO ROSCA FÊMEA, COM BASE FIXA, METÁLICO, PARA INSTALAÇÕES EM PEX, DN 25MM X 3/4", CONEXÃO POR ANEL DESLIZANTE  FORNECIMENTO E INSTALAÇÃO. AF_06/2015</t>
  </si>
  <si>
    <t>JOELHO 90 GRAUS, METÁLICO, PARA INSTALAÇÕES EM PEX, DN 32 MM, CONEXÃO POR ANEL DESLIZANTE  FORNECIMENTO E INSTALAÇÃO . AF_06/2015</t>
  </si>
  <si>
    <t>JOELHO 90 GRAUS, PARA INSTALAÇÕES EM PEX, DN 16 MM, CONEXÃO POR CRIMPAGEM   FORNECIMENTO E INSTALAÇÃO. AF_06/2015</t>
  </si>
  <si>
    <t>JOELHO 90 GRAUS, ROSCA FÊMEA TERMINAL, PARA INSTALAÇÕES EM PEX, DN 16MM X 1/2", CONEXÃO POR CRIMPAGEM  FORNECIMENTO E INSTALAÇÃO. AF_06/2015</t>
  </si>
  <si>
    <t>JOELHO 90 GRAUS, ROSCA FÊMEA TERMINAL, PARA INSTALAÇÕES EM PEX, DN 16MM X 3/4", CONEXÃO POR CRIMPAGEM  FORNECIMENTO E INSTALAÇÃO. AF_06/2015</t>
  </si>
  <si>
    <t>JOELHO 90 GRAUS, PARA INSTALAÇÕES EM PEX, DN 20 MM, CONEXÃO POR CRIMPAGEM   FORNECIMENTO E INSTALAÇÃO. AF_06/2015</t>
  </si>
  <si>
    <t>JOELHO 90 GRAUS, ROSCA FÊMEA TERMINAL, PARA INSTALAÇÕES EM PEX, DN 20MM X 1/2", CONEXÃO POR CRIMPAGEM  FORNECIMENTO E INSTALAÇÃO. AF_06/2015</t>
  </si>
  <si>
    <t>JOELHO 90 GRAUS, ROSCA FÊMEA TERMINAL, PARA INSTALAÇÕES EM PEX, DN 20MM X 3/4", CONEXÃO POR CRIMPAGEM  FORNECIMENTO E INSTALAÇÃO. AF_06/2015</t>
  </si>
  <si>
    <t>JOELHO 90 GRAUS, PARA INSTALAÇÕES EM PEX, DN 25 MM, CONEXÃO POR CRIMPAGEM   FORNECIMENTO E INSTALAÇÃO. AF_06/2015</t>
  </si>
  <si>
    <t>JOELHO 90 GRAUS, ROSCA FÊMEA TERMINAL, PARA INSTALAÇÕES EM PEX, DN 25MM X 1/2", CONEXÃO POR CRIMPAGEM  FORNECIMENTO E INSTALAÇÃO. AF_06/2015</t>
  </si>
  <si>
    <t>JOELHO 90 GRAUS, ROSCA FÊMEA TERMINAL, PARA INSTALAÇÕES EM PEX, DN 25MM X 1, CONEXÃO POR CRIMPAGEM  FORNECIMENTO E INSTALAÇÃO. AF_06/2015</t>
  </si>
  <si>
    <t>JOELHO 90 GRAUS, PARA INSTALAÇÕES EM PEX, DN 32 MM, CONEXÃO POR CRIMPAGEM   FORNECIMENTO E INSTALAÇÃO. AF_06/2015</t>
  </si>
  <si>
    <t>JOELHO 90 GRAUS, ROSCA FÊMEA TERMINAL, PARA INSTALAÇÕES EM PEX, DN 32 MM X 1", CONEXÃO POR CRIMPAGEM  FORNECIMENTO E INSTALAÇÃO. AF_06/2015</t>
  </si>
  <si>
    <t>TÊ, METÁLICO, PARA INSTALAÇÕES EM PEX, DN 16 MM, CONEXÃO POR ANEL DESLIZANTE  FORNECIMENTO E INSTALAÇÃO. AF_06/2015</t>
  </si>
  <si>
    <t>TÊ, ROSCA FÊMEA, METÁLICO, PARA INSTALAÇÕES EM PEX, DN 16 MM X ½, CONEXÃO POR ANEL DESLIZANTE   FORNECIMENTO E INSTALAÇÃO. AF_06/2015</t>
  </si>
  <si>
    <t>TÊ, METÁLICO, PARA INSTALAÇÕES EM PEX, DN 20 MM, CONEXÃO POR ANEL DESLIZANTE  FORNECIMENTO E INSTALAÇÃO. AF_06/2015</t>
  </si>
  <si>
    <t>TÊ, ROSCA FÊMEA, METÁLICO, PARA INSTALAÇÕES EM PEX, DN 20 MM X ½, CONEXÃO POR ANEL DESLIZANTE   FORNECIMENTO E INSTALAÇÃO. AF_06/2015</t>
  </si>
  <si>
    <t>TÊ, METÁLICO, PARA INSTALAÇÕES EM PEX, DN 25 MM, CONEXÃO POR ANEL DESLIZANTE  FORNECIMENTO E INSTALAÇÃO. AF_06/2015</t>
  </si>
  <si>
    <t>TÊ, ROSCA FÊMEA, METÁLICO, PARA INSTALAÇÕES EM PEX, DN 25 MM X 3/4", CONEXÃO POR ANEL DESLIZANTE  FORNECIMENTO E INSTALAÇÃO. AF_06/2015</t>
  </si>
  <si>
    <t>TÊ, METÁLICO, PARA INSTALAÇÕES EM PEX, DN 32 MM, CONEXÃO POR ANEL DESLIZANTE  FORNECIMENTO E INSTALAÇÃO. AF_06/2015</t>
  </si>
  <si>
    <t>TÊ, ROSCA MACHO, METÁLICO, PARA INSTALAÇÕES EM PEX, DN 32 MM X 1", CONEXÃO POR ANEL DESLIZANTE  FORNECIMENTO E INSTALAÇÃO. AF_06/2015</t>
  </si>
  <si>
    <t>TÊ, PARA INSTALAÇÕES EM PEX, DN 16 MM, CONEXÃO POR CRIMPAGEM  FORNECIMENTO E INSTALAÇÃO. AF_06/2015</t>
  </si>
  <si>
    <t>TÊ, PARA INSTALAÇÕES EM PEX, DN 20 MM, CONEXÃO POR CRIMPAGEM  FORNECIMENTO E INSTALAÇÃO. AF_06/2015</t>
  </si>
  <si>
    <t>TÊ, PEX, DN 25 MM, CONEXÃO POR CRIMPAGEM  FORNECIMENTO E INSTALAÇÃO. AF_06/2015</t>
  </si>
  <si>
    <t>TÊ, PARA INSTALAÇÕES EM PEX, DN 32 MM, CONEXÃO POR CRIMPAGEM  FORNECIMENTO E INSTALAÇÃO. AF_06/2015</t>
  </si>
  <si>
    <t>DISTRIBUIDOR 2 SAÍDAS, METÁLICO, PARA INSTALAÇÕES EM PEX, ENTRADA DE 3/4" X 2 SAÍDAS DE 1/2", CONEXÃO POR ANEL DESLIZANTE  FORNECIMENTO E INSTALAÇÃO. AF_06/2015</t>
  </si>
  <si>
    <t>DISTRIBUIDOR 2 SAÍDAS, METÁLICO, PARA INSTALAÇÕES EM PEX, ENTRADA DE 1" X 2 SAÍDAS DE 1/2", CONEXÃO POR ANEL DESLIZANTE  FORNECIMENTO E INSTALAÇÃO. AF_06/2015</t>
  </si>
  <si>
    <t>DISTRIBUIDOR 3 SAÍDAS, METÁLICO, PARA INSTALAÇÕES EM PEX, ENTRADA DE 3/4" X 3 SAÍDAS DE 1/2", CONEXÃO POR ANEL DESLIZANTE  FORNECIMENTO E INSTALAÇÃO . AF_06/2015</t>
  </si>
  <si>
    <t>DISTRIBUIDOR 3 SAÍDAS, METÁLICO, PARA INSTALAÇÕES EM PEX, ENTRADA DE 1 X 3 SAÍDAS DE 1/2, CONEXÃO POR ANEL DESLIZANTE   FORNECIMENTO E INSTALAÇÃO. AF_06/2015</t>
  </si>
  <si>
    <t>DISTRIBUIDOR 2 SAÍDAS, PARA INSTALAÇÕES EM PEX, ENTRADA DE 32 MM X 2 SAÍDAS DE 16 MM, CONEXÃO POR CRIMPAGEM FORNECIMENTO E INSTALAÇÃO. AF_06/2015</t>
  </si>
  <si>
    <t>DISTRIBUIDOR 2 SAÍDAS, PARA INSTALAÇÕES EM PEX, ENTRADA DE 32 MM X 2 SAÍDAS DE 20 MM, CONEXÃO POR CRIMPAGEM  FORNECIMENTO E INSTALAÇÃO. AF_06/2015</t>
  </si>
  <si>
    <t>DISTRIBUIDOR 2 SAÍDAS, PARA INSTALAÇÕES EM PEX, ENTRADA DE 32 MM X 2 SAÍDAS DE 25 MM, CONEXÃO POR CRIMPAGEM  FORNECIMENTO E INSTALAÇÃO. AF_06/2015</t>
  </si>
  <si>
    <t>DISTRIBUIDOR 3 SAÍDAS, PARA INSTALAÇÕES EM PEX, ENTRADA DE 32 MM X 3 SAÍDAS DE 16 MM, CONEXÃO POR CRIMPAGEM  FORNECIMENTO E INSTALAÇÃO. AF_06/2015</t>
  </si>
  <si>
    <t>DISTRIBUIDOR 3 SAÍDAS, PARA INSTALAÇÕES EM PEX, ENTRADA DE 32 MM X 3 SAÍDAS DE 20 MM, CONEXÃO POR CRIMPAGEM  FORNECIMENTO E INSTALAÇÃO. AF_06/2015</t>
  </si>
  <si>
    <t>DISTRIBUIDOR 3 SAÍDAS, PARA INSTALAÇÕES EM PEX, ENTRADA DE 32 MM X 3 SAÍDAS DE 25 MM, CONEXÃO POR CRIMPAGEM  FORNECIMENTO E INSTALAÇÃO. AF_06/2015</t>
  </si>
  <si>
    <t>73734/1</t>
  </si>
  <si>
    <t>PISO EM TACO DE MADEIRA 7X21CM, ASSENTADO COM ARGAMASSA TRACO 1:4 (CIMENTO E AREIA MEDIA)</t>
  </si>
  <si>
    <t>73739/1</t>
  </si>
  <si>
    <t>73743/1</t>
  </si>
  <si>
    <t>73749/1</t>
  </si>
  <si>
    <t>CAIXA ENTERRADA PARA INSTALACOES TELEFONICAS TIPO R1 0,60X0,35X0,50M EM BLOCOS DE CONCRETO ESTRUTURAL</t>
  </si>
  <si>
    <t>73749/2</t>
  </si>
  <si>
    <t>CAIXA ENTERRADA PARA INSTALACOES TELEFONICAS TIPO R2 1,07X0,52X0,50M EM BLOCOS DE CONCRETO ESTRUTURAL</t>
  </si>
  <si>
    <t>73749/3</t>
  </si>
  <si>
    <t>CAIXA ENTERRADA PARA INSTALACOES TELEFONICAS TIPO R3 1,30X1,20X1,20M EM BLOCOS DE CONCRETO ESTRUTURAL</t>
  </si>
  <si>
    <t>73767/1</t>
  </si>
  <si>
    <t>73767/2</t>
  </si>
  <si>
    <t>73767/3</t>
  </si>
  <si>
    <t>LACO DE ROLDANA PRE-FORMADO ACO RECOBERTO DE ALUMINIO PARA CABO DE ALUMINIO NU BITOLA 25MM2 - FORNECIMENTO E COLOCACAO</t>
  </si>
  <si>
    <t>73767/4</t>
  </si>
  <si>
    <t>ALCA PRE-FORMADA DISTRIBUICAO EM ACO RECOBERTO COM ALUMINIO NU PARA CABO 25MM2, ENCAPADO. FORNECIMENTO E INSTALACAO.</t>
  </si>
  <si>
    <t>73767/5</t>
  </si>
  <si>
    <t>ALCA PRE-FORMADA SERV DE ACO RECOB C/ALUM NU ENCAPADO 25MM2 (BITOLA)  CONF PROJ A4-148-CP RIOLUZ FORNECIMENTO E COLOCACAO</t>
  </si>
  <si>
    <t>73774/1</t>
  </si>
  <si>
    <t>DIVISORIA EM MARMORITE ESPESSURA 35MM, CHUMBAMENTO NO PISO E PAREDE COM ARGAMASSA DE CIMENTO E AREIA, POLIMENTO MANUAL, EXCLUSIVE FERRAGENS</t>
  </si>
  <si>
    <t>73775/1</t>
  </si>
  <si>
    <t>73775/2</t>
  </si>
  <si>
    <t>EXTINTOR INCENDIO AGUA-PRESSURIZADA 10L INCL SUPORTE PAREDE CARGA     COMPLETA FORNECIMENTO E COLOCACAO</t>
  </si>
  <si>
    <t>73781/2</t>
  </si>
  <si>
    <t>ISOLADOR DE PINO TP HI-POT CILINDRICO CLASSE 15KV. FORNECIMENTO E INSTALACAO.</t>
  </si>
  <si>
    <t>73781/3</t>
  </si>
  <si>
    <t>ISOLADOR DE SUSPENSAO (DISCO) TP CAVILHA CLASSE 15KV - 6''. FORNECIMENTO E INSTALACAO.</t>
  </si>
  <si>
    <t>73790/2</t>
  </si>
  <si>
    <t>REASSENTAMENTO DE PARALELEPIPEDO SOBRE COLCHAO DE PO DE PEDRA ESPESSURA 10CM, REJUNTADO COM BETUME E PEDRISCO, CONSIDERANDO APROVEITAMENTO DO PARALELEPIPEDO</t>
  </si>
  <si>
    <t>73790/4</t>
  </si>
  <si>
    <t>REASSENTAMENTO DE PARALELEPIPEDO SOBRE COLCHAO DE PO DE PEDRA ESPESSURA 10CM, REJUNTADO COM ARGAMASSA TRACO 1:3 (CIMENTO E AREIA), CONSIDERANDO APROVEITAMENTO DO PARALELEPIPEDO</t>
  </si>
  <si>
    <t>73799/1</t>
  </si>
  <si>
    <t>GRELHA EM FERRO FUNDIDO SIMPLES COM REQUADRO, CARGA MÁXIMA 12,5 T,  300 X 1000 MM, E = 15 MM, FORNECIDA E ASSENTADA COM ARGAMASSA 1:4 CIMENTO:AREIA.</t>
  </si>
  <si>
    <t>73807/1</t>
  </si>
  <si>
    <t>73816/1</t>
  </si>
  <si>
    <t>EXECUCAO DE DRENO COM TUBOS DE PVC CORRUGADO FLEXIVEL PERFURADO - DN 100</t>
  </si>
  <si>
    <t>73826/1</t>
  </si>
  <si>
    <t>73826/2</t>
  </si>
  <si>
    <t>73831/2</t>
  </si>
  <si>
    <t>73831/3</t>
  </si>
  <si>
    <t>73831/4</t>
  </si>
  <si>
    <t>73831/5</t>
  </si>
  <si>
    <t>73831/6</t>
  </si>
  <si>
    <t>73831/7</t>
  </si>
  <si>
    <t>73831/8</t>
  </si>
  <si>
    <t>73831/9</t>
  </si>
  <si>
    <t>73834/1</t>
  </si>
  <si>
    <t>73834/2</t>
  </si>
  <si>
    <t>73834/3</t>
  </si>
  <si>
    <t>73834/4</t>
  </si>
  <si>
    <t>73835/1</t>
  </si>
  <si>
    <t>73835/2</t>
  </si>
  <si>
    <t>73835/3</t>
  </si>
  <si>
    <t>73836/1</t>
  </si>
  <si>
    <t>73836/2</t>
  </si>
  <si>
    <t>73836/3</t>
  </si>
  <si>
    <t>73836/4</t>
  </si>
  <si>
    <t>73837/1</t>
  </si>
  <si>
    <t>73837/2</t>
  </si>
  <si>
    <t>73837/3</t>
  </si>
  <si>
    <t>73838/1</t>
  </si>
  <si>
    <t>PORTA DE VIDRO TEMPERADO, 0,9X2,10M, ESPESSURA 10MM, INCLUSIVE ACESSORIOS</t>
  </si>
  <si>
    <t>73850/1</t>
  </si>
  <si>
    <t>73856/1</t>
  </si>
  <si>
    <t>BOCA P/BUEIRO SIMPLES TUBULAR D=0,40M EM CONCRETO CICLOPICO, INCLINDO FORMAS, ESCAVACAO, REATERRO E MATERIAIS, EXCLUINDO MATERIAL REATERRO JAZIDA E TRANSPORTE</t>
  </si>
  <si>
    <t>73856/10</t>
  </si>
  <si>
    <t>73856/11</t>
  </si>
  <si>
    <t>BOCA PARA BUEIRO TRIPLO TUBULAR, DIAMETRO =0,40M, EM CONCRETO CICLOPICO, INCLUINDO FORMAS, ESCAVACAO, REATERRO E MATERIAIS, EXCLUINDO MATERIAL REATERRO JAZIDA E TRANSPORTE.</t>
  </si>
  <si>
    <t>73856/12</t>
  </si>
  <si>
    <t>BOCA PARA BUEIRO TRIPLO TUBULAR, DIAMETRO =0,60M, EM CONCRETO CICLOPICO, INCLUINDO FORMAS, ESCAVACAO, REATERRO E MATERIAIS, EXCLUINDO MATERIAL REATERRO JAZIDA E TRANSPORTE.</t>
  </si>
  <si>
    <t>73856/13</t>
  </si>
  <si>
    <t>BOCA PARA BUEIRO TRIPLO TUBULAR, DIAMETRO =0,80M, EM CONCRETO CICLOPICO, INCLUINDO FORMAS, ESCAVACAO, REATERRO E MATERIAIS, EXCLUINDO MATERIAL REATERRO JAZIDA E TRANSPORTE.</t>
  </si>
  <si>
    <t>73856/14</t>
  </si>
  <si>
    <t>BOCA PARA BUEIRO TRIPLO TUBULAR, DIAMETRO =1,00M, EM CONCRETO CICLOPICO, INCLUINDO FORMAS, ESCAVACAO, REATERRO E MATERIAIS, EXCLUINDO MATERIAL REATERRO JAZIDA E TRANSPORTE.</t>
  </si>
  <si>
    <t>73856/15</t>
  </si>
  <si>
    <t>BOCA PARA BUEIRO TRIPLO TUBULAR, DIAMETRO =1,20M, EM CONCRETO CICLOPICO, INCLUINDO FORMAS, ESCAVACAO, REATERRO E MATERIAIS, EXCLUINDO MATERIAL REATERRO JAZIDA E TRANSPORTE.</t>
  </si>
  <si>
    <t>73856/2</t>
  </si>
  <si>
    <t>BOCA PARA BUEIRO SIMPLES TUBULAR, DIAMETRO =0,60M, EM CONCRETO CICLOPICO, INCLUINDO FORMAS, ESCAVACAO, REATERRO E MATERIAIS, EXCLUINDO MATERIAL REATERRO JAZIDA E TRANSPORTE.</t>
  </si>
  <si>
    <t>73856/3</t>
  </si>
  <si>
    <t>BOCA PARA BUEIRO SIMPLES TUBULAR, DIAMETRO =0,80M, EM CONCRETO CICLOPICO, INCLUINDO FORMAS, ESCAVACAO, REATERRO E MATERIAIS, EXCLUINDO MATERIAL REATERRO JAZIDA E TRANSPORTE.</t>
  </si>
  <si>
    <t>73856/4</t>
  </si>
  <si>
    <t>BOCA PARA BUEIRO SIMPLES TUBULAR, DIAMETRO =1,00M, EM CONCRETO CICLOPICO, INCLUINDO FORMAS, ESCAVACAO, REATERRO E MATERIAIS, EXCLUINDO MATERIAL REATERRO JAZIDA E TRANSPORTE.</t>
  </si>
  <si>
    <t>73856/5</t>
  </si>
  <si>
    <t>BOCA PARA BUEIRO SIMPLES TUBULAR, DIAMETRO =1,20M, EM CONCRETO CICLOPICO, INCLUINDO FORMAS, ESCAVACAO, REATERRO E MATERIAIS, EXCLUINDO MATERIAL REATERRO JAZIDA E TRANSPORTE.</t>
  </si>
  <si>
    <t>73856/6</t>
  </si>
  <si>
    <t>BOCA PARA BUEIRO DUPLO TUBULAR, DIAMETRO =0,40M, EM CONCRETO CICLOPICO, INCLUINDO FORMAS, ESCAVACAO, REATERRO E MATERIAIS, EXCLUINDO MATERIAL REATERRO JAZIDA E TRANSPORTE.</t>
  </si>
  <si>
    <t>73856/7</t>
  </si>
  <si>
    <t>BOCA PARA BUEIRO DUPLO TUBULAR, DIAMETRO =0,60M, EM CONCRETO CICLOPICO, INCLUINDO FORMAS, ESCAVACAO, REATERRO E MATERIAIS, EXCLUINDO MATERIAL REATERRO JAZIDA E TRANSPORTE.</t>
  </si>
  <si>
    <t>73856/8</t>
  </si>
  <si>
    <t>BOCA PARA BUEIRO DUPLO TUBULAR, DIAMETRO =0,80M, EM CONCRETO CICLOPICO, INCLUINDO FORMAS, ESCAVACAO, REATERRO E MATERIAIS, EXCLUINDO MATERIAL REATERRO JAZIDA E TRANSPORTE.</t>
  </si>
  <si>
    <t>73856/9</t>
  </si>
  <si>
    <t>BOCA PARA BUEIRO DUPLO TUBULAR, DIAMETRO =1,00M, EM CONCRETO CICLOPICO, INCLUINDO FORMAS, ESCAVACAO, REATERRO E MATERIAIS, EXCLUINDO MATERIAL REATERRO JAZIDA E TRANSPORTE.</t>
  </si>
  <si>
    <t>73857/1</t>
  </si>
  <si>
    <t>73857/10</t>
  </si>
  <si>
    <t>73857/2</t>
  </si>
  <si>
    <t>73857/3</t>
  </si>
  <si>
    <t>TRANSFORMADOR DISTRIBUICAO  150KVA TRIFASICO 60HZ CLASSE 15KV IMERSO EM ÓLEO MINERAL FORNECIMENTO E INSTALACAO</t>
  </si>
  <si>
    <t>73857/4</t>
  </si>
  <si>
    <t>TRANSFORMADOR DISTRIBUICAO  225KVA TRIFASICO 60HZ CLASSE 15KV IMERSO EM ÓLEO MINERAL FORNECIMENTO E INSTALACAO</t>
  </si>
  <si>
    <t>73857/5</t>
  </si>
  <si>
    <t>TRANSFORMADOR DISTRIBUICAO  300KVA TRIFASICO 60HZ CLASSE 15KV IMERSO EM ÓLEO MINERAL FORNECIMENTO E INSTALACAO</t>
  </si>
  <si>
    <t>73857/6</t>
  </si>
  <si>
    <t>TRANSFORMADOR DISTRIBUICAO  500KVA TRIFASICO 60HZ CLASSE 15KV IMERSO EM ÓLEO MINERAL FORNECIMENTO E INSTALACAO</t>
  </si>
  <si>
    <t>73857/7</t>
  </si>
  <si>
    <t>73857/8</t>
  </si>
  <si>
    <t>73857/9</t>
  </si>
  <si>
    <t>TRANSFORMADOR DISTRIBUICAO  750KVA TRIFASICO 60HZ CLASSE 15KV IMERSO EM ÓLEO MINERAL FORNECIMENTO E INSTALACAO</t>
  </si>
  <si>
    <t>73876/1</t>
  </si>
  <si>
    <t>73881/1</t>
  </si>
  <si>
    <t>73881/3</t>
  </si>
  <si>
    <t>73883/1</t>
  </si>
  <si>
    <t>73883/2</t>
  </si>
  <si>
    <t>73883/3</t>
  </si>
  <si>
    <t>73886/1</t>
  </si>
  <si>
    <t>73909/1</t>
  </si>
  <si>
    <t>73921/2</t>
  </si>
  <si>
    <t>PORTA DE FERRO DE ABRIR TIPO BARRA CHATA, COM REQUADRO E GUARNICAO COMPLETA</t>
  </si>
  <si>
    <t>73965/9</t>
  </si>
  <si>
    <t>ESCAVACAO MANUAL DE VALA EM LODO, DE 1,5 ATE 3M, EXCLUINDO ESGOTAMENTO/ESCORAMENTO.</t>
  </si>
  <si>
    <t>73969/1</t>
  </si>
  <si>
    <t>EXECUCAO DE DRENOS DE CHORUME EM TUBOS DRENANTES DE CONCRETO, DIAM=200MM, ENVOLTOS EM BRITA E GEOTEXTIL</t>
  </si>
  <si>
    <t>73978/1</t>
  </si>
  <si>
    <t>74003/1</t>
  </si>
  <si>
    <t>INSTALACOES GAS CENTRAL P/ EDIFICIO RESIDENCIAL C/ 4 PAVTOS 16 UNID.  UMA CENTRAL POR BLOCO COM 16 PONTOS</t>
  </si>
  <si>
    <t>74010/1</t>
  </si>
  <si>
    <t>CARGA E DESCARGA MECANICA DE SOLO UTILIZANDO CAMINHAO BASCULANTE 6,0M3/16T E PA CARREGADEIRA SOBRE PNEUS 128 HP, CAPACIDADE DA CAÇAMBA 1,7 A 2,8 M3, PESO OPERACIONAL 11632 KG</t>
  </si>
  <si>
    <t>74017/1</t>
  </si>
  <si>
    <t>EXECUCAO DE DRENOS DE CHORUME EM TUBOS DRENANTES, PVC, DIAM=100 MM, ENVOLTOS EM BRITA E GEOTEXTIL</t>
  </si>
  <si>
    <t>74017/2</t>
  </si>
  <si>
    <t>EXECUCAO DE DRENOS DE CHORUME EM TUBOS DRENANTES, PVC, DIAM=150 MM, ENVOLTOS EM BRITA E GEOTEXTIL</t>
  </si>
  <si>
    <t>74065/1</t>
  </si>
  <si>
    <t>74065/2</t>
  </si>
  <si>
    <t>PINTURA ESMALTE ACETINADO PARA MADEIRA, DUAS DEMAOS, SOBRE FUNDO NIVELADOR BRANCO</t>
  </si>
  <si>
    <t>74065/3</t>
  </si>
  <si>
    <t>PINTURA ESMALTE BRILHANTE PARA MADEIRA, DUAS DEMAOS, SOBRE FUNDO NIVELADOR BRANCO</t>
  </si>
  <si>
    <t>74111/1</t>
  </si>
  <si>
    <t>SOLEIRA / TABEIRA EM MARMORE BRANCO COMUM, POLIDO, LARGURA 5 CM, ESPESSURA 2 CM, ASSENTADA COM ARGAMASSA COLANTE</t>
  </si>
  <si>
    <t>74125/1</t>
  </si>
  <si>
    <t>74125/2</t>
  </si>
  <si>
    <t>ESPELHO CRISTAL ESPESSURA 4MM, COM MOLDURA EM ALUMINIO E COMPENSADO 6MM PLASTIFICADO COLADO</t>
  </si>
  <si>
    <t>74130/1</t>
  </si>
  <si>
    <t>DISJUNTOR TERMOMAGNETICO MONOPOLAR PADRAO NEMA (AMERICANO) 10 A 30A 240V, FORNECIMENTO E INSTALACAO</t>
  </si>
  <si>
    <t>74130/10</t>
  </si>
  <si>
    <t>DISJUNTOR TERMOMAGNETICO TRIPOLAR EM CAIXA MOLDADA 175 A 225A 240V, FORNECIMENTO E INSTALACAO</t>
  </si>
  <si>
    <t>74130/2</t>
  </si>
  <si>
    <t>DISJUNTOR TERMOMAGNETICO MONOPOLAR PADRAO NEMA (AMERICANO) 35 A 50A 240V, FORNECIMENTO E INSTALACAO</t>
  </si>
  <si>
    <t>74130/3</t>
  </si>
  <si>
    <t>DISJUNTOR TERMOMAGNETICO BIPOLAR PADRAO NEMA (AMERICANO) 10 A 50A 240V, FORNECIMENTO E INSTALACAO</t>
  </si>
  <si>
    <t>74130/4</t>
  </si>
  <si>
    <t>DISJUNTOR TERMOMAGNETICO TRIPOLAR PADRAO NEMA (AMERICANO) 10 A 50A 240V, FORNECIMENTO E INSTALACAO</t>
  </si>
  <si>
    <t>74130/5</t>
  </si>
  <si>
    <t>DISJUNTOR TERMOMAGNETICO TRIPOLAR PADRAO NEMA (AMERICANO) 60 A 100A 240V, FORNECIMENTO E INSTALACAO</t>
  </si>
  <si>
    <t>74130/6</t>
  </si>
  <si>
    <t>DISJUNTOR TERMOMAGNETICO TRIPOLAR PADRAO NEMA (AMERICANO) 125 A 150A 240V, FORNECIMENTO E INSTALACAO</t>
  </si>
  <si>
    <t>74130/7</t>
  </si>
  <si>
    <t>DISJUNTOR TERMOMAGNETICO TRIPOLAR EM CAIXA MOLDADA 250A 600V, FORNECIMENTO E INSTALACAO</t>
  </si>
  <si>
    <t>74130/8</t>
  </si>
  <si>
    <t>DISJUNTOR TERMOMAGNETICO TRIPOLAR EM CAIXA MOLDADA 300 A 400A 600V, FORNECIMENTO E INSTALACAO</t>
  </si>
  <si>
    <t>74130/9</t>
  </si>
  <si>
    <t>DISJUNTOR TERMOMAGNETICO TRIPOLAR EM CAIXA MOLDADA 500 A 600A 600V, FORNECIMENTO E INSTALACAO</t>
  </si>
  <si>
    <t>74131/1</t>
  </si>
  <si>
    <t>74131/4</t>
  </si>
  <si>
    <t>74131/5</t>
  </si>
  <si>
    <t>74131/6</t>
  </si>
  <si>
    <t>74131/7</t>
  </si>
  <si>
    <t>74131/8</t>
  </si>
  <si>
    <t>74141/1</t>
  </si>
  <si>
    <t>LAJE PRE-MOLD BETA 11 P/1KN/M2 VAOS 4,40M/INCL VIGOTAS TIJOLOS ARMADURA NEGATIVA CAPEAMENTO 3CM CONCRETO 20MPA ESCORAMENTO MATERIAL E MAO  DE OBRA.</t>
  </si>
  <si>
    <t>74141/2</t>
  </si>
  <si>
    <t>LAJE PRE-MOLD BETA 12 P/3,5KN/M2 VAO 4,1M INCL VIGOTAS TIJOLOS ARMADU-RA NEGATIVA CAPEAMENTO 3CM CONCRETO 15MPA ESCORAMENTO MATERIAIS E MAO DE OBRA.</t>
  </si>
  <si>
    <t>74141/3</t>
  </si>
  <si>
    <t>LAJE PRE-MOLD BETA 16 P/3,5KN/M2 VAO 5,2M INCL VIGOTAS TIJOLOS ARMADU-RA NEGATIVA CAPEAMENTO 3CM CONCRETO 15MPA ESCORAMENTO MATERIAL E MAO  DE OBRA.</t>
  </si>
  <si>
    <t>74141/4</t>
  </si>
  <si>
    <t>LAJE PRE-MOLD BETA 20 P/3,5KN/M2 VAO 6,2M INCL VIGOTAS TIJOLOS ARMADU-RA NEGATIVA CAPEAMENTO 3CM CONCRETO 15MPA ESCORAMENTO MATERIAL E MAO  DE OBRA.</t>
  </si>
  <si>
    <t>74151/1</t>
  </si>
  <si>
    <t>74154/1</t>
  </si>
  <si>
    <t>74155/1</t>
  </si>
  <si>
    <t>ESCAVACAO E TRANSPORTE DE MATERIAL DE  1A CAT DMT 50M COM TRATOR SOBRE  ESTEIRAS 347 HP COM LAMINA E ESCARIFICADOR</t>
  </si>
  <si>
    <t>74155/2</t>
  </si>
  <si>
    <t>ESCAVACAO E TRANSPORTE DE MATERIAL DE  2A CAT DMT 50M COM TRATOR SOBRE  ESTEIRAS 347 HP COM LAMINA E ESCARIFICADOR</t>
  </si>
  <si>
    <t>74166/1</t>
  </si>
  <si>
    <t>74166/2</t>
  </si>
  <si>
    <t>74194/1</t>
  </si>
  <si>
    <t>74202/1</t>
  </si>
  <si>
    <t>LAJE PRE-MOLDADA P/FORRO, SOBRECARGA 100KG/M2, VAOS ATE 3,50M/E=8CM, C/LAJOTAS E CAP.C/CONC FCK=20MPA, 3CM, INTER-EIXO 38CM, C/ESCORAMENTO (REAPR.3X) E FERRAGEM NEGATIVA</t>
  </si>
  <si>
    <t>74202/2</t>
  </si>
  <si>
    <t>LAJE PRE-MOLDADA P/PISO, SOBRECARGA 200KG/M2, VAOS ATE 3,50M/E=8CM, C/LAJOTAS E CAP.C/CONC FCK=20MPA, 4CM, INTER-EIXO 38CM, C/ESCORAMENTO (REAPR.3X) E FERRAGEM NEGATIVA</t>
  </si>
  <si>
    <t>74205/1</t>
  </si>
  <si>
    <t>74224/1</t>
  </si>
  <si>
    <t>POCO DE VISITA PARA DRENAGEM PLUVIAL, EM CONCRETO ESTRUTURAL, DIMENSOES INTERNAS DE 90X150X80CM (LARGXCOMPXALT), PARA REDE DE 600 MM, EXCLUSOS TAMPAO E CHAMINE.</t>
  </si>
  <si>
    <t>74229/1</t>
  </si>
  <si>
    <t>DIVISORIA EM MARMORE BRANCO POLIDO, ESPESSURA 3 CM, ASSENTADO COM ARGAMASSA TRACO 1:4 (CIMENTO E AREIA), ARREMATE COM CIMENTO BRANCO, EXCLUSIVE FERRAGENS</t>
  </si>
  <si>
    <t>74231/1</t>
  </si>
  <si>
    <t>LUMINARIA ABERTA PARA ILUMINACAO PUBLICA, PARA LAMPADA A VAPOR DE MERCURIO ATE 400W E MISTA ATE 500W, COM BRACO EM TUBO DE ACO GALV D=50MM PROJ HOR=2.500MM E PROJ VERT= 2.200MM, FORNECIMENTO E INSTALACAO</t>
  </si>
  <si>
    <t>74244/1</t>
  </si>
  <si>
    <t>ALAMBRADO PARA QUADRA POLIESPORTIVA, ESTRUTURADO POR TUBOS DE ACO GALVANIZADO, COM COSTURA, DIN 2440, DIAMETRO 2", COM TELA DE ARAME GALVANIZADO, FIO 14 BWG E MALHA QUADRADA 5X5CM</t>
  </si>
  <si>
    <t>74245/1</t>
  </si>
  <si>
    <t>74246/1</t>
  </si>
  <si>
    <t>75029/1</t>
  </si>
  <si>
    <t>TUBO PVC CORRUGADO RIGIDO PERFURADO DN 150 PARA DRENAGEM - FORNECIMENTO E INSTALACAO</t>
  </si>
  <si>
    <t>79497/1</t>
  </si>
  <si>
    <t>79500/2</t>
  </si>
  <si>
    <t>79506/2</t>
  </si>
  <si>
    <t>83695/1</t>
  </si>
  <si>
    <t xml:space="preserve">REVESTIMENTOS INTERNOS E EXTERNOS </t>
  </si>
  <si>
    <t xml:space="preserve">GRANITOS PARA PEITORIS, SOLEIRAS, DIVISÓRIAS E BANCADAS </t>
  </si>
  <si>
    <t>INTERRUPTOR INTERMEDIÁRIO (1 MÓDULO), 10A/250V, SEM SUPORTE E SEM PLACA - FORNECIMENTO E INSTALAÇÃO. AF_09/2017</t>
  </si>
  <si>
    <t>INTERRUPTOR INTERMEDIÁRIO (1 MÓDULO), 10A/250V, INCLUINDO SUPORTE E PLACA - FORNECIMENTO E INSTALAÇÃO. AF_09/2017</t>
  </si>
  <si>
    <t>INTERRUPTOR BIPOLAR (1 MÓDULO), 10A/250V, SEM SUPORTE E SEM PLACA - FORNECIMENTO E INSTALAÇÃO. AF_09/2017</t>
  </si>
  <si>
    <t>INTERRUPTOR BIPOLAR (1 MÓDULO), 10A/250V, INCLUINDO SUPORTE E PLACA - FORNECIMENTO E INSTALAÇÃO. AF_09/2017</t>
  </si>
  <si>
    <t>DIMMER ROTATIVO (1 MÓDULO), 220V/600W, SEM SUPORTE E SEM PLACA - FORNECIMENTO E INSTALAÇÃO. AF_09/2017</t>
  </si>
  <si>
    <t>DIMMER ROTATIVO (1 MÓDULO), 220V/600W, INCLUINDO SUPORTE E PLACA - FORNECIMENTO E INSTALAÇÃO. AF_09/2017</t>
  </si>
  <si>
    <t>INTERRUPTOR PULSADOR CAMPAINHA (1 MÓDULO), 10A/250V, SEM SUPORTE E SEM PLACA - FORNECIMENTO E INSTALAÇÃO. AF_09/2017</t>
  </si>
  <si>
    <t>INTERRUPTOR PULSADOR CAMPAINHA (1 MÓDULO), 10A/250V, INCLUINDO SUPORTE E PLACA - FORNECIMENTO E INSTALAÇÃO. AF_09/2017</t>
  </si>
  <si>
    <t>CAMPAINHA CIGARRA (1 MÓDULO), 10A/250V, SEM SUPORTE E SEM PLACA - FORNECIMENTO E INSTALAÇÃO. AF_09/2017</t>
  </si>
  <si>
    <t>CAMPAINHA CIGARRA (1 MÓDULO), 10A/250V, INCLUINDO SUPORTE E PLACA - FORNECIMENTO E INSTALAÇÃO. AF_09/2017</t>
  </si>
  <si>
    <t>INTERRUPTOR PULSADOR MINUTERIA (1 MÓDULO), 10A/250V, SEM SUPORTE E SEM PLACA - FORNECIMENTO E INSTALAÇÃO. AF_09/2017</t>
  </si>
  <si>
    <t>INTERRUPTOR PULSADOR MINUTERIA (1 MÓDULO), 10A/250V, INCLUINDO SUPORTE E PLACA - FORNECIMENTO E INSTALAÇÃO. AF_09/2017</t>
  </si>
  <si>
    <t>ARMAÇÃO DE ESTRUTURAS DE CONCRETO ARMADO, EXCETO VIGAS, PILARES, LAJES E FUNDAÇÕES, UTILIZANDO AÇO CA-60 DE 5,0 MM - MONTAGEM. AF_12/2015</t>
  </si>
  <si>
    <t>ARMAÇÃO DE ESTRUTURAS DE CONCRETO ARMADO, EXCETO VIGAS, PILARES, LAJES E FUNDAÇÕES, UTILIZANDO AÇO CA-50 DE 6,3 MM - MONTAGEM. AF_12/2015</t>
  </si>
  <si>
    <t>ARMAÇÃO DE ESTRUTURAS DE CONCRETO ARMADO, EXCETO VIGAS, PILARES, LAJES E FUNDAÇÕES, UTILIZANDO AÇO CA-50 DE 8,0 MM - MONTAGEM. AF_12/2015</t>
  </si>
  <si>
    <t>ARMAÇÃO DE ESTRUTURAS DE CONCRETO ARMADO, EXCETO VIGAS, PILARES, LAJES E FUNDAÇÕES, UTILIZANDO AÇO CA-50 DE 10,0 MM - MONTAGEM. AF_12/2015</t>
  </si>
  <si>
    <t>ARMAÇÃO DE ESTRUTURAS DE CONCRETO ARMADO, EXCETO VIGAS, PILARES, LAJES E FUNDAÇÕES, UTILIZANDO AÇO CA-50 DE 12,5 MM - MONTAGEM. AF_12/2015</t>
  </si>
  <si>
    <t>ARMAÇÃO DE ESTRUTURAS DE CONCRETO ARMADO, EXCETO VIGAS, PILARES, LAJES E FUNDAÇÕES, UTILIZANDO AÇO CA-50 DE 16,0 MM - MONTAGEM. AF_12/2015</t>
  </si>
  <si>
    <t>ARMAÇÃO DE ESTRUTURAS DE CONCRETO ARMADO, EXCETO VIGAS, PILARES, LAJES E FUNDAÇÕES, UTILIZANDO AÇO CA-50 DE 20,0 MM - MONTAGEM. AF_12/2015</t>
  </si>
  <si>
    <t>ARMAÇÃO DE ESTRUTURAS DE CONCRETO ARMADO, EXCETO VIGAS, PILARES, LAJES E FUNDAÇÕES, UTILIZANDO AÇO CA-50 DE 25,0 MM - MONTAGEM. AF_12/2015</t>
  </si>
  <si>
    <t>VERGAS E CONTRA VERGAS</t>
  </si>
  <si>
    <t xml:space="preserve">vão a descontar </t>
  </si>
  <si>
    <t xml:space="preserve">FORNECIMENTO E INSTALAÇÃO DE BANCADAS EM GRANITO POLIDO ESP =2,5CM A 3,0CM </t>
  </si>
  <si>
    <t xml:space="preserve">ESQUADRIAS </t>
  </si>
  <si>
    <t>FORNECIMENTO E INSTALAÇÃO DE CASA DE GÁS MODELO PADRÃO DE 2,00X1,00</t>
  </si>
  <si>
    <t xml:space="preserve">INSTALAÇÕES DE GÁS </t>
  </si>
  <si>
    <t>MANOMETRO COM CAIXA EM ACO PINTADO, ESCALA *10* KGF/CM2 (*10* BAR), DIAMETRO NOMINAL DE 100 MM, CONEXAO DE 1/2" - FORNECIMENTO E INSTALAÇÃO</t>
  </si>
  <si>
    <t>REGUALADOR DE 1º ESTÁGIO PARA 10KG</t>
  </si>
  <si>
    <t xml:space="preserve">REGUALADOR DE 1º ESTÁGIO PARA 10KG - FORNECIMENTO E INSTALAÇÃO </t>
  </si>
  <si>
    <t>FITA ADESIVA ANTICORROSIVA DE PVC FLEXIVEL, COR PRETA, PARA PROTECAO TUBULACAO, 50 MM X 30 M (L X C), E= *0,25* MM - FORNECIMETNO E INSTALAÇÃO</t>
  </si>
  <si>
    <t>VALVULA DE RETENCAO VERTICAL, DE BRONZE (PN-16), 3/4", 200 PSI, EXTREMIDADES COM ROSCA - FORNECIMENTO E INSTALAÇÃO</t>
  </si>
  <si>
    <t xml:space="preserve">VENTILADOR DE TETO SIMPLES </t>
  </si>
  <si>
    <t>DISPOSITIVO DPS CLASSE II, 1 POLO, TENSAO MAXIMA DE 175 V, CORRENTE MAXIMA DE *45* KA (TIPO AC) - FORNECIMENTO E INSTALAÇAO</t>
  </si>
  <si>
    <t>VENTILADOR DE TETO SIMPLES - FORNECIMENTO E INSTALAÇÃO</t>
  </si>
  <si>
    <t>PLACA DE SINALIZACAO DE SEGURANCA CONTRA INCENDIO, FOTOLUMINESCENTE, RETANGULAR, *20 X 40* CM, EM PVC *2* MM ANTI-CHAMAS (SIMBOLOS, CORES E PICTOGRAMAS CONFORME NBR 13434) - FORNECIMENTO E INSTALAÇÃO</t>
  </si>
  <si>
    <t>PLACA DE SINALIZACAO DE SEGURANCA CONTRA INCENDIO - ALERTA, TRIANGULAR, BASE DE *30* CM, EM PVC *2* MM ANTI-CHAMAS (SIMBOLOS, CORES E PICTOGRAMAS CONFORME NBR 13434) - FORNECIMENTO E INSTALAÇÃO</t>
  </si>
  <si>
    <t xml:space="preserve">INSTALAÇÕES ELÉTRICAS </t>
  </si>
  <si>
    <t xml:space="preserve">COBERTURA </t>
  </si>
  <si>
    <t xml:space="preserve">RAMPAS </t>
  </si>
  <si>
    <t>PORCENTAGEM PREVISTA</t>
  </si>
  <si>
    <t>altura pé direito (m)</t>
  </si>
  <si>
    <t>REATERRO MANUAL APILOADO COM SOQUETE. AF_10/2017</t>
  </si>
  <si>
    <t>GUARDA-CORPO FIXADO EM FÔRMA DE MADEIRA COM TRAVESSÕES EM MADEIRA PREGADA E FECHAMENTO EM TELA DE POLIPROPILENO PARA EDIFICAÇÕES COM ATÉ 2 PAVIMENTOS. AF_11/2017</t>
  </si>
  <si>
    <t>GUARDA-CORPO FIXADO EM FÔRMA DE MADEIRA COM TRAVESSÕES EM MADEIRA PREGADA E FECHAMENTO EM TELA DE POLIPROPILENO PARA EDIFICAÇÕES COM  3 PAVIMENTOS. AF_11/2017</t>
  </si>
  <si>
    <t>GUARDA-CORPO FIXADO EM FÔRMA DE MADEIRA COM TRAVESSÕES EM MADEIRA PREGADA E FECHAMENTO EM TELA DE POLIPROPILENO PARA EDIFICAÇÕES COM ALTURA IGUAL OU SUPERIOR A 4 PAVIMENTOS. AF_11/2017</t>
  </si>
  <si>
    <t>GUARDA-CORPO FIXADO EM FÔRMA DE MADEIRA COM TRAVESSÕES EM MADEIRA PREGADA E FECHAMENTO EM PAINEL COMPENSADO PARA EDIFICAÇÕES COM ATÉ 2 PAVIMENTOS. AF_11/2017</t>
  </si>
  <si>
    <t>GUARDA-CORPO FIXADO EM FÔRMA DE MADEIRA COM TRAVESSÕES EM MADEIRA PREGADA E FECHAMENTO EM PAINEL COMPENSADO PARA EDIFICAÇÕES COM 3 PAVIMENTOS. AF_11/2017</t>
  </si>
  <si>
    <t>GUARDA-CORPO FIXADO EM FÔRMA DE MADEIRA COM TRAVESSÕES EM MADEIRA PREGADA E FECHAMENTO EM PAINEL COMPENSADO PARA EDIFICAÇÕES COM ALTURA IGUAL OU SUPERIOR A 4 PAVIMENTOS. AF_11/2017</t>
  </si>
  <si>
    <t>GUARDA-CORPO FIXADO EM FÔRMA DE MADEIRA COM TRAVESSÕES EM MADEIRA PREGADA PRÉ-MONTADA E ENCAIXE NA FÔRMA. PARA EDIFICAÇÕES COM ATÉ 2 PAVIMENTOS. AF_11/2017</t>
  </si>
  <si>
    <t>GUARDA-CORPO FIXADO EM FÔRMA DE MADEIRA COM TRAVESSÕES EM MADEIRA PREGADA PRÉ-MONTADA E ENCAIXE NA FÔRMA PARA EDIFICAÇÕES COM 3 PAVIMENTOS. AF_11/2017</t>
  </si>
  <si>
    <t>GUARDA-CORPO FIXADO EM FÔRMA DE MADEIRA COM TRAVESSÕES EM MADEIRA PREGADA PRÉ-MONTADA E ENCAIXE NA FÔRMA. PARA EDIFICAÇÕES COM ALTURA IGUAL OU SUPERIOR A 4 PAVIMENTOS. AF_11/2017</t>
  </si>
  <si>
    <t>GUARDA-CORPO EM LAJE PÓS-DESFÔRMA, PARA ESTRUTURAS EM CONCRETO, COM ESCORAS DE MADEIRA ESTRONCADAS NA ESTRUTURA, TRAVESSÕES DE MADEIRA PREGADOS E FECHAMENTO EM TELA DE POLIPROPILENO PARA EDIFICAÇÕES COM ALTURA ATÉ 4 PAVIMENTOS (1 MONTAGEM POR OBRA). AF_11/2017</t>
  </si>
  <si>
    <t>FECHAMENTO REMOVÍVEL DE VÃO DE PORTAS, EM MADEIRA (VÃO DO ELEVADOR)  1 MONTAGEM EM OBRA. AF_11/2017</t>
  </si>
  <si>
    <t>FECHAMENTO REMOVÍVEL DE ABERTURA DE CAIXILHO, EM MADEIRA  4 MONTAGENS EM OBRA. AF_11/2017</t>
  </si>
  <si>
    <t>FECHAMENTO REMOVÍVEL DE ABERTURA NO PISO, EM MADEIRA  1 MONTAGEM EM OBRA. AF_11/2017</t>
  </si>
  <si>
    <t>COLOCAÇÃO DE TELA EM ANDAIME FACHADEIRO. AF_11/2017</t>
  </si>
  <si>
    <t>MONTAGEM E DESMONTAGEM DE ANDAIME MODULAR FACHADEIRO, COM PISO METÁLICO, PARA EDIFICAÇÕES COM MÚLTIPLOS PAVIMENTOS (EXCLUSIVE ANDAIME E LIMPEZA). AF_11/2017</t>
  </si>
  <si>
    <t>MONTAGEM E DESMONTAGEM DE ANDAIME TUBULAR TIPO TORRE (EXCLUSIVE ANDAIME E LIMPEZA). AF_11/2017</t>
  </si>
  <si>
    <t>MONTAGEM E DESMONTAGEM DE ANDAIME MULTIDIRECIONAL (EXCLUSIVE ANDAIME E LIMPEZA). AF_11/2017</t>
  </si>
  <si>
    <t>PLATAFORMA DE PROTEÇÃO PRINCIPAL PARA ALVENARIA ESTRUTURAL PARA SER APOIADA EM ANDAIME, INCLUSIVE MONTAGEM E DESMONTAGEM. AF_11/2017</t>
  </si>
  <si>
    <t>ESCAVAÇÃO MANUAL DE VIGA DE BORDA PARA RADIER. AF_09/2017</t>
  </si>
  <si>
    <t>COMPACTAÇÃO MECÂNICA DE SOLO PARA EXECUÇÃO DE RADIER, COM COMPACTADOR DE SOLOS A PERCUSSÃO. AF_09/2017</t>
  </si>
  <si>
    <t>COMPACTAÇÃO MECÂNICA DE SOLO PARA EXECUÇÃO DE RADIER, COM COMPACTADOR DE SOLOS TIPO PLACA VIBRATÓRIA. AF_09/2017</t>
  </si>
  <si>
    <t>FABRICAÇÃO, MONTAGEM E DESMONTAGEM DE FORMA PARA RADIER, EM MADEIRA SERRADA, 4 UTILIZAÇÕES. AF_09/2017</t>
  </si>
  <si>
    <t>CONCRETAGEM DE RADIER, PISO OU LAJE SOBRE SOLO, FCK 30 MPA, PARA ESPESSURA DE 10 CM - LANÇAMENTO, ADENSAMENTO E ACABAMENTO. AF_09/2017</t>
  </si>
  <si>
    <t>CONCRETAGEM DE RADIER, PISO OU LAJE SOBRE SOLO, FCK 30 MPA, PARA ESPESSURA DE 15 CM - LANÇAMENTO, ADENSAMENTO E ACABAMENTO. AF_09/2017</t>
  </si>
  <si>
    <t>CONCRETAGEM DE RADIER, PISO OU LAJE SOBRE SOLO, FCK 30 MPA, PARA ESPESSURA DE 20 CM - LANÇAMENTO, ADENSAMENTO E ACABAMENTO. AF_09/2017</t>
  </si>
  <si>
    <t>EXECUÇÃO DE JUNTAS DE CONTRAÇÃO PARA PAVIMENTOS DE CONCRETO. AF_11/2017</t>
  </si>
  <si>
    <t>APLICAÇÃO DE GRAXA EM BARRAS DE TRANSFERÊNCIA PARA EXECUÇÃO DE PAVIMENTO DE CONCRETO. AF_11/2017</t>
  </si>
  <si>
    <t>BARRAS DE LIGAÇÃO, AÇO CA-50 DE 10 MM, PARA EXECUÇÃO DE PAVIMENTO DE CONCRETO  FORNECIMENTO E INSTALAÇÃO. AF_11/2017</t>
  </si>
  <si>
    <t>ASSENTAMENTO DE TUBO DE PVC PBA PARA REDE DE ÁGUA, DN 50 MM, JUNTA ELÁSTICA INTEGRADA, INSTALADO EM LOCAL COM NÍVEL ALTO DE INTERFERÊNCIAS (NÃO INCLUI FORNECIMENTO). AF_11/2017</t>
  </si>
  <si>
    <t>ASSENTAMENTO DE TUBO DE PVC PBA PARA REDE DE ÁGUA, DN 75 MM, JUNTA ELÁSTICA INTEGRADA, INSTALADO EM LOCAL COM NÍVEL ALTO DE INTERFERÊNCIAS (NÃO INCLUI FORNECIMENTO). AF_11/2017</t>
  </si>
  <si>
    <t>ASSENTAMENTO DE TUBO DE PVC PBA PARA REDE DE ÁGUA, DN 100 MM, JUNTA ELÁSTICA INTEGRADA, INSTALADO EM LOCAL COM NÍVEL ALTO DE INTERFERÊNCIAS (NÃO INCLUI FORNECIMENTO). AF_11/2017</t>
  </si>
  <si>
    <t>ASSENTAMENTO DE TUBO DE PVC PBA PARA REDE DE ÁGUA, DN 50 MM, JUNTA ELÁSTICA INTEGRADA, INSTALADO EM LOCAL COM NÍVEL BAIXO DE INTERFERÊNCIAS (NÃO INCLUI FORNECIMENTO). AF_11/2017</t>
  </si>
  <si>
    <t>ASSENTAMENTO DE TUBO DE PVC PBA PARA REDE DE ÁGUA, DN 75 MM, JUNTA ELÁSTICA INTEGRADA, INSTALADO EM LOCAL COM NÍVEL BAIXO DE INTERFERÊNCIAS (NÃO INCLUI FORNECIMENTO). AF_11/2017</t>
  </si>
  <si>
    <t>ASSENTAMENTO DE TUBO DE PVC PBA PARA REDE DE ÁGUA, DN 100 MM, JUNTA ELÁSTICA INTEGRADA, INSTALADO EM LOCAL COM NÍVEL BAIXO DE INTERFERÊNCIAS (NÃO INCLUI FORNECIMENTO). AF_11/2017</t>
  </si>
  <si>
    <t>ASSENTAMENTO DE TUBO DE PVC DEFOFO OU PRFV OU RPVC PARA REDE DE ÁGUA, DN 150 MM, JUNTA ELÁSTICA INTEGRADA, INSTALADO EM LOCAL COM NÍVEL ALTO DE INTERFERÊNCIAS (NÃO INCLUI FORNECIMENTO). AF_11/2017</t>
  </si>
  <si>
    <t>ASSENTAMENTO DE TUBO DE PVC DEFOFO OU PRFV OU RPVC PARA REDE DE ÁGUA, DN 200 MM, JUNTA ELÁSTICA INTEGRADA, INSTALADO EM LOCAL COM NÍVEL ALTO DE INTERFERÊNCIAS (NÃO INCLUI FORNECIMENTO). AF_11/2017</t>
  </si>
  <si>
    <t>ASSENTAMENTO DE TUBO DE PVC DEFOFO OU PRFV OU RPVC PARA REDE DE ÁGUA, DN 250 MM, JUNTA ELÁSTICA INTEGRADA, INSTALADO EM LOCAL COM NÍVEL ALTO DE INTERFERÊNCIAS (NÃO INCLUI FORNECIMENTO). AF_11/2017</t>
  </si>
  <si>
    <t>ASSENTAMENTO DE TUBO DE PVC DEFOFO OU PRFV OU RPVC PARA REDE DE ÁGUA, DN 300 MM, JUNTA ELÁSTICA INTEGRADA, INSTALADO EM LOCAL COM NÍVEL ALTO DE INTERFERÊNCIAS (NÃO INCLUI FORNECIMENTO). AF_11/2017</t>
  </si>
  <si>
    <t>ASSENTAMENTO DE TUBO DE PVC DEFOFO OU PRFV OU RPVC PARA REDE DE ÁGUA, DN 350 MM, JUNTA ELÁSTICA INTEGRADA, INSTALADO EM LOCAL COM NÍVEL ALTO DE INTERFERÊNCIAS (NÃO INCLUI FORNECIMENTO). AF_11/2017</t>
  </si>
  <si>
    <t>ASSENTAMENTO DE TUBO DE PVC DEFOFO OU PRFV OU RPVC PARA REDE DE ÁGUA, DN 400 MM, JUNTA ELÁSTICA INTEGRADA, INSTALADO EM LOCAL COM NÍVEL ALTO DE INTERFERÊNCIAS (NÃO INCLUI FORNECIMENTO). AF_11/2017</t>
  </si>
  <si>
    <t>ASSENTAMENTO DE TUBO DE PVC DEFOFO OU PRFV OU RPVC PARA REDE DE ÁGUA, DN 500 MM, JUNTA ELÁSTICA INTEGRADA, INSTALADO EM LOCAL COM NÍVEL ALTO DE INTERFERÊNCIAS (NÃO INCLUI FORNECIMENTO). AF_11/2017</t>
  </si>
  <si>
    <t>ASSENTAMENTO DE TUBO DE PVC DEFOFO OU PRFV OU RPVC PARA REDE DE ÁGUA, DN 150 MM, JUNTA ELÁSTICA INTEGRADA, INSTALADO EM LOCAL COM NÍVEL BAIXO DE INTERFERÊNCIAS (NÃO INCLUI FORNECIMENTO). AF_11/2017</t>
  </si>
  <si>
    <t>ASSENTAMENTO DE TUBO DE PVC DEFOFO OU PRFV OU RPVC PARA REDE DE ÁGUA, DN 200 MM, JUNTA ELÁSTICA INTEGRADA, INSTALADO EM LOCAL COM NÍVEL BAIXO DE INTERFERÊNCIAS (NÃO INCLUI FORNECIMENTO). AF_11/2017</t>
  </si>
  <si>
    <t>ASSENTAMENTO DE TUBO DE PVC DEFOFO OU PRFV OU RPVC PARA REDE DE ÁGUA, DN 250 MM, JUNTA ELÁSTICA INTEGRADA, INSTALADO EM LOCAL COM NÍVEL BAIXO DE INTERFERÊNCIAS (NÃO INCLUI FORNECIMENTO). AF_11/2017</t>
  </si>
  <si>
    <t>ASSENTAMENTO DE TUBO DE PVC DEFOFO OU PRFV OU RPVC PARA REDE DE ÁGUA, DN 300 MM, JUNTA ELÁSTICA INTEGRADA, INSTALADO EM LOCAL COM NÍVEL BAIXO DE INTERFERÊNCIAS (NÃO INCLUI FORNECIMENTO). AF_11/2017</t>
  </si>
  <si>
    <t>ASSENTAMENTO DE TUBO DE PVC DEFOFO OU PRFV OU RPVC PARA REDE DE ÁGUA, DN 350 MM, JUNTA ELÁSTICA INTEGRADA, INSTALADO EM LOCAL COM NÍVEL BAIXO DE INTERFERÊNCIAS (NÃO INCLUI FORNECIMENTO). AF_11/2017</t>
  </si>
  <si>
    <t>ASSENTAMENTO DE TUBO DE PVC DEFOFO OU PRFV OU RPVC PARA REDE DE ÁGUA, DN 400 MM, JUNTA ELÁSTICA INTEGRADA, INSTALADO EM LOCAL COM NÍVEL BAIXO DE INTERFERÊNCIAS (NÃO INCLUI FORNECIMENTO). AF_11/2017</t>
  </si>
  <si>
    <t>ASSENTAMENTO DE TUBO DE PVC DEFOFO OU PRFV OU RPVC PARA REDE DE ÁGUA, DN 500 MM, JUNTA ELÁSTICA INTEGRADA, INSTALADO EM LOCAL COM NÍVEL BAIXO DE INTERFERÊNCIAS (NÃO INCLUI FORNECIMENTO). AF_11/2017</t>
  </si>
  <si>
    <t>ASSENTAMENTO DE TUBO DE FERRO FUNDIDO PARA REDE DE ÁGUA, DN 80 MM, JUNTA ELÁSTICA, INSTALADO EM LOCAL COM NÍVEL ALTO DE INTERFERÊNCIAS (NÃO INCLUI FORNECIMENTO). AF_11/2017</t>
  </si>
  <si>
    <t>ASSENTAMENTO DE TUBO DE FERRO FUNDIDO PARA REDE DE ÁGUA, DN 100 MM, JUNTA ELÁSTICA, INSTALADO EM LOCAL COM NÍVEL ALTO DE INTERFERÊNCIAS (NÃO INCLUI FORNECIMENTO). AF_11/2017</t>
  </si>
  <si>
    <t>ASSENTAMENTO DE TUBO DE FERRO FUNDIDO PARA REDE DE ÁGUA, DN 150 MM, JUNTA ELÁSTICA, INSTALADO EM LOCAL COM NÍVEL ALTO DE INTERFERÊNCIAS (NÃO INCLUI FORNECIMENTO). AF_11/2017</t>
  </si>
  <si>
    <t>ASSENTAMENTO DE TUBO DE FERRO FUNDIDO PARA REDE DE ÁGUA, DN 200 MM, JUNTA ELÁSTICA, INSTALADO EM LOCAL COM NÍVEL ALTO DE INTERFERÊNCIAS (NÃO INCLUI FORNECIMENTO). AF_11/2017</t>
  </si>
  <si>
    <t>ASSENTAMENTO DE TUBO DE FERRO FUNDIDO PARA REDE DE ÁGUA, DN 250 MM, JUNTA ELÁSTICA, INSTALADO EM LOCAL COM NÍVEL ALTO DE INTERFERÊNCIAS (NÃO INCLUI FORNECIMENTO). AF_11/2017</t>
  </si>
  <si>
    <t>ASSENTAMENTO DE TUBO DE FERRO FUNDIDO PARA REDE DE ÁGUA, DN 300 MM, JUNTA ELÁSTICA, INSTALADO EM LOCAL COM NÍVEL ALTO DE INTERFERÊNCIAS (NÃO INCLUI FORNECIMENTO). AF_11/2017</t>
  </si>
  <si>
    <t>ASSENTAMENTO DE TUBO DE FERRO FUNDIDO PARA REDE DE ÁGUA, DN 350 MM, JUNTA ELÁSTICA, INSTALADO EM LOCAL COM NÍVEL ALTO DE INTERFERÊNCIAS (NÃO INCLUI FORNECIMENTO). AF_11/2017</t>
  </si>
  <si>
    <t>ASSENTAMENTO DE TUBO DE FERRO FUNDIDO PARA REDE DE ÁGUA, DN 400 MM, JUNTA ELÁSTICA, INSTALADO EM LOCAL COM NÍVEL ALTO DE INTERFERÊNCIAS (NÃO INCLUI FORNECIMENTO). AF_11/2017</t>
  </si>
  <si>
    <t>ASSENTAMENTO DE TUBO DE FERRO FUNDIDO PARA REDE DE ÁGUA, DN 450 MM, JUNTA ELÁSTICA, INSTALADO EM LOCAL COM NÍVEL ALTO DE INTERFERÊNCIAS (NÃO INCLUI FORNECIMENTO). AF_11/2017</t>
  </si>
  <si>
    <t>ASSENTAMENTO DE TUBO DE FERRO FUNDIDO PARA REDE DE ÁGUA, DN 500 MM, JUNTA ELÁSTICA, INSTALADO EM LOCAL COM NÍVEL ALTO DE INTERFERÊNCIAS (NÃO INCLUI FORNECIMENTO). AF_11/2017</t>
  </si>
  <si>
    <t>ASSENTAMENTO DE TUBO DE FERRO FUNDIDO PARA REDE DE ÁGUA, DN 600 MM, JUNTA ELÁSTICA, INSTALADO EM LOCAL COM NÍVEL ALTO DE INTERFERÊNCIAS (NÃO INCLUI FORNECIMENTO). AF_11/2017</t>
  </si>
  <si>
    <t>ASSENTAMENTO DE TUBO DE FERRO FUNDIDO PARA REDE DE ÁGUA, DN 700 MM, JUNTA ELÁSTICA, INSTALADO EM LOCAL COM NÍVEL ALTO DE INTERFERÊNCIAS (NÃO INCLUI FORNECIMENTO). AF_11/2017</t>
  </si>
  <si>
    <t>ASSENTAMENTO DE TUBO DE FERRO FUNDIDO PARA REDE DE ÁGUA, DN 800 MM, JUNTA ELÁSTICA, INSTALADO EM LOCAL COM NÍVEL ALTO DE INTERFERÊNCIAS (NÃO INCLUI FORNECIMENTO). AF_11/2017</t>
  </si>
  <si>
    <t>ASSENTAMENTO DE TUBO DE FERRO FUNDIDO PARA REDE DE ÁGUA, DN 900 MM, JUNTA ELÁSTICA, INSTALADO EM LOCAL COM NÍVEL ALTO DE INTERFERÊNCIAS (NÃO INCLUI FORNECIMENTO). AF_11/2017</t>
  </si>
  <si>
    <t>ASSENTAMENTO DE TUBO DE FERRO FUNDIDO PARA REDE DE ÁGUA, DN 1000 MM, JUNTA ELÁSTICA, INSTALADO EM LOCAL COM NÍVEL ALTO DE INTERFERÊNCIAS (NÃO INCLUI FORNECIMENTO). AF_11/2017</t>
  </si>
  <si>
    <t>ASSENTAMENTO DE TUBO DE FERRO FUNDIDO PARA REDE DE ÁGUA, DN 1200 MM, JUNTA ELÁSTICA, INSTALADO EM LOCAL COM NÍVEL ALTO DE INTERFERÊNCIAS (NÃO INCLUI FORNECIMENTO). AF_11/2017</t>
  </si>
  <si>
    <t>ASSENTAMENTO DE TUBO DE FERRO FUNDIDO PARA REDE DE ÁGUA, DN 80 MM, JUNTA ELÁSTICA, INSTALADO EM LOCAL COM NÍVEL BAIXO DE INTERFERÊNCIAS (NÃO INCLUI FORNECIMENTO). AF_11/2017</t>
  </si>
  <si>
    <t>ASSENTAMENTO DE TUBO DE FERRO FUNDIDO PARA REDE DE ÁGUA, DN 100 MM, JUNTA ELÁSTICA, INSTALADO EM LOCAL COM NÍVEL BAIXO DE INTERFERÊNCIAS (NÃO INCLUI FORNECIMENTO). AF_11/2017</t>
  </si>
  <si>
    <t>ASSENTAMENTO DE TUBO DE FERRO FUNDIDO PARA REDE DE ÁGUA, DN 150 MM, JUNTA ELÁSTICA, INSTALADO EM LOCAL COM NÍVEL BAIXO DE INTERFERÊNCIAS (NÃO INCLUI FORNECIMENTO). AF_11/2017</t>
  </si>
  <si>
    <t>ASSENTAMENTO DE TUBO DE FERRO FUNDIDO PARA REDE DE ÁGUA, DN 200 MM, JUNTA ELÁSTICA, INSTALADO EM LOCAL COM NÍVEL BAIXO DE INTERFERÊNCIAS (NÃO INCLUI FORNECIMENTO). AF_11/2017</t>
  </si>
  <si>
    <t>ASSENTAMENTO DE TUBO DE FERRO FUNDIDO PARA REDE DE ÁGUA, DN 250 MM, JUNTA ELÁSTICA, INSTALADO EM LOCAL COM NÍVEL BAIXO DE INTERFERÊNCIAS (NÃO INCLUI FORNECIMENTO). AF_11/2017</t>
  </si>
  <si>
    <t>ASSENTAMENTO DE TUBO DE FERRO FUNDIDO PARA REDE DE ÁGUA, DN 300 MM, JUNTA ELÁSTICA, INSTALADO EM LOCAL COM NÍVEL BAIXO DE INTERFERÊNCIAS (NÃO INCLUI FORNECIMENTO). AF_11/2017</t>
  </si>
  <si>
    <t>ASSENTAMENTO DE TUBO DE FERRO FUNDIDO PARA REDE DE ÁGUA, DN 350 MM, JUNTA ELÁSTICA, INSTALADO EM LOCAL COM NÍVEL BAIXO DE INTERFERÊNCIAS (NÃO INCLUI FORNECIMENTO). AF_11/2017</t>
  </si>
  <si>
    <t>ASSENTAMENTO DE TUBO DE FERRO FUNDIDO PARA REDE DE ÁGUA, DN 400 MM, JUNTA ELÁSTICA, INSTALADO EM LOCAL COM NÍVEL BAIXO DE INTERFERÊNCIAS (NÃO INCLUI FORNECIMENTO). AF_11/2017</t>
  </si>
  <si>
    <t>ASSENTAMENTO DE TUBO DE FERRO FUNDIDO PARA REDE DE ÁGUA, DN 450 MM, JUNTA ELÁSTICA, INSTALADO EM LOCAL COM NÍVEL BAIXO DE INTERFERÊNCIAS (NÃO INCLUI FORNECIMENTO). AF_11/2017</t>
  </si>
  <si>
    <t>ASSENTAMENTO DE TUBO DE FERRO FUNDIDO PARA REDE DE ÁGUA, DN 500 MM, JUNTA ELÁSTICA, INSTALADO EM LOCAL COM NÍVEL BAIXO DE INTERFERÊNCIAS (NÃO INCLUI FORNECIMENTO). AF_11/2017</t>
  </si>
  <si>
    <t>ASSENTAMENTO DE TUBO DE FERRO FUNDIDO PARA REDE DE ÁGUA, DN 600 MM, JUNTA ELÁSTICA, INSTALADO EM LOCAL COM NÍVEL BAIXO DE INTERFERÊNCIAS (NÃO INCLUI FORNECIMENTO). AF_11/2017</t>
  </si>
  <si>
    <t>ASSENTAMENTO DE TUBO DE FERRO FUNDIDO PARA REDE DE ÁGUA, DN 700 MM, JUNTA ELÁSTICA, INSTALADO EM LOCAL COM NÍVEL BAIXO DE INTERFERÊNCIAS (NÃO INCLUI FORNECIMENTO). AF_11/2017</t>
  </si>
  <si>
    <t>ASSENTAMENTO DE TUBO DE FERRO FUNDIDO PARA REDE DE ÁGUA, DN 800 MM, JUNTA ELÁSTICA, INSTALADO EM LOCAL COM NÍVEL BAIXO DE INTERFERÊNCIAS (NÃO INCLUI FORNECIMENTO). AF_11/2017</t>
  </si>
  <si>
    <t>ASSENTAMENTO DE TUBO DE FERRO FUNDIDO PARA REDE DE ÁGUA, DN 900 MM, JUNTA ELÁSTICA, INSTALADO EM LOCAL COM NÍVEL BAIXO DE INTERFERÊNCIAS (NÃO INCLUI FORNECIMENTO). AF_11/2017</t>
  </si>
  <si>
    <t>ASSENTAMENTO DE TUBO DE FERRO FUNDIDO PARA REDE DE ÁGUA, DN 1000 MM, JUNTA ELÁSTICA, INSTALADO EM LOCAL COM NÍVEL BAIXO DE INTERFERÊNCIAS (NÃO INCLUI FORNECIMENTO). AF_11/2017</t>
  </si>
  <si>
    <t>ASSENTAMENTO DE TUBO DE FERRO FUNDIDO PARA REDE DE ÁGUA, DN 1200 MM, JUNTA ELÁSTICA, INSTALADO EM LOCAL COM NÍVEL BAIXO DE INTERFERÊNCIAS (NÃO INCLUI FORNECIMENTO). AF_11/2017</t>
  </si>
  <si>
    <t>ASSENTAMENTO DE TUBO DE AÇO CARBONO PARA REDE DE ÁGUA, DN 600 MM (24), JUNTA SOLDADA, INSTALADO EM LOCAL COM NÍVEL ALTO DE INTERFERÊNCIAS (NÃO INCLUI FORNECIMENTO). AF_11/2017</t>
  </si>
  <si>
    <t>ASSENTAMENTO DE TUBO DE AÇO CARBONO PARA REDE DE ÁGUA, DN 700 MM (28), JUNTA SOLDADA, INSTALADO EM LOCAL COM NÍVEL ALTO DE INTERFERÊNCIAS (NÃO INCLUI FORNECIMENTO). AF_11/2017</t>
  </si>
  <si>
    <t>ASSENTAMENTO DE TUBO DE AÇO CARBONO PARA REDE DE ÁGUA, DN 800 MM (32), JUNTA SOLDADA, INSTALADO EM LOCAL COM NÍVEL ALTO DE INTERFERÊNCIAS (NÃO INCLUI FORNECIMENTO). AF_11/2017</t>
  </si>
  <si>
    <t>ASSENTAMENTO DE TUBO DE AÇO CARBONO PARA REDE DE ÁGUA, DN 900 MM (36), JUNTA SOLDADA, INSTALADO EM LOCAL COM NÍVEL ALTO DE INTERFERÊNCIAS (NÃO INCLUI FORNECIMENTO). AF_11/2017</t>
  </si>
  <si>
    <t>ASSENTAMENTO DE TUBO DE AÇO CARBONO PARA REDE DE ÁGUA, DN 1000 MM (40) OU DN 1100 MM (44), JUNTA SOLDADA, INSTALADO EM LOCAL COM NÍVEL ALTO DE INTERFERÊNCIAS (NÃO INCLUI FORNECIMENTO). AF_11/2017</t>
  </si>
  <si>
    <t>ASSENTAMENTO DE TUBO DE AÇO CARBONO PARA REDE DE ÁGUA, DN 1200 MM (48) OU DN 1300 MM (52), JUNTA SOLDADA, INSTALADO EM LOCAL COM NÍVEL ALTO DE INTERFERÊNCIAS (NÃO INCLUI FORNECIMENTO). AF_11/2017</t>
  </si>
  <si>
    <t>ASSENTAMENTO DE TUBO DE AÇO CARBONO PARA REDE DE ÁGUA, DN 1400 MM (56'') OU DN 1500 MM (60), JUNTA SOLDADA, INSTALADO EM LOCAL COM NÍVEL ALTO DE INTERFERÊNCIAS (NÃO INCLUI FORNECIMENTO). AF_11/2017</t>
  </si>
  <si>
    <t>ASSENTAMENTO DE TUBO DE AÇO CARBONO PARA REDE DE ÁGUA, DN 1600 MM (64) OU DN 1700 MM (68), JUNTA SOLDADA, INSTALADO EM LOCAL COM NÍVEL ALTO DE INTERFERÊNCIAS (NÃO INCLUI FORNECIMENTO). AF_11/2017</t>
  </si>
  <si>
    <t>ASSENTAMENTO DE TUBO DE AÇO CARBONO PARA REDE DE ÁGUA, DN 1800 MM (72) OU DN 1900 MM (76), JUNTA SOLDADA, INSTALADO EM LOCAL COM NÍVEL ALTO DE INTERFERÊNCIAS (NÃO INCLUI FORNECIMENTO). AF_11/2017</t>
  </si>
  <si>
    <t>ASSENTAMENTO DE TUBO DE AÇO CARBONO PARA REDE DE ÁGUA, DN 2000 MM (80) OU DN 2100 MM (84), JUNTA SOLDADA, INSTALADO EM LOCAL COM NÍVEL ALTO DE INTERFERÊNCIAS (NÃO INCLUI FORNECIMENTO). AF_11/2017</t>
  </si>
  <si>
    <t>ASSENTAMENTO DE TUBO DE AÇO CARBONO PARA REDE DE ÁGUA, DN 600 MM (24), JUNTA SOLDADA, INSTALADO EM LOCAL COM NÍVEL BAIXO DE INTERFERÊNCIAS (NÃO INCLUI FORNECIMENTO). AF_11/2017</t>
  </si>
  <si>
    <t>ASSENTAMENTO DE TUBO DE AÇO CARBONO PARA REDE DE ÁGUA, DN 700 MM (28), JUNTA SOLDADA, INSTALADO EM LOCAL COM NÍVEL BAIXO DE INTERFERÊNCIAS (NÃO INCLUI FORNECIMENTO). AF_11/2017</t>
  </si>
  <si>
    <t>ASSENTAMENTO DE TUBO DE AÇO CARBONO PARA REDE DE ÁGUA, DN 800 MM (32), JUNTA SOLDADA, INSTALADO EM LOCAL COM NÍVEL BAIXO DE INTERFERÊNCIAS (NÃO INCLUI FORNECIMENTO). AF_11/2017</t>
  </si>
  <si>
    <t>ASSENTAMENTO DE TUBO DE AÇO CARBONO PARA REDE DE ÁGUA, DN 900 MM (36), JUNTA SOLDADA, INSTALADO EM LOCAL COM NÍVEL BAIXO DE INTERFERÊNCIAS (NÃO INCLUI FORNECIMENTO). AF_11/2017</t>
  </si>
  <si>
    <t>ASSENTAMENTO DE TUBO DE AÇO CARBONO PARA REDE DE ÁGUA, DN 1200 MM (48) OU DN 1300 MM (52), JUNTA SOLDADA, INSTALADO EM LOCAL COM NÍVEL BAIXO DE INTERFERÊNCIAS (NÃO INCLUI FORNECIMENTO). AF_11/2017</t>
  </si>
  <si>
    <t>ASSENTAMENTO DE TUBO DE AÇO CARBONO PARA REDE DE ÁGUA, DN 1400 MM (56'') OU DN 1500 MM (60), JUNTA SOLDADA, INSTALADO EM LOCAL COM NÍVEL BAIXO DE INTERFERÊNCIAS (NÃO INCLUI FORNECIMENTO). AF_11/2017</t>
  </si>
  <si>
    <t>ASSENTAMENTO DE TUBO DE AÇO CARBONO PARA REDE DE ÁGUA, DN 1600 MM (64) OU DN 1700 MM (68), JUNTA SOLDADA, INSTALADO EM LOCAL COM NÍVEL BAIXO DE INTERFERÊNCIAS (NÃO INCLUI FORNECIMENTO). AF_11/2017</t>
  </si>
  <si>
    <t>ASSENTAMENTO DE TUBO DE AÇO CARBONO PARA REDE DE ÁGUA, DN 1800 MM (72) OU DN 1900 MM (76), JUNTA SOLDADA, INSTALADO EM LOCAL COM NÍVEL BAIXO DE INTERFERÊNCIAS (NÃO INCLUI FORNECIMENTO). AF_11/2017</t>
  </si>
  <si>
    <t>ASSENTAMENTO DE TUBO DE AÇO CARBONO PARA REDE DE ÁGUA, DN 2000 MM (80) OU DN 2100 MM (84), JUNTA SOLDADA, INSTALADO EM LOCAL COM NÍVEL BAIXO DE INTERFERÊNCIAS (NÃO INCLUI FORNECIMENTO). AF_11/2017</t>
  </si>
  <si>
    <t xml:space="preserve">REMOÇÃO DE PEÇAS DE SANITÁRIAS </t>
  </si>
  <si>
    <t>MASSA ÚNICA, PARA RECEBIMENTO DE PINTURA OU CERÂMICA, ARGAMASSA INDUSTRIALIZADA, PREPARO MECÂNICO, APLICADO COM EQUIPAMENTO DE MISTURA E PROJEÇÃO DE 1,5 M3/H EM FACES INTERNAS DE PAREDES, ESPESSURA DE 5MM, SEM EXECUÇÃO DE TALISCAS. AF_06/2014</t>
  </si>
  <si>
    <t>FIXAÇÃO (ENCUNHAMENTO) DE ALVENARIA DE VEDAÇÃO COM ESPUMA DE POLIURETANO EXPANSIVA. AF_03/2016</t>
  </si>
  <si>
    <t>EXECUÇÃO DE RESERVATÓRIO ELEVADO DE ÁGUA (1000 LITROS) EM CANTEIRO DE OBRA, APOIADO EM ESTRUTURA DE MADEIRA. AF_02/2016</t>
  </si>
  <si>
    <t>EXECUÇÃO DE RESERVATÓRIO ELEVADO DE ÁGUA (2000 LITROS) EM CANTEIRO DE OBRA, APOIADO EM ESTRUTURA DE MADEIRA. AF_02/2016</t>
  </si>
  <si>
    <t>MONTAGEM DE ARMADURA LONGITUDINAL/TRANSVERSAL DE ESTACAS DE SEÇÃO CIRCULAR, DIÂMETRO = 8,0 MM. AF_11/2016</t>
  </si>
  <si>
    <t>MONTAGEM DE ARMADURA LONGITUDINAL/TRANSVERSAL DE ESTACAS DE SEÇÃO CIRCULAR, DIÂMETRO = 12,5 MM. AF_11/2016</t>
  </si>
  <si>
    <t>MONTAGEM DE ARMADURA LONGITUDINAL/TRANSVERSAL DE ESTACAS DE SEÇÃO RETANGULAR (BARRETE), DIÂMETRO = 8,0 MM. AF_11/2016</t>
  </si>
  <si>
    <t>MONTAGEM DE ARMADURA LONGITUDINAL/TRANSVERSAL DE ESTACAS DE SEÇÃO RETANGULAR (BARRETE), DIÂMETRO = 12,5 MM. AF_11/2016</t>
  </si>
  <si>
    <t>CORDOALHA DE COBRE NU 16 MM², NÃO ENTERRADA, COM ISOLADOR - FORNECIMENTO E INSTALAÇÃO. AF_12/2017</t>
  </si>
  <si>
    <t>CORDOALHA DE COBRE NU 25 MM², NÃO ENTERRADA, COM ISOLADOR - FORNECIMENTO E INSTALAÇÃO. AF_12/2017</t>
  </si>
  <si>
    <t>CORDOALHA DE COBRE NU 35 MM², NÃO ENTERRADA, COM ISOLADOR - FORNECIMENTO E INSTALAÇÃO. AF_12/2017</t>
  </si>
  <si>
    <t>CORDOALHA DE COBRE NU 50 MM², NÃO ENTERRADA, COM ISOLADOR - FORNECIMENTO E INSTALAÇÃO. AF_12/2017</t>
  </si>
  <si>
    <t>CORDOALHA DE COBRE NU 70 MM², NÃO ENTERRADA, COM ISOLADOR - FORNECIMENTO E INSTALAÇÃO. AF_12/2017</t>
  </si>
  <si>
    <t>CORDOALHA DE COBRE NU 95 MM², NÃO ENTERRADA, COM ISOLADOR - FORNECIMENTO E INSTALAÇÃO. AF_12/2017</t>
  </si>
  <si>
    <t>CORDOALHA DE COBRE NU 50 MM², ENTERRADA, SEM ISOLADOR - FORNECIMENTO E INSTALAÇÃO. AF_12/2017</t>
  </si>
  <si>
    <t>CORDOALHA DE COBRE NU 70 MM², ENTERRADA, SEM ISOLADOR - FORNECIMENTO E INSTALAÇÃO. AF_12/2017</t>
  </si>
  <si>
    <t>CORDOALHA DE COBRE NU 95 MM², ENTERRADA, SEM ISOLADOR - FORNECIMENTO E INSTALAÇÃO. AF_12/2017</t>
  </si>
  <si>
    <t>SUPORTE ISOLADOR PARA CORDOALHA DE COBRE - FORNECIMENTO E INSTALAÇÃO. AF_12/2017</t>
  </si>
  <si>
    <t>ELETRODUTO PVC 40MM (1 ¼ ) PARA SPDA - FORNECIMENTO E INSTALAÇÃO. AF_12/2017</t>
  </si>
  <si>
    <t>HASTE DE ATERRAMENTO 5/8  PARA SPDA - FORNECIMENTO E INSTALAÇÃO. AF_12/2017</t>
  </si>
  <si>
    <t>HASTE DE ATERRAMENTO 3/4  PARA SPDA - FORNECIMENTO E INSTALAÇÃO. AF_12/2017</t>
  </si>
  <si>
    <t>BASE METÁLICA PARA MASTRO 1 ½  PARA SPDA - FORNECIMENTO E INSTALAÇÃO. AF_12/2017</t>
  </si>
  <si>
    <t>MASTRO 1 ½  PARA SPDA - FORNECIMENTO E INSTALAÇÃO. AF_12/2017</t>
  </si>
  <si>
    <t>CAPTOR TIPO FRANKLIN PARA SPDA - FORNECIMENTO E INSTALAÇÃO. AF_12/2017</t>
  </si>
  <si>
    <t>DEMOLIÇÃO DE ALVENARIA DE BLOCO FURADO, DE FORMA MANUAL, COM REAPROVEITAMENTO. AF_12/2017</t>
  </si>
  <si>
    <t>DEMOLIÇÃO DE ALVENARIA DE BLOCO FURADO, DE FORMA MANUAL, SEM REAPROVEITAMENTO. AF_12/2017</t>
  </si>
  <si>
    <t>DEMOLIÇÃO DE ALVENARIA DE TIJOLO MACIÇO, DE FORMA MANUAL, COM REAPROVEITAMENTO. AF_12/2017</t>
  </si>
  <si>
    <t>DEMOLIÇÃO DE ALVENARIA DE TIJOLO MACIÇO, DE FORMA MANUAL, SEM REAPROVEITAMENTO. AF_12/2017</t>
  </si>
  <si>
    <t>DEMOLIÇÃO DE ALVENARIA PARA QUALQUER TIPO DE BLOCO, DE FORMA MECANIZADA, SEM REAPROVEITAMENTO. AF_12/2017</t>
  </si>
  <si>
    <t>DEMOLIÇÃO DE PILARES E VIGAS EM CONCRETO ARMADO, DE FORMA MANUAL, SEM REAPROVEITAMENTO. AF_12/2017</t>
  </si>
  <si>
    <t>DEMOLIÇÃO DE PILARES E VIGAS EM CONCRETO ARMADO, DE FORMA MECANIZADA COM MARTELETE, SEM REAPROVEITAMENTO. AF_12/2017</t>
  </si>
  <si>
    <t>DEMOLIÇÃO DE LAJES, DE FORMA MANUAL, SEM REAPROVEITAMENTO. AF_12/2017</t>
  </si>
  <si>
    <t>DEMOLIÇÃO DE LAJES, DE FORMA MECANIZADA COM MARTELETE, SEM REAPROVEITAMENTO. AF_12/2017</t>
  </si>
  <si>
    <t>DEMOLIÇÃO DE ARGAMASSAS, DE FORMA MANUAL, SEM REAPROVEITAMENTO. AF_12/2017</t>
  </si>
  <si>
    <t>DEMOLIÇÃO DE RODAPÉ CERÂMICO, DE FORMA MANUAL, SEM REAPROVEITAMENTO. AF_12/2017</t>
  </si>
  <si>
    <t>DEMOLIÇÃO DE REVESTIMENTO CERÂMICO, DE FORMA MANUAL, SEM REAPROVEITAMENTO. AF_12/2017</t>
  </si>
  <si>
    <t>DEMOLIÇÃO DE REVESTIMENTO CERÂMICO, DE FORMA MECANIZADA COM MARTELETE, SEM REAPROVEITAMENTO. AF_12/2017</t>
  </si>
  <si>
    <t>DEMOLIÇÃO DE PAVIMENTO INTERTRAVADO, DE FORMA MANUAL, COM REAPROVEITAMENTO. AF_12/2017</t>
  </si>
  <si>
    <t>DEMOLIÇÃO PARCIAL DE PAVIMENTO ASFÁLTICO, DE FORMA MECANIZADA, SEM REAPROVEITAMENTO. AF_12/2017</t>
  </si>
  <si>
    <t>REMOÇÃO DE TAPUME/ CHAPAS METÁLICAS E DE MADEIRA, DE FORMA MANUAL, SEM REAPROVEITAMENTO. AF_12/2017</t>
  </si>
  <si>
    <t>REMOÇÃO DE CHAPAS E PERFIS DE DRYWALL, DE FORMA MANUAL, SEM REAPROVEITAMENTO. AF_12/2017</t>
  </si>
  <si>
    <t>REMOÇÃO DE PLACAS E PILARETES DE CONCRETO, DE FORMA MANUAL, SEM REAPROVEITAMENTO. AF_12/2017</t>
  </si>
  <si>
    <t>REMOÇÃO DE FORROS DE DRYWALL, PVC E FIBROMINERAL, DE FORMA MANUAL, SEM REAPROVEITAMENTO. AF_12/2017</t>
  </si>
  <si>
    <t>REMOÇÃO DE FORRO DE GESSO, DE FORMA MANUAL, SEM REAPROVEITAMENTO. AF_12/2017</t>
  </si>
  <si>
    <t>REMOÇÃO DE TRAMA METÁLICA OU DE MADEIRA PARA FORRO, DE FORMA MANUAL, SEM REAPROVEITAMENTO. AF_12/2017</t>
  </si>
  <si>
    <t>REMOÇÃO DE PISO DE MADEIRA (ASSOALHO E BARROTE), DE FORMA MANUAL, SEM REAPROVEITAMENTO. AF_12/2017</t>
  </si>
  <si>
    <t>REMOÇÃO DE PORTAS, DE FORMA MANUAL, SEM REAPROVEITAMENTO. AF_12/2017</t>
  </si>
  <si>
    <t>REMOÇÃO DE JANELAS, DE FORMA MANUAL, SEM REAPROVEITAMENTO. AF_12/2017</t>
  </si>
  <si>
    <t>REMOÇÃO DE TELHAS, DE FIBROCIMENTO, METÁLICA E CERÂMICA, DE FORMA MANUAL, SEM REAPROVEITAMENTO. AF_12/2017</t>
  </si>
  <si>
    <t>REMOÇÃO DE PROTEÇÃO TÉRMICA PARA COBERTURA EM EPS, DE FORMA MANUAL, SEM REAPROVEITAMENTO. AF_12/2017</t>
  </si>
  <si>
    <t>REMOÇÃO DE TELHAS DE FIBROCIMENTO, METÁLICA E CERÂMICA, DE FORMA MECANIZADA, COM USO DE GUINDASTE, SEM REAPROVEITAMENTO. AF_12/2017</t>
  </si>
  <si>
    <t>REMOÇÃO DE TRAMA DE MADEIRA PARA COBERTURA, DE FORMA MANUAL, SEM REAPROVEITAMENTO. AF_12/2017</t>
  </si>
  <si>
    <t>REMOÇÃO DE TESOURAS DE MADEIRA, COM VÃO MENOR QUE 8M, DE FORMA MANUAL, SEM REAPROVEITAMENTO. AF_12/2017</t>
  </si>
  <si>
    <t>REMOÇÃO DE TESOURAS DE MADEIRA, COM VÃO MAIOR OU IGUAL A 8M, DE FORMA MANUAL, SEM REAPROVEITAMENTO. AF_12/2017</t>
  </si>
  <si>
    <t>REMOÇÃO DE TESOURAS DE MADEIRA, COM VÃO MENOR QUE 8M, DE FORMA MECANIZADA, COM REAPROVEITAMENTO. AF_12/2017</t>
  </si>
  <si>
    <t>REMOÇÃO DE TESOURAS DE MADEIRA, COM VÃO MAIOR OU IGUAL A 8M, DE FORMA MECANIZADA, COM REAPROVEITAMENTO. AF_12/2017</t>
  </si>
  <si>
    <t>REMOÇÃO DE TRAMA METÁLICA PARA COBERTURA, DE FORMA MANUAL, SEM REAPROVEITAMENTO. AF_12/2017</t>
  </si>
  <si>
    <t>REMOÇÃO DE TESOURAS METÁLICAS, COM VÃO MENOR QUE 8M, DE FORMA MANUAL, SEM REAPROVEITAMENTO. AF_12/2017</t>
  </si>
  <si>
    <t>REMOÇÃO DE TESOURAS METÁLICAS, COM VÃO MAIOR OU IGUAL A 8M, DE FORMA MANUAL, SEM REAPROVEITAMENTO. AF_12/2017</t>
  </si>
  <si>
    <t>REMOÇÃO DE TESOURAS METÁLICAS, COM VÃO MENOR QUE 8M, DE FORMA MECANIZADA, COM REAPROVEITAMENTO. AF_12/2017</t>
  </si>
  <si>
    <t>REMOÇÃO DE TESOURAS METÁLICAS, COM VÃO MAIOR OU IGUAL A 8M, DE FORMA MECANIZADA, COM REAPROVEITAMENTO. AF_12/2017</t>
  </si>
  <si>
    <t>REMOÇÃO DE INTERRUPTORES/TOMADAS ELÉTRICAS, DE FORMA MANUAL, SEM REAPROVEITAMENTO. AF_12/2017</t>
  </si>
  <si>
    <t>REMOÇÃO DE CABOS ELÉTRICOS, DE FORMA MANUAL, SEM REAPROVEITAMENTO. AF_12/2017</t>
  </si>
  <si>
    <t>REMOÇÃO DE TUBULAÇÕES (TUBOS E CONEXÕES) DE ÁGUA FRIA, DE FORMA MANUAL, SEM REAPROVEITAMENTO. AF_12/2017</t>
  </si>
  <si>
    <t>REMOÇÃO DE LOUÇAS, DE FORMA MANUAL, SEM REAPROVEITAMENTO. AF_12/2017</t>
  </si>
  <si>
    <t>REMOÇÃO DE ACESSÓRIOS, DE FORMA MANUAL, SEM REAPROVEITAMENTO. AF_12/2017</t>
  </si>
  <si>
    <t>REMOÇÃO DE LUMINÁRIAS, DE FORMA MANUAL, SEM REAPROVEITAMENTO. AF_12/2017</t>
  </si>
  <si>
    <t>REMOÇÃO DE METAIS SANITÁRIOS, DE FORMA MANUAL, SEM REAPROVEITAMENTO. AF_12/2017</t>
  </si>
  <si>
    <t>KIT CAVALETE PARA MEDIÇÃO DE ÁGUA - ENTRADA INDIVIDUALIZADA, EM PVC DN 25 (¾), PARA 1 MEDIDOR  FORNECIMENTO E INSTALAÇÃO (EXCLUSIVE HIDRÔMETRO). AF_11/2016</t>
  </si>
  <si>
    <t xml:space="preserve">PINTURA INTERNA E EXTERNA </t>
  </si>
  <si>
    <t>DEMOLIÇÃO DE CONCRETO SIMPLES</t>
  </si>
  <si>
    <t>TRANSPORTE COM CAMINHÃO BASCULANTE DE 10 M3, EM VIA URBANA EM LEITO NATURAL (UNIDADE: TXKM). AF_04/2016</t>
  </si>
  <si>
    <t>TRANSPORTE COM CAMINHÃO BASCULANTE DE 10 M3, EM VIA URBANA EM REVESTIMENTO PRIMÁRIO (UNIDADE: TXKM). AF_04/2016</t>
  </si>
  <si>
    <t>TRANSPORTE COM CAMINHÃO BASCULANTE DE 10 M3, EM VIA URBANA PAVIMENTADA, DMT ACIMA DE 30 KM (UNIDADE: TXKM). AF_04/2016</t>
  </si>
  <si>
    <t>TRANSPORTE COM CAMINHÃO BASCULANTE DE 14 M3, EM VIA URBANA EM LEITO NATURAL (UNIDADE: TXKM). AF_04/2016</t>
  </si>
  <si>
    <t>TRANSPORTE COM CAMINHÃO BASCULANTE DE 14 M3, EM VIA URBANA EM REVESTIMENTO PRIMÁRIO (UNIDADE: TXKM). AF_04/2016</t>
  </si>
  <si>
    <t>TRANSPORTE COM CAMINHÃO BASCULANTE DE 14 M3, EM VIA URBANA PAVIMENTADA, DMT ACIMA DE 30 KM (UNIDADE: TXKM). AF_04/2016</t>
  </si>
  <si>
    <t>TRANSPORTE COM CAMINHÃO BASCULANTE DE 18 M3, EM VIA URBANA EM LEITO NATURAL (UNIDADE: TXKM). AF_09/2016</t>
  </si>
  <si>
    <t>TRANSPORTE COM CAMINHÃO BASCULANTE DE 18 M3, EM VIA URBANA EM REVESTIMENTO PRIMÁRIO (UNIDADE: TXKM). AF_09/2016</t>
  </si>
  <si>
    <t>TRANSPORTE COM CAMINHÃO BASCULANTE DE 18 M3, EM VIA URBANA PAVIMENTADA, DMT ACIMA DE 30 KM (UNIDADE: TXKM). AF_09/2016</t>
  </si>
  <si>
    <t>TRANSPORTE COM CAMINHÃO BASCULANTE DE 10 M3, EM VIA URBANA PAVIMENTADA, DMT ATÉ 30 KM (UNIDADE: TXKM). AF_12/2016</t>
  </si>
  <si>
    <t>TRANSPORTE COM CAMINHÃO BASCULANTE DE 14 M3, EM VIA URBANA PAVIMENTADA, DMT ATÉ 30 KM (UNIDADE: TXKM). AF_12/2016</t>
  </si>
  <si>
    <t>TRANSPORTE COM CAMINHÃO BASCULANTE DE 18 M3, EM VIA URBANA PAVIMENTADA, DMT ATÉ 30 KM (UNIDADE: TXKM). AF_12/2016</t>
  </si>
  <si>
    <t>MONTAGEM E DESMONTAGEM DE FÔRMA DE PILARES CIRCULARES, COM ÁREA MÉDIA DAS SEÇÕES MAIOR QUE 0,28 M², PÉ-DIREITO DUPLO, EM MADEIRA, 2 UTILIZAÇÕES.  AF_06/2017</t>
  </si>
  <si>
    <t>TRANSPORTE COM CAMINHÃO BASCULANTE DE 6 M3, EM VIA URBANA EM LEITO NATURAL (UNIDADE: M3XKM). AF_01/2018</t>
  </si>
  <si>
    <t>TRANSPORTE COM CAMINHÃO BASCULANTE DE 6 M3, EM VIA URBANA EM REVESTIMENTO PRIMÁRIO (UNIDADE: M3XKM). AF_01/2018</t>
  </si>
  <si>
    <t>TRANSPORTE COM CAMINHÃO BASCULANTE DE 6 M3, EM VIA URBANA PAVIMENTADA, DMT ATÉ 30 KM (UNIDADE: M3XKM). AF_01/2018</t>
  </si>
  <si>
    <t>TRANSPORTE COM CAMINHÃO BASCULANTE DE 6 M3, EM VIA URBANA PAVIMENTADA, DMT ACIMA DE 30 KM (UNIDADE: M3XKM). AF_01/2018</t>
  </si>
  <si>
    <t>TRANSPORTE COM CAMINHÃO BASCULANTE DE 6 M3, EM VIA URBANA EM LEITO NATURAL (UNIDADE: TXKM). AF_01/2018</t>
  </si>
  <si>
    <t>TRANSPORTE COM CAMINHÃO BASCULANTE DE 6 M3, EM VIA URBANA EM REVESTIMENTO PRIMÁRIO (UNIDADE: TXKM). AF_01/2018</t>
  </si>
  <si>
    <t>TRANSPORTE COM CAMINHÃO BASCULANTE DE 6 M3, EM VIA URBANA PAVIMENTADA, DMT ATÉ 30 KM (UNIDADE: TXKM). AF_01/2018</t>
  </si>
  <si>
    <t>TRANSPORTE COM CAMINHÃO BASCULANTE DE 6 M3, EM VIA URBANA PAVIMENTADA, DMT ACIMA DE 30 KM (UNIDADE: TXKM). AF_01/2018</t>
  </si>
  <si>
    <t>PLANILHA ORÇAMENTÁRIA</t>
  </si>
  <si>
    <t>Obra convencional 3x2 m; Obras menores 2,5x1,25</t>
  </si>
  <si>
    <t>CP-DEM-1</t>
  </si>
  <si>
    <t>CP-DEM-4</t>
  </si>
  <si>
    <t>CP-DEM-3</t>
  </si>
  <si>
    <t>TELHA DE FIBROCIMENTO  E CERÂMICA MANUAL</t>
  </si>
  <si>
    <t>quantidade</t>
  </si>
  <si>
    <t>CP-GAS-1</t>
  </si>
  <si>
    <t>CP-GAS-2</t>
  </si>
  <si>
    <t>CP-GAS-3</t>
  </si>
  <si>
    <t>CP-GAS-4</t>
  </si>
  <si>
    <t>CP-GAS-5</t>
  </si>
  <si>
    <t>CP-GAS-6</t>
  </si>
  <si>
    <t>CP-GAS-7</t>
  </si>
  <si>
    <t xml:space="preserve">ESTRUTURA COBERTURA </t>
  </si>
  <si>
    <t>CP-REV-2</t>
  </si>
  <si>
    <t>PISOS INTERNOS, EXTERNOS E CALÇAMENTOS</t>
  </si>
  <si>
    <t>VÃO A DESCONTAR</t>
  </si>
  <si>
    <t xml:space="preserve">perimetro (m) </t>
  </si>
  <si>
    <t>altura (m)</t>
  </si>
  <si>
    <t>área total (m2)</t>
  </si>
  <si>
    <t>LUMINARIA DE TETO PLAFON/PLAFONIER EM PLASTICO COM BASE E27, POTENCIA MAXIMA 45 W (INCLUI LAMPADA) - FORNECIMENTO E INSTALAÇÃO</t>
  </si>
  <si>
    <t>quantidae</t>
  </si>
  <si>
    <t>profundidade</t>
  </si>
  <si>
    <t xml:space="preserve">TOTAL DO ITEM </t>
  </si>
  <si>
    <t>PILARES</t>
  </si>
  <si>
    <t>CP-PIN-1</t>
  </si>
  <si>
    <t xml:space="preserve">PINTURA DE LOGOMARCA  E NOMENCLATURA </t>
  </si>
  <si>
    <t>PINTURA ANTICORROSIVA DE DUTO METÁLICO. AF_04/2018</t>
  </si>
  <si>
    <t>ESCAVAÇÃO MECANIZADA DE VALA COM PROFUNDIDADE MAIOR QUE 1,5 M ATÉ 3,0 M (MÉDIA ENTRE MONTANTE E JUSANTE/UMA COMPOSIÇÃO POR TRECHO) COM RETROESCAVADEIRA (CAPACIDADE DA CAÇAMBA DA RETRO: 0,26 M3 / POTÊNCIA: 88 HP), LARGURA MENOR QUE 0,8 M, EM SOLO DE1A CATEGORIA, LOCAIS COM BAIXO NÍVEL DE INTERFERÊNCIA. AF_01/2015</t>
  </si>
  <si>
    <t>ESCAVAÇÃO MANUAL DE VALA COM PROFUNDIDADE MENOR OU IGUAL A 1,30 M. AF_03/2016</t>
  </si>
  <si>
    <t>SINALIZAÇÃO COM FITA FIXADA NA ESTRUTURA. AF_11/2017</t>
  </si>
  <si>
    <t>SINALIZAÇÃO COM FITA FIXADA EM CONE PLÁSTICO, INCLUINDO CONE. AF_11/2017</t>
  </si>
  <si>
    <t>PAREDE DE MADEIRA COMPENSADA PARA CONSTRUÇÃO TEMPORÁRIA EM CHAPA SIMPLES, EXTERNA, COM ÁREA LÍQUIDA MAIOR OU IGUAL A 6 M², SEM VÃO. AF_05/2018</t>
  </si>
  <si>
    <t>PAREDE DE MADEIRA COMPENSADA PARA CONSTRUÇÃO TEMPORÁRIA EM CHAPA SIMPLES, EXTERNA, COM ÁREA LÍQUIDA MENOR QUE 6 M², SEM VÃO. AF_05/2018</t>
  </si>
  <si>
    <t>PAREDE DE MADEIRA COMPENSADA PARA CONSTRUÇÃO TEMPORÁRIA EM CHAPA SIMPLES, INTERNA, COM ÁREA LÍQUIDA MAIOR OU IGUAL A 6 M², SEM VÃO. AF_05/2018</t>
  </si>
  <si>
    <t>PAREDE DE MADEIRA COMPENSADA PARA CONSTRUÇÃO TEMPORÁRIA EM CHAPA SIMPLES, INTERNA, COM ÁREA LÍQUIDA MENOR QUE 6 M², SEM VÃO. AF_05/2018</t>
  </si>
  <si>
    <t>PAREDE DE MADEIRA COMPENSADA PARA CONSTRUÇÃO TEMPORÁRIA EM CHAPA SIMPLES, EXTERNA, COM ÁREA LÍQUIDA MAIOR OU IGUAL A 6 M², COM VÃO. AF_05/2018</t>
  </si>
  <si>
    <t>PAREDE DE MADEIRA COMPENSADA PARA CONSTRUÇÃO TEMPORÁRIA EM CHAPA SIMPLES, EXTERNA, COM ÁREA LÍQUIDA MENOR QUE 6 M², COM VÃO. AF_05/2018</t>
  </si>
  <si>
    <t>PAREDE DE MADEIRA COMPENSADA PARA CONSTRUÇÃO TEMPORÁRIA EM CHAPA SIMPLES, INTERNA, COM ÁREA LÍQUIDA MAIOR OU IGUAL A 6 M², COM VÃO. AF_05/2018</t>
  </si>
  <si>
    <t>PAREDE DE MADEIRA COMPENSADA PARA CONSTRUÇÃO TEMPORÁRIA EM CHAPA SIMPLES, INTERNA, COM ÁREA LÍQUIDA MENOR QUE 6 M², COM VÃO. AF_05/2018</t>
  </si>
  <si>
    <t>PAREDE DE MADEIRA COMPENSADA PARA CONSTRUÇÃO TEMPORÁRIA EM CHAPA DUPLA, EXTERNA, COM ÁREA LÍQUIDA MAIOR OU IGUAL A 6 M², SEM VÃO. AF_05/2018</t>
  </si>
  <si>
    <t>PAREDE DE MADEIRA COMPENSADA PARA CONSTRUÇÃO TEMPORÁRIA EM CHAPA DUPLA, EXTERNA, COM ÁREA LÍQUIDA MENOR QUE 6 M², SEM VÃO. AF_05/2018</t>
  </si>
  <si>
    <t>PAREDE DE MADEIRA COMPENSADA PARA CONSTRUÇÃO TEMPORÁRIA EM CHAPA DUPLA, INTERNA, COM ÁREA LÍQUIDA MAIOR OU IGUAL A 6 M², SEM VÃO. AF_05/2018</t>
  </si>
  <si>
    <t>PAREDE DE MADEIRA COMPENSADA PARA CONSTRUÇÃO TEMPORÁRIA EM CHAPA DUPLA, INTERNA, COM ÁREA LÍQUIDA MENOR QUE 6 M², SEM VÃO. AF_05/2018</t>
  </si>
  <si>
    <t>PAREDE DE MADEIRA COMPENSADA PARA CONSTRUÇÃO TEMPORÁRIA EM CHAPA DUPLA, EXTERNA, COM ÁREA LÍQUIDA MAIOR OU IGUAL A QUE 6 M², COM VÃO. AF_05/2018</t>
  </si>
  <si>
    <t>PAREDE DE MADEIRA COMPENSADA PARA CONSTRUÇÃO TEMPORÁRIA EM CHAPA DUPLA, EXTERNA, COM ÁREA LÍQUIDA MENOR QUE 6 M², COM VÃO. AF_05/2018</t>
  </si>
  <si>
    <t>PAREDE DE MADEIRA COMPENSADA PARA CONSTRUÇÃO TEMPORÁRIA EM CHAPA DUPLA, INTERNA, COM ÁREA LÍQUIDA MAIOR OU IGUAL A 6 M², COM VÃO. AF_05/2018</t>
  </si>
  <si>
    <t>PAREDE DE MADEIRA COMPENSADA PARA CONSTRUÇÃO TEMPORÁRIA EM CHAPA DUPLA, INTERNA, COM ÁREA LÍQUIDA MENOR QUE 6 M², COM VÃO. AF_05/2018</t>
  </si>
  <si>
    <t>TAPUME COM COMPENSADO DE MADEIRA. AF_05/2018</t>
  </si>
  <si>
    <t>TAPUME COM TELHA METÁLICA. AF_05/2018</t>
  </si>
  <si>
    <t>PISO PARA CONSTRUÇÃO TEMPORÁRIA EM MADEIRA, SEM REAPROVEITAMENTO. AF_05/2018</t>
  </si>
  <si>
    <t>ESTRUTURA DE MADEIRA PROVISÓRIA PARA SUPORTE DE CAIXA DÁGUA ELEVADA DE 1000 LITROS. AF_05/2018</t>
  </si>
  <si>
    <t>ESTRUTURA DE MADEIRA PROVISÓRIA PARA SUPORTE DE CAIXA DÁGUA ELEVADA DE 3000 LITROS. AF_05/2018</t>
  </si>
  <si>
    <t>INVERSOR DE SOLDA MONOFÁSICO DE 160 A, POTÊNCIA DE 5400 W, TENSÃO DE 220 V, PARA SOLDA COM ELETRODOS DE 2,0 A 4,0 MM E PROCESSO TIG - DEPRECIAÇÃO. AF_06/2018</t>
  </si>
  <si>
    <t>INVERSOR DE SOLDA MONOFÁSICO DE 160 A, POTÊNCIA DE 5400 W, TENSÃO DE 220 V, PARA SOLDA COM ELETRODOS DE 2,0 A 4,0 MM E PROCESSO TIG - JUROS. AF_06/2018</t>
  </si>
  <si>
    <t>INVERSOR DE SOLDA MONOFÁSICO DE 160 A, POTÊNCIA DE 5400 W, TENSÃO DE 220 V, PARA SOLDA COM ELETRODOS DE 2,0 A 4,0 MM E PROCESSO TIG - MANUTENÇÃO. AF_06/2018</t>
  </si>
  <si>
    <t>INVERSOR DE SOLDA MONOFÁSICO DE 160 A, POTÊNCIA DE 5400 W, TENSÃO DE 220 V, PARA SOLDA COM ELETRODOS DE 2,0 A 4,0 MM E PROCESSO TIG - MATERIAIS NA OPERAÇÃO. AF_06/2018</t>
  </si>
  <si>
    <t>MURO DE GABIÃO, ENCHIMENTO COM PEDRA DE MÃO TIPO RACHÃO, DE GRAVIDADE, COM GAIOLAS DE COMPRIMENTO IGUAL A 2 M, PARA MUROS COM ALTURA MENOR OU IGUAL A 4 M  FORNECIMENTO E EXECUÇÃO. AF_12/2015</t>
  </si>
  <si>
    <t>MURO DE GABIÃO, ENCHIMENTO COM PEDRA DE MÃO TIPO RACHÃO, DE GRAVIDADE, COM GAIOLAS DE COMPRIMENTO IGUAL A 5 M, PARA MUROS COM ALTURA MENOR OU IGUAL A 4 M  FORNECIMENTO E EXECUÇÃO. AF_12/2015</t>
  </si>
  <si>
    <t>MURO DE GABIÃO, ENCHIMENTO COM PEDRA DE MÃO TIPO RACHÃO, DE GRAVIDADE, COM GAIOLAS DE COMPRIMENTO IGUAL A 2 M, PARA MUROS COM ALTURA MAIOR QUE 4 M E MENOR OU IGUAL A 6 M  FORNECIMENTO E EXECUÇÃO. AF_12/2015</t>
  </si>
  <si>
    <t>MURO DE GABIÃO, ENCHIMENTO COM PEDRA DE MÃO TIPO RACHÃO, DE GRAVIDADE, COM GAIOLAS DE COMPRIMENTO IGUAL A 5 M, PARA MUROS COM ALTURA MAIOR QUE 6 M E MENOR OU IGUAL A 10 M FORNECIMENTO E EXECUÇÃO. AF_12/2015</t>
  </si>
  <si>
    <t>POÇO DE INSPEÇÃO CIRCULAR PARA ESGOTO, EM ALVENARIA COM TIJOLOS CERÂMICOS MACIÇOS, DIÂMETRO INTERNO = 0,6 M, PROFUNDIDADE = 1 M, EXCLUINDO TAMPÃO. AF_05/2018</t>
  </si>
  <si>
    <t>POÇO DE INSPEÇÃO CIRCULAR PARA ESGOTO, EM ALVENARIA COM TIJOLOS CERÂMICOS MACIÇOS, DIÂMETRO INTERNO = 0,6 M, PROFUNDIDADE = 1,5 M, EXCLUINDO TAMPÃO. AF_05/2018</t>
  </si>
  <si>
    <t>BASE PARA POÇO DE VISITA CIRCULAR PARA  ESGOTO, EM ALVENARIA COM TIJOLOS CERÂMICOS MACIÇOS, DIÂMETRO INTERNO = 0,8 M, PROFUNDIDADE = 1,45 M, EXCLUINDO TAMPÃO. AF_05/2018</t>
  </si>
  <si>
    <t>ACRÉSCIMO PARA POÇO DE VISITA CIRCULAR PARA ESGOTO, EM ALVENARIA COM TIJOLOS CERÂMICOS MACIÇOS, DIÂMETRO INTERNO = 0,8 M. AF_05/2018</t>
  </si>
  <si>
    <t>ACRÉSCIMO PARA POÇO DE VISITA CIRCULAR PARA ESGOTO, EM CONCRETO PRÉ-MOLDADO, DIÂMETRO INTERNO = 1 M. AF_05/2018</t>
  </si>
  <si>
    <t>ACRÉSCIMO PARA POÇO DE VISITA CIRCULAR PARA  ESGOTO, EM ALVENARIA COM TIJOLOS CERÂMICOS MACIÇOS, DIÂMETRO INTERNO = 1 M. AF_05/2018</t>
  </si>
  <si>
    <t>ACRÉSCIMO PARA POÇO DE VISITA CIRCULAR PARA ESGOTO, EM CONCRETO PRÉ-MOLDADO, DIÂMETRO INTERNO = 1,2 M. AF_05/2018</t>
  </si>
  <si>
    <t>BASE PARA POÇO DE VISITA CIRCULAR PARA  ESGOTO, EM ALVENARIA COM TIJOLOS CERÂMICOS MACIÇOS, DIÂMETRO INTERNO = 1,2 M, PROFUNDIDADE = 1,45 M, EXCLUINDO TAMPÃO. AF_05/2018</t>
  </si>
  <si>
    <t>ACRÉSCIMO PARA POÇO DE VISITA CIRCULAR PARA ESGOTO, EM ALVENARIA COM TIJOLOS CERÂMICOS MACIÇOS, DIÂMETRO INTERNO = 1,2 M. AF_05/2018</t>
  </si>
  <si>
    <t>ACRÉSCIMO PARA POÇO DE VISITA CIRCULAR PARA  ESGOTO, EM CONCRETO PRÉ-MOLDADO, DIÂMETRO INTERNO = 1,5 M. AF_05/2018</t>
  </si>
  <si>
    <t>BASE PARA POÇO DE VISITA CIRCULAR PARA  ESGOTO, EM ALVENARIA COM TIJOLOS CERÂMICOS MACIÇOS, DIÂMETRO INTERNO = 1,5 M, PROFUNDIDADE = 1,45 M, EXCLUINDO TAMPÃO. AF_05/2018</t>
  </si>
  <si>
    <t>ACRÉSCIMO PARA POÇO DE VISITA CIRCULAR PARA  ESGOTO, EM ALVENARIA COM TIJOLOS CERÂMICOS MACIÇOS, DIÂMETRO INTERNO = 1,5 M. AF_05/2018</t>
  </si>
  <si>
    <t>BASE PARA POÇO DE VISITA RETANGULAR PARA  ESGOTO, EM ALVENARIA COM BLOCOS DE CONCRETO, DIMENSÕES INTERNAS = 1X1 M, PROFUNDIDADE = 1,45 M, EXCLUINDO TAMPÃO. AF_05/2018</t>
  </si>
  <si>
    <t>ACRÉSCIMO PARA POÇO DE VISITA RETANGULAR PARA ESGOTO, EM ALVENARIA COM BLOCOS DE CONCRETO, DIMENSÕES INTERNAS = 1X1 M. AF_05/2018</t>
  </si>
  <si>
    <t>BASE PARA POÇO DE VISITA RETANGULAR PARA ESGOTO, EM ALVENARIA COM BLOCOS DE CONCRETO, DIMENSÕES INTERNAS = 1X1,5 M, PROFUNDIDADE = 1,45 M, EXCLUINDO TAMPÃO. AF_05/2018</t>
  </si>
  <si>
    <t>ACRÉSCIMO PARA POÇO DE VISITA RETANGULAR PARA ESGOTO, EM ALVENARIA COM BLOCOS DE CONCRETO, DIMENSÕES INTERNAS = 1X1,5 M. AF_05/2018</t>
  </si>
  <si>
    <t>ACRÉSCIMO PARA POÇO DE VISITA RETANGULAR PARA ESGOTO, EM ALVENARIA COM BLOCOS DE CONCRETO, DIMENSÕES INTERNAS = 1X2 M. AF_05/2018</t>
  </si>
  <si>
    <t>ACRÉSCIMO PARA POÇO DE VISITA RETANGULAR PARA ESGOTO, EM ALVENARIA COM BLOCOS DE CONCRETO, DIMENSÕES INTERNAS = 1X2,5 M. AF_05/2018</t>
  </si>
  <si>
    <t>BASE PARA POÇO DE VISITA RETANGULAR PARA ESGOTO, EM ALVENARIA COM BLOCOS DE CONCRETO, DIMENSÕES INTERNAS = 1X3 M, PROFUNDIDADE = 1,45 M, EXCLUINDO TAMPÃO. AF_05/2018</t>
  </si>
  <si>
    <t>ACRÉSCIMO PARA POÇO DE VISITA RETANGULAR PARA ESGOTO, EM ALVENARIA COM BLOCOS DE CONCRETO, DIMENSÕES INTERNAS = 1X3 M. AF_05/2018</t>
  </si>
  <si>
    <t>ACRÉSCIMO PARA POÇO DE VISITA RETANGULAR PARA ESGOTO, EM ALVENARIA COM BLOCOS DE CONCRETO, DIMENSÕES INTERNAS = 1X3,5 M. AF_05/2018</t>
  </si>
  <si>
    <t>BASE PARA POÇO DE VISITA RETANGULAR PARA ESGOTO, EM ALVENARIA COM BLOCOS DE CONCRETO, DIMENSÕES INTERNAS = 1X4 M, PROFUNDIDADE = 1,45 M, EXCLUINDO TAMPÃO. AF_05/2018</t>
  </si>
  <si>
    <t>ACRÉSCIMO PARA POÇO DE VISITA RETANGULAR PARA ESGOTO, EM ALVENARIA COM BLOCOS DE CONCRETO, DIMENSÕES INTERNAS = 1X4 M. AF_05/2018</t>
  </si>
  <si>
    <t>BASE PARA POÇO DE VISITA RETANGULAR PARA ESGOTO, EM ALVENARIA COM BLOCOS DE CONCRETO, DIMENSÕES INTERNAS = 1,5X1,5 M, PROFUNDIDADE = 1,45 M, EXCLUINDO TAMPÃO . AF_05/2018</t>
  </si>
  <si>
    <t>ACRÉSCIMO PARA POÇO DE VISITA RETANGULAR PARA ESGOTO, EM ALVENARIA COM BLOCOS DE CONCRETO, DIMENSÕES INTERNAS = 1,5X1,5 M. AF_05/2018</t>
  </si>
  <si>
    <t>BASE PARA POÇO DE VISITA RETANGULAR PARA ESGOTO, EM ALVENARIA COM BLOCOS DE CONCRETO, DIMENSÕES INTERNAS = 1,5X2 M, PROFUNDIDADE = 1,45 M, EXCLUINDO TAMPÃO. AF_05/2018</t>
  </si>
  <si>
    <t>ACRÉSCIMO PARA POÇO DE VISITA RETANGULAR PARA ESGOTO, EM ALVENARIA COM BLOCOS DE CONCRETO, DIMENSÕES INTERNAS = 1,5X2 M. AF_05/2018</t>
  </si>
  <si>
    <t>BASE PARA POÇO DE VISITA RETANGULAR PARA ESGOTO, EM ALVENARIA COM BLOCOS DE CONCRETO, DIMENSÕES INTERNAS = 1,5X2,5 M, PROFUNDIDADE = 1,45 M, EXCLUINDO TAMPÃO. AF_05/2018</t>
  </si>
  <si>
    <t>ACRÉSCIMO PARA POÇO DE VISITA RETANGULAR PARA ESGOTO, EM ALVENARIA COM BLOCOS DE CONCRETO, DIMENSÕES INTERNAS = 1,5X2,5 M. AF_05/2018</t>
  </si>
  <si>
    <t>BASE PARA POÇO DE VISITA RETANGULAR PARA ESGOTO, EM ALVENARIA COM BLOCOS DE CONCRETO, DIMENSÕES INTERNAS = 1,5X3 M, PROFUNDIDADE = 1,45 M, EXCLUINDO TAMPÃO. AF_05/2018</t>
  </si>
  <si>
    <t>ACRÉSCIMO PARA POÇO DE VISITA RETANGULAR PARA ESGOTO, EM ALVENARIA COM BLOCOS DE CONCRETO, DIMENSÕES INTERNAS = 1,5X3 M. AF_05/2018</t>
  </si>
  <si>
    <t>BASE PARA POÇO DE VISITA RETANGULAR PARA ESGOTO, EM ALVENARIA COM BLOCOS DE CONCRETO, DIMENSÕES INTERNAS = 1,5X3,5 M, PROFUNDIDADE = 1,45 M, EXCLUINDO TAMPÃO. AF_05/2018</t>
  </si>
  <si>
    <t>ACRÉSCIMO PARA POÇO DE VISITA RETANGULAR PARA ESGOTO, EM ALVENARIA COM BLOCOS DE CONCRETO, DIMENSÕES INTERNAS = 1,5X3,5 M. AF_05/2018</t>
  </si>
  <si>
    <t>BASE PARA POÇO DE VISITA RETANGULAR PARA ESGOTO, EM ALVENARIA COM BLOCOS DE CONCRETO, DIMENSÕES INTERNAS = 1,5X4 M, PROFUNDIDADE = 1,45 M, EXCLUINDO TAMPÃO. AF_05/2018</t>
  </si>
  <si>
    <t>ACRÉSCIMO PARA POÇO DE VISITA RETANGULAR PARA ESGOTO, EM ALVENARIA COM BLOCOS DE CONCRETO, DIMENSÕES INTERNAS = 1,5X4 M. AF_05/2018</t>
  </si>
  <si>
    <t>BASE PARA POÇO DE VISITA RETANGULAR PARA ESGOTO, EM ALVENARIA COM BLOCOS DE CONCRETO, DIMENSÕES INTERNAS = 2X2 M, PROFUNDIDADE = 1,45 M, EXCLUINDO TAMPÃO. AF_05/2018</t>
  </si>
  <si>
    <t>ACRÉSCIMO PARA POÇO DE VISITA RETANGULAR PARA ESGOTO, EM ALVENARIA COM BLOCOS DE CONCRETO, DIMENSÕES INTERNAS = 2X2 M. AF_05/2018</t>
  </si>
  <si>
    <t>BASE PARA POÇO DE VISITA RETANGULAR PARA ESGOTO, EM ALVENARIA COM BLOCOS DE CONCRETO, DIMENSÕES INTERNAS = 2X2,5 M, PROFUNDIDADE = 1,45 M, EXCLUINDO TAMPÃO. AF_05/2018</t>
  </si>
  <si>
    <t>ACRÉSCIMO PARA POÇO DE VISITA RETANGULAR PARA ESGOTO, EM ALVENARIA COM BLOCOS DE CONCRETO, DIMENSÕES INTERNAS = 2X2,5 M. AF_05/2018</t>
  </si>
  <si>
    <t>BASE PARA POÇO DE VISITA RETANGULAR PARA ESGOTO, EM ALVENARIA COM BLOCOS DE CONCRETO, DIMENSÕES INTERNAS = 2X3 M, PROFUNDIDADE = 1,45 M, EXCLUINDO TAMPÃO. AF_05/2018</t>
  </si>
  <si>
    <t>ACRÉSCIMO PARA POÇO DE VISITA RETANGULAR PARA ESGOTO, EM ALVENARIA COM BLOCOS DE CONCRETO, DIMENSÕES INTERNAS = 2X3 M. AF_05/2018</t>
  </si>
  <si>
    <t>BASE PARA POÇO DE VISITA RETANGULAR PARA ESGOTO, EM ALVENARIA COM BLOCOS DE CONCRETO, DIMENSÕES INTERNAS = 2X3,5 M, PROFUNDIDADE = 1,45 M, EXCLUINDO TAMPÃO. AF_05/2018</t>
  </si>
  <si>
    <t>ACRÉSCIMO PARA POÇO DE VISITA RETANGULAR PARA ESGOTO, EM ALVENARIA COM BLOCOS DE CONCRETO, DIMENSÕES INTERNAS = 2X3,5 M. AF_05/2018</t>
  </si>
  <si>
    <t>BASE PARA POÇO DE VISITA RETANGULAR PARA ESGOTO, EM ALVENARIA COM BLOCOS DE CONCRETO, DIMENSÕES INTERNAS = 2X4 M, PROFUNDIDADE = 1,45 M, EXCLUINDO TAMPÃO. AF_05/2018</t>
  </si>
  <si>
    <t>ACRÉSCIMO PARA POÇO DE VISITA RETANGULAR PARA ESGOTO, EM ALVENARIA COM BLOCOS DE CONCRETO, DIMENSÕES INTERNAS = 2X4 M. AF_05/2018</t>
  </si>
  <si>
    <t>BASE PARA POÇO DE VISITA RETANGULAR PARA ESGOTO, EM ALVENARIA COM BLOCOS DE CONCRETO, DIMENSÕES INTERNAS = 2,5X2,5 M, PROFUNDIDADE = 1,45 M, EXCLUINDO TAMPÃO. AF_05/2018</t>
  </si>
  <si>
    <t>ACRÉSCIMO PARA POÇO DE VISITA RETANGULAR PARA ESGOTO, EM ALVENARIA COM BLOCOS DE CONCRETO, DIMENSÕES INTERNAS = 2,5X2,5 M. AF_05/2018</t>
  </si>
  <si>
    <t>BASE PARA POÇO DE VISITA RETANGULAR PARA ESGOTO, EM ALVENARIA COM BLOCOS DE CONCRETO, DIMENSÕES INTERNAS = 2,5X3 M, PROFUNDIDADE = 1,45 M, EXCLUINDO TAMPÃO. AF_05/2018</t>
  </si>
  <si>
    <t>ACRÉSCIMO PARA POÇO DE VISITA RETANGULAR PARA ESGOTO, EM ALVENARIA COM BLOCOS DE CONCRETO, DIMENSÕES INTERNAS = 2,5X3 M. AF_05/2018</t>
  </si>
  <si>
    <t>BASE PARA POÇO DE VISITA RETANGULAR PARA ESGOTO, EM ALVENARIA COM BLOCOS DE CONCRETO, DIMENSÕES INTERNAS = 2,5X3,5 M, PROFUNDIDADE = 1,45 M, EXCLUINDO TAMPÃO. AF_05/2018</t>
  </si>
  <si>
    <t>ACRÉSCIMO PARA POÇO DE VISITA RETANGULAR PARA ESGOTO, EM ALVENARIA COM BLOCOS DE CONCRETO, DIMENSÕES INTERNAS = 2,5X3,5 M. AF_05/2018</t>
  </si>
  <si>
    <t>BASE PARA POÇO DE VISITA RETANGULAR PARA ESGOTO, EM ALVENARIA COM BLOCOS DE CONCRETO, DIMENSÕES INTERNAS = 2,5X4 M, PROFUNDIDADE = 1,45 M, EXCLUINDO TAMPÃO. AF_05/2018</t>
  </si>
  <si>
    <t>ACRÉSCIMO PARA POÇO DE VISITA RETANGULAR PARA ESGOTO, EM ALVENARIA COM BLOCOS DE CONCRETO, DIMENSÕES INTERNAS = 2,5X4 M. AF_05/2018</t>
  </si>
  <si>
    <t>BASE PARA POÇO DE VISITA RETANGULAR PARA ESGOTO, EM ALVENARIA COM BLOCOS DE CONCRETO, DIMENSÕES INTERNAS = 3X3 M, PROFUNDIDADE = 1,45 M, EXCLUINDO TAMPÃO. AF_05/2018</t>
  </si>
  <si>
    <t>ACRÉSCIMO PARA POÇO DE VISITA RETANGULAR PARA ESGOTO, EM ALVENARIA COM BLOCOS DE CONCRETO, DIMENSÕES INTERNAS = 3X3 M. AF_05/2018</t>
  </si>
  <si>
    <t>BASE PARA POÇO DE VISITA RETANGULAR PARA ESGOTO, EM ALVENARIA COM BLOCOS DE CONCRETO, DIMENSÕES INTERNAS = 3X3,5 M, PROFUNDIDADE = 1,45 M, EXCLUINDO TAMPÃO. AF_05/2018</t>
  </si>
  <si>
    <t>ACRÉSCIMO PARA POÇO DE VISITA RETANGULAR PARA ESGOTO, EM ALVENARIA COM BLOCOS DE CONCRETO, DIMENSÕES INTERNAS = 3X3,5 M. AF_05/2018</t>
  </si>
  <si>
    <t>BASE PARA POÇO DE VISITA RETANGULAR PARA ESGOTO, EM ALVENARIA COM BLOCOS DE CONCRETO, DIMENSÕES INTERNAS = 3X4 M, PROFUNDIDADE = 1,45 M, EXCLUINDO TAMPÃO. AF_05/2018</t>
  </si>
  <si>
    <t>ACRÉSCIMO PARA POÇO DE VISITA RETANGULAR PARA ESGOTO, EM ALVENARIA COM BLOCOS DE CONCRETO, DIMENSÕES INTERNAS = 3X4 M. AF_05/2018</t>
  </si>
  <si>
    <t>BASE PARA POÇO DE VISITA RETANGULAR PARA ESGOTO, EM ALVENARIA COM BLOCOS DE CONCRETO, DIMENSÕES INTERNAS = 3,5X3,5 M, PROFUNDIDADE = 1,45 M, EXCLUINDO TAMPÃO. AF_05/2018</t>
  </si>
  <si>
    <t>ACRÉSCIMO PARA POÇO DE VISITA RETANGULAR PARA ESGOTO, EM ALVENARIA COM BLOCOS DE CONCRETO, DIMENSÕES INTERNAS = 3,5X3,5 M. AF_05/2018</t>
  </si>
  <si>
    <t>BASE PARA POÇO DE VISITA RETANGULAR PARA ESGOTO, EM ALVENARIA COM BLOCOS DE CONCRETO, DIMENSÕES INTERNAS = 3,5X4 M, PROFUNDIDADE = 1,45 M, EXCLUINDO TAMPÃO. AF_05/2018</t>
  </si>
  <si>
    <t>ACRÉSCIMO PARA POÇO DE VISITA RETANGULAR PARA ESGOTO, EM ALVENARIA COM BLOCOS DE CONCRETO, DIMENSÕES INTERNAS = 3,5X4 M. AF_05/2018</t>
  </si>
  <si>
    <t>BASE PARA POÇO DE VISITA RETANGULAR PARA ESGOTO, EM ALVENARIA COM BLOCOS DE CONCRETO, DIMENSÕES INTERNAS = 4X4 M, PROFUNDIDADE = 1,45 M, EXCLUINDO TAMPÃO. AF_05/2018</t>
  </si>
  <si>
    <t>ACRÉSCIMO PARA POÇO DE VISITA RETANGULAR PARA ESGOTO, EM ALVENARIA COM BLOCOS DE CONCRETO, DIMENSÕES INTERNAS = 4X4 M. AF_05/2018</t>
  </si>
  <si>
    <t>CHAMINÉ CIRCULAR PARA POÇO DE VISITA PARA ESGOTO, EM CONCRETO PRÉ-MOLDADO, DIÂMETRO INTERNO = 0,6 M. AF_05/2018</t>
  </si>
  <si>
    <t>CHAMINÉ CIRCULAR PARA POÇO DE VISITA PARA ESGOTO, EM ALVENARIA COM TIJOLOS CERÂMICOS MACIÇOS, DIÂMETRO INTERNO = 0,6 M. AF_05/2018</t>
  </si>
  <si>
    <t>BASE PARA POÇO DE VISITA RETANGULAR PARA ESGOTO, EM ALVENARIA COM BLOCOS DE CONCRETO, DIMENSÕES INTERNAS = 1X3,5 M, PROFUNDIDADE = 1,45 M, EXCLUINDO TAMPÃO. AF_05/2018</t>
  </si>
  <si>
    <t>BASE PARA POÇO DE VISITA RETANGULAR PARA ESGOTO, EM ALVENARIA COM BLOCOS DE CONCRETO, DIMENSÕES INTERNAS = 1X2 M, PROFUNDIDADE = 1,45 M, EXCLUINDO TAMPÃO. AF_05/2018</t>
  </si>
  <si>
    <t>BASE PARA POÇO DE VISITA RETANGULAR PARA ESGOTO, EM ALVENARIA COM BLOCOS DE CONCRETO, DIMENSÕES INTERNAS = 1X2,5 M, PROFUNDIDADE = 1,45 M, EXCLUINDO TAMPÃO. AF_05/2018</t>
  </si>
  <si>
    <t>ACRÉSCIMO PARA POÇO DE VISITA CIRCULAR PARA ESGOTO, EM CONCRETO PRÉ-MOLDADO, DIÂMETRO INTERNO = 0,8 M. AF_05/2018</t>
  </si>
  <si>
    <t>BASE PARA POÇO DE VISITA CIRCULAR PARA  ESGOTO, EM CONCRETO PRÉ-MOLDADO, DIÂMETRO INTERNO = 1 M, PROFUNDIDADE = 1,45 M, EXCLUINDO TAMPÃO. AF_05/2018_P</t>
  </si>
  <si>
    <t>(COMPOSIÇÃO REPRESENTATIVA) POÇO DE VISITA CIRCULAR PARA ESGOTO, EM CONCRETO PRÉ-MOLDADO, DIÂMETRO INTERNO = 1,0 M, PROFUNDIDADE ATÉ 1,50 M, EXCLUINDO TAMPÃO. AF_04/2018</t>
  </si>
  <si>
    <t>(COMPOSIÇÃO REPRESENTATIVA) POÇO DE VISITA CIRCULAR PARA ESGOTO, EM CONCRETO PRÉ-MOLDADO, DIÂMETRO INTERNO = 1,0 M, PROFUNDIDADE DE 1,50 A 2,00 M, EXCLUINDO TAMPÃO. AF_04/2018</t>
  </si>
  <si>
    <t>(COMPOSIÇÃO REPRESENTATIVA) POÇO DE VISITA CIRCULAR PARA ESGOTO, EM CONCRETO PRÉ-MOLDADO, DIÂMETRO INTERNO = 1,0 M, PROFUNDIDADE DE 2,00 A 2,50 M, EXCLUINDO TAMPÃO. AF_04/2018</t>
  </si>
  <si>
    <t>(COMPOSIÇÃO REPRESENTATIVA) POÇO DE VISITA CIRCULAR PARA ESGOTO, EM CONCRETO PRÉ-MOLDADO, DIÂMETRO INTERNO = 1,0 M, PROFUNDIDADE DE 2,50 A 3,00 M, EXCLUINDO TAMPÃO. AF_04/2018</t>
  </si>
  <si>
    <t>(COMPOSIÇÃO REPRESENTATIVA) POÇO DE VISITA CIRCULAR PARA ESGOTO, EM CONCRETO PRÉ-MOLDADO, DIÂMETRO INTERNO = 1,0 M, PROFUNDIDADE DE 3,00 A 3,50 M, EXCLUINDO TAMPÃO. AF_04/2018</t>
  </si>
  <si>
    <t>(COMPOSIÇÃO REPRESENTATIVA) POÇO DE VISITA CIRCULAR PARA ESGOTO, EM CONCRETO PRÉ-MOLDADO, DIÂMETRO INTERNO = 1,0 M, PROFUNDIDADE ATÉ 1,50 M, INCLUINDO TAMPÃO DE FERRO FUNDIDO, DIÂMETRO DE 60 CM. AF_04/2018</t>
  </si>
  <si>
    <t>(COMPOSIÇÃO REPRESENTATIVA) POÇO DE VISITA CIRCULAR PARA ESGOTO, EM CONCRETO PRÉ-MOLDADO, DIÂMETRO INTERNO = 1,0 M, PROFUNDIDADE DE 1,50 A 2,00 M, INCLUINDO TAMPÃO DE FERRO FUNDIDO, DIÂMETRO DE 60 CM. AF_04/2018</t>
  </si>
  <si>
    <t>(COMPOSIÇÃO REPRESENTATIVA) POÇO DE VISITA CIRCULAR PARA ESGOTO, EM CONCRETO PRÉ-MOLDADO, DIÂMETRO INTERNO = 1,0 M, PROFUNDIDADE DE 2,00 A 2,50 M, INCLUINDO TAMPÃO DE FERRO FUNDIDO, DIÂMETRO DE 60 CM. AF_04/2018</t>
  </si>
  <si>
    <t>(COMPOSIÇÃO REPRESENTATIVA) POÇO DE VISITA CIRCULAR PARA ESGOTO, EM CONCRETO PRÉ-MOLDADO, DIÂMETRO INTERNO = 1,0 M, PROFUNDIDADE DE 2,50 A 3,00 M, INCLUINDO TAMPÃO DE FERRO FUNDIDO, DIÂMETRO DE 60 CM. AF_04/2018</t>
  </si>
  <si>
    <t>(COMPOSIÇÃO REPRESENTATIVA) POÇO DE VISITA CIRCULAR PARA ESGOTO, EM CONCRETO PRÉ-MOLDADO, DIÂMETRO INTERNO = 1,0 M, PROFUNDIDADE DE 3,00 A 3,50 M, INCLUINDO TAMPÃO DE FERRO FUNDIDO, DIÂMETRO DE 60 CM. AF_04/2018</t>
  </si>
  <si>
    <t>(COMPOSIÇÃO REPRESENTATIVA) POÇO DE VISITA CIRCULAR PARA ESGOTO, EM ALVENARIA COM TIJOLOS CERÂMICOS MACIÇOS, DIÂMETRO INTERNO = 1,2 M, PROFUNDIDADE ATÉ 1,50 M, EXCLUINDO TAMPÃO. AF_04/2018</t>
  </si>
  <si>
    <t>(COMPOSIÇÃO REPRESENTATIVA) POÇO DE VISITA CIRCULAR PARA ESGOTO, EM ALVENARIA COM TIJOLOS CERÂMICOS MACIÇOS, DIÂMETRO INTERNO = 1,2 M, PROFUNDIDADE DE 1,50 A 2,00 M, EXCLUINDO TAMPÃO. AF_04/2018</t>
  </si>
  <si>
    <t>(COMPOSIÇÃO REPRESENTATIVA) POÇO DE VISITA CIRCULAR PARA ESGOTO, EM ALVENARIA COM TIJOLOS CERÂMICOS MACIÇOS, DIÂMETRO INTERNO = 1,2 M, PROFUNDIDADE DE 2,00 A 2,50 M, EXCLUINDO TAMPÃO. AF_04/2018</t>
  </si>
  <si>
    <t>(COMPOSIÇÃO REPRESENTATIVA) POÇO DE VISITA CIRCULAR PARA ESGOTO, EM ALVENARIA COM TIJOLOS CERÂMICOS MACIÇOS, DIÂMETRO INTERNO = 1,2 M, PROFUNDIDADE DE 2,50 A 3,00 M, EXCLUINDO TAMPÃO. AF_04/2018</t>
  </si>
  <si>
    <t>(COMPOSIÇÃO REPRESENTATIVA) POÇO DE VISITA CIRCULAR PARA ESGOTO, EM ALVENARIA COM TIJOLOS CERÂMICOS MACIÇOS, DIÂMETRO INTERNO = 1,2 M, PROFUNDIDADE DE 3,00 A 3,50 M, EXCLUINDO TAMPÃO. AF_04/2018</t>
  </si>
  <si>
    <t>(COMPOSIÇÃO REPRESENTATIVA) POÇO DE VISITA CIRCULAR PARA ESGOTO, EM ALVENARIA COM TIJOLOS CERÂMICOS MACIÇOS, DIÂMETRO INTERNO = 1,2 M, PROFUNDIDADE ATÉ 1,50 M, INCLUINDO TAMPÃO DE FERRO FUNDIDO, DIÂMETRO DE 60 CM. AF_04/2018</t>
  </si>
  <si>
    <t>(COMPOSIÇÃO REPRESENTATIVA) POÇO DE VISITA CIRCULAR PARA ESGOTO, EM ALVENARIA COM TIJOLOS CERÂMICOS MACIÇOS, DIÂMETRO INTERNO = 1,2 M, PROFUNDIDADE DE 1,50 A 2,00 M, INCLUINDO TAMPÃO DE FERRO FUNDIDO, DIÂMETRO DE 60 CM. AF_04/2018</t>
  </si>
  <si>
    <t>(COMPOSIÇÃO REPRESENTATIVA) POÇO DE VISITA CIRCULAR PARA ESGOTO, EM ALVENARIA COM TIJOLOS CERÂMICOS MACIÇOS, DIÂMETRO INTERNO = 1,2 M, PROFUNDIDADE DE 2,00 A 2,50 M, INCLUINDO TAMPÃO DE FERRO FUNDIDO, DIÂMETRO DE 60 CM. AF_04/2018</t>
  </si>
  <si>
    <t>(COMPOSIÇÃO REPRESENTATIVA) POÇO DE VISITA CIRCULAR PARA ESGOTO, EM ALVENARIA COM TIJOLOS CERÂMICOS MACIÇOS, DIÂMETRO INTERNO = 1,2 M, PROFUNDIDADE DE 2,50 A 3,00 M, INCLUINDO TAMPÃO DE FERRO FUNDIDO, DIÂMETRO DE 60 CM. AF_04/2018</t>
  </si>
  <si>
    <t>(COMPOSIÇÃO REPRESENTATIVA) POÇO DE VISITA CIRCULAR PARA ESGOTO, EM ALVENARIA COM TIJOLOS CERÂMICOS MACIÇOS, DIÂMETRO INTERNO = 1,2 M, PROFUNDIDADE DE 3,00 A 3,50 M, INCLUINDO TAMPÃO DE FERRO FUNDIDO, DIÂMETRO DE 60 CM. AF_04/2018</t>
  </si>
  <si>
    <t>LASTRO DE CONCRETO MAGRO, APLICADO EM PISOS OU RADIERS, ESPESSURA DE 3 CM. AF_07/2016</t>
  </si>
  <si>
    <t>LASTRO DE CONCRETO MAGRO, APLICADO EM PISOS OU RADIERS, ESPESSURA DE 5 CM. AF_07/2016</t>
  </si>
  <si>
    <t>TRATAMENTO DE JUNTA DE DILATAÇÃO COM MANTA ASFÁLTICA ADERIDA COM MAÇARICO. AF_06/2018</t>
  </si>
  <si>
    <t>PEÇA RETANGULAR PRÉ-MOLDADA, VOLUME DE CONCRETO DE ATÉ 10 LITROS, TAXA DE AÇO APROXIMADA DE 30KG/M³. AF_01/2018</t>
  </si>
  <si>
    <t>PEÇA RETANGULAR PRÉ-MOLDADA, VOLUME DE CONCRETO DE 10 A 30 LITROS, TAXA DE AÇO APROXIMADA DE 30KG/M³. AF_01/2018</t>
  </si>
  <si>
    <t>PEÇA RETANGULAR PRÉ-MOLDADA, VOLUME DE CONCRETO DE 30 A 100 LITROS, TAXA DE AÇO APROXIMADA DE 30KG/M³. AF_01/2018</t>
  </si>
  <si>
    <t>PEÇA RETANGULAR PRÉ-MOLDADA, VOLUME DE CONCRETO ACIMA DE 100 LITROS, TAXA DE AÇO APROXIMADA DE 30KG/M³. AF_01/2018</t>
  </si>
  <si>
    <t>PEÇA RETANGULAR PRÉ-MOLDADA, VOLUME DE CONCRETO DE 30 A 70 LITROS , TAXA DE AÇO APROXIMADA DE 70KG/M³. AF_01/2018</t>
  </si>
  <si>
    <t>PEÇA CIRCULAR PRÉ-MOLDADA, VOLUME DE CONCRETO DE 10 A 30 LITROS, TAXA DE FIBRA DE POLIPROPILENO APROXIMADA DE 6 KG/M³. AF_01/2018_P</t>
  </si>
  <si>
    <t>PEÇA CIRCULAR PRÉ-MOLDADA, VOLUME DE CONCRETO DE 30 A 100 LITROS, TAXA DE AÇO APROXIMADA DE 30KG/M³. AF_01/2018</t>
  </si>
  <si>
    <t>PEÇA CIRCULAR PRÉ-MOLDADA, VOLUME DE CONCRETO ACIMA DE 100 LITROS, TAXA DE AÇO APROXIMADA DE 30KG/M³. AF_01/2018</t>
  </si>
  <si>
    <t>CONTENÇÃO EM CORTINA COM ESTACAS ESPAÇADAS COM 30 CM DE DIÂMETRO E PROFUNDIDADE MENOR OU IGUAL A 10 M. AF_06/2018</t>
  </si>
  <si>
    <t>CONTENÇÃO EM CORTINA COM ESTACAS ESPAÇADAS COM 30 CM DE DIÂMETRO E PROFUNDIDADE MAIOR QUE 10 M E MENOR OU IGUAL A 15 M. AF_06/2018</t>
  </si>
  <si>
    <t>CONTENÇÃO EM CORTINA COM ESTACAS ESPAÇADAS COM 30 CM DE DIÂMETRO E PROFUNDIDADE MAIOR QUE 15 M. AF_06/2018</t>
  </si>
  <si>
    <t>CONTENÇÃO EM CORTINA COM ESTACAS ESPAÇADAS COM 40 CM DE DIÂMETRO E PROFUNDIDADE MENOR OU IGUAL A 10 M. AF_06/2018</t>
  </si>
  <si>
    <t>CONTENÇÃO EM CORTINA COM ESTACAS ESPAÇADAS COM 40 CM DE DIÂMETRO E PROFUNDIDADE MAIOR QUE 10 M E MENOR OU IGUAL A 15 M. AF_06/2018</t>
  </si>
  <si>
    <t>CONTENÇÃO EM CORTINA COM ESTACAS ESPAÇADAS COM 40 CM DE DIÂMETRO E PROFUNDIDADE MAIOR QUE 15 M. AF_06/2018</t>
  </si>
  <si>
    <t>CONTENÇÃO EM CORTINA COM ESTACAS ESPAÇADAS COM 50 CM DE DIÂMETRO E PROFUNDIDADE MENOR OU IGUAL A 10 M. AF_06/2018</t>
  </si>
  <si>
    <t>CONTENÇÃO EM CORTINA COM ESTACAS ESPAÇADAS COM 50 CM DE DIÂMETRO E PROFUNDIDADE MAIOR QUE 10 M E MENOR OU IGUAL A 15 M. AF_06/2018</t>
  </si>
  <si>
    <t>CONTENÇÃO EM CORTINA COM ESTACAS ESPAÇADAS COM 50 CM DE DIÂMETRO E PROFUNDIDADE MAIOR QUE 15 M. AF_06/2018</t>
  </si>
  <si>
    <t>CONTENÇÃO EM CORTINA COM ESTACAS ESPAÇADAS COM 60 CM DE DIÂMETRO E PROFUNDIDADE MENOR OU IGUAL A 10 M. AF_06/2018</t>
  </si>
  <si>
    <t>CONTENÇÃO EM CORTINA COM ESTACAS ESPAÇADAS COM 60 CM DE DIÂMETRO E PROFUNDIDADE MAIOR QUE 10 M E MENOR OU IGUAL A 15 M. AF_06/2018</t>
  </si>
  <si>
    <t>CONTENÇÃO EM CORTINA COM ESTACAS ESPAÇADAS COM 60 CM DE DIÂMETRO E PROFUNDIDADE MAIOR QUE 15 M. AF_06/2018</t>
  </si>
  <si>
    <t>EXECUÇÃO DE MURETA GUIA PARA CONTENÇÃO/ FUNDAÇÃO COM 30 CM DE ESPESSURA. AF_06/2018</t>
  </si>
  <si>
    <t>EXECUÇÃO DE MURETA GUIA PARA CONTENÇÃO/ FUNDAÇÃO COM 40 CM DE ESPESSURA. AF_06/2018</t>
  </si>
  <si>
    <t>EXECUÇÃO DE MURETA GUIA PARA CONTENÇÃO/ FUNDAÇÃO COM 50 CM DE ESPESSURA. AF_06/2018</t>
  </si>
  <si>
    <t>EXECUÇÃO DE MURETA GUIA PARA CONTENÇÃO/ FUNDAÇÃO COM 60 CM DE ESPESSURA. AF_06/2018</t>
  </si>
  <si>
    <t>EXECUÇÃO DE MURETA GUIA PARA CONTENÇÃO/ FUNDAÇÃO COM 80 CM DE ESPESSURA. AF_06/2018</t>
  </si>
  <si>
    <t>IMPERMEABILIZAÇÃO DE PISO COM ARGAMASSA DE CIMENTO E AREIA, COM ADITIVO IMPERMEABILIZANTE, E = 2CM. AF_06/2018</t>
  </si>
  <si>
    <t>IMPERMEABILIZAÇÃO DE PAREDES COM ARGAMASSA DE CIMENTO E AREIA, COM ADITIVO IMPERMEABILIZANTE, E = 2CM. AF_06/2018</t>
  </si>
  <si>
    <t>IMPERMEABILIZAÇÃO DE FLOREIRA OU VIGA BALDRAME COM ARGAMASSA DE CIMENTO E AREIA, COM ADITIVO IMPERMEABILIZANTE, E = 2 CM. AF_06/2018</t>
  </si>
  <si>
    <t>TRATAMENTO DE RODAPÉ COM VÉU DE POLIÉSTER. AF_06/2018</t>
  </si>
  <si>
    <t>IMPERMEABILIZAÇÃO DE SUPERFÍCIE COM MANTA ASFÁLTICA, UMA CAMADA, INCLUSIVE APLICAÇÃO DE PRIMER ASFÁLTICO, E=3MM. AF_06/2018</t>
  </si>
  <si>
    <t>IMPERMEABILIZAÇÃO DE SUPERFÍCIE COM MANTA ASFÁLTICA, DUAS CAMADAS, INCLUSIVE APLICAÇÃO DE PRIMER ASFÁLTICO, E=3MM E E=4MM. AF_06/2018</t>
  </si>
  <si>
    <t>IMPERMEABILIZAÇÃO DE SUPERFÍCIE COM EMULSÃO ASFÁLTICA, 2 DEMÃOS AF_06/2018</t>
  </si>
  <si>
    <t>PROTEÇÃO MECÂNICA DE SUPERFÍCIE HORIZONTAL COM ARGAMASSA DE CIMENTO E AREIA, TRAÇO 1:3, E=2CM. AF_06/2018</t>
  </si>
  <si>
    <t>PROTEÇÃO MECÂNICA DE SUPERFÍCIE VERTICAL COM ARGAMASSA DE CIMENTO E AREIA, TRAÇO 1:3, E=2CM. AF_06/2018</t>
  </si>
  <si>
    <t>PROTEÇÃO MECÂNICA DE SUPERFICIE HORIZONTAL COM ARGAMASSA DE CIMENTO E AREIA, TRAÇO 1:3, E=3CM. AF_06/2018</t>
  </si>
  <si>
    <t>PROTEÇÃO MECÂNICA DE SUPERFÍCIE VERTICAL COM ARGAMASSA DE CIMENTO E AREIA, TRAÇO 1:3, E=3CM. AF_06/2018</t>
  </si>
  <si>
    <t>PROTEÇÃO MECÂNICA DE SUPERFICIE HORIZONTAL COM ARGAMASSA DE CIMENTO E AREIA, TRAÇO 1:3, E=4CM. AF_06/2018</t>
  </si>
  <si>
    <t>PROTEÇÃO MECÂNICA DE SUPERFÍCIE VERTICAL COM ARGAMASSA DE CIMENTO E AREIA, TRAÇO 1:3, E=4CM. AF_06/2018</t>
  </si>
  <si>
    <t>PROTEÇÃO MECÂNICA DE SUPERFICIE HORIZONTAL COM ARGAMASSA DE CIMENTO E AREIA, TRAÇO 1:3, E=5CM. AF_06/2018</t>
  </si>
  <si>
    <t>PROTEÇÃO MECÂNICA DE SUPERFÍCIE VERTICAL COM ARGAMASSA DE CIMENTO E AREIA, TRAÇO 1:3, E=5CM. AF_06/2018</t>
  </si>
  <si>
    <t>PROTEÇÃO MECÂNICA DE SUPERFICIE HORIZONTAL COM CONCRETO 15 MPA, E=4CM. AF_06/2018</t>
  </si>
  <si>
    <t>PROTEÇÃO MECÂNICA DE SUPERFICIE HORIZONTAL COM CONCRETO 15 MPA, E=5CM. AF_06/2018</t>
  </si>
  <si>
    <t>PROTEÇÃO MECÂNICA DE SUPERFÍCIE VERTICAL COM CONCRETO 15 MPA, E=5CM. AF_06/2018</t>
  </si>
  <si>
    <t>CAIXA ENTERRADA ELÉTRICA RETANGULAR, EM ALVENARIA COM TIJOLOS CERÂMICOS MACIÇOS, FUNDO COM BRITA, DIMENSÕES INTERNAS: 0,3X0,3X0,3 M. AF_05/2018</t>
  </si>
  <si>
    <t>CAIXA ENTERRADA ELÉTRICA RETANGULAR, EM ALVENARIA COM TIJOLOS CERÂMICOS MACIÇOS, FUNDO COM BRITA, DIMENSÕES INTERNAS: 0,4X0,4X0,4 M. AF_05/2018</t>
  </si>
  <si>
    <t>CAIXA ENTERRADA ELÉTRICA RETANGULAR, EM ALVENARIA COM TIJOLOS CERÂMICOS MACIÇOS, FUNDO COM BRITA, DIMENSÕES INTERNAS: 0,6X0,6X0,6 M. AF_05/2018</t>
  </si>
  <si>
    <t>CAIXA ENTERRADA ELÉTRICA RETANGULAR, EM ALVENARIA COM TIJOLOS CERÂMICOS MACIÇOS, FUNDO COM BRITA, DIMENSÕES INTERNAS: 0,8X0,8X0,6 M. AF_05/2018</t>
  </si>
  <si>
    <t>CAIXA ENTERRADA ELÉTRICA RETANGULAR, EM ALVENARIA COM TIJOLOS CERÂMICOS MACIÇOS, FUNDO COM BRITA, DIMENSÕES INTERNAS: 1X1X0,6 M. AF_05/2018</t>
  </si>
  <si>
    <t>CAIXA ENTERRADA ELÉTRICA RETANGULAR, EM ALVENARIA COM BLOCOS DE CONCRETO, FUNDO COM BRITA, DIMENSÕES INTERNAS: 0,4X0,4X0,4 M. AF_05/2018</t>
  </si>
  <si>
    <t>CAIXA ENTERRADA ELÉTRICA RETANGULAR, EM ALVENARIA COM BLOCOS DE CONCRETO, FUNDO COM BRITA, DIMENSÕES INTERNAS: 0,6X0,6X0,6 M. AF_05/2018</t>
  </si>
  <si>
    <t>CAIXA ENTERRADA ELÉTRICA RETANGULAR, EM ALVENARIA COM BLOCOS DE CONCRETO, FUNDO COM BRITA, DIMENSÕES INTERNAS: 0,8X0,8X0,6 M. AF_05/2018</t>
  </si>
  <si>
    <t>CAIXA ENTERRADA ELÉTRICA RETANGULAR, EM ALVENARIA COM BLOCOS DE CONCRETO, FUNDO COM BRITA, DIMENSÕES INTERNAS: 1X1X0,6 M. AF_05/2018</t>
  </si>
  <si>
    <t>ABRIGO PARA HIDRANTE, 90X60X17CM, COM REGISTRO GLOBO ANGULAR 45 GRAUS 2 1/2", ADAPTADOR STORZ 2 1/2", MANGUEIRA DE INCÊNDIO 20M, REDUÇÃO 2 1/2 X 1 1/2" E ESGUICHO EM LATÃO 1 1/2" - FORNECIMENTO E INSTALAÇÃO. AF_08/2017</t>
  </si>
  <si>
    <t>TUBO DE AÇO PRETO SEM COSTURA, CONEXÃO SOLDADA, DN 40 (1 1/2"), INSTALADO EM REDE DE ALIMENTAÇÃO PARA HIDRANTE - FORNECIMENTO E INSTALAÇÃO. AF_12/2015</t>
  </si>
  <si>
    <t>TUBO DE AÇO GALVANIZADO COM COSTURA, CLASSE MÉDIA, DN 25 (1"), CONEXÃO ROSQUEADA, INSTALADO EM REDE DE ALIMENTAÇÃO PARA HIDRANTE - FORNECIMENTO E INSTALAÇÃO. AF_12/2015</t>
  </si>
  <si>
    <t>TUBO DE AÇO GALVANIZADO COM COSTURA, CLASSE MÉDIA, CONEXÃO ROSQUEADA, DN 25 (1"), INSTALADO EM REDE DE ALIMENTAÇÃO PARA SPRINKLER - FORNECIMENTO E INSTALAÇÃO. AF_12/2015</t>
  </si>
  <si>
    <t>TUBO DE AÇO GALVANIZADO COM COSTURA, CLASSE MÉDIA, CONEXÃO ROSQUEADA, DN 25 (1"), INSTALADO EM RAMAIS  E SUB-RAMAIS DE GÁS - FORNECIMENTO E INSTALAÇÃO. AF_12/2015</t>
  </si>
  <si>
    <t>LUVA DE REDUÇÃO, EM FERRO GALVANIZADO, 2" X 1 1/2", CONEXÃO ROSQUEADA, INSTALADO EM PRUMADAS - FORNECIMENTO E INSTALAÇÃO. AF_12/2015</t>
  </si>
  <si>
    <t>LUVA DE REDUÇÃO, EM FERRO GALVANIZADO, 2" X 1 1/4", CONEXÃO ROSQUEADA, INSTALADO EM PRUMADAS - FORNECIMENTO E INSTALAÇÃO. AF_12/2015</t>
  </si>
  <si>
    <t>LUVA DE REDUÇÃO, EM FERRO GALVANIZADO, 2 1/2" X 1 1/2", CONEXÃO ROSQUEADA, INSTALADO EM PRUMADAS - FORNECIMENTO E INSTALAÇÃO. AF_12/2015</t>
  </si>
  <si>
    <t>LUVA DE REDUÇÃO, EM FERRO GALVANIZADO, 2 1/2" X 2", CONEXÃO ROSQUEADA, INSTALADO EM PRUMADAS - FORNECIMENTO E INSTALAÇÃO. AF_12/2015</t>
  </si>
  <si>
    <t>LUVA DE REDUÇÃO, EM FERRO GALVANIZADO, 3" X 1 1/2", CONEXÃO ROSQUEADA, INSTALADO EM PRUMADAS - FORNECIMENTO E INSTALAÇÃO. AF_12/2015</t>
  </si>
  <si>
    <t>LUVA DE REDUÇÃO, EM FERRO GALVANIZADO, 3" X 2 1/2", CONEXÃO ROSQUEADA, INSTALADO EM PRUMADAS - FORNECIMENTO E INSTALAÇÃO. AF_12/2015</t>
  </si>
  <si>
    <t>LUVA DE REDUÇÃO, EM FERRO GALVANIZADO, 1 1/2" X 1 1/4", CONEXÃO ROSQUEADA, INSTALADO EM REDE DE ALIMENTAÇÃO PARA HIDRANTE - FORNECIMENTO E INSTALAÇÃO. AF_12/2015</t>
  </si>
  <si>
    <t>LUVA DE REDUÇÃO, EM FERRO GALVANIZADO, 1 1/2" X 1", CONEXÃO ROSQUEADA, INSTALADO EM REDE DE ALIMENTAÇÃO PARA HIDRANTE - FORNECIMENTO E INSTALAÇÃO. AF_12/2015</t>
  </si>
  <si>
    <t>LUVA DE REDUÇÃO, EM FERRO GALVANIZADO, 1 1/2" X 3/4", CONEXÃO ROSQUEADA, INSTALADO EM REDE DE ALIMENTAÇÃO PARA HIDRANTE - FORNECIMENTO E INSTALAÇÃO. AF_12/2015</t>
  </si>
  <si>
    <t>LUVA DE REDUÇÃO, EM FERRO GALVANIZADO, 2" X 1 1/2", CONEXÃO ROSQUEADA, INSTALADO EM REDE DE ALIMENTAÇÃO PARA HIDRANTE - FORNECIMENTO E INSTALAÇÃO. AF_12/2015</t>
  </si>
  <si>
    <t>LUVA DE REDUÇÃO, EM FERRO GALVANIZADO, 2" X 1 1/4", CONEXÃO ROSQUEADA, INSTALADO EM REDE DE ALIMENTAÇÃO PARA HIDRANTE - FORNECIMENTO E INSTALAÇÃO. AF_12/2015</t>
  </si>
  <si>
    <t>LUVA DE REDUÇÃO, EM FERRO GALVANIZADO, 2 1/2" X 1 1/2", CONEXÃO ROSQUEADA, INSTALADO EM REDE DE ALIMENTAÇÃO PARA HIDRANTE - FORNECIMENTO E INSTALAÇÃO. AF_12/2015</t>
  </si>
  <si>
    <t>LUVA DE REDUÇÃO, EM FERRO GALVANIZADO, 2 1/2" X 2", CONEXÃO ROSQUEADA, INSTALADO EM REDE DE ALIMENTAÇÃO PARA HIDRANTE - FORNECIMENTO E INSTALAÇÃO. AF_12/2015</t>
  </si>
  <si>
    <t>LUVA DE REDUÇÃO, EM FERRO GALVANIZADO, 3" X 2 1/2", CONEXÃO ROSQUEADA, INSTALADO EM REDE DE ALIMENTAÇÃO PARA HIDRANTE - FORNECIMENTO E INSTALAÇÃO. AF_12/2015</t>
  </si>
  <si>
    <t>LUVA DE REDUÇÃO, EM FERRO GALVANIZADO, 1 1/4" X 1", CONEXÃO ROSQUEADA, INSTALADO EM REDE DE ALIMENTAÇÃO PARA SPRINKLER - FORNECIMENTO E INSTALAÇÃO. AF_12/2015</t>
  </si>
  <si>
    <t>LUVA DE REDUÇÃO, EM FERRO GALVANIZADO, 1 1/4" X 1/2", CONEXÃO ROSQUEADA, INSTALADO EM REDE DE ALIMENTAÇÃO PARA SPRINKLER - FORNECIMENTO E INSTALAÇÃO. AF_12/2015</t>
  </si>
  <si>
    <t>LUVA DE REDUÇÃO, EM FERRO GALVANIZADO, 1 1/4" X 3/4", CONEXÃO ROSQUEADA, INSTALADO EM REDE DE ALIMENTAÇÃO PARA SPRINKLER - FORNECIMENTO E INSTALAÇÃO. AF_12/2015</t>
  </si>
  <si>
    <t>LUVA DE REDUÇÃO, EM FERRO GALVANIZADO, 1 1/2" X 1 1/4", CONEXÃO ROSQUEADA, INSTALADO EM REDE DE ALIMENTAÇÃO PARA SPRINKLER - FORNECIMENTO E INSTALAÇÃO. AF_12/2015</t>
  </si>
  <si>
    <t>LUVA DE REDUÇÃO, EM FERRO GALVANIZADO, 1 1/2" X 1", CONEXÃO ROSQUEADA, INSTALADO EM REDE DE ALIMENTAÇÃO PARA SPRINKLER - FORNECIMENTO E INSTALAÇÃO. AF_12/2015</t>
  </si>
  <si>
    <t>LUVA DE REDUÇÃO, EM FERRO GALVANIZADO, 1 1/2" X 3/4", CONEXÃO ROSQUEADA, INSTALADO EM REDE DE ALIMENTAÇÃO PARA SPRINKLER - FORNECIMENTO E INSTALAÇÃO. AF_12/2015</t>
  </si>
  <si>
    <t>LUVA DE REDUÇÃO, EM FERRO GALVANIZADO, 2" X 1 1/2", CONEXÃO ROSQUEADA, INSTALADO EM REDE DE ALIMENTAÇÃO PARA SPRINKLER - FORNECIMENTO E INSTALAÇÃO. AF_12/2015</t>
  </si>
  <si>
    <t>LUVA DE REDUÇÃO, EM FERRO GALVANIZADO, 2" X 1 1/4", CONEXÃO ROSQUEADA, INSTALADO EM REDE DE ALIMENTAÇÃO PARA SPRINKLER - FORNECIMENTO E INSTALAÇÃO. AF_12/2015</t>
  </si>
  <si>
    <t>LUVA DE REDUÇÃO, EM FERRO GALVANIZADO, 2 1/2" X 1 1/2", CONEXÃO ROSQUEADA, INSTALADO EM REDE DE ALIMENTAÇÃO PARA SPRINKLER - FORNECIMENTO E INSTALAÇÃO. AF_12/2015</t>
  </si>
  <si>
    <t>LUVA DE REDUÇÃO, EM FERRO GALVANIZADO, 3" X 2 1/2", CONEXÃO ROSQUEADA, INSTALADO EM REDE DE ALIMENTAÇÃO PARA SPRINKLER - FORNECIMENTO E INSTALAÇÃO. AF_12/2015</t>
  </si>
  <si>
    <t>SPRINKLER TIPO PENDENTE, 68 °C, UNIÃO POR ROSCA DN 15 (1/2") - FORNECIMENTO E INSTALAÇÃO. AF_12/2015</t>
  </si>
  <si>
    <t>FLANGE EM AÇO, DN 15 MM X 1/2'', INSTALADO EM RESERVAÇÃO DE ÁGUA DE EDIFICAÇÃO QUE POSSUA RESERVATÓRIO DE FIBRA/FIBROCIMENTO - FORNECIMENTO E INSTALAÇÃO. AF_06/2016</t>
  </si>
  <si>
    <t>FLANGE EM AÇO, DN 20 MM X 3/4'', INSTALADO EM RESERVAÇÃO DE ÁGUA DE EDIFICAÇÃO QUE POSSUA RESERVATÓRIO DE FIBRA/FIBROCIMENTO - FORNECIMENTO E INSTALAÇÃO. AF_06/2016</t>
  </si>
  <si>
    <t>FLANGE EM AÇO, DN 25 MM X 1'', INSTALADO EM RESERVAÇÃO DE ÁGUA DE EDIFICAÇÃO QUE POSSUA RESERVATÓRIO DE FIBRA/FIBROCIMENTO - FORNECIMENTO E INSTALAÇÃO. AF_06/2016</t>
  </si>
  <si>
    <t>FLANGE EM AÇO, DN 32 MM X 1 1/4'', INSTALADO EM RESERVAÇÃO DE ÁGUA DE EDIFICAÇÃO QUE POSSUA RESERVATÓRIO DE FIBRA/FIBROCIMENTO - FORNECIMENTO E INSTALAÇÃO. AF_06/2016</t>
  </si>
  <si>
    <t>FLANGE EM AÇO, DN 40 MM X 1 1/2'', INSTALADO EM RESERVAÇÃO DE ÁGUA DE EDIFICAÇÃO QUE POSSUA RESERVATÓRIO DE FIBRA/FIBROCIMENTO - FORNECIMENTO E INSTALAÇÃO. AF_06/2016</t>
  </si>
  <si>
    <t>ACOPLAMENTO RÍGIDO EM AÇO, CONEXÃO RANHURADA, DN 50 (2"), INSTALADO EM PRUMADAS - FORNECIMENTO E INSTALAÇÃO. AF_12/2015</t>
  </si>
  <si>
    <t>ACOPLAMENTO RÍGIDO EM AÇO, CONEXÃO RANHURADA, DN 65 (2 1/2"), INSTALADO EM PRUMADAS - FORNECIMENTO E INSTALAÇÃO. AF_12/2015</t>
  </si>
  <si>
    <t>ACOPLAMENTO RÍGIDO EM AÇO, CONEXÃO RANHURADA, DN 80 (3"), INSTALADO EM PRUMADAS - FORNECIMENTO E INSTALAÇÃO. AF_12/2015</t>
  </si>
  <si>
    <t>CURVA 90 GRAUS, EM AÇO, CONEXÃO RANHURADA, DN 50 (2"), INSTALADO EM PRUMADAS - FORNECIMENTO E INSTALAÇÃO. AF_12/2015</t>
  </si>
  <si>
    <t>CURVA 45 GRAUS, EM AÇO, CONEXÃO RANHURADA, DN 65 (2 1/2"), INSTALADO EM PRUMADAS - FORNECIMENTO E INSTALAÇÃO. AF_12/2015</t>
  </si>
  <si>
    <t>CURVA 45 GRAUS, EM AÇO, CONEXÃO RANHURADA, DN 80 (3"), INSTALADO EM PRUMADAS - FORNECIMENTO E INSTALAÇÃO. AF_12/2015</t>
  </si>
  <si>
    <t>CURVA 90 GRAUS, EM AÇO, CONEXÃO RANHURADA, DN 80 (3"), INSTALADO EM PRUMADAS - FORNECIMENTO E INSTALAÇÃO. AF_12/2015</t>
  </si>
  <si>
    <t>TÊ, EM AÇO, CONEXÃO RANHURADA, DN 50 (2"), INSTALADO EM PRUMADAS - FORNECIMENTO E INSTALAÇÃO. AF_12/2015</t>
  </si>
  <si>
    <t>TÊ, EM AÇO, CONEXÃO RANHURADA, DN 65 (2 1/2"), INSTALADO EM PRUMADAS - FORNECIMENTO E INSTALAÇÃO. AF_12/2015</t>
  </si>
  <si>
    <t>TÊ, EM AÇO, CONEXÃO RANHURADA, DN 80 (3"), INSTALADO EM PRUMADAS - FORNECIMENTO E INSTALAÇÃO. AF_12/2015</t>
  </si>
  <si>
    <t>LUVA, EM AÇO, CONEXÃO SOLDADA, DN 50 (2"), INSTALADO EM PRUMADAS - FORNECIMENTO E INSTALAÇÃO. AF_12/2015</t>
  </si>
  <si>
    <t>LUVA, EM AÇO, CONEXÃO SOLDADA, DN 65 (2 1/2"), INSTALADO EM PRUMADAS - FORNECIMENTO E INSTALAÇÃO. AF_12/2015</t>
  </si>
  <si>
    <t>LUVA COM REDUÇÃO, EM AÇO, CONEXÃO SOLDADA, DN 65 X 50 MM (2 1/2" X 2"), INSTALADO EM PRUMADAS - FORNECIMENTO E INSTALAÇÃO. AF_12/2015</t>
  </si>
  <si>
    <t>LUVA COM REDUÇÃO, EM AÇO, CONEXÃO SOLDADA, DN 80 X 65 MM (3" X 2 1/2"), INSTALADO EM PRUMADAS - FORNECIMENTO E INSTALAÇÃO. AF_12/2015</t>
  </si>
  <si>
    <t>TÊ, EM AÇO, CONEXÃO SOLDADA, DN 50 (2"), INSTALADO EM PRUMADAS - FORNECIMENTO E INSTALAÇÃO. AF_12/2015</t>
  </si>
  <si>
    <t>TÊ, EM AÇO, CONEXÃO SOLDADA, DN 65 (2 1/2"), INSTALADO EM PRUMADAS - FORNECIMENTO E INSTALAÇÃO. AF_12/2015</t>
  </si>
  <si>
    <t>TÊ, EM AÇO, CONEXÃO SOLDADA, DN 80 (3"), INSTALADO EM PRUMADAS - FORNECIMENTO E INSTALAÇÃO. AF_12/2015</t>
  </si>
  <si>
    <t>CURVA 45 GRAUS, EM AÇO, CONEXÃO SOLDADA, DN 40 (1 1/2"), INSTALADO EM REDE DE ALIMENTAÇÃO PARA HIDRANTE - FORNECIMENTO E INSTALAÇÃO. AF_12/2015</t>
  </si>
  <si>
    <t>CURVA 90 GRAUS, EM AÇO, CONEXÃO SOLDADA, DN 40 (1 1/2"), INSTALADO EM REDE DE ALIMENTAÇÃO PARA HIDRANTE - FORNECIMENTO E INSTALAÇÃO. AF_12/2015</t>
  </si>
  <si>
    <t>CURVA 45 GRAUS, EM AÇO, CONEXÃO SOLDADA, DN 50 (2"), INSTALADO EM REDE DE ALIMENTAÇÃO PARA HIDRANTE - FORNECIMENTO E INSTALAÇÃO. AF_12/2015</t>
  </si>
  <si>
    <t>CURVA 90 GRAUS, EM AÇO, CONEXÃO SOLDADA, DN 50 (2"), INSTALADO EM REDE DE ALIMENTAÇÃO PARA HIDRANTE - FORNECIMENTO E INSTALAÇÃO. AF_12/2015</t>
  </si>
  <si>
    <t>CURVA 45 GRAUS, EM AÇO, CONEXÃO SOLDADA, DN 65 (2 1/2"), INSTALADO EM REDE DE ALIMENTAÇÃO PARA HIDRANTE - FORNECIMENTO E INSTALAÇÃO. AF_12/2015</t>
  </si>
  <si>
    <t>CURVA 90 GRAUS, EM AÇO, CONEXÃO SOLDADA, DN 65 (2 1/2"), INSTALADO EM REDE DE ALIMENTAÇÃO PARA HIDRANTE - FORNECIMENTO E INSTALAÇÃO. AF_12/2015</t>
  </si>
  <si>
    <t>CURVA 45 GRAUS, EM AÇO, CONEXÃO SOLDADA, DN 80 (3"), INSTALADO EM REDE DE ALIMENTAÇÃO PARA HIDRANTE - FORNECIMENTO E INSTALAÇÃO. AF_12/2015</t>
  </si>
  <si>
    <t>CURVA 90 GRAUS, EM AÇO, CONEXÃO SOLDADA, DN 80 (3"), INSTALADO EM REDE DE ALIMENTAÇÃO PARA HIDRANTE - FORNECIMENTO E INSTALAÇÃO. AF_12/2015</t>
  </si>
  <si>
    <t>TÊ, EM AÇO, CONEXÃO SOLDADA, DN 25 (1"), INSTALADO EM REDE DE ALIMENTAÇÃO PARA HIDRANTE - FORNECIMENTO E INSTALAÇÃO. AF_12/2015</t>
  </si>
  <si>
    <t>TÊ, EM AÇO, CONEXÃO SOLDADA, DN 32 (1 1/4"), INSTALADO EM REDE DE ALIMENTAÇÃO PARA HIDRANTE - FORNECIMENTO E INSTALAÇÃO. AF_12/2015</t>
  </si>
  <si>
    <t>TÊ, EM AÇO, CONEXÃO SOLDADA, DN 40 (1 1/2"), INSTALADO EM REDE DE ALIMENTAÇÃO PARA HIDRANTE - FORNECIMENTO E INSTALAÇÃO. AF_12/2015</t>
  </si>
  <si>
    <t>TÊ, EM AÇO, CONEXÃO SOLDADA, DN 50 (2"), INSTALADO EM REDE DE ALIMENTAÇÃO PARA HIDRANTE - FORNECIMENTO E INSTALAÇÃO. AF_12/2015</t>
  </si>
  <si>
    <t>TÊ, EM AÇO, CONEXÃO SOLDADA, DN 65 (2 1/2"), INSTALADO EM REDE DE ALIMENTAÇÃO PARA HIDRANTE - FORNECIMENTO E INSTALAÇÃO. AF_12/2015</t>
  </si>
  <si>
    <t>TÊ, EM AÇO, CONEXÃO SOLDADA, DN 80 (3"), INSTALADO EM REDE DE ALIMENTAÇÃO PARA HIDRANTE - FORNECIMENTO E INSTALAÇÃO. AF_12/2015</t>
  </si>
  <si>
    <t>LUVA, EM AÇO, CONEXÃO SOLDADA, DN 25 (1"), INSTALADO EM REDE DE ALIMENTAÇÃO PARA SPRINKLER - FORNECIMENTO E INSTALAÇÃO. AF_12/2015</t>
  </si>
  <si>
    <t>LUVA COM REDUÇÃO, EM AÇO, CONEXÃO SOLDADA, DN 25 X 20 MM (1" X 3/4"), INSTALADO EM REDE DE ALIMENTAÇÃO PARA SPRINKLER - FORNECIMENTO E INSTALAÇÃO. AF_12/2015</t>
  </si>
  <si>
    <t>LUVA, EM AÇO, CONEXÃO SOLDADA, DN 32 (1 1/4"), INSTALADO EM REDE DE ALIMENTAÇÃO PARA SPRINKLER - FORNECIMENTO E INSTALAÇÃO. AF_12/2015</t>
  </si>
  <si>
    <t>LUVA COM REDUÇÃO, EM AÇO, CONEXÃO SOLDADA, DN 32 X 25 MM (1 1/4"  X 1"), INSTALADO EM REDE DE ALIMENTAÇÃO PARA SPRINKLER - FORNECIMENTO E INSTALAÇÃO. AF_12/2015</t>
  </si>
  <si>
    <t>LUVA, EM AÇO, CONEXÃO SOLDADA, DN 40 (1 1/2"), INSTALADO EM REDE DE ALIMENTAÇÃO PARA SPRINKLER - FORNECIMENTO E INSTALAÇÃO. AF_12/2015</t>
  </si>
  <si>
    <t>LUVA COM REDUÇÃO, EM AÇO, CONEXÃO SOLDADA, DN 40  X 32 MM (1 1/2" X 1 1/4"), INSTALADO EM REDE DE ALIMENTAÇÃO PARA SPRINKLER - FORNECIMENTO E INSTALAÇÃO. AF_12/2015</t>
  </si>
  <si>
    <t>LUVA, EM AÇO, CONEXÃO SOLDADA, DN 50 (2"), INSTALADO EM REDE DE ALIMENTAÇÃO PARA SPRINKLER - FORNECIMENTO E INSTALAÇÃO. AF_12/2015</t>
  </si>
  <si>
    <t>LUVA COM REDUÇÃO, EM AÇO, CONEXÃO SOLDADA, DN 50 X 40 MM (2" X 1 1/2"), INSTALADO EM REDE DE ALIMENTAÇÃO PARA SPRINKLER - FORNECIMENTO E INSTALAÇÃO. AF_12/2015</t>
  </si>
  <si>
    <t>LUVA, EM AÇO, CONEXÃO SOLDADA, DN 65 (2 1/2"), INSTALADO EM REDE DE ALIMENTAÇÃO PARA SPRINKLER - FORNECIMENTO E INSTALAÇÃO. AF_12/2015</t>
  </si>
  <si>
    <t>LUVA COM REDUÇÃO, EM AÇO, CONEXÃO SOLDADA, DN 65 X 50 MM (2 1/2" X 2"), INSTALADO EM REDE DE ALIMENTAÇÃO PARA SPRINKLER - FORNECIMENTO E INSTALAÇÃO. AF_12/2015</t>
  </si>
  <si>
    <t>LUVA, EM AÇO, CONEXÃO SOLDADA, DN 80 (3"), INSTALADO EM REDE DE ALIMENTAÇÃO PARA SPRINKLER - FORNECIMENTO E INSTALAÇÃO. AF_12/2015</t>
  </si>
  <si>
    <t>LUVA COM REDUÇÃO, EM AÇO, CONEXÃO SOLDADA, DN 80 X 65 MM (3" X 2 1/2"), INSTALADO EM REDE DE ALIMENTAÇÃO PARA SPRINKLER - FORNECIMENTO E INSTALAÇÃO. AF_12/2015</t>
  </si>
  <si>
    <t>CURVA 45 GRAUS, EM AÇO, CONEXÃO SOLDADA, DN 25 (1"), INSTALADO EM REDE DE ALIMENTAÇÃO PARA SPRINKLER - FORNECIMENTO E INSTALAÇÃO. AF_12/2015</t>
  </si>
  <si>
    <t>CURVA 90 GRAUS, EM AÇO, CONEXÃO SOLDADA, DN 25 (1"), INSTALADO EM REDE DE ALIMENTAÇÃO PARA SPRINKLER - FORNECIMENTO E INSTALAÇÃO. AF_12/2015</t>
  </si>
  <si>
    <t>CURVA 45 GRAUS, EM AÇO, CONEXÃO SOLDADA, DN 32 (1 1/4"), INSTALADO EM REDE DE ALIMENTAÇÃO PARA SPRINKLER - FORNECIMENTO E INSTALAÇÃO. AF_12/2015</t>
  </si>
  <si>
    <t>CURVA 90 GRAUS, EM AÇO, CONEXÃO SOLDADA, DN 32 (1 1/4"), INSTALADO EM REDE DE ALIMENTAÇÃO PARA SPRINKLER - FORNECIMENTO E INSTALAÇÃO. AF_12/2015</t>
  </si>
  <si>
    <t>CURVA 45 GRAUS, EM AÇO, CONEXÃO SOLDADA, DN 40 (1 1/2"), INSTALADO EM REDE DE ALIMENTAÇÃO PARA SPRINKLER - FORNECIMENTO E INSTALAÇÃO. AF_12/2015</t>
  </si>
  <si>
    <t>CURVA 90 GRAUS, EM AÇO, CONEXÃO SOLDADA, DN 40 (1 1/2"), INSTALADO EM REDE DE ALIMENTAÇÃO PARA SPRINKLER - FORNECIMENTO E INSTALAÇÃO. AF_12/2015</t>
  </si>
  <si>
    <t>CURVA 45 GRAUS, EM AÇO, CONEXÃO SOLDADA, DN 50 (2"), INSTALADO EM REDE DE ALIMENTAÇÃO PARA SPRINKLER - FORNECIMENTO E INSTALAÇÃO. AF_12/2015</t>
  </si>
  <si>
    <t>CURVA 90 GRAUS, EM AÇO, CONEXÃO SOLDADA, DN 50 (2"), INSTALADO EM REDE DE ALIMENTAÇÃO PARA SPRINKLER - FORNECIMENTO E INSTALAÇÃO. AF_12/2015</t>
  </si>
  <si>
    <t>CURVA 45 GRAUS, EM AÇO, CONEXÃO SOLDADA, DN 65 (2 1/2"), INSTALADO EM REDE DE ALIMENTAÇÃO PARA SPRINKLER - FORNECIMENTO E INSTALAÇÃO. AF_12/2015</t>
  </si>
  <si>
    <t>CURVA 90 GRAUS, EM AÇO, CONEXÃO SOLDADA, DN 65 (2 1/2"), INSTALADO EM REDE DE ALIMENTAÇÃO PARA SPRINKLER - FORNECIMENTO E INSTALAÇÃO. AF_12/2015</t>
  </si>
  <si>
    <t>CURVA 45 GRAUS, EM AÇO, CONEXÃO SOLDADA, DN 80 (3"), INSTALADO EM REDE DE ALIMENTAÇÃO PARA SPRINKLER - FORNECIMENTO E INSTALAÇÃO. AF_12/2015</t>
  </si>
  <si>
    <t>CURVA 90 GRAUS, EM AÇO, CONEXÃO SOLDADA, DN 80 (3"), INSTALADO EM REDE DE ALIMENTAÇÃO PARA SPRINKLER - FORNECIMENTO E INSTALAÇÃO. AF_12/2015</t>
  </si>
  <si>
    <t>TÊ, EM AÇO, CONEXÃO SOLDADA, DN 25 (1"), INSTALADO EM REDE DE ALIMENTAÇÃO PARA SPRINKLER - FORNECIMENTO E INSTALAÇÃO. AF_12/2015</t>
  </si>
  <si>
    <t>TÊ, EM AÇO, CONEXÃO SOLDADA, DN 32 (1 1/4"), INSTALADO EM REDE DE ALIMENTAÇÃO PARA SPRINKLER - FORNECIMENTO E INSTALAÇÃO. AF_12/2015</t>
  </si>
  <si>
    <t>TÊ, EM AÇO, CONEXÃO SOLDADA, DN 40 (1 1/2"), INSTALADO EM REDE DE ALIMENTAÇÃO PARA SPRINKLER - FORNECIMENTO E INSTALAÇÃO. AF_12/2015</t>
  </si>
  <si>
    <t>TÊ, EM AÇO, CONEXÃO SOLDADA, DN 50 (2"), INSTALADO EM REDE DE ALIMENTAÇÃO PARA SPRINKLER - FORNECIMENTO E INSTALAÇÃO. AF_12/2015</t>
  </si>
  <si>
    <t>TÊ, EM AÇO, CONEXÃO SOLDADA, DN 65 (2 1/2"), INSTALADO EM REDE DE ALIMENTAÇÃO PARA SPRINKLER - FORNECIMENTO E INSTALAÇÃO. AF_12/2015</t>
  </si>
  <si>
    <t>TÊ, EM AÇO, CONEXÃO SOLDADA, DN 80 (3"), INSTALADO EM REDE DE ALIMENTAÇÃO PARA SPRINKLER - FORNECIMENTO E INSTALAÇÃO. AF_12/2015</t>
  </si>
  <si>
    <t>LUVA, EM AÇO, CONEXÃO SOLDADA, DN 15 (1/2"), INSTALADO EM RAMAIS E SUB-RAMAIS DE GÁS - FORNECIMENTO E INSTALAÇÃO. AF_12/2015</t>
  </si>
  <si>
    <t>LUVA, EM AÇO, CONEXÃO SOLDADA, DN 20 (3/4"), INSTALADO EM RAMAIS E SUB-RAMAIS DE GÁS - FORNECIMENTO E INSTALAÇÃO. AF_12/2015</t>
  </si>
  <si>
    <t>LUVA COM REDUÇÃO, EM AÇO, CONEXÃO SOLDADA, DN 20 X 15 MM (3/4 " X 1/2"), INSTALADO EM RAMAIS E SUB-RAMAIS DE GÁS - FORNECIMENTO E INSTALAÇÃO. AF_12/2015</t>
  </si>
  <si>
    <t>LUVA, EM AÇO, CONEXÃO SOLDADA, DN 25 (1"), INSTALADO EM RAMAIS E SUB-RAMAIS DE GÁS - FORNECIMENTO E INSTALAÇÃO. AF_12/2015</t>
  </si>
  <si>
    <t>LUVA COM REDUÇÃO, EM AÇO, CONEXÃO SOLDADA, DN 25 X 20 MM (1" X 3/4"), INSTALADO EM RAMAIS E SUB-RAMAIS DE GÁS - FORNECIMENTO E INSTALAÇÃO. AF_12/2015</t>
  </si>
  <si>
    <t>CURVA 45 GRAUS, EM AÇO, CONEXÃO SOLDADA, DN 15 (1/2"), INSTALADO EM RAMAIS E SUB-RAMAIS DE GÁS - FORNECIMENTO E INSTALAÇÃO. AF_12/2015</t>
  </si>
  <si>
    <t>CURVA 90 GRAUS, EM AÇO, CONEXÃO SOLDADA, DN 15 (1/2"), INSTALADO EM RAMAIS E SUB-RAMAIS DE GÁS - FORNECIMENTO E INSTALAÇÃO. AF_12/2015</t>
  </si>
  <si>
    <t>CURVA 45 GRAUS, EM AÇO, CONEXÃO SOLDADA, DN 20 (3/4"), INSTALADO EM RAMAIS E SUB-RAMAIS DE GÁS - FORNECIMENTO E INSTALAÇÃO. AF_12/2015</t>
  </si>
  <si>
    <t>CURVA 90 GRAUS, EM AÇO, CONEXÃO SOLDADA, DN 20 (3/4"), INSTALADO EM RAMAIS E SUB-RAMAIS DE GÁS - FORNECIMENTO E INSTALAÇÃO. AF_12/2015</t>
  </si>
  <si>
    <t>CURVA 45 GRAUS, EM AÇO, CONEXÃO SOLDADA, DN 25 (1"), INSTALADO EM RAMAIS E SUB-RAMAIS DE GÁS - FORNECIMENTO E INSTALAÇÃO. AF_12/2015</t>
  </si>
  <si>
    <t>CURVA 90 GRAUS, EM AÇO, CONEXÃO SOLDADA, DN 25 (1"), INSTALADO EM RAMAIS E SUB-RAMAIS DE GÁS - FORNECIMENTO E INSTALAÇÃO. AF_12/2015</t>
  </si>
  <si>
    <t>TÊ, EM AÇO, CONEXÃO SOLDADA, DN 15 (1/2"), INSTALADO EM RAMAIS E SUB-RAMAIS DE GÁS - FORNECIMENTO E INSTALAÇÃO. AF_12/2015</t>
  </si>
  <si>
    <t>TÊ, EM AÇO, CONEXÃO SOLDADA, DN 20 (3/4"), INSTALADO EM RAMAIS E SUB-RAMAIS DE GÁS - FORNECIMENTO E INSTALAÇÃO. AF_12/2015</t>
  </si>
  <si>
    <t>TÊ, EM AÇO, CONEXÃO SOLDADA, DN 25 (1"), INSTALADO EM RAMAIS E SUB-RAMAIS DE GÁS - FORNECIMENTO E INSTALAÇÃO. AF_12/2015</t>
  </si>
  <si>
    <t>CAIXA ENTERRADA HIDRÁULICA RETANGULAR EM ALVENARIA COM TIJOLOS CERÂMICOS MACIÇOS, DIMENSÕES INTERNAS: 0,3X0,3X0,3 M PARA REDE DE ESGOTO. AF_05/2018</t>
  </si>
  <si>
    <t>CAIXA ENTERRADA HIDRÁULICA RETANGULAR EM ALVENARIA COM TIJOLOS CERÂMICOS MACIÇOS, DIMENSÕES INTERNAS: 0,4X0,4X0,4 M PARA REDE DE ESGOTO. AF_05/2018</t>
  </si>
  <si>
    <t>CAIXA ENTERRADA HIDRÁULICA RETANGULAR EM ALVENARIA COM TIJOLOS CERÂMICOS MACIÇOS, DIMENSÕES INTERNAS: 0,6X0,6X0,6 M PARA REDE DE ESGOTO. AF_05/2018</t>
  </si>
  <si>
    <t>CAIXA ENTERRADA HIDRÁULICA RETANGULAR EM ALVENARIA COM TIJOLOS CERÂMICOS MACIÇOS, DIMENSÕES INTERNAS: 0,8X0,8X0,6 M PARA REDE DE ESGOTO. AF_05/2018</t>
  </si>
  <si>
    <t>CAIXA ENTERRADA HIDRÁULICA RETANGULAR EM ALVENARIA COM TIJOLOS CERÂMICOS MACIÇOS, DIMENSÕES INTERNAS: 1X1X0,6 M PARA REDE DE ESGOTO. AF_05/2018</t>
  </si>
  <si>
    <t>CAIXA ENTERRADA HIDRÁULICA RETANGULAR, EM ALVENARIA COM BLOCOS DE CONCRETO, DIMENSÕES INTERNAS: 0,4X0,4X0,4 M PARA REDE DE ESGOTO. AF_05/2018</t>
  </si>
  <si>
    <t>CAIXA ENTERRADA HIDRÁULICA RETANGULAR, EM ALVENARIA COM BLOCOS DE CONCRETO, DIMENSÕES INTERNAS: 0,6X0,6X0,6 M PARA REDE DE ESGOTO. AF_05/2018</t>
  </si>
  <si>
    <t>CAIXA ENTERRADA HIDRÁULICA RETANGULAR, EM ALVENARIA COM BLOCOS DE CONCRETO, DIMENSÕES INTERNAS: 0,8X0,8X0,6 M PARA REDE DE ESGOTO. AF_05/2018</t>
  </si>
  <si>
    <t>CAIXA ENTERRADA HIDRÁULICA RETANGULAR, EM ALVENARIA COM BLOCOS DE CONCRETO, DIMENSÕES INTERNAS: 1X1X0,6 M PARA REDE DE ESGOTO. AF_05/2018</t>
  </si>
  <si>
    <t>CAIXA DE GORDURA SIMPLES, CIRCULAR, EM CONCRETO PRÉ-MOLDADO, DIÂMETRO INTERNO = 0,4 M, ALTURA INTERNA = 0,4 M. AF_05/2018</t>
  </si>
  <si>
    <t>CAIXA DE GORDURA DUPLA, CIRCULAR, EM CONCRETO PRÉ-MOLDADO, DIÂMETRO INTERNO = 0,6 M, ALTURA INTERNA = 0,6 M. AF_05/2018</t>
  </si>
  <si>
    <t>CAIXA DE GORDURA SIMPLES (CAPACIDADE: 36L), RETANGULAR, EM ALVENARIA COM TIJOLOS CERÂMICOS MACIÇOS, DIMENSÕES INTERNAS = 0,2X0,4 M, ALTURA INTERNA = 0,8 M. AF_05/2018</t>
  </si>
  <si>
    <t>CAIXA DE GORDURA DUPLA (CAPACIDADE: 126 L), RETANGULAR, EM ALVENARIA COM TIJOLOS CERÂMICOS MACIÇOS, DIMENSÕES INTERNAS = 0,4X0,7 M, ALTURA INTERNA = 0,8 M. AF_05/2018</t>
  </si>
  <si>
    <t>CAIXA DE GORDURA ESPECIAL (CAPACIDADE: 312 L - PARA ATÉ 146 PESSOAS SERVIDAS NO PICO), RETANGULAR, EM ALVENARIA COM TIJOLOS CERÂMICOS MACIÇOS, DIMENSÕES INTERNAS = 0,4X1,2 M, ALTURA INTERNA = 1 M. AF_05/2018</t>
  </si>
  <si>
    <t>CAIXA DE GORDURA SIMPLES (CAPACIDADE: 36 L), RETANGULAR, EM ALVENARIA COM BLOCOS DE CONCRETO, DIMENSÕES INTERNAS = 0,2X0,4 M, ALTURA INTERNA = 0,8 M. AF_05/2018</t>
  </si>
  <si>
    <t>CAIXA DE GORDURA DUPLA (CAPACIDADE: 126 L), RETANGULAR, EM ALVENARIA COM BLOCOS DE CONCRETO, DIMENSÕES INTERNAS = 0,4X0,7 M, ALTURA INTERNA = 0,8 M. AF_05/2018</t>
  </si>
  <si>
    <t>TANQUE SÉPTICO CIRCULAR, EM CONCRETO PRÉ-MOLDADO, DIÂMETRO INTERNO = 1,10 M, ALTURA INTERNA = 2,50 M, VOLUME ÚTIL: 2138,2 L (PARA 5 CONTRIBUINTES). AF_05/2018</t>
  </si>
  <si>
    <t>TANQUE SÉPTICO CIRCULAR, EM CONCRETO PRÉ-MOLDADO, DIÂMETRO INTERNO = 1,40 M, ALTURA INTERNA = 2,50 M, VOLUME ÚTIL: 3463,6 L (PARA 13 CONTRIBUINTES). AF_05/2018</t>
  </si>
  <si>
    <t>TANQUE SÉPTICO CIRCULAR, EM CONCRETO PRÉ-MOLDADO, DIÂMETRO INTERNO = 1,88 M, ALTURA INTERNA = 2,50 M, VOLUME ÚTIL: 6245,8 L (PARA 32 CONTRIBUINTES). AF_05/2018</t>
  </si>
  <si>
    <t>TANQUE SÉPTICO CIRCULAR, EM CONCRETO PRÉ-MOLDADO, DIÂMETRO INTERNO = 2,38 M, ALTURA INTERNA = 2,50 M, VOLUME ÚTIL: 10009,8 L (PARA 69 CONTRIBUINTES). AF_05/2018</t>
  </si>
  <si>
    <t>TANQUE SÉPTICO CIRCULAR, EM CONCRETO PRÉ-MOLDADO, DIÂMETRO INTERNO = 2,38 M, ALTURA INTERNA = 3,0 M, VOLUME ÚTIL: 12234,2 L (PARA 86 CONTRIBUINTES). AF_05/2018</t>
  </si>
  <si>
    <t>TANQUE SÉPTICO CIRCULAR, EM CONCRETO PRÉ-MOLDADO, DIÂMETRO INTERNO = 2,88 M, ALTURA INTERNA = 2,50 M, VOLUME ÚTIL: 14657,4 L (PARA 105 CONTRIBUINTES). AF_05/2018</t>
  </si>
  <si>
    <t>TANQUE SÉPTICO RETANGULAR, EM ALVENARIA COM TIJOLOS CERÂMICOS MACIÇOS, DIMENSÕES INTERNAS: 1,0 X 2,0 X 1,4 M, VOLUME ÚTIL: 2000 L (PARA 5 CONTRIBUINTES). AF_05/2018</t>
  </si>
  <si>
    <t>TANQUE SÉPTICO RETANGULAR, EM ALVENARIA COM TIJOLOS CERÂMICOS MACIÇOS, DIMENSÕES INTERNAS: 1,2 X 2,4 X 1,6 M, VOLUME ÚTIL: 3456 L (PARA 13 CONTRIBUINTES). AF_05/2018</t>
  </si>
  <si>
    <t>TANQUE SÉPTICO RETANGULAR, EM ALVENARIA COM TIJOLOS CERÂMICOS MACIÇOS, DIMENSÕES INTERNAS: 1,4 X 3,2 X 1,8 M, VOLUME ÚTIL: 6272 L (PARA 32 CONTRIBUINTES). AF_05/2018</t>
  </si>
  <si>
    <t>TANQUE SÉPTICO RETANGULAR, EM ALVENARIA COM TIJOLOS CERÂMICOS MACIÇOS, DIMENSÕES INTERNAS: 1,6 X 4,4 X 1,8 M, VOLUME ÚTIL: 9856 L (PARA 68 CONTRIBUINTES). AF_05/2018</t>
  </si>
  <si>
    <t>TANQUE SÉPTICO RETANGULAR, EM ALVENARIA COM TIJOLOS CERÂMICOS MACIÇOS, DIMENSÕES INTERNAS: 1,6 X 4,8 X 2,0 M, VOLUME ÚTIL: 12288 L (PARA 86 CONTRIBUINTES). AF_05/2018</t>
  </si>
  <si>
    <t>TANQUE SÉPTICO RETANGULAR, EM ALVENARIA COM TIJOLOS CERÂMICOS MACIÇOS, DIMENSÕES INTERNAS: 1,6 X 4,6 X 2,4 M, VOLUME ÚTIL: 14720 L (PARA 105 CONTRIBUINTES). AF_05/2018</t>
  </si>
  <si>
    <t>FILTRO ANAERÓBIO RETANGULAR, EM ALVENARIA COM TIJOLOS CERÂMICOS MACIÇOS, DIMENSÕES INTERNAS: 0,8 X 1,2 X 1,67 M, VOLUME ÚTIL: 1152 L (PARA 5 CONTRIBUINTES). AF_05/2018</t>
  </si>
  <si>
    <t>FILTRO ANAERÓBIO RETANGULAR, EM ALVENARIA COM TIJOLOS CERÂMICOS MACIÇOS, DIMENSÕES INTERNAS: 1,2 X 1,8 X 1,67 M, VOLUME ÚTIL: 2592 L (PARA 13 CONTRIBUINTES). AF_05/2018</t>
  </si>
  <si>
    <t>FILTRO ANAERÓBIO RETANGULAR, EM ALVENARIA COM TIJOLOS CERÂMICOS MACIÇOS, DIMENSÕES INTERNAS: 1,4 X 3,0 X 1,67 M, VOLUME ÚTIL: 5040 L (PARA 32 CONTRIBUINTES). AF_05/2018</t>
  </si>
  <si>
    <t>FILTRO ANAERÓBIO RETANGULAR, EM ALVENARIA COM TIJOLOS CERÂMICOS MACIÇOS, DIMENSÕES INTERNAS: 1,4 X 4,2 X 1,67 M, VOLUME ÚTIL: 7056 L (PARA 67 CONTRIBUINTES). AF_05/2018</t>
  </si>
  <si>
    <t>FILTRO ANAERÓBIO RETANGULAR, EM ALVENARIA COM TIJOLOS CERÂMICOS MACIÇOS, DIMENSÕES INTERNAS: 1,6 X 4,6 X 1,67 M, VOLUME ÚTIL: 8832 L (PARA 84 CONTRIBUINTES). AF_05/2018</t>
  </si>
  <si>
    <t>FILTRO ANAERÓBIO RETANGULAR, EM ALVENARIA COM TIJOLOS CERÂMICOS MACIÇOS, DIMENSÕES INTERNAS: 1,6 X 5,6 X 1,67 M, VOLUME ÚTIL: 10752 L (PARA 103 CONTRIBUINTES). AF_05/2018</t>
  </si>
  <si>
    <t>SUMIDOURO RETANGULAR, EM ALVENARIA COM TIJOLOS CERÂMICOS MACIÇOS, DIMENSÕES INTERNAS: 0,8 X 1,4 X 3,0 M, ÁREA DE INFILTRAÇÃO: 13,2 M² (PARA 5 CONTRIBUINTES). AF_05/2018</t>
  </si>
  <si>
    <t>SUMIDOURO RETANGULAR, EM ALVENARIA COM TIJOLOS CERÂMICOS MACIÇOS, DIMENSÕES INTERNAS: 1,0 X 3,0 X 3,0 M, ÁREA DE INFILTRAÇÃO: 25 M² (PARA 10 CONTRIBUINTES). AF_05/2018</t>
  </si>
  <si>
    <t>SUMIDOURO RETANGULAR, EM ALVENARIA COM TIJOLOS CERÂMICOS MACIÇOS, DIMENSÕES INTERNAS: 1,6 X 3,4 X 3,0 M, ÁREA DE INFILTRAÇÃO: 32,9 M² (PARA 13 CONTRIBUINTES). AF_05/2018</t>
  </si>
  <si>
    <t>SUMIDOURO RETANGULAR, EM ALVENARIA COM TIJOLOS CERÂMICOS MACIÇOS, DIMENSÕES INTERNAS: 1,6 X 5,8 X 3,0 M, ÁREA DE INFILTRAÇÃO: 50 M² (PARA 20 CONTRIBUINTES). AF_05/2018</t>
  </si>
  <si>
    <t>TANQUE SÉPTICO RETANGULAR, EM ALVENARIA COM BLOCOS DE CONCRETO, DIMENSÕES INTERNAS: 1,0 X 2,0 X 1,4 M, VOLUME ÚTIL: 2000 L (PARA 5 CONTRIBUINTES). AF_05/2018</t>
  </si>
  <si>
    <t>TANQUE SÉPTICO RETANGULAR, EM ALVENARIA COM BLOCOS DE CONCRETO, DIMENSÕES INTERNAS: 1,2 X 2,4 X 1,6 M, VOLUME ÚTIL: 3456 L (PARA 13 CONTRIBUINTES). AF_05/2018</t>
  </si>
  <si>
    <t>TANQUE SÉPTICO RETANGULAR, EM ALVENARIA COM BLOCOS DE CONCRETO, DIMENSÕES INTERNAS: 1,4 X 3,2 X 1,8 M, VOLUME ÚTIL: 6272 L (PARA 32 CONTRIBUINTES). AF_05/2018</t>
  </si>
  <si>
    <t>TANQUE SÉPTICO RETANGULAR, EM ALVENARIA COM BLOCOS DE CONCRETO, DIMENSÕES INTERNAS: 1,6 X 4,4 X 1,8 M, VOLUME ÚTIL: 9856 L (PARA 68 CONTRIBUINTES). AF_05/2018</t>
  </si>
  <si>
    <t>TANQUE SÉPTICO RETANGULAR, EM ALVENARIA COM BLOCOS DE CONCRETO, DIMENSÕES INTERNAS: 1,6 X 4,8 X 2,0 M, VOLUME ÚTIL: 12288 L (PARA 86 CONTRIBUINTES). AF_05/2018</t>
  </si>
  <si>
    <t>TANQUE SÉPTICO RETANGULAR, EM ALVENARIA COM BLOCOS DE CONCRETO, DIMENSÕES INTERNAS: 1,6 X 4,6 X 2,4 M, VOLUME ÚTIL: 14720 L (PARA 105 CONTRIBUINTES). AF_05/2018</t>
  </si>
  <si>
    <t>FILTRO ANAERÓBIO RETANGULAR, EM ALVENARIA COM BLOCOS DE CONCRETO, DIMENSÕES INTERNAS: 0,8 X 1,2 X 1,67 M, VOLUME ÚTIL: 1152 L (PARA 5 CONTRIBUINTES). AF_05/2018</t>
  </si>
  <si>
    <t>FILTRO ANAERÓBIO RETANGULAR, EM ALVENARIA COM BLOCOS DE CONCRETO, DIMENSÕES INTERNAS: 1,2 X 1,8 X 1,67 M, VOLUME ÚTIL: 2592 L (PARA 13 CONTRIBUINTES). AF_05/2018</t>
  </si>
  <si>
    <t>FILTRO ANAERÓBIO RETANGULAR, EM ALVENARIA COM BLOCOS DE CONCRETO, DIMENSÕES INTERNAS: 1,4 X 3,0 X 1,67 M, VOLUME ÚTIL: 5040 L (PARA 32 CONTRIBUINTES). AF_05/2018</t>
  </si>
  <si>
    <t>FILTRO ANAERÓBIO RETANGULAR, EM ALVENARIA COM BLOCOS DE CONCRETO, DIMENSÕES INTERNAS: 1,4 X 4,2 X 1,67 M, VOLUME ÚTIL: 7056 L (PARA 67 CONTRIBUINTES). AF_05/2018</t>
  </si>
  <si>
    <t>FILTRO ANAERÓBIO RETANGULAR, EM ALVENARIA COM BLOCOS DE CONCRETO, DIMENSÕES INTERNAS: 1,6 X 4,6 X 1,67 M, VOLUME ÚTIL: 8832 L (PARA 84 CONTRIBUINTES). AF_05/2018</t>
  </si>
  <si>
    <t>FILTRO ANAERÓBIO RETANGULAR, EM ALVENARIA COM BLOCOS DE CONCRETO, DIMENSÕES INTERNAS: 1,6 X 5,6 X 1,67 M, VOLUME ÚTIL: 10752 L (PARA 103 CONTRIBUINTES). AF_05/2018</t>
  </si>
  <si>
    <t>SUMIDOURO RETANGULAR, EM ALVENARIA COM BLOCOS DE CONCRETO, DIMENSÕES INTERNAS: 0,8 X 1,4 X 3,0 M, ÁREA DE INFILTRAÇÃO: 13,2 M² (PARA 5 CONTRIBUINTES). AF_05/2018</t>
  </si>
  <si>
    <t>SUMIDOURO RETANGULAR, EM ALVENARIA COM BLOCOS DE CONCRETO, DIMENSÕES INTERNAS: 1,0 X 3,0 X 3,0 M, ÁREA DE INFILTRAÇÃO: 25 M² (PARA 10 CONTRIBUINTES). AF_05/2018</t>
  </si>
  <si>
    <t>SUMIDOURO RETANGULAR, EM ALVENARIA COM BLOCOS DE CONCRETO, DIMENSÕES INTERNAS: 1,6 X 3,4 X 3,0 M, ÁREA DE INFILTRAÇÃO: 32,9 M² (PARA 13 CONTRIBUINTES). AF_05/2018</t>
  </si>
  <si>
    <t>SUMIDOURO RETANGULAR, EM ALVENARIA COM BLOCOS DE CONCRETO, DIMENSÕES INTERNAS: 1,6 X 5,8 X 3,0 M, ÁREA DE INFILTRAÇÃO: 50 M² (PARA 20 CONTRIBUINTES). AF_05/2018</t>
  </si>
  <si>
    <t>CAIXA DE GORDURA ESPECIAL (CAPACIDADE: 312 L - PARA ATÉ 146 PESSOAS SERVIDAS NO PICO), RETANGULAR, EM ALVENARIA COM BLOCOS DE CONCRETO, DIMENSÕES INTERNAS = 0,4X1,2 M, ALTURA INTERNA = 1 M. AF_05/2018</t>
  </si>
  <si>
    <t>CAIXA DE GORDURA PEQUENA (CAPACIDADE: 19 L), CIRCULAR, EM PVC, DIÂMETRO INTERNO= 0,3 M. AF_05/2018</t>
  </si>
  <si>
    <t>CAIXA DE INSPEÇÃO PARA ATERRAMENTO, CIRCULAR, EM POLIETILENO, DIÂMETRO INTERNO = 0,3 M. AF_05/2018</t>
  </si>
  <si>
    <t>TAMPA CIRCULAR PARA ESGOTO E DRENAGEM, EM FERRO FUNDIDO, DIÂMETRO INTERNO = 0,6 M. AF_05/2018</t>
  </si>
  <si>
    <t>TAMPA CIRCULAR PARA ESGOTO E DRENAGEM, EM CONCRETO PRÉ-MOLDADO, DIÂMETRO INTERNO = 0,6 M. AF_05/2018</t>
  </si>
  <si>
    <t>PISO EM LADRILHO HIDRÁULICO APLICADO EM AMBIENTES INTERNOS, INCLUSO APLICAÇÃO DE RESINA. AF_06/2018</t>
  </si>
  <si>
    <t>PISO EM GRANITO APLICADO EM AMBIENTES INTERNOS. AF_06/2018</t>
  </si>
  <si>
    <t>PISO EM MÁRMORE APLICADO EM AMBIENTES INTERNOS. AF_06/2018</t>
  </si>
  <si>
    <t>PISO VINÍLICO SEMI-FLEXÍVEL EM PLACAS, PADRÃO LISO, ESPESSURA 3,2 MM, FIXADO COM COLA. AF_06/2018</t>
  </si>
  <si>
    <t>PISO CIMENTADO, TRAÇO 1:3 (CIMENTO E AREIA), ACABAMENTO LISO, ESPESSURA 2,0 CM, PREPARO MECÂNICO DA ARGAMASSA. AF_06/2018</t>
  </si>
  <si>
    <t>PISO CIMENTADO, TRAÇO 1:3 (CIMENTO E AREIA), ACABAMENTO LISO, ESPESSURA 3,0 CM, PREPARO MECÂNICO DA ARGAMASSA. AF_06/2018</t>
  </si>
  <si>
    <t>PISO CIMENTADO, TRAÇO 1:3 (CIMENTO E AREIA), ACABAMENTO RÚSTICO, ESPESSURA 2,0 CM, PREPARO MECÂNICO DA ARGAMASSA. AF_06/2018</t>
  </si>
  <si>
    <t>PISO CIMENTADO, TRAÇO 1:3 (CIMENTO E AREIA), ACABAMENTO RÚSTICO, ESPESSURA 3,0 CM, PREPARO MECÂNICO DA ARGAMASSA. AF_06/2018</t>
  </si>
  <si>
    <t>RODAPÉ EM GRANITO, ALTURA 10 CM. AF_06/2018</t>
  </si>
  <si>
    <t>RODAPÉ EM LADRILHO HIDRÁULICO, ALTURA 7 CM. AF_06/2018</t>
  </si>
  <si>
    <t>RODAPÉ EM POLIESTIRENO, ALTURA 5 CM. AF_06/2018</t>
  </si>
  <si>
    <t>SOLEIRA EM GRANITO, LARGURA 15 CM, ESPESSURA 2,0 CM. AF_06/2018</t>
  </si>
  <si>
    <t>SOLEIRA EM MÁRMORE, LARGURA 15 CM, ESPESSURA 2,0 CM. AF_06/2018</t>
  </si>
  <si>
    <t>RODAPÉ EM MÁRMORE, ALTURA 7 CM. AF_06/2018</t>
  </si>
  <si>
    <t>GUARDA-CORPO EM LAJE PÓS-DESFORMA, PARA ESTRUTURAS EM CONCRETO, COM ESCORAS METÁLICAS ESTRONCADAS NA ESTRUTURA, TRAVESSÕES DE MADEIRA E FECHAMENTO EM TELA DE POLIPROPILENO PARA EDIFICAÇÕES COM ALTURA ATÉ 4 PAVIMENTOS (1 MONTAGEM POR OBRA). AF_11/2017</t>
  </si>
  <si>
    <t>GUARDA-CORPO EM LAJE PÓS-DESFORMA, PARA ESTRUTURAS EM CONCRETO, COM ESCORAS METÁLICAS ESTRONCADAS NA ESTRUTURA, TRAVESSÕES DE MADEIRA E FECHAMENTO EM TELA DE POLIPROPILENO PARA EDIFICAÇÕES ACIMA DE 4 PAVIMENTOS (2 MONTAGENS POR OBRA). AF_11/2017</t>
  </si>
  <si>
    <t>PONTEIRAS DE PROTEÇÃO DE VERGALHÕES EXPOSTOS EM FUNDAÇÕES. AF_11/2017</t>
  </si>
  <si>
    <t>PONTEIRAS DE PROTEÇÃO DE VERGALHÕES EXPOSTOS EM ESTRUTURAS DE CONCRETO ARMADO CONVENCIONAL. AF_11/2017</t>
  </si>
  <si>
    <t>PONTEIRAS DE PROTEÇÃO DE VERGALHÕES EXPOSTOS EM ALVENARIA ESTRUTURAL. AF_11/2017</t>
  </si>
  <si>
    <t>PLANTIO DE ARBUSTO OU  CERCA VIVA. AF_05/2018</t>
  </si>
  <si>
    <t>PLANTIO DE ÁRVORE ORNAMENTAL COM ALTURA DE MUDA MENOR OU IGUAL A 2,00 M. AF_05/2018</t>
  </si>
  <si>
    <t>PLANTIO DE ÁRVORE ORNAMENTAL COM ALTURA DE MUDA MAIOR QUE 2,00 M E MENOR OU IGUAL A 4,00 M. AF_05/2018</t>
  </si>
  <si>
    <t>PLANTIO DE PALMEIRA COM ALTURA DE MUDA MENOR OU IGUAL A 2,00 M. AF_05/2018</t>
  </si>
  <si>
    <t>REVOLVIMENTO E LIMPEZA MANUAL DE SOLO. AF_05/2018</t>
  </si>
  <si>
    <t>APLICAÇÃO DE ADUBO EM SOLO. AF_05/2018</t>
  </si>
  <si>
    <t>APLICAÇÃO DE CALCÁRIO PARA CORREÇÃO DO PH DO SOLO. AF_05/2018</t>
  </si>
  <si>
    <t>ALAMBRADO EM MOURÕES DE CONCRETO, COM TELA DE ARAME GALVANIZADO (INCLUSIVE MURETA EM CONCRETO). AF_05/2018</t>
  </si>
  <si>
    <t>LIMPEZA MANUAL DE VEGETAÇÃO EM TERRENO COM ENXADA.AF_05/2018</t>
  </si>
  <si>
    <t>PLANTIO DE GRAMA EM PAVIMENTO CONCREGRAMA. AF_05/2018</t>
  </si>
  <si>
    <t>PLANTIO DE GRAMA EM PLACAS. AF_05/2018</t>
  </si>
  <si>
    <t>PLANTIO DE FORRAÇÃO. AF_05/2018</t>
  </si>
  <si>
    <t>LIMPEZA MECANIZADA DE CAMADA VEGETAL, VEGETAÇÃO E PEQUENAS ÁRVORES (DIÂMETRO DE TRONCO MENOR QUE 0,20 M), COM TRATOR DE ESTEIRAS.AF_05/2018</t>
  </si>
  <si>
    <t>REMOÇÃO DE RAÍZES REMANESCENTES DE TRONCO DE ÁRVORE COM DIÂMETRO MAIOR OU IGUAL A 0,20 M E MENOR QUE 0,40 M.AF_05/2018</t>
  </si>
  <si>
    <t>REMOÇÃO DE RAÍZES REMANESCENTES DE TRONCO DE ÁRVORE COM DIÂMETRO MAIOR OU IGUAL A 0,40 M E MENOR QUE 0,60 M.AF_05/2018</t>
  </si>
  <si>
    <t>REMOÇÃO DE RAÍZES REMANESCENTES DE TRONCO DE ÁRVORE COM DIÂMETRO MAIOR OU IGUAL A 0,60 M.AF_05/2018</t>
  </si>
  <si>
    <t>CORTE RASO E RECORTE DE ÁRVORE COM DIÂMETRO DE TRONCO MAIOR OU IGUAL A 0,20 M E MENOR QUE 0,40 M.AF_05/2018</t>
  </si>
  <si>
    <t>CORTE RASO E RECORTE DE ÁRVORE COM DIÂMETRO DE TRONCO MAIOR OU IGUAL A 0,40 M E MENOR QUE 0,60 M.AF_05/2018</t>
  </si>
  <si>
    <t>CORTE RASO E RECORTE DE ÁRVORE COM DIÂMETRO DE TRONCO MAIOR OU IGUAL A 0,60 M.AF_05/2018</t>
  </si>
  <si>
    <t>PODA EM ALTURA DE ÁRVORE COM DIÂMETRO DE TRONCO MENOR QUE 0,20 M.AF_05/2018</t>
  </si>
  <si>
    <t>PODA EM ALTURA DE ÁRVORE COM DIÂMETRO DE TRONCO MAIOR OU IGUAL A 0,20 M E MENOR QUE 0,40 M.AF_05/2018</t>
  </si>
  <si>
    <t>PODA EM ALTURA DE ÁRVORE COM DIÂMETRO DE TRONCO MAIOR OU IGUAL A 0,40 M E MENOR QUE 0,60 M.AF_05/2018</t>
  </si>
  <si>
    <t>PODA EM ALTURA DE ÁRVORE COM DIÂMETRO DE TRONCO MAIOR OU IGUAL A 0,60 M.AF_05/2018</t>
  </si>
  <si>
    <t>ASSENTAMENTO DE TUBO DE AÇO CARBONO PARA REDE DE ÁGUA, DN 1000 MM (40  ) OU DN 1100 MM (44  ), JUNTA SOLDADA, INSTALADO EM LOCAL COM NÍVEL BAIXO DE INTERFERÊNCIAS (NÃO INCLUI FORNECIMENTO). AF_11/2017</t>
  </si>
  <si>
    <t>INVERSOR DE SOLDA MONOFÁSICO DE 160 A, POTÊNCIA DE 5400 W, TENSÃO DE 220 V, PARA SOLDA COM ELETRODOS DE 2,0 A 4,0 MM E PROCESSO TIG - CHP DIURNO. AF_06/2018</t>
  </si>
  <si>
    <t>INVERSOR DE SOLDA MONOFÁSICO DE 160 A, POTÊNCIA DE 5400 W, TENSÃO DE 220 V, PARA SOLDA COM ELETRODOS DE 2,0 A 4,0 MM E PROCESSO TIG - CHI DIURNO. AF_06/2018</t>
  </si>
  <si>
    <t>SOLDA DE TOPO EM CHAPA/PERFIL/TUBO DE AÇO CHANFRADO, ESPESSURA=1/4''. AF_06/2018</t>
  </si>
  <si>
    <t>SOLDA DE TOPO EM CHAPA/PERFIL/TUBO DE AÇO CHANFRADO, ESPESSURA=5/16''. AF_06/2018</t>
  </si>
  <si>
    <t>SOLDA DE TOPO EM CHAPA/PERFIL/TUBO DE AÇO CHANFRADO, ESPESSURA=3/8''. AF_06/2018</t>
  </si>
  <si>
    <t>SOLDA DE TOPO EM CHAPA/PERFIL/TUBO DE AÇO CHANFRADO, ESPESSURA=1/2''. AF_06/2018</t>
  </si>
  <si>
    <t>SOLDA DE TOPO EM CHAPA/PERFIL/TUBO DE AÇO CHANFRADO, ESPESSURA=5/8''. AF_06/2018</t>
  </si>
  <si>
    <t>SOLDA DE TOPO EM CHAPA/PERFIL/TUBO DE AÇO CHANFRADO, ESPESSURA=3/4''. AF_06/2018</t>
  </si>
  <si>
    <t>TUBO EM COBRE RÍGIDO, DN 22 MM, CLASSE E, SEM ISOLAMENTO, INSTALADO EM PRUMADA  FORNECIMENTO E INSTALAÇÃO. AF_12/2015</t>
  </si>
  <si>
    <t>TUBO EM COBRE RÍGIDO, DN 28 MM, CLASSE E, SEM ISOLAMENTO, INSTALADO EM PRUMADA  FORNECIMENTO E INSTALAÇÃO. AF_12/2015</t>
  </si>
  <si>
    <t>TUBO EM COBRE RÍGIDO, DN 35 MM, CLASSE E, SEM ISOLAMENTO, INSTALADO EM PRUMADA  FORNECIMENTO E INSTALAÇÃO. AF_12/2015</t>
  </si>
  <si>
    <t>TUBO EM COBRE RÍGIDO, DN 42 MM, CLASSE E, SEM ISOLAMENTO, INSTALADO EM PRUMADA  FORNECIMENTO E INSTALAÇÃO. AF_12/2015</t>
  </si>
  <si>
    <t>TUBO EM COBRE RÍGIDO, DN 54 MM, CLASSE E, SEM ISOLAMENTO, INSTALADO EM PRUMADA  FORNECIMENTO E INSTALAÇÃO. AF_12/2015</t>
  </si>
  <si>
    <t>TUBO EM COBRE RÍGIDO, DN 66 MM, CLASSE E, SEM ISOLAMENTO, INSTALADO EM PRUMADA  FORNECIMENTO E INSTALAÇÃO. AF_12/2015</t>
  </si>
  <si>
    <t>TUBO EM COBRE RÍGIDO, DN 22 MM, CLASSE E, COM ISOLAMENTO, INSTALADO EM PRUMADA  FORNECIMENTO E INSTALAÇÃO. AF_12/2015</t>
  </si>
  <si>
    <t>TUBO EM COBRE RÍGIDO, DN 28 MM, CLASSE E, COM ISOLAMENTO, INSTALADO EM PRUMADA  FORNECIMENTO E INSTALAÇÃO. AF_12/2015</t>
  </si>
  <si>
    <t>TUBO EM COBRE RÍGIDO, DN 35 MM, CLASSE E, COM ISOLAMENTO, INSTALADO EM PRUMADA  FORNECIMENTO E INSTALAÇÃO. AF_12/2015</t>
  </si>
  <si>
    <t>TUBO EM COBRE RÍGIDO, DN 42 MM, CLASSE E, COM ISOLAMENTO, INSTALADO EM PRUMADA  FORNECIMENTO E INSTALAÇÃO. AF_12/2015</t>
  </si>
  <si>
    <t>TUBO EM COBRE RÍGIDO, DN 54 MM, CLASSE E, COM ISOLAMENTO, INSTALADO EM PRUMADA  FORNECIMENTO E INSTALAÇÃO. AF_12/2015</t>
  </si>
  <si>
    <t>TUBO EM COBRE RÍGIDO, DN 66 MM, CLASSE E, COM ISOLAMENTO, INSTALADO EM PRUMADA  FORNECIMENTO E INSTALAÇÃO. AF_12/2015</t>
  </si>
  <si>
    <t>TUBO EM COBRE RÍGIDO, DN 15 MM, CLASSE E, SEM ISOLAMENTO, INSTALADO EM RAMAL DE DISTRIBUIÇÃO  FORNECIMENTO E INSTALAÇÃO. AF_12/2015</t>
  </si>
  <si>
    <t>TUBO EM COBRE RÍGIDO, DN 22 MM, CLASSE E, SEM ISOLAMENTO, INSTALADO EM RAMAL DE DISTRIBUIÇÃO  FORNECIMENTO E INSTALAÇÃO. AF_12/2015</t>
  </si>
  <si>
    <t>TUBO EM COBRE RÍGIDO, DN 28 MM, CLASSE E, SEM ISOLAMENTO, INSTALADO EM RAMAL DE DISTRIBUIÇÃO  FORNECIMENTO E INSTALAÇÃO. AF_12/2015</t>
  </si>
  <si>
    <t>TUBO EM COBRE RÍGIDO, DN 15 MM, CLASSE E, COM ISOLAMENTO, INSTALADO EM RAMAL DE DISTRIBUIÇÃO  FORNECIMENTO E INSTALAÇÃO. AF_12/2015</t>
  </si>
  <si>
    <t>TUBO EM COBRE RÍGIDO, DN 22 MM, CLASSE E, COM ISOLAMENTO, INSTALADO EM RAMAL DE DISTRIBUIÇÃO  FORNECIMENTO E INSTALAÇÃO. AF_12/2015</t>
  </si>
  <si>
    <t>TUBO EM COBRE RÍGIDO, DN 28 MM, CLASSE E, COM ISOLAMENTO, INSTALADO EM RAMAL DE DISTRIBUIÇÃO  FORNECIMENTO E INSTALAÇÃO. AF_12/2015</t>
  </si>
  <si>
    <t>TUBO EM COBRE RÍGIDO, DN 15 MM, CLASSE E, SEM ISOLAMENTO, INSTALADO EM RAMAL E SUB-RAMAL  FORNECIMENTO E INSTALAÇÃO. AF_12/2015</t>
  </si>
  <si>
    <t>TUBO EM COBRE RÍGIDO, DN 22 MM, CLASSE E, SEM ISOLAMENTO, INSTALADO EM RAMAL E SUB-RAMAL  FORNECIMENTO E INSTALAÇÃO. AF_12/2015</t>
  </si>
  <si>
    <t>TUBO EM COBRE RÍGIDO, DN 28 MM, CLASSE E, SEM ISOLAMENTO, INSTALADO EM RAMAL E SUB-RAMAL  FORNECIMENTO E INSTALAÇÃO. AF_12/2015</t>
  </si>
  <si>
    <t>TUBO EM COBRE RÍGIDO, DN 15 MM, CLASSE E, COM ISOLAMENTO, INSTALADO EM RAMAL E SUB-RAMAL  FORNECIMENTO E INSTALAÇÃO. AF_12/2015</t>
  </si>
  <si>
    <t>TUBO EM COBRE RÍGIDO, DN 22 MM, CLASSE E, COM ISOLAMENTO, INSTALADO EM RAMAL E SUB-RAMAL  FORNECIMENTO E INSTALAÇÃO. AF_12/2015</t>
  </si>
  <si>
    <t>TUBO EM COBRE RÍGIDO, DN 28 MM, CLASSE E, COM ISOLAMENTO, INSTALADO EM RAMAL E SUB-RAMAL  FORNECIMENTO E INSTALAÇÃO. AF_12/2015</t>
  </si>
  <si>
    <t>TUBO EM COBRE RÍGIDO, DN 54 MM, CLASSE E, SEM ISOLAMENTO, INSTALADO EM RESERVAÇÃO DE ÁGUA DE EDIFICAÇÃO QUE POSSUA RESERVATÓRIO DE FIBRA/FIBROCIMENTO  FORNECIMENTO E INSTALAÇÃO. AF_06/2016</t>
  </si>
  <si>
    <t>TUBO EM COBRE RÍGIDO, DN 66 MM, CLASSE E, SEM ISOLAMENTO, INSTALADO EM RESERVAÇÃO DE ÁGUA DE EDIFICAÇÃO QUE POSSUA RESERVATÓRIO DE FIBRA/FIBROCIMENTO  FORNECIMENTO E INSTALAÇÃO. AF_06/2016</t>
  </si>
  <si>
    <t>TUBO EM COBRE RÍGIDO, DN 79 MM, CLASSE E, SEM ISOLAMENTO, INSTALADO EM RESERVAÇÃO DE ÁGUA DE EDIFICAÇÃO QUE POSSUA RESERVATÓRIO DE FIBRA/FIBROCIMENTO  FORNECIMENTO E INSTALAÇÃO. AF_06/2016</t>
  </si>
  <si>
    <t>TUBO EM COBRE RÍGIDO, DN 104 MM, CLASSE E, SEM ISOLAMENTO, INSTALADO EM RESERVAÇÃO DE ÁGUA DE EDIFICAÇÃO QUE POSSUA RESERVATÓRIO DE FIBRA/FIBROCIMENTO  FORNECIMENTO E INSTALAÇÃO. AF_06/2016</t>
  </si>
  <si>
    <t>TUBO EM COBRE FLEXÍVEL, DN 3/8", COM ISOLAMENTO, INSTALADO EM RAMAL DE ALIMENTAÇÃO DE AR CONDICIONADO COM CONDENSADORA INDIVIDUAL  FORNECIMENTO E INSTALAÇÃO. AF_12/2015</t>
  </si>
  <si>
    <t>TUBO EM COBRE FLEXÍVEL, DN 1/2", COM ISOLAMENTO, INSTALADO EM RAMAL DE ALIMENTAÇÃO DE AR CONDICIONADO COM CONDENSADORA INDIVIDUAL  FORNECIMENTO E INSTALAÇÃO. AF_12/2015</t>
  </si>
  <si>
    <t>TUBO EM COBRE FLEXÍVEL, DN 5/8", COM ISOLAMENTO, INSTALADO EM RAMAL DE ALIMENTAÇÃO DE AR CONDICIONADO COM CONDENSADORA INDIVIDUAL  FORNECIMENTO E INSTALAÇÃO. AF_12/2015</t>
  </si>
  <si>
    <t>TUBO EM COBRE FLEXÍVEL, DN 1/4", COM ISOLAMENTO, INSTALADO EM RAMAL DE ALIMENTAÇÃO DE AR CONDICIONADO COM CONDENSADORA CENTRAL  FORNECIMENTO E INSTALAÇÃO. AF_12/2015</t>
  </si>
  <si>
    <t>TUBO EM COBRE FLEXÍVEL, DN 3/8", COM ISOLAMENTO, INSTALADO EM RAMAL DE ALIMENTAÇÃO DE AR CONDICIONADO COM CONDENSADORA CENTRAL  FORNECIMENTO E INSTALAÇÃO. AF_12/2015</t>
  </si>
  <si>
    <t>TUBO EM COBRE FLEXÍVEL, DN 1/2", COM ISOLAMENTO, INSTALADO EM RAMAL DE ALIMENTAÇÃO DE AR CONDICIONADO COM CONDENSADORA CENTRAL  FORNECIMENTO E INSTALAÇÃO. AF_12/2015</t>
  </si>
  <si>
    <t>TUBO EM COBRE RÍGIDO, DN 22 MM, CLASSE A, SEM ISOLAMENTO, INSTALADO EM PRUMADA  FORNECIMENTO E INSTALAÇÃO. AF_12/2015</t>
  </si>
  <si>
    <t>TUBO EM COBRE RÍGIDO, DN 28 MM, CLASSE A, SEM ISOLAMENTO, INSTALADO EM PRUMADA  FORNECIMENTO E INSTALAÇÃO. AF_12/2015</t>
  </si>
  <si>
    <t>TUBO EM COBRE RÍGIDO, DN 35 MM, CLASSE A, SEM ISOLAMENTO, INSTALADO EM PRUMADA  FORNECIMENTO E INSTALAÇÃO. AF_12/2015</t>
  </si>
  <si>
    <t>TUBO EM COBRE RÍGIDO, DN 42 MM, CLASSE A, SEM ISOLAMENTO, INSTALADO EM PRUMADA  FORNECIMENTO E INSTALAÇÃO. AF_12/2015</t>
  </si>
  <si>
    <t>TUBO EM COBRE RÍGIDO, DN 54 MM, CLASSE A, SEM ISOLAMENTO, INSTALADO EM PRUMADA  FORNECIMENTO E INSTALAÇÃO. AF_12/2015</t>
  </si>
  <si>
    <t>TUBO EM COBRE RÍGIDO, DN 66 MM, CLASSE A, SEM ISOLAMENTO, INSTALADO EM PRUMADA  FORNECIMENTO E INSTALAÇÃO. AF_12/2015</t>
  </si>
  <si>
    <t>TUBO EM COBRE RÍGIDO, DN 15 MM, CLASSE A, SEM ISOLAMENTO, INSTALADO EM RAMAL DE DISTRIBUIÇÃO  FORNECIMENTO E INSTALAÇÃO. AF_12/2015</t>
  </si>
  <si>
    <t>TUBO EM COBRE RÍGIDO, DN 22 MM, CLASSE A, SEM ISOLAMENTO, INSTALADO EM RAMAL DE DISTRIBUIÇÃO FORNECIMENTO E INSTALAÇÃO. AF_12/2015</t>
  </si>
  <si>
    <t>TUBO EM COBRE RÍGIDO, DN 28 MM, CLASSE A, SEM ISOLAMENTO, INSTALADO EM RAMAL DE DISTRIBUIÇÃO FORNECIMENTO E INSTALAÇÃO. AF_12/2015</t>
  </si>
  <si>
    <t>TUBO EM COBRE RÍGIDO, DN 15 MM, CLASSE A, SEM ISOLAMENTO, INSTALADO EM RAMAL E SUB-RAMAL  FORNECIMENTO E INSTALAÇÃO. AF_12/2015</t>
  </si>
  <si>
    <t>TUBO EM COBRE RÍGIDO, DN 22 MM, CLASSE A, SEM ISOLAMENTO, INSTALADO EM RAMAL E SUB-RAMAL  FORNECIMENTO E INSTALAÇÃO. AF_12/2015</t>
  </si>
  <si>
    <t>TUBO EM COBRE RÍGIDO, DN 28 MM, CLASSE A, SEM ISOLAMENTO, INSTALADO EM RAMAL E SUB-RAMAL  FORNECIMENTO E INSTALAÇÃO. AF_12/2015</t>
  </si>
  <si>
    <t>TUBO EM COBRE RÍGIDO, DN 22 MM, CLASSE I, SEM ISOLAMENTO, INSTALADO EM PRUMADA  FORNECIMENTO E INSTALAÇÃO. AF_12/2015</t>
  </si>
  <si>
    <t>TUBO EM COBRE RÍGIDO, DN 28 MM, CLASSE I, SEM ISOLAMENTO, INSTALADO EM PRUMADA  FORNECIMENTO E INSTALAÇÃO. AF_12/2015</t>
  </si>
  <si>
    <t>TUBO EM COBRE RÍGIDO, DN 35 MM, CLASSE I, SEM ISOLAMENTO, INSTALADO EM PRUMADA  FORNECIMENTO E INSTALAÇÃO. AF_12/2015</t>
  </si>
  <si>
    <t>TUBO EM COBRE RÍGIDO, DN 42 MM, CLASSE I, SEM ISOLAMENTO, INSTALADO EM PRUMADA  FORNECIMENTO E INSTALAÇÃO. AF_12/2015</t>
  </si>
  <si>
    <t>TUBO EM COBRE RÍGIDO, DN 54 MM, CLASSE I, SEM ISOLAMENTO, INSTALADO EM PRUMADA  FORNECIMENTO E INSTALAÇÃO. AF_12/2015</t>
  </si>
  <si>
    <t>TUBO EM COBRE RÍGIDO, DN 66 MM, CLASSE I, SEM ISOLAMENTO, INSTALADO EM PRUMADA  FORNECIMENTO E INSTALAÇÃO. AF_12/2015</t>
  </si>
  <si>
    <t>TUBO EM COBRE RÍGIDO, DN 15 MM, CLASSE I, SEM ISOLAMENTO, INSTALADO EM RAMAL DE DISTRIBUIÇÃO  FORNECIMENTO E INSTALAÇÃO. AF_12/2015</t>
  </si>
  <si>
    <t>TUBO EM COBRE RÍGIDO, DN 22 MM, CLASSE I, SEM ISOLAMENTO, INSTALADO EM RAMAL DE DISTRIBUIÇÃO FORNECIMENTO E INSTALAÇÃO. AF_12/2015</t>
  </si>
  <si>
    <t>TUBO EM COBRE RÍGIDO, DN 28 MM, CLASSE I, SEM ISOLAMENTO, INSTALADO EM RAMAL DE DISTRIBUIÇÃO FORNECIMENTO E INSTALAÇÃO. AF_12/2015</t>
  </si>
  <si>
    <t>TUBO EM COBRE RÍGIDO, DN 15 MM, CLASSE I, SEM ISOLAMENTO, INSTALADO EM RAMAL E SUB-RAMAL  FORNECIMENTO E INSTALAÇÃO. AF_12/2015</t>
  </si>
  <si>
    <t>TUBO EM COBRE RÍGIDO, DN 22 MM, CLASSE I, SEM ISOLAMENTO, INSTALADO EM RAMAL E SUB-RAMAL  FORNECIMENTO E INSTALAÇÃO. AF_12/2015</t>
  </si>
  <si>
    <t>TUBO EM COBRE RÍGIDO, DN 28 MM, CLASSE I, SEM ISOLAMENTO, INSTALADO EM RAMAL E SUB-RAMAL  FORNECIMENTO E INSTALAÇÃO. AF_12/2015</t>
  </si>
  <si>
    <t>COTOVELO EM COBRE, DN 22 MM, 90 GRAUS, SEM ANEL DE SOLDA, INSTALADO EM PRUMADA   FORNECIMENTO E INSTALAÇÃO. AF_12/2015</t>
  </si>
  <si>
    <t>COTOVELO EM COBRE, DN 28 MM, 90 GRAUS, SEM ANEL DE SOLDA, INSTALADO EM PRUMADA  FORNECIMENTO E INSTALAÇÃO. AF_12/2015</t>
  </si>
  <si>
    <t>COTOVELO EM COBRE, DN 35 MM, 90 GRAUS, SEM ANEL DE SOLDA, INSTALADO EM PRUMADA  FORNECIMENTO E INSTALAÇÃO. AF_12/2015</t>
  </si>
  <si>
    <t>COTOVELO EM COBRE, DN 42 MM, 90 GRAUS, SEM ANEL DE SOLDA, INSTALADO EM PRUMADA  FORNECIMENTO E INSTALAÇÃO. AF_12/2015</t>
  </si>
  <si>
    <t>COTOVELO EM COBRE, DN 54 MM, 90 GRAUS, SEM ANEL DE SOLDA, INSTALADO EM PRUMADA  FORNECIMENTO E INSTALAÇÃO. AF_12/2015</t>
  </si>
  <si>
    <t>COTOVELO EM COBRE, DN 66 MM, 90 GRAUS, SEM ANEL DE SOLDA, INSTALADO EM PRUMADA  FORNECIMENTO E INSTALAÇÃO. AF_12/2015</t>
  </si>
  <si>
    <t>LUVA EM COBRE, DN 22 MM, SEM ANEL DE SOLDA, INSTALADO EM PRUMADA  FORNECIMENTO E INSTALAÇÃO. AF_12/2015</t>
  </si>
  <si>
    <t>LUVA EM COBRE, DN 28 MM, SEM ANEL DE SOLDA, INSTALADO EM PRUMADA  FORNECIMENTO E INSTALAÇÃO. AF_12/2015</t>
  </si>
  <si>
    <t>LUVA EM COBRE, DN 35 MM, SEM ANEL DE SOLDA, INSTALADO EM PRUMADA  FORNECIMENTO E INSTALAÇÃO. AF_12/2015</t>
  </si>
  <si>
    <t>LUVA EM COBRE, DN 42 MM, SEM ANEL DE SOLDA, INSTALADO EM PRUMADA  FORNECIMENTO E INSTALAÇÃO. AF_12/2015</t>
  </si>
  <si>
    <t>LUVA EM COBRE, DN 54 MM, SEM ANEL DE SOLDA, INSTALADO EM PRUMADA  FORNECIMENTO E INSTALAÇÃO. AF_12/2015</t>
  </si>
  <si>
    <t>LUVA EM COBRE, DN 66 MM, SEM ANEL DE SOLDA, INSTALADO EM PRUMADA  FORNECIMENTO E INSTALAÇÃO. AF_12/2015</t>
  </si>
  <si>
    <t>TE EM COBRE, DN 22 MM, SEM ANEL DE SOLDA, INSTALADO EM PRUMADA  FORNECIMENTO E INSTALAÇÃO. AF_12/2015</t>
  </si>
  <si>
    <t>TE EM COBRE, DN 28 MM, SEM ANEL DE SOLDA, INSTALADO EM PRUMADA  FORNECIMENTO E INSTALAÇÃO. AF_12/2015</t>
  </si>
  <si>
    <t>TE EM COBRE, DN 35 MM, SEM ANEL DE SOLDA, INSTALADO EM PRUMADA  FORNECIMENTO E INSTALAÇÃO. AF_12/2015</t>
  </si>
  <si>
    <t>TE EM COBRE, DN 42 MM, SEM ANEL DE SOLDA, INSTALADO EM PRUMADA  FORNECIMENTO E INSTALAÇÃO. AF_12/2015</t>
  </si>
  <si>
    <t>TE EM COBRE, DN 54 MM, SEM ANEL DE SOLDA, INSTALADO EM PRUMADA  FORNECIMENTO E INSTALAÇÃO. AF_12/2015</t>
  </si>
  <si>
    <t>TE EM COBRE, DN 66 MM, SEM ANEL DE SOLDA, INSTALADO EM PRUMADA  FORNECIMENTO E INSTALAÇÃO. AF_12/2015</t>
  </si>
  <si>
    <t>COTOVELO EM COBRE, DN 15 MM, 90 GRAUS, SEM ANEL DE SOLDA, INSTALADO EM RAMAL DE DISTRIBUIÇÃO  FORNECIMENTO E INSTALAÇÃO. AF_12/2015</t>
  </si>
  <si>
    <t>COTOVELO EM COBRE, DN 22 MM, 90 GRAUS, SEM ANEL DE SOLDA, INSTALADO EM RAMAL DE DISTRIBUIÇÃO  FORNECIMENTO E INSTALAÇÃO. AF_12/2015</t>
  </si>
  <si>
    <t>COTOVELO EM COBRE, DN 28 MM, 90 GRAUS, SEM ANEL DE SOLDA, INSTALADO EM RAMAL DE DISTRIBUIÇÃO  FORNECIMENTO E INSTALAÇÃO. AF_12/2015</t>
  </si>
  <si>
    <t>LUVA EM COBRE, DN 15 MM, SEM ANEL DE SOLDA, INSTALADO EM RAMAL DE DISTRIBUIÇÃO  FORNECIMENTO E INSTALAÇÃO. AF_12/2015</t>
  </si>
  <si>
    <t>LUVA EM COBRE, DN 22 MM, SEM ANEL DE SOLDA, INSTALADO EM RAMAL DE DISTRIBUIÇÃO  FORNECIMENTO E INSTALAÇÃO. AF_12/2015</t>
  </si>
  <si>
    <t>LUVA EM COBRE, DN 28 MM, SEM ANEL DE SOLDA, INSTALADO EM RAMAL DE DISTRIBUIÇÃO  FORNECIMENTO E INSTALAÇÃO. AF_12/2015</t>
  </si>
  <si>
    <t>TE EM COBRE, DN 15 MM, SEM ANEL DE SOLDA, INSTALADO EM RAMAL DE DISTRIBUIÇÃO  FORNECIMENTO E INSTALAÇÃO. AF_12/2015</t>
  </si>
  <si>
    <t>TE EM COBRE, DN 22 MM, SEM ANEL DE SOLDA, INSTALADO EM RAMAL DE DISTRIBUIÇÃO  FORNECIMENTO E INSTALAÇÃO. AF_12/2015</t>
  </si>
  <si>
    <t>TE EM COBRE, DN 28 MM, SEM ANEL DE SOLDA, INSTALADO EM RAMAL DE DISTRIBUIÇÃO  FORNECIMENTO E INSTALAÇÃO. AF_12/2015</t>
  </si>
  <si>
    <t>COTOVELO EM COBRE, DN 15 MM, 90 GRAUS, SEM ANEL DE SOLDA, INSTALADO EM RAMAL E SUB-RAMAL  FORNECIMENTO E INSTALAÇÃO. AF_12/2015</t>
  </si>
  <si>
    <t>COTOVELO EM COBRE, DN 22 MM, 90 GRAUS, SEM ANEL DE SOLDA, INSTALADO EM RAMAL E SUB-RAMAL  FORNECIMENTO E INSTALAÇÃO. AF_12/2015</t>
  </si>
  <si>
    <t>COTOVELO EM COBRE, DN 28 MM, 90 GRAUS, SEM ANEL DE SOLDA, INSTALADO EM RAMAL E SUB-RAMAL  FORNECIMENTO E INSTALAÇÃO. AF_12/2015</t>
  </si>
  <si>
    <t>LUVA EM COBRE, DN 15 MM, SEM ANEL DE SOLDA, INSTALADO EM RAMAL E SUB-RAMAL  FORNECIMENTO E INSTALAÇÃO. AF_12/2015</t>
  </si>
  <si>
    <t>LUVA EM COBRE, DN 22 MM, SEM ANEL DE SOLDA, INSTALADO EM RAMAL E SUB-RAMAL  FORNECIMENTO E INSTALAÇÃO. AF_12/2015</t>
  </si>
  <si>
    <t>LUVA EM COBRE, DN 28 MM, SEM ANEL DE SOLDA, INSTALADO EM RAMAL E SUB-RAMAL  FORNECIMENTO E INSTALAÇÃO. AF_12/2015</t>
  </si>
  <si>
    <t>TE EM COBRE, DN 15 MM, SEM ANEL DE SOLDA, INSTALADO EM RAMAL E SUB-RAMAL  FORNECIMENTO E INSTALAÇÃO. AF_12/2015</t>
  </si>
  <si>
    <t>TE EM COBRE, DN 22 MM, SEM ANEL DE SOLDA, INSTALADO EM RAMAL E SUB-RAMAL  FORNECIMENTO E INSTALAÇÃO. AF_12/2015</t>
  </si>
  <si>
    <t>TE EM COBRE, DN 28 MM, SEM ANEL DE SOLDA, INSTALADO EM RAMAL E SUB-RAMAL  FORNECIMENTO E INSTALAÇÃO. AF_12/2015</t>
  </si>
  <si>
    <t>LUVA PASSANTE EM COBRE, DN 22 MM, SEM ANEL DE SOLDA, INSTALADO EM PRUMADA  FORNECIMENTO E INSTALAÇÃO. AF_01/2016</t>
  </si>
  <si>
    <t>BUCHA DE REDUÇÃO EM COBRE, DN 22 MM X 15 MM, SEM ANEL DE SOLDA, BOLSA X BOLSA, INSTALADO EM PRUMADA  FORNECIMENTO E INSTALAÇÃO. AF_01/2016</t>
  </si>
  <si>
    <t>JUNTA DE EXPANSÃO EM COBRE, DN 22 MM, PONTA X PONTA, INSTALADO EM PRUMADA  FORNECIMENTO E INSTALAÇÃO. AF_01/2016</t>
  </si>
  <si>
    <t>CONECTOR EM BRONZE/LATÃO, DN 22 MM X 3/4", SEM ANEL DE SOLDA, BOLSA X ROSCA F, INSTALADO EM PRUMADA  FORNECIMENTO E INSTALAÇÃO. AF_01/2016</t>
  </si>
  <si>
    <t>CURVA DE TRANSPOSIÇÃO EM BRONZE/LATÃO, DN 22 MM, SEM ANEL DE SOLDA, BOLSA X BOLSA, INSTALADO EM PRUMADA  FORNECIMENTO E INSTALAÇÃO. AF_01/2016</t>
  </si>
  <si>
    <t>LUVA PASSANTE EM COBRE, DN 28 MM, SEM ANEL DE SOLDA, INSTALADO EM PRUMADA  FORNECIMENTO E INSTALAÇÃO. AF_01/2016</t>
  </si>
  <si>
    <t>BUCHA DE REDUÇÃO EM COBRE, DN 28 MM X 22 MM, SEM ANEL DE SOLDA, PONTA X BOLSA, INSTALADO EM PRUMADA  FORNECIMENTO E INSTALAÇÃO. AF_01/2016</t>
  </si>
  <si>
    <t>JUNTA DE EXPANSÃO EM COBRE, DN 28 MM, PONTA X PONTA, INSTALADO EM PRUMADA  FORNECIMENTO E INSTALAÇÃO. AF_01/2016</t>
  </si>
  <si>
    <t>CONECTOR EM BRONZE/LATÃO, DN 28 MM X 1/2", SEM ANEL DE SOLDA, BOLSA X ROSCA F, INSTALADO EM PRUMADA  FORNECIMENTO E INSTALAÇÃO. AF_01/2016</t>
  </si>
  <si>
    <t>CURVA DE TRANSPOSIÇÃO EM BRONZE/LATÃO, DN 28 MM, SEM ANEL DE SOLDA, BOLSA X BOLSA, INSTALADO EM PRUMADA  FORNECIMENTO E INSTALAÇÃO. AF_01/2016</t>
  </si>
  <si>
    <t>LUVA PASSANTE EM COBRE, DN 35 MM, SEM ANEL DE SOLDA, INSTALADO EM PRUMADA  FORNECIMENTO E INSTALAÇÃO. AF_01/2016</t>
  </si>
  <si>
    <t>BUCHA DE REDUÇÃO EM COBRE, DN 35 MM X 28 MM, SEM ANEL DE SOLDA, PONTA X BOLSA, INSTALADO EM PRUMADA  FORNECIMENTO E INSTALAÇÃO. AF_01/2016</t>
  </si>
  <si>
    <t>JUNTA DE EXPANSÃO EM BRONZE/LATÃO, DN 35 MM, PONTA X PONTA, INSTALADO EM PRUMADA  FORNECIMENTO E INSTALAÇÃO. AF_01/2016</t>
  </si>
  <si>
    <t>LUVA PASSANTE EM COBRE, DN 42 MM, SEM ANEL DE SOLDA, INSTALADO EM PRUMADA  FORNECIMENTO E INSTALAÇÃO. AF_01/2016</t>
  </si>
  <si>
    <t>BUCHA DE REDUÇÃO EM COBRE, DN 42 MM X 35 MM, SEM ANEL DE SOLDA, PONTA X BOLSA, INSTALADO EM PRUMADA  FORNECIMENTO E INSTALAÇÃO. AF_01/2016</t>
  </si>
  <si>
    <t>JUNTA DE EXPANSÃO EM BRONZE/LATÃO, DN 42 MM, PONTA X PONTA, INSTALADO EM PRUMADA  FORNECIMENTO E INSTALAÇÃO. AF_01/2016</t>
  </si>
  <si>
    <t>LUVA PASSANTE EM COBRE, DN 54 MM, SEM ANEL DE SOLDA, INSTALADO EM PRUMADA  FORNECIMENTO E INSTALAÇÃO. AF_01/2016</t>
  </si>
  <si>
    <t>BUCHA DE REDUÇÃO EM COBRE, DN 54 MM X 42 MM, SEM ANEL DE SOLDA, PONTA X BOLSA, INSTALADO EM PRUMADA  FORNECIMENTO E INSTALAÇÃO. AF_01/2016</t>
  </si>
  <si>
    <t>JUNTA DE EXPANSÃO EM BRONZE/LATÃO, DN 54 MM, PONTA X PONTA, INSTALADO EM PRUMADA  FORNECIMENTO E INSTALAÇÃO. AF_01/2016</t>
  </si>
  <si>
    <t>LUVA PASSANTE EM COBRE, DN 66 MM, SEM ANEL DE SOLDA, INSTALADO EM PRUMADA  FORNECIMENTO E INSTALAÇÃO. AF_01/2016</t>
  </si>
  <si>
    <t>BUCHA DE REDUÇÃO EM COBRE, DN 66 MM X 54 MM, SEM ANEL DE SOLDA, PONTA X BOLSA, INSTALADO EM PRUMADA  FORNECIMENTO E INSTALAÇÃO. AF_01/2016</t>
  </si>
  <si>
    <t>JUNTA DE EXPANSÃO EM BRONZE/LATÃO, DN 66 MM, PONTA X PONTA, INSTALADO EM PRUMADA  FORNECIMENTO E INSTALAÇÃO. AF_01/2016</t>
  </si>
  <si>
    <t>TE DUPLA CURVA EM BRONZE/LATÃO, DN 3/4" X 22 MM X 3/4", SEM ANEL DE SOLDA, ROSCA F X BOLSA X ROSCA F, INSTALADO EM PRUMADA  FORNECIMENTO E INSTALAÇÃO. AF_01/2016</t>
  </si>
  <si>
    <t>CURVA EM COBRE, DN 15 MM, 45 GRAUS, SEM ANEL DE SOLDA, BOLSA X BOLSA, INSTALADO EM RAMAL DE DISTRIBUIÇÃO  FORNECIMENTO E INSTALAÇÃO. AF_01/2016</t>
  </si>
  <si>
    <t>COTOVELO EM BRONZE/LATÃO, DN 15 MM X 1/2", 90 GRAUS, SEM ANEL DE SOLDA, BOLSA X ROSCA F, INSTALADO EM RAMAL DE DISTRIBUIÇÃO  FORNECIMENTO E INSTALAÇÃO. AF_01/2016</t>
  </si>
  <si>
    <t>CURVA EM COBRE, DN 22 MM, 45 GRAUS, SEM ANEL DE SOLDA, BOLSA X BOLSA, INSTALADO EM RAMAL DE DISTRIBUIÇÃO  FORNECIMENTO E INSTALAÇÃO. AF_01/2016</t>
  </si>
  <si>
    <t>COTOVELO EM BRONZE/LATÃO, DN 22 MM X 1/2", 90 GRAUS, SEM ANEL DE SOLDA, BOLSA X ROSCA F, INSTALADO EM RAMAL DE DISTRIBUIÇÃO  FORNECIMENTO E INSTALAÇÃO. AF_01/2016</t>
  </si>
  <si>
    <t>COTOVELO EM BRONZE/LATÃO, DN 22 MM X 3/4", 90 GRAUS, SEM ANEL DE SOLDA, BOLSA X ROSCA F, INSTALADO EM RAMAL DE DISTRIBUIÇÃO  FORNECIMENTO E INSTALAÇÃO. AF_01/2016</t>
  </si>
  <si>
    <t>CURVA EM COBRE, DN 28 MM, 45 GRAUS, SEM ANEL DE SOLDA, BOLSA X BOLSA, INSTALADO EM RAMAL DE DISTRIBUIÇÃO  FORNECIMENTO E INSTALAÇÃO. AF_01/2016</t>
  </si>
  <si>
    <t>LUVA PASSANTE EM COBRE, DN 15 MM, SEM ANEL DE SOLDA, INSTALADO EM RAMAL DE DISTRIBUIÇÃO  FORNECIMENTO E INSTALAÇÃO. AF_01/2016</t>
  </si>
  <si>
    <t>CONECTOR EM BRONZE/LATÃO, DN 15 MM X 1/2", SEM ANEL DE SOLDA, BOLSA X ROSCA F, INSTALADO EM RAMAL DE DISTRIBUIÇÃO  FORNECIMENTO E INSTALAÇÃO. AF_01/2016</t>
  </si>
  <si>
    <t>CURVA DE TRANSPOSIÇÃO EM BRONZE/LATÃO, DN 15 MM, SEM ANEL DE SOLDA, BOLSA X BOLSA, INSTALADO EM RAMAL DE DISTRIBUIÇÃO  FORNECIMENTO E INSTALAÇÃO. AF_01/2016</t>
  </si>
  <si>
    <t>JUNTA DE EXPANSÃO EM COBRE, DN 15 MM, PONTA X PONTA, INSTALADO EM RAMAL DE DISTRIBUIÇÃO  FORNECIMENTO E INSTALAÇÃO. AF_01/2016</t>
  </si>
  <si>
    <t>LUVA PASSANTE EM COBRE, DN 22 MM, SEM ANEL DE SOLDA, INSTALADO EM RAMAL DE DISTRIBUIÇÃO  FORNECIMENTO E INSTALAÇÃO. AF_01/2016</t>
  </si>
  <si>
    <t>BUCHA DE REDUÇÃO EM COBRE, DN 22 MM X 15 MM, SEM ANEL DE SOLDA, PONTA X BOLSA, INSTALADO EM RAMAL DE DISTRIBUIÇÃO  FORNECIMENTO E INSTALAÇÃO. AF_01/2016</t>
  </si>
  <si>
    <t>JUNTA DE EXPANSÃO EM COBRE, DN 22 MM, PONTA X PONTA, INSTALADO EM RAMAL DE DISTRIBUIÇÃO  FORNECIMENTO E INSTALAÇÃO. AF_01/2016</t>
  </si>
  <si>
    <t>CONECTOR EM BRONZE/LATÃO, DN 22 MM X 1/2", SEM ANEL DE SOLDA, BOLSA X ROSCA F, INSTALADO EM RAMAL DE DISTRIBUIÇÃO  FORNECIMENTO E INSTALAÇÃO. AF_01/2016</t>
  </si>
  <si>
    <t>CONECTOR EM BRONZE/LATÃO, DN 22 MM X 3/4", SEM ANEL DE SOLDA, BOLSA X ROSCA F, INSTALADO EM RAMAL DE DISTRIBUIÇÃO  FORNECIMENTO E INSTALAÇÃO. AF_01/2016</t>
  </si>
  <si>
    <t>CURVA DE TRANSPOSIÇÃO EM BRONZE/LATÃO, DN 22 MM, SEM ANEL DE SOLDA, BOLSA X BOLSA, INSTALADO EM RAMAL DE DISTRIBUIÇÃO  FORNECIMENTO E INSTALAÇÃO. AF_01/2016</t>
  </si>
  <si>
    <t>LUVA PASSANTE EM COBRE, DN 28 MM, SEM ANEL DE SOLDA, INSTALADO EM RAMAL DE DISTRIBUIÇÃO  FORNECIMENTO E INSTALAÇÃO. AF_01/2016</t>
  </si>
  <si>
    <t>BUCHA DE REDUÇÃO EM COBRE, DN 28 MM X 22 MM, SEM ANEL DE SOLDA, INSTALADO EM RAMAL DE DISTRIBUIÇÃO  FORNECIMENTO E INSTALAÇÃO. AF_01/2016</t>
  </si>
  <si>
    <t>JUNTA DE EXPANSÃO EM COBRE, DN 28 MM, PONTA X PONTA, INSTALADO EM RAMAL DE DISTRIBUIÇÃO  FORNECIMENTO E INSTALAÇÃO. AF_01/2016</t>
  </si>
  <si>
    <t>CONECTOR EM BRONZE/LATÃO, DN 28 MM X 1/2", SEM ANEL DE SOLDA, BOLSA X ROSCA F, INSTALADO EM RAMAL DE DISTRIBUIÇÃO  FORNECIMENTO E INSTALAÇÃO. AF_01/2016</t>
  </si>
  <si>
    <t>CURVA DE TRANSPOSIÇÃO EM BRONZE/LATÃO, DN 28 MM, SEM ANEL DE SOLDA, BOLSA X BOLSA, INSTALADO EM RAMAL DE DISTRIBUIÇÃO  FORNECIMENTO E INSTALAÇÃO. AF_01/2016</t>
  </si>
  <si>
    <t>TE DUPLA CURVA EM BRONZE/LATÃO, DN 1/2" X 15 MM X 1/2", SEM ANEL DE SOLDA, ROSCA F X BOLSA X ROSCA F, INSTALADO EM RAMAL DE DISTRIBUIÇÃO  FORNECIMENTO E INSTALAÇÃO. AF_01/2016</t>
  </si>
  <si>
    <t>TE DUPLA CURVA EM BRONZE/LATÃO, DN 3/4" X 22 MM X 3/4", SEM ANEL DE SOLDA, ROSCA F X BOLSA X ROSCA F, INSTALADO EM RAMAL DE DISTRIBUIÇÃO  FORNECIMENTO E INSTALAÇÃO. AF_01/2016</t>
  </si>
  <si>
    <t>CURVA EM COBRE, DN 15 MM, 45 GRAUS, SEM ANEL DE SOLDA, BOLSA X BOLSA, INSTALADO EM RAMAL E SUB-RAMAL  FORNECIMENTO E INSTALAÇÃO. AF_01/2016</t>
  </si>
  <si>
    <t>COTOVELO EM BRONZE/LATÃO, DN 15 MM X 1/2", 90 GRAUS, SEM ANEL DE SOLDA, BOLSA X ROSCA F, INSTALADO EM RAMAL E SUB-RAMAL  FORNECIMENTO E INSTALAÇÃO. AF_01/2016</t>
  </si>
  <si>
    <t>CURVA EM COBRE, DN 22 MM, 45 GRAUS, SEM ANEL DE SOLDA, BOLSA X BOLSA, INSTALADO EM RAMAL E SUB-RAMAL  FORNECIMENTO E INSTALAÇÃO. AF_01/2016</t>
  </si>
  <si>
    <t>COTOVELO EM BRONZE/LATÃO, DN 22 MM X 1/2", 90 GRAUS, SEM ANEL DE SOLDA, BOLSA X ROSCA F, INSTALADO EM RAMAL E SUB-RAMAL  FORNECIMENTO E INSTALAÇÃO. AF_01/2016</t>
  </si>
  <si>
    <t>COTOVELO EM BRONZE/LATÃO, DN 22 MM X 3/4", 90 GRAUS, SEM ANEL DE SOLDA, BOLSA X ROSCA F, INSTALADO EM RAMAL E SUB-RAMAL  FORNECIMENTO E INSTALAÇÃO. AF_01/2016</t>
  </si>
  <si>
    <t>CURVA EM COBRE, DN 28 MM, 45 GRAUS, SEM ANEL DE SOLDA, BOLSA X BOLSA, INSTALADO EM RAMAL E SUB-RAMAL  FORNECIMENTO E INSTALAÇÃO. AF_01/2016</t>
  </si>
  <si>
    <t>LUVA PASSANTE EM COBRE, DN 15 MM, SEM ANEL DE SOLDA, INSTALADO EM RAMAL E SUB-RAMAL  FORNECIMENTO E INSTALAÇÃO. AF_01/2016</t>
  </si>
  <si>
    <t>CONECTOR EM BRONZE/LATÃO, DN 15 MM X 1/2", SEM ANEL DE SOLDA, BOLSA X ROSCA F, INSTALADO EM RAMAL E SUB-RAMAL  FORNECIMENTO E INSTALAÇÃO. AF_01/2016</t>
  </si>
  <si>
    <t>CURVA DE TRANSPOSIÇÃO EM BRONZE/LATÃO, DN 15 MM, SEM ANEL DE SOLDA, BOLSA X BOLSA, INSTALADO EM RAMAL E SUB-RAMAL  FORNECIMENTO E INSTALAÇÃO. AF_01/2016</t>
  </si>
  <si>
    <t>JUNTA DE EXPANSÃO EM COBRE, DN 15 MM, PONTA X PONTA, INSTALADO EM RAMAL E SUB-RAMAL  FORNECIMENTO E INSTALAÇÃO. AF_01/2016</t>
  </si>
  <si>
    <t>LUVA PASSANTE EM COBRE, DN 22 MM, SEM ANEL DE SOLDA, INSTALADO EM RAMAL E SUB-RAMAL  FORNECIMENTO E INSTALAÇÃO. AF_01/2016</t>
  </si>
  <si>
    <t>BUCHA DE REDUÇÃO EM COBRE, DN 22 MM X 15 MM, SEM ANEL DE SOLDA, PONTA X BOLSA, INSTALADO EM RAMAL E SUB-RAMAL  FORNECIMENTO E INSTALAÇÃO. AF_01/2016</t>
  </si>
  <si>
    <t>JUNTA DE EXPANSÃO EM COBRE, DN 22 MM, PONTA X PONTA, INSTALADO EM RAMAL E SUB-RAMAL  FORNECIMENTO E INSTALAÇÃO. AF_01/2016</t>
  </si>
  <si>
    <t>CONECTOR EM BRONZE/LATÃO, DN 22 MM X 1/2", SEM ANEL DE SOLDA, BOLSA X ROSCA F, INSTALADO EM RAMAL E SUB-RAMAL  FORNECIMENTO E INSTALAÇÃO. AF_01/2016</t>
  </si>
  <si>
    <t>CONECTOR EM BRONZE/LATÃO, DN 22 MM X 3/4", SEM ANEL DE SOLDA, BOLSA X ROSCA F, INSTALADO EM RAMAL E SUB-RAMAL  FORNECIMENTO E INSTALAÇÃO. AF_01/2016</t>
  </si>
  <si>
    <t>CURVA DE TRANSPOSIÇÃO EM BRONZE/LATÃO, DN 22 MM, SEM ANEL DE SOLDA, BOLSA X BOLSA, INSTALADO EM RAMAL E SUB-RAMAL  FORNECIMENTO E INSTALAÇÃO. AF_01/2016</t>
  </si>
  <si>
    <t>LUVA PASSANTE EM COBRE, DN 28 MM, SEM ANEL DE SOLDA, INSTALADO EM RAMAL E SUB-RAMAL  FORNECIMENTO E INSTALAÇÃO. AF_01/2016</t>
  </si>
  <si>
    <t>CONECTOR EM BRONZE/LATÃO, DN 28 MM X 1/2", SEM ANEL DE SOLDA, BOLSA X ROSCA F, INSTALADO EM RAMAL E SUB-RAMAL  FORNECIMENTO E INSTALAÇÃO. AF_01/2016</t>
  </si>
  <si>
    <t>CURVA DE TRANSPOSIÇÃO EM BRONZE/LATÃO, DN 28 MM, SEM ANEL DE SOLDA, BOLSA X BOLSA, INSTALADO EM RAMAL E SUB-RAMAL  FORNECIMENTO E INSTALAÇÃO. AF_01/2016</t>
  </si>
  <si>
    <t>JUNTA DE EXPANSÃO EM COBRE, DN 28 MM, PONTA X PONTA, INSTALADO EM RAMAL E SUB-RAMAL  FORNECIMENTO E INSTALAÇÃO. AF_01/2016</t>
  </si>
  <si>
    <t>TE DUPLA CURVA EM BRONZE/LATÃO, DN 1/2" X 15 MM X 1/2", SEM ANEL DE SOLDA, ROSCA F X BOLSA X ROSCA F, INSTALADO EM RAMAL E SUB-RAMAL  FORNECIMENTO E INSTALAÇÃO. AF_01/2016</t>
  </si>
  <si>
    <t>TE DUPLA CURVA EM BRONZE/LATÃO, DN 3/4" X 22 MM X 3/4", SEM ANEL DE SOLDA, ROSCA F X BOLSA X ROSCA F, INSTALADO EM RAMAL E SUB-RAMAL  FORNECIMENTO E INSTALAÇÃO. AF_01/2016</t>
  </si>
  <si>
    <t>CURVA EM COBRE, DN 22 MM, 45 GRAUS, SEM ANEL DE SOLDA, BOLSA X BOLSA, INSTALADO EM PRUMADA  FORNECIMENTO E INSTALAÇÃO. AF_01/2016</t>
  </si>
  <si>
    <t>COTOVELO EM BRONZE/LATÃO, DN 22 MM X 1/2", 90 GRAUS, SEM ANEL DE SOLDA, BOLSA X ROSCA F, INSTALADO EM PRUMADA  FORNECIMENTO E INSTALAÇÃO. AF_01/2016</t>
  </si>
  <si>
    <t>COTOVELO EM BRONZE/LATÃO, DN 22 MM X 3/4", 90 GRAUS, SEM ANEL DE SOLDA, BOLSA X ROSCA F, INSTALADO EM PRUMADA  FORNECIMENTO E INSTALAÇÃO. AF_01/2016</t>
  </si>
  <si>
    <t>CURVA EM COBRE, DN 28 MM, 45 GRAUS, SEM ANEL DE SOLDA, BOLSA X BOLSA, INSTALADO EM PRUMADA  FORNECIMENTO E INSTALAÇÃO. AF_01/2016</t>
  </si>
  <si>
    <t>CURVA EM COBRE, DN 35 MM, 45 GRAUS, SEM ANEL DE SOLDA, BOLSA X BOLSA, INSTALADO EM PRUMADA  FORNECIMENTO E INSTALAÇÃO. AF_01/2016</t>
  </si>
  <si>
    <t>CURVA EM COBRE, DN 42 MM, 45 GRAUS, SEM ANEL DE SOLDA, BOLSA X BOLSA, INSTALADO EM PRUMADA  FORNECIMENTO E INSTALAÇÃO. AF_01/2016</t>
  </si>
  <si>
    <t>CURVA EM COBRE, DN 54 MM, 45 GRAUS, SEM ANEL DE SOLDA, BOLSA X BOLSA, INSTALADO EM PRUMADA  FORNECIMENTO E INSTALAÇÃO. AF_01/2016</t>
  </si>
  <si>
    <t>CURVA EM COBRE, DN 66 MM, 45 GRAUS, SEM ANEL DE SOLDA, BOLSA X BOLSA, INSTALADO EM PRUMADA  FORNECIMENTO E INSTALAÇÃO. AF_01/2016</t>
  </si>
  <si>
    <t>BUCHA DE REDUÇÃO EM COBRE, DN 28 MM X 22 MM, SEM ANEL DE SOLDA, INSTALADO EM RAMAL E SUB-RAMAL  FORNECIMENTO E INSTALAÇÃO. AF_01/2016</t>
  </si>
  <si>
    <t>LUVA EM COBRE, DN 54 MM, SEM ANEL DE SOLDA, INSTALADO EM RESERVAÇÃO DE ÁGUA DE EDIFICAÇÃO QUE POSSUA RESERVATÓRIO DE FIBRA/FIBROCIMENTO  FORNECIMENTO E INSTALAÇÃO. AF_06/2016</t>
  </si>
  <si>
    <t>LUVA EM COBRE, DN 66 MM, SEM ANEL DE SOLDA, INSTALADO EM RESERVAÇÃO DE ÁGUA DE EDIFICAÇÃO QUE POSSUA RESERVATÓRIO DE FIBRA/FIBROCIMENTO  FORNECIMENTO E INSTALAÇÃO. AF_06/2016</t>
  </si>
  <si>
    <t>LUVA EM COBRE, DN 79 MM, SEM ANEL DE SOLDA, INSTALADO EM RESERVAÇÃO DE ÁGUA DE EDIFICAÇÃO QUE POSSUA RESERVATÓRIO DE FIBRA/FIBROCIMENTO  FORNECIMENTO E INSTALAÇÃO. AF_06/2016</t>
  </si>
  <si>
    <t>LUVA DE COBRE, DN 104 MM, SEM ANEL DE SOLDA, INSTALADO EM RESERVAÇÃO DE ÁGUA DE EDIFICAÇÃO QUE POSSUA RESERVATÓRIO DE FIBRA/FIBROCIMENTO  FORNECIMENTO E INSTALAÇÃO. AF_06/2016</t>
  </si>
  <si>
    <t>COTOVELO EM COBRE, DN 54 MM, 90 GRAUS, SEM ANEL DE SOLDA, INSTALADO EM RESERVAÇÃO DE ÁGUA DE EDIFICAÇÃO QUE POSSUA RESERVATÓRIO DE FIBRA/FIBROCIMENTO  FORNECIMENTO E INSTALAÇÃO. AF_06/2016</t>
  </si>
  <si>
    <t>CURVA EM COBRE, DN 54 MM, 45 GRAUS, SEM ANEL DE SOLDA, BOLSA X BOLSA, INSTALADO EM RESERVAÇÃO DE ÁGUA DE EDIFICAÇÃO QUE POSSUA RESERVATÓRIO DE FIBRA/FIBROCIMENTO  FORNECIMENTO E INSTALAÇÃO. AF_06/2016</t>
  </si>
  <si>
    <t>COTOVELO EM COBRE, DN 66 MM, 90 GRAUS, SEM ANEL DE SOLDA, INSTALADO EM RESERVAÇÃO DE ÁGUA DE EDIFICAÇÃO QUE POSSUA RESERVATÓRIO DE FIBRA/FIBROCIMENTO  FORNECIMENTO E INSTALAÇÃO. AF_06/2016</t>
  </si>
  <si>
    <t>CURVA EM COBRE, DN 66 MM, 45 GRAUS, SEM ANEL DE SOLDA, BOLSA X BOLSA, INSTALADO EM RESERVAÇÃO DE ÁGUA DE EDIFICAÇÃO QUE POSSUA RESERVATÓRIO DE FIBRA/FIBROCIMENTO  FORNECIMENTO E INSTALAÇÃO. AF_06/2016</t>
  </si>
  <si>
    <t>COTOVELO EM COBRE, DN 79 MM, 90 GRAUS, SEM ANEL DE SOLDA, INSTALADO EM RESERVAÇÃO DE ÁGUA DE EDIFICAÇÃO QUE POSSUA RESERVATÓRIO DE FIBRA/FIBROCIMENTO  FORNECIMENTO E INSTALAÇÃO. AF_06/2016</t>
  </si>
  <si>
    <t>COTOVELO EM COBRE, DN 104 MM, 90 GRAUS, SEM ANEL DE SOLDA, INSTALADO EM RESERVAÇÃO DE ÁGUA DE EDIFICAÇÃO QUE POSSUA RESERVATÓRIO DE FIBRA/FIBROCIMENTO  FORNECIMENTO E INSTALAÇÃO. AF_06/2016</t>
  </si>
  <si>
    <t>TE EM COBRE, DN 54 MM, SEM ANEL DE SOLDA, INSTALADO EM RESERVAÇÃO DE ÁGUA DE EDIFICAÇÃO QUE POSSUA RESERVATÓRIO DE FIBRA/FIBROCIMENTO  FORNECIMENTO E INSTALAÇÃO. AF_06/2016</t>
  </si>
  <si>
    <t>TE EM COBRE, DN 66 MM, SEM ANEL DE SOLDA, INSTALADO EM RESERVAÇÃO DE ÁGUA DE EDIFICAÇÃO QUE POSSUA RESERVATÓRIO DE FIBRA/FIBROCIMENTO  FORNECIMENTO E INSTALAÇÃO. AF_06/2016</t>
  </si>
  <si>
    <t>TE EM COBRE, DN 79 MM, SEM ANEL DE SOLDA, INSTALADO EM RESERVAÇÃO DE ÁGUA DE EDIFICAÇÃO QUE POSSUA RESERVATÓRIO DE FIBRA/FIBROCIMENTO  FORNECIMENTO E INSTALAÇÃO. AF_06/2016</t>
  </si>
  <si>
    <t>TE EM COBRE, DN 104 MM, SEM ANEL DE SOLDA, INSTALADO EM RESERVAÇÃO DE ÁGUA DE EDIFICAÇÃO QUE POSSUA RESERVATÓRIO DE FIBRA/FIBROCIMENTO  FORNECIMENTO E INSTALAÇÃO. AF_06/2016</t>
  </si>
  <si>
    <t>CONECTOR EM BRONZE/LATÃO, DN 22 MM X 1/2", SEM ANEL DE SOLDA, BOLSA X ROSCA F, INSTALADO EM PRUMADA  FORNECIMENTO E INSTALAÇÃO. AF_01/2016</t>
  </si>
  <si>
    <t>ACABAMENTOS PARA FORRO (SANCA DE GESSO MONTADA NA OBRA). AF_05/2017_P</t>
  </si>
  <si>
    <t>COBERTURA PARA PROTEÇÃO DE PEDESTRES SOBRE ESTRUTURA DE ANDAIME, INCLUSIVE MONTAGEM E DESMONTAGEM. AF_11/2017</t>
  </si>
  <si>
    <t>PORTA DE ABRIR EM ALUMINIO TIPO VENEZIANA, ACABAMENTO ANODIZADO NATURAL, SEM GUARNICAO/ALIZAR/VISTA</t>
  </si>
  <si>
    <t xml:space="preserve"> </t>
  </si>
  <si>
    <t>EXTERNO</t>
  </si>
  <si>
    <t>INTERNA</t>
  </si>
  <si>
    <t xml:space="preserve">PINTURA COM TINTA ESMALTE SINTÉTICO </t>
  </si>
  <si>
    <t>EXTERNA</t>
  </si>
  <si>
    <t>4.0</t>
  </si>
  <si>
    <t>4.1</t>
  </si>
  <si>
    <t>5.0</t>
  </si>
  <si>
    <t>5.1</t>
  </si>
  <si>
    <t>5.2</t>
  </si>
  <si>
    <t>6.0</t>
  </si>
  <si>
    <t>6.1</t>
  </si>
  <si>
    <t>6.2</t>
  </si>
  <si>
    <t>MURO</t>
  </si>
  <si>
    <t xml:space="preserve">PASSEIO </t>
  </si>
  <si>
    <t xml:space="preserve">  </t>
  </si>
  <si>
    <t>SUPERESTRUTURA</t>
  </si>
  <si>
    <t>COMP</t>
  </si>
  <si>
    <t>LARG</t>
  </si>
  <si>
    <t>3.5</t>
  </si>
  <si>
    <t>3.6</t>
  </si>
  <si>
    <t>9.0</t>
  </si>
  <si>
    <t>10.0</t>
  </si>
  <si>
    <t>10.1</t>
  </si>
  <si>
    <t>10.2</t>
  </si>
  <si>
    <t>11.0</t>
  </si>
  <si>
    <t>12.0</t>
  </si>
  <si>
    <t>12.1</t>
  </si>
  <si>
    <t>10.4</t>
  </si>
  <si>
    <t>10.5</t>
  </si>
  <si>
    <t>10.6</t>
  </si>
  <si>
    <t>11.3</t>
  </si>
  <si>
    <t>13.0</t>
  </si>
  <si>
    <t>13.1</t>
  </si>
  <si>
    <t>RESUMO</t>
  </si>
  <si>
    <t/>
  </si>
  <si>
    <t>1.2</t>
  </si>
  <si>
    <t>LAVADORA DE ALTA PRESSAO (LAVA-JATO) PARA AGUA FRIA, PRESSAO DE OPERACAO ENTRE 1400 E 1900 LIB/POL2, VAZAO MAXIMA ENTRE 400 E 700 L/H - CHP DIURNO. AF_04/2019</t>
  </si>
  <si>
    <t>LAVADORA DE ALTA PRESSAO (LAVA-JATO) PARA AGUA FRIA, PRESSAO DE OPERACAO ENTRE 1400 E 1900 LIB/POL2, VAZAO MAXIMA ENTRE 400 E 700 L/H - CHI DIURNO. AF_04/2019</t>
  </si>
  <si>
    <t>CAMINHÃO PARA EQUIPAMENTO DE LIMPEZA A SUCÇÃO COM CAMINHÃO TRUCADO DE PESO BRUTO TOTAL 23000 KG, CARGA ÚTIL MÁX. 15935 KG, DISTÂNCIA ENTRE EIXOS 4,80 M, POTÊNCIA 230 CV, INCLUSIVE LIMPADORA A SUCÇÃO, TANQUE 12000 L - MATERIAIS NA OPERAÇÃO. AF_11/2015</t>
  </si>
  <si>
    <t>LAVADORA DE ALTA PRESSAO (LAVA-JATO) PARA AGUA FRIA, PRESSAO DE OPERACAO ENTRE 1400 E 1900 LIB/POL2, VAZAO MAXIMA ENTRE 400 E 700 L/H - DEPRECIAÇÃO. AF_04/2019</t>
  </si>
  <si>
    <t>LAVADORA DE ALTA PRESSAO (LAVA-JATO) PARA AGUA FRIA, PRESSAO DE OPERACAO ENTRE 1400 E 1900 LIB/POL2, VAZAO MAXIMA ENTRE 400 E 700 L/H - JUROS. AF_04/2019</t>
  </si>
  <si>
    <t>LAVADORA DE ALTA PRESSAO (LAVA-JATO) PARA AGUA FRIA, PRESSAO DE OPERACAO ENTRE 1400 E 1900 LIB/POL2, VAZAO MAXIMA ENTRE 400 E 700 L/H - MANUTENÇÃO. AF_04/2019</t>
  </si>
  <si>
    <t>LAVADORA DE ALTA PRESSAO (LAVA-JATO) PARA AGUA FRIA, PRESSAO DE OPERACAO ENTRE 1400 E 1900 LIB/POL2, VAZAO MAXIMA ENTRE 400 E 700 L/H - MATERIAIS NA OPERAÇÃO. AF_04/2019</t>
  </si>
  <si>
    <t>INSTALAÇÃO DE TESOURA (INTEIRA OU MEIA), BIAPOIADA, EM MADEIRA NÃO APARELHADA, PARA VÃOS MAIORES OU IGUAIS A 3,0 M E MENORES QUE 6,0 M, INCLUSO IÇAMENTO. AF_07/2019</t>
  </si>
  <si>
    <t>INSTALAÇÃO DE TESOURA (INTEIRA OU MEIA), BIAPOIADA, EM MADEIRA NÃO APARELHADA, PARA VÃOS MAIORES OU IGUAIS A 6,0 M E MENORES QUE 8,0 M, INCLUSO IÇAMENTO. AF_07/2019</t>
  </si>
  <si>
    <t>INSTALAÇÃO DE TESOURA (INTEIRA OU MEIA), BIAPOIADA, EM MADEIRA NÃO APARELHADA, PARA VÃOS MAIORES OU IGUAIS A 8,0 M E MENORES QUE 10,0 M, INCLUSO IÇAMENTO. AF_07/2019</t>
  </si>
  <si>
    <t>INSTALAÇÃO DE TESOURA (INTEIRA OU MEIA), BIAPOIADA, EM MADEIRA NÃO APARELHADA, PARA VÃOS MAIORES OU IGUAIS A 10,0 M E MENORES QUE 12,0 M, INCLUSO IÇAMENTO. AF_07/2019</t>
  </si>
  <si>
    <t>TRAMA DE MADEIRA COMPOSTA POR RIPAS, CAIBROS E TERÇAS PARA TELHADOS DE ATÉ 2 ÁGUAS PARA TELHA DE ENCAIXE DE CERÂMICA OU DE CONCRETO, INCLUSO TRANSPORTE VERTICAL. AF_07/2019</t>
  </si>
  <si>
    <t>TRAMA DE MADEIRA COMPOSTA POR RIPAS, CAIBROS E TERÇAS PARA TELHADOS DE MAIS QUE 2 ÁGUAS PARA TELHA DE ENCAIXE DE CERÂMICA OU DE CONCRETO, INCLUSO TRANSPORTE VERTICAL. AF_07/2019</t>
  </si>
  <si>
    <t>TRAMA DE MADEIRA COMPOSTA POR RIPAS, CAIBROS E TERÇAS PARA TELHADOS DE ATÉ 2 ÁGUAS PARA TELHA CERÂMICA CAPA-CANAL, INCLUSO TRANSPORTE VERTICAL. AF_07/2019</t>
  </si>
  <si>
    <t>TRAMA DE MADEIRA COMPOSTA POR RIPAS, CAIBROS E TERÇAS PARA TELHADOS DE MAIS QUE 2 ÁGUAS PARA TELHA CERÂMICA CAPA-CANAL, INCLUSO TRANSPORTE VERTICAL. AF_07/2019</t>
  </si>
  <si>
    <t>TRAMA DE MADEIRA COMPOSTA POR TERÇAS PARA TELHADOS DE ATÉ 2 ÁGUAS PARA TELHA ONDULADA DE FIBROCIMENTO, METÁLICA, PLÁSTICA OU TERMOACÚSTICA, INCLUSO TRANSPORTE VERTICAL. AF_07/2019</t>
  </si>
  <si>
    <t>TRAMA DE MADEIRA COMPOSTA POR TERÇAS PARA TELHADOS DE ATÉ 2 ÁGUAS PARA TELHA ESTRUTURAL DE FIBROCIMENTO, INCLUSO TRANSPORTE VERTICAL. AF_07/2019</t>
  </si>
  <si>
    <t>FABRICAÇÃO E INSTALAÇÃO DE TESOURA INTEIRA EM MADEIRA NÃO APARELHADA, VÃO DE 3 M, PARA TELHA CERÂMICA OU DE CONCRETO, INCLUSO IÇAMENTO. AF_07/2019</t>
  </si>
  <si>
    <t>FABRICAÇÃO E INSTALAÇÃO DE TESOURA INTEIRA EM MADEIRA NÃO APARELHADA, VÃO DE 4 M, PARA TELHA CERÂMICA OU DE CONCRETO, INCLUSO IÇAMENTO. AF_07/2019</t>
  </si>
  <si>
    <t>FABRICAÇÃO E INSTALAÇÃO DE TESOURA INTEIRA EM MADEIRA NÃO APARELHADA, VÃO DE 5 M, PARA TELHA CERÂMICA OU DE CONCRETO, INCLUSO IÇAMENTO. AF_07/2019</t>
  </si>
  <si>
    <t>FABRICAÇÃO E INSTALAÇÃO DE TESOURA INTEIRA EM MADEIRA NÃO APARELHADA, VÃO DE 6 M, PARA TELHA CERÂMICA OU DE CONCRETO, INCLUSO IÇAMENTO. AF_07/2019</t>
  </si>
  <si>
    <t>FABRICAÇÃO E INSTALAÇÃO DE TESOURA INTEIRA EM MADEIRA NÃO APARELHADA, VÃO DE 7 M, PARA TELHA CERÂMICA OU DE CONCRETO, INCLUSO IÇAMENTO. AF_07/2019</t>
  </si>
  <si>
    <t>FABRICAÇÃO E INSTALAÇÃO DE TESOURA INTEIRA EM MADEIRA NÃO APARELHADA, VÃO DE 8 M, PARA TELHA CERÂMICA OU DE CONCRETO, INCLUSO IÇAMENTO. AF_07/2019</t>
  </si>
  <si>
    <t>FABRICAÇÃO E INSTALAÇÃO DE TESOURA INTEIRA EM MADEIRA NÃO APARELHADA, VÃO DE 9 M, PARA TELHA CERÂMICA OU DE CONCRETO, INCLUSO IÇAMENTO. AF_07/2019</t>
  </si>
  <si>
    <t>FABRICAÇÃO E INSTALAÇÃO DE TESOURA INTEIRA EM MADEIRA NÃO APARELHADA, VÃO DE 10 M, PARA TELHA CERÂMICA OU DE CONCRETO, INCLUSO IÇAMENTO. AF_07/2019</t>
  </si>
  <si>
    <t>FABRICAÇÃO E INSTALAÇÃO DE TESOURA INTEIRA EM MADEIRA NÃO APARELHADA, VÃO DE 11 M, PARA TELHA CERÂMICA OU DE CONCRETO, INCLUSO IÇAMENTO. AF_07/2019</t>
  </si>
  <si>
    <t>FABRICAÇÃO E INSTALAÇÃO DE TESOURA INTEIRA EM MADEIRA NÃO APARELHADA, VÃO DE 12 M, PARA TELHA CERÂMICA OU DE CONCRETO, INCLUSO IÇAMENTO. AF_07/2019</t>
  </si>
  <si>
    <t>FABRICAÇÃO E INSTALAÇÃO DE TESOURA INTEIRA EM MADEIRA NÃO APARELHADA, VÃO DE 3 M, PARA TELHA ONDULADA DE FIBROCIMENTO, METÁLICA, PLÁSTICA OU TERMOACÚSTICA, INCLUSO IÇAMENTO. AF_07/2019</t>
  </si>
  <si>
    <t>FABRICAÇÃO E INSTALAÇÃO DE TESOURA INTEIRA EM MADEIRA NÃO APARELHADA, VÃO DE 4 M, PARA TELHA ONDULADA DE FIBROCIMENTO, METÁLICA, PLÁSTICA OU TERMOACÚSTICA, INCLUSO IÇAMENTO. AF_07/2019</t>
  </si>
  <si>
    <t>FABRICAÇÃO E INSTALAÇÃO DE TESOURA INTEIRA EM MADEIRA NÃO APARELHADA, VÃO DE 5 M, PARA TELHA ONDULADA DE FIBROCIMENTO, METÁLICA, PLÁSTICA OU TERMOACÚSTICA, INCLUSO IÇAMENTO. AF_07/2019</t>
  </si>
  <si>
    <t>FABRICAÇÃO E INSTALAÇÃO DE TESOURA INTEIRA EM MADEIRA NÃO APARELHADA, VÃO DE 6 M, PARA TELHA ONDULADA DE FIBROCIMENTO, METÁLICA, PLÁSTICA OU TERMOACÚSTICA, INCLUSO IÇAMENTO. AF_07/2019</t>
  </si>
  <si>
    <t>FABRICAÇÃO E INSTALAÇÃO DE TESOURA INTEIRA EM MADEIRA NÃO APARELHADA, VÃO DE 7 M, PARA TELHA ONDULADA DE FIBROCIMENTO, METÁLICA, PLÁSTICA OU TERMOACÚSTICA, INCLUSO IÇAMENTO. AF_07/2019</t>
  </si>
  <si>
    <t>FABRICAÇÃO E INSTALAÇÃO DE TESOURA INTEIRA EM MADEIRA NÃO APARELHADA, VÃO DE 8 M, PARA TELHA ONDULADA DE FIBROCIMENTO, METÁLICA, PLÁSTICA OU TERMOACÚSTICA, INCLUSO IÇAMENTO. AF_07/2019</t>
  </si>
  <si>
    <t>FABRICAÇÃO E INSTALAÇÃO DE TESOURA INTEIRA EM MADEIRA NÃO APARELHADA, VÃO DE 9 M, PARA TELHA ONDULADA DE FIBROCIMENTO, METÁLICA, PLÁSTICA OU TERMOACÚSTICA, INCLUSO IÇAMENTO. AF_07/2019</t>
  </si>
  <si>
    <t>FABRICAÇÃO E INSTALAÇÃO DE TESOURA INTEIRA EM MADEIRA NÃO APARELHADA, VÃO DE 10 M, PARA TELHA ONDULADA DE FIBROCIMENTO, METÁLICA, PLÁSTICA OU TERMOACÚSTICA, INCLUSO IÇAMENTO. AF_07/2019</t>
  </si>
  <si>
    <t>FABRICAÇÃO E INSTALAÇÃO DE TESOURA INTEIRA EM MADEIRA NÃO APARELHADA, VÃO DE 11 M, PARA TELHA ONDULADA DE FIBROCIMENTO, METÁLICA, PLÁSTICA OU TERMOACÚSTICA, INCLUSO IÇAMENTO. AF_07/2019</t>
  </si>
  <si>
    <t>FABRICAÇÃO E INSTALAÇÃO DE TESOURA INTEIRA EM MADEIRA NÃO APARELHADA, VÃO DE 12 M, PARA TELHA ONDULADA DE FIBROCIMENTO, METÁLICA, PLÁSTICA OU TERMOACÚSTICA, INCLUSO IÇAMENTO. AF_07/2019</t>
  </si>
  <si>
    <t>FABRICAÇÃO E INSTALAÇÃO DE PONTALETES DE MADEIRA NÃO APARELHADA PARA TELHADOS COM ATÉ 2 ÁGUAS E COM TELHA CERÂMICA OU DE CONCRETO EM EDIFÍCIO RESIDENCIAL TÉRREO, INCLUSO TRANSPORTE VERTICAL. AF_07/2019</t>
  </si>
  <si>
    <t>FABRICAÇÃO E INSTALAÇÃO DE PONTALETES DE MADEIRA NÃO APARELHADA PARA TELHADOS COM ATÉ 2 ÁGUAS E COM TELHA CERÂMICA OU DE CONCRETO EM EDIFÍCIO RESIDENCIAL DE MÚLTIPLOS PAVIMENTOS, INCLUSO TRANSPORTE VERTICAL. AF_07/2019</t>
  </si>
  <si>
    <t>FABRICAÇÃO E INSTALAÇÃO DE PONTALETES DE MADEIRA NÃO APARELHADA PARA TELHADOS COM ATÉ 2 ÁGUAS E COM TELHA CERÂMICA OU DE CONCRETO EM EDIFÍCIO INSTITUCIONAL TÉRREO, INCLUSO TRANSPORTE VERTICAL. AF_07/2019</t>
  </si>
  <si>
    <t>FABRICAÇÃO E INSTALAÇÃO DE PONTALETES DE MADEIRA NÃO APARELHADA PARA TELHADOS COM ATÉ 2 ÁGUAS E COM TELHA ONDULADA DE FIBROCIMENTO, ALUMÍNIO OU PLÁSTICA EM EDIFÍCIO RESIDENCIAL DE MÚLTIPLOS PAVIMENTOS, INCLUSO TRANSPORTE VERTICAL. AF_07/2019</t>
  </si>
  <si>
    <t>FABRICAÇÃO E INSTALAÇÃO DE PONTALETES DE MADEIRA NÃO APARELHADA PARA TELHADOS COM ATÉ 2 ÁGUAS E COM TELHA ONDULADA DE FIBROCIMENTO, ALUMÍNIO OU PLÁSTICA EM EDIFÍCIO INSTITUCIONAL TÉRREO, INCLUSO TRANSPORTE VERTICAL. AF_07/2019</t>
  </si>
  <si>
    <t>FABRICAÇÃO E INSTALAÇÃO DE PONTALETES DE MADEIRA NÃO APARELHADA PARA TELHADOS COM MAIS QUE 2 ÁGUAS E COM TELHA CERÂMICA OU DE CONCRETO EM EDIFÍCIO RESIDENCIAL TÉRREO, INCLUSO TRANSPORTE VERTICAL. AF_07/2019</t>
  </si>
  <si>
    <t>FABRICAÇÃO E INSTALAÇÃO DE PONTALETES DE MADEIRA NÃO APARELHADA PARA TELHADOS COM MAIS QUE 2 ÁGUAS E COM TELHA CERÂMICA OU DE CONCRETO EM EDIFÍCIO RESIDENCIAL DE MÚLTIPLOS PAVIMENTOS. AF_07/2019</t>
  </si>
  <si>
    <t>FABRICAÇÃO E INSTALAÇÃO DE PONTALETES DE MADEIRA NÃO APARELHADA PARA TELHADOS COM MAIS QUE 2 ÁGUAS E COM TELHA CERÂMICA OU DE CONCRETO EM EDIFÍCIO INSTITUCIONAL TÉRREO, INCLUSO TRANSPORTE VERTICAL. AF_07/2019</t>
  </si>
  <si>
    <t>RETIRADA E RECOLOCAÇÃO DE RIPA EM TELHADOS DE ATÉ 2 ÁGUAS COM TELHA CERÂMICA OU DE CONCRETO DE ENCAIXE, INCLUSO TRANSPORTE VERTICAL. AF_07/2019</t>
  </si>
  <si>
    <t>RETIRADA E RECOLOCAÇÃO DE CAIBRO EM TELHADOS DE ATÉ 2 ÁGUAS COM TELHA CERÂMICA OU DE CONCRETO DE ENCAIXE, INCLUSO TRANSPORTE VERTICAL. AF_07/2019</t>
  </si>
  <si>
    <t>RETIRADA E RECOLOCAÇÃO DE RIPA EM TELHADOS DE MAIS DE 2 ÁGUAS COM TELHA CERÂMICA OU DE CONCRETO DE ENCAIXE, INCLUSO TRANSPORTE VERTICAL. AF_07/2019</t>
  </si>
  <si>
    <t>RETIRADA E RECOLOCAÇÃO DE CAIBRO EM TELHADOS DE MAIS DE 2 ÁGUAS COM TELHA CERÂMICA OU DE CONCRETO DE ENCAIXE, INCLUSO TRANSPORTE VERTICAL. AF_07/2019</t>
  </si>
  <si>
    <t>RETIRADA E RECOLOCAÇÃO DE RIPA EM TELHADOS DE ATÉ 2 ÁGUAS COM TELHA CERÂMICA CAPA-CANAL, INCLUSO TRANSPORTE VERTICAL. AF_07/2019</t>
  </si>
  <si>
    <t>RETIRADA E RECOLOCAÇÃO DE CAIBRO EM TELHADOS DE ATÉ 2 ÁGUAS COM TELHA CERÂMICA CAPA-CANAL, INCLUSO TRANSPORTE VERTICAL. AF_07/2019</t>
  </si>
  <si>
    <t>RETIRADA E RECOLOCAÇÃO DE RIPA EM TELHADOS DE MAIS DE 2 ÁGUAS COM TELHA CERÂMICA CAPA-CANAL, INCLUSO TRANSPORTE VERTICAL. AF_07/2019</t>
  </si>
  <si>
    <t>RETIRADA E RECOLOCAÇÃO DE CAIBRO EM TELHADOS DE MAIS DE 2 ÁGUAS COM TELHA CERÂMICA CAPA-CANAL, INCLUSO TRANSPORTE VERTICAL. AF_07/2019</t>
  </si>
  <si>
    <t>TELHAMENTO COM TELHA DE CONCRETO DE ENCAIXE, COM ATÉ 2 ÁGUAS, INCLUSO TRANSPORTE VERTICAL. AF_07/2019</t>
  </si>
  <si>
    <t>TELHAMENTO COM TELHA DE CONCRETO DE ENCAIXE, COM MAIS DE 2 ÁGUAS, INCLUSO TRANSPORTE VERTICAL. AF_07/2019</t>
  </si>
  <si>
    <t>TELHAMENTO COM TELHA CERÂMICA DE ENCAIXE, TIPO PORTUGUESA, COM ATÉ 2 ÁGUAS, INCLUSO TRANSPORTE VERTICAL. AF_07/2019</t>
  </si>
  <si>
    <t>TELHAMENTO COM TELHA CERÂMICA DE ENCAIXE, TIPO PORTUGUESA, COM MAIS DE 2 ÁGUAS, INCLUSO TRANSPORTE VERTICAL. AF_07/2019</t>
  </si>
  <si>
    <t>TELHAMENTO COM TELHA CERÂMICA CAPA-CANAL, TIPO COLONIAL, COM ATÉ 2 ÁGUAS, INCLUSO TRANSPORTE VERTICAL. AF_07/2019</t>
  </si>
  <si>
    <t>TELHAMENTO COM TELHA CERÂMICA CAPA-CANAL, TIPO COLONIAL, COM MAIS DE 2 ÁGUAS, INCLUSO TRANSPORTE VERTICAL. AF_07/2019</t>
  </si>
  <si>
    <t>EMBOÇAMENTO COM ARGAMASSA TRAÇO 1:2:9 (CIMENTO, CAL E AREIA). AF_07/2019</t>
  </si>
  <si>
    <t>ISOLAMENTO TERMOACÚSTICO COM LÃ MINERAL NA SUBCOBERTURA, INCLUSO TRANSPORTE VERTICAL. AF_07/2019</t>
  </si>
  <si>
    <t>SUBCOBERTURA COM MANTA PLÁSTICA REVESTIDA POR PELÍCULA DE ALUMÍNO, INCLUSO TRANSPORTE VERTICAL. AF_07/2019</t>
  </si>
  <si>
    <t>AMARRAÇÃO DE TELHAS CERÂMICAS OU DE CONCRETO. AF_07/2019</t>
  </si>
  <si>
    <t>TELHAMENTO COM TELHA CERÂMICA DE ENCAIXE, TIPO FRANCESA, COM ATÉ 2 ÁGUAS, INCLUSO TRANSPORTE VERTICAL. AF_07/2019</t>
  </si>
  <si>
    <t>TELHAMENTO COM TELHA CERÂMICA DE ENCAIXE, TIPO FRANCESA, COM MAIS DE 2 ÁGUAS, INCLUSO TRANSPORTE VERTICAL. AF_07/2019</t>
  </si>
  <si>
    <t>TELHAMENTO COM TELHA CERÂMICA DE ENCAIXE, TIPO ROMANA, COM ATÉ 2 ÁGUAS, INCLUSO TRANSPORTE VERTICAL. AF_07/2019</t>
  </si>
  <si>
    <t>TELHAMENTO COM TELHA CERÂMICA DE ENCAIXE, TIPO ROMANA, COM MAIS DE 2 ÁGUAS, INCLUSO TRANSPORTE VERTICAL. AF_07/2019</t>
  </si>
  <si>
    <t>TELHAMENTO COM TELHA CERÂMICA CAPA-CANAL, TIPO PLAN, COM ATÉ 2 ÁGUAS, INCLUSO TRANSPORTE VERTICAL. AF_07/2019</t>
  </si>
  <si>
    <t>TELHAMENTO COM TELHA CERÂMICA CAPA-CANAL, TIPO PLAN, COM MAIS DE 2 ÁGUAS, INCLUSO TRANSPORTE VERTICAL. AF_07/2019</t>
  </si>
  <si>
    <t>TELHAMENTO COM TELHA CERÂMICA CAPA-CANAL, TIPO PAULISTA, COM ATÉ 2 ÁGUAS, INCLUSO TRANSPORTE VERTICAL. AF_07/2019</t>
  </si>
  <si>
    <t>TELHAMENTO COM TELHA CERÂMICA CAPA-CANAL, TIPO PAULISTA, COM MAIS DE 2 ÁGUAS, INCLUSO TRANSPORTE VERTICAL. AF_07/2019</t>
  </si>
  <si>
    <t>TELHAMENTO COM TELHA ONDULADA DE FIBROCIMENTO E = 6 MM, COM RECOBRIMENTO LATERAL DE 1/4 DE ONDA PARA TELHADO COM INCLINAÇÃO MAIOR QUE 10°, COM ATÉ 2 ÁGUAS, INCLUSO IÇAMENTO. AF_07/2019</t>
  </si>
  <si>
    <t>TELHAMENTO COM TELHA ONDULADA DE FIBROCIMENTO E = 6 MM, COM RECOBRIMENTO LATERAL DE 1 1/4 DE ONDA PARA TELHADO COM INCLINAÇÃO MÁXIMA DE 10°, COM ATÉ 2 ÁGUAS, INCLUSO IÇAMENTO. AF_07/2019</t>
  </si>
  <si>
    <t>TELHAMENTO COM TELHA ESTRUTURAL DE FIBROCIMENTO E= 6 MM, COM ATÉ 2 ÁGUAS, INCLUSO IÇAMENTO. AF_07/2019</t>
  </si>
  <si>
    <t>TELHAMENTO COM TELHA DE AÇO/ALUMÍNIO E = 0,5 MM, COM ATÉ 2 ÁGUAS, INCLUSO IÇAMENTO. AF_07/2019</t>
  </si>
  <si>
    <t>TELHAMENTO COM TELHA METÁLICA TERMOACÚSTICA E = 30 MM, COM ATÉ 2 ÁGUAS, INCLUSO IÇAMENTO. AF_07/2019</t>
  </si>
  <si>
    <t>CUMEEIRA E ESPIGÃO PARA TELHA CERÂMICA EMBOÇADA COM ARGAMASSA TRAÇO 1:2:9 (CIMENTO, CAL E AREIA), PARA TELHADOS COM MAIS DE 2 ÁGUAS, INCLUSO TRANSPORTE VERTICAL. AF_07/2019</t>
  </si>
  <si>
    <t>CUMEEIRA E ESPIGÃO PARA TELHA DE CONCRETO EMBOÇADA COM ARGAMASSA TRAÇO 1:2:9 (CIMENTO, CAL E AREIA), PARA TELHADOS COM MAIS DE 2 ÁGUAS, INCLUSO TRANSPORTE VERTICAL. AF_07/2019</t>
  </si>
  <si>
    <t>CUMEEIRA PARA TELHA CERÂMICA EMBOÇADA COM ARGAMASSA TRAÇO 1:2:9 (CIMENTO, CAL E AREIA) PARA TELHADOS COM ATÉ 2 ÁGUAS, INCLUSO TRANSPORTE VERTICAL. AF_07/2019</t>
  </si>
  <si>
    <t>CUMEEIRA PARA TELHA DE CONCRETO EMBOÇADA COM ARGAMASSA TRAÇO 1:2:9 (CIMENTO, CAL E AREIA) PARA TELHADOS COM ATÉ 2 ÁGUAS, INCLUSO TRANSPORTE VERTICAL. AF_07/2019</t>
  </si>
  <si>
    <t>CUMEEIRA PARA TELHA DE FIBROCIMENTO ONDULADA E = 6 MM, INCLUSO ACESSÓRIOS DE FIXAÇÃO E IÇAMENTO. AF_07/2019</t>
  </si>
  <si>
    <t>CUMEEIRA PARA TELHA DE FIBROCIMENTO ESTRUTURAL E = 6 MM, INCLUSO ACESSÓRIOS DE FIXAÇÃO E IÇAMENTO. AF_07/2019</t>
  </si>
  <si>
    <t>CUMEEIRA SHED PARA TELHA ONDULADA DE FIBROCIMENTO, E = 6 MM, INCLUSO ACESSÓRIOS DE FIXAÇÃO E IÇAMENTO. AF_07/2019</t>
  </si>
  <si>
    <t>RUFO EXTERNO/INTERNO EM CHAPA DE AÇO GALVANIZADO NÚMERO 26, CORTE DE 33 CM, INCLUSO IÇAMENTO. AF_07/2019</t>
  </si>
  <si>
    <t>RETIRADA E RECOLOCAÇÃO DE  TELHA CERÂMICA DE ENCAIXE, COM ATÉ DUAS ÁGUAS, INCLUSO IÇAMENTO. AF_07/2019</t>
  </si>
  <si>
    <t>RETIRADA E RECOLOCAÇÃO DE  TELHA CERÂMICA DE ENCAIXE, COM MAIS DE DUAS ÁGUAS, INCLUSO IÇAMENTO. AF_07/2019</t>
  </si>
  <si>
    <t>RETIRADA E RECOLOCAÇÃO DE  TELHA CERÂMICA CAPA-CANAL, COM ATÉ DUAS ÁGUAS, INCLUSO IÇAMENTO. AF_07/2019</t>
  </si>
  <si>
    <t>RETIRADA E RECOLOCAÇÃO DE  TELHA CERÂMICA CAPA-CANAL, COM MAIS DE DUAS ÁGUAS, INCLUSO IÇAMENTO. AF_07/2019</t>
  </si>
  <si>
    <t>CALHA DE BEIRAL, SEMICIRCULAR DE PVC, DIAMETRO 125 MM, INCLUINDO CABECEIRAS, EMENDAS, BOCAIS, SUPORTES E VEDAÇÕES, EXCLUINDO CONDUTORES, INCLUSO TRANSPORTE VERTICAL. AF_07/2019</t>
  </si>
  <si>
    <t>RUFO EM FIBROCIMENTO PARA TELHA ONDULADA E = 6 MM, ABA DE 26 CM, INCLUSO TRANSPORTE VERTICAL, EXCETO CONTRARRUFO. AF_07/2019</t>
  </si>
  <si>
    <t>CALHA EM CHAPA DE AÇO GALVANIZADO NÚMERO 24, DESENVOLVIMENTO DE 33 CM, INCLUSO TRANSPORTE VERTICAL. AF_07/2019</t>
  </si>
  <si>
    <t>CALHA EM CHAPA DE AÇO GALVANIZADO NÚMERO 24, DESENVOLVIMENTO DE 50 CM, INCLUSO TRANSPORTE VERTICAL. AF_07/2019</t>
  </si>
  <si>
    <t>CALHA EM CHAPA DE AÇO GALVANIZADO NÚMERO 24, DESENVOLVIMENTO DE 100 CM, INCLUSO TRANSPORTE VERTICAL. AF_07/2019</t>
  </si>
  <si>
    <t>RUFO EM CHAPA DE AÇO GALVANIZADO NÚMERO 24, CORTE DE 25 CM, INCLUSO TRANSPORTE VERTICAL. AF_07/2019</t>
  </si>
  <si>
    <t>TELHAMENTO COM TELHA ONDULADA DE FIBRA DE VIDRO E = 0,6 MM, PARA TELHADO COM INCLINAÇÃO MAIOR QUE 10°, COM ATÉ 2 ÁGUAS, INCLUSO IÇAMENTO. AF_07/2019</t>
  </si>
  <si>
    <t>INSTALAÇÃO DE TESOURA (INTEIRA OU MEIA), EM AÇO, PARA VÃOS MAIORES OU IGUAIS A 3,0 M E MENORES QUE 6,0 M, INCLUSO IÇAMENTO. AF_07/2019</t>
  </si>
  <si>
    <t>INSTALAÇÃO DE TESOURA (INTEIRA OU MEIA), EM AÇO, PARA VÃOS MAIORES OU IGUAIS A 6,0 M E MENORES QUE 8,0 M, INCLUSO IÇAMENTO. AF_07/2019</t>
  </si>
  <si>
    <t>INSTALAÇÃO DE TESOURA (INTEIRA OU MEIA), EM AÇO, PARA VÃOS MAIORES OU IGUAIS A 8,0 M E MENORES QUE 10,0 M, INCLUSO IÇAMENTO. AF_07/2019</t>
  </si>
  <si>
    <t>INSTALAÇÃO DE TESOURA (INTEIRA OU MEIA), EM AÇO, PARA VÃOS MAIORES OU IGUAIS A 10,0 M E MENORES QUE 12,0 M, INCLUSO IÇAMENTO. AF_07/2019</t>
  </si>
  <si>
    <t>TRAMA DE AÇO COMPOSTA POR RIPAS, CAIBROS E TERÇAS PARA TELHADOS DE ATÉ 2 ÁGUAS PARA TELHA DE ENCAIXE DE CERÂMICA OU DE CONCRETO, INCLUSO TRANSPORTE VERTICAL. AF_07/2019</t>
  </si>
  <si>
    <t>TRAMA DE AÇO COMPOSTA POR RIPAS E CAIBROS PARA TELHADOS DE ATÉ 2 ÁGUAS PARA TELHA DE ENCAIXE DE CERÂMICA OU DE CONCRETO, INCLUSO TRANSPORTE VERTICAL. AF_07/2019</t>
  </si>
  <si>
    <t>TRAMA DE AÇO COMPOSTA POR RIPAS PARA TELHADOS DE ATÉ 2 ÁGUAS PARA TELHA DE ENCAIXE DE CERÂMICA OU DE CONCRETO, INCLUSO TRANSPORTE VERTICAL. AF_07/2019</t>
  </si>
  <si>
    <t>TRAMA DE AÇO COMPOSTA POR RIPAS, CAIBROS E TERÇAS PARA TELHADOS DE MAIS DE 2 ÁGUAS PARA TELHA DE ENCAIXE DE CERÂMICA OU DE CONCRETO, INCLUSO TRANSPORTE VERTICAL. AF_07/2019</t>
  </si>
  <si>
    <t>TRAMA DE AÇO COMPOSTA POR RIPAS E CAIBROS PARA TELHADOS DE MAIS DE 2 ÁGUAS PARA TELHA DE ENCAIXE DE CERÂMICA OU DE CONCRETO, INCLUSO TRANSPORTE VERTICAL. AF_07/2019</t>
  </si>
  <si>
    <t>TRAMA DE AÇO COMPOSTA POR RIPAS PARA TELHADOS DE MAIS DE 2 ÁGUAS PARA TELHA DE ENCAIXE DE CERÂMICA OU DE CONCRETO, INCLUSO TRANSPORTE VERTICAL, INCLUSO TRANSPORTE VERTICAL. AF_07/2019</t>
  </si>
  <si>
    <t>TRAMA DE AÇO COMPOSTA POR RIPAS, CAIBROS E TERÇAS PARA TELHADOS DE ATÉ 2 ÁGUAS PARA TELHA CERÂMICA CAPA-CANAL, INCLUSO TRANSPORTE VERTICAL. AF_07/2019</t>
  </si>
  <si>
    <t>TRAMA DE AÇO COMPOSTA POR RIPAS E CAIBROS PARA TELHADOS DE ATÉ 2 ÁGUAS PARA TELHA CERÂMICA CAPA-CANAL, INCLUSO TRANSPORTE VERTICAL. AF_07/2019</t>
  </si>
  <si>
    <t>TRAMA DE AÇO COMPOSTA POR RIPAS PARA TELHADOS DE ATÉ 2 ÁGUAS PARA TELHA CERÂMICA CAPA-CANAL, INCLUSO TRANSPORTE VERTICAL. AF_07/2019</t>
  </si>
  <si>
    <t>TRAMA DE AÇO COMPOSTA POR RIPAS, CAIBROS E TERÇAS PARA TELHADOS DE MAIS DE 2 ÁGUAS PARA TELHA CERÂMICA CAPA-CANAL, INCLUSO TRANSPORTE VERTICAL. AF_07/2019</t>
  </si>
  <si>
    <t>TRAMA DE AÇO COMPOSTA POR RIPAS E CAIBROS PARA TELHADOS DE MAIS DE 2 ÁGUAS PARA TELHA CERÂMICA CAPA-CANAL, INCLUSO TRANSPORTE VERTICAL. AF_07/2019</t>
  </si>
  <si>
    <t>TRAMA DE AÇO COMPOSTA POR RIPAS PARA TELHADOS DE MAIS DE 2 ÁGUAS PARA TELHA CERÂMICA CAPA-CANAL, INCLUSO TRANSPORTE VERTICAL. AF_07/2019</t>
  </si>
  <si>
    <t>TRAMA DE AÇO COMPOSTA POR TERÇAS PARA TELHADOS DE ATÉ 2 ÁGUAS PARA TELHA ONDULADA DE FIBROCIMENTO, METÁLICA, PLÁSTICA OU TERMOACÚSTICA, INCLUSO TRANSPORTE VERTICAL. AF_07/2019</t>
  </si>
  <si>
    <t>TRAMA DE AÇO COMPOSTA POR TERÇAS PARA TELHADOS DE ATÉ 2 ÁGUAS PARA TELHA ESTRUTURAL DE FIBROCIMENTO, INCLUSO TRANSPORTE VERTICAL. AF_07/2019</t>
  </si>
  <si>
    <t>FABRICAÇÃO E INSTALAÇÃO DE MEIA TESOURA DE MADEIRA NÃO APARELHADA, COM VÃO DE 3 M, PARA TELHA CERÂMICA OU DE CONCRETO, INCLUSO IÇAMENTO. AF_07/2019</t>
  </si>
  <si>
    <t>FABRICAÇÃO E INSTALAÇÃO DE MEIA TESOURA DE MADEIRA NÃO APARELHADA, COM VÃO DE 4 M, PARA TELHA CERÂMICA OU DE CONCRETO, INCLUSO IÇAMENTO. AF_07/2019</t>
  </si>
  <si>
    <t>FABRICAÇÃO E INSTALAÇÃO DE MEIA TESOURA DE MADEIRA NÃO APARELHADA, COM VÃO DE 5 M, PARA TELHA CERÂMICA OU DE CONCRETO, INCLUSO IÇAMENTO. AF_07/2019</t>
  </si>
  <si>
    <t>FABRICAÇÃO E INSTALAÇÃO DE MEIA TESOURA DE MADEIRA NÃO APARELHADA, COM VÃO DE 6 M, PARA TELHA CERÂMICA OU DE CONCRETO, INCLUSO IÇAMENTO. AF_07/2019</t>
  </si>
  <si>
    <t>FABRICAÇÃO E INSTALAÇÃO DE MEIA TESOURA DE MADEIRA NÃO APARELHADA, COM VÃO DE 7 M, PARA TELHA CERÂMICA OU DE CONCRETO, INCLUSO IÇAMENTO. AF_07/2019</t>
  </si>
  <si>
    <t>FABRICAÇÃO E INSTALAÇÃO DE MEIA TESOURA DE MADEIRA NÃO APARELHADA, COM VÃO DE 8 M, PARA TELHA CERÂMICA OU DE CONCRETO, INCLUSO IÇAMENTO. AF_07/2019</t>
  </si>
  <si>
    <t>FABRICAÇÃO E INSTALAÇÃO DE MEIA TESOURA DE MADEIRA NÃO APARELHADA, COM VÃO DE 9 M, PARA TELHA CERÂMICA OU DE CONCRETO, INCLUSO IÇAMENTO. AF_07/2019</t>
  </si>
  <si>
    <t>FABRICAÇÃO E INSTALAÇÃO DE MEIA TESOURA DE MADEIRA NÃO APARELHADA, COM VÃO DE 10 M, PARA TELHA CERÂMICA OU DE CONCRETO, INCLUSO IÇAMENTO. AF_07/2019</t>
  </si>
  <si>
    <t>FABRICAÇÃO E INSTALAÇÃO DE MEIA TESOURA DE MADEIRA NÃO APARELHADA, COM VÃO DE 11 M, PARA TELHA CERÂMICA OU DE CONCRETO, INCLUSO IÇAMENTO. AF_07/2019</t>
  </si>
  <si>
    <t>FABRICAÇÃO E INSTALAÇÃO DE MEIA TESOURA DE MADEIRA NÃO APARELHADA, COM VÃO DE 12 M, PARA TELHA CERÂMICA OU DE CONCRETO, INCLUSO IÇAMENTO. AF_07/2019</t>
  </si>
  <si>
    <t>FABRICAÇÃO E INSTALAÇÃO DE MEIA TESOURA DE MADEIRA NÃO APARELHADA, COM VÃO DE 3 M, PARA TELHA ONDULADA DE FIBROCIMENTO, ALUMÍNIO, PLÁSTICA OU TERMOACÚSTICA, INCLUSO IÇAMENTO. AF_07/2019</t>
  </si>
  <si>
    <t>FABRICAÇÃO E INSTALAÇÃO DE MEIA TESOURA DE MADEIRA NÃO APARELHADA, COM VÃO DE 4 M, PARA TELHA ONDULADA DE FIBROCIMENTO, ALUMÍNIO, PLÁSTICA OU TERMOACÚSTICA, INCLUSO IÇAMENTO. AF_07/2019</t>
  </si>
  <si>
    <t>FABRICAÇÃO E INSTALAÇÃO DE MEIA TESOURA DE MADEIRA NÃO APARELHADA, COM VÃO DE 5 M, PARA TELHA ONDULADA DE FIBROCIMENTO, ALUMÍNIO, PLÁSTICA OU TERMOACÚSTICA, INCLUSO IÇAMENTO. AF_07/2019</t>
  </si>
  <si>
    <t>FABRICAÇÃO E INSTALAÇÃO DE MEIA TESOURA DE MADEIRA NÃO APARELHADA, COM VÃO DE 6 M, PARA TELHA ONDULADA DE FIBROCIMENTO, ALUMÍNIO, PLÁSTICA OU TERMOACÚSTICA, INCLUSO IÇAMENTO. AF_07/2019</t>
  </si>
  <si>
    <t>FABRICAÇÃO E INSTALAÇÃO DE MEIA TESOURA DE MADEIRA NÃO APARELHADA, COM VÃO DE 7 M, PARA TELHA ONDULADA DE FIBROCIMENTO, ALUMÍNIO, PLÁSTICA OU TERMOACÚSTICA, INCLUSO IÇAMENTO. AF_07/2019</t>
  </si>
  <si>
    <t>FABRICAÇÃO E INSTALAÇÃO DE MEIA TESOURA DE MADEIRA NÃO APARELHADA, COM VÃO DE 8 M, PARA TELHA ONDULADA DE FIBROCIMENTO, ALUMÍNIO, PLÁSTICA OU TERMOACÚSTICA, INCLUSO IÇAMENTO. AF_07/2019</t>
  </si>
  <si>
    <t>FABRICAÇÃO E INSTALAÇÃO DE MEIA TESOURA DE MADEIRA NÃO APARELHADA, COM VÃO DE 9 M, PARA TELHA ONDULADA DE FIBROCIMENTO, ALUMÍNIO, PLÁSTICA OU TERMOACÚSTICA, INCLUSO IÇAMENTO. AF_07/2019</t>
  </si>
  <si>
    <t>FABRICAÇÃO E INSTALAÇÃO DE MEIA TESOURA DE MADEIRA NÃO APARELHADA, COM VÃO DE 10 M, PARA TELHA ONDULADA DE FIBROCIMENTO, ALUMÍNIO, PLÁSTICA OU TERMOACÚSTICA, INCLUSO IÇAMENTO. AF_07/2019</t>
  </si>
  <si>
    <t>FABRICAÇÃO E INSTALAÇÃO DE MEIA TESOURA DE MADEIRA NÃO APARELHADA, COM VÃO DE 11 M, PARA TELHA ONDULADA DE FIBROCIMENTO, ALUMÍNIO, PLÁSTICA OU TERMOACÚSTICA, INCLUSO IÇAMENTO. AF_07/2019</t>
  </si>
  <si>
    <t>FABRICAÇÃO E INSTALAÇÃO DE MEIA TESOURA DE MADEIRA NÃO APARELHADA, COM VÃO DE 12 M, PARA TELHA ONDULADA DE FIBROCIMENTO, ALUMÍNIO, PLÁSTICA OU TERMOACÚSTICA, INCLUSO IÇAMENTO. AF_07/2019</t>
  </si>
  <si>
    <t>FABRICAÇÃO E INSTALAÇÃO DE TESOURA (INTEIRA OU MEIA) EM AÇO, VÃOS MAIORES OU IGUAIS A 3,0 M E MENORES OU IGUAL A 6,0 M, INCLUSO IÇAMENTO. AF_07/2019</t>
  </si>
  <si>
    <t>FABRICAÇÃO E INSTALAÇÃO DE TESOURA (INTEIRA OU MEIA) EM AÇO, VÃOS MAIORES QUE 6,0 M E MENORES QUE 12,0 M, INCLUSO IÇAMENTO. AF_07/2019</t>
  </si>
  <si>
    <t>FABRICAÇÃO E INSTALAÇÃO DE PONTALETES DE MADEIRA NÃO APARELHADA PARA TELHADOS COM ATÉ 2 ÁGUAS E COM TELHA ONDULADA DE FIBROCIMENTO, ALUMÍNIO OU PLÁSTICA EM EDIFÍCIO RESIDENCIAL TÉRREO, INCLUSO TRANSPORTE VERTICAL. AF_07/2019</t>
  </si>
  <si>
    <t>TELHAMENTO COM TELHA DE ENCAIXE, TIPO FRANCESA DE VIDRO, COM ATÉ 2 ÁGUAS, INCLUSO TRANSPORTE VERTICAL. AF_07/2019</t>
  </si>
  <si>
    <t>MURO DE GABIÃO, ENCHIMENTO COM PEDRA DE MÃO TIPO RACHÃO, DE GRAVIDADE, COM GAIOLAS DE COMPRIMENTO IGUAL A 5 M, PARA MUROS COM ALTURA MAIOR QUE 4 M E MENOR OU IGUAL A 6 M   FORNECIMENTO E EXECUÇÃO. AF_12/2015</t>
  </si>
  <si>
    <t>MURO DE GABIÃO, ENCHIMENTO COM PEDRA DE MÃO TIPO RACHÃO, DE GRAVIDADE, COM GAIOLAS DE COMPRIMENTO IGUAL A 2 M, PARA MUROS COM ALTURA MAIOR QUE 6 M E MENOR OU IGUAL A 10 M   FORNECIMENTO E EXECUÇÃO. AF_12/2015</t>
  </si>
  <si>
    <t>MURO DE GABIÃO, ENCHIMENTO COM PEDRA DE MÃO TIPO RACHÃO, COM SOLO REFORÇADO, PARA MUROS COM ALTURA MENOR OU IGUAL A 4 M   FORNECIMENTO E EXECUÇÃO. AF_12/2015</t>
  </si>
  <si>
    <t>MURO DE GABIÃO, ENCHIMENTO COM PEDRA DE MÃO TIPO RACHÃO, COM SOLO REFORÇADO, PARA MUROS COM ALTURA MAIOR QUE 4 M E MENOR OU IGUAL A 12 M   FORNECIMENTO E EXECUÇÃO. AF_12/2015</t>
  </si>
  <si>
    <t>MURO DE GABIÃO, ENCHIMENTO COM PEDRA DE MÃO TIPO RACHÃO, COM SOLO REFORÇADO, PARA MUROS COM ALTURA MAIOR QUE 12 M E MENOR OU IGUAL A 20 M    FORNECIMENTO E EXECUÇÃO. AF_12/2015</t>
  </si>
  <si>
    <t>MURO DE GABIÃO, ENCHIMENTO COM PEDRA DE MÃO TIPO RACHÃO, COM SOLO REFORÇADO, PARA MUROS COM ALTURA MAIOR QUE 20 M E MENOR OU IGUAL A 28 M   FORNECIMENTO E EXECUÇÃO. AF_12/2015</t>
  </si>
  <si>
    <t>MURO DE GABIÃO, ENCHIMENTO COM RESÍDUO DE CONSTRUÇÃO E DEMOLIÇÃO, DE GRAVIDADE, COM GAIOLA TRAPEZOIDAL DE COMPRIMENTO IGUAL A 2 M, PARA MUROS COM ALTURA MENOR OU IGUAL A 2 M   FORNECIMENTO E EXECUÇÃO. AF_12/2015</t>
  </si>
  <si>
    <t>MURO DE GABIÃO, ENCHIMENTO COM RESÍDUO DE CONSTRUÇÃO E DEMOLIÇÃO, DE GRAVIDADE, COM GAIOLA TRAPEZOIDAL DE COMPRIMENTO IGUAL A 2 M, PARA MUROS COM ALTURA MAIOR QUE 2 M E MENOR OU IGUAL A 4 M    FORNECIMENTO E EXECUÇÃO. AF_12/2015</t>
  </si>
  <si>
    <t>CONTENÇÃO EM PERFIL PRANCHADO COM PRANCHÃO DE MADEIRA, PERFIS ESPAÇADOS A 1,5 M PARA 1 SUBSOLO. AF_07/2019</t>
  </si>
  <si>
    <t>CONTENÇÃO EM PERFIL PRANCHADO COM PRANCHÃO DE MADEIRA, PERFIS ESPAÇADOS A 1,5 M PARA 2 OU MAIS SUBSOLOS. AF_07/2019</t>
  </si>
  <si>
    <t>CONTENÇÃO EM PERFIL PRANCHADO COM PRANCHÃO DE MADEIRA, PERFIS ESPAÇADOS A 2 M PARA 1 SUBSOLO. AF_07/2019</t>
  </si>
  <si>
    <t>CONTENÇÃO EM PERFIL PRANCHADO COM PRANCHÃO DE MADEIRA, PERFIS ESPAÇADOS A 2 M PARA 2 OU MAIS SUBSOLOS. AF_07/2019</t>
  </si>
  <si>
    <t>FABRICAÇÃO, MONTAGEM E DESMONTAGEM DE FÔRMA PARA CORTINA DE CONTENÇÃO, EM CHAPA DE MADEIRA COMPENSADA PLASTIFICADA, E = 18 MM, 10 UTILIZAÇÕES. AF_07/2019</t>
  </si>
  <si>
    <t>ARMAÇÃO DE CORTINA DE CONTENÇÃO EM CONCRETO ARMADO, COM AÇO CA-50 DE 6,3 MM - MONTAGEM. AF_07/2019</t>
  </si>
  <si>
    <t>ARMAÇÃO DE CORTINA DE CONTENÇÃO EM CONCRETO ARMADO, COM AÇO CA-50 DE 8 MM - MONTAGEM. AF_07/2019</t>
  </si>
  <si>
    <t>ARMAÇÃO DE CORTINA DE CONTENÇÃO EM CONCRETO ARMADO, COM AÇO CA-50 DE 10 MM - MONTAGEM. AF_07/2019</t>
  </si>
  <si>
    <t>ARMAÇÃO DE CORTINA DE CONTENÇÃO EM CONCRETO ARMADO, COM AÇO CA-50 DE 12,5 MM - MONTAGEM. AF_07/2019</t>
  </si>
  <si>
    <t>ARMAÇÃO DE CORTINA DE CONTENÇÃO EM CONCRETO ARMADO, COM AÇO CA-50 DE 16 MM - MONTAGEM. AF_07/2019</t>
  </si>
  <si>
    <t>ARMAÇÃO DE CORTINA DE CONTENÇÃO EM CONCRETO ARMADO, COM AÇO CA-50 DE 20 MM - MONTAGEM. AF_07/2019</t>
  </si>
  <si>
    <t>ARMAÇÃO DE CORTINA DE CONTENÇÃO EM CONCRETO ARMADO, COM AÇO CA-50 DE 25 MM - MONTAGEM. AF_07/2019</t>
  </si>
  <si>
    <t>CONCRETAGEM DE CORTINA DE CONTENÇÃO, ATRAVÉS DE BOMBA   LANÇAMENTO, ADENSAMENTO E ACABAMENTO. AF_07/2019</t>
  </si>
  <si>
    <t>BASE PARA POÇO DE VISITA CIRCULAR PARA  ESGOTO, EM ALVENARIA COM TIJOLOS CERÂMICOS MACIÇOS, DIÂMETRO INTERNO = 1 M, PROFUNDIDADE = 1,45 M, EXCLUINDO TAMPÃO. AF_05/2018</t>
  </si>
  <si>
    <t>ACRÉSCIMO PARA POÇO DE VISITA CIRCULAR PARA DRENAGEM, EM CONCRETO PRÉ-MOLDADO, DIÂMETRO INTERNO = 1,2 M. AF_05/2018</t>
  </si>
  <si>
    <t>ACRÉSCIMO PARA POÇO DE VISITA RETANGULAR PARA DRENAGEM, EM ALVENARIA COM BLOCOS DE CONCRETO, DIMENSÕES INTERNAS = 1,5X1,5 M. AF_05/2018</t>
  </si>
  <si>
    <t>BASE PARA POÇO DE VISITA CIRCULAR PARA DRENAGEM, EM ALVENARIA COM TIJOLOS CERÂMICOS MACIÇOS, DIÂMETRO INTERNO = 1,2 M, PROFUNDIDADE = 1,45 M, EXCLUINDO TAMPÃO. AF_05/2018</t>
  </si>
  <si>
    <t>ACRÉSCIMO PARA POÇO DE VISITA CIRCULAR PARA DRENAGEM, EM ALVENARIA COM TIJOLOS CERÂMICOS MACIÇOS, DIÂMETRO INTERNO = 1,2 M. AF_05/2018</t>
  </si>
  <si>
    <t>BASE PARA POÇO DE VISITA RETANGULAR PARA DRENAGEM, EM ALVENARIA COM BLOCOS DE CONCRETO, DIMENSÕES INTERNAS = 1,5X2 M, PROFUNDIDADE = 1,45 M, EXCLUINDO TAMPÃO. AF_05/2018</t>
  </si>
  <si>
    <t>ACRÉSCIMO PARA POÇO DE VISITA CIRCULAR PARA DRENAGEM, EM CONCRETO PRÉ-MOLDADO, DIÂMETRO INTERNO = 1,5 M. AF_05/2018</t>
  </si>
  <si>
    <t>ACRÉSCIMO PARA POÇO DE VISITA RETANGULAR PARA DRENAGEM, EM ALVENARIA COM BLOCOS DE CONCRETO, DIMENSÕES INTERNAS = 1,5X2 M. AF_05/2018</t>
  </si>
  <si>
    <t>BASE PARA POÇO DE VISITA CIRCULAR PARA DRENAGEM, EM ALVENARIA COM TIJOLOS CERÂMICOS MACIÇOS, DIÂMETRO INTERNO = 1,5 M, PROFUNDIDADE = 1,45 M, EXCLUINDO TAMPÃO. AF_05/2018</t>
  </si>
  <si>
    <t>ACRÉSCIMO PARA POÇO DE VISITA CIRCULAR PARA DRENAGEM, EM ALVENARIA COM TIJOLOS CERÂMICOS MACIÇOS, DIÂMETRO INTERNO = 1,5 M. AF_05/2018</t>
  </si>
  <si>
    <t>BASE PARA POÇO DE VISITA RETANGULAR PARA DRENAGEM, EM ALVENARIA COM BLOCOS DE CONCRETO, DIMENSÕES INTERNAS = 1X1 M, PROFUNDIDADE = 1,45 M, EXCLUINDO TAMPÃO. AF_05/2018</t>
  </si>
  <si>
    <t>ACRÉSCIMO PARA POÇO DE VISITA RETANGULAR PARA DRENAGEM, EM ALVENARIA COM BLOCOS DE CONCRETO, DIMENSÕES INTERNAS = 1X1 M. AF_05/2018</t>
  </si>
  <si>
    <t>BASE PARA POÇO DE VISITA RETANGULAR PARA DRENAGEM, EM ALVENARIA COM BLOCOS DE CONCRETO, DIMENSÕES INTERNAS = 1,5X2,5 M, PROFUNDIDADE = 1,45 M, EXCLUINDO TAMPÃO. AF_05/2018</t>
  </si>
  <si>
    <t>BASE PARA POÇO DE VISITA RETANGULAR PARA DRENAGEM, EM ALVENARIA COM BLOCOS DE CONCRETO, DIMENSÕES INTERNAS = 1X1,5 M, PROFUNDIDADE = 1,45 M, EXCLUINDO TAMPÃO. AF_05/2018</t>
  </si>
  <si>
    <t>ACRÉSCIMO PARA POÇO DE VISITA RETANGULAR PARA DRENAGEM, EM ALVENARIA COM BLOCOS DE CONCRETO, DIMENSÕES INTERNAS = 1X1,5 M. AF_05/2018</t>
  </si>
  <si>
    <t>ACRÉSCIMO PARA POÇO DE VISITA RETANGULAR PARA DRENAGEM, EM ALVENARIA COM BLOCOS DE CONCRETO, DIMENSÕES INTERNAS = 1,5X2,5 M. AF_05/2018</t>
  </si>
  <si>
    <t>BASE PARA POÇO DE VISITA RETANGULAR PARA DRENAGEM, EM ALVENARIA COM BLOCOS DE CONCRETO, DIMENSÕES INTERNAS = 1X2 M, PROFUNDIDADE = 1,45 M, EXCLUINDO TAMPÃO. AF_05/2018</t>
  </si>
  <si>
    <t>ACRÉSCIMO PARA POÇO DE VISITA RETANGULAR PARA DRENAGEM, EM ALVENARIA COM BLOCOS DE CONCRETO, DIMENSÕES INTERNAS = 1X2 M. AF_05/2018</t>
  </si>
  <si>
    <t>BASE PARA POÇO DE VISITA RETANGULAR PARA DRENAGEM, EM ALVENARIA COM BLOCOS DE CONCRETO, DIMENSÕES INTERNAS = 1X2,5 M, PROFUNDIDADE = 1,45 M, EXCLUINDO TAMPÃO. AF_05/2018</t>
  </si>
  <si>
    <t>ACRÉSCIMO PARA POÇO DE VISITA RETANGULAR PARA DRENAGEM, EM ALVENARIA COM BLOCOS DE CONCRETO, DIMENSÕES INTERNAS = 1X2,5 M. AF_05/2018</t>
  </si>
  <si>
    <t>BASE PARA POÇO DE VISITA RETANGULAR PARA DRENAGEM, EM ALVENARIA COM BLOCOS DE CONCRETO, DIMENSÕES INTERNAS = 1,5X3 M, PROFUNDIDADE = 1,45 M, EXCLUINDO TAMPÃO. AF_05/2018</t>
  </si>
  <si>
    <t>POÇO DE INSPEÇÃO CIRCULAR PARA DRENAGEM, EM ALVENARIA COM TIJOLOS CERÂMICOS MACIÇOS, DIÂMETRO INTERNO = 0,6 M, PROFUNDIDADE = 1 M, EXCLUINDO TAMPÃO. AF_05/2018</t>
  </si>
  <si>
    <t>POÇO DE INSPEÇÃO CIRCULAR PARA DRENAGEM, EM ALVENARIA COM TIJOLOS CERÂMICOS MACIÇOS, DIÂMETRO INTERNO = 0,6 M, PROFUNDIDADE = 1,5 M, EXCLUINDO TAMPÃO. AF_05/2018</t>
  </si>
  <si>
    <t>BASE PARA POÇO DE VISITA RETANGULAR PARA DRENAGEM, EM ALVENARIA COM BLOCOS DE CONCRETO, DIMENSÕES INTERNAS = 1X3 M, PROFUNDIDADE = 1,45 M, EXCLUINDO TAMPÃO. AF_05/2018</t>
  </si>
  <si>
    <t>ACRÉSCIMO PARA POÇO DE VISITA RETANGULAR PARA DRENAGEM, EM ALVENARIA COM BLOCOS DE CONCRETO, DIMENSÕES INTERNAS = 1,5X3 M. AF_05/2018</t>
  </si>
  <si>
    <t>ACRÉSCIMO PARA POÇO DE VISITA RETANGULAR PARA DRENAGEM, EM ALVENARIA COM BLOCOS DE CONCRETO, DIMENSÕES INTERNAS = 1X3 M. AF_05/2018</t>
  </si>
  <si>
    <t>ACRÉSCIMO PARA POÇO DE VISITA CIRCULAR PARA DRENAGEM, EM CONCRETO PRÉ-MOLDADO, DIÂMETRO INTERNO = 0,8 M. AF_05/2018</t>
  </si>
  <si>
    <t>BASE PARA POÇO DE VISITA RETANGULAR PARA DRENAGEM, EM ALVENARIA COM BLOCOS DE CONCRETO, DIMENSÕES INTERNAS = 1X3,5 M, PROFUNDIDADE = 1,45 M, EXCLUINDO TAMPÃO. AF_05/2018</t>
  </si>
  <si>
    <t>BASE PARA POÇO DE VISITA CIRCULAR PARA DRENAGEM, EM ALVENARIA COM TIJOLOS CERÂMICOS MACIÇOS, DIÂMETRO INTERNO = 0,8 M, PROFUNDIDADE = 1,45 M, EXCLUINDO TAMPÃO. AF_05/2018</t>
  </si>
  <si>
    <t>ACRÉSCIMO PARA POÇO DE VISITA RETANGULAR PARA DRENAGEM, EM ALVENARIA COM BLOCOS DE CONCRETO, DIMENSÕES INTERNAS = 1X3,5 M. AF_05/2018</t>
  </si>
  <si>
    <t>ACRÉSCIMO PARA POÇO DE VISITA RETANGULAR PARA DRENAGEM, EM ALVENARIA COM BLOCOS DE CONCRETO, DIMENSÕES INTERNAS = 2,5X2,5 M. AF_05/2018</t>
  </si>
  <si>
    <t>ACRÉSCIMO PARA POÇO DE VISITA CIRCULAR PARA DRENAGEM, EM ALVENARIA COM TIJOLOS CERÂMICOS MACIÇOS, DIÂMETRO INTERNO = 0,8 M. AF_05/2018</t>
  </si>
  <si>
    <t>BASE PARA POÇO DE VISITA RETANGULAR PARA DRENAGEM, EM ALVENARIA COM BLOCOS DE CONCRETO, DIMENSÕES INTERNAS = 1,5X3,5 M, PROFUNDIDADE = 1,45 M, EXCLUINDO TAMPÃO. AF_05/2018</t>
  </si>
  <si>
    <t>BASE PARA POÇO DE VISITA RETANGULAR PARA DRENAGEM, EM ALVENARIA COM BLOCOS DE CONCRETO, DIMENSÕES INTERNAS = 1X4 M, PROFUNDIDADE = 1,45 M, EXCLUINDO TAMPÃO. AF_05/2018</t>
  </si>
  <si>
    <t>BASE PARA POÇO DE VISITA RETANGULAR PARA DRENAGEM, EM ALVENARIA COM BLOCOS DE CONCRETO, DIMENSÕES INTERNAS = 2,5X3 M, PROFUNDIDADE = 1,45 M, EXCLUINDO TAMPÃO. AF_05/2018</t>
  </si>
  <si>
    <t>ACRÉSCIMO PARA POÇO DE VISITA CIRCULAR PARA DRENAGEM, EM CONCRETO PRÉ-MOLDADO, DIÂMETRO INTERNO = 1 M. AF_05/2018</t>
  </si>
  <si>
    <t>ACRÉSCIMO PARA POÇO DE VISITA RETANGULAR PARA DRENAGEM, EM ALVENARIA COM BLOCOS DE CONCRETO, DIMENSÕES INTERNAS = 1X4 M. AF_05/2018</t>
  </si>
  <si>
    <t>BASE PARA POÇO DE VISITA RETANGULAR PARA DRENAGEM, EM ALVENARIA COM BLOCOS DE CONCRETO, DIMENSÕES INTERNAS = 1,5X1,5 M, PROFUNDIDADE = 1,45 M, EXCLUINDO TAMPÃO. AF_05/2018</t>
  </si>
  <si>
    <t>ACRÉSCIMO PARA POÇO DE VISITA RETANGULAR PARA DRENAGEM, EM ALVENARIA COM BLOCOS DE CONCRETO, DIMENSÕES INTERNAS = 1,5X3,5 M. AF_05/2018</t>
  </si>
  <si>
    <t>BASE PARA POÇO DE VISITA CIRCULAR PARA DRENAGEM, EM ALVENARIA COM TIJOLOS CERÂMICOS MACIÇOS, DIÂMETRO INTERNO = 1 M, PROFUNDIDADE = 1,45 M, EXCLUINDO TAMPÃO. AF_05/2018</t>
  </si>
  <si>
    <t>ACRÉSCIMO PARA POÇO DE VISITA CIRCULAR PARA DRENAGEM, EM ALVENARIA COM TIJOLOS CERÂMICOS MACIÇOS, DIÂMETRO INTERNO = 1 M. AF_05/2018</t>
  </si>
  <si>
    <t>BASE PARA POÇO DE VISITA RETANGULAR PARA DRENAGEM, EM ALVENARIA COM BLOCOS DE CONCRETO, DIMENSÕES INTERNAS = 1,5X4 M, PROFUNDIDADE = 1,45 M, EXCLUINDO TAMPÃO. AF_05/2018</t>
  </si>
  <si>
    <t>ACRÉSCIMO PARA POÇO DE VISITA RETANGULAR PARA DRENAGEM, EM ALVENARIA COM BLOCOS DE CONCRETO, DIMENSÕES INTERNAS = 2,5X3 M. AF_05/2018</t>
  </si>
  <si>
    <t>ACRÉSCIMO PARA POÇO DE VISITA RETANGULAR PARA DRENAGEM, EM ALVENARIA COM BLOCOS DE CONCRETO, DIMENSÕES INTERNAS = 1,5X4 M. AF_05/2018</t>
  </si>
  <si>
    <t>BASE PARA POÇO DE VISITA RETANGULAR PARA DRENAGEM, EM ALVENARIA COM BLOCOS DE CONCRETO, DIMENSÕES INTERNAS = 2,5X3,5 M, PROFUNDIDADE = 1,45 M, EXCLUINDO TAMPÃO. AF_05/2018</t>
  </si>
  <si>
    <t>ACRÉSCIMO PARA POÇO DE VISITA RETANGULAR PARA DRENAGEM, EM ALVENARIA COM BLOCOS DE CONCRETO, DIMENSÕES INTERNAS = 2,5X3,5 M. AF_05/2018</t>
  </si>
  <si>
    <t>BASE PARA POÇO DE VISITA RETANGULAR PARA DRENAGEM, EM ALVENARIA COM BLOCOS DE CONCRETO, DIMENSÕES INTERNAS = 2,5X4 M, PROFUNDIDADE = 1,45 M, EXCLUINDO TAMPÃO. AF_05/2018</t>
  </si>
  <si>
    <t>BASE PARA POÇO DE VISITA RETANGULAR PARA DRENAGEM, EM ALVENARIA COM BLOCOS DE CONCRETO, DIMENSÕES INTERNAS = 2X2 M, PROFUNDIDADE = 1,45 M, EXCLUINDO TAMPÃO. AF_05/2018</t>
  </si>
  <si>
    <t>ACRÉSCIMO PARA POÇO DE VISITA RETANGULAR PARA DRENAGEM, EM ALVENARIA COM BLOCOS DE CONCRETO, DIMENSÕES INTERNAS = 2,5X4 M. AF_05/2018</t>
  </si>
  <si>
    <t>BASE PARA POÇO DE VISITA RETANGULAR PARA DRENAGEM, EM ALVENARIA COM BLOCOS DE CONCRETO, DIMENSÕES INTERNAS = 3X3 M, PROFUNDIDADE = 1,45 M, EXCLUINDO TAMPÃO. AF_05/2018</t>
  </si>
  <si>
    <t>ACRÉSCIMO PARA POÇO DE VISITA RETANGULAR PARA DRENAGEM, EM ALVENARIA COM BLOCOS DE CONCRETO, DIMENSÕES INTERNAS = 3X3 M. AF_05/2018</t>
  </si>
  <si>
    <t>BASE PARA POÇO DE VISITA RETANGULAR PARA DRENAGEM, EM ALVENARIA COM BLOCOS DE CONCRETO, DIMENSÕES INTERNAS = 3X3,5 M, PROFUNDIDADE = 1,45 M, EXCLUINDO TAMPÃO. AF_05/2018</t>
  </si>
  <si>
    <t>ACRÉSCIMO PARA POÇO DE VISITA RETANGULAR PARA DRENAGEM, EM ALVENARIA COM BLOCOS DE CONCRETO, DIMENSÕES INTERNAS = 3X3,5 M. AF_05/2018</t>
  </si>
  <si>
    <t>ACRÉSCIMO PARA POÇO DE VISITA RETANGULAR PARA DRENAGEM, EM ALVENARIA COM BLOCOS DE CONCRETO, DIMENSÕES INTERNAS = 2X2 M. AF_05/2018</t>
  </si>
  <si>
    <t>BASE PARA POÇO DE VISITA RETANGULAR PARA DRENAGEM, EM ALVENARIA COM BLOCOS DE CONCRETO, DIMENSÕES INTERNAS = 3X4 M, PROFUNDIDADE = 1,45 M, EXCLUINDO TAMPÃO. AF_05/2018</t>
  </si>
  <si>
    <t>ACRÉSCIMO PARA POÇO DE VISITA RETANGULAR PARA DRENAGEM, EM ALVENARIA COM BLOCOS DE CONCRETO, DIMENSÕES INTERNAS = 3X4 M. AF_05/2018</t>
  </si>
  <si>
    <t>BASE PARA POÇO DE VISITA RETANGULAR PARA DRENAGEM, EM ALVENARIA COM BLOCOS DE CONCRETO, DIMENSÕES INTERNAS = 3,5X3,5 M, PROFUNDIDADE = 1,45 M, EXCLUINDO TAMPÃO. AF_05/2018</t>
  </si>
  <si>
    <t>ACRÉSCIMO PARA POÇO DE VISITA RETANGULAR PARA DRENAGEM, EM ALVENARIA COM BLOCOS DE CONCRETO, DIMENSÕES INTERNAS = 3,5X3,5 M. AF_05/2018</t>
  </si>
  <si>
    <t>BASE PARA POÇO DE VISITA RETANGULAR PARA DRENAGEM, EM ALVENARIA COM BLOCOS DE CONCRETO, DIMENSÕES INTERNAS = 2X2,5 M, PROFUNDIDADE = 1,45 M, EXCLUINDO TAMPÃO. AF_05/2018</t>
  </si>
  <si>
    <t>BASE PARA POÇO DE VISITA RETANGULAR PARA DRENAGEM, EM ALVENARIA COM BLOCOS DE CONCRETO, DIMENSÕES INTERNAS = 3,5X4 M, PROFUNDIDADE = 1,45 M, EXCLUINDO TAMPÃO. AF_05/2018</t>
  </si>
  <si>
    <t>ACRÉSCIMO PARA POÇO DE VISITA RETANGULAR PARA DRENAGEM, EM ALVENARIA COM BLOCOS DE CONCRETO, DIMENSÕES INTERNAS = 3,5X4 M. AF_05/2018</t>
  </si>
  <si>
    <t>BASE PARA POÇO DE VISITA RETANGULAR PARA DRENAGEM, EM ALVENARIA COM BLOCOS DE CONCRETO, DIMENSÕES INTERNAS = 4X4 M, PROFUNDIDADE = 1,45 M, EXCLUINDO TAMPÃO. AF_05/2018</t>
  </si>
  <si>
    <t>ACRÉSCIMO PARA POÇO DE VISITA RETANGULAR PARA DRENAGEM, EM ALVENARIA COM BLOCOS DE CONCRETO, DIMENSÕES INTERNAS = 2X2,5 M. AF_05/2018</t>
  </si>
  <si>
    <t>CHAMINÉ CIRCULAR PARA POÇO DE VISITA PARA DRENAGEM, EM CONCRETO PRÉ-MOLDADO, DIÂMETRO INTERNO = 0,6 M. AF_05/2018</t>
  </si>
  <si>
    <t>CHAMINÉ CIRCULAR PARA POÇO DE VISITA PARA DRENAGEM, EM ALVENARIA COM TIJOLOS CERÂMICOS MACIÇOS, DIÂMETRO INTERNO = 0,6 M. AF_05/2018</t>
  </si>
  <si>
    <t>BASE PARA POÇO DE VISITA RETANGULAR PARA DRENAGEM, EM ALVENARIA COM BLOCOS DE CONCRETO, DIMENSÕES INTERNAS = 2X3 M, PROFUNDIDADE = 1,45 M, EXCLUINDO TAMPÃO. AF_05/2018</t>
  </si>
  <si>
    <t>ACRÉSCIMO PARA POÇO DE VISITA RETANGULAR PARA DRENAGEM, EM ALVENARIA COM BLOCOS DE CONCRETO, DIMENSÕES INTERNAS = 2X3 M. AF_05/2018</t>
  </si>
  <si>
    <t>BASE PARA POÇO DE VISITA RETANGULAR PARA DRENAGEM, EM ALVENARIA COM BLOCOS DE CONCRETO, DIMENSÕES INTERNAS = 2X3,5 M, PROFUNDIDADE = 1,45 M, EXCLUINDO TAMPÃO. AF_05/2018</t>
  </si>
  <si>
    <t>ACRÉSCIMO PARA POÇO DE VISITA RETANGULAR PARA DRENAGEM, EM ALVENARIA COM BLOCOS DE CONCRETO, DIMENSÕES INTERNAS = 2X3,5 M. AF_05/2018</t>
  </si>
  <si>
    <t>BASE PARA POÇO DE VISITA RETANGULAR PARA DRENAGEM, EM ALVENARIA COM BLOCOS DE CONCRETO, DIMENSÕES INTERNAS = 2X4 M, PROFUNDIDADE = 1,45 M, EXCLUINDO TAMPÃO. AF_05/2018</t>
  </si>
  <si>
    <t>ACRÉSCIMO PARA POÇO DE VISITA RETANGULAR PARA DRENAGEM, EM ALVENARIA COM BLOCOS DE CONCRETO, DIMENSÕES INTERNAS = 2X4 M. AF_05/2018</t>
  </si>
  <si>
    <t>BASE PARA POÇO DE VISITA RETANGULAR PARA DRENAGEM, EM ALVENARIA COM BLOCOS DE CONCRETO, DIMENSÕES INTERNAS = 2,5X2,5 M, PROFUNDIDADE = 1,45 M, EXCLUINDO TAMPÃO. AF_05/2018</t>
  </si>
  <si>
    <t>ACRÉSCIMO PARA POÇO DE VISITA RETANGULAR PARA DRENAGEM, EM ALVENARIA COM BLOCOS DE CONCRETO, DIMENSÕES INTERNAS = 4X4 M. AF_05/2018</t>
  </si>
  <si>
    <t>GUIA (MEIO-FIO) CONCRETO, MOLDADA  IN LOCO  EM TRECHO RETO COM EXTRUSORA, 13 CM BASE X 22 CM ALTURA. AF_06/2016</t>
  </si>
  <si>
    <t>GUIA (MEIO-FIO) CONCRETO, MOLDADA  IN LOCO  EM TRECHO CURVO COM EXTRUSORA, 13 CM BASE X 22 CM ALTURA. AF_06/2016</t>
  </si>
  <si>
    <t>GUIA (MEIO-FIO) CONCRETO, MOLDADA  IN LOCO  EM TRECHO RETO COM EXTRUSORA, 15 CM BASE X 30 CM ALTURA. AF_06/2016</t>
  </si>
  <si>
    <t>GUIA (MEIO-FIO) CONCRETO, MOLDADA  IN LOCO  EM TRECHO CURVO COM EXTRUSORA, 15 CM BASE X 30 CM ALTURA. AF_06/2016</t>
  </si>
  <si>
    <t>GUIA (MEIO-FIO) E SARJETA CONJUGADOS DE CONCRETO, MOLDADA  IN LOCO  EM TRECHO RETO COM EXTRUSORA, 45 CM BASE (15 CM BASE DA GUIA + 30 CM BASE DA SARJETA) X 22 CM ALTURA. AF_06/2016</t>
  </si>
  <si>
    <t>GUIA (MEIO-FIO) E SARJETA CONJUGADOS DE CONCRETO, MOLDADA  IN LOCO  EM TRECHO CURVO COM EXTRUSORA, 45 CM BASE (15 CM BASE DA GUIA + 30 CM BASE DA SARJETA) X 22 CM ALTURA. AF_06/2016</t>
  </si>
  <si>
    <t>GUIA (MEIO-FIO) E SARJETA CONJUGADOS DE CONCRETO, MOLDADA  IN LOCO  EM TRECHO RETO COM EXTRUSORA, 60 CM BASE (15 CM BASE DA GUIA + 45 CM BASE DA SARJETA) X 26 CM ALTURA. AF_06/2016</t>
  </si>
  <si>
    <t>GUIA (MEIO-FIO) E SARJETA CONJUGADOS DE CONCRETO, MOLDADA IN LOCO  EM TRECHO CURVO COM EXTRUSORA, 60 CM BASE (15 CM BASE DA GUIA + 45 CM BASE DA SARJETA) X 26 CM ALTURA. AF_06/2016</t>
  </si>
  <si>
    <t>GUIA (MEIO-FIO) E SARJETA CONJUGADOS DE CONCRETO, MOLDADA  IN LOCO  EM TRECHO RETO COM EXTRUSORA, 65 CM BASE (15 CM BASE DA GUIA + 50 CM BASE DA SARJETA) X 26 CM ALTURA. AF_06/2016</t>
  </si>
  <si>
    <t>GUIA (MEIO-FIO) E SARJETA CONJUGADOS DE CONCRETO, MOLDADA  IN LOCO  EM TRECHO CURVO COM EXTRUSORA, 65 CM BASE (15 CM BASE DA GUIA + 50 CM BASE DA SARJETA) X 26 CM ALTURA. AF_06/2016</t>
  </si>
  <si>
    <t>GUARDA-CORPO DE AÇO GALVANIZADO DE 1,10M, MONTANTES TUBULARES DE 1.1/4" ESPAÇADOS DE 1,20M, TRAVESSA SUPERIOR DE 1.1/2", GRADIL FORMADO POR TUBOS HORIZONTAIS DE 1" E VERTICAIS DE 3/4", FIXADO COM CHUMBADOR MECÂNICO. AF_04/2019_P</t>
  </si>
  <si>
    <t>GUARDA-CORPO DE AÇO GALVANIZADO DE 1,10M DE ALTURA, MONTANTES TUBULARES DE 1.1/2 ESPAÇADOS DE 1,20M, TRAVESSA SUPERIOR DE 2, GRADIL FORMADO POR BARRAS CHATAS EM FERRO DE 32X4,8MM, FIXADO COM CHUMBADOR MECÂNICO. AF_04/2019_P</t>
  </si>
  <si>
    <t>GUARDA-CORPO PANORÂMICO COM PERFIS DE ALUMÍNIO E VIDRO LAMINADO 8 MM, FIXADO COM CHUMBADOR MECÂNICO. AF_04/2019_P</t>
  </si>
  <si>
    <t>CORRIMÃO SIMPLES, DIÂMETRO EXTERNO = 1 1/2", EM AÇO GALVANIZADO. AF_04/2019_P</t>
  </si>
  <si>
    <t>CORRIMÃO SIMPLES, DIÂMETRO EXTERNO = 1 1/2", EM ALUMÍNIO. AF_04/2019_P</t>
  </si>
  <si>
    <t>GRADIL EM FERRO FIXADO EM VÃOS DE JANELAS, FORMADO POR BARRAS CHATAS DE 25X4,8 MM. AF_04/2019</t>
  </si>
  <si>
    <t>GRADIL EM ALUMÍNIO FIXADO EM VÃOS DE JANELAS, FORMADO POR TUBOS DE 3/4". AF_04/2019</t>
  </si>
  <si>
    <t>LASTRO COM MATERIAL GRANULAR (PEDRA BRITADA N.2), APLICADO EM PISOS OU RADIERS, ESPESSURA DE *10 CM*. AF_08/2017</t>
  </si>
  <si>
    <t>LASTRO COM MATERIAL GRANULAR (PEDRA BRITADA N.3), APLICADO EM PISOS OU RADIERS, ESPESSURA DE *10 CM*. AF_07/2019</t>
  </si>
  <si>
    <t>LASTRO COM MATERIAL GRANULAR (AREIA MÉDIA), APLICADO EM PISOS OU RADIERS, ESPESSURA DE *10 CM*. AF_07/2019</t>
  </si>
  <si>
    <t>LASTRO COM MATERIAL GRANULAR (PEDRA BRITADA N.1 E PEDRA BRITADA N.2), APLICADO EM PISOS OU RADIERS, ESPESSURA DE *10 CM*. AF_07/2019</t>
  </si>
  <si>
    <t>ARMAÇÃO DO SISTEMA DE PAREDES DE CONCRETO, EXECUTADA EM PAREDES DE EDIFICAÇÕES DE MÚLTIPLOS PAVIMENTOS, TELA Q-138. AF_06/2019</t>
  </si>
  <si>
    <t>ARMAÇÃO DO SISTEMA DE PAREDES DE CONCRETO, EXECUTADA EM PAREDES DE EDIFICAÇÕES TÉRREAS OU DE MÚLTIPLOS PAVIMENTOS, TELA Q-92. AF_06/2019</t>
  </si>
  <si>
    <t>ARMAÇÃO DO SISTEMA DE PAREDES DE CONCRETO, EXECUTADA EM PAREDES DE EDIFICAÇÕES TÉRREAS, TELA Q-61. AF_06/2019</t>
  </si>
  <si>
    <t>ARMAÇÃO DO SISTEMA DE PAREDES DE CONCRETO, EXECUTADA COMO ARMADURA POSITIVA DE LAJES, TELA Q-138. AF_06/2019</t>
  </si>
  <si>
    <t>ARMAÇÃO DO SISTEMA DE PAREDES DE CONCRETO, EXECUTADA COMO ARMADURA NEGATIVA DE LAJES, TELA T-196. AF_06/2019</t>
  </si>
  <si>
    <t>ARMAÇÃO DO SISTEMA DE PAREDES DE CONCRETO, EXECUTADA COMO ARMADURA POSITIVA DE LAJES, TELA Q-113. AF_06/2019</t>
  </si>
  <si>
    <t>ARMAÇÃO DO SISTEMA DE PAREDES DE CONCRETO, EXECUTADA COMO ARMADURA NEGATIVA DE LAJES, TELA L-159. AF_06/2019</t>
  </si>
  <si>
    <t>ARMAÇÃO DO SISTEMA DE PAREDES DE CONCRETO, EXECUTADA EM PLATIBANDAS, TELA Q-92. AF_06/2019</t>
  </si>
  <si>
    <t>ARMAÇÃO DO SISTEMA DE PAREDES DE CONCRETO, EXECUTADA COMO REFORÇO, VERGALHÃO DE 6,3 MM DE DIÂMETRO. AF_06/2019</t>
  </si>
  <si>
    <t>ARMAÇÃO DO SISTEMA DE PAREDES DE CONCRETO, EXECUTADA COMO REFORÇO, VERGALHÃO DE 8,0 MM DE DIÂMETRO. AF_06/2019</t>
  </si>
  <si>
    <t>ARMAÇÃO DO SISTEMA DE PAREDES DE CONCRETO, EXECUTADA COMO REFORÇO, VERGALHÃO DE 10,0 MM DE DIÂMETRO. AF_06/2019</t>
  </si>
  <si>
    <t>ARMAÇÃO DO SISTEMA DE PAREDES DE CONCRETO, EXECUTADA COMO ARMADURA POSITIVA DE LAJES, TELA Q-196. AF_06/2019</t>
  </si>
  <si>
    <t>ARMAÇÃO DO SISTEMA DE PAREDES DE CONCRETO, EXECUTADA COMO REFORÇO, VERGALHÃO DE 5,0 MM DE DIÂMETRO. AF_06/2019</t>
  </si>
  <si>
    <t>ARMAÇÃO DO SISTEMA DE PAREDES DE CONCRETO, EXECUTADA COMO REFORÇO, VERGALHÃO DE 12,5 MM DE DIÂMETRO. AF_06/2019</t>
  </si>
  <si>
    <t>CONCRETAGEM DE LAJES EM EDIFICAÇÕES UNIFAMILIARES FEITAS COM SISTEMA DE FÔRMAS MANUSEÁVEIS, COM CONCRETO USINADO BOMBEÁVEL FCK 20 MPA - LANÇAMENTO, ADENSAMENTO E ACABAMENTO. AF_06/2015</t>
  </si>
  <si>
    <t>CONCRETAGEM DE PAREDES EM EDIFICAÇÕES UNIFAMILIARES FEITAS COM SISTEMA DE FÔRMAS MANUSEÁVEIS, COM CONCRETO USINADO BOMBEÁVEL FCK 20 MPA - LANÇAMENTO, ADENSAMENTO E ACABAMENTO. AF_06/2015</t>
  </si>
  <si>
    <t>CONCRETAGEM DE PLATIBANDA EM EDIFICAÇÕES UNIFAMILIARES FEITAS COM SISTEMA DE FÔRMAS MANUSEÁVEIS, COM CONCRETO USINADO BOMBEÁVEL FCK 20 MPA - LANÇAMENTO, ADENSAMENTO E ACABAMENTO. AF_06/2015</t>
  </si>
  <si>
    <t>CONCRETAGEM DE LAJES EM EDIFICAÇÕES MULTIFAMILIARES FEITAS COM SISTEMA DE FÔRMAS MANUSEÁVEIS, COM CONCRETO USINADO BOMBEÁVEL FCK 20 MPA - LANÇAMENTO, ADENSAMENTO E ACABAMENTO. AF_06/2015</t>
  </si>
  <si>
    <t>CONCRETAGEM DE PAREDES EM EDIFICAÇÕES MULTIFAMILIARES FEITAS COM SISTEMA DE FÔRMAS MANUSEÁVEIS, COM CONCRETO USINADO BOMBEÁVEL FCK 20 MPA - LANÇAMENTO, ADENSAMENTO E ACABAMENTO. AF_06/2015</t>
  </si>
  <si>
    <t>CONCRETAGEM DE PLATIBANDA EM EDIFICAÇÕES MULTIFAMILIARES FEITAS COM SISTEMA DE FÔRMAS MANUSEÁVEIS, COM CONCRETO USINADO BOMBEÁVEL FCK 20 MPA - LANÇAMENTO, ADENSAMENTO E ACABAMENTO. AF_06/2015</t>
  </si>
  <si>
    <t>CONCRETAGEM DE PLATIBANDA EM EDIFICAÇÕES UNIFAMILIARES FEITAS COM SISTEMA DE FÔRMAS MANUSEÁVEIS, COM CONCRETO USINADO AUTOADENSÁVEL FCK 20 MPA - LANÇAMENTO E ACABAMENTO. AF_06/2015</t>
  </si>
  <si>
    <t>CONCRETAGEM DE PLATIBANDA EM EDIFICAÇÕES MULTIFAMILIARES FEITAS COM SISTEMA DE FÔRMAS MANUSEÁVEIS, COM CONCRETO USINADO AUTOADENSÁVEL FCK 20 MPA - LANÇAMENTO E ACABAMENTO. AF_06/2015</t>
  </si>
  <si>
    <t>CONCRETAGEM DE EDIFICAÇÕES (PAREDES E LAJES) FEITAS COM SISTEMA DE FÔRMAS MANUSEÁVEIS, COM CONCRETO USINADO BOMBEÁVEL FCK 20 MPA - LANÇAMENTO, ADENSAMENTO E ACABAMENTO. AF_06/2015</t>
  </si>
  <si>
    <t>CONCRETAGEM DE EDIFICAÇÕES (PAREDES E LAJES) FEITAS COM SISTEMA DE FÔRMAS MANUSEÁVEIS, COM CONCRETO USINADO AUTOADENSÁVEL FCK 20 MPA - LANÇAMENTO E ACABAMENTO. AF_06/2015</t>
  </si>
  <si>
    <t>CONCRETAGEM DE VIGAS E LAJES, FCK=20 MPA, PARA LAJES MACIÇAS OU NERVURADAS COM JERICAS EM ELEVADOR DE CABO EM EDIFICAÇÃO DE ATÉ 16 ANDARES, COM ÁREA MÉDIA DE LAJES MENOR OU IGUAL A 20 M² - LANÇAMENTO, ADENSAMENTO E ACABAMENTO. AF_12/2015</t>
  </si>
  <si>
    <t>CONCRETAGEM DE EDIFICAÇÕES (PAREDES E LAJES) FEITAS COM SISTEMA DE FÔRMAS MANUSEÁVEIS, COM CONCRETO USINADO AUTOADENSÁVEL FCK 25 MPA - LANÇAMENTO E ACABAMENTO. AF_06/2015</t>
  </si>
  <si>
    <t>CONCRETAGEM DE LAJES EM EDIFICAÇÕES UNIFAMILIARES FEITAS COM SISTEMA DE FÔRMAS MANUSEÁVEIS, COM CONCRETO USINADO BOMBEÁVEL FCK 25 MPA - LANÇAMENTO, ADENSAMENTO E ACABAMENTO (EXCLUSIVE BOMBA LANÇA). AF_06/2015</t>
  </si>
  <si>
    <t>CONCRETAGEM DE PAREDES EM EDIFICAÇÕES UNIFAMILIARES FEITAS COM SISTEMA DE FÔRMAS MANUSEÁVEIS, COM CONCRETO USINADO BOMBEÁVEL FCK 25 MPA - LANÇAMENTO, ADENSAMENTO E ACABAMENTO (EXCLUSIVE BOMBA LANÇA). AF_06/2015</t>
  </si>
  <si>
    <t>CONCRETAGEM DE PLATIBANDA EM EDIFICAÇÕES UNIFAMILIARES FEITAS COM SISTEMA DE FÔRMAS MANUSEÁVEIS, COM CONCRETO USINADO BOMBEÁVEL FCK 25 MPA, - LANÇAMENTO, ADENSAMENTO E ACABAMENTO (EXCLUSIVE BOMBA LANÇA). AF_06/2015</t>
  </si>
  <si>
    <t>CONCRETAGEM DE LAJES EM EDIFICAÇÕES MULTIFAMILIARES FEITAS COM SISTEMA DE FÔRMAS MANUSEÁVEIS, COM CONCRETO USINADO BOMBEÁVEL FCK 25 MPA - LANÇAMENTO, ADENSAMENTO E ACABAMENTO (EXCLUSIVE BOMBA LANÇA). AF_06/2015</t>
  </si>
  <si>
    <t>CONCRETAGEM DE PAREDES EM EDIFICAÇÕES MULTIFAMILIARES FEITAS COM SISTEMA DE FÔRMAS MANUSEÁVEIS, COM CONCRETO USINADO BOMBEÁVEL FCK 25 MPA - LANÇAMENTO, ADENSAMENTO E ACABAMENTO (EXCLUSIVE BOMBA LANÇA). AF_06/2015</t>
  </si>
  <si>
    <t>CONCRETAGEM DE PLATIBANDA EM EDIFICAÇÕES MULTIFAMILIARES FEITAS COM SISTEMA DE FÔRMAS MANUSEÁVEIS, COM CONCRETO USINADO BOMBEÁVEL FCK 25 MPA - LANÇAMENTO, ADENSAMENTO E ACABAMENTO (EXCLUSIVE BOMBA LANÇA). AF_06/2015</t>
  </si>
  <si>
    <t>CONCRETAGEM DE PLATIBANDA EM EDIFICAÇÕES UNIFAMILIARES FEITAS COM SISTEMA DE FÔRMAS MANUSEÁVEIS, COM CONCRETO USINADO AUTOADENSÁVEL FCK 25 MPA - LANÇAMENTO E ACABAMENTO. AF_06/2015</t>
  </si>
  <si>
    <t>CONCRETAGEM DE PLATIBANDA EM EDIFICAÇÕES MULTIFAMILIARES FEITAS COM SISTEMA DE FÔRMAS MANUSEÁVEIS, COM CONCRETO USINADO AUTOADENSÁVEL FCK 25 MPA - LANÇAMENTO E ACABAMENTO. AF_06/2015</t>
  </si>
  <si>
    <t>CONCRETAGEM DE EDIFICAÇÕES (PAREDES E LAJES) FEITAS COM SISTEMA DE FÔRMAS MANUSEÁVEIS, COM CONCRETO USINADO BOMBEÁVEL FCK 25 MPA - LANÇAMENTO, ADENSAMENTO E ACABAMENTO (EXCLUSIVE BOMBA LANÇA). AF_06/2015</t>
  </si>
  <si>
    <t>IMPERMEABILIZAÇÃO DE SUPERFÍCIE COM ARGAMASSA POLIMÉRICA / MEMBRANA ACRÍLICA, 3 DEMÃOS. AF_06/2018</t>
  </si>
  <si>
    <t>IMPERMEABILIZAÇÃO DE SUPERFÍCIE COM ARGAMASSA POLIMÉRICA / MEMBRANA ACRÍLICA, 4 DEMÃOS, REFORÇADA COM VÉU DE POLIÉSTER (MAV). AF_06/2018</t>
  </si>
  <si>
    <t>TRATAMENTO DE RALO OU PONTO EMERGENTE COM ARGAMASSA POLIMÉRICA / MEMBRANA ACRÍLICA REFORÇADO COM VÉU DE POLIÉSTER (MAV). AF_06/2018</t>
  </si>
  <si>
    <t>ELETRODUTO FLEXÍVEL CORRUGADO REFORÇADO, PVC, DN 20 MM (1/2"), PARA CIRCUITOS TERMINAIS, INSTALADO EM FORRO - FORNECIMENTO E INSTALAÇÃO. AF_12/2015</t>
  </si>
  <si>
    <t>ELETRODUTO FLEXÍVEL CORRUGADO REFORÇADO, PVC, DN 25 MM (3/4"), PARA CIRCUITOS TERMINAIS, INSTALADO EM FORRO - FORNECIMENTO E INSTALAÇÃO. AF_12/2015</t>
  </si>
  <si>
    <t>ELETRODUTO FLEXÍVEL CORRUGADO REFORÇADO, PVC, DN 32 MM (1"), PARA CIRCUITOS TERMINAIS, INSTALADO EM FORRO - FORNECIMENTO E INSTALAÇÃO. AF_12/2015</t>
  </si>
  <si>
    <t>ELETRODUTO FLEXÍVEL LISO, PEAD, DN 32 MM (1"), PARA CIRCUITOS TERMINAIS, INSTALADO EM FORRO - FORNECIMENTO E INSTALAÇÃO. AF_12/2015</t>
  </si>
  <si>
    <t>ELETRODUTO FLEXÍVEL CORRUGADO, PEAD, DN 40 MM (1 1/4"), PARA CIRCUITOS TERMINAIS, INSTALADO EM FORRO - FORNECIMENTO E INSTALAÇÃO. AF_12/2015</t>
  </si>
  <si>
    <t>ELETRODUTO FLEXÍVEL LISO, PEAD, DN 40 MM (1 1/4"), PARA CIRCUITOS TERMINAIS, INSTALADO EM FORRO - FORNECIMENTO E INSTALAÇÃO. AF_12/2015</t>
  </si>
  <si>
    <t>ELETRODUTO FLEXÍVEL CORRUGADO REFORÇADO, PVC, DN 20 MM (1/2"), PARA CIRCUITOS TERMINAIS, INSTALADO EM LAJE - FORNECIMENTO E INSTALAÇÃO. AF_12/2015</t>
  </si>
  <si>
    <t>ELETRODUTO FLEXÍVEL CORRUGADO REFORÇADO, PVC, DN 25 MM (3/4"), PARA CIRCUITOS TERMINAIS, INSTALADO EM LAJE - FORNECIMENTO E INSTALAÇÃO. AF_12/2015</t>
  </si>
  <si>
    <t>ELETRODUTO FLEXÍVEL CORRUGADO REFORÇADO, PVC, DN 32 MM (1"), PARA CIRCUITOS TERMINAIS, INSTALADO EM LAJE - FORNECIMENTO E INSTALAÇÃO. AF_12/2015</t>
  </si>
  <si>
    <t>ELETRODUTO FLEXÍVEL LISO, PEAD, DN 32 MM (1"), PARA CIRCUITOS TERMINAIS, INSTALADO EM LAJE - FORNECIMENTO E INSTALAÇÃO. AF_12/2015</t>
  </si>
  <si>
    <t>ELETRODUTO FLEXÍVEL CORRUGADO, PEAD, DN 40 MM (1 1/4"), PARA CIRCUITOS TERMINAIS, INSTALADO EM LAJE - FORNECIMENTO E INSTALAÇÃO. AF_12/2015</t>
  </si>
  <si>
    <t>ELETRODUTO FLEXÍVEL LISO, PEAD, DN 40 MM (1 1/4"), PARA CIRCUITOS TERMINAIS, INSTALADO EM LAJE - FORNECIMENTO E INSTALAÇÃO. AF_12/2015</t>
  </si>
  <si>
    <t>ELETRODUTO FLEXÍVEL CORRUGADO REFORÇADO, PVC, DN 20 MM (1/2"), PARA CIRCUITOS TERMINAIS, INSTALADO EM PAREDE - FORNECIMENTO E INSTALAÇÃO. AF_12/2015</t>
  </si>
  <si>
    <t>ELETRODUTO FLEXÍVEL CORRUGADO REFORÇADO, PVC, DN 25 MM (3/4"), PARA CIRCUITOS TERMINAIS, INSTALADO EM PAREDE - FORNECIMENTO E INSTALAÇÃO. AF_12/2015</t>
  </si>
  <si>
    <t>ELETRODUTO FLEXÍVEL CORRUGADO REFORÇADO, PVC, DN 32 MM (1"), PARA CIRCUITOS TERMINAIS, INSTALADO EM PAREDE - FORNECIMENTO E INSTALAÇÃO. AF_12/2015</t>
  </si>
  <si>
    <t>ELETRODUTO FLEXÍVEL LISO, PEAD, DN 32 MM (1"), PARA CIRCUITOS TERMINAIS, INSTALADO EM PAREDE - FORNECIMENTO E INSTALAÇÃO. AF_12/2015</t>
  </si>
  <si>
    <t>ELETRODUTO FLEXÍVEL CORRUGADO, PEAD, DN 40 MM (1 1/4"), PARA CIRCUITOS TERMINAIS, INSTALADO EM PAREDE - FORNECIMENTO E INSTALAÇÃO. AF_12/2015</t>
  </si>
  <si>
    <t>ELETRODUTO FLEXÍVEL LISO, PEAD, DN 40 MM (1 1/4"), PARA CIRCUITOS TERMINAIS, INSTALADO EM PAREDE - FORNECIMENTO E INSTALAÇÃO. AF_12/2015</t>
  </si>
  <si>
    <t>ELETRODUTO FLEXÍVEL CORRUGADO, PEAD, DN 50 (1 ½)  - FORNECIMENTO E INSTALAÇÃO. AF_04/2016</t>
  </si>
  <si>
    <t>ELETRODUTO FLEXÍVEL CORRUGADO, PEAD, DN 63 (2")  - FORNECIMENTO E INSTALAÇÃO. AF_04/2016</t>
  </si>
  <si>
    <t>ELETRODUTO FLEXÍVEL CORRUGADO, PEAD, DN 90 (3) - FORNECIMENTO E INSTALAÇÃO. AF_04/2016</t>
  </si>
  <si>
    <t>ELETRODUTO FLEXÍVEL CORRUGADO, PEAD, DN 100 (4) - FORNECIMENTO E INSTALAÇÃO. AF_04/2016</t>
  </si>
  <si>
    <t>CURVA 180 GRAUS PARA ELETRODUTO, PVC, ROSCÁVEL, DN 32 MM (1"), PARA CIRCUITOS TERMINAIS, INSTALADA EM FORRO - FORNECIMENTO E INSTALAÇÃO. AF_12/2015</t>
  </si>
  <si>
    <t>CURVA 180 GRAUS PARA ELETRODUTO, PVC, ROSCÁVEL, DN 32 MM (1), PARA CIRCUITOS TERMINAIS, INSTALADA EM LAJE - FORNECIMENTO E INSTALAÇÃO. AF_12/2015</t>
  </si>
  <si>
    <t>CURVA 180 GRAUS PARA ELETRODUTO, PVC, ROSCÁVEL, DN 32 MM (1), PARA CIRCUITOS TERMINAIS, INSTALADA EM PAREDE - FORNECIMENTO E INSTALAÇÃO. AF_12/2015</t>
  </si>
  <si>
    <t>CURVA 135 GRAUS PARA ELETRODUTO, PVC, ROSCÁVEL, DN 25 MM (3/4), PARA CIRCUITOS TERMINAIS, INSTALADA EM FORRO - FORNECIMENTO E INSTALAÇÃO. AF_12/2015</t>
  </si>
  <si>
    <t>CURVA 135 GRAUS PARA ELETRODUTO, PVC, ROSCÁVEL, DN 25 MM (3/4), PARA CIRCUITOS TERMINAIS, INSTALADA EM LAJE - FORNECIMENTO E INSTALAÇÃO. AF_12/2015</t>
  </si>
  <si>
    <t>CURVA 135 GRAUS PARA ELETRODUTO, PVC, ROSCÁVEL, DN 25 MM (3/4), PARA CIRCUITOS TERMINAIS, INSTALADA EM PAREDE - FORNECIMENTO E INSTALAÇÃO. AF_12/2015</t>
  </si>
  <si>
    <t>TUBO EM COBRE FLEXÍVEL, DN 1/4, COM ISOLAMENTO, INSTALADO EM RAMAL DE ALIMENTAÇÃO DE AR CONDICIONADO COM CONDENSADORA INDIVIDUAL   FORNECIMENTO E INSTALAÇÃO. AF_12/2015</t>
  </si>
  <si>
    <t>TUBO EM COBRE FLEXÍVEL, DN 5/8, COM ISOLAMENTO, INSTALADO EM RAMAL DE ALIMENTAÇÃO DE AR CONDICIONADO COM CONDENSADORA CENTRAL   FORNECIMENTO E INSTALAÇÃO. AF_12/2015</t>
  </si>
  <si>
    <t>JOELHO DE TRANSIÇÃO, 90 GRAUS, CPVC, SOLDÁVEL, DN 15MM X 1/2", INSTALADO EM RAMAL OU SUB-RAMAL DE ÁGUA - FORNECIMENTO E INSTALAÇÃO. AF_12/2014</t>
  </si>
  <si>
    <t>JOELHO DE TRANSIÇÃO, 90 GRAUS, CPVC, SOLDÁVEL, DN 22MM X 1/2", INSTALADO EM RAMAL OU SUB-RAMAL DE ÁGUA - FORNECIMENTO E INSTALAÇÃO. AF_12/2014</t>
  </si>
  <si>
    <t>JOELHO DE TRANSIÇÃO, 90 GRAUS, CPVC, SOLDÁVEL, DN 22MM X 1/2", INSTALADO EM RAMAL DE ALIMENTAÇAÕ DE ÁGUA - FORNECIMENTO E INSTALAÇÃO. AF_12/2014</t>
  </si>
  <si>
    <t>CURVA 45 GRAUS, EM AÇO, CONEXÃO RANHURADA, DN 50 (2), INSTALADO EM PRUMADAS - FORNECIMENTO E INSTALAÇÃO. AF_12/2015</t>
  </si>
  <si>
    <t>CURVA 90 GRAUS, EM AÇO, CONEXÃO RANHURADA, DN 65 (2 1/2), INSTALADO EM PRUMADAS - FORNECIMENTO E INSTALAÇÃO. AF_12/2015</t>
  </si>
  <si>
    <t>LUVA COM REDUÇÃO, EM AÇO, CONEXÃO SOLDADA, DN 50 X 40 MM (2 X 1 1/2), INSTALADO EM PRUMADAS - FORNECIMENTO E INSTALAÇÃO. AF_12/2015</t>
  </si>
  <si>
    <t>LUVA, EM AÇO, CONEXÃO SOLDADA, DN 80 (3), INSTALADO EM PRUMADAS - FORNECIMENTO E INSTALAÇÃO. AF_12/2015</t>
  </si>
  <si>
    <t>CURVA 45 GRAUS, EM AÇO, CONEXÃO SOLDADA, DN 50 (2), INSTALADO EM PRUMADAS - FORNECIMENTO E INSTALAÇÃO. AF_12/2015</t>
  </si>
  <si>
    <t>CURVA 90 GRAUS, EM AÇO, CONEXÃO SOLDADA, DN 50 (2), INSTALADO EM PRUMADAS - FORNECIMENTO E INSTALAÇÃO. AF_12/2015</t>
  </si>
  <si>
    <t>CURVA 45 GRAUS, EM AÇO, CONEXÃO SOLDADA, DN 65 (2 1/2), INSTALADO EM PRUMADAS - FORNECIMENTO E INSTALAÇÃO. AF_12/2015</t>
  </si>
  <si>
    <t>CURVA 90 GRAUS, EM AÇO, CONEXÃO SOLDADA, DN 65 (2 1/2), INSTALADO EM PRUMADAS - FORNECIMENTO E INSTALAÇÃO. AF_12/2015</t>
  </si>
  <si>
    <t>CURVA 45 GRAUS, EM AÇO, CONEXÃO SOLDADA, DN 80 (3), INSTALADO EM PRUMADAS - FORNECIMENTO E INSTALAÇÃO. AF_12/2015</t>
  </si>
  <si>
    <t>CURVA 90 GRAUS, EM AÇO, CONEXÃO SOLDADA, DN 80 (3), INSTALADO EM PRUMADAS - FORNECIMENTO E INSTALAÇÃO. AF_12/2015</t>
  </si>
  <si>
    <t>LUVA, EM AÇO, CONEXÃO SOLDADA, DN 25 (1), INSTALADO EM REDE DE ALIMENTAÇÃO PARA HIDRANTE - FORNECIMENTO E INSTALAÇÃO. AF_12/2015</t>
  </si>
  <si>
    <t>LUVA COM REDUÇÃO, EM AÇO, CONEXÃO SOLDADA, DN 25 X 20 MM (1 X 3/4), INSTALADO EM REDE DE ALIMENTAÇÃO PARA HIDRANTE - FORNECIMENTO E INSTALAÇÃO. AF_12/2015</t>
  </si>
  <si>
    <t>LUVA, EM AÇO, CONEXÃO SOLDADA, DN 32 (1 1/4), INSTALADO EM REDE DE ALIMENTAÇÃO PARA HIDRANTE - FORNECIMENTO E INSTALAÇÃO. AF_12/2015</t>
  </si>
  <si>
    <t>LUVA COM REDUÇÃO, EM AÇO, CONEXÃO SOLDADA, DN 32 X 25 MM (1 1/4  X 1), INSTALADO EM REDE DE ALIMENTAÇÃO PARA HIDRANTE - FORNECIMENTO E INSTALAÇÃO. AF_12/2015</t>
  </si>
  <si>
    <t>LUVA, EM AÇO, CONEXÃO SOLDADA, DN 40 (1 1/2), INSTALADO EM REDE DE ALIMENTAÇÃO PARA HIDRANTE - FORNECIMENTO E INSTALAÇÃO. AF_12/2015</t>
  </si>
  <si>
    <t>LUVA COM REDUÇÃO, EM AÇO, CONEXÃO SOLDADA, DN 40  X 32 MM (1 1/2 X 1 1/4), INSTALADO EM REDE DE ALIMENTAÇÃO PARA HIDRANTE - FORNECIMENTO E INSTALAÇÃO. AF_12/2015</t>
  </si>
  <si>
    <t>LUVA, EM AÇO, CONEXÃO SOLDADA, DN 50 (2), INSTALADO EM REDE DE ALIMENTAÇÃO PARA HIDRANTE - FORNECIMENTO E INSTALAÇÃO. AF_12/2015</t>
  </si>
  <si>
    <t>LUVA COM REDUÇÃO, EM AÇO, CONEXÃO SOLDADA, DN 50 X 40 MM (2 X 1 1/2), INSTALADO EM REDE DE ALIMENTAÇÃO PARA HIDRANTE - FORNECIMENTO E INSTALAÇÃO. AF_12/2015</t>
  </si>
  <si>
    <t>LUVA, EM AÇO, CONEXÃO SOLDADA, DN 65 (2 1/2), INSTALADO EM REDE DE ALIMENTAÇÃO PARA HIDRANTE - FORNECIMENTO E INSTALAÇÃO. AF_12/2015</t>
  </si>
  <si>
    <t>LUVA COM REDUÇÃO, EM AÇO, CONEXÃO SOLDADA, DN 65 X 50 MM (2 1/2 X 2), INSTALADO EM REDE DE ALIMENTAÇÃO PARA HIDRANTE - FORNECIMENTO E INSTALAÇÃO. AF_12/2015</t>
  </si>
  <si>
    <t>LUVA, EM AÇO, CONEXÃO SOLDADA, DN 80 (3), INSTALADO EM REDE DE ALIMENTAÇÃO PARA HIDRANTE - FORNECIMENTO E INSTALAÇÃO. AF_12/2015</t>
  </si>
  <si>
    <t>LUVA COM REDUÇÃO, EM AÇO, CONEXÃO SOLDADA, DN 80 X 65 MM (3 X 2 1/2), INSTALADO EM REDE DE ALIMENTAÇÃO PARA HIDRANTE - FORNECIMENTO E INSTALAÇÃO. AF_12/2015</t>
  </si>
  <si>
    <t>CURVA 45 GRAUS, EM AÇO, CONEXÃO SOLDADA, DN 25 (1), INSTALADO EM REDE DE ALIMENTAÇÃO PARA HIDRANTE - FORNECIMENTO E INSTALAÇÃO. AF_12/2015</t>
  </si>
  <si>
    <t>CURVA 90 GRAUS, EM AÇO, CONEXÃO SOLDADA, DN 25 (1), INSTALADO EM REDE DE ALIMENTAÇÃO PARA HIDRANTE - FORNECIMENTO E INSTALAÇÃO. AF_12/2015</t>
  </si>
  <si>
    <t>CURVA 45 GRAUS, EM AÇO, CONEXÃO SOLDADA, DN 32 (1 1/4), INSTALADO EM REDE DE ALIMENTAÇÃO PARA HIDRANTE - FORNECIMENTO E INSTALAÇÃO. AF_12/2015</t>
  </si>
  <si>
    <t>CURVA 90 GRAUS, EM AÇO, CONEXÃO SOLDADA, DN 32 (1 1/4), INSTALADO EM REDE DE ALIMENTAÇÃO PARA HIDRANTE - FORNECIMENTO E INSTALAÇÃO. AF_12/2015</t>
  </si>
  <si>
    <t>CAIXA ENTERRADA HIDRÁULICA RETANGULAR EM ALVENARIA COM TIJOLOS CERÂMICOS MACIÇOS, DIMENSÕES INTERNAS: 0,3X0,3X0,3 M PARA REDE DE DRENAGEM. AF_05/2018</t>
  </si>
  <si>
    <t>CAIXA ENTERRADA HIDRÁULICA RETANGULAR EM ALVENARIA COM TIJOLOS CERÂMICOS MACIÇOS, DIMENSÕES INTERNAS: 0,4X0,4X0,4 M PARA REDE DE DRENAGEM. AF_05/2018</t>
  </si>
  <si>
    <t>CAIXA ENTERRADA HIDRÁULICA RETANGULAR EM ALVENARIA COM TIJOLOS CERÂMICOS MACIÇOS, DIMENSÕES INTERNAS: 0,6X0,6X0,6 M PARA REDE DE DRENAGEM. AF_05/2018</t>
  </si>
  <si>
    <t>CAIXA ENTERRADA HIDRÁULICA RETANGULAR EM ALVENARIA COM TIJOLOS CERÂMICOS MACIÇOS, DIMENSÕES INTERNAS: 0,8X0,8X0,6 M PARA REDE DE DRENAGEM. AF_05/2018</t>
  </si>
  <si>
    <t>CAIXA ENTERRADA HIDRÁULICA RETANGULAR EM ALVENARIA COM TIJOLOS CERÂMICOS MACIÇOS, DIMENSÕES INTERNAS: 1X1X0,6 M PARA REDE DE DRENAGEM. AF_05/2018</t>
  </si>
  <si>
    <t>CAIXA ENTERRADA HIDRÁULICA RETANGULAR, EM ALVENARIA COM BLOCOS DE CONCRETO, DIMENSÕES INTERNAS: 0,4X0,4X0,4 M PARA REDE DE DRENAGEM. AF_05/2018</t>
  </si>
  <si>
    <t>CAIXA ENTERRADA HIDRÁULICA RETANGULAR, EM ALVENARIA COM BLOCOS DE CONCRETO, DIMENSÕES INTERNAS: 0,6X0,6X0,6 M PARA REDE DE DRENAGEM. AF_05/2018</t>
  </si>
  <si>
    <t>CAIXA ENTERRADA HIDRÁULICA RETANGULAR, EM ALVENARIA COM BLOCOS DE CONCRETO, DIMENSÕES INTERNAS: 0,8X0,8X0,6 M PARA REDE DE DRENAGEM. AF_05/2018</t>
  </si>
  <si>
    <t>CAIXA ENTERRADA HIDRÁULICA RETANGULAR, EM ALVENARIA COM BLOCOS DE CONCRETO, DIMENSÕES INTERNAS: 1X1X0,6 M PARA REDE DE DRENAGEM. AF_05/2018</t>
  </si>
  <si>
    <t>REGISTRO DE PRESSÃO BRUTO, LATÃO,  ROSCÁVEL, 3/4, FORNECIDO E INSTALADO EM RAMAL DE ÁGUA. AF_12/2014</t>
  </si>
  <si>
    <t>TORNEIRA DE BOIA, ROSCÁVEL, 1/2 , FORNECIDA E INSTALADA EM RESERVAÇÃO DE ÁGUA. AF_06/2016</t>
  </si>
  <si>
    <t>TORNEIRA DE BOIA, ROSCÁVEL, 3/4 , FORNECIDA E INSTALADA EM RESERVAÇÃO DE ÁGUA. AF_06/2016</t>
  </si>
  <si>
    <t>TORNEIRA DE BOIA, ROSCÁVEL, 1, FORNECIDA E INSTALADA EM RESERVAÇÃO DE ÁGUA. AF_06/2016</t>
  </si>
  <si>
    <t>TORNEIRA DE BOIA, ROSCÁVEL, 1 1/4 , FORNECIDA E INSTALADA EM RESERVAÇÃO DE ÁGUA. AF_06/2016</t>
  </si>
  <si>
    <t>TORNEIRA DE BOIA, ROSCÁVEL, 1 1/2 , FORNECIDA E INSTALADA EM RESERVAÇÃO DE ÁGUA. AF_06/2016</t>
  </si>
  <si>
    <t>TORNEIRA DE BOIA, ROSCÁVEL, 2, FORNECIDA E INSTALADA EM RESERVAÇÃO DE ÁGUA. AF_06/2016</t>
  </si>
  <si>
    <t>VÁLVULA DE RETENÇÃO HORIZONTAL, DE BRONZE, ROSCÁVEL, 3/4" - FORNECIMENTO E INSTALAÇÃO. AF_01/2019</t>
  </si>
  <si>
    <t>VÁLVULA DE RETENÇÃO HORIZONTAL, DE BRONZE, ROSCÁVEL, 1" - FORNECIMENTO E INSTALAÇÃO. AF_01/2019</t>
  </si>
  <si>
    <t>VÁLVULA DE RETENÇÃO HORIZONTAL, DE BRONZE, ROSCÁVEL, 1 1/4" - FORNECIMENTO E INSTALAÇÃO. AF_01/2019</t>
  </si>
  <si>
    <t>VÁLVULA DE RETENÇÃO HORIZONTAL, DE BRONZE, ROSCÁVEL, 1 1/2"  - FORNECIMENTO E INSTALAÇÃO. AF_01/2019</t>
  </si>
  <si>
    <t>VÁLVULA DE RETENÇÃO HORIZONTAL, DE BRONZE, ROSCÁVEL, 2"  - FORNECIMENTO E INSTALAÇÃO. AF_01/2019</t>
  </si>
  <si>
    <t>VÁLVULA DE RETENÇÃO HORIZONTAL, DE BRONZE, ROSCÁVEL, 2 1/2" - FORNECIMENTO E INSTALAÇÃO. AF_01/2019</t>
  </si>
  <si>
    <t>VÁLVULA DE RETENÇÃO HORIZONTAL, DE BRONZE, ROSCÁVEL, 3" - FORNECIMENTO E INSTALAÇÃO. AF_01/2019</t>
  </si>
  <si>
    <t>VÁLVULA DE RETENÇÃO HORIZONTAL, DE BRONZE, ROSCÁVEL, 4" - FORNECIMENTO E INSTALAÇÃO. AF_01/2019</t>
  </si>
  <si>
    <t>VÁLVULA DE RETENÇÃO VERTICAL, DE BRONZE, ROSCÁVEL, 1/2" - FORNECIMENTO E INSTALAÇÃO. AF_01/2019</t>
  </si>
  <si>
    <t>VÁLVULA DE RETENÇÃO VERTICAL, DE BRONZE, ROSCÁVEL, 3/4" - FORNECIMENTO E INSTALAÇÃO. AF_01/2019</t>
  </si>
  <si>
    <t>VÁLVULA DE RETENÇÃO VERTICAL, DE BRONZE, ROSCÁVEL, 1" - FORNECIMENTO E INSTALAÇÃO. AF_01/2019</t>
  </si>
  <si>
    <t>VÁLVULA DE RETENÇÃO VERTICAL, DE BRONZE, ROSCÁVEL, 1 1/4" - FORNECIMENTO E INSTALAÇÃO. AF_01/2019</t>
  </si>
  <si>
    <t>VÁLVULA DE RETENÇÃO VERTICAL, DE BRONZE, ROSCÁVEL, 1 1/2" - FORNECIMENTO E INSTALAÇÃO. AF_01/2019</t>
  </si>
  <si>
    <t>VÁLVULA DE RETENÇÃO VERTICAL, DE BRONZE, ROSCÁVEL, 2" - FORNECIMENTO E INSTALAÇÃO. AF_01/2019</t>
  </si>
  <si>
    <t>VÁLVULA DE RETENÇÃO VERTICAL, DE BRONZE, ROSCÁVEL, 3" - FORNECIMENTO E INSTALAÇÃO. AF_01/2019</t>
  </si>
  <si>
    <t>VÁLVULA DE RETENÇÃO VERTICAL, DE BRONZE, ROSCÁVEL, 4" - FORNECIMENTO E INSTALAÇÃO. AF_01/2019</t>
  </si>
  <si>
    <t>VÁLVULA DE DESCARGA METÁLICA, BASE 1 1/2 ", ACABAMENTO METALICO CROMADO - FORNECIMENTO E INSTALAÇÃO. AF_01/2019</t>
  </si>
  <si>
    <t>KIT CAVALETE PARA MEDIÇÃO DE ÁGUA - ENTRADA PRINCIPAL, EM PVC SOLDÁVEL DN 20 (½")   FORNECIMENTO E INSTALAÇÃO (EXCLUSIVE HIDRÔMETRO). AF_11/2016</t>
  </si>
  <si>
    <t>KIT CAVALETE PARA MEDIÇÃO DE ÁGUA - ENTRADA PRINCIPAL, EM PVC SOLDÁVEL DN 25 (¾")   FORNECIMENTO E INSTALAÇÃO (EXCLUSIVE HIDRÔMETRO). AF_11/2016</t>
  </si>
  <si>
    <t>ESCAVAÇÃO MECANIZADA DE VALA COM PROF. ATÉ 1,5 M (MÉDIA ENTRE MONTANTE E JUSANTE/UMA COMPOSIÇÃO POR TRECHO), COM ESCAVADEIRA HIDRÁULICA (0,8 M3), LARG. DE 1,5 M A 2,5 M, EM SOLO DE 1A CATEGORIA, EM LOCAIS COM ALTO NÍVEL DE INTERFERÊNCIA. AF_01/2015</t>
  </si>
  <si>
    <t>ESCAVAÇÃO MECANIZADA DE VALA COM PROF. ATÉ 1,5 M(MÉDIA ENTRE MONTANTE E JUSANTE/UMA COMPOSIÇÃO POR TRECHO), COM ESCAVADEIRA HIDRÁULICA (0,8 M3), LARG. DE 1,5M A 2,5 M, EM SOLO DE 1A CATEGORIA, LOCAIS COM BAIXO NÍVEL DE INTERFERÊNCIA. AF_01/2015</t>
  </si>
  <si>
    <t>REATERRO MECANIZADO DE VALA COM ESCAVADEIRA HIDRÁULICA (CAPACIDADE DA CAÇAMBA: 0,8 M³ / POTÊNCIA: 111 HP), LARGURA DE 1,5 A 2,5 M, PROFUNDIDADE ATÉ 1,5 M, COM SOLO DE 1ª CATEGORIA EM LOCAIS COM ALTO NÍVEL DE INTERFERÊNCIA. AF_04/2016</t>
  </si>
  <si>
    <t>REATERRO MECANIZADO DE VALA COM ESCAVADEIRA HIDRÁULICA (CAPACIDADE DA CAÇAMBA: 0,8 M³ / POTÊNCIA: 111 HP), LARGURA ATÉ 1,5 M, PROFUNDIDADE DE 1,5 A 3,0 M, COM SOLO DE 1ª CATEGORIA EM LOCAIS COM ALTO NÍVEL DE INTERFERÊNCIA. AF_04/2016</t>
  </si>
  <si>
    <t>REATERRO MECANIZADO DE VALA COM ESCAVADEIRA HIDRÁULICA (CAPACIDADE DA CAÇAMBA: 0,8 M³ / POTÊNCIA: 111 HP), LARGURA DE 1,5 A 2,5 M, PROFUNDIDADE DE 1,5 A 3,0 M, COM SOLO DE 1ª CATEGORIA EM LOCAIS COM ALTO NÍVEL DE INTERFERÊNCIA. AF_04/2016</t>
  </si>
  <si>
    <t>REATERRO MECANIZADO DE VALA COM ESCAVADEIRA HIDRÁULICA (CAPACIDADE DA CAÇAMBA: 0,8 M³ / POTÊNCIA: 111 HP), LARGURA ATÉ 1,5 M, PROFUNDIDADE DE 3,0 A 4,5 M COM SOLO DE 1ª CATEGORIA EM LOCAIS COM ALTO NÍVEL DE INTERFERÊNCIA. AF_04/2016</t>
  </si>
  <si>
    <t>REATERRO MECANIZADO DE VALA COM ESCAVADEIRA HIDRÁULICA (CAPACIDADE DA CAÇAMBA: 0,8 M³ / POTÊNCIA: 111 HP), LARGURA ATÉ 1,5 M, PROFUNDIDADE DE 4,5 A 6,0 M, COM SOLO DE 1ª CATEGORIA EM LOCAIS COM ALTO NÍVEL DE INTERFERÊNCIA. AF_04/2016</t>
  </si>
  <si>
    <t>REATERRO MECANIZADO DE VALA COM ESCAVADEIRA HIDRÁULICA (CAPACIDADE DA CAÇAMBA: 0,8 M³ / POTÊNCIA: 111 HP), LARGURA DE 1,5 A 2,5 M, PROFUNDIDADE DE 4,5 A 6,0 M, COM SOLO DE 1ª CATEGORIA EM LOCAIS COM ALTO NÍVEL DE INTERFERÊNCIA. AF_04/2016</t>
  </si>
  <si>
    <t>REATERRO MECANIZADO DE VALA COM ESCAVADEIRA HIDRÁULICA (CAPACIDADE DA CAÇAMBA: 0,8 M³ / POTÊNCIA: 111 HP), LARGURA DE 1,5 A 2,5 M, PROFUNDIDADE ATÉ 1,5 M, COM SOLO DE 1ª CATEGORIA EM LOCAIS COM BAIXO NÍVEL DE INTERFERÊNCIA. AF_04/2016</t>
  </si>
  <si>
    <t>REATERRO MECANIZADO DE VALA COM ESCAVADEIRA HIDRÁULICA (CAPACIDADE DA CAÇAMBA: 0,8 M³ / POTÊNCIA: 111 HP), LARGURA ATÉ 1,5 M, PROFUNDIDADE DE 1,5 A 3,0 M, COM SOLO DE 1ª CATEGORIA EM LOCAIS COM BAIXO NÍVEL DE INTERFERÊNCIA. AF_04/2016</t>
  </si>
  <si>
    <t>REATERRO MECANIZADO DE VALA COM ESCAVADEIRA HIDRÁULICA (CAPACIDADE DA CAÇAMBA: 0,8 M³ / POTÊNCIA: 111 HP), LARGURA ATÉ 1,5 M, PROFUNDIDADE DE 3,0 A 4,5 M, COM SOLO DE 1ª CATEGORIA EM LOCAIS COM BAIXO NÍVEL DE INTERFERÊNCIA. AF_04/2016</t>
  </si>
  <si>
    <t>REATERRO MECANIZADO DE VALA COM ESCAVADEIRA HIDRÁULICA (CAPACIDADE DA CAÇAMBA: 0,8 M³ / POTÊNCIA: 111 HP), LARGURA ATÉ 1,5 M, PROFUNDIDADE DE 4,5 A 6,0 M, COM SOLO DE 1ª CATEGORIA EM LOCAIS COM BAIXO NÍVEL DE INTERFERÊNCIA. AF_04/2016</t>
  </si>
  <si>
    <t>REATERRO MECANIZADO DE VALA COM RETROESCAVADEIRA (CAPACIDADE DA CAÇAMBA DA RETRO: 0,26 M³ / POTÊNCIA: 88 HP), LARGURA DE 0,8 A 1,5 M, PROFUNDIDADE ATÉ 1,5 M, COM SOLO DE 1ª CATEGORIA EM LOCAIS COM ALTO NÍVEL DE INTERFERÊNCIA. AF_04/2016</t>
  </si>
  <si>
    <t>REATERRO MECANIZADO DE VALA COM RETROESCAVADEIRA (CAPACIDADE DA CAÇAMBA DA RETRO: 0,26 M³ / POTÊNCIA: 88 HP), LARGURA ATÉ 0,8 M, PROFUNDIDADE DE 1,5 A 3,0 M, COM SOLO DE 1ª CATEGORIA EM LOCAIS COM ALTO NÍVEL DE INTERFERÊNCIA. AF_04/2016</t>
  </si>
  <si>
    <t>REATERRO MECANIZADO DE VALA COM RETROESCAVADEIRA (CAPACIDADE DA CAÇAMBA DA RETRO: 0,26 M³ / POTÊNCIA: 88 HP), LARGURA ATÉ 0,8 M, PROFUNDIDADE ATÉ 1,5 M, COM SOLO DE 1ª CATEGORIA EM LOCAIS COM BAIXO NÍVEL DE INTERFERÊNCIA. AF_04/2016</t>
  </si>
  <si>
    <t>REATERRO MECANIZADO DE VALA COM RETROESCAVADEIRA (CAPACIDADE DA CAÇAMBA DA RETRO: 0,26 M³ / POTÊNCIA: 88 HP), LARGURA DE 0,8 A 1,5 M, PROFUNDIDADE ATÉ 1,5 M, COM SOLO DE 1ª CATEGORIA EM LOCAIS COM BAIXO NÍVEL DE INTERFERÊNCIA. AF_04/2016</t>
  </si>
  <si>
    <t>REATERRO MECANIZADO DE VALA COM RETROESCAVADEIRA (CAPACIDADE DA CAÇAMBA DA RETRO: 0,26 M³ / POTÊNCIA: 88 HP), LARGURA ATÉ 0,8 M, PROFUNDIDADE DE 1,5 A 3,0 M, COM SOLO DE 1ª CATEGORIA EM LOCAIS COM BAIXO NÍVEL DE INTERFERÊNCIA. AF_04/2016</t>
  </si>
  <si>
    <t>REVESTIMENTO CERÂMICO PARA PAREDES INTERNAS COM PLACAS TIPO ESMALTADA PADRÃO POPULAR DE DIMENSÕES 20X20 CM, ARGAMASSA TIPO AC I, APLICADAS EM AMBIENTES DE ÁREA MENOR QUE 5 M2 NA ALTURA INTEIRA DAS PAREDES. AF_06/2014</t>
  </si>
  <si>
    <t>REVESTIMENTO CERÂMICO PARA PAREDES INTERNAS COM PLACAS TIPO ESMALTADA PADRÃO POPULAR DE DIMENSÕES 20X20 CM, ARGAMASSA TIPO AC I, APLICADAS EM AMBIENTES DE ÁREA MAIOR QUE 5 M2 NA ALTURA INTEIRA DAS PAREDES. AF_06/2014</t>
  </si>
  <si>
    <t>REVESTIMENTO CERÂMICO PARA PAREDES INTERNAS COM PLACAS TIPO ESMALTADA PADRÃO POPULAR DE DIMENSÕES 20X20 CM, ARGAMASSA TIPO AC I, APLICADAS EM AMBIENTES DE ÁREA MENOR QUE 5 M2 A MEIA ALTURA DAS PAREDES. AF_06/2014</t>
  </si>
  <si>
    <t>REVESTIMENTO CERÂMICO PARA PAREDES INTERNAS COM PLACAS TIPO ESMALTADA PADRÃO POPULAR DE DIMENSÕES 20X20 CM, ARGAMASSA TIPO AC I, APLICADAS EM AMBIENTES DE ÁREA MAIOR QUE 5 M2 A MEIA ALTURA DAS PAREDES. AF_06/2014</t>
  </si>
  <si>
    <t>REVESTIMENTO CERÂMICO PARA PAREDES INTERNAS COM PLACAS TIPO ESMALTADA PADRÃO POPULAR DE DIMENSÕES 20X20 CM, ARGAMASSA TIPO AC III, APLICADAS EM AMBIENTES DE ÁREA MENOR QUE 5 M2 NA ALTURA INTEIRA DAS PAREDES. AF_06/2014</t>
  </si>
  <si>
    <t>REVESTIMENTO CERÂMICO PARA PAREDES INTERNAS COM PLACAS TIPO ESMALTADA PADRÃO POPULAR DE DIMENSÕES 20X20 CM, ARGAMASSA TIPO AC III, APLICADAS EM AMBIENTES DE ÁREA MAIOR QUE 5 M2 NA ALTURA INTEIRA DAS PAREDES. AF_06/2014</t>
  </si>
  <si>
    <t>REVESTIMENTO CERÂMICO PARA PAREDES INTERNAS COM PLACAS TIPO ESMALTADA PADRÃO POPULAR DE DIMENSÕES 20X20 CM, ARGAMASSA TIPO AC III, APLICADAS EM AMBIENTES DE ÁREA MENOR QUE 5 M2 A MEIA ALTURA DAS PAREDES. AF_06/2014</t>
  </si>
  <si>
    <t>REVESTIMENTO CERÂMICO PARA PAREDES INTERNAS COM PLACAS TIPO ESMALTADA PADRÃO POPULAR DE DIMENSÕES 20X20 CM, ARGAMASSA TIPO AC III, APLICADAS EM AMBIENTES DE ÁREA MAIOR QUE 5 M2 A MEIA ALTURA DAS PAREDES. AF_06/2014</t>
  </si>
  <si>
    <t>ARGAMASSA TRAÇO 1:7 (EM VOLUME DE CIMENTO E AREIA MÉDIA ÚMIDA) COM ADIÇÃO DE PLASTIFICANTE PARA EMBOÇO/MASSA ÚNICA/ASSENTAMENTO DE ALVENARIA DE VEDAÇÃO, PREPARO MECÂNICO COM BETONEIRA 400 L. AF_08/2019</t>
  </si>
  <si>
    <t>ARGAMASSA TRAÇO 1:7 (EM VOLUME DE CIMENTO E AREIA MÉDIA ÚMIDA) COM ADIÇÃO DE PLASTIFICANTE PARA EMBOÇO/MASSA ÚNICA/ASSENTAMENTO DE ALVENARIA DE VEDAÇÃO, PREPARO MECÂNICO COM BETONEIRA 600 L. AF_08/2019</t>
  </si>
  <si>
    <t>ARGAMASSA TRAÇO 1:6 (EM VOLUME DE CIMENTO E AREIA MÉDIA ÚMIDA) COM ADIÇÃO DE PLASTIFICANTE PARA EMBOÇO/MASSA ÚNICA/ASSENTAMENTO DE ALVENARIA DE VEDAÇÃO, PREPARO MECÂNICO COM BETONEIRA 400 L. AF_08/2019</t>
  </si>
  <si>
    <t>ARGAMASSA TRAÇO 1:6 (EM VOLUME DE CIMENTO E AREIA MÉDIA ÚMIDA) COM ADIÇÃO DE PLASTIFICANTE PARA EMBOÇO/MASSA ÚNICA/ASSENTAMENTO DE ALVENARIA DE VEDAÇÃO, PREPARO MECÂNICO COM BETONEIRA 600 L. AF_08/2019</t>
  </si>
  <si>
    <t>ARGAMASSA TRAÇO 1:1:6 (EM VOLUME DE CIMENTO, CAL E AREIA MÉDIA ÚMIDA) PARA EMBOÇO/MASSA ÚNICA/ASSENTAMENTO DE ALVENARIA DE VEDAÇÃO, PREPARO MECÂNICO COM BETONEIRA 400 L. AF_08/2019</t>
  </si>
  <si>
    <t>ARGAMASSA TRAÇO 1:1:6 (EM VOLUME DE CIMENTO, CAL E AREIA MÉDIA ÚMIDA) PARA EMBOÇO/MASSA ÚNICA/ASSENTAMENTO DE ALVENARIA DE VEDAÇÃO, PREPARO MECÂNICO COM BETONEIRA 600 L. AF_08/2019</t>
  </si>
  <si>
    <t>ARGAMASSA TRAÇO 1:1,5:7,5 (EM VOLUME DE CIMENTO, CAL E AREIA MÉDIA ÚMIDA) PARA EMBOÇO/MASSA ÚNICA/ASSENTAMENTO DE ALVENARIA DE VEDAÇÃO, PREPARO MECÂNICO COM BETONEIRA 400 L. AF_08/2019</t>
  </si>
  <si>
    <t>ARGAMASSA TRAÇO 1:1,5:7,5 (EM VOLUME DE CIMENTO, CAL E AREIA MÉDIA ÚMIDA) PARA EMBOÇO/MASSA ÚNICA/ASSENTAMENTO DE ALVENARIA DE VEDAÇÃO, PREPARO MECÂNICO COM BETONEIRA 600 L. AF_08/2019</t>
  </si>
  <si>
    <t>ARGAMASSA TRAÇO 1:2:8 (EM VOLUME DE CIMENTO, CAL E AREIA MÉDIA ÚMIDA) PARA EMBOÇO/MASSA ÚNICA/ASSENTAMENTO DE ALVENARIA DE VEDAÇÃO, PREPARO MECÂNICO COM BETONEIRA 400 L. AF_08/2019</t>
  </si>
  <si>
    <t>ARGAMASSA TRAÇO 1:2:9 (EM VOLUME DE CIMENTO, CAL E AREIA MÉDIA ÚMIDA) PARA EMBOÇO/MASSA ÚNICA/ASSENTAMENTO DE ALVENARIA DE VEDAÇÃO, PREPARO MECÂNICO COM BETONEIRA 600 L. AF_08/2019</t>
  </si>
  <si>
    <t>ARGAMASSA TRAÇO 1:3:12 (EM VOLUME DE CIMENTO, CAL E AREIA MÉDIA ÚMIDA) PARA EMBOÇO/MASSA ÚNICA/ASSENTAMENTO DE ALVENARIA DE VEDAÇÃO, PREPARO MECÂNICO COM BETONEIRA 400 L. AF_08/2019</t>
  </si>
  <si>
    <t>ARGAMASSA TRAÇO 1:3:12 (EM VOLUME DE CIMENTO, CAL E AREIA MÉDIA ÚMIDA) PARA EMBOÇO/MASSA ÚNICA/ASSENTAMENTO DE ALVENARIA DE VEDAÇÃO, PREPARO MECÂNICO COM BETONEIRA 600 L. AF_08/2019</t>
  </si>
  <si>
    <t>ARGAMASSA TRAÇO 1:3 (EM VOLUME DE CIMENTO E AREIA MÉDIA ÚMIDA) PARA CONTRAPISO, PREPARO MECÂNICO COM BETONEIRA 400 L. AF_08/2019</t>
  </si>
  <si>
    <t>ARGAMASSA TRAÇO 1:3 (EM VOLUME DE CIMENTO E AREIA MÉDIA ÚMIDA) PARA CONTRAPISO, PREPARO MECÂNICO COM BETONEIRA 600 L. AF_08/2019</t>
  </si>
  <si>
    <t>ARGAMASSA TRAÇO 1:4 (EM VOLUME DE CIMENTO E AREIA MÉDIA ÚMIDA) PARA CONTRAPISO, PREPARO MECÂNICO COM BETONEIRA 400 L. AF_08/2019</t>
  </si>
  <si>
    <t>ARGAMASSA TRAÇO 1:4 (EM VOLUME DE CIMENTO E AREIA MÉDIA ÚMIDA) PARA CONTRAPISO, PREPARO MECÂNICO COM BETONEIRA 600 L. AF_08/2019</t>
  </si>
  <si>
    <t>ARGAMASSA TRAÇO 1:5 (EM VOLUME DE CIMENTO E AREIA MÉDIA ÚMIDA) PARA CONTRAPISO, PREPARO MECÂNICO COM BETONEIRA 400 L. AF_08/2019</t>
  </si>
  <si>
    <t>ARGAMASSA TRAÇO 1:5 (EM VOLUME DE CIMENTO E AREIA MÉDIA ÚMIDA) PARA CONTRAPISO, PREPARO MECÂNICO COM BETONEIRA 600 L. AF_08/2019</t>
  </si>
  <si>
    <t>ARGAMASSA TRAÇO 1:6 (EM VOLUME DE CIMENTO E AREIA MÉDIA ÚMIDA) PARA CONTRAPISO, PREPARO MECÂNICO COM BETONEIRA 400 L. AF_08/2019</t>
  </si>
  <si>
    <t>ARGAMASSA TRAÇO 1:6 (EM VOLUME DE CIMENTO E AREIA MÉDIA ÚMIDA) PARA CONTRAPISO, PREPARO MECÂNICO COM BETONEIRA 600 L. AF_08/2019</t>
  </si>
  <si>
    <t>ARGAMASSA TRAÇO 1:5 (EM VOLUME DE CIMENTO E AREIA GROSSA ÚMIDA) PARA CHAPISCO CONVENCIONAL, PREPARO MECÂNICO COM BETONEIRA 400 L. AF_08/2019</t>
  </si>
  <si>
    <t>ARGAMASSA TRAÇO 1:5 (EM VOLUME DE CIMENTO E AREIA GROSSA ÚMIDA) PARA CHAPISCO CONVENCIONAL, PREPARO MECÂNICO COM BETONEIRA 600 L. AF_08/2019</t>
  </si>
  <si>
    <t>ARGAMASSA TRAÇO 1:3 (EM VOLUME DE CIMENTO E AREIA GROSSA ÚMIDA) PARA CHAPISCO CONVENCIONAL, PREPARO MECÂNICO COM BETONEIRA 400 L. AF_08/2019</t>
  </si>
  <si>
    <t>ARGAMASSA TRAÇO 1:3 (EM VOLUME DE CIMENTO E AREIA GROSSA ÚMIDA) PARA CHAPISCO CONVENCIONAL, PREPARO MECÂNICO COM BETONEIRA 600 L. AF_08/2019</t>
  </si>
  <si>
    <t>ARGAMASSA TRAÇO 1:4 (EM VOLUME DE CIMENTO E AREIA GROSSA ÚMIDA) PARA CHAPISCO CONVENCIONAL, PREPARO MECÂNICO COM BETONEIRA 400 L. AF_08/2019</t>
  </si>
  <si>
    <t>ARGAMASSA TRAÇO 1:4 (EM VOLUME DE CIMENTO E AREIA GROSSA ÚMIDA) PARA CHAPISCO CONVENCIONAL, PREPARO MECÂNICO COM BETONEIRA 600 L. AF_08/2019</t>
  </si>
  <si>
    <t>ARGAMASSA TRAÇO 1:5 (EM VOLUME DE CIMENTO E AREIA GROSSA ÚMIDA) COM ADIÇÃO DE EMULSÃO POLIMÉRICA PARA CHAPISCO ROLADO, PREPARO MECÂNICO COM BETONEIRA 400 L. AF_08/2019</t>
  </si>
  <si>
    <t>ARGAMASSA TRAÇO 1:5 (EM VOLUME DE CIMENTO E AREIA GROSSA ÚMIDA) COM ADIÇÃO DE EMULSÃO POLIMÉRICA PARA CHAPISCO ROLADO, PREPARO MECÂNICO COM BETONEIRA 600 L. AF_08/2019</t>
  </si>
  <si>
    <t>ARGAMASSA TRAÇO 1:3 (EM VOLUME DE CIMENTO E AREIA GROSSA ÚMIDA) COM ADIÇÃO DE EMULSÃO POLIMÉRICA PARA CHAPISCO ROLADO, PREPARO MECÂNICO COM BETONEIRA 400 L. AF_08/2019</t>
  </si>
  <si>
    <t>ARGAMASSA TRAÇO 1:3 (EM VOLUME DE CIMENTO E AREIA GROSSA ÚMIDA) COM ADIÇÃO DE EMULSÃO POLIMÉRICA PARA CHAPISCO ROLADO, PREPARO MECÂNICO COM BETONEIRA 600 L. AF_08/2019</t>
  </si>
  <si>
    <t>ARGAMASSA TRAÇO 1:4 (EM VOLUME DE CIMENTO E AREIA GROSSA ÚMIDA) COM ADIÇÃO DE EMULSÃO POLIMÉRICA PARA CHAPISCO ROLADO, PREPARO MECÂNICO COM BETONEIRA 400 L. AF_08/2019</t>
  </si>
  <si>
    <t>ARGAMASSA TRAÇO 1:4 (EM VOLUME DE CIMENTO E AREIA GROSSA ÚMIDA) COM ADIÇÃO DE EMULSÃO POLIMÉRICA PARA CHAPISCO ROLADO, PREPARO MECÂNICO COM BETONEIRA 600 L. AF_08/2019</t>
  </si>
  <si>
    <t>ARGAMASSA TRAÇO 1:7 (EM VOLUME DE CIMENTO E AREIA MÉDIA ÚMIDA) COM ADIÇÃO DE PLASTIFICANTE PARA EMBOÇO/MASSA ÚNICA/ASSENTAMENTO DE ALVENARIA DE VEDAÇÃO, PREPARO MECÂNICO COM MISTURADOR DE EIXO HORIZONTAL DE 300 KG. AF_08/2019</t>
  </si>
  <si>
    <t>ARGAMASSA TRAÇO 1:7 (EM VOLUME DE CIMENTO E AREIA MÉDIA ÚMIDA) COM ADIÇÃO DE PLASTIFICANTE PARA EMBOÇO/MASSA ÚNICA/ASSENTAMENTO DE ALVENARIA DE VEDAÇÃO, PREPARO MECÂNICO COM MISTURADOR DE EIXO HORIZONTAL DE 600 KG. AF_08/2019</t>
  </si>
  <si>
    <t>ARGAMASSA TRAÇO 1:6 (EM VOLUME DE CIMENTO E AREIA MÉDIA ÚMIDA) COM ADIÇÃO DE PLASTIFICANTE PARA EMBOÇO/MASSA ÚNICA/ASSENTAMENTO DE ALVENARIA DE VEDAÇÃO, PREPARO MECÂNICO COM MISTURADOR DE EIXO HORIZONTAL DE 300 KG. AF_08/2019</t>
  </si>
  <si>
    <t>ARGAMASSA TRAÇO 1:6 (EM VOLUME DE CIMENTO E AREIA MÉDIA ÚMIDA) COM ADIÇÃO DE PLASTIFICANTE PARA EMBOÇO/MASSA ÚNICA/ASSENTAMENTO DE ALVENARIA DE VEDAÇÃO, PREPARO MECÂNICO COM MISTURADOR DE EIXO HORIZONTAL DE 600 KG. AF_08/2019</t>
  </si>
  <si>
    <t>ARGAMASSA TRAÇO 1:1:6 (EM VOLUME DE CIMENTO, CAL E AREIA MÉDIA ÚMIDA) PARA EMBOÇO/MASSA ÚNICA/ASSENTAMENTO DE ALVENARIA DE VEDAÇÃO, PREPARO MECÂNICO COM MISTURADOR DE EIXO HORIZONTAL DE 300 KG. AF_08/2019</t>
  </si>
  <si>
    <t>ARGAMASSA TRAÇO 1:1:6 (EM VOLUME DE CIMENTO, CAL E AREIA MÉDIA ÚMIDA) PARA EMBOÇO/MASSA ÚNICA/ASSENTAMENTO DE ALVENARIA DE VEDAÇÃO, PREPARO MECÂNICO COM MISTURADOR DE EIXO HORIZONTAL DE 600 KG. AF_08/2019</t>
  </si>
  <si>
    <t>ARGAMASSA TRAÇO 1:1,5:7,5 (EM VOLUME DE CIMENTO, CAL E AREIA MÉDIA ÚMIDA) PARA EMBOÇO/MASSA ÚNICA/ASSENTAMENTO DE ALVENARIA DE VEDAÇÃO, PREPARO MECÂNICO COM MISTURADOR DE EIXO HORIZONTAL DE 300 KG. AF_08/2019</t>
  </si>
  <si>
    <t>ARGAMASSA TRAÇO 1:1,5:7,5 (EM VOLUME DE CIMENTO, CAL E AREIA MÉDIA ÚMIDA) PARA EMBOÇO/MASSA ÚNICA/ASSENTAMENTO DE ALVENARIA DE VEDAÇÃO, PREPARO MECÂNICO COM MISTURADOR DE EIXO HORIZONTAL DE 600 KG. AF_08/2019</t>
  </si>
  <si>
    <t>ARGAMASSA TRAÇO 1:2:8 (EM VOLUME DE CIMENTO, CAL E AREIA MÉDIA ÚMIDA) PARA EMBOÇO/MASSA ÚNICA/ASSENTAMENTO DE ALVENARIA DE VEDAÇÃO, PREPARO MECÂNICO COM MISTURADOR DE EIXO HORIZONTAL DE 300 KG. AF_08/2019</t>
  </si>
  <si>
    <t>ARGAMASSA TRAÇO 1:2:8 (EM VOLUME DE CIMENTO, CAL E AREIA MÉDIA ÚMIDA) PARA EMBOÇO/MASSA ÚNICA/ASSENTAMENTO DE ALVENARIA DE VEDAÇÃO, PREPARO MECÂNICO COM MISTURADOR DE EIXO HORIZONTAL DE 600 KG. AF_08/2019</t>
  </si>
  <si>
    <t>ARGAMASSA TRAÇO 1:2:9 (EM VOLUME DE CIMENTO, CAL E AREIA MÉDIA ÚMIDA) PARA EMBOÇO/MASSA ÚNICA/ASSENTAMENTO DE ALVENARIA DE VEDAÇÃO, PREPARO MECÂNICO COM MISTURADOR DE EIXO HORIZONTAL DE 300 KG. AF_08/2019</t>
  </si>
  <si>
    <t>ARGAMASSA TRAÇO 1:3:12 (EM VOLUME DE CIMENTO, CAL E AREIA MÉDIA ÚMIDA) PARA EMBOÇO/MASSA ÚNICA/ASSENTAMENTO DE ALVENARIA DE VEDAÇÃO, PREPARO MECÂNICO COM MISTURADOR DE EIXO HORIZONTAL DE 600 KG. AF_08/2019</t>
  </si>
  <si>
    <t>ARGAMASSA TRAÇO 1:3 (EM VOLUME DE CIMENTO E AREIA MÉDIA ÚMIDA) PARA CONTRAPISO, PREPARO MECÂNICO COM MISTURADOR DE EIXO HORIZONTAL DE 160 KG. AF_08/2019</t>
  </si>
  <si>
    <t>ARGAMASSA TRAÇO 1:3 (EM VOLUME DE CIMENTO E AREIA MÉDIA ÚMIDA) PARA CONTRAPISO, PREPARO MECÂNICO COM MISTURADOR DE EIXO HORIZONTAL DE 300 KG. AF_08/2019</t>
  </si>
  <si>
    <t>ARGAMASSA TRAÇO 1:3 (EM VOLUME DE CIMENTO E AREIA MÉDIA ÚMIDA) PARA CONTRAPISO, PREPARO MECÂNICO COM MISTURADOR DE EIXO HORIZONTAL DE 600 KG. AF_08/2019</t>
  </si>
  <si>
    <t>ARGAMASSA TRAÇO 1:4 (EM VOLUME DE CIMENTO E AREIA MÉDIA ÚMIDA) PARA CONTRAPISO, PREPARO MECÂNICO COM MISTURADOR DE EIXO HORIZONTAL DE 160 KG. AF_08/2019</t>
  </si>
  <si>
    <t>ARGAMASSA TRAÇO 1:4 (EM VOLUME DE CIMENTO E AREIA MÉDIA ÚMIDA) PARA CONTRAPISO, PREPARO MECÂNICO COM MISTURADOR DE EIXO HORIZONTAL DE 300 KG. AF_08/2019</t>
  </si>
  <si>
    <t>ARGAMASSA TRAÇO 1:4 (EM VOLUME DE CIMENTO E AREIA MÉDIA ÚMIDA) PARA CONTRAPISO, PREPARO MECÂNICO COM MISTURADOR DE EIXO HORIZONTAL DE 600 KG. AF_08/2019</t>
  </si>
  <si>
    <t>ARGAMASSA TRAÇO 1:5 (EM VOLUME DE CIMENTO E AREIA MÉDIA ÚMIDA) PARA CONTRAPISO, PREPARO MECÂNICO COM MISTURADOR DE EIXO HORIZONTAL DE 160 KG. AF_08/2019</t>
  </si>
  <si>
    <t>ARGAMASSA TRAÇO 1:5 (EM VOLUME DE CIMENTO E AREIA MÉDIA ÚMIDA) PARA CONTRAPISO, PREPARO MECÂNICO COM MISTURADOR DE EIXO HORIZONTAL DE 300 KG. AF_08/2019</t>
  </si>
  <si>
    <t>ARGAMASSA TRAÇO 1:5 (EM VOLUME DE CIMENTO E AREIA MÉDIA ÚMIDA) PARA CONTRAPISO, PREPARO MECÂNICO COM MISTURADOR DE EIXO HORIZONTAL DE 600 KG. AF_08/2019</t>
  </si>
  <si>
    <t>ARGAMASSA TRAÇO 1:6 (EM VOLUME DE CIMENTO E AREIA MÉDIA ÚMIDA) PARA CONTRAPISO, PREPARO MECÂNICO COM MISTURADOR DE EIXO HORIZONTAL DE 160 KG. AF_08/2019</t>
  </si>
  <si>
    <t>ARGAMASSA TRAÇO 1:6 (EM VOLUME DE CIMENTO E AREIA MÉDIA ÚMIDA) PARA CONTRAPISO, PREPARO MECÂNICO COM MISTURADOR DE EIXO HORIZONTAL DE 600 KG. AF_08/2019</t>
  </si>
  <si>
    <t>ARGAMASSA TRAÇO 1:5 (EM VOLUME DE CIMENTO E AREIA GROSSA ÚMIDA) PARA CHAPISCO CONVENCIONAL, PREPARO MECÂNICO COM MISTURADOR DE EIXO HORIZONTAL DE 300 KG. AF_08/2019</t>
  </si>
  <si>
    <t>ARGAMASSA TRAÇO 1:5 (EM VOLUME DE CIMENTO E AREIA GROSSA ÚMIDA) PARA CHAPISCO CONVENCIONAL, PREPARO MECÂNICO COM MISTURADOR DE EIXO HORIZONTAL DE 600 KG. AF_08/2019</t>
  </si>
  <si>
    <t>ARGAMASSA TRAÇO 1:3 (EM VOLUME DE CIMENTO E AREIA GROSSA ÚMIDA) PARA CHAPISCO CONVENCIONAL, PREPARO MECÂNICO COM MISTURADOR DE EIXO HORIZONTAL DE 160 KG. AF_08/2019</t>
  </si>
  <si>
    <t>ARGAMASSA TRAÇO 1:3 (EM VOLUME DE CIMENTO E AREIA GROSSA ÚMIDA) PARA CHAPISCO CONVENCIONAL, PREPARO MECÂNICO COM MISTURADOR DE EIXO HORIZONTAL DE 300 KG. AF_08/2019</t>
  </si>
  <si>
    <t>ARGAMASSA TRAÇO 1:3 (EM VOLUME DE CIMENTO E AREIA GROSSA ÚMIDA) PARA CHAPISCO CONVENCIONAL, PREPARO MECÂNICO COM MISTURADOR DE EIXO HORIZONTAL DE 600 KG. AF_08/2019</t>
  </si>
  <si>
    <t>ARGAMASSA TRAÇO 1:4 (EM VOLUME DE CIMENTO E AREIA GROSSA ÚMIDA) PARA CHAPISCO CONVENCIONAL, PREPARO MECÂNICO COM MISTURADOR DE EIXO HORIZONTAL DE 160 KG. AF_08/2019</t>
  </si>
  <si>
    <t>ARGAMASSA TRAÇO 1:4 (EM VOLUME DE CIMENTO E AREIA GROSSA ÚMIDA) PARA CHAPISCO CONVENCIONAL, PREPARO MECÂNICO COM MISTURADOR DE EIXO HORIZONTAL DE 300 KG. AF_08/2019</t>
  </si>
  <si>
    <t>ARGAMASSA TRAÇO 1:4 (EM VOLUME DE CIMENTO E AREIA GROSSA ÚMIDA) PARA CHAPISCO CONVENCIONAL, PREPARO MECÂNICO COM MISTURADOR DE EIXO HORIZONTAL DE 600 KG. AF_08/2019</t>
  </si>
  <si>
    <t>ARGAMASSA TRAÇO 1:5 (EM VOLUME DE CIMENTO E AREIA GROSSA ÚMIDA) COM ADIÇÃO DE EMULSÃO POLIMÉRICA PARA CHAPISCO ROLADO, PREPARO MECÂNICO COM MISTURADOR DE EIXO HORIZONTAL DE 300 KG. AF_08/2019</t>
  </si>
  <si>
    <t>ARGAMASSA TRAÇO 1:5 (EM VOLUME DE CIMENTO E AREIA GROSSA ÚMIDA) COM ADIÇÃO DE EMULSÃO POLIMÉRICA PARA CHAPISCO ROLADO, PREPARO MECÂNICO COM MISTURADOR DE EIXO HORIZONTAL DE 600 KG. AF_08/2019</t>
  </si>
  <si>
    <t>ARGAMASSA TRAÇO 1:3 (EM VOLUME DE CIMENTO E AREIA GROSSA ÚMIDA) COM ADIÇÃO DE EMULSÃO POLIMÉRICA PARA CHAPISCO ROLADO, PREPARO MECÂNICO COM MISTURADOR DE EIXO HORIZONTAL DE 160 KG. AF_08/2019</t>
  </si>
  <si>
    <t>ARGAMASSA TRAÇO 1:3 (EM VOLUME DE CIMENTO E AREIA GROSSA ÚMIDA) COM ADIÇÃO DE EMULSÃO POLIMÉRICA PARA CHAPISCO ROLADO, PREPARO MECÂNICO COM MISTURADOR DE EIXO HORIZONTAL DE 300 KG. AF_08/2019</t>
  </si>
  <si>
    <t>ARGAMASSA TRAÇO 1:3 (EM VOLUME DE CIMENTO E AREIA GROSSA ÚMIDA) COM ADIÇÃO DE EMULSÃO POLIMÉRICA PARA CHAPISCO ROLADO, PREPARO MECÂNICO COM MISTURADOR DE EIXO HORIZONTAL DE 600 KG. AF_08/2019</t>
  </si>
  <si>
    <t>ARGAMASSA TRAÇO 1:4 (EM VOLUME DE CIMENTO E AREIA GROSSA ÚMIDA) COM ADIÇÃO DE EMULSÃO POLIMÉRICA PARA CHAPISCO ROLADO, PREPARO MECÂNICO COM MISTURADOR DE EIXO HORIZONTAL DE 300 KG. AF_08/2019</t>
  </si>
  <si>
    <t>ARGAMASSA TRAÇO 1:4 (EM VOLUME DE CIMENTO E AREIA GROSSA ÚMIDA) COM ADIÇÃO DE EMULSÃO POLIMÉRICA PARA CHAPISCO ROLADO, PREPARO MECÂNICO COM MISTURADOR DE EIXO HORIZONTAL DE 600 KG. AF_08/2019</t>
  </si>
  <si>
    <t>ARGAMASSA TRAÇO 1:7 (EM VOLUME DE CIMENTO E AREIA MÉDIA ÚMIDA) COM ADIÇÃO DE PLASTIFICANTE PARA EMBOÇO/MASSA ÚNICA/ASSENTAMENTO DE ALVENARIA DE VEDAÇÃO, PREPARO MANUAL. AF_08/2019</t>
  </si>
  <si>
    <t>ARGAMASSA TRAÇO 1:6 (EM VOLUME DE CIMENTO E AREIA MÉDIA ÚMIDA) COM ADIÇÃO DE PLASTIFICANTE PARA EMBOÇO/MASSA ÚNICA/ASSENTAMENTO DE ALVENARIA DE VEDAÇÃO, PREPARO MANUAL. AF_08/2019</t>
  </si>
  <si>
    <t>ARGAMASSA TRAÇO 1:1:6 (EM VOLUME DE CIMENTO, CAL E AREIA MÉDIA ÚMIDA) PARA EMBOÇO/MASSA ÚNICA/ASSENTAMENTO DE ALVENARIA DE VEDAÇÃO, PREPARO MANUAL. AF_08/2019</t>
  </si>
  <si>
    <t>ARGAMASSA TRAÇO 1:1,5:7,5 (EM VOLUME DE CIMENTO, CAL E AREIA MÉDIA ÚMIDA) PARA EMBOÇO/MASSA ÚNICA/ASSENTAMENTO DE ALVENARIA DE VEDAÇÃO, PREPARO MANUAL. AF_08/2019</t>
  </si>
  <si>
    <t>ARGAMASSA TRAÇO 1:2:8 (EM VOLUME DE CIMENTO, CAL E AREIA MÉDIA ÚMIDA) PARA EMBOÇO/MASSA ÚNICA/ASSENTAMENTO DE ALVENARIA DE VEDAÇÃO, PREPARO MANUAL. AF_08/2019</t>
  </si>
  <si>
    <t>ARGAMASSA TRAÇO 1:2:9 (EM VOLUME DE CIMENTO, CAL E AREIA MÉDIA ÚMIDA) PARA EMBOÇO/MASSA ÚNICA/ASSENTAMENTO DE ALVENARIA DE VEDAÇÃO, PREPARO MANUAL. AF_08/2019</t>
  </si>
  <si>
    <t>ARGAMASSA TRAÇO 1:3:12 (EM VOLUME DE CIMENTO, CAL E AREIA MÉDIA ÚMIDA) PARA EMBOÇO/MASSA ÚNICA/ASSENTAMENTO DE ALVENARIA DE VEDAÇÃO, PREPARO MANUAL. AF_08/2019</t>
  </si>
  <si>
    <t>ARGAMASSA TRAÇO 1:3 (EM VOLUME DE CIMENTO E AREIA MÉDIA ÚMIDA) PARA CONTRAPISO, PREPARO MANUAL. AF_08/2019</t>
  </si>
  <si>
    <t>ARGAMASSA TRAÇO 1:4 (EM VOLUME DE CIMENTO E AREIA MÉDIA ÚMIDA) PARA CONTRAPISO, PREPARO MANUAL. AF_08/2019</t>
  </si>
  <si>
    <t>ARGAMASSA TRAÇO 1:5 (EM VOLUME DE CIMENTO E AREIA MÉDIA ÚMIDA) PARA CONTRAPISO, PREPARO MANUAL. AF_08/2019</t>
  </si>
  <si>
    <t>ARGAMASSA TRAÇO 1:6 (EM VOLUME DE CIMENTO E AREIA MÉDIA ÚMIDA) PARA CONTRAPISO, PREPARO MANUAL. AF_08/2019</t>
  </si>
  <si>
    <t>ARGAMASSA TRAÇO 1:5 (EM VOLUME DE CIMENTO E AREIA GROSSA ÚMIDA) PARA CHAPISCO CONVENCIONAL, PREPARO MANUAL. AF_08/2019</t>
  </si>
  <si>
    <t>ARGAMASSA TRAÇO 1:3 (EM VOLUME DE CIMENTO E AREIA GROSSA ÚMIDA) PARA CHAPISCO CONVENCIONAL, PREPARO MANUAL. AF_08/2019</t>
  </si>
  <si>
    <t>ARGAMASSA TRAÇO 1:4 (EM VOLUME DE CIMENTO E AREIA GROSSA ÚMIDA) PARA CHAPISCO CONVENCIONAL, PREPARO MANUAL. AF_08/2019</t>
  </si>
  <si>
    <t>ARGAMASSA TRAÇO 1:5 (EM VOLUME DE CIMENTO E AREIA GROSSA ÚMIDA) COM ADIÇÃO DE EMULSÃO POLIMÉRICA PARA CHAPISCO ROLADO, PREPARO MANUAL. AF_08/2019</t>
  </si>
  <si>
    <t>ARGAMASSA TRAÇO 1:3 (EM VOLUME DE CIMENTO E AREIA GROSSA ÚMIDA) COM ADIÇÃO DE EMULSÃO POLIMÉRICA PARA CHAPISCO ROLADO, PREPARO MANUAL. AF_08/2019</t>
  </si>
  <si>
    <t>ARGAMASSA TRAÇO 1:4 (EM VOLUME DE CIMENTO E AREIA GROSSA ÚMIDA) COM ADIÇÃO DE EMULSÃO POLIMÉRICA PARA CHAPISCO ROLADO, PREPARO MANUAL. AF_08/2019</t>
  </si>
  <si>
    <t>ARGAMASSA INDUSTRIALIZADA MULTIUSO PARA REVESTIMENTOS E ASSENTAMENTO DA ALVENARIA, PREPARO COM MISTURADOR DE EIXO HORIZONTAL DE 160 KG. AF_08/2019</t>
  </si>
  <si>
    <t>ARGAMASSA INDUSTRIALIZADA MULTIUSO PARA REVESTIMENTOS E ASSENTAMENTO DA ALVENARIA, PREPARO COM MISTURADOR DE EIXO HORIZONTAL DE 300 KG. AF_08/2019</t>
  </si>
  <si>
    <t>ARGAMASSA INDUSTRIALIZADA MULTIUSO PARA REVESTIMENTOS E ASSENTAMENTO DA ALVENARIA, PREPARO COM MISTURADOR DE EIXO HORIZONTAL DE 600 KG. AF_08/2019</t>
  </si>
  <si>
    <t>ARGAMASSA PRONTA PARA CONTRAPISO, PREPARO COM MISTURADOR DE EIXO HORIZONTAL DE 160 KG. AF_08/2019</t>
  </si>
  <si>
    <t>ARGAMASSA PRONTA PARA CONTRAPISO, PREPARO COM MISTURADOR DE EIXO HORIZONTAL DE 300 KG. AF_08/2019</t>
  </si>
  <si>
    <t>ARGAMASSA PRONTA PARA CONTRAPISO, PREPARO COM MISTURADOR DE EIXO HORIZONTAL DE 600 KG. AF_08/2019</t>
  </si>
  <si>
    <t>ARGAMASSA PARA REVESTIMENTO DECORATIVO MONOCAMADA (MONOCAPA), PREPARO COM MISTURADOR DE EIXO HORIZONTAL DE 160 KG. AF_08/2019</t>
  </si>
  <si>
    <t>ARGAMASSA PARA REVESTIMENTO DECORATIVO MONOCAMADA (MONOCAPA), PREPARO COM MISTURADOR DE EIXO HORIZONTAL DE 300 KG. AF_08/2019</t>
  </si>
  <si>
    <t>ARGAMASSA PARA REVESTIMENTO DECORATIVO MONOCAMADA (MONOCAPA), PREPARO COM MISTURADOR DE EIXO HORIZONTAL DE 600 KG. AF_08/2019</t>
  </si>
  <si>
    <t>ARGAMASSA INDUSTRIALIZADA PARA CHAPISCO ROLADO, PREPARO COM MISTURADOR DE EIXO HORIZONTAL DE 160 KG. AF_08/2019</t>
  </si>
  <si>
    <t>ARGAMASSA INDUSTRIALIZADA PARA CHAPISCO ROLADO, PREPARO COM MISTURADOR DE EIXO HORIZONTAL DE 300 KG. AF_08/2019</t>
  </si>
  <si>
    <t>ARGAMASSA INDUSTRIALIZADA PARA CHAPISCO ROLADO, PREPARO COM MISTURADOR DE EIXO HORIZONTAL DE 600 KG. AF_08/2019</t>
  </si>
  <si>
    <t>ARGAMASSA INDUSTRIALIZADA PARA CHAPISCO COLANTE, PREPARO COM MISTURADOR DE EIXO HORIZONTAL DE 160 KG. AF_08/2019</t>
  </si>
  <si>
    <t>ARGAMASSA INDUSTRIALIZADA PARA CHAPISCO COLANTE, PREPARO COM MISTURADOR DE EIXO HORIZONTAL DE 300 KG. AF_08/2019</t>
  </si>
  <si>
    <t>ARGAMASSA INDUSTRIALIZADA PARA CHAPISCO COLANTE, PREPARO COM MISTURADOR DE EIXO HORIZONTAL DE 600 KG. AF_08/2019</t>
  </si>
  <si>
    <t>ARGAMASSA INDUSTRIALIZADA MULTIUSO PARA REVESTIMENTOS E ASSENTAMENTO DA ALVENARIA, PREPARO MANUAL. AF_08/2019</t>
  </si>
  <si>
    <t>ARGAMASSA PRONTA PARA CONTRAPISO, PREPARO MANUAL. AF_08/2019</t>
  </si>
  <si>
    <t>ARGAMASSA INDUSTRIALIZADA PARA CHAPISCO ROLADO, PREPARO MANUAL. AF_08/2019</t>
  </si>
  <si>
    <t>ARGAMASSA INDUSTRIALIZADA PARA CHAPISCO COLANTE, PREPARO MANUAL. AF_08/2019</t>
  </si>
  <si>
    <t>ARGAMASSA PARA REVESTIMENTO DECORATIVO MONOCAMADA (MONOCAPA), MISTURA E PROJEÇÃO DE 1,5 M3/H DE ARGAMASSA. AF_08/2019</t>
  </si>
  <si>
    <t>ARGAMASSA INDUSTRIALIZADA PARA REVESTIMENTOS, MISTURA E PROJEÇÃO DE 1,5 M³/H DE ARGAMASSA. AF_08/2019</t>
  </si>
  <si>
    <t>ARGAMASSA À BASE DE GESSO, MISTURA E PROJEÇÃO DE 1,5 M³/H DE ARGAMASSA. AF_08/2019</t>
  </si>
  <si>
    <t>ARGAMASSA TRAÇO 1:0,5:4,5 (EM VOLUME DE CIMENTO, CAL E AREIA MÉDIA ÚMIDA), PREPARO MECÂNICO COM BETONEIRA 400 L. AF_08/2019</t>
  </si>
  <si>
    <t>ARGAMASSA TRAÇO 1:0,5:4,5 (EM VOLUME DE CIMENTO, CAL E AREIA MÉDIA ÚMIDA) PARA ASSENTAMENTO DE ALVENARIA, PREPARO MANUAL. AF_08/2019</t>
  </si>
  <si>
    <t>ARGAMASSA TRAÇO 1:3 (EM VOLUME DE CIMENTO E AREIA MÉDIA ÚMIDA), PREPARO MECÂNICO COM BETONEIRA 400 L. AF_08/2019</t>
  </si>
  <si>
    <t>ARGAMASSA TRAÇO 1:3 (EM VOLUME DE CIMENTO E AREIA MÉDIA ÚMIDA), PREPARO MANUAL. AF_08/2019</t>
  </si>
  <si>
    <t>ARGAMASSA TRAÇO 1:4 (EM VOLUME DE CIMENTO E AREIA MÉDIA ÚMIDA), PREPARO MANUAL. AF_08/2019</t>
  </si>
  <si>
    <t>ARGAMASSA TRAÇO 1:2:9 (EM VOLUME DE CIMENTO, CAL E AREIA MÉDIA ÚMIDA) PARA EMBOÇO/MASSA ÚNICA/ASSENTAMENTO DE ALVENARIA DE VEDAÇÃO, PREPARO MECÂNICO COM BETONEIRA 400 L. AF_08/2019</t>
  </si>
  <si>
    <t>ARGAMASSA TRAÇO 1:0,5:4,5  (EM VOLUME DE CIMENTO, CAL E AREIA MÉDIA ÚMIDA), PREPARO MECÂNICO COM MISTURADOR DE EIXO HORIZONTAL DE 160 KG. AF_08/2019</t>
  </si>
  <si>
    <t>ARGAMASSA TRAÇO 1:0,5:4,5  (EM VOLUME DE CIMENTO, CAL E AREIA MÉDIA ÚMIDA), PREPARO MECÂNICO COM MISTURADOR DE EIXO HORIZONTAL DE 300 KG. AF_08/2019</t>
  </si>
  <si>
    <t>ARGAMASSA TRAÇO 1:0,5:4,5  (EM VOLUME DE CIMENTO, CAL E AREIA MÉDIA ÚMIDA), PREPARO MECÂNICO COM MISTURADOR DE EIXO HORIZONTAL DE 600 KG. AF_08/2019</t>
  </si>
  <si>
    <t>ARGAMASSA TRAÇO 1:3 (EM VOLUME DE CIMENTO E AREIA MÉDIA ÚMIDA), PREPARO MECÂNICO COM MISTURADOR DE EIXO HORIZONTAL DE 160 KG. AF_08/2019</t>
  </si>
  <si>
    <t>ARGAMASSA TRAÇO 1:3 (EM VOLUME DE CIMENTO E AREIA MÉDIA ÚMIDA), PREPARO MECÂNICO COM MISTURADOR DE EIXO HORIZONTAL DE 300 KG. AF_08/2019</t>
  </si>
  <si>
    <t>ARGAMASSA TRAÇO 1:3 (EM VOLUME DE CIMENTO E AREIA MÉDIA ÚMIDA), PREPARO MECÂNICO COM MISTURADOR DE EIXO HORIZONTAL DE 600 KG. AF_08/2019</t>
  </si>
  <si>
    <t>ARGAMASSA TRAÇO 1:4 (EM VOLUME DE CIMENTO E AREIA MÉDIA ÚMIDA), PREPARO MECÂNICO COM MISTURADOR DE EIXO HORIZONTAL DE 160 KG. AF_08/2019</t>
  </si>
  <si>
    <t>ARGAMASSA TRAÇO 1:4 (EM VOLUME DE CIMENTO E AREIA MÉDIA ÚMIDA), PREPARO MECÂNICO COM MISTURADOR DE EIXO HORIZONTAL DE 300 KG. AF_08/2019</t>
  </si>
  <si>
    <t>ARGAMASSA TRAÇO 1:4 (EM VOLUME DE CIMENTO E AREIA MÉDIA ÚMIDA), PREPARO MECÂNICO COM MISTURADOR DE EIXO HORIZONTAL DE 600 KG. AF_08/2019</t>
  </si>
  <si>
    <t>ARGAMASSA TRAÇO 1:3 (EM VOLUME DE CIMENTO E AREIA MÉDIA ÚMIDA) COM ADIÇÃO DE IMPERMEABILIZANTE, PREPARO MECÂNICO COM BETONEIRA 400 L. AF_08/2019</t>
  </si>
  <si>
    <t>ARGAMASSA TRAÇO 1:3 (EM VOLUME DE CIMENTO E AREIA MÉDIA ÚMIDA) COM ADIÇÃO DE IMPERMEABILIZANTE, PREPARO MECÂNICO COM MISTURADOR DE EIXO HORIZONTAL DE 160 KG. AF_08/2019</t>
  </si>
  <si>
    <t>ARGAMASSA TRAÇO 1:3 (EM VOLUME DE CIMENTO E AREIA MÉDIA ÚMIDA) COM ADIÇÃO DE IMPERMEABILIZANTE, PREPARO MECÂNICO COM MISTURADOR DE EIXO HORIZONTAL DE 300 KG. AF_08/2019</t>
  </si>
  <si>
    <t>ARGAMASSA TRAÇO 1:3 (EM VOLUME DE CIMENTO E AREIA MÉDIA ÚMIDA) COM ADIÇÃO DE IMPERMEABILIZANTE, PREPARO MECÂNICO COM MISTURADOR DE EIXO HORIZONTAL DE 600 KG. AF_08/2019</t>
  </si>
  <si>
    <t>ARGAMASSA TRAÇO 1:3 (EM VOLUME DE CIMENTO E AREIA MÉDIA ÚMIDA) COM ADIÇÃO DE IMPERMEABILIZANTE, PREPARO MANUAL. AF_08/2019</t>
  </si>
  <si>
    <t>ARGAMASSA TRAÇO 1:4 (EM VOLUME DE CIMENTO E AREIA MÉDIA ÚMIDA) COM ADIÇÃO DE IMPERMEABILIZANTE, PREPARO MECÂNICO COM BETONEIRA 400 L. AF_08/2019</t>
  </si>
  <si>
    <t>ARGAMASSA TRAÇO 1:4 (EM VOLUME DE CIMENTO E AREIA MÉDIA ÚMIDA) COM ADIÇÃO DE IMPERMEABILIZANTE, PREPARO MECÂNICO COM MISTURADOR DE EIXO HORIZONTAL DE 160 KG. AF_08/2019</t>
  </si>
  <si>
    <t>ARGAMASSA TRAÇO 1:4 (EM VOLUME DE CIMENTO E AREIA MÉDIA ÚMIDA) COM ADIÇÃO DE IMPERMEABILIZANTE, PREPARO MECÂNICO COM MISTURADOR DE EIXO HORIZONTAL DE 300 KG. AF_08/2019</t>
  </si>
  <si>
    <t>ARGAMASSA TRAÇO 1:4 (EM VOLUME DE CIMENTO E AREIA MÉDIA ÚMIDA) COM ADIÇÃO DE IMPERMEABILIZANTE, PREPARO MECÂNICO COM MISTURADOR DE EIXO HORIZONTAL DE 600 KG. AF_08/2019</t>
  </si>
  <si>
    <t>ARGAMASSA TRAÇO 1:4 (EM VOLUME DE CIMENTO E AREIA MÉDIA ÚMIDA) COM ADIÇÃO DE IMPERMEABILIZANTE, PREPARO MANUAL. AF_08/2019</t>
  </si>
  <si>
    <t>ARGAMASSA TRAÇO 1:2:9 (EM VOLUME DE CIMENTO, CAL E AREIA MÉDIA ÚMIDA) PARA EMBOÇO/MASSA ÚNICA/ASSENTAMENTO DE ALVENARIA DE VEDAÇÃO, PREPARO MECÂNICO COM MISTURADOR DE EIXO HORIZONTAL DE 600 KG. AF_08/2019</t>
  </si>
  <si>
    <t>ARGAMASSA TRAÇO 1:0,5:4,5 (EM VOLUME DE CIMENTO, CAL E AREIA MÉDIA ÚMIDA), PREPARO MECÂNICO COM BETONEIRA 600 L. AF_08/2019</t>
  </si>
  <si>
    <t>ARGAMASSA TRAÇO 1:3 (EM VOLUME DE CIMENTO E AREIA MÉDIA ÚMIDA), PREPARO MECÂNICO COM BETONEIRA 600 L. AF_08/2019</t>
  </si>
  <si>
    <t>ARGAMASSA TRAÇO 1:4 (EM VOLUME DE CIMENTO E AREIA MÉDIA ÚMIDA), PREPARO MECÂNICO COM BETONEIRA 600 L. AF_08/2019</t>
  </si>
  <si>
    <t>ARGAMASSA TRAÇO 1:3 (EM VOLUME DE CIMENTO E AREIA MÉDIA ÚMIDA) COM ADIÇÃO DE IMPERMEABILIZANTE, PREPARO MECÂNICO COM BETONEIRA 600 L. AF_08/2019</t>
  </si>
  <si>
    <t>ARGAMASSA TRAÇO 1:4 (EM VOLUME DE CIMENTO E AREIA MÉDIA ÚMIDA) COM ADIÇÃO DE IMPERMEABILIZANTE, PREPARO MECÂNICO COM BETONEIRA 600 L. AF_08/2019</t>
  </si>
  <si>
    <t>TRANSPORTE HORIZONTAL MANUAL, DE SACOS DE 50 KG (UNIDADE: KGXKM). AF_07/2019</t>
  </si>
  <si>
    <t>KGXKM</t>
  </si>
  <si>
    <t>TRANSPORTE HORIZONTAL MANUAL, DE SACOS DE 30 KG (UNIDADE: KGXKM). AF_07/2019</t>
  </si>
  <si>
    <t>TRANSPORTE HORIZONTAL MANUAL, DE SACOS DE 20 KG (UNIDADE: KGXKM). AF_07/2019</t>
  </si>
  <si>
    <t>TRANSPORTE HORIZONTAL COM CARRINHO PLATAFORMA, DE SACOS DE 50 KG (UNIDADE: KGXKM). AF_07/2019</t>
  </si>
  <si>
    <t>TRANSPORTE HORIZONTAL COM CARRINHO PLATAFORMA, DE SACOS DE 30 KG (UNIDADE: KGXKM). AF_07/2019</t>
  </si>
  <si>
    <t>TRANSPORTE HORIZONTAL COM CARRINHO PLATAFORMA, DE SACOS DE 20 KG (UNIDADE: KGXKM). AF_07/2019</t>
  </si>
  <si>
    <t>TRANSPORTE HORIZONTAL COM CARRINHO DE MÃO, DE SACOS DE 50 KG (UNIDADE: KGXKM). AF_07/2019</t>
  </si>
  <si>
    <t>TRANSPORTE HORIZONTAL COM CARRINHO DE MÃO, DE SACOS DE 30 KG (UNIDADE: KGXKM). AF_07/2019</t>
  </si>
  <si>
    <t>TRANSPORTE HORIZONTAL COM CARRINHO DE MÃO, DE SACOS DE 20 KG (UNIDADE: KGXKM). AF_07/2019</t>
  </si>
  <si>
    <t>TRANSPORTE HORIZONTAL COM MANIPULADOR TELESCÓPICO, DE PÁLETE DE SACOS (UNIDADE: KGXKM). AF_07/2019</t>
  </si>
  <si>
    <t>TRANSPORTE HORIZONTAL COM JERICA DE 60 L, DE MASSA/ GRANEL (UNIDADE: M3XKM). AF_07/2019</t>
  </si>
  <si>
    <t>TRANSPORTE HORIZONTAL COM JERICA DE 90 L, DE MASSA/ GRANEL (UNIDADE: M3XKM). AF_07/2019</t>
  </si>
  <si>
    <t>TRANSPORTE HORIZONTAL COM CARREGADEIRA, DE MASSA/ GRANEL (UNIDADE: M3XKM). AF_07/2019</t>
  </si>
  <si>
    <t>TRANSPORTE HORIZONTAL MANUAL, DE BLOCOS VAZADOS DE CONCRETO OU CERÂMICO DE 19X19X39CM (UNIDADE: BLOCOXKM). AF_07/2019</t>
  </si>
  <si>
    <t>UNXKM</t>
  </si>
  <si>
    <t>TRANSPORTE HORIZONTAL MANUAL, DE BLOCOS CERÂMICOS FURADOS NA HORIZONTAL DE 9X19X19CM (UNIDADE: BLOCOXKM). AF_07/2019</t>
  </si>
  <si>
    <t>TRANSPORTE HORIZONTAL COM CARRINHO DE MÃO, DE BLOCOS VAZADOS DE CONCRETO OU CERÂMICO DE 19X19X39CM (UNIDADE: BLOCOXKM). AF_07/2019</t>
  </si>
  <si>
    <t>TRANSPORTE HORIZONTAL COM CARRINHO DE MÃO, DE BLOCOS CERÂMICOS FURADOS NA HORIZONTAL DE 9X19X19CM (UNIDADE: BLOCOXKM). AF_07/2019</t>
  </si>
  <si>
    <t>TRANSPORTE HORIZONTAL COM CARRINHO PLATAFORMA, DE BLOCOS VAZADOS DE CONCRETO OU CERÂMICO DE 19X19X39CM (UNIDADE: BLOCOXKM). AF_07/2019</t>
  </si>
  <si>
    <t>TRANSPORTE HORIZONTAL COM CARRINHO PLATAFORMA, DE BLOCOS CERÂMICOS FURADOS NA HORIZONTAL DE 9X19X19CM (UNIDADE: BLOCOXKM). AF_07/2019</t>
  </si>
  <si>
    <t>TRANSPORTE HORIZONTAL COM CARRINHO MINI PÁLETES, DE BLOCOS VAZADOS DE CONCRETO DE 19X19X39CM (UNIDADE: BLOCOXKM). AF_07/2019</t>
  </si>
  <si>
    <t>TRANSPORTE HORIZONTAL COM CARRINHO MINI PÁLETES, DE BLOCOS CERÂMICOS FURADOS NA VERTICAL DE 19X19X39CM (UNIDADE: BLOCOXKM). AF_07/2019</t>
  </si>
  <si>
    <t>TRANSPORTE HORIZONTAL COM CARRINHO MINI PÁLETES, DE BLOCOS CERÂMICOS FURADOS NA HORIZONTAL DE 9X19X19CM (UNIDADE: BLOCOXKM). AF_07/2019</t>
  </si>
  <si>
    <t>TRANSPORTE HORIZONTAL COM MANIPULADOR TELESCÓPICO, DE BLOCOS VAZADOS DE CONCRETO DE 19X19X39CM (UNIDADE: BLOCOXKM). AF_07/2019</t>
  </si>
  <si>
    <t>TRANSPORTE HORIZONTAL COM MANIPULADOR TELESCÓPICO, DE BLOCOS CERÂMICOS FURADOS NA VERTICAL DE 19X19X39CM (UNIDADE: BLOCOXKM). AF_07/2019</t>
  </si>
  <si>
    <t>TRANSPORTE HORIZONTAL COM MANIPULADOR TELESCÓPICO, DE BLOCOS CERÂMICOS FURADOS NA HORIZONTAL DE 9X19X19CM (UNIDADE: BLOCOXKM). AF_07/2019</t>
  </si>
  <si>
    <t>TRANSPORTE HORIZONTAL MANUAL, DE CAIXA COM REVESTIMENTO CERÂMICO (UNIDADE: M2XKM). AF_07/2019</t>
  </si>
  <si>
    <t>M2XKM</t>
  </si>
  <si>
    <t>TRANSPORTE HORIZONTAL COM CARRINHO DE MÃO, DE CAIXA COM REVESTIMENTO CERÂMICO (UNIDADE: M2XKM). AF_07/2019</t>
  </si>
  <si>
    <t>TRANSPORTE HORIZONTAL COM CARRINHO PLATAFORMA, DE CAIXA COM REVESTIMENTO CERÂMICO (UNIDADE: M2XKM). AF_07/2019</t>
  </si>
  <si>
    <t>TRANSPORTE HORIZONTAL COM CARRINHO MINI PÁLETES, DE CAIXA COM REVESTIMENTO CERÂMICO (UNIDADE: M2XKM). AF_07/2019</t>
  </si>
  <si>
    <t>TRANSPORTE HORIZONTAL COM MANIPULADOR TELESCÓPICO, DE CAIXA COM REVESTIMENTO CERÂMICO (UNIDADE: M2XKM). AF_07/2019</t>
  </si>
  <si>
    <t>TRANSPORTE HORIZONTAL MANUAL, DE LATA DE 18 LITROS (UNIDADE: LXKM). AF_07/2019</t>
  </si>
  <si>
    <t>LXKM</t>
  </si>
  <si>
    <t>TRANSPORTE HORIZONTAL COM CARRINHO PLATAFORMA, DE LATA DE 18 LITROS (UNIDADE: LXKM). AF_07/2019</t>
  </si>
  <si>
    <t>TRANSPORTE HORIZONTAL COM CARRINHO RACIONAL, DE LATA DE 18 LITROS (UNIDADE: LXKM). AF_07/2019</t>
  </si>
  <si>
    <t>TRANSPORTE HORIZONTAL COM MANIPULADOR TELESCÓPICO, DE LATA DE 18 LITROS (UNIDADE: LXKM). AF_07/2019</t>
  </si>
  <si>
    <t>TRANSPORTE VERTICAL MANUAL, 1 PAVIMENTO, DE SACOS DE 50 KG (UNIDADE: KG). AF_07/2019</t>
  </si>
  <si>
    <t>TRANSPORTE VERTICAL MANUAL, 1 PAVIMENTO, DE SACOS DE 30 KG (UNIDADE: KG). AF_07/2019</t>
  </si>
  <si>
    <t>TRANSPORTE VERTICAL MANUAL, 1 PAVIMENTO, DE SACOS DE 20 KG (UNIDADE: KG). AF_07/2019</t>
  </si>
  <si>
    <t>TRANSPORTE VERTICAL MANUAL, 1 PAVIMENTO, DE BLOCOS VAZADOS DE CONCRETO OU CERÂMICO DE 19X19X39CM (UNIDADE: BLOCO). AF_07/2019</t>
  </si>
  <si>
    <t>TRANSPORTE VERTICAL MANUAL, 1 PAVIMENTO, DE BLOCOS CERÂMICOS FURADOS NA HORIZONTAL DE 9X19X19CM (UNIDADE: BLOCO). AF_07/2019</t>
  </si>
  <si>
    <t>TRANSPORTE VERTICAL MANUAL, 1 PAVIMENTO, DE CAIXA COM REVESTIMENTO CERÂMICO (UNIDADE: M2). AF_07/2019</t>
  </si>
  <si>
    <t>TRANSPORTE VERTICAL MANUAL, 1 PAVIMENTO, DE LATA DE 18 LITROS (UNIDADE: L). AF_07/2019</t>
  </si>
  <si>
    <t>TRANSPORTE HORIZONTAL MANUAL, DE TUBO DE PVC SOLDÁVEL COM DIÂMETRO MENOR OU IGUAL A 60 MM (UNIDADE: MXKM). AF_07/2019</t>
  </si>
  <si>
    <t>MXKM</t>
  </si>
  <si>
    <t>TRANSPORTE HORIZONTAL MANUAL, DE TUBO DE PVC SOLDÁVEL COM DIÂMETRO MAIOR QUE 60 MM E MENOR OU IGUAL A 85 MM (UNIDADE: MXKM). AF_07/2019</t>
  </si>
  <si>
    <t>TRANSPORTE HORIZONTAL MANUAL, DE TUBO DE CPVC COM DIÂMETRO MENOR OU IGUAL A 73 MM (UNIDADE: MXKM). AF_07/2019</t>
  </si>
  <si>
    <t>TRANSPORTE HORIZONTAL MANUAL, DE TUBO DE CPVC COM DIÂMETRO MAIOR QUE 73 MM E MENOR OU IGUAL A 89 MM (UNIDADE: MXKM). AF_07/2019</t>
  </si>
  <si>
    <t>TRANSPORTE HORIZONTAL MANUAL, DE TUBO DE PPR - PN12 OU PN25 - COM DIÂMETRO MENOR OU IGUAL A 50 MM (UNIDADE: MXKM). AF_07/2019</t>
  </si>
  <si>
    <t>TRANSPORTE HORIZONTAL MANUAL, DE TUBO DE PPR - PN12 OU PN25 - COM DIÂMETRO MAIOR QUE 50 MM E MENOR OU IGUAL A 75 MM (UNIDADE: MXKM). AF_07/2019</t>
  </si>
  <si>
    <t>TRANSPORTE HORIZONTAL MANUAL, DE TUBO DE PPR - PN12 OU PN25 - COM DIÂMETRO MAIOR QUE 75 MM E MENOR OU IGUAL A 110 MM (UNIDADE: MXKM). AF_07/2019</t>
  </si>
  <si>
    <t>TRANSPORTE HORIZONTAL MANUAL, DE TUBO DE COBRE - CLASSE E - COM DIÂMETRO MENOR OU IGUAL A 54 MM (UNIDADE: MXKM). AF_07/2019</t>
  </si>
  <si>
    <t>TRANSPORTE HORIZONTAL MANUAL, DE TUBO DE COBRE - CLASSE E - COM DIÂMETRO MAIOR QUE 54 MM E MENOR OU IGUAL A 79 MM (UNIDADE: MXKM). AF_07/2019</t>
  </si>
  <si>
    <t>TRANSPORTE HORIZONTAL MANUAL, DE TUBO DE COBRE - CLASSE E - COM DIÂMETRO MAIOR QUE 79 MM E MENOR OU IGUAL A 104 MM (UNIDADE: MXKM). AF_07/2019</t>
  </si>
  <si>
    <t>TRANSPORTE HORIZONTAL MANUAL, DE TUBO DE PVC SÉRIE NORMAL - ESGOTO PREDIAL, OU REFORÇADO PARA ESGOTO OU ÁGUAS PLUVIAIS PREDIAL, COM DIÂMETRO MENOR OU IGUAL A 75 MM (UNIDADE: MXKM). AF_07/2019</t>
  </si>
  <si>
    <t>TRANSPORTE HORIZONTAL MANUAL, DE TUBO DE PVC SÉRIE NORMAL - ESGOTO PREDIAL, OU REFORÇADO PARA ESGOTO OU ÁGUAS PLUVIAIS PREDIAL, COM DIÂMETRO MAIOR QUE 75 MM E MENOR OU IGUAL A 100 MM (UNIDADE: MXKM). AF_07/2019</t>
  </si>
  <si>
    <t>TRANSPORTE HORIZONTAL MANUAL, DE TUBO DE PVC SÉRIE NORMAL - ESGOTO PREDIAL, OU REFORÇADO PARA ESGOTO OU ÁGUAS PLUVIAIS PREDIAL, COM DIÂMETRO MAIOR QUE 100 MM E MENOR OU IGUAL A 150 MM (UNIDADE: MXKM). AF_07/2019</t>
  </si>
  <si>
    <t>TRANSPORTE HORIZONTAL MANUAL, DE TUBO DE AÇO CARBONO LEVE OU MÉDIO, PRETO OU GALVANIZADO, COM DIÂMETRO MENOR OU IGUAL A 20 MM (UNIDADE: MXKM). AF_07/2019</t>
  </si>
  <si>
    <t>TRANSPORTE HORIZONTAL MANUAL, DE TUBO DE AÇO CARBONO LEVE OU MÉDIO, PRETO OU GALVANIZADO, COM DIÂMETRO MAIOR QUE 20 MM E MENOR OU IGUAL A 32 MM (UNIDADE: MXKM). AF_07/2019</t>
  </si>
  <si>
    <t>TRANSPORTE HORIZONTAL MANUAL, DE TUBO DE AÇO CARBONO LEVE OU MÉDIO, PRETO OU GALVANIZADO, COM DIÂMETRO MAIOR QUE 32 MM E MENOR OU IGUAL A 65 MM (UNIDADE: MXKM). AF_07/2019</t>
  </si>
  <si>
    <t>TRANSPORTE HORIZONTAL MANUAL, DE TUBO DE AÇO CARBONO LEVE OU MÉDIO, PRETO OU GALVANIZADO, COM DIÂMETRO MAIOR QUE 65 MM E MENOR OU IGUAL A 90 MM (UNIDADE: MXKM). AF_07/2019</t>
  </si>
  <si>
    <t>TRANSPORTE HORIZONTAL MANUAL, DE TUBO DE AÇO CARBONO LEVE OU MÉDIO, PRETO OU GALVANIZADO, COM DIÂMETRO MAIOR QUE 90 MM E MENOR OU IGUAL A 125 MM (UNIDADE: MXKM). AF_07/2019</t>
  </si>
  <si>
    <t>TRANSPORTE HORIZONTAL MANUAL, DE TUBO DE AÇO CARBONO LEVE OU MÉDIO, PRETO OU GALVANIZADO, COM DIÂMETRO MAIOR QUE 125 MM E MENOR OU IGUAL A 150 MM (UNIDADE: MXKM). AF_07/2019</t>
  </si>
  <si>
    <t>TRANSPORTE HORIZONTAL MANUAL, DE TÁBUAS DE MADEIRA COM SEÇÃO TRANSVERSAL DE 2,5 X 25 CM E 2,5 X 30 CM (UNIDADE: MXKM). AF_07/2019</t>
  </si>
  <si>
    <t>TRANSPORTE HORIZONTAL MANUAL, DE CAIBROS DE MADEIRA COM SEÇÃO TRANSVERSAL DE 7,5 X 6 CM E 6 X 8 CM (UNIDADE: MXKM). AF_07/2019</t>
  </si>
  <si>
    <t>TRANSPORTE HORIZONTAL MANUAL, DE RIPAS DE MADEIRA COM SEÇÃO TRANSVERSAL DE 1 X 5 CM E 2 X 5 CM (UNIDADE: MXKM). AF_07/2019</t>
  </si>
  <si>
    <t>TRANSPORTE HORIZONTAL MANUAL, DE VIGAS DE MADEIRA COM SEÇÃO TRANSVERSAL DE 5 X 12 CM (UNIDADE: MXKM). AF_07/2019</t>
  </si>
  <si>
    <t>TRANSPORTE HORIZONTAL MANUAL, DE VIGAS DE MADEIRA COM SEÇÃO TRANSVERSAL DE 6 X 16 CM (UNIDADE: MXKM). AF_07/2019</t>
  </si>
  <si>
    <t>TRANSPORTE HORIZONTAL MANUAL, DE VERGALHÕES DE AÇO COM DIÂMETRO DE 5 MM (UNIDADE: KGXKM). AF_07/2019</t>
  </si>
  <si>
    <t>TRANSPORTE HORIZONTAL MANUAL, DE VERGALHÕES DE AÇO COM DIÂMETRO DE 6,3 MM (UNIDADE: KGXKM). AF_07/2019</t>
  </si>
  <si>
    <t>TRANSPORTE HORIZONTAL MANUAL, DE VERGALHÕES DE AÇO COM DIÂMETRO DE 8 MM (UNIDADE: KGXKM). AF_07/2019</t>
  </si>
  <si>
    <t>TRANSPORTE HORIZONTAL MANUAL, DE VERGALHÕES DE AÇO COM DIÂMETRO DE 10 MM; 12,5 MM; 16 MM; 20 MM; 25 MM OU 32 MM (UNIDADE: KGXKM). AF_07/2019</t>
  </si>
  <si>
    <t>TRANSPORTE HORIZONTAL MANUAL, DE JANELA (UNIDADE: M2XKM). AF_07/2019</t>
  </si>
  <si>
    <t>TRANSPORTE VERTICAL MANUAL, 1 PAVIMENTO, DE JANELA (UNIDADE: M2). AF_07/2019</t>
  </si>
  <si>
    <t>TRANSPORTE HORIZONTAL MANUAL, DE PORTA (UNIDADE: UNIDXKM). AF_07/2019</t>
  </si>
  <si>
    <t>TRANSPORTE VERTICAL MANUAL, 1 PAVIMENTO, DE PORTA (UNIDADE: UNID). AF_07/2019</t>
  </si>
  <si>
    <t>TRANSPORTE HORIZONTAL MANUAL, DE BANCADA DE MÁRMORE OU GRANITO PARA COZINHA/LAVATÓRIO OU MÁRMORE SINTÉTICO COM CUBA INTEGRADA (UNIDADE: UNIDXKM). AF_07/2019</t>
  </si>
  <si>
    <t>TRANSPORTE VERTICAL, BANCADA DE MÁRMORE OU GRANITO PARA COZINHA/LAVATÓRIO OU MÁRMORE SINTÉTICO COM CUBA INTEGRADA, MANUAL, 1 PAVIMENTO, (UNIDADE: UNID). AF_07/2019</t>
  </si>
  <si>
    <t>TRANSPORTE HORIZONTAL COM CARRINHO PLATAFORMA, DE BANCADA DE MÁRMORE OU GRANITO PARA COZINHA/LAVATÓRIO OU MÁRMORE SINTÉTICO COM CUBA INTEGRADA (UNIDADE: UNIDXKM). AF_07/2019</t>
  </si>
  <si>
    <t>TRANSPORTE HORIZONTAL MANUAL, DE VIDRO (UNIDADE: M2XKM). AF_07/2019</t>
  </si>
  <si>
    <t>TRANSPORTE VERTICAL MANUAL, 1 PAVIMENTO, DE VIDRO (UNIDADE: M2). AF_07/2019</t>
  </si>
  <si>
    <t>TRANSPORTE HORIZONTAL MANUAL, DE TELA DE AÇO (UNIDADE: KGXKM). AF_07/2019</t>
  </si>
  <si>
    <t>TRANSPORTE HORIZONTAL MANUAL, DE COMPENSADO DE MADEIRA (UNIDADE: M2XKM). AF_07/2019</t>
  </si>
  <si>
    <t>TRANSPORTE HORIZONTAL MANUAL, DE TELHA TERMOACÚSTICA OU TELHA DE AÇO ZINCADO (UNIDADE: M2XKM). AF_07/2019</t>
  </si>
  <si>
    <t>TRANSPORTE HORIZONTAL MANUAL, DE TELHA DE FIBROCIMENTO OU TELHA ESTRUTURAL DE FIBROCIMENTO, CANALETE 90 OU KALHETÃO (UNIDADE: M2XKM). AF_07/2019</t>
  </si>
  <si>
    <t>TRANSPORTE HORIZONTAL COM MANIPULADOR TELESCÓPICO, DE TELHAS TERMOACÚSTICAS, FIBROCIMENTO, AÇO ZINCADO, FIBROCIMENTO ESTRUTURAL, CANALETE 90 OU KALHETÃO (UNIDADE: M2XKM). AF_07/2019</t>
  </si>
  <si>
    <t>TRANSPORTE HORIZONTAL MANUAL, DE BACIA SANITÁRIA, CAIXA ACOPLADA, TANQUE OU PIA (UNIDADE: UNIDXKM). AF_07/2019</t>
  </si>
  <si>
    <t>TRANSPORTE VERTICAL MANUAL, 1 PAVIMENTO, DE BACIA SANITÁRIA, CAIXA ACOPLADA, TANQUE OU PIA (UNIDADE: UNID). AF_07/2019</t>
  </si>
  <si>
    <t>TRANSPORTE HORIZONTAL COM CARRINHO PLATAFORMA, DE BACIA SANITÁRIA, CAIXA ACOPLADA, TANQUE OU PIA (UNIDADE: UNIDXKM). AF_07/2019</t>
  </si>
  <si>
    <t>TRANSPORTE HORIZONTAL COM MANIPULADOR TELESCÓPICO, DE BACIA SANITÁRIA, CAIXA ACOPLADA, TANQUE OU PIA (UNIDADE: UNIDXKM). AF_07/2019</t>
  </si>
  <si>
    <t>TRANSPORTE HORIZONTAL MANUAL, DE TELHA DE CONCRETO OU CERÂMICA (UNIDADE: M2XKM). AF_07/2019</t>
  </si>
  <si>
    <t>TRANSPORTE HORIZONTAL COM CARRINHO PLATAFORMA, DE TELHA DE CONCRETO OU CERÂMICA (UNIDADE: M2XKM). AF_07/2019</t>
  </si>
  <si>
    <t>TRANSPORTE HORIZONTAL COM MANIPULADOR TELESCÓPICO, DE TELHA DE CONCRETO OU CERÂMICA (UNIDADE: M2XKM). AF_07/2019</t>
  </si>
  <si>
    <t>TRANSPORTE HORIZONTAL MANUAL, DE BARRAMENTO BLINDADO (UNIDADE: MXKM). AF_07/2019</t>
  </si>
  <si>
    <t>TRANSPORTE HORIZONTAL COM CARRINHO PLATAFORMA, DE BARRAMENTO BLINDADO (UNIDADE: MXKM). AF_07/2019</t>
  </si>
  <si>
    <t>TRANSPORTE HORIZONTAL MANUAL, DE CALHA QUADRADA NÚMERO 24  CORTE 33 (UNIDADE: MXKM). AF_07/2019</t>
  </si>
  <si>
    <t>LIMPEZA DE PISO CERÂMICO OU PORCELANATO COM VASSOURA A SECO. AF_04/2019</t>
  </si>
  <si>
    <t>LIMPEZA DE PISO CERÂMICO OU PORCELANATO COM PANO ÚMIDO. AF_04/2019</t>
  </si>
  <si>
    <t>LIMPEZA DE PISO CERÂMICO OU COM PEDRAS RÚSTICAS UTILIZANDO ÁCIDO MURIÁTICO. AF_04/2019</t>
  </si>
  <si>
    <t>LIMPEZA DE REVESTIMENTO CERÂMICO EM PAREDE COM PANO ÚMIDO AF_04/2019</t>
  </si>
  <si>
    <t>LIMPEZA DE REVESTIMENTO CERÂMICO EM PAREDE UTILIZANDO ÁCIDO MURIÁTICO. AF_04/2019</t>
  </si>
  <si>
    <t>LIMPEZA DE PISO DE LADRILHO HIDRÁULICO COM PANO ÚMIDO. AF_04/2019</t>
  </si>
  <si>
    <t>LIMPEZA DE CONTRAPISO COM VASSOURA A SECO. AF_04/2019</t>
  </si>
  <si>
    <t>LIMPEZA DE LADRILHO HIDRÁULICO EM PAREDE COM PANO ÚMIDO. AF_04/2019</t>
  </si>
  <si>
    <t>LIMPEZA DE SUPERFÍCIE COM JATO DE ALTA PRESSÃO. AF_04/2019</t>
  </si>
  <si>
    <t>LIMPEZA DE PORTA DE MADEIRA. AF_04/2019</t>
  </si>
  <si>
    <t>LIMPEZA DE FORRO REMOVÍVEL COM PANO ÚMIDO. AF_04/2019</t>
  </si>
  <si>
    <t>GUARDA-CORPO EM LAJE PÓS-DESFÔRMA, PARA ESTRUTURAS EM CONCRETO, COM ESCORAS DE MADEIRA ESTRONCADAS NA ESTRUTURA, TRAVESSÕES DE MADEIRA PREGADOS E FECHAMENTO EM TELA DE POLIPROPILENO PARA EDIFICAÇÕES ACIMA DE 4 PAV. (2 MONTAGENS POR OBRA). AF_11/2017</t>
  </si>
  <si>
    <t>LOCAÇÃO DE PONTO PARA REFERÊNCIA TOPOGRÁFICA. AF_10/2018</t>
  </si>
  <si>
    <t>LOCACAO CONVENCIONAL DE OBRA, UTILIZANDO GABARITO DE TÁBUAS CORRIDAS PONTALETADAS A CADA 2,00M -  2 UTILIZAÇÕES. AF_10/2018</t>
  </si>
  <si>
    <t>MARCAÇÃO DE PONTOS EM GABARITO OU CAVALETE. AF_10/2018</t>
  </si>
  <si>
    <t>LOCAÇÃO DE REDE DE ÁGUA OU ESGOTO. AF_10/2018</t>
  </si>
  <si>
    <t>LOCAÇÃO DE PAVIMENTAÇÃO. AF_10/2018</t>
  </si>
  <si>
    <t>CURSO DE CAPACITAÇÃO PARA VIGIA DIURNO (ENCARGOS COMPLEMENTARES) - HORISTA</t>
  </si>
  <si>
    <t>VIGIA DIURNO COM ENCARGOS COMPLEMENTARES</t>
  </si>
  <si>
    <t>CURSO DE CAPACITAÇÃO PARA AUXILIAR DE ALMOXARIFE (ENCARGOS COMPLEMENTARES) - HORISTA</t>
  </si>
  <si>
    <t>CURSO DE CAPACITAÇÃO PARA AJUDANTE DE PINTOR (ENCARGOS COMPLEMENTARES) - HORISTA</t>
  </si>
  <si>
    <t>CURSO DE CAPACITAÇÃO PARA COORDENADOR/GERENTE DE OBRA (ENCARGOS COMPLEMENTARES) - HORISTA</t>
  </si>
  <si>
    <t>CURSO DE CAPACITAÇÃO PARA AUXILIAR DE AZULEJISTA (ENCARGOS COMPLEMENTARES) - HORISTA</t>
  </si>
  <si>
    <t>CURSO DE CAPACITAÇÃO PARA ARQUITETO PAISAGISTA (ENCARGOS COMPLEMENTARES) - HORISTA</t>
  </si>
  <si>
    <t>CURSO DE CAPACITAÇÃO PARA MONTADOR DE ELETROELETRONICOS (ENCARGOS COMPLEMENTARES) - HORISTA</t>
  </si>
  <si>
    <t>CURSO DE CAPACITAÇÃO PARA ENGENHEIRO CIVIL JUNIOR (ENCARGOS COMPLEMENTARES) - HORISTA</t>
  </si>
  <si>
    <t>CURSO DE CAPACITAÇÃO PARA ENGENHEIRO CIVIL PLENO (ENCARGOS COMPLEMENTARES) - HORISTA</t>
  </si>
  <si>
    <t>CURSO DE CAPACITAÇÃO PARA MECÂNICO DE REFRIGERAÇÃO (ENCARGOS COMPLEMENTARES) - HORISTA</t>
  </si>
  <si>
    <t>CURSO DE CAPACITAÇÃO PARA TÉCNICO EM SEGURANÇA DO TRABALHO (ENCARGOS COMPLEMENTARES) - HORISTA</t>
  </si>
  <si>
    <t>AUXILIAR DE ALMOXARIFE COM ENCARGOS COMPLEMENTARES</t>
  </si>
  <si>
    <t>AJUDANTE DE PINTOR COM ENCARGOS COMPLEMENTARES</t>
  </si>
  <si>
    <t>COORDENADOR/GERENTE DE OBRA COM ENCARGOS COMPLEMENTARES</t>
  </si>
  <si>
    <t>AUXILIAR DE AZULEJISTA COM ENCARGOS COMPLEMENTARES</t>
  </si>
  <si>
    <t>ARQUITETO PAISAGISTA COM ENCARGOS COMPLEMENTARES</t>
  </si>
  <si>
    <t>ENGENHEIRO CIVIL JUNIOR COM ENCARGOS COMPLEMENTARES</t>
  </si>
  <si>
    <t>ENGENHEIRO CIVIL PLENO COM ENCARGOS COMPLEMENTARES</t>
  </si>
  <si>
    <t>MONTADOR DE ELETROELETRÔNICOS COM ENCARGOS COMPLEMENTARES</t>
  </si>
  <si>
    <t>MECÂNICO DE REFRIGERAÇÃO COM ENCARGOS COMPLEMENTARES</t>
  </si>
  <si>
    <t>TÉCNICO EM SEGURAÇA DO TRABALHO COM ENCARGOS COMPLEMENTARES</t>
  </si>
  <si>
    <t>CURSO DE CAPACITAÇÃO PARA AUXILIAR DE ALMOXARIFE (ENCARGOS COMPLEMENTARES) - MENSALISTA</t>
  </si>
  <si>
    <t>CURSO DE CAPACITAÇÃO PARA COORDENADOR/GERENTE DE OBRA (ENCARGOS COMPLEMENTARES) - MENSALISTA</t>
  </si>
  <si>
    <t>CURSO DE CAPACITAÇÃO PARA ARQUITETO PAISAGISTA (ENCARGOS COMPLEMENTARES) - MENSALISTA</t>
  </si>
  <si>
    <t>CURSO DE CAPACITAÇÃO PARA ENGENHEIRO CIVIL JUNIOR (ENCARGOS COMPLEMENTARES) - MENSALISTA</t>
  </si>
  <si>
    <t>CURSO DE CAPACITAÇÃO PARA ENGENHEIRO CIVIL PLENO (ENCARGOS COMPLEMENTARES) - MENSALISTA</t>
  </si>
  <si>
    <t>CURSO DE CAPACITAÇÃO PARA TÉCNICO EM SEGURANÇA DO TRABALHO (ENCARGOS COMPLEMENTARES) - MENSALISTA</t>
  </si>
  <si>
    <t>COORDENADOR / GERENTE DE OBRA COM ENCARGOS COMPLEMENTARES</t>
  </si>
  <si>
    <t>TÉCNICO EM SEGURANÇA DO TRABALHO COM ENCARGOS COMPLEMENTARES</t>
  </si>
  <si>
    <t>TECNICO DE EDIFICACOES COM ENCARGOS COMPLEMENTARES</t>
  </si>
  <si>
    <t>CURSO DE CAPACITAÇÃO PARA TECNICO DE EDIFICACOES (ENCARGOS COMPLEMENTARES) - HORISTA</t>
  </si>
  <si>
    <t>CURSO DE CAPACITAÇÃO PARA TECNICO DE EDIFICACOES (ENCARGOS COMPLEMENTARES) - MENSALISTA</t>
  </si>
  <si>
    <t>M2XMES</t>
  </si>
  <si>
    <t xml:space="preserve">MXMES </t>
  </si>
  <si>
    <t>CP-LP-01</t>
  </si>
  <si>
    <t>CP-ESQ-02</t>
  </si>
  <si>
    <t>JANELA DE ALUMÍNIO DE CORRER, 2 FOLHAS, FIXAÇÃO COM ARGAMASSA, COM VIDROS, PADRONIZADA INCLUSO PEITORIL EM GRANILITE 60CM (ABERTURA NA VERTICAL "PASSA PRATO" - FORNECIMENTO E INSTALAÇÃO</t>
  </si>
  <si>
    <t>ALTURA</t>
  </si>
  <si>
    <t>3.7</t>
  </si>
  <si>
    <t>CP-ESQ-03</t>
  </si>
  <si>
    <t>FORNECIMENTO E INSTALAÇÃO DE ACABAMENTO PARA VALVULA DE DESCARGA</t>
  </si>
  <si>
    <t>Acabamento Para Válvula De Descarga Hydra Max</t>
  </si>
  <si>
    <t>quantidaDe</t>
  </si>
  <si>
    <t>REQUADRO EM MADEIRA DE QUADRO ESCOLAR</t>
  </si>
  <si>
    <t>4.2</t>
  </si>
  <si>
    <t>BLOCO 1 (AMPLIAÇÃO)</t>
  </si>
  <si>
    <t xml:space="preserve">BLOCO 2 </t>
  </si>
  <si>
    <t>ESTIMOU-SE  UMA QUANTIDADE PARA OS DOIS BLOCOS, POIS SERÁ REFEITO TODA A PARTE ELÉTRICA</t>
  </si>
  <si>
    <t xml:space="preserve">SENDO QUE PARA CADA BACIA SANITÁRIA CONSIDEROU UMA DECIDA DE 2,8, PARA CADA LAVATÓRIO UMA DESCIDA DE 2,4 E P CADA CHUVEIRO UM PERCURSO DE 3,2 E UM CAMILHO P O ABASTECIMENTO FOI  ESTIMADO UM CAMINHO </t>
  </si>
  <si>
    <t>BLOCO 1 (AMPLIAÇÃO )</t>
  </si>
  <si>
    <t>BLOCO 3 (DEMOLIÇÃO TOTAL)</t>
  </si>
  <si>
    <t>RAMPA BLOCO 1</t>
  </si>
  <si>
    <t>BASE DA CAIXA D AGUA</t>
  </si>
  <si>
    <t>ESTRUTURASUPERIOR  DA CAIXA D AGUA</t>
  </si>
  <si>
    <t>BANHEIRO MASCULINO</t>
  </si>
  <si>
    <t>BANHEIRO FEMININO</t>
  </si>
  <si>
    <t>JANELAS DO BLOCO 1 DE 2,0X1,0</t>
  </si>
  <si>
    <t>JANELAS DO BANHEIRO DE 0,6X0,6</t>
  </si>
  <si>
    <t>PORTAS DOS BOX DO BANHEIRO</t>
  </si>
  <si>
    <t>PORTA DO BANHEIRO MASCULINO + SALA 1</t>
  </si>
  <si>
    <t>TODOS OS EQUIPAMENTOS DOS BANHEIRO INCLUINDO PCD</t>
  </si>
  <si>
    <t>JANELAS A SEREM ABERTAS NAS SALAS JÁ CONSTRUIDAS</t>
  </si>
  <si>
    <t>JANELAS A SEREM APLLIADAS NOS BANHEIROS</t>
  </si>
  <si>
    <t>S29=S30=S32</t>
  </si>
  <si>
    <t>SAPATAS</t>
  </si>
  <si>
    <t>ARRANQUE DOS PILARES</t>
  </si>
  <si>
    <t>SAPATA</t>
  </si>
  <si>
    <t xml:space="preserve">ARRAQUE DOS PILARES </t>
  </si>
  <si>
    <t xml:space="preserve">SAPATA </t>
  </si>
  <si>
    <t>VIGAS BALDRAMES</t>
  </si>
  <si>
    <t xml:space="preserve">SALA 1 </t>
  </si>
  <si>
    <t>SALA 2</t>
  </si>
  <si>
    <t xml:space="preserve">CORREDOR </t>
  </si>
  <si>
    <t xml:space="preserve">FECHAMENTO DAS JANELAS </t>
  </si>
  <si>
    <t>FECHAMENTO DAS CAIXAS DE AR CONDICIONADO</t>
  </si>
  <si>
    <t>CONSTRUÇÃO DO BLO 3</t>
  </si>
  <si>
    <t>AMPLIAÇÃO DA SECRETARIA + DIRETORIA</t>
  </si>
  <si>
    <t>AMPLIAÇÃO DA SALA DO ANTIGO CORREDOR</t>
  </si>
  <si>
    <t>LARGURA</t>
  </si>
  <si>
    <t xml:space="preserve">REPPETIÇÕES </t>
  </si>
  <si>
    <t xml:space="preserve">JANELAS DE 2 M </t>
  </si>
  <si>
    <t xml:space="preserve">JANELAS DE 1M </t>
  </si>
  <si>
    <t>JANELAS 1,5,</t>
  </si>
  <si>
    <t>PORTA DE 0,70</t>
  </si>
  <si>
    <t>PORTA 0,8</t>
  </si>
  <si>
    <t>SECRETARIA + DIRETORIA</t>
  </si>
  <si>
    <t xml:space="preserve">COZINHA </t>
  </si>
  <si>
    <t>PNE</t>
  </si>
  <si>
    <t>CORREDOR 2 + ANTIGO REFEITÓRIO</t>
  </si>
  <si>
    <t xml:space="preserve">SALA  BLOCO 3 </t>
  </si>
  <si>
    <t>SECRETARIA ANTIGA</t>
  </si>
  <si>
    <t xml:space="preserve">ESCADA BLOCO 1 </t>
  </si>
  <si>
    <t>ESCADA BLOCO 2</t>
  </si>
  <si>
    <t>COMPRIMENTO</t>
  </si>
  <si>
    <t xml:space="preserve">BANHEIRO FEMININO </t>
  </si>
  <si>
    <t xml:space="preserve">BANHEIRO MASCULINO </t>
  </si>
  <si>
    <t xml:space="preserve">BANHEIRO PNE </t>
  </si>
  <si>
    <t>BANHEIRO SECRETARIA</t>
  </si>
  <si>
    <t xml:space="preserve">BANHEIRO FUNCIONARIOS </t>
  </si>
  <si>
    <t>LAVANDERIA</t>
  </si>
  <si>
    <t>Per/Area</t>
  </si>
  <si>
    <t>COZINHA</t>
  </si>
  <si>
    <t xml:space="preserve">ENTORNO DA EMEB </t>
  </si>
  <si>
    <t>FRENTE DA ESCOLA</t>
  </si>
  <si>
    <t>SALA 1</t>
  </si>
  <si>
    <t>CORREDOR QUE SE TORNARÁ SALA</t>
  </si>
  <si>
    <t xml:space="preserve">SECRETARIA +DIRETORIA  + BANHEIRO </t>
  </si>
  <si>
    <t>BLOCO DA COZINHA</t>
  </si>
  <si>
    <t xml:space="preserve">AMPLIAÇÃO DA SALA </t>
  </si>
  <si>
    <t>PILARES AMPLIAÇÃO BLOCO 1</t>
  </si>
  <si>
    <t>BANHEIRO DA SECRETARIA</t>
  </si>
  <si>
    <t xml:space="preserve">BANHEIRO DOS FUNCIONARIOS </t>
  </si>
  <si>
    <t xml:space="preserve">PILARES </t>
  </si>
  <si>
    <t xml:space="preserve">SECRETARIA </t>
  </si>
  <si>
    <t>DIRETORIA</t>
  </si>
  <si>
    <t>SALA DE AULA AMPLIAÇÃO</t>
  </si>
  <si>
    <t>REFEITÓRIO</t>
  </si>
  <si>
    <t>DESPENSA</t>
  </si>
  <si>
    <t>CORREDORES+REFEITÓRIO</t>
  </si>
  <si>
    <t>BLOCO 2</t>
  </si>
  <si>
    <t>BLOCO 1</t>
  </si>
  <si>
    <t>BEIRAL</t>
  </si>
  <si>
    <t>BLOCO 3( DESPENSA E LATERAIS DA LAVANDERIA)</t>
  </si>
  <si>
    <t xml:space="preserve">BLOCO 2 DESCONSIDERANDO AS AREAS MOLHADAS </t>
  </si>
  <si>
    <t>BLOCO 1 DESCONSIDERANDO BANHEIRO DA SECRETARIA</t>
  </si>
  <si>
    <t>LIXAMENTO MANUAL DE ALVENARIA</t>
  </si>
  <si>
    <t>BLOCO 3+ METADE DO BLOCO 2</t>
  </si>
  <si>
    <t xml:space="preserve">PILARES NO CORREDOR  </t>
  </si>
  <si>
    <t xml:space="preserve">JANELA </t>
  </si>
  <si>
    <t xml:space="preserve">PORTA </t>
  </si>
  <si>
    <t xml:space="preserve">PORTÃO </t>
  </si>
  <si>
    <t>AREA</t>
  </si>
  <si>
    <t>LADOS</t>
  </si>
  <si>
    <t>CALÇADA AO REDOR DA ESCOLA E FRENTE DA EMEB</t>
  </si>
  <si>
    <t>PORTÃO</t>
  </si>
  <si>
    <t>RASGOS</t>
  </si>
  <si>
    <t>SUBIDA DO BLOCO 2</t>
  </si>
  <si>
    <t xml:space="preserve">SUBIDA DO BLOCO 1 </t>
  </si>
  <si>
    <t>espessura</t>
  </si>
  <si>
    <t xml:space="preserve">TUBOS DE DESCIDAS </t>
  </si>
  <si>
    <t>tubo</t>
  </si>
  <si>
    <t>FECHAMENTO DAS PARTES QUEBRADAS NO BANHEIRO</t>
  </si>
  <si>
    <t>REGISTRO DE ESFERA, PVC, 3/4''</t>
  </si>
  <si>
    <t>JOELHO DE REDUCAO, PVC, ROSCAVEL COM BUCHA DE LATAO, 90 GRAUS,  25 MM -1/2", PARA AGUA FRIA PREDIAL</t>
  </si>
  <si>
    <t>HIDRAULICO</t>
  </si>
  <si>
    <t>RASGOS EM PISO</t>
  </si>
  <si>
    <t>TUBOS LATERAIS</t>
  </si>
  <si>
    <t xml:space="preserve">ESGOTO </t>
  </si>
  <si>
    <t>VENTILAÇÃO</t>
  </si>
  <si>
    <t xml:space="preserve">TUBO DE 100 </t>
  </si>
  <si>
    <t>TUBO DE 40</t>
  </si>
  <si>
    <t xml:space="preserve">TUBO DE 50 </t>
  </si>
  <si>
    <t>AREA EXTERNA</t>
  </si>
  <si>
    <t>CAIXA DE PASSAGEM</t>
  </si>
  <si>
    <t>SANITÁRIO</t>
  </si>
  <si>
    <t>NTERRUPTORES</t>
  </si>
  <si>
    <t xml:space="preserve">TOMADAS ALTAS </t>
  </si>
  <si>
    <t xml:space="preserve">TOMADAS BAIXAS </t>
  </si>
  <si>
    <t>TOMADAS MEDIAS</t>
  </si>
  <si>
    <t xml:space="preserve">ELETRODUTO </t>
  </si>
  <si>
    <t>RASGO</t>
  </si>
  <si>
    <t>FOSSA</t>
  </si>
  <si>
    <t>CAIXA</t>
  </si>
  <si>
    <t>DISJUNTOR TIPO DIN/IEC, TRIPOLAR 80 A</t>
  </si>
  <si>
    <t>LOUÇAS E METAIS</t>
  </si>
  <si>
    <t>BLOCO 3</t>
  </si>
  <si>
    <t>CORREDOR AMPLIAÇÃO BLOCO 1</t>
  </si>
  <si>
    <t>SALA NOVA BLOCO 1</t>
  </si>
  <si>
    <t>FUNDAÇÃO</t>
  </si>
  <si>
    <t>FRENTE</t>
  </si>
  <si>
    <t>LATERAL</t>
  </si>
  <si>
    <t>quant ferro</t>
  </si>
  <si>
    <t>qtt de sapatas</t>
  </si>
  <si>
    <t>qtt de arranque</t>
  </si>
  <si>
    <t>ARRANQUE</t>
  </si>
  <si>
    <t>arranque dos pilares</t>
  </si>
  <si>
    <t xml:space="preserve">BALDRAME </t>
  </si>
  <si>
    <t>V1</t>
  </si>
  <si>
    <t>V2</t>
  </si>
  <si>
    <t>V1N2</t>
  </si>
  <si>
    <t>V1N3</t>
  </si>
  <si>
    <t>V2N2</t>
  </si>
  <si>
    <t>V2N3</t>
  </si>
  <si>
    <t xml:space="preserve">qtt </t>
  </si>
  <si>
    <t>QTT</t>
  </si>
  <si>
    <t>FECHAMENTO</t>
  </si>
  <si>
    <t xml:space="preserve">FECHAMENTO EM ALVENARIA </t>
  </si>
  <si>
    <t>BARRADO CINZA PLATINA, LATERAL  ESQUERDA E FRENTE, EXTERNO</t>
  </si>
  <si>
    <t>FAIXAS VERDE E VERMELHO, LATERAL  ESQUERDA E FRENTE, EXTERNO</t>
  </si>
  <si>
    <t xml:space="preserve"> LATERAL  ESQUERDA E FRENTE, EXTERNO</t>
  </si>
  <si>
    <t>TODAS AS LATERAIS INTERNAS</t>
  </si>
  <si>
    <t>FUNDO EXTERNO</t>
  </si>
  <si>
    <t>quant repetições</t>
  </si>
  <si>
    <t>quant pilares</t>
  </si>
  <si>
    <t xml:space="preserve">muro fundo </t>
  </si>
  <si>
    <t>muro lateral esquerda</t>
  </si>
  <si>
    <t>considerando muro do fundo sendo o lado de fora e considerando  o comprimento total do muro por 2 metros de largura</t>
  </si>
  <si>
    <t>considerando lateral esquerda do lado de fora sendo que essa lateral sera o comprimento total do muro por 2 metros de largura</t>
  </si>
  <si>
    <t>considerando muita camada de vazios</t>
  </si>
  <si>
    <t>DISTANCIA ( KM )</t>
  </si>
  <si>
    <t>CARGA (M3)</t>
  </si>
  <si>
    <t>BLOCO 1 SECRETARIA + DIRETORIA</t>
  </si>
  <si>
    <t>BANHEIRO PNE E NO BANHEIRO DOS FUNCIONARIOS</t>
  </si>
  <si>
    <t>BANHEIROS</t>
  </si>
  <si>
    <t xml:space="preserve">BLOCO 1 </t>
  </si>
  <si>
    <t>REFEITÓRIO + DESPENSA</t>
  </si>
  <si>
    <t>DRENAGEM</t>
  </si>
  <si>
    <t xml:space="preserve">ENCONTRO BLOCO 1 E BLOCO 2 </t>
  </si>
  <si>
    <t>ENCONTRO BLOCO 2 E BLOCO 3</t>
  </si>
  <si>
    <t>PROFUN</t>
  </si>
  <si>
    <t>LATERAL DIREITA BLOCO 1</t>
  </si>
  <si>
    <t xml:space="preserve">PERIMETRO </t>
  </si>
  <si>
    <t>PROF</t>
  </si>
  <si>
    <t>REPETIÇÕES</t>
  </si>
  <si>
    <t>ESPESSURA</t>
  </si>
  <si>
    <t xml:space="preserve">COMPRIMENTO </t>
  </si>
  <si>
    <t>PROFUNDIDADE</t>
  </si>
  <si>
    <t>ESCAVAÇÃO</t>
  </si>
  <si>
    <t>CONCRETO</t>
  </si>
  <si>
    <t>BANCADA COZINHA</t>
  </si>
  <si>
    <t>2.4</t>
  </si>
  <si>
    <t>2.5</t>
  </si>
  <si>
    <t>3.8</t>
  </si>
  <si>
    <t>3.9</t>
  </si>
  <si>
    <t>3.10</t>
  </si>
  <si>
    <t>3.11</t>
  </si>
  <si>
    <t>3.12</t>
  </si>
  <si>
    <t>3.13</t>
  </si>
  <si>
    <t>3.14</t>
  </si>
  <si>
    <t>3.15</t>
  </si>
  <si>
    <t>3.16</t>
  </si>
  <si>
    <t>3.18</t>
  </si>
  <si>
    <t>3.19</t>
  </si>
  <si>
    <t>6.1.1</t>
  </si>
  <si>
    <t>6.1.2</t>
  </si>
  <si>
    <t>6.1.3</t>
  </si>
  <si>
    <t>6.1.4</t>
  </si>
  <si>
    <t>6.1.5</t>
  </si>
  <si>
    <t>6.1.6</t>
  </si>
  <si>
    <t>6.2.2</t>
  </si>
  <si>
    <t>6.2.3</t>
  </si>
  <si>
    <t>6.2.4</t>
  </si>
  <si>
    <t>6.2.5</t>
  </si>
  <si>
    <t>6.2.6</t>
  </si>
  <si>
    <t>7.2</t>
  </si>
  <si>
    <t>12.2</t>
  </si>
  <si>
    <t>12.3</t>
  </si>
  <si>
    <t>12.4</t>
  </si>
  <si>
    <t>12.5</t>
  </si>
  <si>
    <t>11.1</t>
  </si>
  <si>
    <t>11.2</t>
  </si>
  <si>
    <t>11.4</t>
  </si>
  <si>
    <t>11.5</t>
  </si>
  <si>
    <t>11.6</t>
  </si>
  <si>
    <t>11.7</t>
  </si>
  <si>
    <t>13.2</t>
  </si>
  <si>
    <t>14.0</t>
  </si>
  <si>
    <t>14.1</t>
  </si>
  <si>
    <t>15.0</t>
  </si>
  <si>
    <t>15.1</t>
  </si>
  <si>
    <t>16.0</t>
  </si>
  <si>
    <t>16.1</t>
  </si>
  <si>
    <t>16.1.1</t>
  </si>
  <si>
    <t>16.1.2</t>
  </si>
  <si>
    <t>16.2</t>
  </si>
  <si>
    <t>16.2.1</t>
  </si>
  <si>
    <t>17.0</t>
  </si>
  <si>
    <t>17.1</t>
  </si>
  <si>
    <t>PILAR</t>
  </si>
  <si>
    <t>PINTURA DAS ESQUADRIAS</t>
  </si>
  <si>
    <t>18.0</t>
  </si>
  <si>
    <t>19.1</t>
  </si>
  <si>
    <t>19.0</t>
  </si>
  <si>
    <t>18.1</t>
  </si>
  <si>
    <t>5.1.1</t>
  </si>
  <si>
    <t>5.1.2</t>
  </si>
  <si>
    <t>5.1.3</t>
  </si>
  <si>
    <t>5.1.4</t>
  </si>
  <si>
    <t>5.1.5</t>
  </si>
  <si>
    <t>5.1.6</t>
  </si>
  <si>
    <t>5.1.7</t>
  </si>
  <si>
    <t>5.1.8</t>
  </si>
  <si>
    <t>5.1.9</t>
  </si>
  <si>
    <t>5.1.10</t>
  </si>
  <si>
    <t>5.1.11</t>
  </si>
  <si>
    <t>5.1.12</t>
  </si>
  <si>
    <t>5.1.13</t>
  </si>
  <si>
    <t>5.2.1</t>
  </si>
  <si>
    <t>5.2.2</t>
  </si>
  <si>
    <t>5.2.3</t>
  </si>
  <si>
    <t>5.2.4</t>
  </si>
  <si>
    <t>5.2.5</t>
  </si>
  <si>
    <t>5.2.6</t>
  </si>
  <si>
    <t>5.2.7</t>
  </si>
  <si>
    <t>5.2.8</t>
  </si>
  <si>
    <t>5.2.9</t>
  </si>
  <si>
    <t>5.2.10</t>
  </si>
  <si>
    <t>5.2.11</t>
  </si>
  <si>
    <t>5.2.12</t>
  </si>
  <si>
    <t>5.2.13</t>
  </si>
  <si>
    <t>7.3</t>
  </si>
  <si>
    <t>15.1.1</t>
  </si>
  <si>
    <t>15.1.2</t>
  </si>
  <si>
    <t>15.1.3</t>
  </si>
  <si>
    <t>15.1.4</t>
  </si>
  <si>
    <t>15.1.5</t>
  </si>
  <si>
    <t>15.2</t>
  </si>
  <si>
    <t>15.2.1</t>
  </si>
  <si>
    <t>15.2.2</t>
  </si>
  <si>
    <t>15.2.3</t>
  </si>
  <si>
    <t>15.2.4</t>
  </si>
  <si>
    <t>16.1.1.1</t>
  </si>
  <si>
    <t>16.1.1.2</t>
  </si>
  <si>
    <t>16.1.1.3</t>
  </si>
  <si>
    <t>16.1.1.4</t>
  </si>
  <si>
    <t>16.1.1.5</t>
  </si>
  <si>
    <t>16.1.1.6</t>
  </si>
  <si>
    <t>16.1.1.7</t>
  </si>
  <si>
    <t>16.1.1.8</t>
  </si>
  <si>
    <t>16.1.1.9</t>
  </si>
  <si>
    <t>16.1.1.10</t>
  </si>
  <si>
    <t>16.1.1.11</t>
  </si>
  <si>
    <t>16.1.2.1</t>
  </si>
  <si>
    <t>16.1.2.2</t>
  </si>
  <si>
    <t>16.1.2.3</t>
  </si>
  <si>
    <t>16.1.2.4</t>
  </si>
  <si>
    <t>16.1.2.5</t>
  </si>
  <si>
    <t>16.1.2.6</t>
  </si>
  <si>
    <t>16.1.2.7</t>
  </si>
  <si>
    <t>16.1.2.8</t>
  </si>
  <si>
    <t>16.1.2.9</t>
  </si>
  <si>
    <t>16.1.2.10</t>
  </si>
  <si>
    <t>16.1.2.11</t>
  </si>
  <si>
    <t>16.2.1.1</t>
  </si>
  <si>
    <t>16.2.1.2</t>
  </si>
  <si>
    <t>16.2.1.3</t>
  </si>
  <si>
    <t>16.2.1.4</t>
  </si>
  <si>
    <t>16.2.1.5</t>
  </si>
  <si>
    <t>16.3</t>
  </si>
  <si>
    <t>16.3.1</t>
  </si>
  <si>
    <t>16.3.2</t>
  </si>
  <si>
    <t>16.3.3</t>
  </si>
  <si>
    <t>16.3.4</t>
  </si>
  <si>
    <t>16.3.5</t>
  </si>
  <si>
    <t>16.3.6</t>
  </si>
  <si>
    <t>16.3.7</t>
  </si>
  <si>
    <t>19.1.1</t>
  </si>
  <si>
    <t>19.1.2</t>
  </si>
  <si>
    <t>19.1.3</t>
  </si>
  <si>
    <t>19.1.4</t>
  </si>
  <si>
    <t>19.2</t>
  </si>
  <si>
    <t>19.2.1</t>
  </si>
  <si>
    <t>19.2.2</t>
  </si>
  <si>
    <t>19.2.3</t>
  </si>
  <si>
    <t>19.2.4</t>
  </si>
  <si>
    <t>19.2.5</t>
  </si>
  <si>
    <t>19.2.6</t>
  </si>
  <si>
    <t>19.2.7</t>
  </si>
  <si>
    <t>19.2.8</t>
  </si>
  <si>
    <t>19.2.9</t>
  </si>
  <si>
    <t>19.2.10</t>
  </si>
  <si>
    <t>19.2.11</t>
  </si>
  <si>
    <t>19.2.12</t>
  </si>
  <si>
    <t>19.2.13</t>
  </si>
  <si>
    <t>19.2.14</t>
  </si>
  <si>
    <t>19.2.15</t>
  </si>
  <si>
    <t>19.2.16</t>
  </si>
  <si>
    <t>19.2.17</t>
  </si>
  <si>
    <t>19.2.18</t>
  </si>
  <si>
    <t>19.2.19</t>
  </si>
  <si>
    <t>19.2.20</t>
  </si>
  <si>
    <t>19.2.21</t>
  </si>
  <si>
    <t>19.2.22</t>
  </si>
  <si>
    <t>19.2.23</t>
  </si>
  <si>
    <t>19.2.24</t>
  </si>
  <si>
    <t>19.2.25</t>
  </si>
  <si>
    <t>19.3</t>
  </si>
  <si>
    <t>19.3.1</t>
  </si>
  <si>
    <t>19.3.2</t>
  </si>
  <si>
    <t>19.3.3</t>
  </si>
  <si>
    <t>19.3.4</t>
  </si>
  <si>
    <t>19.3.5</t>
  </si>
  <si>
    <t>19.3.6</t>
  </si>
  <si>
    <t>19.3.7</t>
  </si>
  <si>
    <t>19.3.8</t>
  </si>
  <si>
    <t>19.3.9</t>
  </si>
  <si>
    <t>19.3.10</t>
  </si>
  <si>
    <t>19.3.11</t>
  </si>
  <si>
    <t>19.3.12</t>
  </si>
  <si>
    <t>19.3.13</t>
  </si>
  <si>
    <t>19.3.14</t>
  </si>
  <si>
    <t>19.3.15</t>
  </si>
  <si>
    <t>20.0</t>
  </si>
  <si>
    <t>20.1</t>
  </si>
  <si>
    <t>20.1.1</t>
  </si>
  <si>
    <t>20.1.2</t>
  </si>
  <si>
    <t>20.1.3</t>
  </si>
  <si>
    <t>20.1.4</t>
  </si>
  <si>
    <t>20.1.5</t>
  </si>
  <si>
    <t>20.1.6</t>
  </si>
  <si>
    <t>20.2</t>
  </si>
  <si>
    <t>20.2.1</t>
  </si>
  <si>
    <t>20.2.2</t>
  </si>
  <si>
    <t>20.2.3</t>
  </si>
  <si>
    <t>20.2.4</t>
  </si>
  <si>
    <t>20.2.5</t>
  </si>
  <si>
    <t>20.2.6</t>
  </si>
  <si>
    <t>20.2.7</t>
  </si>
  <si>
    <t>20.2.8</t>
  </si>
  <si>
    <t>20.2.9</t>
  </si>
  <si>
    <t>20.2.10</t>
  </si>
  <si>
    <t>20.2.11</t>
  </si>
  <si>
    <t>20.2.12</t>
  </si>
  <si>
    <t>20.2.13</t>
  </si>
  <si>
    <t>20.2.14</t>
  </si>
  <si>
    <t>20.2.15</t>
  </si>
  <si>
    <t>20.2.16</t>
  </si>
  <si>
    <t>20.2.17</t>
  </si>
  <si>
    <t>20.3</t>
  </si>
  <si>
    <t>20.3.1</t>
  </si>
  <si>
    <t>20.3.2</t>
  </si>
  <si>
    <t>20.3.3</t>
  </si>
  <si>
    <t>20.3.4</t>
  </si>
  <si>
    <t>20.4</t>
  </si>
  <si>
    <t>CAIXA D ÁGUA</t>
  </si>
  <si>
    <t>19.4</t>
  </si>
  <si>
    <t>19.4.1</t>
  </si>
  <si>
    <t>21.0</t>
  </si>
  <si>
    <t>21.1</t>
  </si>
  <si>
    <t>21.1.1</t>
  </si>
  <si>
    <t>21.1.2</t>
  </si>
  <si>
    <t>21.1.3</t>
  </si>
  <si>
    <t>21.1.4</t>
  </si>
  <si>
    <t>21.1.5</t>
  </si>
  <si>
    <t>21.1.6</t>
  </si>
  <si>
    <t>21.2</t>
  </si>
  <si>
    <t>21.2.1</t>
  </si>
  <si>
    <t>21.2.2</t>
  </si>
  <si>
    <t>21.2.3</t>
  </si>
  <si>
    <t>22.0</t>
  </si>
  <si>
    <t>22.1</t>
  </si>
  <si>
    <t>22.2</t>
  </si>
  <si>
    <t>22.3</t>
  </si>
  <si>
    <t>22.4</t>
  </si>
  <si>
    <t>22.5</t>
  </si>
  <si>
    <t>22.6</t>
  </si>
  <si>
    <t>22.7</t>
  </si>
  <si>
    <t>22.8</t>
  </si>
  <si>
    <t>22.9</t>
  </si>
  <si>
    <t>22.10</t>
  </si>
  <si>
    <t>22.11</t>
  </si>
  <si>
    <t>22.12</t>
  </si>
  <si>
    <t>22.13</t>
  </si>
  <si>
    <t>22.14</t>
  </si>
  <si>
    <t>22.15</t>
  </si>
  <si>
    <t>23.0</t>
  </si>
  <si>
    <t>23.1</t>
  </si>
  <si>
    <t>23.1.1</t>
  </si>
  <si>
    <t>23.1.2</t>
  </si>
  <si>
    <t>23.1.3</t>
  </si>
  <si>
    <t>23.1.4</t>
  </si>
  <si>
    <t>23.2</t>
  </si>
  <si>
    <t>23.2.1</t>
  </si>
  <si>
    <t>23.2.2</t>
  </si>
  <si>
    <t>23.2.3</t>
  </si>
  <si>
    <t>23.2.4</t>
  </si>
  <si>
    <t>23.2.5</t>
  </si>
  <si>
    <t>23.3</t>
  </si>
  <si>
    <t>23.3.1</t>
  </si>
  <si>
    <t>23.3.2</t>
  </si>
  <si>
    <t>23.3.3</t>
  </si>
  <si>
    <t>23.3.4</t>
  </si>
  <si>
    <t>23.3.5</t>
  </si>
  <si>
    <t>23.3.6</t>
  </si>
  <si>
    <t>23.3.7</t>
  </si>
  <si>
    <t>23.3.8</t>
  </si>
  <si>
    <t>23.3.9</t>
  </si>
  <si>
    <t>ELÉTRICA</t>
  </si>
  <si>
    <t>23.3.10</t>
  </si>
  <si>
    <t>23.3.11</t>
  </si>
  <si>
    <t>23.3.12</t>
  </si>
  <si>
    <t>23.3.13</t>
  </si>
  <si>
    <t>23.3.14</t>
  </si>
  <si>
    <t>23.3.15</t>
  </si>
  <si>
    <t>23.3.16</t>
  </si>
  <si>
    <t>23.3.17</t>
  </si>
  <si>
    <t>23.3.18</t>
  </si>
  <si>
    <t>23.3.19</t>
  </si>
  <si>
    <t>23.3.20</t>
  </si>
  <si>
    <t>23.3.21</t>
  </si>
  <si>
    <t>23.3.22</t>
  </si>
  <si>
    <t>23.3.23</t>
  </si>
  <si>
    <t>23.3.24</t>
  </si>
  <si>
    <t>23.3.25</t>
  </si>
  <si>
    <t>23.3.26</t>
  </si>
  <si>
    <t>23.3.27</t>
  </si>
  <si>
    <t>23.3.28</t>
  </si>
  <si>
    <t>23.3.29</t>
  </si>
  <si>
    <t>23.3.30</t>
  </si>
  <si>
    <t>23.3.31</t>
  </si>
  <si>
    <t>23.3.32</t>
  </si>
  <si>
    <t>23.3.33</t>
  </si>
  <si>
    <t>23.3.34</t>
  </si>
  <si>
    <t>23.3.36</t>
  </si>
  <si>
    <t>23.3.37</t>
  </si>
  <si>
    <t>23.3.38</t>
  </si>
  <si>
    <t>23.3.39</t>
  </si>
  <si>
    <t>24.0</t>
  </si>
  <si>
    <t>24.1</t>
  </si>
  <si>
    <t>24.2</t>
  </si>
  <si>
    <t>24.3</t>
  </si>
  <si>
    <t>24.4</t>
  </si>
  <si>
    <t>24.5</t>
  </si>
  <si>
    <t>24.6</t>
  </si>
  <si>
    <t>24.7</t>
  </si>
  <si>
    <t>SISTEMA DE TRATAMENTO DE ESGOTO</t>
  </si>
  <si>
    <t xml:space="preserve">FILTRO </t>
  </si>
  <si>
    <t>SUMIDOURO</t>
  </si>
  <si>
    <t xml:space="preserve">AREA MAIOR </t>
  </si>
  <si>
    <t>AREA MENOR</t>
  </si>
  <si>
    <t>COTAÇÃO</t>
  </si>
  <si>
    <t>FORNECIMENTO E COLOCAÇÃO DE ADUELAS DE CONCRETO PRÉ-MOLDADO DE 220X100 CM</t>
  </si>
  <si>
    <t>FORNECIMENTO E COLOCAÇÃO DA TAMPA COM VISITA PARA FOSSA SÉPTICA DE 220X10 CM</t>
  </si>
  <si>
    <t>FORNECIMENTO E INSTALAÇÃO DE ADUELAS DE PRÉ-MOLDADAS DE 220X100 PARA FILTRO ANAERÓBICO</t>
  </si>
  <si>
    <t xml:space="preserve">FORNECIMENTO E COLOCAÇÃO DA TAMPA COM VISITA PARA FILTRO ANAEROBICO DE 220X10 </t>
  </si>
  <si>
    <t xml:space="preserve">FORNECIMENTO E COLOCAÇÃO DE FUNDO FALSO PARA FILTRO ANAERÓBICO DE 200X10 </t>
  </si>
  <si>
    <t>FORNECIMENTO E COLOCAÇÃO E PEDRA DE APOIO DE 20X30CM PARA FILTRO ANAERÓBICO</t>
  </si>
  <si>
    <t>FORNECIMENTO E COLOCAÇÃO DE ADUELAS DE CONCRETO COM (FUROS DE 1,5" AFASTAMENTO DE 20CM) PRÉ-MOLDADO DE 220X100 CM</t>
  </si>
  <si>
    <t xml:space="preserve">FOSSA SÉPTICA  COM ADUELAS DE Ø 2,20 M X H=2,00M </t>
  </si>
  <si>
    <t>FILTRO ANAERÓBICO COM ADUELAS DE Ø 2,20 M X H=1,00M</t>
  </si>
  <si>
    <t xml:space="preserve">SUMIDOURO  COM ADUELAS (VAZADA) DE Ø 2,20 M X H=2,00M </t>
  </si>
  <si>
    <t>20.4.1</t>
  </si>
  <si>
    <t>20.4.2</t>
  </si>
  <si>
    <t>20.4.3</t>
  </si>
  <si>
    <t>20.4.4</t>
  </si>
  <si>
    <t>20.4.5</t>
  </si>
  <si>
    <t>VOLUME ESCAVADO</t>
  </si>
  <si>
    <t>VOLUME DO TUBO</t>
  </si>
  <si>
    <t>23.1.5</t>
  </si>
  <si>
    <t>23.1.6</t>
  </si>
  <si>
    <t>23.1.7</t>
  </si>
  <si>
    <t>CP-CBI-01</t>
  </si>
  <si>
    <t>PLACA DE SINALIZACAO DE SEGURANCA CONTRA INCENDIO, FOTOLUMINESCENTE, RETANGULAR, *13 X 26* CM, EM PVC *2* MM ANTI-CHAMAS (SIMBOLOS, CORES E PICTOGRAMAS CONFORME NBR 13434) - FORNECIMENTO E INSTALAÇÃO</t>
  </si>
  <si>
    <t>COMBATE AO INCÊNDIO</t>
  </si>
  <si>
    <t>25.0</t>
  </si>
  <si>
    <t>25.1</t>
  </si>
  <si>
    <t>25.2</t>
  </si>
  <si>
    <t>25.3</t>
  </si>
  <si>
    <t>25.4</t>
  </si>
  <si>
    <t>25.5</t>
  </si>
  <si>
    <t>26.0</t>
  </si>
  <si>
    <t>REMOÇÃO DE DIVISÓRIA DE GRANITO</t>
  </si>
  <si>
    <t>PORTA DA COZINHA</t>
  </si>
  <si>
    <t xml:space="preserve">AREA </t>
  </si>
  <si>
    <t xml:space="preserve">INCLINAÇÃO </t>
  </si>
  <si>
    <t>BANHEIRO</t>
  </si>
  <si>
    <t xml:space="preserve">CUMEEIRA PARA TELHA TERMOACUSTICA </t>
  </si>
  <si>
    <t>CP-COB-01</t>
  </si>
  <si>
    <t>Metro linear</t>
  </si>
  <si>
    <t xml:space="preserve">CUMEEIRA PARA TELHA METÁLICA TERMOACÚSTICA </t>
  </si>
  <si>
    <t>8.1</t>
  </si>
  <si>
    <t>8.2</t>
  </si>
  <si>
    <t>8.3</t>
  </si>
  <si>
    <t>8.4</t>
  </si>
  <si>
    <t>9.1</t>
  </si>
  <si>
    <t>9.2</t>
  </si>
  <si>
    <t>9.3</t>
  </si>
  <si>
    <t xml:space="preserve">PARA A PINTURA DAS TESOURAS FOI CONSIDERADO 20 % DA AREA TOTAL </t>
  </si>
  <si>
    <t>8.5</t>
  </si>
  <si>
    <t>FORNECIMENTO E INSTALAÇÃO DE PLACA DE INAUGURAÇÃO DE 40X60CM</t>
  </si>
  <si>
    <t>AREA PROXIMO A CAIXA D AGUA</t>
  </si>
  <si>
    <t>LATERAL DRENOS</t>
  </si>
  <si>
    <t>FOSSAS</t>
  </si>
  <si>
    <t>25.6</t>
  </si>
  <si>
    <t xml:space="preserve">COMPOSIÇÕES PROPRIAS </t>
  </si>
  <si>
    <t>27.0</t>
  </si>
  <si>
    <t>27.1</t>
  </si>
  <si>
    <t>mês 03</t>
  </si>
  <si>
    <t>mês 04</t>
  </si>
  <si>
    <t>mês 05</t>
  </si>
  <si>
    <t>mês 06</t>
  </si>
  <si>
    <t>MÁQUINA JATO DE PRESSAO PORTÁTIL, CAMARA DE 1 SAIDA, CAPACIDADE 280 L, DIAMETRO 670 MM, BICO DE JATO CURTO VENTURI DE 5/16'' , MANGUEIRA DE 1'' COM COMPRESSOR DE AR REBOCÁVEL 189 PCM E MOTOR DIESEL 63 CV - CHP DIURNO. AF_03/2016</t>
  </si>
  <si>
    <t>USINA DE MISTURA ASFÁLTICA À QUENTE, TIPO CONTRA FLUXO, PROD 100 A 140 TON/HORA - CHP DIURNO. AF_12/2019</t>
  </si>
  <si>
    <t>USINA DE ASFALTO, TIPO GRAVIMÉTRICA, PROD 150 TON/HORA - CHP DIURNO. AF_12/2019</t>
  </si>
  <si>
    <t>MÁQUINA JATO DE PRESSAO PORTÁTIL, CAMARA DE 1 SAIDA, CAPACIDADE 280 L, DIAMETRO 670 MM, BICO DE JATO CURTO VENTURI DE 5/16'' , MANGUEIRA DE 1'' COM COMPRESSOR DE AR REBOCÁVEL 189 PCM E MOTOR DIESEL 63 CV - CHI DIURNO. AF_03/2016</t>
  </si>
  <si>
    <t>USINA DE MISTURA ASFÁLTICA À QUENTE, TIPO CONTRA FLUXO, PROD 100 A 140 TON/HORA - CHI DIURNO. AF_12/2019</t>
  </si>
  <si>
    <t>USINA DE ASFALTO, TIPO GRAVIMÉTRICA, PROD 150 TON/HORA - CHI DIURNO. AF_12/2019</t>
  </si>
  <si>
    <t>MÁQUINA JATO DE PRESSAO PORTÁTIL, CAMARA DE 1 SAIDA, CAPACIDADE 280 L, DIAMETRO 670 MM, BICO DE JATO CURTO VENTURI DE 5/16'' , MANGUEIRA DE 1'' COM COMPRESSOR DE AR REBOCÁVEL 189 PCM E MOTOR DIESEL 63 CV - DEPRECIAÇÃO. AF_03/2016</t>
  </si>
  <si>
    <t>MÁQUINA JATO DE PRESSAO PORTÁTIL, CAMARA DE 1 SAIDA, CAPACIDADE 280 L, DIAMETRO 670 MM, BICO DE JATO CURTO VENTURI DE 5/16'' , MANGUEIRA DE 1'' COM COMPRESSOR DE AR REBOCÁVEL 189 PCM E MOTOR DIESEL 63 CV - JUROS. AF_03/2016</t>
  </si>
  <si>
    <t>MÁQUINA JATO DE PRESSAO PORTÁTIL, CAMARA DE 1 SAIDA, CAPACIDADE 280 L, DIAMETRO 670 MM, BICO DE JATO CURTO VENTURI DE 5/16'' , MANGUEIRA DE 1'' COM COMPRESSOR DE AR REBOCÁVEL 189 PCM E MOTOR DIESEL 63 CV - MANUTENÇÃO. AF_03/2016</t>
  </si>
  <si>
    <t>MÁQUINA JATO DE PRESSAO PORTÁTIL, CAMARA DE 1 SAIDA, CAPACIDADE 280 L, DIAMETRO 670 MM, BICO DE JATO CURTO VENTURI DE 5/16'' , MANGUEIRA DE 1'' COM COMPRESSOR DE AR REBOCÁVEL 189 PCM E MOTOR DIESEL 63 CV - MATERIAIS NA OPERAÇÃO. AF_03/2016</t>
  </si>
  <si>
    <t>USINA DE MISTURA ASFÁLTICA À QUENTE, TIPO CONTRA FLUXO, PROD 100 A 140 TON/HORA - DEPRECIAÇÃO. AF_12/2019</t>
  </si>
  <si>
    <t>USINA DE MISTURA ASFÁLTICA À QUENTE, TIPO CONTRA FLUXO, PROD 100 A 140 TON/HORA - JUROS. AF_12/2019</t>
  </si>
  <si>
    <t>USINA DE MISTURA ASFÁLTICA À QUENTE, TIPO CONTRA FLUXO, PROD 100 A 140 TON/HORA - MANUTENÇÃO. AF_12/2019</t>
  </si>
  <si>
    <t>USINA DE MISTURA ASFÁLTICA À QUENTE, TIPO CONTRA FLUXO, PROD 100 A 140 TON/HORA - MATERIAIS NA OPERAÇÃO. AF_12/2019</t>
  </si>
  <si>
    <t>USINA DE ASFALTO, TIPO GRAVIMÉTRICA, PROD 150 TON/HORA - DEPRECIAÇÃO. AF_12/2019</t>
  </si>
  <si>
    <t>USINA DE ASFALTO, TIPO GRAVIMÉTRICA, PROD 150 TON/HORA - JUROS. AF_12/2019</t>
  </si>
  <si>
    <t>USINA DE ASFALTO, TIPO GRAVIMÉTRICA, PROD 150 TON/HORA - MANUTENÇÃO. AF_12/2019</t>
  </si>
  <si>
    <t>USINA DE ASFALTO, TIPO GRAVIMÉTRICA, PROD 150 TON/HORA - MATERIAIS NA OPERAÇÃO. AF_12/2019</t>
  </si>
  <si>
    <t>KIT DE PORTA-PRONTA DE MADEIRA EM ACABAMENTO MELAMÍNICO BRANCO, FOLHA LEVE OU MÉDIA, 60X210CM, EXCLUSIVE FECHADURA, FIXAÇÃO COM PREENCHIMENTO PARCIAL DE ESPUMA EXPANSIVA - FORNECIMENTO E INSTALAÇÃO. AF_12/2019</t>
  </si>
  <si>
    <t>KIT DE PORTA-PRONTA DE MADEIRA EM ACABAMENTO MELAMÍNICO BRANCO, FOLHA LEVE OU MÉDIA, 70X210CM, EXCLUSIVE FECHADURA, FIXAÇÃO COM PREENCHIMENTO PARCIAL DE ESPUMA EXPANSIVA - FORNECIMENTO E INSTALAÇÃO. AF_12/2019</t>
  </si>
  <si>
    <t>KIT DE PORTA-PRONTA DE MADEIRA EM ACABAMENTO MELAMÍNICO BRANCO, FOLHA LEVE OU MÉDIA, 80X210CM, EXCLUSIVE FECHADURA, FIXAÇÃO COM PREENCHIMENTO PARCIAL DE ESPUMA EXPANSIVA - FORNECIMENTO E INSTALAÇÃO. AF_12/2019</t>
  </si>
  <si>
    <t>KIT DE PORTA-PRONTA DE MADEIRA EM ACABAMENTO MELAMÍNICO BRANCO, FOLHA PESADA OU SUPERPESADA, 80X210CM, EXCLUSIVE FECHADURA, FIXAÇÃO COM PREENCHIMENTO PARCIAL DE ESPUMA EXPANSIVA - FORNECIMENTO E INSTALAÇÃO. AF_12/2019</t>
  </si>
  <si>
    <t>KIT DE PORTA-PRONTA DE MADEIRA EM ACABAMENTO MELAMÍNICO BRANCO, FOLHA PESADA OU SUPERPESADA, 90X210CM, EXCLUSIVE FECHADURA, FIXAÇÃO COM PREENCHIMENTO TOTAL DE ESPUMA EXPANSIVA - FORNECIMENTO E INSTALAÇÃO. AF_12/2019</t>
  </si>
  <si>
    <t>KIT DE PORTA-PRONTA DE MADEIRA EM ACABAMENTO MELAMÍNICO BRANCO, FOLHA LEVE OU MÉDIA, E BATENTE METÁLICO, 60X210CM, EXCLUSIVE FECHADURA, FIXAÇÃO COM ARGAMASSA - FORNECIMENTO E INSTALAÇÃO. AF_12/2019</t>
  </si>
  <si>
    <t>KIT DE PORTA-PRONTA DE MADEIRA EM ACABAMENTO MELAMÍNICO BRANCO, FOLHA LEVE OU MÉDIA, E BATENTE METÁLICO, 70X210CM,  EXCLUSIVE FECHADURA, FIXAÇÃO COM ARGAMASSA - FORNECIMENTO E INSTALAÇÃO. AF_12/2019</t>
  </si>
  <si>
    <t>KIT DE PORTA-PRONTA DE MADEIRA EM ACABAMENTO MELAMÍNICO BRANCO, FOLHA LEVE OU MÉDIA, E BATENTE METÁLICO, 80X210CM, EXCLUSIVE FECHADURA, FIXAÇÃO COM ARGAMASSA - FORNECIMENTO E INSTALAÇÃO. AF_12/2019</t>
  </si>
  <si>
    <t>KIT DE PORTA-PRONTA DE MADEIRA EM ACABAMENTO MELAMÍNICO BRANCO, FOLHA LEVE OU MÉDIA, E BATENTE METÁLICO, 90X210CM,  EXCLUSIVE FECHADURA, FIXAÇÃO COM ARGAMASSA - FORNECIMENTO E INSTALAÇÃO. AF_12/2019</t>
  </si>
  <si>
    <t>KIT DE PORTA-PRONTA DE MADEIRA EM ACABAMENTO MELAMÍNICO BRANCO, FOLHA PESADA OU SUPERPESADA, E BATENTE METÁLICO, 80X210CM, EXCLUSIVE FECHADURA, FIXAÇÃO COM ARGAMASSA - FORNECIMENTO E INSTALAÇÃO. AF_12/2019</t>
  </si>
  <si>
    <t>KIT DE PORTA-PRONTA DE MADEIRA EM ACABAMENTO MELAMÍNICO BRANCO, FOLHA PESADA OU SUPERPESADA, E BATENTE METÁLICO, 90X210CM, EXCLUSIVE FECHADURA, FIXAÇÃO COM ARGAMASSA - FORNECIMENTO E INSTALAÇÃO. AF_12/2019</t>
  </si>
  <si>
    <t>BATENTE PARA PORTA DE MADEIRA, PADRÃO MÉDIO - FORNECIMENTO E MONTAGEM. AF_12/2019</t>
  </si>
  <si>
    <t>BATENTE PARA PORTA DE MADEIRA, FIXAÇÃO COM ARGAMASSA, PADRÃO MÉDIO - FORNECIMENTO E INSTALAÇÃO. AF_12/2019_P</t>
  </si>
  <si>
    <t>PORTA DE MADEIRA PARA PINTURA, SEMI-OCA (LEVE OU MÉDIA), 60X210CM, ESPESSURA DE 3,5CM, INCLUSO DOBRADIÇAS - FORNECIMENTO E INSTALAÇÃO. AF_12/2019</t>
  </si>
  <si>
    <t>PORTA DE MADEIRA PARA PINTURA, SEMI-OCA (LEVE OU MÉDIA), 70X210CM, ESPESSURA DE 3,5CM, INCLUSO DOBRADIÇAS - FORNECIMENTO E INSTALAÇÃO. AF_12/2019</t>
  </si>
  <si>
    <t>PORTA DE MADEIRA PARA PINTURA, SEMI-OCA (LEVE OU MÉDIA), 80X210CM, ESPESSURA DE 3,5CM, INCLUSO DOBRADIÇAS - FORNECIMENTO E INSTALAÇÃO. AF_12/2019</t>
  </si>
  <si>
    <t>PORTA DE MADEIRA PARA PINTURA, SEMI-OCA (LEVE OU MÉDIA), 90X210CM, ESPESSURA DE 3,5CM, INCLUSO DOBRADIÇAS - FORNECIMENTO E INSTALAÇÃO. AF_12/2019</t>
  </si>
  <si>
    <t>PORTA DE MADEIRA PARA PINTURA, SEMI-OCA (PESADA OU SUPERPESADA), 80X210CM, ESPESSURA DE 3,5CM, INCLUSO DOBRADIÇAS - FORNECIMENTO E INSTALAÇÃO. AF_12/2019</t>
  </si>
  <si>
    <t>PORTA DE MADEIRA, MACIÇA (PESADA OU SUPERPESADA), 90X210CM, ESPESSURA DE 3,5CM, INCLUSO DOBRADIÇAS - FORNECIMENTO E INSTALAÇÃO. AF_12/2019</t>
  </si>
  <si>
    <t>FECHADURA DE EMBUTIR COM CILINDRO, EXTERNA, COMPLETA, ACABAMENTO PADRÃO MÉDIO, INCLUSO EXECUÇÃO DE FURO - FORNECIMENTO E INSTALAÇÃO. AF_12/2019</t>
  </si>
  <si>
    <t>FECHADURA DE EMBUTIR PARA PORTA DE BANHEIRO, COMPLETA, ACABAMENTO PADRÃO MÉDIO, INCLUSO EXECUÇÃO DE FURO - FORNECIMENTO E INSTALAÇÃO. AF_12/2019</t>
  </si>
  <si>
    <t>KIT DE PORTA DE MADEIRA PARA PINTURA, SEMI-OCA (LEVE OU MÉDIA), PADRÃO MÉDIO, 60X210CM, ESPESSURA DE 3,5CM, ITENS INCLUSOS: DOBRADIÇAS, MONTAGEM E INSTALAÇÃO DO BATENTE, FECHADURA COM EXECUÇÃO DO FURO - FORNECIMENTO E INSTALAÇÃO. AF_12/2019</t>
  </si>
  <si>
    <t>KIT DE PORTA DE MADEIRA PARA PINTURA, SEMI-OCA (LEVE OU MÉDIA), PADRÃO MÉDIO, 70X210CM, ESPESSURA DE 3,5CM, ITENS INCLUSOS: DOBRADIÇAS, MONTAGEM E INSTALAÇÃO DO BATENTE, FECHADURA COM EXECUÇÃO DO FURO - FORNECIMENTO E INSTALAÇÃO. AF_12/2019</t>
  </si>
  <si>
    <t>KIT DE PORTA DE MADEIRA PARA PINTURA, SEMI-OCA (LEVE OU MÉDIA), PADRÃO MÉDIO, 80X210CM, ESPESSURA DE 3,5CM, ITENS INCLUSOS: DOBRADIÇAS, MONTAGEM E INSTALAÇÃO DO BATENTE, FECHADURA COM EXECUÇÃO DO FURO - FORNECIMENTO E INSTALAÇÃO. AF_12/2019</t>
  </si>
  <si>
    <t>KIT DE PORTA DE MADEIRA PARA PINTURA, SEMI-OCA (LEVE OU MÉDIA), PADRÃO MÉDIO, 90X210CM, ESPESSURA DE 3,5CM, ITENS INCLUSOS: DOBRADIÇAS, MONTAGEM E INSTALAÇÃO DO BATENTE, FECHADURA COM EXECUÇÃO DO FURO - FORNECIMENTO E INSTALAÇÃO. AF_12/2019</t>
  </si>
  <si>
    <t>KIT DE PORTA DE MADEIRA PARA PINTURA, SEMI-OCA (LEVE OU MÉDIA), PADRÃO MÉDIO, 60X210CM, ESPESSURA DE 3,5CM, ITENS INCLUSOS: DOBRADIÇAS, MONTAGEM E INSTALAÇÃO DO BATENTE, SEM FECHADURA - FORNECIMENTO E INSTALAÇÃO. AF_12/2019</t>
  </si>
  <si>
    <t>KIT DE PORTA DE MADEIRA PARA PINTURA, SEMI-OCA (LEVE OU MÉDIA), PADRÃO MÉDIO, 70X210CM, ESPESSURA DE 3,5CM, ITENS INCLUSOS: DOBRADIÇAS, MONTAGEM E INSTALAÇÃO DO BATENTE, SEM FECHADURA - FORNECIMENTO E INSTALAÇÃO. AF_12/2019</t>
  </si>
  <si>
    <t>KIT DE PORTA DE MADEIRA PARA PINTURA, SEMI-OCA (LEVE OU MÉDIA), PADRÃO MÉDIO, 80X210CM, ESPESSURA DE 3,5CM, ITENS INCLUSOS: DOBRADIÇAS, MONTAGEM E INSTALAÇÃO DO BATENTE, SEM FECHADURA - FORNECIMENTO E INSTALAÇÃO. AF_12/2019</t>
  </si>
  <si>
    <t>KIT DE PORTA DE MADEIRA PARA PINTURA, SEMI-OCA (LEVE OU MÉDIA), PADRÃO MÉDIO, 90X210CM, ESPESSURA DE 3,5CM, ITENS INCLUSOS: DOBRADIÇAS, MONTAGEM E INSTALAÇÃO DO BATENTE, SEM FECHADURA - FORNECIMENTO E INSTALAÇÃO. AF_12/2019</t>
  </si>
  <si>
    <t>PORTA DE MADEIRA PARA VERNIZ, SEMI-OCA (LEVE OU MÉDIA), 60X210CM, ESPESSURA DE 3,5CM, INCLUSO DOBRADIÇAS - FORNECIMENTO E INSTALAÇÃO. AF_12/2019</t>
  </si>
  <si>
    <t>PORTA DE MADEIRA PARA VERNIZ, SEMI-OCA (LEVE OU MÉDIA), 70X210CM, ESPESSURA DE 3,5CM, INCLUSO DOBRADIÇAS - FORNECIMENTO E INSTALAÇÃO. AF_12/2019</t>
  </si>
  <si>
    <t>PORTA DE MADEIRA PARA VERNIZ, SEMI-OCA (LEVE OU MÉDIA), 80X210CM, ESPESSURA DE 3,5CM, INCLUSO DOBRADIÇAS - FORNECIMENTO E INSTALAÇÃO. AF_12/2019</t>
  </si>
  <si>
    <t>PORTA DE MADEIRA PARA VERNIZ, SEMI-OCA (LEVE OU MÉDIA), 90X210CM, ESPESSURA DE 3,5CM, INCLUSO DOBRADIÇAS - FORNECIMENTO E INSTALAÇÃO. AF_12/2019</t>
  </si>
  <si>
    <t>KIT DE PORTA DE MADEIRA PARA VERNIZ, SEMI-OCA (LEVE OU MÉDIA), PADRÃO MÉDIO, 60X210CM, ESPESSURA DE 3,5CM, ITENS INCLUSOS: DOBRADIÇAS, MONTAGEM E INSTALAÇÃO DO BATENTE, SEM FECHADURA - FORNECIMENTO E INSTALAÇÃO. AF_12/2019</t>
  </si>
  <si>
    <t>KIT DE PORTA DE MADEIRA PARA VERNIZ, SEMI-OCA (LEVE OU MÉDIA), PADRÃO MÉDIO, 70X210CM, ESPESSURA DE 3,5CM, ITENS INCLUSOS: DOBRADIÇAS, MONTAGEM E INSTALAÇÃO DO BATENTE, SEM FECHADURA - FORNECIMENTO E INSTALAÇÃO. AF_12/2019</t>
  </si>
  <si>
    <t>KIT DE PORTA DE MADEIRA PARA VERNIZ, SEMI-OCA (LEVE OU MÉDIA), PADRÃO MÉDIO, 80X210CM, ESPESSURA DE 3,5CM, ITENS INCLUSOS: DOBRADIÇAS, MONTAGEM E INSTALAÇÃO DO BATENTE, SEM FECHADURA - FORNECIMENTO E INSTALAÇÃO. AF_12/2019</t>
  </si>
  <si>
    <t>KIT DE PORTA DE MADEIRA PARA VERNIZ, SEMI-OCA (LEVE OU MÉDIA), PADRÃO MÉDIO, 90X210CM, ESPESSURA DE 3,5CM, ITENS INCLUSOS: DOBRADIÇAS, MONTAGEM E INSTALAÇÃO DO BATENTE, SEM FECHADURA - FORNECIMENTO E INSTALAÇÃO. AF_12/2019</t>
  </si>
  <si>
    <t>BATENTE PARA PORTA DE MADEIRA, PADRÃO POPULAR - FORNECIMENTO E MONTAGEM. AF_12/2019</t>
  </si>
  <si>
    <t>BATENTE PARA PORTA DE MADEIRA, FIXAÇÃO COM ARGAMASSA, PADRÃO POPULAR. FORNECIMENTO E INSTALAÇÃO. AF_12/2019_P</t>
  </si>
  <si>
    <t>PORTA DE MADEIRA FRISADA, SEMI-OCA (LEVE OU MÉDIA), 60X210CM, ESPESSURA DE 3CM, INCLUSO DOBRADIÇAS - FORNECIMENTO E INSTALAÇÃO. AF_12/2019</t>
  </si>
  <si>
    <t>PORTA DE MADEIRA FRISADA, SEMI-OCA (LEVE OU MÉDIA), 70X210CM, ESPESSURA DE 3CM, INCLUSO DOBRADIÇAS - FORNECIMENTO E INSTALAÇÃO. AF_12/2019</t>
  </si>
  <si>
    <t>PORTA DE MADEIRA FRISADA, SEMI-OCA (LEVE OU MÉDIA), 80X210CM, ESPESSURA DE 3,5CM, INCLUSO DOBRADIÇAS - FORNECIMENTO E INSTALAÇÃO. AF_12/2019</t>
  </si>
  <si>
    <t>PORTA DE MADEIRA TIPO VENEZIANA, 80X210CM, ESPESSURA DE 3CM, INCLUSO DOBRADIÇAS - FORNECIMENTO E INSTALAÇÃO. AF_12/2019</t>
  </si>
  <si>
    <t>PORTA DE MADEIRA, TIPO MEXICANA, MACIÇA (PESADA OU SUPERPESADA), 80X210CM, ESPESSURA DE 3,5CM, INCLUSO DOBRADIÇAS - FORNECIMENTO E INSTALAÇÃO. AF_12/2019</t>
  </si>
  <si>
    <t>FECHADURA DE EMBUTIR COM CILINDRO, EXTERNA, COMPLETA, ACABAMENTO PADRÃO POPULAR, INCLUSO EXECUÇÃO DE FURO - FORNECIMENTO E INSTALAÇÃO. AF_12/2019</t>
  </si>
  <si>
    <t>FECHADURA DE EMBUTIR PARA PORTA DE BANHEIRO, COMPLETA, ACABAMENTO PADRÃO POPULAR, INCLUSO EXECUÇÃO DE FURO - FORNECIMENTO E INSTALAÇÃO. AF_12/2019</t>
  </si>
  <si>
    <t>FECHADURA DE EMBUTIR PARA PORTAS INTERNAS, COMPLETA, ACABAMENTO PADRÃO MÉDIO, COM EXECUÇÃO DE FURO - FORNECIMENTO E INSTALAÇÃO. AF_12/2019</t>
  </si>
  <si>
    <t>FECHADURA DE EMBUTIR PARA PORTAS INTERNAS, COMPLETA, ACABAMENTO PADRÃO POPULAR, COM EXECUÇÃO DE FURO - FORNECIMENTO E INSTALAÇÃO. AF_12/2019</t>
  </si>
  <si>
    <t>KIT DE PORTA DE MADEIRA PARA PINTURA, SEMI-OCA (LEVE OU MÉDIA), PADRÃO POPULAR, 60X210CM, ESPESSURA DE 3,5CM, ITENS INCLUSOS: DOBRADIÇAS, MONTAGEM E INSTALAÇÃO DO BATENTE, FECHADURA COM EXECUÇÃO DO FURO - FORNECIMENTO E INSTALAÇÃO. AF_12/2019</t>
  </si>
  <si>
    <t>KIT DE PORTA DE MADEIRA PARA PINTURA, SEMI-OCA (LEVE OU MÉDIA), PADRÃO POPULAR, 70X210CM, ESPESSURA DE 3,5CM, ITENS INCLUSOS: DOBRADIÇAS, MONTAGEM E INSTALAÇÃO DO BATENTE, FECHADURA COM EXECUÇÃO DO FURO - FORNECIMENTO E INSTALAÇÃO. AF_12/2019</t>
  </si>
  <si>
    <t>KIT DE PORTA DE MADEIRA PARA PINTURA, SEMI-OCA (LEVE OU MÉDIA), PADRÃO POPULAR, 80X210CM, ESPESSURA DE 3,5CM, ITENS INCLUSOS: DOBRADIÇAS, MONTAGEM E INSTALAÇÃO DO BATENTE, FECHADURA COM EXECUÇÃO DO FURO - FORNECIMENTO E INSTALAÇÃO. AF_12/2019</t>
  </si>
  <si>
    <t>KIT DE PORTA DE MADEIRA PARA PINTURA, SEMI-OCA (LEVE OU MÉDIA), PADRÃO POPULAR, 90X210CM, ESPESSURA DE 3,5CM, ITENS INCLUSOS: DOBRADIÇAS, MONTAGEM E INSTALAÇÃO DO BATENTE, FECHADURA COM EXECUÇÃO DO FURO - FORNECIMENTO E INSTALAÇÃO. AF_12/2019</t>
  </si>
  <si>
    <t>KIT DE PORTA DE MADEIRA PARA PINTURA, SEMI-OCA (LEVE OU MÉDIA), PADRÃO POPULAR, 60X210CM, ESPESSURA DE 3,5CM, ITENS INCLUSOS: DOBRADIÇAS, MONTAGEM E INSTALAÇÃO DO BATENTE, SEM FECHADURA - FORNECIMENTO E INSTALAÇÃO. AF_12/2019</t>
  </si>
  <si>
    <t>KIT DE PORTA DE MADEIRA PARA PINTURA, SEMI-OCA (LEVE OU MÉDIA), PADRÃO POPULAR, 70X210CM, ESPESSURA DE 3,5CM, ITENS INCLUSOS: DOBRADIÇAS, MONTAGEM E INSTALAÇÃO DO BATENTE, SEM FECHADURA - FORNECIMENTO E INSTALAÇÃO. AF_12/2019</t>
  </si>
  <si>
    <t>KIT DE PORTA DE MADEIRA PARA PINTURA, SEMI-OCA (LEVE OU MÉDIA), PADRÃO POPULAR, 80X210CM, ESPESSURA DE 3,5CM, ITENS INCLUSOS: DOBRADIÇAS, MONTAGEM E INSTALAÇÃO DO BATENTE, SEM FECHADURA - FORNECIMENTO E INSTALAÇÃO. AF_12/2019</t>
  </si>
  <si>
    <t>KIT DE PORTA DE MADEIRA PARA PINTURA, SEMI-OCA (LEVE OU MÉDIA), PADRÃO POPULAR, 90X210CM, ESPESSURA DE 3,5CM, ITENS INCLUSOS: DOBRADIÇAS, MONTAGEM E INSTALAÇÃO DO BATENTE, SEM FECHADURA - FORNECIMENTO E INSTALAÇÃO. AF_12/2019</t>
  </si>
  <si>
    <t>KIT DE PORTA DE MADEIRA PARA VERNIZ, SEMI-OCA (LEVE OU MÉDIA), PADRÃO POPULAR, 60X210CM, ESPESSURA DE 3,5CM, ITENS INCLUSOS: DOBRADIÇAS, MONTAGEM E INSTALAÇÃO DO BATENTE, SEM FECHADURA - FORNECIMENTO E INSTALAÇÃO. AF_12/2019</t>
  </si>
  <si>
    <t>KIT DE PORTA DE MADEIRA PARA VERNIZ, SEMI-OCA (LEVE OU MÉDIA), PADRÃO POPULAR, 70X210CM, ESPESSURA DE 3,5CM, ITENS INCLUSOS: DOBRADIÇAS, MONTAGEM E INSTALAÇÃO DO BATENTE, SEM FECHADURA - FORNECIMENTO E INSTALAÇÃO. AF_12/2019</t>
  </si>
  <si>
    <t>KIT DE PORTA DE MADEIRA PARA VERNIZ, SEMI-OCA (LEVE OU MÉDIA), PADRÃO POPULAR, 80X210CM, ESPESSURA DE 3,5CM, ITENS INCLUSOS: DOBRADIÇAS, MONTAGEM E INSTALAÇÃO DO BATENTE, SEM FECHADURA - FORNECIMENTO E INSTALAÇÃO. AF_12/2019</t>
  </si>
  <si>
    <t>KIT DE PORTA DE MADEIRA PARA VERNIZ, SEMI-OCA (LEVE OU MÉDIA), PADRÃO POPULAR, 90X210CM, ESPESSURA DE 3,5CM, ITENS INCLUSOS: DOBRADIÇAS, MONTAGEM E INSTALAÇÃO DO BATENTE, SEM FECHADURA - FORNECIMENTO E INSTALAÇÃO. AF_12/2019</t>
  </si>
  <si>
    <t>KIT DE PORTA DE MADEIRA FRISADA, SEMI-OCA (LEVE OU MÉDIA), PADRÃO MÉDIO 60X210CM, ESPESSURA DE 3CM, ITENS INCLUSOS: DOBRADIÇAS, MONTAGEM E INSTALAÇÃO DO BATENTE, SEM FECHADURA - FORNECIMENTO E INSTALAÇÃO. AF_12/2019</t>
  </si>
  <si>
    <t>KIT DE PORTA DE MADEIRA FRISADA, SEMI-OCA (LEVE OU MÉDIA), PADRÃO POPULAR, 60X210CM, ESPESSURA DE 3CM, ITENS INCLUSOS: DOBRADIÇAS, MONTAGEM E INSTALAÇÃO DO BATENTE, SEM FECHADURA - FORNECIMENTO E INSTALAÇÃO. AF_12/2019</t>
  </si>
  <si>
    <t>KIT DE PORTA DE MADEIRA FRISADA, SEMI-OCA (LEVE OU MÉDIA), PADRÃO MÉDIO, 70X210CM, ESPESSURA DE 3CM, ITENS INCLUSOS: DOBRADIÇAS, MONTAGEM E INSTALAÇÃO DO BATENTE, SEM FECHADURA - FORNECIMENTO E INSTALAÇÃO. AF_12/2019</t>
  </si>
  <si>
    <t>KIT DE PORTA DE MADEIRA FRISADA, SEMI-OCA (LEVE OU MÉDIA), PADRÃO POPULAR, 70X210CM, ESPESSURA DE 3CM, ITENS INCLUSOS: DOBRADIÇAS, MONTAGEM E INSTALAÇÃO DO BATENTE, SEM FECHADURA - FORNECIMENTO E INSTALAÇÃO. AF_12/2019</t>
  </si>
  <si>
    <t>KIT DE PORTA DE MADEIRA FRISADA, SEMI-OCA (LEVE OU MÉDIA), PADRÃO MÉDIO, 80X210CM, ESPESSURA DE 3,5CM, ITENS INCLUSOS: DOBRADIÇAS, MONTAGEM E INSTALAÇÃO DO BATENTE, SEM FECHADURA - FORNECIMENTO E INSTALAÇÃO. AF_12/2019</t>
  </si>
  <si>
    <t>KIT DE PORTA DE MADEIRA FRISADA, SEMI-OCA (LEVE OU MÉDIA), PADRÃO POPULAR, 80X210CM, ESPESSURA DE 3,5CM, ITENS INCLUSOS: DOBRADIÇAS, MONTAGEM E INSTALAÇÃO DO BATENTE, SEM FECHADURA - FORNECIMENTO E INSTALAÇÃO. AF_12/2019</t>
  </si>
  <si>
    <t>KIT DE PORTA DE MADEIRA TIPO VENEZIANA, PADRÃO MÉDIO, 80X210CM, ESPESSURA DE 3CM, ITENS INCLUSOS: DOBRADIÇAS, MONTAGEM E INSTALAÇÃO DO BATENTE, SEM FECHADURA - FORNECIMENTO E INSTALAÇÃO. AF_12/2019</t>
  </si>
  <si>
    <t>KIT DE PORTA DE MADEIRA TIPO VENEZIANA, PADRÃO POPULAR, 80X210CM, ESPESSURA DE 3CM, ITENS INCLUSOS: DOBRADIÇAS, MONTAGEM E INSTALAÇÃO DO BATENTE, SEM FECHADURA - FORNECIMENTO E INSTALAÇÃO. AF_12/2019</t>
  </si>
  <si>
    <t>KIT DE PORTA DE MADEIRA TIPO MEXICANA, MACIÇA (PESADA OU SUPERPESADA), PADRÃO MÉDIO, 80X210CM, ESPESSURA DE 3CM, ITENS INCLUSOS: DOBRADIÇAS, MONTAGEM E INSTALAÇÃO DO BATENTE, SEM FECHADURA - FORNECIMENTO E INSTALAÇÃO. AF_12/2019</t>
  </si>
  <si>
    <t>KIT DE PORTA DE MADEIRA TIPO MEXICANA, MACIÇA (PESADA OU SUPERPESADA), PADRÃO POPULAR, 80X210CM, ESPESSURA DE 3CM, ITENS INCLUSOS: DOBRADIÇAS, MONTAGEM E INSTALAÇÃO DO BATENTE, SEM FECHADURA - FORNECIMENTO E INSTALAÇÃO. AF_12/2019</t>
  </si>
  <si>
    <t>ALIZAR DE 5X1,5CM PARA PORTA FIXADO COM PREGOS, PADRÃO MÉDIO - FORNECIMENTO E INSTALAÇÃO. AF_12/2019</t>
  </si>
  <si>
    <t>ALIZAR DE 5X1,5CM PARA PORTA FIXADO COM PREGOS, PADRÃO POPULAR - FORNECIMENTO E INSTALAÇÃO. AF_12/2019</t>
  </si>
  <si>
    <t>KIT DE PORTA-PRONTA DE MADEIRA EM ACABAMENTO MELAMÍNICO BRANCO, FOLHA LEVE OU MÉDIA, 90X210, EXCLUSIVE FECHADURA, FIXAÇÃO COM PREENCHIMENTO TOTAL DE ESPUMA EXPANSIVA - FORNECIMENTO E INSTALAÇÃO. AF_12/2019</t>
  </si>
  <si>
    <t>BATENTE PARA PORTA COM BANDEIRA, FIXAÇÃO COM PARAFUSO E BUCHA. AF_12/2019</t>
  </si>
  <si>
    <t>KIT DE PORTA DE MADEIRA PARA VERNIZ, SEMI-OCA (LEVE OU MÉDIA), PADRÃO MÉDIO, 60X210CM, ESPESSURA DE 3,5CM, ITENS INCLUSOS: DOBRADIÇAS, MONTAGEM E INSTALAÇÃO DE BATENTE, FECHADURA COM EXECUÇÃO DO FURO - FORNECIMENTO E INSTALAÇÃO. AF_12/2019</t>
  </si>
  <si>
    <t>KIT DE PORTA DE MADEIRA PARA VERNIZ, SEMI-OCA (LEVE OU MÉDIA), PADRÃO POPULAR, 60X210CM, ESPESSURA DE 3,5CM, ITENS INCLUSOS: DOBRADIÇAS, MONTAGEM E INSTALAÇÃO DE BATENTE, FECHADURA COM EXECUÇÃO DO FURO - FORNECIMENTO E INSTALAÇÃO. AF_12/2019</t>
  </si>
  <si>
    <t>KIT DE PORTA DE MADEIRA PARA VERNIZ, SEMI-OCA (LEVE OU MÉDIA), PADRÃO MÉDIO, 70X210CM, ESPESSURA DE 3,5CM, ITENS INCLUSOS: DOBRADIÇAS, MONTAGEM E INSTALAÇÃO DE BATENTE, FECHADURA COM EXECUÇÃO DO FURO - FORNECIMENTO E INSTALAÇÃO. AF_12/2019</t>
  </si>
  <si>
    <t>KIT DE PORTA DE MADEIRA FRISADA, SEMI-OCA (LEVE OU MÉDIA), PADRÃO MÉDIO, 70X210CM, ESPESSURA DE 3CM, ITENS INCLUSOS: DOBRADIÇAS, MONTAGEM E INSTALAÇÃO DE BATENTE, FECHADURA COM EXECUÇÃO DO FURO - FORNECIMENTO E INSTALAÇÃO. AF_12/2019</t>
  </si>
  <si>
    <t>KIT DE PORTA DE MADEIRA FRISADA, SEMI-OCA (LEVE OU MÉDIA), PADRÃO POPULAR, 70X210CM, ESPESSURA DE 3CM, ITENS INCLUSOS: DOBRADIÇAS, MONTAGEM E INSTALAÇÃO DE BATENTE, FECHADURA COM EXECUÇÃO DO FURO - FORNECIMENTO E INSTALAÇÃO. AF_12/2019</t>
  </si>
  <si>
    <t>KIT DE PORTA DE MADEIRA PARA VERNIZ, SEMI-OCA (LEVE OU MÉDIA), PADRÃO MÉDIO, 80X210CM, ESPESSURA DE 3,5CM, ITENS INCLUSOS: DOBRADIÇAS, MONTAGEM E INSTALAÇÃO DE BATENTE, FECHADURA COM EXECUÇÃO DO FURO - FORNECIMENTO E INSTALAÇÃO. AF_12/2019</t>
  </si>
  <si>
    <t>KIT DE PORTA DE MADEIRA PARA VERNIZ, SEMI-OCA (LEVE OU MÉDIA), PADRÃO POPULAR, 80X210CM, ESPESSURA DE 3,5CM, ITENS INCLUSOS: DOBRADIÇAS, MONTAGEM E INSTALAÇÃO DE BATENTE, FECHADURA COM EXECUÇÃO DO FURO - FORNECIMENTO E INSTALAÇÃO. AF_12/2019</t>
  </si>
  <si>
    <t>KIT DE PORTA DE MADEIRA PARA VERNIZ, SEMI-OCA (LEVE OU MÉDIA), PADRÃO MÉDIO, 90X210CM, ESPESSURA DE 3,5CM, ITENS INCLUSOS: DOBRADIÇAS, MONTAGEM E INSTALAÇÃO DE BATENTE, FECHADURA COM EXECUÇÃO DO FURO - FORNECIMENTO E INSTALAÇÃO. AF_12/2019</t>
  </si>
  <si>
    <t>KIT DE PORTA DE MADEIRA PARA VERNIZ, SEMI-OCA (LEVE OU MÉDIA), PADRÃO POPULAR, 90X210CM, ESPESSURA DE 3CM, ITENS INCLUSOS: DOBRADIÇAS, MONTAGEM E INSTALAÇÃO DE BATENTE, FECHADURA COM EXECUÇÃO DO FURO - FORNECIMENTO E INSTALAÇÃO. AF_12/2019</t>
  </si>
  <si>
    <t>KIT DE PORTA DE MADEIRA FRISADA, SEMI-OCA (LEVE OU MÉDIA), PADRÃO MÉDIO, 60X210CM, ESPESSURA DE 3,5CM, ITENS INCLUSOS: DOBRADIÇAS, MONTAGEM E INSTALAÇÃO DE BATENTE, FECHADURA COM EXECUÇÃO DO FURO - FORNECIMENTO E INSTALAÇÃO. AF_12/2019</t>
  </si>
  <si>
    <t>KIT DE PORTA DE MADEIRA FRISADA, SEMI-OCA (LEVE OU MÉDIA), PADRÃO POPULAR, 60X210CM, ESPESSURA DE 3CM, ITENS INCLUSOS: DOBRADIÇAS, MONTAGEM E INSTALAÇÃO DE BATENTE, FECHADURA COM EXECUÇÃO DO FURO - FORNECIMENTO E INSTALAÇÃO. AF_12/2019</t>
  </si>
  <si>
    <t>KIT DE PORTA DE MADEIRA FRISADA, SEMI-OCA (LEVE OU MÉDIA), PADRÃO MÉDIO, 80X210CM, ESPESSURA DE 3,5CM, ITENS INCLUSOS: DOBRADIÇAS, MONTAGEM E INSTALAÇÃO DE BATENTE, FECHADURA COM EXECUÇÃO DO FURO - FORNECIMENTO E INSTALAÇÃO. AF_12/2019</t>
  </si>
  <si>
    <t>KIT DE PORTA DE MADEIRA FRISADA, SEMI-OCA (LEVE OU MÉDIA), PADRÃO POPULAR, 80X210CM, ESPESSURA DE 3,5CM, ITENS INCLUSOS: DOBRADIÇAS, MONTAGEM E INSTALAÇÃO DE BATENTE, FECHADURA COM EXECUÇÃO DO FURO - FORNECIMENTO E INSTALAÇÃO. AF_12/2019</t>
  </si>
  <si>
    <t>KIT DE PORTA DE MADEIRA TIPO VENEZIANA, 80X210CM (ESPESSURA DE 3CM), PADRÃO MÉDIO, ITENS INCLUSOS: DOBRADIÇAS, MONTAGEM E INSTALAÇÃO DE BATENTE, FECHADURA COM EXECUÇÃO DO FURO - FORNECIMENTO E INSTALAÇÃO. AF_12/2019</t>
  </si>
  <si>
    <t>KIT DE PORTA DE MADEIRA TIPO VENEZIANA, 80X210CM (ESPESSURA DE 3CM), PADRÃO POPULAR, ITENS INCLUSOS: DOBRADIÇAS, MONTAGEM E INSTALAÇÃO DE BATENTE, FECHADURA COM EXECUÇÃO DO FURO - FORNECIMENTO E INSTALAÇÃO. AF_12/2019</t>
  </si>
  <si>
    <t>KIT DE PORTA DE MADEIRA TIPO MEXICANA, MACIÇA (PESADA OU SUPERPESADA), PADRÃO MÉDIO, 80X210CM, ESPESSURA DE 3,5CM, ITENS INCLUSOS: DOBRADIÇAS, MONTAGEM E INSTALAÇÃO DE BATENTE, FECHADURA COM EXECUÇÃO DO FURO - FORNECIMENTO E INSTALAÇÃO. AF_12/2019</t>
  </si>
  <si>
    <t>KIT DE PORTA DE MADEIRA TIPO MEXICANA, MACIÇA (PESADA OU SUPERPESADA), PADRÃO POPULAR, 80X210CM, ESPESSURA DE 3,5CM, ITENS INCLUSOS: DOBRADIÇAS, MONTAGEM E INSTALAÇÃO DE BATENTE, FECHADURA COM EXECUÇÃO DO FURO - FORNECIMENTO E INSTALAÇÃO. AF_12/2019</t>
  </si>
  <si>
    <t>RECOLOCAÇÃO DE FOLHAS DE PORTA DE MADEIRA LEVE OU MÉDIA DE 60CM DE LARGURA, CONSIDERANDO REAPROVEITAMENTO DO MATERIAL. AF_12/2019</t>
  </si>
  <si>
    <t>RECOLOCAÇÃO DE FOLHAS DE PORTA DE MADEIRA LEVE OU MÉDIA DE 70CM DE LARGURA, CONSIDERANDO REAPROVEITAMENTO DO MATERIAL. AF_12/2019</t>
  </si>
  <si>
    <t>RECOLOCAÇÃO DE FOLHAS DE PORTA DE MADEIRA LEVE OU MÉDIA DE 80CM DE LARGURA, CONSIDERANDO REAPROVEITAMENTO DO MATERIAL. AF_12/2019</t>
  </si>
  <si>
    <t>RECOLOCAÇÃO DE FOLHAS DE PORTA DE MADEIRA LEVE OU MÉDIA DE 90CM DE LARGURA, CONSIDERANDO REAPROVEITAMENTO DO MATERIAL. AF_12/2019</t>
  </si>
  <si>
    <t>RECOLOCAÇÃO DE FOLHAS DE PORTA DE MADEIRA PESADA OU SUPERPESADA DE 80CM DE LARGURA, CONSIDERANDO REAPROVEITAMENTO DO MATERIAL. AF_12/2019</t>
  </si>
  <si>
    <t>PORTA DE MADEIRA COMPENSADA LISA PARA PINTURA, 120X210X3,5CM, 2 FOLHAS, INCLUSO ADUELA 2A, ALIZAR 2A E DOBRADIÇAS. AF_12/2019</t>
  </si>
  <si>
    <t>KIT DE PORTA DE MADEIRA PARA VERNIZ, SEMI-OCA (LEVE OU MÉDIA), PADRÃO POPULAR, 70X210CM, ESPESSURA DE 3,5CM, ITENS INCLUSOS: DOBRADIÇAS, MONTAGEM E INSTALAÇÃO DE BATENTE, FECHADURA COM EXECUÇÃO DO FURO - FORNECIMENTO E INSTALAÇÃO. AF_12/2019</t>
  </si>
  <si>
    <t>JANELA DE MADEIRA - CEDRINHO/ANGELIM OU EQUIVALENTE DA REGIÃO - DE ABRIR COM 4 FOLHAS (2 VENEZIANAS E 2 GUILHOTINAS PARA VIDRO), COM BATENTE, ALIZAR E FERRAGENS. EXCLUSIVE VIDROS, ACABAMENTO E CONTRAMARCO. FORNECIMENTO E INSTALAÇÃO. AF_12/2019</t>
  </si>
  <si>
    <t>JANELA DE MADEIRA (PINUS/EUCALIPTO OU EQUIV.) DE ABRIR COM 4 FOLHAS (2 VENEZIANAS E 2 GUILHOTINAS PARA VIDRO), COM BATENTE, ALIZAR E FERRAGENS. EXCLUSIVE VIDROS, ACABAMENTO E CONTRAMARCO. FORNECIMENTO E INSTALAÇÃO. AF_12/2019</t>
  </si>
  <si>
    <t>JANELA DE MADEIRA (IMBUIA/CEDRO OU EQUIV.) DE ABRIR COM 4 FOLHAS (2 VENEZIANAS E 2 GUILHOTINAS PARA VIDRO), COM BATENTE, ALIZAR E FERRAGENS. EXCLUSIVE VIDROS, ACABAMENTO E CONTRAMARCO. FORNECIMENTO E INSTALAÇÃO. AF_12/2019</t>
  </si>
  <si>
    <t>JANELA DE MADEIRA (CEDRINHO/ANGELIM OU EQUIV.) TIPO MAXIM-AR, PARA VIDRO, COM BATENTE, ALIZAR E FERRAGENS. EXCLUSIVE VIDRO, ACABAMENTO E CONTRAMARCO. FORNECIMENTO E INSTALAÇÃO. AF_12/2019</t>
  </si>
  <si>
    <t>JANELA DE MADEIRA (PINUS/EUCALIPTO OU EQUIV.) TIPO BASCULANTE COM 2 FOLHAS PARA VIDRO, COM BATENTE, ALIZAR E FERRAGENS. EXCLUSIVE VIDROS, ACABAMENTO E CONTRAMARCO. FORNECIMENTO E INSTALAÇÃO. AF_12/2019</t>
  </si>
  <si>
    <t>JANELA DE MADEIRA (CEDRINHO/ANGELIM OU EQUIV.) DE CORRER COM 6 FOLHAS (2 VENEZ. FIXAS, 2 VENEZ. DE CORRER E 2 DE CORRER PARA VIDRO), COM BATENTE, ALIZAR E FERRAGENS. EXCLUSIVE VIDROS, ACABAMENTO E CONTRAMARCO. FORNECIMENTO E INSTALAÇÃO. AF_12/2019</t>
  </si>
  <si>
    <t>JANELA DE MADEIRA (IMBUIA/CEDRO OU EQUIV) DE CORRER COM 6 FOLHAS (2 VENEZIANAS FIXAS, 2 VENEZIANAS DE CORRER E 2 DE CORRER PARA VIDRO), COM BATENTE, ALIZAR E FERRAGENS. EXCLUSIVE VIDROS, ACABAMENTO E CONTRAMARCO. FORNECIMENTO E INSTALAÇÃO. AF_12/2019</t>
  </si>
  <si>
    <t>JANELA DE MADEIRA (PINUS/EUCALIPTO OU EQUIV.) DE CORRER COM 6 FOLHAS (2 VENEZ. FIXAS, 2 VENEZ. DE CORRER E 2 DE CORRER PARA VIDRO), COM BATENTE, ALIZAR E FERRAGENS. EXCLUSIVE VIDROS, ACABAMENTO E CONTRAMARCO. FORNECIMENTO EINSTALAÇÃO. AF_12/2019</t>
  </si>
  <si>
    <t>PORTA DE FERRO, DE ABRIR, TIPO GRADE COM CHAPA, COM GUARNIÇÕES. AF_12/2019</t>
  </si>
  <si>
    <t>JANELA DE AÇO TIPO BASCULANTE PARA VIDROS, COM BATENTE, FERRAGENS E PINTURA ANTICORROSIVA. EXCLUSIVE VIDROS, ACABAMENTO, ALIZAR E CONTRAMARCO. FORNECIMENTO E INSTALAÇÃO. AF_12/2019</t>
  </si>
  <si>
    <t>JANELA DE AÇO DE CORRER COM 2 FOLHAS PARA VIDRO, COM VIDROS, BATENTE, FERRAGENS E PINTURAS ANTICORROSIVA E DE ACABAMENTO. EXCLUSIVE ALIZAR E CONTRAMARCO. FORNECIMENTO E INSTALAÇÃO. AF_12/2019</t>
  </si>
  <si>
    <t>JANELA DE AÇO DE CORRER COM 4 FOLHAS PARA VIDRO, COM BATENTE, FERRAGENS E PINTURA ANTICORROSIVA. EXCLUSIVE VIDROS, ALIZAR E CONTRAMARCO. FORNECIMENTO E INSTALAÇÃO. AF_12/2019</t>
  </si>
  <si>
    <t>JANELA DE AÇO DE CORRER COM 6 FOLHAS (4 VENEZIANAS E 2 PARA VIDRO), COM VIDROS, BATENTE, FERRAGENS E PINTURAS ANTICORROSIVA E DE ACABAMENTO. EXCLUSIVE ALIZAR E CONTRAMARCO. FORNECIMENTO E INSTALAÇÃO. AF_12/2019</t>
  </si>
  <si>
    <t>CONTRAMARCO DE AÇO, FIXAÇÃO COM ARGAMASSA - FORNECIMENTO E INSTALAÇÃO. AF_12/2019</t>
  </si>
  <si>
    <t>CONTRAMARCO DE AÇO, FIXAÇÃO COM PARAFUSO - FORNECIMENTO E INSTALAÇÃO. AF_12/2019</t>
  </si>
  <si>
    <t>PORTA CORTA-FOGO 90X210X4CM - FORNECIMENTO E INSTALAÇÃO. AF_12/2019</t>
  </si>
  <si>
    <t>PORTA DE ALUMÍNIO DE ABRIR COM LAMBRI, COM GUARNIÇÃO, FIXAÇÃO COM PARAFUSOS - FORNECIMENTO E INSTALAÇÃO. AF_12/2019</t>
  </si>
  <si>
    <t>PORTA EM ALUMÍNIO DE ABRIR TIPO VENEZIANA COM GUARNIÇÃO, FIXAÇÃO COM PARAFUSOS - FORNECIMENTO E INSTALAÇÃO. AF_12/2019</t>
  </si>
  <si>
    <t>PORTA DE ALUMÍNIO DE ABRIR PARA VIDRO SEM GUARNIÇÃO, 87X210CM, FIXAÇÃO COM PARAFUSOS, INCLUSIVE VIDROS - FORNECIMENTO E INSTALAÇÃO. AF_12/2019</t>
  </si>
  <si>
    <t>PORTA EM AÇO DE ABRIR PARA VIDRO SEM GUARNIÇÃO, 87X210CM, FIXAÇÃO COM PARAFUSOS, EXCLUSIVE VIDROS - FORNECIMENTO E INSTALAÇÃO. AF_12/2019</t>
  </si>
  <si>
    <t>PORTA EM AÇO DE ABRIR TIPO VENEZIANA SEM GUARNIÇÃO, 87X210CM, FIXAÇÃO COM PARAFUSOS - FORNECIMENTO E INSTALAÇÃO. AF_12/2019</t>
  </si>
  <si>
    <t>PORTA DE CORRER DE ALUMÍNIO, COM DUAS FOLHAS PARA VIDRO, INCLUSO VIDRO LISO INCOLOR, FECHADURA E PUXADOR, SEM ALIZAR. AF_12/2019</t>
  </si>
  <si>
    <t>PUXADOR CENTRAL PARA ESQUADRIA DE MADEIRA. AF_12/2019</t>
  </si>
  <si>
    <t>PORTA CADEADO ZINCADO OXIDADO PRETO COM CADEADO DE AÇO INOX, LARGURA DE *50* MM. AF_12/2019</t>
  </si>
  <si>
    <t>TARJETA TIPO LIVRE/OCUPADO PARA PORTA DE BANHEIRO. AF_12/2019</t>
  </si>
  <si>
    <t>CREMONA EM LATÃO CROMADO OU POLIDO, COMPLETA. AF_12/2019</t>
  </si>
  <si>
    <t>FECHO DE EMBUTIR TIPO UNHA 22CM. AF_12/2019</t>
  </si>
  <si>
    <t>FECHO DE EMBUTIR TIPO UNHA 40CM. AF_12/2019</t>
  </si>
  <si>
    <t>DOBRADIÇA EM AÇO/FERRO, 3" X 21/2", E=1,9 A 2MM, SEN ANEL, CROMADO OU ZINCADO, TAMPA BOLA, COM PARAFUSOS. AF_12/2019</t>
  </si>
  <si>
    <t>DOBRADIÇA TIPO VAI E VEM EM LATÃO POLIDO 3". AF_12/2019</t>
  </si>
  <si>
    <t>JANELA DE ALUMÍNIO TIPO MAXIM-AR, COM VIDROS, BATENTE E FERRAGENS. EXCLUSIVE ALIZAR, ACABAMENTO E CONTRAMARCO. FORNECIMENTO E INSTALAÇÃO. AF_12/2019</t>
  </si>
  <si>
    <t>JANELA DE ALUMÍNIO DE CORRER COM 2 FOLHAS PARA VIDROS, COM VIDROS, BATENTE, ACABAMENTO COM ACETATO OU BRILHANTE E FERRAGENS. EXCLUSIVE ALIZAR E CONTRAMARCO. FORNECIMENTO E INSTALAÇÃO. AF_12/2019</t>
  </si>
  <si>
    <t>JANELA DE ALUMÍNIO DE CORRER COM 3 FOLHAS (2 VENEZIANAS E 1 PARA VIDRO), COM VIDROS, BATENTE E FERRAGENS. EXCLUSIVE ACABAMENTO, ALIZAR E CONTRAMARCO. FORNECIMENTO E INSTALAÇÃO. AF_12/2019</t>
  </si>
  <si>
    <t>JANELA DE ALUMÍNIO DE CORRER COM 4 FOLHAS PARA VIDROS, COM VIDROS, BATENTE, ACABAMENTO COM ACETATO OU BRILHANTE E FERRAGENS. EXCLUSIVE ALIZAR E CONTRAMARCO. FORNECIMENTO E INSTALAÇÃO. AF_12/2019</t>
  </si>
  <si>
    <t>JANELA DE ALUMÍNIO DE CORRER COM 6 FOLHAS (2 VENEZIANAS FIXAS, 2 VENEZIANAS DE CORRER E 2 PARA VIDRO), COM VIDROS, BATENTE, ACABAMENTO COM ACETATO OU BRILHANTE E FERRAGENS. EXCLUSIVE ALIZAR E CONTRAMARCO. FORNECIMENTO E INSTALAÇÃO. AF_12/2019</t>
  </si>
  <si>
    <t>JANELA FIXA DE ALUMÍNIO PARA VIDRO, COM VIDRO, BATENTE E FERRAGENS. EXCLUSIVE ACABAMENTO, ALIZAR E CONTRAMARCO. FORNECIMENTO E INSTALAÇÃO. AF_12/2019</t>
  </si>
  <si>
    <t>ESTACA HÉLICE CONTÍNUA, DIÂMETRO DE 30 CM, INCLUSO CONCRETO FCK=20MPA E ARMADURA MÍNIMA (EXCLUSIVE MOBILIZAÇÃO E DESMOBILIZAÇÃO). AF_12/2019</t>
  </si>
  <si>
    <t>ESTACA HÉLICE CONTÍNUA , DIÂMETRO DE 50 CM, INCLUSO CONCRETO FCK=20MPA E ARMADURA MÍNIMA (EXCLUSIVE MOBILIZAÇÃO E DESMOBILIZAÇÃO). AF_12/2019</t>
  </si>
  <si>
    <t>ESTACA HÉLICE CONTÍNUA, DIÂMETRO DE 70 CM, INCLUSO CONCRETO FCK=20MPA E ARMADURA MÍNIMA (EXCLUSIVE MOBILIZAÇÃO E DESMOBILIZAÇÃO). AF_12/2019</t>
  </si>
  <si>
    <t>ESTACA HÉLICE CONTÍNUA, DIÂMETRO DE 80 CM, INCLUSO CONCRETO FCK=20MPA E ARMADURA MÍNIMA (EXCLUSIVE MOBILIZAÇÃO E DESMOBILIZAÇÃO). AF_12/2019.</t>
  </si>
  <si>
    <t>ESTACA HÉLICE CONTÍNUA, DIÂMETRO DE 90 CM, INCLUSO CONCRETO FCK=20MPA E ARMADURA MÍNIMA (EXCLUSIVE MOBILIZAÇÃO E DESMOBILIZAÇÃO). AF_12/2019.</t>
  </si>
  <si>
    <t>ESTACA PRÉ-MOLDADA DE CONCRETO, SEÇÃO QUADRADA, CAPACIDADE DE 25 TONELADAS, INCLUSO EMENDA (EXCLUSIVE MOBILIZAÇÃO E DESMOBILIZAÇÃO). AF_12/2019</t>
  </si>
  <si>
    <t>ESTACA PRÉ-MOLDADA DE CONCRETO SEÇÃO QUADRADA, CAPACIDADE DE 50 TONELADAS, INCLUSO EMENDA (EXCLUSIVE MOBILIZAÇÃO E DESMOBILIZAÇÃO). AF_12/2019</t>
  </si>
  <si>
    <t>ESTACA PRÉ-MOLDADA DE CONCRETO CENTRIFUGADO, SEÇÃO CIRCULAR, CAPACIDADE DE 100 TONELADAS, INCLUSO EMENDA (EXCLUSIVE MOBILIZAÇÃO E DESMOBILIZAÇÃO). AF_12/2019</t>
  </si>
  <si>
    <t>ESTACA METÁLICA PARA FUNDAÇÃO, UTILIZANDO PERFIL LAMINADO HP250X62 (EXCLUSIVE MOBILIZAÇÃO E DESMOBILIZAÇÃO). AF_01/2020</t>
  </si>
  <si>
    <t>ESTACA METÁLICA PARA FUNDAÇÃO, UTILIZANDO PERFIL LAMINADO HP310X79 (EXCLUSIVE MOBILIZAÇÃO E DESMOBILIZAÇÃO). AF_01/2020</t>
  </si>
  <si>
    <t>ESTACA METÁLICA PARA CONTENÇÃO, UTILIZANDO PERFIL LAMINADO W250X32,7 (EXCLUSIVE MOBILIZAÇÃO E DESMOBILIZAÇÃO). AF_01/2020</t>
  </si>
  <si>
    <t>ESTACA METÁLICA PARA CONTENÇÃO, UTILIZANDO PERFIL LAMINADO W250X38,5 (EXCLUSIVE MOBILIZAÇÃO E DESMOBILIZAÇÃO). AF_01/2020</t>
  </si>
  <si>
    <t>ESTACA METÁLICA PARA CONTENÇÃO, UTILIZANDO PERFIL LAMINADO W250X44,8 (EXCLUSIVE MOBILIZAÇÃO E DESMOBILIZAÇÃO). AF_01/2020</t>
  </si>
  <si>
    <t>ESTACA ESCAVADA MECANICAMENTE, SEM FLUIDO ESTABILIZANTE, COM 25CM DE DIÂMETRO, CONCRETO LANÇADO POR CAMINHÃO BETONEIRA (EXCLUSIVE MOBILIZAÇÃO E DESMOBILIZAÇÃO). AF_01/2020</t>
  </si>
  <si>
    <t>ESTACA ESCAVADA MECANICAMENTE, SEM FLUIDO ESTABILIZANTE, COM 40CM DE DIÂMETRO, CONCRETO LANÇADO POR CAMINHÃO BETONEIRA (EXCLUSIVE MOBILIZAÇÃO E DESMOBILIZAÇÃO). AF_01/2020</t>
  </si>
  <si>
    <t>ESTACA ESCAVADA MECANICAMENTE, SEM FLUIDO ESTABILIZANTE, COM 60CM DE DIÂMETRO, CONCRETO LANÇADO POR CAMINHÃO BETONEIRA (EXCLUSIVE MOBILIZAÇÃO E DESMOBILIZAÇÃO). AF_01/2020</t>
  </si>
  <si>
    <t>ESTACA ESCAVADA MECANICAMENTE, SEM FLUIDO ESTABILIZANTE, COM 25CM DE DIÂMETRO, CONCRETO LANÇADO MANUALMENTE (EXCLUSIVE MOBILIZAÇÃO E DESMOBILIZAÇÃO). AF_01/2020</t>
  </si>
  <si>
    <t>ESTACA ESCAVADA MECANICAMENTE, SEM FLUIDO ESTABILIZANTE, COM 60CM DE DIÂMETRO, CONCRETO LANÇADO POR BOMBA LANÇA (EXCLUSIVE MOBILIZAÇÃO E DESMOBILIZAÇÃO). AF_01/2020</t>
  </si>
  <si>
    <t>VIGA METÁLICA EM PERFIL LAMINADO OU SOLDADO EM AÇO ESTRUTURAL, COM CONEXÕES PARAFUSADAS, INCLUSOS MÃO DE OBRA, TRANSPORTE E IÇAMENTO UTILIZANDO GUINDASTE - FORNECIMENTO E INSTALAÇÃO. AF_01/2020_P</t>
  </si>
  <si>
    <t>VIGA METÁLICA EM PERFIL LAMINADO OU SOLDADO EM AÇO ESTRUTURAL, COM CONEXÕES SOLDADAS, INCLUSOS MÃO DE OBRA, TRANSPORTE E IÇAMENTO UTILIZANDO GUINDASTE - FORNECIMENTO E INSTALAÇÃO. AF_01/2020_P</t>
  </si>
  <si>
    <t>PILAR METÁLICO PERFIL LAMINADO/SOLDADO EM AÇO ESTRUTURAL, COM CONEXÕES PARAFUSADAS, INCLUSOS MÃO DE OBRA, TRANSPORTE E IÇAMENTO UTILIZANDO GUINDASTE - FORNECIMENTO E INSTALAÇÃO. AF_01/2020_P</t>
  </si>
  <si>
    <t>PILAR METÁLICO PERFIL LAMINADO OU SOLDADO EM AÇO ESTRUTURAL, COM CONEXÕES SOLDADAS, INCLUSOS MÃO DE OBRA, TRANSPORTE E IÇAMENTO UTILIZANDO GUINDASTE - FORNECIMENTO E INSTALAÇÃO. AF_01/2020</t>
  </si>
  <si>
    <t>CONTRAVENTAMENTO COM CANTONEIRAS DE AÇO, ABAS IGUAIS, COM CONEXÕES PARAFUSADAS, INCLUSOS MÃO DE OBRA, TRANSPORTE E IÇAMENTO UTILIZANDO TALHA MANUAL, PARA EDIFÍCIOS DE ATÉ 2 PAVIMENTOS - FORNECIMENTO E INSTALAÇÃO. AF_01/2020_P</t>
  </si>
  <si>
    <t>CONTRAVENTAMENTO COM CANTONEIRAS DE AÇO, ABAS IGUAIS, COM CONEXÕES SOLDADAS, INCLUSOS MÃO DE OBRA, TRANSPORTE E IÇAMENTO UTILIZANDO TALHA MANUAL, PARA EDIFÍCIOS DE ATÉ 2 PAVIMENTOS - FORNECIMENTO E INSTALAÇÃO. AF_01/2020</t>
  </si>
  <si>
    <t>CONTRAVENTAMENTO COM CANTONEIRAS DE AÇO, ABAS IGUAIS, COM CONEXÕES PARAFUSADAS, INCLUSOS MÃO DE OBRA, TRANSPORTE E IÇAMENTO UTILIZANDO GUINDASTE, PARA EDIFÍCIOS DE 3 A 5 PAVIMENTOS - FORNECIMENTO E INSTALAÇÃO. AF_01/2020_P</t>
  </si>
  <si>
    <t>CONTRAVENTAMENTO COM CANTONEIRAS DE AÇO, ABAS IGUAIS, COM CONEXÕES SOLDADAS, INCLUSOS MÃO DE OBRA, TRANSPORTE E IÇAMENTO UTILIZANDO GUINDASTE, PARA EDIFÍCIOS DE 3 A 5 PAVIMENTOS - FORNECIMENTO E INSTALAÇÃO. AF_01/2020</t>
  </si>
  <si>
    <t>CONTRAVENTAMENTO COM CANTONEIRAS DE AÇO, ABAS IGUAIS, COM CONEXÕES PARAFUSADAS, INCLUSOS MÃO DE OBRA, TRANSPORTE E IÇAMENTO UTILIZANDO GRUA, PARA EDIFÍCIOS DE 6 A 10 PAVIMENTOS - FORNECIMENTO E INSTALAÇÃO. AF_01/2020_P</t>
  </si>
  <si>
    <t>CONTRAVENTAMENTO COM CANTONEIRAS DE AÇO, ABAS IGUAIS, COM CONEXÕES SOLDADAS, INCLUSOS MÃO DE OBRA, TRANSPORTE E IÇAMENTO UTILIZANDO GRUA, PARA EDIFÍCIOS DE 6 A 10 PAVIMENTOS - FORNECIMENTO E INSTALAÇÃO. AF_01/2020</t>
  </si>
  <si>
    <t>ESTRUTURA TRELIÇADA DE COBERTURA, TIPO ARCO, COM LIGAÇÕES SOLDADAS, INCLUSOS PERFIS METÁLICOS, CHAPAS METÁLICAS, MÃO DE OBRA E TRANSPORTE COM GUINDASTE - FORNECIMENTO E INSTALAÇÃO. AF_01/2020_P</t>
  </si>
  <si>
    <t>ESTRUTURA TRELIÇADA DE COBERTURA, TIPO SHED, COM LIGAÇÕES SOLDADAS, INCLUSOS PERFIS METÁLICOS, CHAPAS METÁLICAS, MÃO DE OBRA E TRANSPORTE COM GUINDASTE - FORNECIMENTO E INSTALAÇÃO. AF_01/2020_P</t>
  </si>
  <si>
    <t>ESTRUTURA TRELIÇADA DE COBERTURA, TIPO FINK, COM LIGAÇÕES SOLDADAS, INCLUSOS PERFIS METÁLICOS, CHAPAS METÁLICAS, MÃO DE OBRA E TRANSPORTE COM GUINDASTE - FORNECIMENTO E INSTALAÇÃO. AF_01/2020_P</t>
  </si>
  <si>
    <t>ESTRUTURA TRELIÇADA DE COBERTURA, TIPO ARCO, COM LIGAÇÕES PARAFUSADAS, INCLUSOS PERFIS METÁLICOS, CHAPAS METÁLICAS, MÃO DE OBRA E TRANSPORTE COM GUINDASTE - FORNECIMENTO E INSTALAÇÃO. AF_01/2020_P</t>
  </si>
  <si>
    <t>ESTRUTURA TRELIÇADA DE COBERTURA, TIPO SHED, COM LIGAÇÕES PARAFUSADAS, INCLUSOS PERFIS METÁLICOS, CHAPAS METÁLICAS, MÃO DE OBRA E TRANSPORTE COM GUINDASTE - FORNECIMENTO E INSTALAÇÃO. AF_01/2020_P</t>
  </si>
  <si>
    <t>ESTRUTURA TRELIÇADA DE COBERTURA, TIPO FINK, COM LIGAÇÕES PARAFUSADAS, INCLUSOS PERFIS METÁLICOS, CHAPAS METÁLICAS, MÃO DE OBRA E TRANSPORTE COM GUINDASTE - FORNECIMENTO E INSTALAÇÃO. AF_01/2020_P</t>
  </si>
  <si>
    <t>ASSENTAMENTO DE POSTE DE CONCRETO COM COMPRIMENTO NOMINAL DE 9 M, CARGA NOMINAL MENOR OU IGUAL A 1000 DAN, ENGASTAMENTO SIMPLES COM 1,5 M DE SOLO (NÃO INCLUI FORNECIMENTO). AF_11/2019</t>
  </si>
  <si>
    <t>ASSENTAMENTO DE POSTE DE CONCRETO COM COMPRIMENTO NOMINAL DE 10 M, CARGA NOMINAL MENOR OU IGUAL A 1000 DAN, ENGASTAMENTO SIMPLES COM 1,6 M DE SOLO (NÃO INCLUI FORNECIMENTO). AF_11/2019</t>
  </si>
  <si>
    <t>ASSENTAMENTO DE POSTE DE CONCRETO COM COMPRIMENTO NOMINAL DE 10 M, CARGA NOMINAL MAIOR QUE 1000 DAN, ENGASTAMENTO SIMPLES COM 1,6 M DE SOLO (NÃO INCLUI FORNECIMENTO). AF_11/2019</t>
  </si>
  <si>
    <t>ASSENTAMENTO DE POSTE DE CONCRETO COM COMPRIMENTO NOMINAL DE 10,5 M, CARGA NOMINAL MENOR OU IGUAL A 1000 DAN, ENGASTAMENTO SIMPLES COM 1,65 M DE SOLO (NÃO INCLUI FORNECIMENTO). AF_11/2019</t>
  </si>
  <si>
    <t>ASSENTAMENTO DE POSTE DE CONCRETO COM COMPRIMENTO NOMINAL DE 10,5 M, CARGA NOMINAL MAIOR QUE 1000 DAN, ENGASTAMENTO SIMPLES COM 1,65 M DE SOLO (NÃO INCLUI FORNECIMENTO). AF_11/2019</t>
  </si>
  <si>
    <t>ASSENTAMENTO DE POSTE DE CONCRETO COM COMPRIMENTO NOMINAL DE 11 M, CARGA NOMINAL MENOR OU IGUAL A 1000 DAN, ENGASTAMENTO SIMPLES COM 1,7 M DE SOLO (NÃO INCLUI FORNECIMENTO). AF_11/2019</t>
  </si>
  <si>
    <t>ASSENTAMENTO DE POSTE DE CONCRETO COM COMPRIMENTO NOMINAL DE 11 M, CARGA NOMINAL MAIOR QUE 1000 DAN, ENGASTAMENTO SIMPLES COM 1,7 M DE SOLO (NÃO INCLUI FORNECIMENTO). AF_11/2019</t>
  </si>
  <si>
    <t>ASSENTAMENTO DE POSTE DE CONCRETO COM COMPRIMENTO NOMINAL DE 12 M, CARGA NOMINAL MENOR OU IGUAL A 1000 DAN, ENGASTAMENTO SIMPLES COM 1,8 M DE SOLO (NÃO INCLUI FORNECIMENTO). AF_11/2019</t>
  </si>
  <si>
    <t>ASSENTAMENTO DE POSTE DE CONCRETO COM COMPRIMENTO NOMINAL DE 12 M, CARGA NOMINAL MAIOR QUE 1000 DAN, ENGASTAMENTO SIMPLES COM 1,8 M DE SOLO (NÃO INCLUI FORNECIMENTO). AF_11/2019</t>
  </si>
  <si>
    <t>ASSENTAMENTO DE POSTE DE CONCRETO COM COMPRIMENTO NOMINAL DE 13 M, CARGA NOMINAL MENOR OU IGUAL A 1000 DAN, ENGASTAMENTO SIMPLES COM 1,9 M DE SOLO (NÃO INCLUI FORNECIMENTO). AF_11/2019</t>
  </si>
  <si>
    <t>ASSENTAMENTO DE POSTE DE CONCRETO COM COMPRIMENTO NOMINAL DE 13 M, CARGA NOMINAL MAIOR QUE 1000 DAN, ENGASTAMENTO SIMPLES COM 1,9 M DE SOLO (NÃO INCLUI FORNECIMENTO). AF_11/2019</t>
  </si>
  <si>
    <t>ASSENTAMENTO DE POSTE DE CONCRETO COM COMPRIMENTO NOMINAL DE 13,5 M, CARGA NOMINAL MENOR OU IGUAL A 1000 DAN, ENGASTAMENTO SIMPLES COM 1,95 M DE SOLO (NÃO INCLUI FORNECIMENTO). AF_11/2019</t>
  </si>
  <si>
    <t>ASSENTAMENTO DE POSTE DE CONCRETO COM COMPRIMENTO NOMINAL DE 13,5 M, CARGA NOMINAL MAIOR QUE 1000 DAN, ENGASTAMENTO SIMPLES COM 1,95 M DE SOLO (NÃO INCLUI FORNECIMENTO). AF_11/2019</t>
  </si>
  <si>
    <t>ASSENTAMENTO DE POSTE DE CONCRETO COM COMPRIMENTO NOMINAL DE 14 M, CARGA NOMINAL MENOR OU IGUAL A 1000 DAN, ENGASTAMENTO SIMPLES COM 2 M DE SOLO (NÃO INCLUI FORNECIMENTO). AF_11/2019</t>
  </si>
  <si>
    <t>ASSENTAMENTO DE POSTE DE CONCRETO COM COMPRIMENTO NOMINAL DE 14 M, CARGA NOMINAL MAIOR QUE 1000 DAN, ENGASTAMENTO SIMPLES COM 2 M DE SOLO (NÃO INCLUI FORNECIMENTO). AF_11/2019</t>
  </si>
  <si>
    <t>ASSENTAMENTO DE POSTE DE CONCRETO COM COMPRIMENTO NOMINAL DE 15 M, CARGA NOMINAL MENOR OU IGUAL A 1000 DAN, ENGASTAMENTO SIMPLES COM 2,1 M DE SOLO (NÃO INCLUI FORNECIMENTO). AF_11/2019</t>
  </si>
  <si>
    <t>ASSENTAMENTO DE POSTE DE CONCRETO COM COMPRIMENTO NOMINAL DE 15 M, CARGA NOMINAL MAIOR QUE 1000 DAN, ENGASTAMENTO SIMPLES COM 2,1 M DE SOLO (NÃO INCLUI FORNECIMENTO). AF_11/2019</t>
  </si>
  <si>
    <t>ASSENTAMENTO DE POSTE DE CONCRETO COM COMPRIMENTO NOMINAL DE 18 M, CARGA NOMINAL MENOR OU IGUAL A 1000 DAN, ENGASTAMENTO SIMPLES COM 2,4 M DE SOLO (NÃO INCLUI FORNECIMENTO). AF_11/2019</t>
  </si>
  <si>
    <t>ASSENTAMENTO DE POSTE DE CONCRETO COM COMPRIMENTO NOMINAL DE 18 M, CARGA NOMINAL MAIOR QUE 1000 DAN, ENGASTAMENTO SIMPLES COM 2,4 M DE SOLO (NÃO INCLUI FORNECIMENTO). AF_11/2019</t>
  </si>
  <si>
    <t>ASSENTAMENTO DE POSTE DE CONCRETO COM COMPRIMENTO NOMINAL DE 20 M, CARGA NOMINAL MENOR OU IGUAL A 1000 DAN, ENGASTAMENTO SIMPLES COM 2,6 M DE SOLO (NÃO INCLUI FORNECIMENTO). AF_11/2019</t>
  </si>
  <si>
    <t>ASSENTAMENTO DE POSTE DE CONCRETO COM COMPRIMENTO NOMINAL DE 20 M, CARGA NOMINAL MAIOR QUE 1000, ENGASTAMENTO SIMPLES COM 2,6 M DE SOLO (NÃO INCLUI FORNECIMENTO). AF_11/2019</t>
  </si>
  <si>
    <t>ASSENTAMENTO DE POSTE DE CONCRETO COM COMPRIMENTO NOMINAL DE 9 M, CARGA NOMINAL DE 150 DAN, ENGASTAMENTO BASE CONCRETADA COM 1 M DE CONCRETO E 0,5 M DE SOLO (NÃO INCLUI FORNECIMENTO). AF_11/2019</t>
  </si>
  <si>
    <t>ASSENTAMENTO DE POSTE DE CONCRETO COM COMPRIMENTO NOMINAL DE 9 M, CARGA NOMINAL DE 300 DAN, ENGASTAMENTO BASE CONCRETADA COM 1 M DE CONCRETO E 0,5 M DE SOLO (NÃO INCLUI FORNECIMENTO). AF_11/2019</t>
  </si>
  <si>
    <t>ASSENTAMENTO DE POSTE DE CONCRETO COM COMPRIMENTO NOMINAL DE 9 M, CARGA NOMINAL DE 400 DAN, ENGASTAMENTO BASE CONCRETADA COM 1 M DE CONCRETO E 0,5 M DE SOLO (NÃO INCLUI FORNECIMENTO). AF_11/2019</t>
  </si>
  <si>
    <t>ASSENTAMENTO DE POSTE DE CONCRETO COM COMPRIMENTO NOMINAL DE 9 M, CARGA NOMINAL DE 600 DAN, ENGASTAMENTO BASE CONCRETADA COM 1 M DE CONCRETO E 0,5 M DE SOLO (NÃO INCLUI FORNECIMENTO). AF_11/2019</t>
  </si>
  <si>
    <t>ASSENTAMENTO DE POSTE DE CONCRETO COM COMPRIMENTO NOMINAL DE 9 M, CARGA NOMINAL DE 1000 DAN, ENGASTAMENTO BASE CONCRETADA COM 1 M DE CONCRETO E 0,5 M DE SOLO (NÃO INCLUI FORNECIMENTO). AF_11/2019</t>
  </si>
  <si>
    <t>ASSENTAMENTO DE POSTE DE CONCRETO COM COMPRIMENTO NOMINAL DE 10 M, CARGA NOMINAL DE 300 DAN, ENGASTAMENTO BASE CONCRETADA COM 1 M DE CONCRETO E 0,6 M DE SOLO (NÃO INCLUI FORNECIMENTO). AF_11/2019</t>
  </si>
  <si>
    <t>ASSENTAMENTO DE POSTE DE CONCRETO COM COMPRIMENTO NOMINAL DE 10 M, CARGA NOMINAL DE 600 DAN, ENGASTAMENTO BASE CONCRETADA COM 1 M DE CONCRETO E 0,6 M DE SOLO (NÃO INCLUI FORNECIMENTO). AF_11/2019</t>
  </si>
  <si>
    <t>ASSENTAMENTO DE POSTE DE CONCRETO COM COMPRIMENTO NOMINAL DE 10 M, CARGA NOMINAL DE 1000 DAN, ENGASTAMENTO BASE CONCRETADA COM 1 M DE CONCRETO E 0,6 M DE SOLO (NÃO INCLUI FORNECIMENTO). AF_11/2019</t>
  </si>
  <si>
    <t>ASSENTAMENTO DE POSTE DE CONCRETO COM COMPRIMENTO NOMINAL DE 10,5 M, CARGA NOMINAL DE 300 DAN, ENGASTAMENTO BASE CONCRETADA COM 1 M DE CONCRETO E 0,65 M DE SOLO (NÃO INCLUI FORNECIMENTO). AF_11/2019</t>
  </si>
  <si>
    <t>ASSENTAMENTO DE POSTE DE CONCRETO COM COMPRIMENTO NOMINAL DE 10,5 M, CARGA NOMINAL DE 600 DAN, ENGASTAMENTO BASE CONCRETADA COM 1 M DE CONCRETO E 0,65 M DE SOLO (NÃO INCLUI FORNECIMENTO). AF_11/2019</t>
  </si>
  <si>
    <t>ASSENTAMENTO DE POSTE DE CONCRETO COM COMPRIMENTO NOMINAL DE 10,5 M, CARGA NOMINAL DE 1000 DAN, ENGASTAMENTO BASE CONCRETADA COM 1 M DE CONCRETO E 0,65 M DE SOLO (NÃO INCLUI FORNECIMENTO). AF_11/2019</t>
  </si>
  <si>
    <t>ASSENTAMENTO DE POSTE DE CONCRETO COM COMPRIMENTO NOMINAL DE 11 M, CARGA NOMINAL DE 300 DAN, ENGASTAMENTO BASE CONCRETADA COM 1 M DE CONCRETO E 0,7 M DE SOLO (NÃO INCLUI FORNECIMENTO). AF_11/2019</t>
  </si>
  <si>
    <t>ASSENTAMENTO DE POSTE DE CONCRETO COM COMPRIMENTO NOMINAL DE 11 M, CARGA NOMINAL DE 400 DAN, ENGASTAMENTO BASE CONCRETADA COM 1 M DE CONCRETO E 0,7 M DE SOLO (NÃO INCLUI FORNECIMENTO). AF_11/2019</t>
  </si>
  <si>
    <t>ASSENTAMENTO DE POSTE DE CONCRETO COM COMPRIMENTO NOMINAL DE 11 M, CARGA NOMINAL DE 600 DAN, ENGASTAMENTO BASE CONCRETADA COM 1 M DE CONCRETO E 0,7 M DE SOLO (NÃO INCLUI FORNECIMENTO). AF_11/2019</t>
  </si>
  <si>
    <t>ASSENTAMENTO DE POSTE DE CONCRETO COM COMPRIMENTO NOMINAL DE 11 M, CARGA NOMINAL DE 1000 DAN, ENGASTAMENTO BASE CONCRETADA COM 1 M DE CONCRETO E 0,7 M DE SOLO (NÃO INCLUI FORNECIMENTO). AF_11/2019</t>
  </si>
  <si>
    <t>ASSENTAMENTO DE POSTE DE CONCRETO COM COMPRIMENTO NOMINAL DE 12 M, CARGA NOMINAL DE 400 DAN, ENGASTAMENTO BASE CONCRETADA COM 1 M DE CONCRETO E 0,8 M DE SOLO (NÃO INCLUI FORNECIMENTO). AF_11/2019</t>
  </si>
  <si>
    <t>ASSENTAMENTO DE POSTE DE CONCRETO COM COMPRIMENTO NOMINAL DE 12 M, CARGA NOMINAL DE 600 DAN, ENGASTAMENTO BASE CONCRETADA COM 1 M DE CONCRETO E 0,8 M DE SOLO (NÃO INCLUI FORNECIMENTO). AF_11/2019</t>
  </si>
  <si>
    <t>ASSENTAMENTO DE POSTE DE CONCRETO COM COMPRIMENTO NOMINAL DE 12 M, CARGA NOMINAL DE 1000 DAN, ENGASTAMENTO BASE CONCRETADA COM 1 M DE CONCRETO E 0,8 M DE SOLO (NÃO INCLUI FORNECIMENTO). AF_11/2019</t>
  </si>
  <si>
    <t>ASSENTAMENTO DE POSTE DE CONCRETO COM COMPRIMENTO NOMINAL DE 13 M, CARGA NOMINAL DE 600 DAN, ENGASTAMENTO BASE CONCRETADA COM 1 M DE CONCRETO E 0,9 M DE SOLO (NÃO INCLUI FORNECIMENTO). AF_11/2019</t>
  </si>
  <si>
    <t>ASSENTAMENTO DE POSTE DE CONCRETO COM COMPRIMENTO NOMINAL DE 13 M, CARGA NOMINAL DE 1000 DAN, ENGASTAMENTO BASE CONCRETADA COM 1 M DE CONCRETO E 0,9 M DE SOLO - SOMENTE INSTALAÇÃO, SEM FORNECIMENTO. AF_11/2019</t>
  </si>
  <si>
    <t>POSTE DECORATIVO PARA JARDIM EM AÇO TUBULAR, H = *2,5* M, SEM LUMINÁRIA - FORNECIMENTO E INSTALAÇÃO. AF_11/2019</t>
  </si>
  <si>
    <t>POSTE DE AÇO CONICO CONTÍNUO CURVO SIMPLES, FLANGEADO, H=9M, INCLUSIVE LUMINÁRIA, SEM LÂMPADA - FORNECIMENTO E INSTALACAO. AF_11/2019</t>
  </si>
  <si>
    <t>POSTE DE AÇO CONICO CONTÍNUO CURVO DUPLO, FLANGEADO, H=9M, INCLUSIVE LUMINÁRIAS, SEM LÂMPADAS - FORNECIMENTO E INSTALACAO. AF_11/2019</t>
  </si>
  <si>
    <t>POSTE DE AÇO CONICO CONTÍNUO CURVO SIMPLES, ENGASTADO, H=9M, INCLUSIVE LUMINÁRIA, SEM LÂMPADA - FORNECIMENTO E INSTALACAO. AF_11/2019</t>
  </si>
  <si>
    <t>POSTE DE AÇO CONICO CONTÍNUO CURVO DUPLO, ENGASTADO, H=9M, INCLUSIVE LUMINÁRIAS, SEM LÂMPADAS - FORNECIMENTO E INSTALACAO. AF_11/2019</t>
  </si>
  <si>
    <t>CAIXA DE INCÊNDIO 60X90X17CM - FORNECIMENTO E INSTALAÇÃO</t>
  </si>
  <si>
    <t>CABO TELEFÔNICO CCI-50 1 PAR, INSTALADO EM ENTRADA DE EDIFICAÇÃO - FORNECIMENTO E INSTALAÇÃO. AF_11/2019</t>
  </si>
  <si>
    <t>CABO TELEFÔNICO CCI-50 2 PARES, SEM BLINDAGEM, INSTALADO EM ENTRADA DE EDIFICAÇÃO - FORNECIMENTO E INSTALAÇÃO. AF_11/2019</t>
  </si>
  <si>
    <t>CABO TELEFÔNICO CCI-50 3 PARES, SEM BLINDAGEM, INSTALADO EM ENTRADA DE EDIFICAÇÃO - FORNECIMENTO E INSTALAÇÃO. AF_11/2019</t>
  </si>
  <si>
    <t>CABO TELEFÔNICO CCI-50 4 PARES, SEM BLINDAGEM, INSTALADO EM ENTRADA DE EDIFICAÇÃO - FORNECIMENTO E INSTALAÇÃO. AF_11/2019</t>
  </si>
  <si>
    <t>CABO TELEFÔNICO CCI-50 5 PARES, SEM BLINDAGEM, INSTALADO EM ENTRADA DE EDIFICAÇÃO - FORNECIMENTO E INSTALAÇÃO. AF_11/2019</t>
  </si>
  <si>
    <t>CABO TELEFÔNICO CCI-50 6 PARES, SEM BLINDAGEM, INSTALADO EM ENTRADA DE EDIFICAÇÃO - FORNECIMENTO E INSTALAÇÃO. AF_11/2019</t>
  </si>
  <si>
    <t>CABO TELEFÔNICO CI-50 10 PARES INSTALADO EM ENTRADA DE EDIFICAÇÃO - FORNECIMENTO E INSTALAÇÃO. AF_11/2019</t>
  </si>
  <si>
    <t>CABO TELEFÔNICO CI-50 20 PARES INSTALADO EM ENTRADA DE EDIFICAÇÃO - FORNECIMENTO E INSTALAÇÃO. AF_11/2019</t>
  </si>
  <si>
    <t>CABO TELEFÔNICO CI-50 30 PARES INSTALADO EM ENTRADA DE EDIFICAÇÃO - FORNECIMENTO E INSTALAÇÃO. AF_11/2019</t>
  </si>
  <si>
    <t>CABO TELEFÔNICO CI-50 50 PARES INSTALADO EM ENTRADA DE EDIFICAÇÃO - FORNECIMENTO E INSTALAÇÃO. AF_11/2019</t>
  </si>
  <si>
    <t>CABO TELEFÔNICO CI-50 75 PARES INSTALADO EM ENTRADA DE EDIFICAÇÃO - FORNECIMENTO E INSTALAÇÃO. AF_11/2019</t>
  </si>
  <si>
    <t>CABO TELEFÔNICO CI-50 200 PARES INSTALADO EM ENTRADA DE EDIFICAÇÃO - FORNECIMENTO E INSTALAÇÃO. AF_11/2019</t>
  </si>
  <si>
    <t>CABO TELEFÔNICO CCI-50 4 PARES, SEM BLINDAGEM, INSTALADO EM PRUMADA - FORNECIMENTO E INSTALAÇÃO. AF_11/2019</t>
  </si>
  <si>
    <t>CABO TELEFÔNICO CCI-50 5 PARES, SEM BLINDAGEM, INSTALADO EM PRUMADA - FORNECIMENTO E INSTALAÇÃO. AF_11/2019</t>
  </si>
  <si>
    <t>CABO TELEFÔNICO CCI-50 6 PARES, SEM BLINDAGEM, INSTALADO EM PRUMADA - FORNECIMENTO E INSTALAÇÃO. AF_11/2019</t>
  </si>
  <si>
    <t>CABO TELEFÔNICO CI-50 10 PARES INSTALADO EM PRUMADA - FORNECIMENTO E INSTALAÇÃO. AF_11/2019</t>
  </si>
  <si>
    <t>CABO TELEFÔNICO CI-50 20 PARES INSTALADO EM PRUMADA - FORNECIMENTO E INSTALAÇÃO. AF_11/2019</t>
  </si>
  <si>
    <t>CABO TELEFÔNICO CI-50 30 PARES INSTALADO EM PRUMADA - FORNECIMENTO E INSTALAÇÃO. AF_11/2019</t>
  </si>
  <si>
    <t>CABO TELEFÔNICO CI-50 50 PARES INSTALADO EM PRUMADA - FORNECIMENTO E INSTALAÇÃO. AF_11/2019</t>
  </si>
  <si>
    <t>CABO TELEFÔNICO CCI-50 1 PAR, SEM BLINDAGEM, INSTALADO EM DISTRIBUIÇÃO DE EDIFICAÇÃO RESIDENCIAL - FORNECIMENTO E INSTALAÇÃO. AF_11/2019</t>
  </si>
  <si>
    <t>CABO TELEFÔNICO CCI-50 2 PARES, SEM BLINDAGEM, INSTALADO EM DISTRIBUIÇÃO DE EDIFICAÇÃO RESIDENCIAL - FORNECIMENTO E INSTALAÇÃO. AF_11/2019</t>
  </si>
  <si>
    <t>CABO TELEFÔNICO CCI-50 3 PARES, SEM BLINDAGEM, INSTALADO EM DISTRIBUIÇÃO DE EDIFICAÇÃO RESIDENCIAL - FORNECIMENTO E INSTALAÇÃO. AF_11/2019</t>
  </si>
  <si>
    <t>CABO TELEFÔNICO CCI-50 4 PARES, SEM BLINDAGEM, INSTALADO EM DISTRIBUIÇÃO DE EDIFICAÇÃO RESIDENCIAL - FORNECIMENTO E INSTALAÇÃO. AF_11/2019</t>
  </si>
  <si>
    <t>CABO TELEFÔNICO CCI-50 5 PARES, SEM BLINDAGEM, INSTALADO EM DISTRIBUIÇÃO DE EDIFICAÇÃO RESIDENCIAL - FORNECIMENTO E INSTALAÇÃO. AF_11/2019</t>
  </si>
  <si>
    <t>CABO TELEFÔNICO CCI-50 6 PARES, SEM BLINDAGEM, INSTALADO EM DISTRIBUIÇÃO DE EDIFICAÇÃO RESIDENCIAL - FORNECIMENTO E INSTALAÇÃO. AF_11/2019</t>
  </si>
  <si>
    <t>CABO TELEFÔNICO CI-50 10 PARES INSTALADO EM DISTRIBUIÇÃO DE EDIFICAÇÃO RESIDENCIAL - FORNECIMENTO E INSTALAÇÃO. AF_11/2019</t>
  </si>
  <si>
    <t>CABO TELEFÔNICO CCI-50 1 PAR, SEM BLINDAGEM, INSTALADO EM DISTRIBUIÇÃO DE EDIFICAÇÃO INSTITUCIONAL - FORNECIMENTO E INSTALAÇÃO. AF_11/2019</t>
  </si>
  <si>
    <t>CABO TELEFÔNICO CCI-50 2 PARES, SEM BLINDAGEM, INSTALADO EM DISTRIBUIÇÃO DE EDIFICAÇÃO INSTITUCIONAL - FORNECIMENTO E INSTALAÇÃO. AF_11/2019</t>
  </si>
  <si>
    <t>CABO TELEFÔNICO CCI-50 3 PARES, SEM BLINDAGEM, INSTALADO EM DISTRIBUIÇÃO DE EDIFICAÇÃO INSTITUCIONAL - FORNECIMENTO E INSTALAÇÃO. AF_11/2019</t>
  </si>
  <si>
    <t>CABO TELEFÔNICO CCI-50 4 PARES, SEM BLINDAGEM, INSTALADO EM DISTRIBUIÇÃO DE EDIFICAÇÃO INSTITUCIONAL - FORNECIMENTO E INSTALAÇÃO. AF_11/2019</t>
  </si>
  <si>
    <t>CABO TELEFÔNICO CCI-50 5 PARES, SEM BLINDAGEM, INSTALADO EM DISTRIBUIÇÃO DE EDIFICAÇÃO INSTITUCIONAL - FORNECIMENTO E INSTALAÇÃO. AF_11/2019</t>
  </si>
  <si>
    <t>CABO TELEFÔNICO CCI-50 6 PARES, SEM BLINDAGEM, INSTALADO EM DISTRIBUIÇÃO DE EDIFICAÇÃO INSTITUCIONAL - FORNECIMENTO E INSTALAÇÃO. AF_11/2019</t>
  </si>
  <si>
    <t>CABO TELEFÔNICO CI-50 10 PARES INSTALADO EM DISTRIBUIÇÃO DE EDIFICAÇÃO INSTITUCIONAL - FORNECIMENTO E INSTALAÇÃO. AF_11/2019</t>
  </si>
  <si>
    <t>CABO TELEFÔNICO CTP-APL-50 10 PARES INSTALADO EM ENTRADA DE EDIFICAÇÃO - FORNECIMENTO E INSTALAÇÃO. AF_11/2019</t>
  </si>
  <si>
    <t>CABO TELEFÔNICO CTP-APL-50 20 PARES INSTALADO EM ENTRADA DE EDIFICAÇÃO - FORNECIMENTO E INSTALAÇÃO. AF_11/2019</t>
  </si>
  <si>
    <t>CABO TELEFÔNICO CTP-APL-50 30 PARES INSTALADO EM ENTRADA DE EDIFICAÇÃO - FORNECIMENTO E INSTALAÇÃO. AF_11/2019</t>
  </si>
  <si>
    <t>CAIXA DE PASSAGEM PARA TELEFONE 15X15X10CM (SOBREPOR), FORNECIMENTO E INSTALACAO. AF_11/2019</t>
  </si>
  <si>
    <t>CAIXA DE PASSAGEM PARA TELEFONE 80X80X15CM (SOBREPOR) FORNECIMENTO E INSTALACAO. AF_11/2019</t>
  </si>
  <si>
    <t>QUADRO DE DISTRIBUIÇÃO PARA TELEFONE N.2, 20X20X12CM EM CHAPA METALICA, DE EMBUTIR, SEM ACESSORIOS, PADRÃO TELEBRAS, FORNECIMENTO E INSTALAÇÃO. AF_11/2019</t>
  </si>
  <si>
    <t>QUADRO DE DISTRIBUICAO PARA TELEFONE N.3, 40X40X12CM EM CHAPA METALICA, DE EMBUTIR, SEM ACESSORIOS, PADRAO TELEBRAS, FORNECIMENTO E INSTALAÇÃO. AF_11/2019</t>
  </si>
  <si>
    <t>QUADRO DE DISTRIBUICAO PARA TELEFONE N.4, 60X60X12CM EM CHAPA METALICA, DE EMBUTIR, SEM ACESSORIOS, PADRAO TELEBRAS, FORNECIMENTO E INSTALAÇÃO. AF_11/2019</t>
  </si>
  <si>
    <t>QUADRO DE DISTRIBUIÇÃO PARA TELEFONE N.5, 80X80X12CM EM CHAPA METALICA, SEM ACESSORIOS, PADRAO TELEBRAS, FORNECIMENTO E INSTALAÇÃO. AF_11/2019</t>
  </si>
  <si>
    <t>CABO ELETRÔNICO CATEGORIA 5E, INSTALADO EM EDIFICAÇÃO RESIDENCIAL - FORNECIMENTO E INSTALAÇÃO. AF_11/2019</t>
  </si>
  <si>
    <t>CABO ELETRÔNICO CATEGORIA 5E, INSTALADO EM EDIFICAÇÃO INSTITUCIONAL - FORNECIMENTO E INSTALAÇÃO. AF_11/2019</t>
  </si>
  <si>
    <t>CABO ELETRÔNICO CATEGORIA 6, INSTALADO EM EDIFICAÇÃO RESIDENCIAL - FORNECIMENTO E INSTALAÇÃO. AF_11/2019</t>
  </si>
  <si>
    <t>CABO ELETRÔNICO CATEGORIA 6, INSTALADO EM EDIFICAÇÃO INSTITUCIONAL - FORNECIMENTO E INSTALAÇÃO. AF_11/2019</t>
  </si>
  <si>
    <t>PATCH PANEL 24 PORTAS, CATEGORIA 5E - FORNECIMENTO E INSTALAÇÃO. AF_11/2019</t>
  </si>
  <si>
    <t>PATCH PANEL 24 PORTAS, CATEGORIA 6 - FORNECIMENTO E INSTALAÇÃO. AF_11/2019</t>
  </si>
  <si>
    <t>PATCH PANEL 48 PORTAS, CATEGORIA 6 - FORNECIMENTO E INSTALAÇÃO. AF_11/2019</t>
  </si>
  <si>
    <t>TOMADA DE REDE RJ45 - FORNECIMENTO E INSTALAÇÃO. AF_11/2019</t>
  </si>
  <si>
    <t>TOMADA PARA TELEFONE RJ11 - FORNECIMENTO E INSTALAÇÃO. AF_11/2019</t>
  </si>
  <si>
    <t>PATCH PANEL 48 PORTAS, CATEGORIA 5E - FORNECIMENTO E INSTALAÇÃO. AF_11/2019</t>
  </si>
  <si>
    <t>KIT CAVALETE PARA GÁS - SEM MEDIDOR OU REGULADOR - ENTRADA INDIVIDUAL PRINCIPAL, EM AÇO GALVANIZADO DN 15 E 25 MM (1/2" E 1") - FORNECIMENTO E INSTALAÇÃO. AF_01/2020</t>
  </si>
  <si>
    <t>TUBO, PEX, MULTICAMADA, DN 16, INSTALADO EM IMPLANTAÇÃO DE INSTALAÇÕES DE GÁS - FORNECIMENTO E INSTALAÇÃO. AF_01/2020</t>
  </si>
  <si>
    <t>TUBO, PEX, MULTICAMADA, DN 20, INSTALADO EM IMPLANTAÇÃO DE INSTALAÇÕES DE GÁS - FORNECIMENTO E INSTALAÇÃO. AF_01/2020</t>
  </si>
  <si>
    <t>TUBO, PEX, MULTICAMADA, DN 26, INSTALADO EM IMPLANTAÇÃO DE INSTALAÇÕES DE GÁS - FORNECIMENTO E INSTALAÇÃO. AF_01/2020</t>
  </si>
  <si>
    <t>TUBO, PEX, MULTICAMADA, DN 32, INSTALADO EM IMPLANTAÇÃO DE INSTALAÇÕES DE GÁS - FORNECIMENTO E INSTALAÇÃO. AF_01/2020</t>
  </si>
  <si>
    <t>TUBO, PEX, MULTICAMADA, DN 16, INSTALADO EM RAMAL INTERNO DE INSTALAÇÕES DE GÁS - FORNECIMENTO E INSTALAÇÃO. AF_01/2020</t>
  </si>
  <si>
    <t>TUBO, PEX, MULTICAMADA, DN 20, INSTALADO EM RAMAL INTERNO DE INSTALAÇÕES DE GÁS - FORNECIMENTO E INSTALAÇÃO. AF_01/2020</t>
  </si>
  <si>
    <t>TUBO, PEX, MULTICAMADA, DN 26, INSTALADO EM RAMAL INTERNO DE INSTALAÇÕES DE GÁS - FORNECIMENTO E INSTALAÇÃO. AF_01/2020</t>
  </si>
  <si>
    <t>TUBO, PEX, MULTICAMADA, DN 32, INSTALADO EM RAMAL INTERNO DE INSTALAÇÕES DE GÁS - FORNECIMENTO E INSTALAÇÃO. AF_01/2020</t>
  </si>
  <si>
    <t>TANQUE DE LOUÇA BRANCA COM COLUNA, 30L OU EQUIVALENTE - FORNECIMENTO E INSTALAÇÃO. AF_01/2020</t>
  </si>
  <si>
    <t>TANQUE DE LOUÇA BRANCA SUSPENSO, 18L OU EQUIVALENTE - FORNECIMENTO E INSTALAÇÃO. AF_01/2020</t>
  </si>
  <si>
    <t>TANQUE DE MÁRMORE SINTÉTICO COM COLUNA, 22L OU EQUIVALENTE   FORNECIMENTO E INSTALAÇÃO. AF_01/2020</t>
  </si>
  <si>
    <t>TANQUE DE MÁRMORE SINTÉTICO SUSPENSO, 22L OU EQUIVALENTE - FORNECIMENTO E INSTALAÇÃO. AF_01/2020</t>
  </si>
  <si>
    <t>VÁLVULA EM METAL CROMADO 1.1/2 X 1.1/2 PARA TANQUE OU LAVATÓRIO, COM OU SEM LADRÃO - FORNECIMENTO E INSTALAÇÃO. AF_01/2020</t>
  </si>
  <si>
    <t>VÁLVULA EM METAL CROMADO TIPO AMERICANA 3.1/2 X 1.1/2 PARA PIA - FORNECIMENTO E INSTALAÇÃO. AF_01/2020</t>
  </si>
  <si>
    <t>VÁLVULA EM PLÁSTICO 1 PARA PIA, TANQUE OU LAVATÓRIO, COM OU SEM LADRÃO - FORNECIMENTO E INSTALAÇÃO. AF_01/2020</t>
  </si>
  <si>
    <t>VÁLVULA EM PLÁSTICO CROMADO TIPO AMERICANA 3.1/2 X 1.1/2 SEM ADAPTADOR PARA PIA - FORNECIMENTO E INSTALAÇÃO. AF_01/2020</t>
  </si>
  <si>
    <t>SIFÃO DO TIPO GARRAFA EM METAL CROMADO 1 X 1.1/2 - FORNECIMENTO E INSTALAÇÃO. AF_01/2020</t>
  </si>
  <si>
    <t>SIFÃO DO TIPO GARRAFA/COPO EM PVC 1.1/4  X 1.1/2 - FORNECIMENTO E INSTALAÇÃO. AF_01/2020</t>
  </si>
  <si>
    <t>SIFÃO DO TIPO FLEXÍVEL EM PVC 1  X 1.1/2  - FORNECIMENTO E INSTALAÇÃO. AF_01/2020</t>
  </si>
  <si>
    <t>ENGATE FLEXÍVEL EM PLÁSTICO BRANCO, 1/2 X 30CM - FORNECIMENTO E INSTALAÇÃO. AF_01/2020</t>
  </si>
  <si>
    <t>ENGATE FLEXÍVEL EM PLÁSTICO BRANCO, 1/2 X 40CM - FORNECIMENTO E INSTALAÇÃO. AF_01/2020</t>
  </si>
  <si>
    <t>ENGATE FLEXÍVEL EM INOX, 1/2  X 30CM - FORNECIMENTO E INSTALAÇÃO. AF_01/2020</t>
  </si>
  <si>
    <t>ENGATE FLEXÍVEL EM INOX, 1/2  X 40CM - FORNECIMENTO E INSTALAÇÃO. AF_01/2020</t>
  </si>
  <si>
    <t>VASO SANITÁRIO SIFONADO COM CAIXA ACOPLADA LOUÇA BRANCA - FORNECIMENTO E INSTALAÇÃO. AF_01/2020</t>
  </si>
  <si>
    <t>CUBA DE EMBUTIR RETANGULAR DE AÇO INOXIDÁVEL, 46 X 30 X 12 CM - FORNECIMENTO E INSTALAÇÃO. AF_01/2020</t>
  </si>
  <si>
    <t>CUBA DE EMBUTIR OVAL EM LOUÇA BRANCA, 35 X 50CM OU EQUIVALENTE - FORNECIMENTO E INSTALAÇÃO. AF_01/2020</t>
  </si>
  <si>
    <t>LAVATÓRIO LOUÇA BRANCA COM COLUNA, *44 X 35,5* CM, PADRÃO POPULAR - FORNECIMENTO E INSTALAÇÃO. AF_01/2020</t>
  </si>
  <si>
    <t>LAVATÓRIO LOUÇA BRANCA COM COLUNA, 45 X 55CM OU EQUIVALENTE, PADRÃO MÉDIO - FORNECIMENTO E INSTALAÇÃO. AF_01/2020</t>
  </si>
  <si>
    <t>LAVATÓRIO LOUÇA BRANCA SUSPENSO, 29,5 X 39CM OU EQUIVALENTE, PADRÃO POPULAR - FORNECIMENTO E INSTALAÇÃO. AF_01/2020</t>
  </si>
  <si>
    <t>APARELHO MISTURADOR DE MESA PARA LAVATÓRIO, PADRÃO MÉDIO - FORNECIMENTO E INSTALAÇÃO. AF_01/2020</t>
  </si>
  <si>
    <t>TORNEIRA CROMADA DE MESA, 1/2 OU 3/4, PARA LAVATÓRIO, PADRÃO POPULAR - FORNECIMENTO E INSTALAÇÃO. AF_01/2020</t>
  </si>
  <si>
    <t>APARELHO MISTURADOR DE MESA PARA PIA DE COZINHA, PADRÃO MÉDIO - FORNECIMENTO E INSTALAÇÃO. AF_01/2020</t>
  </si>
  <si>
    <t>TORNEIRA CROMADA TUBO MÓVEL, DE MESA, 1/2 OU 3/4, PARA PIA DE COZINHA, PADRÃO ALTO - FORNECIMENTO E INSTALAÇÃO. AF_01/2020</t>
  </si>
  <si>
    <t>TORNEIRA CROMADA TUBO MÓVEL, DE PAREDE, 1/2 OU 3/4, PARA PIA DE COZINHA, PADRÃO MÉDIO - FORNECIMENTO E INSTALAÇÃO. AF_01/2020</t>
  </si>
  <si>
    <t>TORNEIRA CROMADA LONGA, DE PAREDE, 1/2 OU 3/4, PARA PIA DE COZINHA, PADRÃO POPULAR - FORNECIMENTO E INSTALAÇÃO. AF_01/2020</t>
  </si>
  <si>
    <t>TORNEIRA CROMADA 1/2 OU 3/4 PARA TANQUE, PADRÃO POPULAR - FORNECIMENTO E INSTALAÇÃO. AF_01/2020</t>
  </si>
  <si>
    <t>TORNEIRA CROMADA 1/2 OU 3/4 PARA TANQUE, PADRÃO MÉDIO - FORNECIMENTO E INSTALAÇÃO. AF_01/2020</t>
  </si>
  <si>
    <t>TORNEIRA CROMADA DE MESA, 1/2 OU 3/4, PARA LAVATÓRIO, PADRÃO MÉDIO - FORNECIMENTO E INSTALAÇÃO. AF_01/2020</t>
  </si>
  <si>
    <t>TORNEIRA PLÁSTICA 3/4 PARA TANQUE - FORNECIMENTO E INSTALAÇÃO. AF_01/2020</t>
  </si>
  <si>
    <t>TANQUE DE LOUÇA BRANCA COM COLUNA, 30L OU EQUIVALENTE, INCLUSO SIFÃO FLEXÍVEL EM PVC, VÁLVULA METÁLICA E TORNEIRA DE METAL CROMADO PADRÃO MÉDIO - FORNECIMENTO E INSTALAÇÃO. AF_01/2020</t>
  </si>
  <si>
    <t>TANQUE DE LOUÇA BRANCA COM COLUNA, 30L OU EQUIVALENTE, INCLUSO SIFÃO FLEXÍVEL EM PVC, VÁLVULA PLÁSTICA E TORNEIRA DE METAL CROMADO PADRÃO POPULAR - FORNECIMENTO E INSTALAÇÃO. AF_01/2020</t>
  </si>
  <si>
    <t>TANQUE DE LOUÇA BRANCA COM COLUNA, 30L OU EQUIVALENTE, INCLUSO SIFÃO FLEXÍVEL EM PVC, VÁLVULA PLÁSTICA E TORNEIRA DE PLÁSTICO - FORNECIMENTO E INSTALAÇÃO. AF_01/2020</t>
  </si>
  <si>
    <t>TANQUE DE LOUÇA BRANCA SUSPENSO, 18L OU EQUIVALENTE, INCLUSO SIFÃO TIPO GARRAFA EM METAL CROMADO, VÁLVULA METÁLICA E TORNEIRA DE METAL CROMADO PADRÃO MÉDIO - FORNECIMENTO E INSTALAÇÃO. AF_01/2020</t>
  </si>
  <si>
    <t>TANQUE DE LOUÇA BRANCA SUSPENSO, 18L OU EQUIVALENTE, INCLUSO SIFÃO TIPO GARRAFA EM PVC, VÁLVULA PLÁSTICA E TORNEIRA DE METAL CROMADO PADRÃO POPULAR - FORNECIMENTO E INSTALAÇÃO. AF_01/2020</t>
  </si>
  <si>
    <t>TANQUE DE LOUÇA BRANCA SUSPENSO, 18L OU EQUIVALENTE, INCLUSO SIFÃO TIPO GARRAFA EM PVC, VÁLVULA PLÁSTICA E TORNEIRA DE PLÁSTICO - FORNECIMENTO E INSTALAÇÃO. AF_01/2020</t>
  </si>
  <si>
    <t>TANQUE DE MÁRMORE SINTÉTICO COM COLUNA, 22L OU EQUIVALENTE, INCLUSO SIFÃO FLEXÍVEL EM PVC, VÁLVULA PLÁSTICA E TORNEIRA DE METAL CROMADO PADRÃO POPULAR - FORNECIMENTO E INSTALAÇÃO. AF_01/2020</t>
  </si>
  <si>
    <t>TANQUE DE MÁRMORE SINTÉTICO COM COLUNA, 22L OU EQUIVALENTE, INCLUSO SIFÃO FLEXÍVEL EM PVC, VÁLVULA PLÁSTICA E TORNEIRA DE PLÁSTICO - FORNECIMENTO E INSTALAÇÃO. AF_01/2020</t>
  </si>
  <si>
    <t>TANQUE DE MÁRMORE SINTÉTICO SUSPENSO, 22L OU EQUIVALENTE, INCLUSO SIFÃO TIPO GARRAFA EM PVC, VÁLVULA PLÁSTICA E TORNEIRA DE METAL CROMADO PADRÃO POPULAR - FORNEC. E INSTALAÇÃO. AF_01/2020</t>
  </si>
  <si>
    <t>TANQUE DE MÁRMORE SINTÉTICO SUSPENSO, 22L OU EQUIVALENTE, INCLUSO SIFÃO TIPO GARRAFA EM PVC, VÁLVULA PLÁSTICA E TORNEIRA DE PLÁSTICO - FORNECIMENTO E INSTALAÇÃO. AF_01/2020</t>
  </si>
  <si>
    <t>TANQUE DE MÁRMORE SINTÉTICO SUSPENSO, 22L OU EQUIVALENTE, INCLUSO SIFÃO FLEXÍVEL EM PVC, VÁLVULA PLÁSTICA E TORNEIRA DE METAL CROMADO PADRÃO POPULAR - FORNECIMENTO E INSTALAÇÃO. AF_01/2020</t>
  </si>
  <si>
    <t>TANQUE DE MÁRMORE SINTÉTICO SUSPENSO, 22L OU EQUIVALENTE, INCLUSO SIFÃO FLEXÍVEL EM PVC, VÁLVULA PLÁSTICA E TORNEIRA DE PLÁSTICO - FORNECIMENTO E INSTALAÇÃO. AF_01/2020</t>
  </si>
  <si>
    <t>VASO SANITÁRIO SIFONADO COM CAIXA ACOPLADA LOUÇA BRANCA, INCLUSO ENGATE FLEXÍVEL EM PLÁSTICO BRANCO, 1/2  X 40CM - FORNECIMENTO E INSTALAÇÃO. AF_01/2020</t>
  </si>
  <si>
    <t>VASO SANITÁRIO SIFONADO COM CAIXA ACOPLADA LOUÇA BRANCA - PADRÃO MÉDIO, INCLUSO ENGATE FLEXÍVEL EM METAL CROMADO, 1/2  X 40CM - FORNECIMENTO E INSTALAÇÃO. AF_01/2020</t>
  </si>
  <si>
    <t>BANCADA DE MÁRMORE SINTÉTICO 120 X 60CM, COM CUBA INTEGRADA, INCLUSO SIFÃO TIPO GARRAFA EM PVC, VÁLVULA EM PLÁSTICO CROMADO TIPO AMERICANA E TORNEIRA CROMADA LONGA, DE PAREDE, PADRÃO POPULAR - FORNECIMENTO E INSTALAÇÃO. AF_01/2020</t>
  </si>
  <si>
    <t>BANCADA DE MÁRMORE SINTÉTICO 120 X 60CM, COM CUBA INTEGRADA, INCLUSO SIFÃO TIPO FLEXÍVEL EM PVC, VÁLVULA EM PLÁSTICO CROMADO TIPO AMERICANA E TORNEIRA CROMADA LONGA, DE PAREDE, PADRÃO POPULAR - FORNECIMENTO E INSTALAÇÃO. AF_01/2020</t>
  </si>
  <si>
    <t>CUBA DE EMBUTIR DE AÇO INOXIDÁVEL MÉDIA, INCLUSO VÁLVULA TIPO AMERICANA EM METAL CROMADO E SIFÃO FLEXÍVEL EM PVC - FORNECIMENTO E INSTALAÇÃO. AF_01/2020</t>
  </si>
  <si>
    <t>CUBA DE EMBUTIR DE AÇO INOXIDÁVEL MÉDIA, INCLUSO VÁLVULA TIPO AMERICANA E SIFÃO TIPO GARRAFA EM METAL CROMADO - FORNECIMENTO E INSTALAÇÃO. AF_01/2020</t>
  </si>
  <si>
    <t>CUBA DE EMBUTIR OVAL EM LOUÇA BRANCA, 35 X 50CM OU EQUIVALENTE, INCLUSO VÁLVULA EM METAL CROMADO E SIFÃO FLEXÍVEL EM PVC - FORNECIMENTO E INSTALAÇÃO. AF_01/2020</t>
  </si>
  <si>
    <t>CUBA DE EMBUTIR OVAL EM LOUÇA BRANCA, 35 X 50CM OU EQUIVALENTE, INCLUSO VÁLVULA E SIFÃO TIPO GARRAFA EM METAL CROMADO - FORNECIMENTO E INSTALAÇÃO. AF_01/2020</t>
  </si>
  <si>
    <t>LAVATÓRIO LOUÇA BRANCA COM COLUNA, *44 X 35,5* CM, PADRÃO POPULAR, INCLUSO SIFÃO FLEXÍVEL EM PVC, VÁLVULA E ENGATE FLEXÍVEL 30CM EM PLÁSTICO E COM TORNEIRA CROMADA PADRÃO POPULAR - FORNECIMENTO E INSTALAÇÃO. AF_01/2020</t>
  </si>
  <si>
    <t>LAVATÓRIO LOUÇA BRANCA COM COLUNA, 45 X 55CM OU EQUIVALENTE, PADRÃO MÉDIO, INCLUSO SIFÃO TIPO GARRAFA, VÁLVULA E ENGATE FLEXÍVEL DE 40CM EM METAL CROMADO, COM APARELHO MISTURADOR PADRÃO MÉDIO - FORNECIMENTO E INSTALAÇÃO. AF_01/2020</t>
  </si>
  <si>
    <t>LAVATÓRIO LOUÇA BRANCA COM COLUNA, 45 X 55CM OU EQUIVALENTE, PADRÃO MÉDIO, INCLUSO SIFÃO TIPO GARRAFA, VÁLVULA E ENGATE FLEXÍVEL DE 40CM EM METAL CROMADO, COM TORNEIRA CROMADA DE MESA, PADRÃO MÉDIO - FORNECIMENTO E INSTALAÇÃO. AF_01/2020</t>
  </si>
  <si>
    <t>LAVATÓRIO LOUÇA BRANCA SUSPENSO, 29,5 X 39CM OU EQUIVALENTE, PADRÃO POPULAR, INCLUSO SIFÃO TIPO GARRAFA EM PVC, VÁLVULA E ENGATE FLEXÍVEL 30CM EM PLÁSTICO E TORNEIRA CROMADA DE MESA, PADRÃO POPULAR - FORNECIMENTO E INSTALAÇÃO. AF_01/2020</t>
  </si>
  <si>
    <t>LAVATÓRIO LOUÇA BRANCA SUSPENSO, 29,5 X 39CM OU EQUIVALENTE, PADRÃO POPULAR, INCLUSO SIFÃO FLEXÍVEL EM PVC, VÁLVULA E ENGATE FLEXÍVEL 30CM EM PLÁSTICO E TORNEIRA CROMADA DE MESA, PADRÃO POPULAR - FORNECIMENTO E INSTALAÇÃO. AF_01/2020</t>
  </si>
  <si>
    <t>BANCADA MÁRMORE BRANCO, 50 X 60 CM, INCLUSO CUBA DE EMBUTIR OVAL EM LOUÇA BRANCA 35 X 50 CM, VÁLVULA, SIFÃO TIPO GARRAFA E ENGATE FLEXÍVEL 40 CM EM METAL CROMADO E APARELHO MISTURADOR DE MESA, PADRÃO MÉDIO - FORNEC. E INSTALAÇÃO. AF_01/2020</t>
  </si>
  <si>
    <t>BANCADA GRANITO CINZA,  50 X 60 CM, INCL. CUBA DE EMBUTIR OVAL LOUÇA BRANCA 35 X 50 CM, VÁLVULA METAL CROMADO, SIFÃO FLEXÍVEL PVC, ENGATE 30 CM FLEXÍVEL PLÁSTICO E TORNEIRA CROMADA DE MESA, PADRÃO POPULAR - FORNEC. E INSTALAÇÃO. AF_01/2020</t>
  </si>
  <si>
    <t>BANCADA GRANITO CINZA  150 X 60 CM, COM CUBA DE EMBUTIR DE AÇO, VÁLVULA AMERICANA EM METAL, SIFÃO FLEXÍVEL EM PVC, ENGATE FLEXÍVEL 30 CM, TORNEIRA CROMADA LONGA, DE PAREDE, 1/2 OU 3/4, P/ COZINHA, PADRÃO POPULAR - FORNEC. E INSTALAÇÃO. AF_01/2020</t>
  </si>
  <si>
    <t>BANCADA MÁRMORE BRANCO 150 X 60 CM, COM CUBA DE EMBUTIR DE AÇO, VÁLVULA AMERICANA E SIFÃO TIPO GARRAFA EM METAL , ENGATE FLEXÍVEL 30 CM, TORNEIRA CROMADA, DE MESA, 1/2 OU 3/4, PARA PIA COZINHA, PADRÃO ALTO - FORNEC. E INSTALAÇÃO. AF_01/2020</t>
  </si>
  <si>
    <t>VASO SANITARIO SIFONADO CONVENCIONAL COM  LOUÇA BRANCA - FORNECIMENTO E INSTALAÇÃO. AF_01/2020</t>
  </si>
  <si>
    <t>VASO SANITARIO SIFONADO CONVENCIONAL PARA PCD SEM FURO FRONTAL COM  LOUÇA BRANCA SEM ASSENTO -  FORNECIMENTO E INSTALAÇÃO. AF_01/2020</t>
  </si>
  <si>
    <t>VASO SANITARIO SIFONADO CONVENCIONAL PARA PCD SEM FURO FRONTAL COM LOUÇA BRANCA SEM ASSENTO, INCLUSO CONJUNTO DE LIGAÇÃO PARA BACIA SANITÁRIA AJUSTÁVEL - FORNECIMENTO E INSTALAÇÃO. AF_01/2020</t>
  </si>
  <si>
    <t>PORTA TOALHA ROSTO EM METAL CROMADO, TIPO ARGOLA, INCLUSO FIXAÇÃO. AF_01/2020</t>
  </si>
  <si>
    <t>PORTA TOALHA BANHO EM METAL CROMADO, TIPO BARRA, INCLUSO FIXAÇÃO. AF_01/2020</t>
  </si>
  <si>
    <t>PAPELEIRA DE PAREDE EM METAL CROMADO SEM TAMPA, INCLUSO FIXAÇÃO. AF_01/2020</t>
  </si>
  <si>
    <t>SABONETEIRA DE PAREDE EM METAL CROMADO, INCLUSO FIXAÇÃO. AF_01/2020</t>
  </si>
  <si>
    <t>KIT DE ACESSORIOS PARA BANHEIRO EM METAL CROMADO, 5 PECAS, INCLUSO FIXAÇÃO. AF_01/2020</t>
  </si>
  <si>
    <t>SABONETEIRA PLASTICA TIPO DISPENSER PARA SABONETE LIQUIDO COM RESERVATORIO 800 A 1500 ML, INCLUSO FIXAÇÃO. AF_01/2020</t>
  </si>
  <si>
    <t>VASO SANITÁRIO INFANTIL LOUÇA BRANCA - FORNECIMENTO E INSTALACAO. AF_01/2020</t>
  </si>
  <si>
    <t>ASSENTO SANITÁRIO CONVENCIONAL - FORNECIMENTO E INSTALACAO. AF_01/2020</t>
  </si>
  <si>
    <t>ASSENTO SANITÁRIO INFANTIL - FORNECIMENTO E INSTALACAO. AF_01/2020</t>
  </si>
  <si>
    <t>CUBA DE EMBUTIR RETANGULAR DE AÇO INOXIDÁVEL, 56 X 33 X 12 CM - FORNECIMENTO E INSTALAÇÃO. AF_01/2020</t>
  </si>
  <si>
    <t>TORNEIRA CROMADA DE MESA PARA LAVATÓRIO COM SENSOR DE PRESENCA. AF_01/2020</t>
  </si>
  <si>
    <t>SABONETEIRA DE PAREDE EM PLASTICO ABS COM ACABAMENTO CROMADO E ACRILICO, INCLUSO FIXAÇÃO. AF_01/2020</t>
  </si>
  <si>
    <t>MANOPLA E CANOPLA CROMADA  FORNECIMENTO E INSTALAÇÃO. AF_01/2020</t>
  </si>
  <si>
    <t>ACABAMENTO MONOCOMANDO PARA CHUVEIRO  FORNECIMENTO E INSTALAÇÃO. AF_01/2020</t>
  </si>
  <si>
    <t>MICTÓRIO SIFONADO LOUÇA BRANCA  PADRÃO MÉDIO  FORNECIMENTO E INSTALAÇÃO. AF_01/2020</t>
  </si>
  <si>
    <t>CHUVEIRO ELÉTRICO COMUM CORPO PLÁSTICO, TIPO DUCHA  FORNECIMENTO E INSTALAÇÃO. AF_01/2020</t>
  </si>
  <si>
    <t>SUPORTE MÃO FRANCESA EM AÇO, ABAS IGUAIS 30 CM, CAPACIDADE MINIMA 60 KG, BRANCO - FORNECIMENTO E INSTALAÇÃO. AF_01/2020</t>
  </si>
  <si>
    <t>SUPORTE MÃO FRANCESA EM ACO, ABAS IGUAIS 40 CM, CAPACIDADE MINIMA 70 KG, BRANCO - FORNECIMENTO E INSTALAÇÃO. AF_01/2020</t>
  </si>
  <si>
    <t>BARRA DE APOIO EM "L", EM ACO INOX POLIDO 70 X 70 CM, FIXADA NA PAREDE - FORNECIMENTO E INSTALACAO. AF_01/2020</t>
  </si>
  <si>
    <t>BARRA DE APOIO EM "L", EM ACO INOX POLIDO 80 X 80 CM, FIXADA NA PAREDE - FORNECIMENTO E INSTALACAO. AF_01/2020</t>
  </si>
  <si>
    <t>BARRA DE APOIO LATERAL ARTICULADA, COM TRAVA, EM ACO INOX POLIDO, FIXADA NA PAREDE - FORNECIMENTO E INSTALAÇÃO. AF_01/2020</t>
  </si>
  <si>
    <t>BARRA DE APOIO RETA, EM ACO INOX POLIDO, COMPRIMENTO 60CM, FIXADA NA PAREDE - FORNECIMENTO E INSTALAÇÃO. AF_01/2020</t>
  </si>
  <si>
    <t>BARRA DE APOIO RETA, EM ACO INOX POLIDO, COMPRIMENTO 70 CM,  FIXADA NA PAREDE - FORNECIMENTO E INSTALAÇÃO. AF_01/2020</t>
  </si>
  <si>
    <t>BARRA DE APOIO RETA, EM ACO INOX POLIDO, COMPRIMENTO 80 CM,  FIXADA NA PAREDE - FORNECIMENTO E INSTALAÇÃO. AF_01/2020</t>
  </si>
  <si>
    <t>BARRA DE APOIO RETA, EM ACO INOX POLIDO, COMPRIMENTO 90 CM,  FIXADA NA PAREDE - FORNECIMENTO E INSTALAÇÃO. AF_01/2020</t>
  </si>
  <si>
    <t>BARRA DE APOIO RETA, EM ALUMINIO, COMPRIMENTO 60 CM,  FIXADA NA PAREDE - FORNECIMENTO E INSTALAÇÃO. AF_01/2020</t>
  </si>
  <si>
    <t>BARRA DE APOIO RETA, EM ALUMINIO, COMPRIMENTO 70 CM,  FIXADA NA PAREDE - FORNECIMENTO E INSTALAÇÃO. AF_01/2020</t>
  </si>
  <si>
    <t>BARRA DE APOIO RETA, EM ALUMINIO, COMPRIMENTO 80 CM,  FIXADA NA PAREDE - FORNECIMENTO E INSTALAÇÃO. AF_01/2020</t>
  </si>
  <si>
    <t>BARRA DE APOIO RETA, EM ALUMINIO, COMPRIMENTO 90 CM,  FIXADA NA PAREDE - FORNECIMENTO E INSTALAÇÃO. AF_01/2020</t>
  </si>
  <si>
    <t>PUXADOR PARA PCD, FIXADO NA PORTA - FORNECIMENTO E INSTALAÇÃO. AF_01/2020</t>
  </si>
  <si>
    <t>BANCO ARTICULADO, EM ACO INOX, PARA PCD, FIXADO NA PAREDE - FORNECIMENTO E INSTALAÇÃO. AF_01/2020</t>
  </si>
  <si>
    <t>EXECUÇÃO E COMPACTAÇÃO DE ATERRO COM SOLO PREDOMINANTEMENTE ARGILOSO - EXCLUSIVE SOLO, ESCAVAÇÃO, CARGA E TRANSPORTE. AF_11/2019</t>
  </si>
  <si>
    <t>EXECUÇÃO E COMPACTAÇÃO DE ATERRO COM SOLO PREDOMINANTEMENTE ARENOSO - EXCLUSIVE SOLO, ESCAVAÇÃO, CARGA E TRANSPORTE. AF_11/2019</t>
  </si>
  <si>
    <t>REGULARIZAÇÃO E COMPACTAÇÃO DE SUBLEITO DE SOLO  PREDOMINANTEMENTE ARGILOSO. AF_11/2019</t>
  </si>
  <si>
    <t>REGULARIZAÇÃO E COMPACTAÇÃO DE SUBLEITO DE SOLO PREDOMINANTEMENTE ARENOSO. AF_11/2019</t>
  </si>
  <si>
    <t>EXECUÇÃO E COMPACTAÇÃO DE BASE E OU SUB BASE PARA PAVIMENTAÇÃO DE SOLOS DE COMPORTAMENTO LATERÍTICO (ARENOSO) - EXCLUSIVE SOLO, ESCAVAÇÃO, CARGA E TRANSPORTE. AF_11/2019</t>
  </si>
  <si>
    <t>EXECUÇÃO E COMPACTAÇÃO DE BASE E OU SUB BASE PARA PAVIMENTAÇÃO DE SOLO (PREDOMINANTEMENTE ARENOSO) COM CIMENTO (TEOR DE 6%) - EXCLUSIVE SOLO, ESCAVAÇÃO, CARGA E TRANSPORTE. AF_11/2019</t>
  </si>
  <si>
    <t>EXECUÇÃO E COMPACTAÇÃO DE BASE E OU SUB BASE PARA PAVIMENTAÇÃO DE SOLO (PREDOMINANTEMENTE ARENOSO) COM CIMENTO (TEOR DE 8%) - EXCLUSIVE SOLO, ESCAVAÇÃO, CARGA E TRANSPORTE. AF_11/2019</t>
  </si>
  <si>
    <t>EXECUÇÃO E COMPACTAÇÃO DE BASE E OU SUB BASE PARA PAVIMENTAÇÃO DE BRITA GRADUADA SIMPLES - EXCLUSIVE CARGA E TRANSPORTE. AF_11/2019</t>
  </si>
  <si>
    <t>EXECUÇÃO E COMPACTAÇÃO DE BASE E OU SUB BASE PARA PAVIMENTAÇÃO DE BRITA GRADUADA SIMPLES TRATADA COM CIMENTO - EXCLUSIVE CARGA E TRANSPORTE. AF_11/2019</t>
  </si>
  <si>
    <t>EXECUÇÃO E COMPACTAÇÃO DE BASE E OU SUB BASE PARA PAVIMENTAÇÃO DE CONCRETO COMPACTADO COM ROLO - EXCLUSIVE CARGA E TRANSPORTE. AF_11/2019</t>
  </si>
  <si>
    <t>EXECUÇÃO E COMPACTAÇÃO DE BASE E OU SUB BASE PARA PAVIMENTAÇÃO DE MACADAME SECO - EXCLUSIVE CARGA E TRANSPORTE. AF_11/2019</t>
  </si>
  <si>
    <t>EXECUÇÃO DE IMPRIMAÇÃO COM ASFALTO DILUÍDO CM-30. AF_11/2019</t>
  </si>
  <si>
    <t>EXECUÇÃO DE PINTURA DE LIGAÇÃO COM EMULSÃO ASFÁLTICA RR-2C. AF_11/2019</t>
  </si>
  <si>
    <t>EXECUÇÃO E COMPACTAÇÃO DE BASE E OU SUB-BASE PARA PAVIMENTAÇÃO DE SOLO (PREDOMINANTEMENTE ARENOSO) BRITA - 40/60 - EXCLUSIVE SOLO, ESCAVAÇÃO, CARGA E TRANSPORTE. AF_11/2019</t>
  </si>
  <si>
    <t>EXECUÇÃO E COMPACTAÇÃO DE BASE E OU SUB-BASE PARA PAVIMENTAÇÃO DE SOLO (PREDOMINANTEMENTE ARENOSO) BRITA - 50/50 - EXCLUSIVE SOLO, ESCAVAÇÃO, CARGA E TRANSPORTE. AF_11/2019</t>
  </si>
  <si>
    <t>EXECUÇÃO E COMPACTAÇÃO DE BASE E OU SUB-BASE PARA PAVIMENTAÇÃO DE SOLO (PREDOMINANTEMENTE ARENOSO) BRITA - 40/60 COM CIMENTO (TEOR DE 4%) - EXCLUSIVE SOLO, ESCAVAÇÃO, CARGA E TRANSPORTE. AF_11/2019</t>
  </si>
  <si>
    <t>EXECUÇÃO E COMPACTAÇÃO DE BASE E OU SUB-BASE PARA PAVIMENTAÇÃO DE SOLO (PREDOMINANTEMENTE ARENOSO) BRITA - 40/60 COM CIMENTO (TEOR DE 6%) - EXCLUSIVE SOLO, ESCAVAÇÃO, CARGA E TRANSPORTE. AF_11/2019</t>
  </si>
  <si>
    <t>EXECUÇÃO E COMPACTAÇÃO DE BASE E OU SUB-BASE PARA PAVIMENTAÇÃO DE SOLO (PREDOMINANTEMENTE ARENOSO) BRITA - 40/60 COM CIMENTO (TEOR DE 8%) - EXCLUSIVE SOLO, ESCAVAÇÃO, CARGA E TRANSPORTE. AF_11/2019</t>
  </si>
  <si>
    <t>EXECUÇÃO E COMPACTAÇÃO DE BASE E OU SUB-BASE PARA PAVIMENTAÇÃO DE SOLO (PREDOMINANTEMENTE ARENOSO) BRITA - 50/50 COM CIMENTO (TEOR DE 4%)  - EXCLUSIVE SOLO, ESCAVAÇÃO, CARGA E TRANSPORTE. AF_11/2019</t>
  </si>
  <si>
    <t>EXECUÇÃO E COMPACTAÇÃO DE BASE E OU SUB-BASE PARA PAVIMENTAÇÃO DE SOLO (PREDOMINANTEMENTE ARENOSO) BRITA - 50/50 COM CIMENTO (TEOR DE 6%) - EXCLUSIVE SOLO, ESCAVAÇÃO, CARGA E TRANSPORTE. AF_11/2019</t>
  </si>
  <si>
    <t>EXECUÇÃO E COMPACTAÇÃO DE BASE E OU SUB-BASE PARA PAVIMENTAÇÃO DE SOLO (PREDOMINANTEMENTE ARENOSO) BRITA - 50/50 COM CIMENTO (TEOR DE 8%) - EXCLUSIVE SOLO, ESCAVAÇÃO, CARGA E TRANSPORTE. AF_11/2019</t>
  </si>
  <si>
    <t>EXECUÇÃO E COMPACTAÇÃO DE BASE E OU SUB-BASE PARA PAVIMENTAÇÃO DE SOLO (PREDOMINANTEMENTE ARGILOSO) BRITA - 40/60 - EXCLUSIVE SOLO, ESCAVAÇÃO, CARGA E TRANSPORTE. AF_11/2019</t>
  </si>
  <si>
    <t>EXECUÇÃO E COMPACTAÇÃO DE BASE E OU SUB-BASE PARA PAVIMENTAÇÃO DE SOLO (PREDOMINANTEMENTE ARGILOSO) BRITA - 50/50 - EXCLUSIVE SOLO, ESCAVAÇÃO, CARGA E TRANSPORTE. AF_11/2019</t>
  </si>
  <si>
    <t>ESPALHAMENTO DE MATERIAL COM TRATOR DE ESTEIRAS. AF_11/2019</t>
  </si>
  <si>
    <t>REGULARIZAÇÃO DE SUPERFÍCIES COM MOTONIVELADORA. AF_11/2019</t>
  </si>
  <si>
    <t>PAVIMENTO COM TRATAMENTO SUPERFICIAL SIMPLES, COM EMULSÃO ASFÁLTICA RR-2C. AF_01/2020</t>
  </si>
  <si>
    <t>PAVIMENTO COM TRATAMENTO SUPERFICIAL SIMPLES, COM EMULSÃO ASFÁLTICA RR-2C, COM BANHO DILUÍDO. AF_01/2020</t>
  </si>
  <si>
    <t>PAVIMENTO COM TRATAMENTO SUPERFICIAL DUPLO, COM EMULSÃO ASFÁLTICA RR-2C. AF_01/2020</t>
  </si>
  <si>
    <t>PAVIMENTO COM TRATAMENTO SUPERFICIAL DUPLO, COM EMULSÃO ASFÁLTICA RR-2C, COM BANHO DILUÍDO. AF_01/2020</t>
  </si>
  <si>
    <t>PAVIMENTO COM TRATAMENTO SUPERFICIAL DUPLO, COM EMULSÃO ASFÁLTICA RR-2C, COM CAPA SELANTE. AF_01/2020</t>
  </si>
  <si>
    <t>PAVIMENTO COM TRATAMENTO SUPERFICIAL TRIPLO, COM EMULSÃO ASFÁLTICA RR-2C. AF_01/2020</t>
  </si>
  <si>
    <t>PAVIMENTO COM TRATAMENTO SUPERFICIAL TRIPLO, COM EMULSÃO ASFÁLTICA RR-2C, COM BANHO DILUÍDO. AF_01/2020</t>
  </si>
  <si>
    <t>PAVIMENTO COM TRATAMENTO SUPERFICIAL TRIPLO, COM EMULSÃO ASFÁLTICA RR-2C, COM CAPA SELANTE. AF_01/2020</t>
  </si>
  <si>
    <t>EXECUÇÃO DE PAVIMENTO COM APLICAÇÃO DE CONCRETO ASFÁLTICO, CAMADA DE ROLAMENTO - EXCLUSIVE CARGA E TRANSPORTE. AF_11/2019</t>
  </si>
  <si>
    <t>EXECUÇÃO DE PAVIMENTO COM APLICAÇÃO DE CONCRETO ASFÁLTICO, CAMADA DE BINDER - EXCLUSIVE CARGA E TRANSPORTE. AF_11/2019</t>
  </si>
  <si>
    <t>FRESAGEM DE PAVIMENTO ASFÁLTICO (PROFUNDIDADE ATÉ 5,0 CM) - EXCLUSIVE TRANSPORTE. AF_11/2019</t>
  </si>
  <si>
    <t>JATEAMENTO ABRASIVO COM GRANALHA DE AÇO EM PERFIL METÁLICO EM FÁBRICA. AF_01/2020</t>
  </si>
  <si>
    <t>LIXAMENTO MANUAL EM SUPERFÍCIES METÁLICAS EM OBRA. AF_01/2020</t>
  </si>
  <si>
    <t>COLOCAÇÃO DE FITA PROTETORA PARA PINTURA. AF_01/2020</t>
  </si>
  <si>
    <t>PINTURA COM TINTA ALQUÍDICA DE FUNDO (TIPO ZARCÃO) PULVERIZADA SOBRE PERFIL METÁLICO EXECUTADO EM FÁBRICA (POR DEMÃO). AF_01/2020</t>
  </si>
  <si>
    <t>PINTURA COM TINTA ALQUÍDICA DE FUNDO (TIPO ZARCÃO) APLICADA A ROLO OU PINCEL SOBRE PERFIL METÁLICO EXECUTADO EM FÁBRICA (POR DEMÃO). AF_01/2020</t>
  </si>
  <si>
    <t>PINTURA COM TINTA ALQUÍDICA DE FUNDO (TIPO ZARCÃO) PULVERIZADA SOBRE SUPERFÍCIES METÁLICAS (EXCETO PERFIL) EXECUTADO EM OBRA (POR DEMÃO). AF_01/2020</t>
  </si>
  <si>
    <t>PINTURA COM TINTA ALQUÍDICA DE FUNDO (TIPO ZARCÃO) APLICADA A ROLO OU PINCEL SOBRE SUPERFÍCIES METÁLICAS (EXCETO PERFIL) EXECUTADO EM OBRA (POR DEMÃO). AF_01/2020</t>
  </si>
  <si>
    <t>PINTURA COM TINTA ALQUÍDICA DE FUNDO E ACABAMENTO (ESMALTE SINTÉTICO GRAFITE) PULVERIZADA SOBRE PERFIL METÁLICO EXECUTADO EM FÁBRICA (POR DEMÃO). AF_01/2020</t>
  </si>
  <si>
    <t>PINTURA COM TINTA ALQUÍDICA DE FUNDO E ACABAMENTO (ESMALTE SINTÉTICO GRAFITE) APLICADA A ROLO OU PINCEL SOBRE PERFIL METÁLICO EXECUTADO EM FÁBRICA (POR DEMÃO). AF_01/2020</t>
  </si>
  <si>
    <t>PINTURA COM TINTA ALQUÍDICA DE FUNDO E ACABAMENTO (ESMALTE SINTÉTICO GRAFITE) PULVERIZADA SOBRE SUPERFÍCIES METÁLICAS (EXCETO PERFIL) EXECUTADO EM OBRA (POR DEMÃO). AF_01/2020</t>
  </si>
  <si>
    <t>PINTURA COM TINTA ALQUÍDICA DE FUNDO E ACABAMENTO (ESMALTE SINTÉTICO GRAFITE) APLICADA A ROLO OU PINCEL SOBRE SUPERFÍCIES METÁLICAS (EXCETO PERFIL) EXECUTADO EM OBRA (POR DEMÃO). AF_01/2020</t>
  </si>
  <si>
    <t>PINTURA COM TINTA EPOXÍDICA DE FUNDO PULVERIZADA SOBRE PERFIL METÁLICO EXECUTADO EM FÁBRICA (POR DEMÃO). AF_01/2020</t>
  </si>
  <si>
    <t>PINTURA COM TINTA EPOXÍDICA DE FUNDO APLICADA A ROLO OU PINCEL SOBRE PERFIL METÁLICO EXECUTADO EM FÁBRICA (POR DEMÃO). AF_01/2020</t>
  </si>
  <si>
    <t>PINTURA COM TINTA EPOXÍDICA DE ACABAMENTO PULVERIZADA SOBRE PERFIL METÁLICO EXECUTADO EM FÁBRICA (POR DEMÃO). AF_01/2020</t>
  </si>
  <si>
    <t>PINTURA COM TINTA EPOXÍDICA DE ACABAMENTO APLICADA A ROLO OU PINCEL SOBRE PERFIL METÁLICO EXECUTADO EM FÁBRICA (POR DEMÃO). AF_01/2020</t>
  </si>
  <si>
    <t>PINTURA COM TINTA ACRÍLICA DE FUNDO PULVERIZADA SOBRE SUPERFÍCIES METÁLICAS (EXCETO PERFIL) EXECUTADO EM OBRA (POR DEMÃO). AF_01/2020</t>
  </si>
  <si>
    <t>PINTURA COM TINTA ACRÍLICA DE FUNDO APLICADA A ROLO OU PINCEL SOBRE SUPERFÍCIES METÁLICAS (EXCETO PERFIL) EXECUTADO EM OBRA (POR DEMÃO). AF_01/2020</t>
  </si>
  <si>
    <t>PINTURA COM TINTA ACRÍLICA DE ACABAMENTO PULVERIZADA SOBRE SUPERFÍCIES METÁLICAS (EXCETO PERFIL) EXECUTADO EM OBRA (POR DEMÃO). AF_01/2020</t>
  </si>
  <si>
    <t>PINTURA COM TINTA ACRÍLICA DE ACABAMENTO APLICADA A ROLO OU PINCEL SOBRE SUPERFÍCIES METÁLICAS (EXCETO PERFIL) EXECUTADO EM OBRA (POR DEMÃO). AF_01/2020</t>
  </si>
  <si>
    <t>PINTURA COM TINTA ALQUÍDICA DE ACABAMENTO (ESMALTE SINTÉTICO ACETINADO) PULVERIZADA SOBRE PERFIL METÁLICO EXECUTADO EM FÁBRICA (POR DEMÃO). AF_01/2020</t>
  </si>
  <si>
    <t>PINTURA COM TINTA ALQUÍDICA DE ACABAMENTO (ESMALTE SINTÉTICO ACETINADO) APLICADA A ROLO OU PINCEL SOBRE PERFIL METÁLICO EXECUTADO EM FÁBRICA (POR DEMÃO). AF_01/2020</t>
  </si>
  <si>
    <t>PINTURA COM TINTA ALQUÍDICA DE ACABAMENTO (ESMALTE SINTÉTICO ACETINADO) PULVERIZADA SOBRE SUPERFÍCIES METÁLICAS (EXCETO PERFIL) EXECUTADO EM OBRA (POR DEMÃO). AF_01/2020</t>
  </si>
  <si>
    <t>PINTURA COM TINTA ALQUÍDICA DE ACABAMENTO (ESMALTE SINTÉTICO ACETINADO) APLICADA A ROLO OU PINCEL SOBRE SUPERFÍCIES METÁLICAS (EXCETO PERFIL) EXECUTADO EM OBRA (POR DEMÃO). AF_01/2020</t>
  </si>
  <si>
    <t>PINTURA COM TINTA ALQUÍDICA DE ACABAMENTO (ESMALTE SINTÉTICO BRILHANTE) PULVERIZADA SOBRE PERFIL METÁLICO EXECUTADO EM FÁBRICA  (POR DEMÃO). AF_01/2020</t>
  </si>
  <si>
    <t>PINTURA COM TINTA ALQUÍDICA DE ACABAMENTO (ESMALTE SINTÉTICO BRILHANTE) APLICADA A ROLO OU PINCEL SOBRE PERFIL METÁLICO EXECUTADO EM FÁBRICA (POR DEMÃO). AF_01/2020</t>
  </si>
  <si>
    <t>PINTURA COM TINTA ALQUÍDICA DE ACABAMENTO (ESMALTE SINTÉTICO BRILHANTE) PULVERIZADA SOBRE SUPERFÍCIES METÁLICAS (EXCETO PERFIL) EXECUTADO EM OBRA  (POR DEMÃO). AF_01/2020</t>
  </si>
  <si>
    <t>PINTURA COM TINTA ALQUÍDICA DE ACABAMENTO (ESMALTE SINTÉTICO BRILHANTE) APLICADA A ROLO OU PINCEL SOBRE SUPERFÍCIES METÁLICAS (EXCETO PERFIL) EXECUTADO EM OBRA (POR DEMÃO). AF_01/2020</t>
  </si>
  <si>
    <t>PINTURA COM TINTA ALQUÍDICA DE ACABAMENTO (ESMALTE SINTÉTICO FOSCO) PULVERIZADA SOBRE PERFIL METÁLICO EXECUTADO EM FÁBRICA (POR DEMÃO). AF_01/2020</t>
  </si>
  <si>
    <t>PINTURA COM TINTA ALQUÍDICA DE ACABAMENTO (ESMALTE SINTÉTICO FOSCO) APLICADA A ROLO OU PINCEL SOBRE PERFIL METÁLICO EXECUTADO EM FÁBRICA (POR DEMÃO). AF_01/2020</t>
  </si>
  <si>
    <t>PINTURA COM TINTA ALQUÍDICA DE ACABAMENTO (ESMALTE SINTÉTICO FOSCO) PULVERIZADA SOBRE SUPERFÍCIES METÁLICAS (EXCETO PERFIL) EXECUTADO EM OBRA (POR DEMÃO). AF_01/2020</t>
  </si>
  <si>
    <t>PINTURA COM TINTA ALQUÍDICA DE ACABAMENTO (ESMALTE SINTÉTICO FOSCO) APLICADA A ROLO OU PINCEL SOBRE SUPERFÍCIES METÁLICAS (EXCETO PERFIL) EXECUTADO EM OBRA (POR DEMÃO). AF_01/2020</t>
  </si>
  <si>
    <t>PINTURA COM TINTA EPOXÍDICA DE ACABAMENTO PULVERIZADA SOBRE PERFIL METÁLICO EXECUTADO EM FÁBRICA (02 DEMÃOS). AF_01/2020</t>
  </si>
  <si>
    <t>PINTURA COM TINTA EPOXÍDICA DE ACABAMENTO APLICADA A ROLO OU PINCEL SOBRE PERFIL METÁLICO EXECUTADO EM FÁBRICA (02 DEMÃOS). AF_01/2020</t>
  </si>
  <si>
    <t>PINTURA COM TINTA ACRÍLICA DE ACABAMENTO PULVERIZADA SOBRE SUPERFÍCIES METÁLICAS (EXCETO PERFIL) EXECUTADO EM OBRA (02 DEMÃOS). AF_01/2020</t>
  </si>
  <si>
    <t>PINTURA COM TINTA ACRÍLICA DE ACABAMENTO APLICADA A ROLO OU PINCEL SOBRE SUPERFÍCIES METÁLICAS (EXCETO PERFIL) EXECUTADO EM OBRA (02 DEMÃOS). AF_01/2020</t>
  </si>
  <si>
    <t>PINTURA COM TINTA ALQUÍDICA DE ACABAMENTO (ESMALTE SINTÉTICO ACETINADO) PULVERIZADA SOBRE SUPERFÍCIES METÁLICAS (EXCETO PERFIL) EXECUTADO EM OBRA (02 DEMÃOS). AF_01/2020</t>
  </si>
  <si>
    <t>PINTURA COM TINTA ALQUÍDICA DE ACABAMENTO (ESMALTE SINTÉTICO ACETINADO) APLICADA A ROLO OU PINCEL SOBRE SUPERFÍCIES METÁLICAS (EXCETO PERFIL) EXECUTADO EM OBRA (02 DEMÃOS). AF_01/2020</t>
  </si>
  <si>
    <t>PINTURA COM TINTA ALQUÍDICA DE ACABAMENTO (ESMALTE SINTÉTICO BRILHANTE) PULVERIZADA SOBRE SUPERFÍCIES METÁLICAS (EXCETO PERFIL) EXECUTADO EM OBRA (02 DEMÃOS). AF_01/2020</t>
  </si>
  <si>
    <t>PINTURA COM TINTA ALQUÍDICA DE ACABAMENTO (ESMALTE SINTÉTICO BRILHANTE) APLICADA A ROLO OU PINCEL SOBRE SUPERFÍCIES METÁLICAS (EXCETO PERFIL) EXECUTADO EM OBRA (02 DEMÃOS). AF_01/2020</t>
  </si>
  <si>
    <t>PINTURA COM TINTA ALQUÍDICA DE ACABAMENTO (ESMALTE SINTÉTICO FOSCO) PULVERIZADA SOBRE SUPERFÍCIES METÁLICAS (EXCETO PERFIL) EXECUTADO EM OBRA (02 DEMÃOS). AF_01/2020</t>
  </si>
  <si>
    <t>PINTURA COM TINTA ALQUÍDICA DE ACABAMENTO (ESMALTE SINTÉTICO FOSCO) APLICADA A ROLO OU PINCEL SOBRE SUPERFÍCIES METÁLICAS (EXCETO PERFIL) EXECUTADO EM OBRA (02 DEMÃOS). AF_01/2020</t>
  </si>
  <si>
    <t>1.3</t>
  </si>
  <si>
    <t>DEMÃOS</t>
  </si>
  <si>
    <t>CP-ESQ-01</t>
  </si>
  <si>
    <t>PORTAO DE FERRO, DE ABRIR, TIPO CHAPA CORRUGADA, COM GUARNICOES E FECHADURA, FORNECIMENTO E INSTALAÇÃO (1,00 X 2,10)M</t>
  </si>
  <si>
    <t>S2=S8=S13=S29=S31=S32</t>
  </si>
  <si>
    <t>S1=S3=S4=S5=S6=S7=S9=S10=S11=S14=S15=S16=S17=S19=S20=S21=S22=S23=S24=S26
=S27=S30=S12</t>
  </si>
  <si>
    <t>PORTA 1,0 M COZINHA</t>
  </si>
  <si>
    <t>DML</t>
  </si>
  <si>
    <t>COZINHA + DML</t>
  </si>
  <si>
    <t>COZINHA+ DML</t>
  </si>
  <si>
    <t>POSTO DE TRANSFORMAÇÃO</t>
  </si>
  <si>
    <t xml:space="preserve">DISPOSITIVO DE PROTEÇÃO CONTRA SURTO - 175V - 40KA </t>
  </si>
  <si>
    <t>Quadro de distribuição geral tipo quadro de comando (QGBT) metálico de 600x1000x200</t>
  </si>
  <si>
    <t>PÇ</t>
  </si>
  <si>
    <t>QUADRO DE DISTRIBUIÇÃO GERAL TIPO QUADRO DE COMANDO (QGBT) METÁLICO DE 600X1000X200</t>
  </si>
  <si>
    <t>Barramento de cobre para 400A</t>
  </si>
  <si>
    <t xml:space="preserve">COMPOSIÇÃO </t>
  </si>
  <si>
    <t>BARRAMENTO DE COBRE PARA 400A</t>
  </si>
  <si>
    <t>Curva PVC roscável Ø4"</t>
  </si>
  <si>
    <t>CURVA PVC 90 GRAUS, ROSCAVEL, 3/4",  AGUA FRIA PREDIAL</t>
  </si>
  <si>
    <t>Fita isolante adesiva anti-chama uso ate 750V, em rolo de 19mmx20m (AZUL)</t>
  </si>
  <si>
    <t>Fita isolante adesiva anti-chama uso ate 750V, em rolo de 19mmx20m (VERMELHO)</t>
  </si>
  <si>
    <t>Fita isolante adesiva anti-chama uso ate 750V, em rolo de 19mmx20m (VERDE)</t>
  </si>
  <si>
    <t>Bucha de aluminio Ø4"</t>
  </si>
  <si>
    <t>Isolador epoxi 3/4"</t>
  </si>
  <si>
    <t>ISOLADOR POXI 3/4"</t>
  </si>
  <si>
    <t>Chapa acrílica Transparente</t>
  </si>
  <si>
    <t>Parafuso sextavado inoxidável de Ø5/16"</t>
  </si>
  <si>
    <t>Parafuso cobreado de Ø 3/8"</t>
  </si>
  <si>
    <t xml:space="preserve">Poste de concreto DT 12/600 </t>
  </si>
  <si>
    <t>POSTE CONCRETO DUPLO T 12/600KGF</t>
  </si>
  <si>
    <t xml:space="preserve">Poste de concreto DT 11/600 </t>
  </si>
  <si>
    <t>POSTE CONCRETO DUPLO T 11/600KGF</t>
  </si>
  <si>
    <t xml:space="preserve">Alça pre-formada de estai para cabo aço galv. 9,5mm </t>
  </si>
  <si>
    <t>Sapatilha</t>
  </si>
  <si>
    <t>Olhal para parafuso</t>
  </si>
  <si>
    <t xml:space="preserve">Isolador de ancoragem tipo bastão polimero 15KV </t>
  </si>
  <si>
    <t>ISOLADOR POLIMÉRICO TIPO SUSPENSÃO 15KV PARA ANCORAGEM</t>
  </si>
  <si>
    <t>Manilha sapatilha</t>
  </si>
  <si>
    <t>MANILHA SAPATILHA 110MM ZINCADO</t>
  </si>
  <si>
    <t>Gancho olhal</t>
  </si>
  <si>
    <t>PERFIL U PARA REDE COMPACTA</t>
  </si>
  <si>
    <t>FIXADOR DE PERFIL U PARA REDE COMPACTA</t>
  </si>
  <si>
    <t xml:space="preserve">Para Raio de distribuição 12kv - polimerico - 10 KA </t>
  </si>
  <si>
    <t>PARA-RAIO DISTRIBUICAO POLIMÉRICO ZNO SEM CENTELHADORES 12 KV 10KA</t>
  </si>
  <si>
    <t>PC</t>
  </si>
  <si>
    <t xml:space="preserve">Cruzeta de concreto 250 daN retangular </t>
  </si>
  <si>
    <t>CRUZETA DE CONCRETO 250 daN RETANGULAR</t>
  </si>
  <si>
    <t>UM</t>
  </si>
  <si>
    <t>Mão francesa 619mm</t>
  </si>
  <si>
    <t>SOLDA TOPO DESCENDENTE CHANFRADA ESPESSURA=1/4" CHAPA/PERFIL/TUBO ACO COM CONVERSOR DIESEL.</t>
  </si>
  <si>
    <t>MÃO FRANCESA PLANA NORMAL 619MM</t>
  </si>
  <si>
    <t>Suporte DE FIXAÇÃO DE CHAVE FUSIVEL TIPO  L</t>
  </si>
  <si>
    <t>Arruela quadrada</t>
  </si>
  <si>
    <t>Parafuso cabeça quadrada de 100mm</t>
  </si>
  <si>
    <t>PARAFUSO CABECA QUADRADA 16X100 MM-RT</t>
  </si>
  <si>
    <t>Parafuso de cabeça quadrada de 125mm</t>
  </si>
  <si>
    <t>Parafuso de cabeça quadrada de 200mm</t>
  </si>
  <si>
    <t>Parafuso de cabeça quadrada de 250mm</t>
  </si>
  <si>
    <t xml:space="preserve">Parafuso de cabeça quadrada de 300mm </t>
  </si>
  <si>
    <t xml:space="preserve">Protetor de bucha AT de transformador 15KV </t>
  </si>
  <si>
    <t>PROTETOR DE BUCHA DE AT DE TRAFO</t>
  </si>
  <si>
    <t xml:space="preserve">Transformador de distribuição de 112,5 KVA trifasico classe 15KV, 220/127V </t>
  </si>
  <si>
    <t xml:space="preserve">Isolador pilar 110KV </t>
  </si>
  <si>
    <t xml:space="preserve">Pino auto travante, 140mm para isolador pilar </t>
  </si>
  <si>
    <t>PINO AUTO TRAVANTE P ISOL PILAR 140 MM</t>
  </si>
  <si>
    <t xml:space="preserve">Grampo de linha viva </t>
  </si>
  <si>
    <t>Cabo de cobre XLPE-15KV 16mm²</t>
  </si>
  <si>
    <t>CABO DE COBRE COBERTO C/ XLPE 16MM</t>
  </si>
  <si>
    <t xml:space="preserve">Cabeçote para entrada de linha de alimentação para eletroduto de Ø4" com acabamento anti-corressivo </t>
  </si>
  <si>
    <t xml:space="preserve">Massa calafeTadora </t>
  </si>
  <si>
    <t>Mureta em alvenaria 1 vez dim 2,20x2,20metros com cobertura de 5% inclinação</t>
  </si>
  <si>
    <t>Armario de medição direta 800A e proteção energisa - NDU 002</t>
  </si>
  <si>
    <t>CAIXA METÁLICA EM CHAPA N°18, USG COM DIMENSÃO 600X1600MM, COM COMPARTIMENTO PARA DISJUNTOR, TCS, CHAVE DE AFERIÇÃO E MEDIDOR, CONFORME PADRÃO DE ENERGIA</t>
  </si>
  <si>
    <t>Eletroduto aço carbono c/costura a galv a fogo Ø100mm</t>
  </si>
  <si>
    <t>ELETRODUTO AÇO CARBONO C/COSTURA A GALV A FOGO Ø100MM</t>
  </si>
  <si>
    <t xml:space="preserve">Cabo de aluminio protegido 50mm²-15KV - XLPE </t>
  </si>
  <si>
    <t>CABO DE ALUMINIO PROTEGIDO 50MM²-15KV - XLPE</t>
  </si>
  <si>
    <t>Cabo de aço galvanizado 9,5m</t>
  </si>
  <si>
    <t xml:space="preserve">Espaçador losangular  para cabo de aluminio - 15 KV </t>
  </si>
  <si>
    <t>ESPAÇADOR LOSANGULAR  PARA CABO DE ALUMINIO - 15 KV</t>
  </si>
  <si>
    <t>ANEL DE AMARRAÇÃO</t>
  </si>
  <si>
    <t>Serviço de caminhão linha viva para implantação de 1 poste e serviço de conexão</t>
  </si>
  <si>
    <t>SERVIÇO DE CAMINHÃO LINHA VIVA PARA IMPLANTAÇÃO DE 1 POSTE E SERVIÇO DE CONEXÃO</t>
  </si>
  <si>
    <t xml:space="preserve">Arame de aço galvanizado - 14 BWG </t>
  </si>
  <si>
    <t xml:space="preserve">Caixa de aterramento 50x50cm </t>
  </si>
  <si>
    <t>CAIXA DE ATERRAMENTO 50X50CM</t>
  </si>
  <si>
    <t xml:space="preserve">Conector derivação tipo cunha </t>
  </si>
  <si>
    <t xml:space="preserve">Haste coperweld 3/8"x3,00 com conector </t>
  </si>
  <si>
    <t>CHAVE FUSIVEL PARA REDES DE DISTRIBUICAO, TENSAO DE 15,0 KV, CORRENTE NOMINAL DO PORTA FUSIVEL DE 100 A, CAPACIDADE DE INTERRUPCAO SIMETRICA DE 7,10 KA, CAPACIDADE DE INTERRUPCAO ASSIMETRICA 10,00 KA. COM ELO FUSÍVEL DE 5H</t>
  </si>
  <si>
    <t xml:space="preserve">Elo Fusível Distribuição Classe 15kv 5H 500mm </t>
  </si>
  <si>
    <t>Fixador de perfil U</t>
  </si>
  <si>
    <t>Grampo de ancoragem p/ cabo coberto 15KV de 50mm²</t>
  </si>
  <si>
    <t>GRAMPO DE ANCORAGEM PARA CABO COBERTO COMPACTA 50MM</t>
  </si>
  <si>
    <t>Abraçadeira Plástica Serrilhada 390mm</t>
  </si>
  <si>
    <t>ISOLADOR DE PORCELANA, TIPO ROLDANA, DIMENSOES DE *72* X *72* MM, PARA USO EM BAIXA TENSAO</t>
  </si>
  <si>
    <t>CABO DE COBRE NU 50 MM2 MEIO-DURO</t>
  </si>
  <si>
    <t>PARAFUSO DE ROSCA TOTAL</t>
  </si>
  <si>
    <t>LAÇO PRÉ-FORMADO DE TOPO PARA DISTRIBUIÇÃO</t>
  </si>
  <si>
    <t>Conector derivação cunha tipo estribo normal - 50mm² x 2AWG</t>
  </si>
  <si>
    <t>PRÓPRIA</t>
  </si>
  <si>
    <t xml:space="preserve">POSTO DE TRANSFORMAÇÃO </t>
  </si>
  <si>
    <t>CP-CBI-02</t>
  </si>
  <si>
    <t xml:space="preserve">ADMINISTRAÇÃO DE OBRA </t>
  </si>
  <si>
    <t>!EM PROCESSO DE DESATIVACAO! CADEADO EM ACO INOX, LARGURA DE *50* MM, COM HASTE EM ACO TEMPERADO, SEM MOLA - CHAVES INCLUIDAS</t>
  </si>
  <si>
    <t>!EM PROCESSO DE DESATIVACAO! CHAPA DE MADEIRA COMPENSADA DE PINUS, VIROLA OU EQUIVALENTE, DE *2,2 X 1,6* M, E = 6 MM</t>
  </si>
  <si>
    <t>!EM PROCESSO DE DESATIVACAO! CHAPA DE MADEIRA COMPENSADA PLASTIFICADA PARA FORMA DE CONCRETO, DE 2,20 x 1,10 M, E = 6 MM</t>
  </si>
  <si>
    <t>!EM PROCESSO DE DESATIVACAO! CHAPA DE MADEIRA COMPENSADA PLASTIFICADA PARA FORMA DE CONCRETO, DE 2,20 X 1,10 m, E = 14 MM</t>
  </si>
  <si>
    <t>!EM PROCESSO DE DESATIVACAO! CHAPA DE MADEIRA COMPENSADA PLASTIFICADA PARA FORMA DE CONCRETO, DE 2,20 X 1,10 M, E = 20 MM</t>
  </si>
  <si>
    <t>!EM PROCESSO DE DESATIVACAO! CHAPA DE MADEIRA COMPENSADA RESINADA PARA FORMA DE CONCRETO, DE *2,2 X 1,1* M, E = 10 MM</t>
  </si>
  <si>
    <t>!EM PROCESSO DE DESATIVACAO! CHAPA DE MADEIRA COMPENSADA RESINADA PARA FORMA DE CONCRETO, DE *2,2 X 1,1* M, E = 12 MM</t>
  </si>
  <si>
    <t>!EM PROCESSO DE DESATIVACAO! CHAPA DE MADEIRA COMPENSADA RESINADA PARA FORMA DE CONCRETO, DE *2,2 X 1,1* M, E = 20 MM</t>
  </si>
  <si>
    <t>!EM PROCESSO DE DESATIVACAO! CHAPA DE MADEIRA COMPENSADA RESINADA PARA FORMA DE CONCRETO, DE *2,2 X 1,1* M, E = 6 MM</t>
  </si>
  <si>
    <t>!EM PROCESSO DE DESATIVACAO! CREMONA COM CASTANHA BIPARTIDA, COM VARA DE 1.50 M, EM LATAO CROMADO, PARA PORTAS E JANELAS - COMPLETA</t>
  </si>
  <si>
    <t>!EM PROCESSO DE DESATIVACAO! DIVISORIA COLMEIA CEGA COM MONTANTE E RODAPE DE ALUMINIO ANODIZADO SIMPLES (SEM COLOCACAO)</t>
  </si>
  <si>
    <t>!EM PROCESSO DE DESATIVACAO! DOBRADICA EM ACO/FERRO, 3" X 2 1/2", E= 1,2 A 1,8 MM, SEM ANEL,  CROMADO OU ZINCADO, TAMPA BOLA, COM PARAFUSOS</t>
  </si>
  <si>
    <t>!EM PROCESSO DE DESATIVACAO! ESCAVADEIRA DRAGA DE ARRASTE, CAP. 3/4 JC 140HP (INCL MANUTENCAO/OPERACAO)</t>
  </si>
  <si>
    <t>!EM PROCESSO DE DESATIVACAO! ESCAVADEIRA HIDRAULICA SOBRE ESTEIRAS DE 99 HP, PESO OPERACIONAL DE *16* T E CAPACIDADE DE 0,85 A 1,00 M3 (LOCACAO COM OPERADOR, COMBUSTIVEL E MANUTENCAO)</t>
  </si>
  <si>
    <t>!EM PROCESSO DE DESATIVACAO! FUNDO SINTETICO NIVELADOR BRANCO FOSCO PARA MADEIRA</t>
  </si>
  <si>
    <t>!EM PROCESSO DE DESATIVACAO! GRADIL *1320 X 2170* MM (A X L) EM BARRA DE ACO CHATA *25 MM X 2* MM, ENTRELACADA COM BARRA ACO REDONDA *5* MM, MALHA *65 X 132* MM, GALVANIZADO E PINTURA ELETROSTATICA, COR PRETO</t>
  </si>
  <si>
    <t>!EM PROCESSO DE DESATIVACAO! HASTE DE ATERRAMENTO EM ACO COM 3,00 M DE COMPRIMENTO E DN = 3/4", REVESTIDA COM BAIXA CAMADA DE COBRE, SEM CONECTOR</t>
  </si>
  <si>
    <t>!EM PROCESSO DE DESATIVACAO! HASTE DE ATERRAMENTO EM ACO COM 3,00 M DE COMPRIMENTO E DN = 5/8", REVESTIDA COM BAIXA CAMADA DE COBRE, COM CONECTOR TIPO GRAMPO</t>
  </si>
  <si>
    <t>!EM PROCESSO DE DESATIVACAO! HASTE DE ATERRAMENTO EM ACO COM 3,00 M DE COMPRIMENTO E DN = 5/8", REVESTIDA COM BAIXA CAMADA DE COBRE, SEM CONECTOR</t>
  </si>
  <si>
    <t>!EM PROCESSO DE DESATIVACAO! JANELA BASCULANTE, ACO, COM BATENTE/REQUADRO, 60 X 80 CM (SEM VIDROS)</t>
  </si>
  <si>
    <t>!EM PROCESSO DE DESATIVACAO! JANELA DE CORRER, ACO, BATENTE/REQUADRO DE 6 A 14 CM, QUADRICULADA, PINTURA ANTICORROSIVA, SEM VIDRO, BANDEIRA COM BASCULA, 4 FLS, 120  X 150 CM (A X L)</t>
  </si>
  <si>
    <t>!EM PROCESSO DE DESATIVACAO! JANELA DE CORRER, ACO, BATENTE/REQUADRO DE 6 A 14 CM, VENEZIANA, PINT ANTICORROSIVA, PINT ACABAMENTO, COM VIDRO, 6 FLS, 120  X 150 CM (A X L)</t>
  </si>
  <si>
    <t>!EM PROCESSO DE DESATIVACAO! JANELA DE CORRER, ACO, COM BATENTE/REQUADRO DE 6 A 14 CM, SEM DIVISAO, PINT ANTICORROSIVA, PINT ACABAMENTO, COM VIDRO, SEM BANDEIRA, 2 FLS, 120  X 150 CM (A X L)</t>
  </si>
  <si>
    <t>!EM PROCESSO DE DESATIVACAO! LOCACAO DE GRUPO GERADOR *80 A 125* KVA, MOTOR DIESEL, REBOCAVEL, ACIONAMENTO MANUAL</t>
  </si>
  <si>
    <t>!EM PROCESSO DE DESATIVACAO! LOCACAO DE GRUPO GERADOR ACIMA DE * 125 ATE 180* KVA, MOTOR DIESEL, REBOCAVEL, ACIONAMENTO MANUAL</t>
  </si>
  <si>
    <t>!EM PROCESSO DE DESATIVACAO! LOCACAO DE GRUPO GERADOR ACIMA DE * 20 A 80* KVA, MOTOR DIESEL, REBOCAVEL, ACIONAMENTO MANUAL</t>
  </si>
  <si>
    <t>!EM PROCESSO DE DESATIVACAO! LOCACAO DE GRUPO GERADOR DE *260* KVA, DIESEL REBOCAVEL, ACIONAMENTO MANUAL</t>
  </si>
  <si>
    <t>!EM PROCESSO DE DESATIVACAO! LOCACAO DE GRUPO GERADOR DE *400* KVA, DIESEL REBOCAVEL, ACIONAMENTO MANUAL</t>
  </si>
  <si>
    <t>!EM PROCESSO DE DESATIVACAO! LOCACAO DE GRUPO GERADOR DE *550* KVA, DIESEL REBOCAVEL, ACIONAMENTO MANUAL</t>
  </si>
  <si>
    <t>!EM PROCESSO DE DESATIVACAO! LONA PLASTICA, PRETA, LARGURA 8 M, E= 150 MICRA</t>
  </si>
  <si>
    <t>!EM PROCESSO DE DESATIVACAO! LUMINARIA FECHADA P/ ILUMINACAO PUBLICA, TIPO ABL 50/F OU EQUIV, P/ LAMPADA A VAPOR DE MERCURIO 400W</t>
  </si>
  <si>
    <t>!EM PROCESSO DE DESATIVACAO! MASSA CORRIDA PVA PARA PAREDES INTERNAS</t>
  </si>
  <si>
    <t>!EM PROCESSO DE DESATIVACAO! PORTA DE MADEIRA, FOLHA LEVE (NBR 15930), E = 35 MM, NUCLEO COLMEIA, CAPA LISA EM HDF, ACABAMENTO MELAMINICO EM PADRAO MADEIRA</t>
  </si>
  <si>
    <t>!EM PROCESSO DE DESATIVACAO! PUXADOR CONCHA DE EMBUTIR, EM LATAO CROMADO, PARA PORTA / JANELA DE CORRER, LISO, SEM FURO PARA CHAVE, COM FUROS PARA FIXAR PARAFUSOS, *30 X 90* MM (LARGURA X ALTURA)</t>
  </si>
  <si>
    <t>!EM PROCESSO DE DESATIVACAO! SARRAFO DE MADEIRA NAO APARELHADA *2,5 X 15* CM, MACARANDUBA, ANGELIM OU EQUIVALENTE DA REGIAO</t>
  </si>
  <si>
    <t>!EM PROCESSO DE DESATIVACAO! TABUA DE MADEIRA NAO APARELHADA *2,5 X 30 CM (1 X 12 ") PINUS, MISTA OU EQUIVALENTE DA REGIAO</t>
  </si>
  <si>
    <t>!EM PROCESSO DE DESATIVACAO! TERMINAL DE PORCELANA (MUFLA) UNIPOLAR, USO EXTERNO, TENSAO 3,6/6 KV, PARA CABO DE 10/16 MM2, COM ISOLAMENTO EPR</t>
  </si>
  <si>
    <t>!EM PROCESSO DE DESATIVACAO! TINTA A OLEO BRILHANTE PARA MADEIRA E METAIS</t>
  </si>
  <si>
    <t>!EM PROCESSO DE DESATIVACAO! TINTA ACRILICA PREMIUM PARA PISO</t>
  </si>
  <si>
    <t>!EM PROCESSO DE DESATIVACAO! TINTA LATEX PVA PREMIUM, COR BRANCA</t>
  </si>
  <si>
    <t>!EM PROCESSO DE DESATIVACAO! VERNIZ POLIURETANO BRILHANTE PARA MADEIRA, SEM FILTRO SOLAR, USO INTERNO E EXTERNO</t>
  </si>
  <si>
    <t>!EM PROCESSO DE DESATIVACAO! VIGOTA DE MADEIRA NAO APARELHADA *5 X 10* CM, MACARANDUBA, ANGELIM OU EQUIVALENTE DA REGIAO</t>
  </si>
  <si>
    <t>!EM PROCESSO DE DESATIVACAO!JANELA DE CORRER, ACO, BATENTE/REQUADRO DE 6 A 14 CM,  COM DIVISAO HORIZ , PINT ANTICORROSIVA, SEM VIDRO, BANDEIRA COM BASCULA, 4 FLS, 120  X 150 CM (A X L)</t>
  </si>
  <si>
    <t>!EM PROCESSO DE DESATIVACAO!MASSA A OLEO PARA MADEIRA</t>
  </si>
  <si>
    <t>!EM PROCESSO DE DESATIVACAO!MASSA ACRILICA PARA PAREDES INTERIOR/EXTERIOR</t>
  </si>
  <si>
    <t>!EM PROCESSO DESATIVACAO! ELETRODUTO EM ACO GALVANIZADO ELETROLITICO, LEVE, DIAMETRO 1", PAREDE DE 0,90 MM</t>
  </si>
  <si>
    <t>!EM PROCESSO DESATIVACAO! ELETRODUTO EM ACO GALVANIZADO ELETROLITICO, LEVE, DIAMETRO 3/4", PAREDE DE 0,90 MM</t>
  </si>
  <si>
    <t>!EM PROCESSO DESATIVACAO! ELETRODUTO EM ACO GALVANIZADO ELETROLITICO, SEMI-PESADO, DIAMETRO 1 1/2", PAREDE DE 1,20 MM</t>
  </si>
  <si>
    <t>!EM PROCESSO DESATIVACAO! ELETRODUTO EM ACO GALVANIZADO ELETROLITICO, SEMI-PESADO, DIAMETRO 1 1/4", PAREDE DE 1,20 MM</t>
  </si>
  <si>
    <t>ABERTURA PARA ENCAIXE DE CUBA OU LAVATORIO EM BANCADA DE MARMORE/ GRANITO OU OUTRO TIPO DE PEDRA NATURAL</t>
  </si>
  <si>
    <t>ABRACADEIRA DE LATAO PARA FIXACAO DE CABO PARA-RAIO, DIMENSOES 32 X 24 X 24 MM</t>
  </si>
  <si>
    <t>ABRACADEIRA DE NYLON PARA AMARRACAO DE CABOS, COMPRIMENTO DE *230* X *7,6* MM</t>
  </si>
  <si>
    <t>ABRACADEIRA DE NYLON PARA AMARRACAO DE CABOS, COMPRIMENTO DE 100 X 2,5 MM</t>
  </si>
  <si>
    <t>ABRACADEIRA DE NYLON PARA AMARRACAO DE CABOS, COMPRIMENTO DE 150 X *3,6* MM</t>
  </si>
  <si>
    <t>ABRACADEIRA DE NYLON PARA AMARRACAO DE CABOS, COMPRIMENTO DE 200 X *4,6* MM</t>
  </si>
  <si>
    <t>ABRACADEIRA DE NYLON PARA AMARRACAO DE CABOS, COMPRIMENTO DE 390 X *4,6* MM</t>
  </si>
  <si>
    <t>ABRACADEIRA EM ACO PARA AMARRACAO DE ELETRODUTOS, TIPO D, COM 1 1/2" E CUNHA DE FIXACAO</t>
  </si>
  <si>
    <t>ABRACADEIRA EM ACO PARA AMARRACAO DE ELETRODUTOS, TIPO D, COM 1 1/2" E PARAFUSO DE FIXACAO</t>
  </si>
  <si>
    <t>ABRACADEIRA EM ACO PARA AMARRACAO DE ELETRODUTOS, TIPO D, COM 1 1/4" E CUNHA DE FIXACAO</t>
  </si>
  <si>
    <t>ABRACADEIRA EM ACO PARA AMARRACAO DE ELETRODUTOS, TIPO D, COM 1 1/4" E PARAFUSO DE FIXACAO</t>
  </si>
  <si>
    <t>ABRACADEIRA EM ACO PARA AMARRACAO DE ELETRODUTOS, TIPO D, COM 1/2" E CUNHA DE FIXACAO</t>
  </si>
  <si>
    <t>ABRACADEIRA EM ACO PARA AMARRACAO DE ELETRODUTOS, TIPO D, COM 1/2" E PARAFUSO DE FIXACAO</t>
  </si>
  <si>
    <t>ABRACADEIRA EM ACO PARA AMARRACAO DE ELETRODUTOS, TIPO D, COM 1" E CUNHA DE FIXACAO</t>
  </si>
  <si>
    <t>ABRACADEIRA EM ACO PARA AMARRACAO DE ELETRODUTOS, TIPO D, COM 1" E PARAFUSO DE FIXACAO</t>
  </si>
  <si>
    <t>ABRACADEIRA EM ACO PARA AMARRACAO DE ELETRODUTOS, TIPO D, COM 2 1/2" E CUNHA DE FIXACAO</t>
  </si>
  <si>
    <t>ABRACADEIRA EM ACO PARA AMARRACAO DE ELETRODUTOS, TIPO D, COM 2 1/2" E PARAFUSO DE FIXACAO</t>
  </si>
  <si>
    <t>ABRACADEIRA EM ACO PARA AMARRACAO DE ELETRODUTOS, TIPO D, COM 2" E CUNHA DE FIXACAO</t>
  </si>
  <si>
    <t>ABRACADEIRA EM ACO PARA AMARRACAO DE ELETRODUTOS, TIPO D, COM 2" E PARAFUSO DE FIXACAO</t>
  </si>
  <si>
    <t>ABRACADEIRA EM ACO PARA AMARRACAO DE ELETRODUTOS, TIPO D, COM 3 1/2" E CUNHA DE FIXACAO</t>
  </si>
  <si>
    <t>ABRACADEIRA EM ACO PARA AMARRACAO DE ELETRODUTOS, TIPO D, COM 3/4" E CUNHA DE FIXACAO</t>
  </si>
  <si>
    <t>ABRACADEIRA EM ACO PARA AMARRACAO DE ELETRODUTOS, TIPO D, COM 3/4" E PARAFUSO DE FIXACAO</t>
  </si>
  <si>
    <t>ABRACADEIRA EM ACO PARA AMARRACAO DE ELETRODUTOS, TIPO D, COM 3/8" E PARAFUSO DE FIXACAO</t>
  </si>
  <si>
    <t>ABRACADEIRA EM ACO PARA AMARRACAO DE ELETRODUTOS, TIPO D, COM 3" E CUNHA DE FIXACAO</t>
  </si>
  <si>
    <t>ABRACADEIRA EM ACO PARA AMARRACAO DE ELETRODUTOS, TIPO D, COM 3" E PARAFUSO DE FIXACAO</t>
  </si>
  <si>
    <t>ABRACADEIRA EM ACO PARA AMARRACAO DE ELETRODUTOS, TIPO D, COM 4" E CUNHA DE FIXACAO</t>
  </si>
  <si>
    <t>ABRACADEIRA EM ACO PARA AMARRACAO DE ELETRODUTOS, TIPO D, COM 4" E PARAFUSO DE FIXACAO</t>
  </si>
  <si>
    <t>ABRACADEIRA EM ACO PARA AMARRACAO DE ELETRODUTOS, TIPO ECONOMICA (GOTA), COM 8"</t>
  </si>
  <si>
    <t>ABRACADEIRA EM ACO PARA AMARRACAO DE ELETRODUTOS, TIPO U SIMPLES, COM 1 1/2"</t>
  </si>
  <si>
    <t>ABRACADEIRA EM ACO PARA AMARRACAO DE ELETRODUTOS, TIPO U SIMPLES, COM 1 1/4"</t>
  </si>
  <si>
    <t>ABRACADEIRA EM ACO PARA AMARRACAO DE ELETRODUTOS, TIPO U SIMPLES, COM 1/2"</t>
  </si>
  <si>
    <t>ABRACADEIRA EM ACO PARA AMARRACAO DE ELETRODUTOS, TIPO U SIMPLES, COM 1"</t>
  </si>
  <si>
    <t>ABRACADEIRA EM ACO PARA AMARRACAO DE ELETRODUTOS, TIPO U SIMPLES, COM 2 1/2"</t>
  </si>
  <si>
    <t>ABRACADEIRA EM ACO PARA AMARRACAO DE ELETRODUTOS, TIPO U SIMPLES, COM 2"</t>
  </si>
  <si>
    <t>ABRACADEIRA EM ACO PARA AMARRACAO DE ELETRODUTOS, TIPO U SIMPLES, COM 3/4"</t>
  </si>
  <si>
    <t>ABRACADEIRA EM ACO PARA AMARRACAO DE ELETRODUTOS, TIPO U SIMPLES, COM 3/8"</t>
  </si>
  <si>
    <t>ABRACADEIRA EM ACO PARA AMARRACAO DE ELETRODUTOS, TIPO U SIMPLES, COM 3"</t>
  </si>
  <si>
    <t>ABRACADEIRA EM ACO PARA AMARRACAO DE ELETRODUTOS, TIPO U SIMPLES, COM 4"</t>
  </si>
  <si>
    <t>ABRACADEIRA PVC, PARA CALHA PLUVIAL, DIAMETRO ENTRE 80 E 100 MM, PARA DRENAGEM PREDIAL</t>
  </si>
  <si>
    <t>ABRACADEIRA, GALVANIZADA/ZINCADA, ROSCA SEM FIM, PARAFUSO INOX, LARGURA  FITA *12,6 A *14 MM, D = 2" A 2 1/2"</t>
  </si>
  <si>
    <t>ABRACADEIRA, GALVANIZADA/ZINCADA, ROSCA SEM FIM, PARAFUSO INOX, LARGURA  FITA *12,6 A *14 MM, D = 3" A 3 3/4"</t>
  </si>
  <si>
    <t>ABRACADEIRA, GALVANIZADA/ZINCADA, ROSCA SEM FIM, PARAFUSO INOX, LARGURA  FITA *12,6 A *14 MM, D = 4" A 4 3/4"</t>
  </si>
  <si>
    <t>ACABAMENTO CROMADO PARA REGISTRO PEQUENO, 1/2 " OU 3/4 "</t>
  </si>
  <si>
    <t>ACABAMENTO SIMPLES/CONVENCIONAL PARA FORRO PVC, TIPO "U" OU "C", COR BRANCA, COMPRIMENTO 6 M</t>
  </si>
  <si>
    <t>ACESSORIO DE LIGACAO NAO ELETRICO PARA CARGAS EXPLOSIVAS, TUBO DE 6 M</t>
  </si>
  <si>
    <t>ACESSORIO INICIADOR NAO ELETRICO, TUBO DE 6 M, TEMPO DE RETARDO DE *160* MS</t>
  </si>
  <si>
    <t>ACETILENO (RECARGA PARA CILINDRO DE CONJUNTO OXICORTE GRANDE)</t>
  </si>
  <si>
    <t>ACIDO MURIATICO, DILUICAO 10% A 12% PARA USO EM LIMPEZA</t>
  </si>
  <si>
    <t>ACO CA-25, 10,0 MM, OU 12,5 MM, OU 16,0 MM, OU 20,0 MM, OU 25,0 MM, VERGALHAO</t>
  </si>
  <si>
    <t>ACO CA-25, 20,0 MM, BARRA DE TRANSFERENCIA</t>
  </si>
  <si>
    <t>ACO CA-25, 25,0 MM, BARRA DE TRANSFERENCIA</t>
  </si>
  <si>
    <t>ACO CA-25, 32,0 MM, BARRA DE TRANSFERENCIA</t>
  </si>
  <si>
    <t>ACO CA-25, 32,0 MM, VERGALHAO</t>
  </si>
  <si>
    <t>ACO CA-25, 6,3 MM OU 8,0 MM, VERGALHAO</t>
  </si>
  <si>
    <t>ACO CA-50, 10,0 MM, OU 12,5 MM, OU 16,0 MM, OU 20,0 MM, DOBRADO E CORTADO</t>
  </si>
  <si>
    <t>ACO CA-50, 10,0 MM, VERGALHAO</t>
  </si>
  <si>
    <t>ACO CA-50, 12,5 MM OU 16,0 MM, VERGALHAO</t>
  </si>
  <si>
    <t>ACO CA-50, 20,0 MM OU 25,0 MM, VERGALHAO</t>
  </si>
  <si>
    <t>ACO CA-50, 32,0 MM, VERGALHAO</t>
  </si>
  <si>
    <t>ACO CA-50, 6,3 MM, DOBRADO E CORTADO</t>
  </si>
  <si>
    <t>ACO CA-50, 6,3 MM, VERGALHAO</t>
  </si>
  <si>
    <t>ACO CA-50, 8,0 MM, VERGALHAO</t>
  </si>
  <si>
    <t>ACO CA-60, 4,2 MM OU 5,0 MM, DOBRADO E CORTADO</t>
  </si>
  <si>
    <t>ACO CA-60, 4,2 MM, OU 5,0 MM, OU 6,0 MM, OU 7,0 MM, VERGALHAO</t>
  </si>
  <si>
    <t>ACO CA-60, 6,0 MM OU 7,0 MM, DOBRADO E CORTADO</t>
  </si>
  <si>
    <t>ACO CA-60, 8,0 MM OU 9,5 MM, VERGALHAO</t>
  </si>
  <si>
    <t>ACOPLAMENTO DE CONDUTOR PLUVIAL, EM PVC, DIAMETRO ENTRE 80 E 100 MM, PARA DRENAGEM PREDIAL</t>
  </si>
  <si>
    <t>ACOPLAMENTO RIGIDO EM FERRO FUNDIDO PARA SISTEMA DE TUBULACAO RANHURADA, DN 50 MM (2")</t>
  </si>
  <si>
    <t>ACOPLAMENTO RIGIDO EM FERRO FUNDIDO PARA SISTEMA DE TUBULACAO RANHURADA, DN 65 MM (2 1/2")</t>
  </si>
  <si>
    <t>ACOPLAMENTO RIGIDO EM FERRO FUNDIDO PARA SISTEMA DE TUBULACAO RANHURADA, DN 80 MM (3")</t>
  </si>
  <si>
    <t>ADAPTADOR DE COBRE PARA TUBULACAO PEX, DN 16 X 15 MM</t>
  </si>
  <si>
    <t>ADAPTADOR DE COBRE PARA TUBULACAO PEX, DN 20 X 22 MM</t>
  </si>
  <si>
    <t>ADAPTADOR DE COMPRESSAO EM POLIPROPILENO (PP), PARA TUBO EM PEAD, 20 MM X 1/2", PARA LIGACAO PREDIAL DE AGUA (NTS 179)</t>
  </si>
  <si>
    <t>ADAPTADOR DE COMPRESSAO EM POLIPROPILENO (PP), PARA TUBO EM PEAD, 20 MM X 3/4", PARA LIGACAO PREDIAL DE AGUA (NTS 179)</t>
  </si>
  <si>
    <t>ADAPTADOR DE COMPRESSAO EM POLIPROPILENO (PP), PARA TUBO EM PEAD, 32 MM X 1", PARA LIGACAO PREDIAL DE AGUA (NTS 179)</t>
  </si>
  <si>
    <t>ADAPTADOR PVC PARA SIFAO METALICO, SOLDAVEL, COM ANEL BORRACHA (JE), 40 MM X 1 1/2"</t>
  </si>
  <si>
    <t>ADAPTADOR PVC PARA SIFAO, ROSCAVEL, 40 MM X 1 1/4"</t>
  </si>
  <si>
    <t>ADAPTADOR PVC ROSCAVEL, COM FLANGES E ANEL DE VEDACAO, 1/2", PARA CAIXA D' AGUA</t>
  </si>
  <si>
    <t>ADAPTADOR PVC ROSCAVEL, COM FLANGES E ANEL DE VEDACAO, 1", PARA CAIXA D' AGUA</t>
  </si>
  <si>
    <t>ADAPTADOR PVC ROSCAVEL, COM FLANGES E ANEL DE VEDACAO, 3/4", PARA CAIXA D' AGUA</t>
  </si>
  <si>
    <t>ADAPTADOR PVC SOLDAVEL CURTO COM BOLSA E ROSCA, 110 MM X 4", PARA AGUA FRIA</t>
  </si>
  <si>
    <t>ADAPTADOR PVC SOLDAVEL CURTO COM BOLSA E ROSCA, 20 MM X 1/2", PARA AGUA FRIA</t>
  </si>
  <si>
    <t>ADAPTADOR PVC SOLDAVEL CURTO COM BOLSA E ROSCA, 25 MM X 3/4", PARA AGUA FRIA</t>
  </si>
  <si>
    <t>ADAPTADOR PVC SOLDAVEL CURTO COM BOLSA E ROSCA, 32 MM X 1", PARA AGUA FRIA</t>
  </si>
  <si>
    <t>ADAPTADOR PVC SOLDAVEL CURTO COM BOLSA E ROSCA, 40 MM X 1 1/2", PARA AGUA FRIA</t>
  </si>
  <si>
    <t>ADAPTADOR PVC SOLDAVEL CURTO COM BOLSA E ROSCA, 40 MM X 1 1/4", PARA AGUA FRIA</t>
  </si>
  <si>
    <t>ADAPTADOR PVC SOLDAVEL CURTO COM BOLSA E ROSCA, 50 MM X 1 1/4", PARA AGUA FRIA</t>
  </si>
  <si>
    <t>ADAPTADOR PVC SOLDAVEL CURTO COM BOLSA E ROSCA, 50 MM X1 1/2", PARA AGUA FRIA</t>
  </si>
  <si>
    <t>ADAPTADOR PVC SOLDAVEL CURTO COM BOLSA E ROSCA, 60 MM X 2", PARA AGUA FRIA</t>
  </si>
  <si>
    <t>ADAPTADOR PVC SOLDAVEL CURTO COM BOLSA E ROSCA, 75 MM X 2 1/2", PARA AGUA FRIA</t>
  </si>
  <si>
    <t>ADAPTADOR PVC SOLDAVEL CURTO COM BOLSA E ROSCA, 85 MM X 3", PARA AGUA FRIA</t>
  </si>
  <si>
    <t>ADAPTADOR PVC SOLDAVEL, COM FLANGE E ANEL DE VEDACAO, 20 MM X 1/2", PARA CAIXA D'AGUA</t>
  </si>
  <si>
    <t>ADAPTADOR PVC SOLDAVEL, COM FLANGE E ANEL DE VEDACAO, 25 MM X 3/4", PARA CAIXA D'AGUA</t>
  </si>
  <si>
    <t>ADAPTADOR PVC SOLDAVEL, COM FLANGE E ANEL DE VEDACAO, 32 MM X 1", PARA CAIXA D'AGUA</t>
  </si>
  <si>
    <t>ADAPTADOR PVC SOLDAVEL, COM FLANGE E ANEL DE VEDACAO, 40 MM X 1 1/4", PARA CAIXA D'AGUA</t>
  </si>
  <si>
    <t>ADAPTADOR PVC SOLDAVEL, COM FLANGE E ANEL DE VEDACAO, 50 MM X 1 1/2", PARA CAIXA D'AGUA</t>
  </si>
  <si>
    <t>ADAPTADOR PVC SOLDAVEL, COM FLANGES E ANEL DE VEDACAO, 60 MM X 2", PARA CAIXA D' AGUA</t>
  </si>
  <si>
    <t>ADAPTADOR PVC SOLDAVEL, COM FLANGES LIVRES, 110 MM X 4", PARA CAIXA D' AGUA</t>
  </si>
  <si>
    <t>ADAPTADOR PVC SOLDAVEL, COM FLANGES LIVRES, 25 MM X 3/4", PARA CAIXA D' AGUA</t>
  </si>
  <si>
    <t>ADAPTADOR PVC SOLDAVEL, COM FLANGES LIVRES, 32 MM X 1", PARA CAIXA D' AGUA</t>
  </si>
  <si>
    <t>ADAPTADOR PVC SOLDAVEL, COM FLANGES LIVRES, 40 MM X 1  1/4", PARA CAIXA D' AGUA</t>
  </si>
  <si>
    <t>ADAPTADOR PVC SOLDAVEL, COM FLANGES LIVRES, 50 MM X 1  1/2", PARA CAIXA D' AGUA</t>
  </si>
  <si>
    <t>ADAPTADOR PVC SOLDAVEL, COM FLANGES LIVRES, 60 MM X 2", PARA CAIXA D' AGUA</t>
  </si>
  <si>
    <t>ADAPTADOR PVC SOLDAVEL, COM FLANGES LIVRES, 75 MM X 2  1/2", PARA CAIXA D' AGUA</t>
  </si>
  <si>
    <t>ADAPTADOR PVC SOLDAVEL, COM FLANGES LIVRES, 85 MM X 3", PARA CAIXA D' AGUA</t>
  </si>
  <si>
    <t>ADAPTADOR PVC SOLDAVEL, LONGO, COM FLANGE LIVRE,  110 MM X 4", PARA CAIXA D' AGUA</t>
  </si>
  <si>
    <t>ADAPTADOR PVC SOLDAVEL, LONGO, COM FLANGE LIVRE,  25 MM X 3/4", PARA CAIXA D' AGUA</t>
  </si>
  <si>
    <t>ADAPTADOR PVC SOLDAVEL, LONGO, COM FLANGE LIVRE,  32 MM X 1", PARA CAIXA D' AGUA</t>
  </si>
  <si>
    <t>ADAPTADOR PVC SOLDAVEL, LONGO, COM FLANGE LIVRE,  40 MM X 1 1/4", PARA CAIXA D' AGUA</t>
  </si>
  <si>
    <t>ADAPTADOR PVC SOLDAVEL, LONGO, COM FLANGE LIVRE,  50 MM X 1 1/2", PARA CAIXA D' AGUA</t>
  </si>
  <si>
    <t>ADAPTADOR PVC SOLDAVEL, LONGO, COM FLANGE LIVRE,  60 MM X 2", PARA CAIXA D' AGUA</t>
  </si>
  <si>
    <t>ADAPTADOR PVC SOLDAVEL, LONGO, COM FLANGE LIVRE,  75 MM X 2 1/2", PARA CAIXA D' AGUA</t>
  </si>
  <si>
    <t>ADAPTADOR PVC SOLDAVEL, LONGO, COM FLANGE LIVRE,  85 MM X 3", PARA CAIXA D' AGUA</t>
  </si>
  <si>
    <t>ADAPTADOR PVC, COM REGISTRO, PARA PEAD, 20 MM X 3/4", PARA LIGACAO PREDIAL DE AGUA</t>
  </si>
  <si>
    <t>ADAPTADOR PVC, ROSCAVEL, COM FLANGES E ANEL DE VEDACAO, 1 1/2", PARA CAIXA D'AGUA</t>
  </si>
  <si>
    <t>ADAPTADOR PVC, ROSCAVEL, COM FLANGES E ANEL DE VEDACAO, 1 1/4", PARA CAIXA D' AGUA</t>
  </si>
  <si>
    <t>ADAPTADOR PVC, ROSCAVEL, COM FLANGES E ANEL DE VEDACAO, 2", PARA CAIXA D' AGUA</t>
  </si>
  <si>
    <t>ADAPTADOR PVC, ROSCAVEL, PARA VALVULA PIA OU LAVATORIO, 40 MM</t>
  </si>
  <si>
    <t>ADAPTADOR, CPVC, SOLDAVEL, 15 MM, PARA AGUA QUENTE</t>
  </si>
  <si>
    <t>ADAPTADOR, CPVC, SOLDAVEL, 22 MM, PARA AGUA QUENTE</t>
  </si>
  <si>
    <t>ADAPTADOR, EM LATAO, ENGATE RAPIDO 2 1/2" X ROSCA INTERNA 5 FIOS 2 1/2",  PARA INSTALACAO PREDIAL DE COMBATE A INCENDIO</t>
  </si>
  <si>
    <t>ADAPTADOR, EM LATAO, ENGATE RAPIDO1 1/2" X ROSCA INTERNA 5 FIOS 2 1/2",  PARA INSTALACAO PREDIAL DE COMBATE A INCENDIO</t>
  </si>
  <si>
    <t>ADAPTADOR, PVC PBA,  BOLSA/ROSCA, JE, DN 75 / DE  85 MM</t>
  </si>
  <si>
    <t>ADAPTADOR, PVC PBA, A BOLSA DEFOFO, JE, DN 100 / DE 110 MM</t>
  </si>
  <si>
    <t>ADAPTADOR, PVC PBA, A BOLSA DEFOFO, JE, DN 50 / DE 60 MM</t>
  </si>
  <si>
    <t>ADAPTADOR, PVC PBA, A BOLSA DEFOFO, JE, DN 75 / DE  85 MM</t>
  </si>
  <si>
    <t>ADAPTADOR, PVC PBA, BOLSA/ROSCA, JE, DN 100 / DE 110 MM</t>
  </si>
  <si>
    <t>ADAPTADOR, PVC PBA, BOLSA/ROSCA, JE, DN 50 / DE 60 MM</t>
  </si>
  <si>
    <t>ADAPTADOR, PVC PBA, PONTA/ROSCA, JE, DN 50 / DE  60 MM</t>
  </si>
  <si>
    <t>ADAPTADOR, PVC PBA, PONTA/ROSCA, JE, DN 75 / DE  85 MM</t>
  </si>
  <si>
    <t>ADESIVO ACRILICO/COLA DE CONTATO</t>
  </si>
  <si>
    <t>ADESIVO ESTRUTURAL A BASE DE RESINA EPOXI PARA INJECAO EM TRINCAS, BICOMPONENTE, BAIXA VISCOSIDADE</t>
  </si>
  <si>
    <t>ADESIVO ESTRUTURAL A BASE DE RESINA EPOXI, BICOMPONENTE, FLUIDO</t>
  </si>
  <si>
    <t>ADESIVO ESTRUTURAL A BASE DE RESINA EPOXI, BICOMPONENTE, PASTOSO (TIXOTROPICO)</t>
  </si>
  <si>
    <t>ADESIVO LIQUIDO A BASE DE RESINAS PARA COLAGEM DE ESPUMA DE ISOLAMENTO TERMICO FLEXIVEL</t>
  </si>
  <si>
    <t>ADESIVO PARA TUBOS CPVC, *75* G</t>
  </si>
  <si>
    <t>ADESIVO PLASTICO PARA PVC, BISNAGA COM 75 GR</t>
  </si>
  <si>
    <t>ADESIVO PLASTICO PARA PVC, FRASCO COM 175 GR</t>
  </si>
  <si>
    <t>ADESIVO PLASTICO PARA PVC, FRASCO COM 850 GR</t>
  </si>
  <si>
    <t>ADESIVO/COLA PARA EPS (ISOPOR) E OUTROS MATERIAIS</t>
  </si>
  <si>
    <t>ADITIVO ACELERADOR DE PEGA E ENDURECIMENTO PARA ARGAMASSAS E CONCRETOS, LIQUIDO E ISENTO DE CLORETOS</t>
  </si>
  <si>
    <t>ADITIVO ADESIVO LIQUIDO PARA ARGAMASSAS DE REVESTIMENTOS CIMENTICIOS</t>
  </si>
  <si>
    <t>ADITIVO IMPERMEABILIZANTE DE PEGA NORMAL PARA ARGAMASSAS E CONCRETOS SEM ARMACAO, LIQUIDO E ISENTO DE CLORETOS</t>
  </si>
  <si>
    <t>ADITIVO IMPERMEABILIZANTE DE PEGA ULTRARRAPIDA, LIQUIDO E ISENTO DE CLORETOS</t>
  </si>
  <si>
    <t>ADITIVO LIQUIDO IMPERMEABILIZANTE CRISTALIZANTE</t>
  </si>
  <si>
    <t>ADITIVO LIQUIDO INCORPORADOR DE AR PARA CONCRETO E ARGAMASSA, LIQUIDO E ISENTO DE CLORETOS</t>
  </si>
  <si>
    <t>ADITIVO PLASTIFICANTE E ESTABILIZADOR PARA ARGAMASSAS DE ASSENTAMENTO E REBOCO, LIQUIDO E ISENTO DE CLORETOS</t>
  </si>
  <si>
    <t>ADITIVO PLASTIFICANTE RETARDADOR DE PEGA E REDUTOR DE AGUA PARA CONCRETO, LIQUIDO E ISENTO DE CLORETOS</t>
  </si>
  <si>
    <t>ADITIVO SUPERPLASTIFICANTE DE PEGA NORMAL PARA CONCRETO, LIQUIDO E ISENTO DE CLORETOS</t>
  </si>
  <si>
    <t>ADUELA/GALERIA DE CONCRETO ARMADO, SECAO RETANGULAR 1.50 X 1.50 M (L X A), C = 1.00 M, E = 20 CM</t>
  </si>
  <si>
    <t>ADUELA/GALERIA DE CONCRETO ARMADO, SECAO RETANGULAR 2.00 X 2.00 M (L X A), C = 1.00 M, E = 20 CM</t>
  </si>
  <si>
    <t>ADUELA/GALERIA DE CONCRETO ARMADO, SECAO RETANGULAR 2.50 X 2.50 M (L X A), C = 1.00 M, E = 20 CM</t>
  </si>
  <si>
    <t>ADUELA/GALERIA DE CONCRETO ARMADO, SECAO RETANGULAR 3.00 X 3.00 M (L X A), C = 1.00 M, E = 20 CM</t>
  </si>
  <si>
    <t>AFASTADOR PARA TELHA DE FIBROCIMENTO CANALETE 90 OU KALHETAO</t>
  </si>
  <si>
    <t>AGENTE DE CURA, PROTETOR DA EVAPORACAO DA AGUA DE HIDRATACAO DO CONCRETO</t>
  </si>
  <si>
    <t>AGREGADO RECICLADO, TIPO RACHAO RECICLADO CINZA, CLASSE A</t>
  </si>
  <si>
    <t>AGUA SANITARIA</t>
  </si>
  <si>
    <t>AJUDANTE DE ARMADOR</t>
  </si>
  <si>
    <t>AJUDANTE DE ARMADOR (MENSALISTA)</t>
  </si>
  <si>
    <t>AJUDANTE DE ELETRICISTA</t>
  </si>
  <si>
    <t>AJUDANTE DE ELETRICISTA (MENSALISTA)</t>
  </si>
  <si>
    <t>AJUDANTE DE ESTRUTURAS METALICAS</t>
  </si>
  <si>
    <t>AJUDANTE DE ESTRUTURAS METALICAS (MENSALISTA)</t>
  </si>
  <si>
    <t>AJUDANTE DE OPERACAO EM GERAL</t>
  </si>
  <si>
    <t>AJUDANTE DE OPERACAO EM GERAL (MENSALISTA)</t>
  </si>
  <si>
    <t>AJUDANTE DE PINTOR</t>
  </si>
  <si>
    <t>AJUDANTE DE PINTOR (MENSALISTA)</t>
  </si>
  <si>
    <t>AJUDANTE DE SERRALHEIRO</t>
  </si>
  <si>
    <t>AJUDANTE DE SERRALHEIRO (MENSALISTA)</t>
  </si>
  <si>
    <t>AJUDANTE ESPECIALIZADO</t>
  </si>
  <si>
    <t>AJUDANTE ESPECIALIZADO (MENSALISTA)</t>
  </si>
  <si>
    <t>ALCA PREFORMADA DE CONTRA POSTE, EM ACO GALVANIZADO, PARA CABO 3/16", COMPRIMENTO *860* MM</t>
  </si>
  <si>
    <t>ALCA PREFORMADA DE DISTRIBUICAO, EM ACO GALVANIZADO, PARA CABO DE ALUMINIO DIAMETRO 16 A 25 MM</t>
  </si>
  <si>
    <t>ALCA PREFORMADA DE DISTRIBUICAO, EM ACO GALVANIZADO, PARA CONDUTORES DE ALUMINIO AWG 1/0 (CAA 6/1 OU CA 7 FIOS)</t>
  </si>
  <si>
    <t>ALCA PREFORMADA DE DISTRIBUICAO, EM ACO GALVANIZADO, PARA CONDUTORES DE ALUMINIO AWG 2 (CAA 6/1 OU CA 7 FIOS)</t>
  </si>
  <si>
    <t>ALCA PREFORMADA DE SERVICO, EM ACO GALVANIZADO, PARA CONDUTORES DE ALUMINIO AWG 4 (CAA 6/1)</t>
  </si>
  <si>
    <t>ALCA PREFORMADA DE SERVICO, EM ACO GALVANIZADO, PARA CONDUTORES DE ALUMINIO AWG 6 (CAA 6/1)</t>
  </si>
  <si>
    <t>ALICATE DE CORTE DIAGONAL 6 " COM ISOLAMENTO</t>
  </si>
  <si>
    <t>ALICATE DE CRIMPAR RJ11, RJ12 E RJ45</t>
  </si>
  <si>
    <t>ALICATE DE PRESSAO PARA SOLDA DE CHAPA 18 "</t>
  </si>
  <si>
    <t>ALICATE DE PRESSAO 11 " PARA SOLDA, TIPO C</t>
  </si>
  <si>
    <t>ALICATE DE PRESSAO 11 " PARA SOLDA, TIPO U</t>
  </si>
  <si>
    <t>ALICATE PARA ANEIS DE PISTAO, CAPACIDADE 50 A 100 MM</t>
  </si>
  <si>
    <t>ALIMENTACAO - HORISTA (COLETADO CAIXA)</t>
  </si>
  <si>
    <t>ALIMENTACAO - MENSALISTA (COLETADO CAIXA)</t>
  </si>
  <si>
    <t>ALISADORA DE CONCRETO COM MOTOR A GASOLINA DE 5,5 HP, PESO COM MOTOR DE 78 KG, 4 PAS</t>
  </si>
  <si>
    <t>ALMOXARIFE</t>
  </si>
  <si>
    <t>ALMOXARIFE (MENSALISTA)</t>
  </si>
  <si>
    <t>ALONGADOR COM TRES ALTURAS, EM TUBO DE ACO CARBONO, PINTURA NO PROCESSO ELETROSTATICO - EQUIPAMENTO DE GINASTICA PARA ACADEMIA AO AR LIVRE / ACADEMIA DA TERCEIRA IDADE - ATI</t>
  </si>
  <si>
    <t>ALUMINIO ANODIZADO</t>
  </si>
  <si>
    <t>ANEL BORRACHA DN 100 MM, PARA TUBO SERIE REFORCADA ESGOTO PREDIAL</t>
  </si>
  <si>
    <t>ANEL BORRACHA DN 75 MM, PARA TUBO SERIE REFORCADA ESGOTO PREDIAL</t>
  </si>
  <si>
    <t>ANEL BORRACHA PARA TUBO ESGOTO PREDIAL DN 40 MM (NBR 5688)</t>
  </si>
  <si>
    <t>ANEL BORRACHA PARA TUBO ESGOTO PREDIAL DN 50 MM (NBR 5688)</t>
  </si>
  <si>
    <t>ANEL BORRACHA PARA TUBO ESGOTO PREDIAL DN 75 MM (NBR 5688)</t>
  </si>
  <si>
    <t>ANEL BORRACHA PARA TUBO ESGOTO PREDIAL, DN 100 MM (NBR 5688)</t>
  </si>
  <si>
    <t>ANEL BORRACHA, DN 150 MM, PARA TUBO SERIE REFORCADA ESGOTO PREDIAL</t>
  </si>
  <si>
    <t>ANEL BORRACHA, DN 40 MM, PARA TUBO SERIE REFORCADA ESGOTO PREDIAL</t>
  </si>
  <si>
    <t>ANEL BORRACHA, DN 50 MM, PARA TUBO SERIE REFORCADA ESGOTO PREDIAL</t>
  </si>
  <si>
    <t>ANEL BORRACHA, PARA TUBO PVC DEFOFO, DN 100 MM (NBR 7665)</t>
  </si>
  <si>
    <t>ANEL BORRACHA, PARA TUBO PVC DEFOFO, DN 150 MM (NBR 7665)</t>
  </si>
  <si>
    <t>ANEL BORRACHA, PARA TUBO PVC DEFOFO, DN 200 MM (NBR 7665)</t>
  </si>
  <si>
    <t>ANEL BORRACHA, PARA TUBO PVC DEFOFO, DN 250 MM (NBR 7665)</t>
  </si>
  <si>
    <t>ANEL BORRACHA, PARA TUBO PVC DEFOFO, DN 300 MM (NBR 7665)</t>
  </si>
  <si>
    <t>ANEL BORRACHA, PARA TUBO PVC, REDE COLETOR ESGOTO, DN 100 MM (NBR 7362)</t>
  </si>
  <si>
    <t>ANEL BORRACHA, PARA TUBO PVC, REDE COLETOR ESGOTO, DN 125 MM (NBR 7362)</t>
  </si>
  <si>
    <t>ANEL BORRACHA, PARA TUBO PVC, REDE COLETOR ESGOTO, DN 150 MM (NBR 7362)</t>
  </si>
  <si>
    <t>ANEL BORRACHA, PARA TUBO PVC, REDE COLETOR ESGOTO, DN 200 MM (NBR 7362)</t>
  </si>
  <si>
    <t>ANEL BORRACHA, PARA TUBO PVC, REDE COLETOR ESGOTO, DN 250 MM (NBR 7362)</t>
  </si>
  <si>
    <t>ANEL BORRACHA, PARA TUBO PVC, REDE COLETOR ESGOTO, DN 350 MM (NBR 7362)</t>
  </si>
  <si>
    <t>ANEL BORRACHA, PARA TUBO PVC, REDE COLETOR ESGOTO, DN 400 MM (NBR 7362)</t>
  </si>
  <si>
    <t>ANEL BORRACHA, PARA TUBO/CONEXAO PVC PBA, DN 100 MM, PARA REDE AGUA</t>
  </si>
  <si>
    <t>ANEL BORRACHA, PARA TUBO/CONEXAO PVC PBA, DN 50 MM, PARA REDE AGUA</t>
  </si>
  <si>
    <t>ANEL BORRACHA, PARA TUBO/CONEXAO PVC PBA, DN 60 MM, PARA REDE AGUA</t>
  </si>
  <si>
    <t>ANEL BORRACHA, PARA TUBO/CONEXAO PVC PBA, DN 75 MM, PARA REDE AGUA</t>
  </si>
  <si>
    <t>ANEL BORRACHA, PARA TUBO, PVC REDE COLETOR ESGOTO, DN 300 MM (NBR 7362)</t>
  </si>
  <si>
    <t>ANEL DE BORRACHA PARA VEDACAO DE DUTO PEAD CORRUGADO PARA ELETRICA, DN 1 1/2"</t>
  </si>
  <si>
    <t>ANEL DE BORRACHA PARA VEDACAO DE DUTO PEAD CORRUGADO PARA ELETRICA, DN 1 1/4"</t>
  </si>
  <si>
    <t>ANEL DE BORRACHA PARA VEDACAO DE DUTO PEAD CORRUGADO PARA ELETRICA, DN 2"</t>
  </si>
  <si>
    <t>ANEL DE BORRACHA PARA VEDACAO DE DUTO PEAD CORRUGADO PARA ELETRICA, DN 3"</t>
  </si>
  <si>
    <t>ANEL DE BORRACHA PARA VEDACAO DE DUTO PEAD CORRUGADO PARA ELETRICA, DN 4"</t>
  </si>
  <si>
    <t>ANEL DE CONCRETO ARMADO, D = *1,10* M, H = 0,30 M</t>
  </si>
  <si>
    <t>ANEL DE CONCRETO ARMADO, D = 0,60 M, H = 0,10 M</t>
  </si>
  <si>
    <t>ANEL DE CONCRETO ARMADO, D = 0,60 M, H = 0,15 M</t>
  </si>
  <si>
    <t>ANEL DE CONCRETO ARMADO, D = 0,60 M, H = 0,30 M</t>
  </si>
  <si>
    <t>ANEL DE CONCRETO ARMADO, D = 0,60 M, H = 0,40 M</t>
  </si>
  <si>
    <t>ANEL DE CONCRETO ARMADO, D = 0,60 M, H = 0,50 M</t>
  </si>
  <si>
    <t>ANEL DE CONCRETO ARMADO, D = 0,80 M, H = 0,30 M</t>
  </si>
  <si>
    <t>ANEL DE CONCRETO ARMADO, D = 0,80 M, H = 0,50 M</t>
  </si>
  <si>
    <t>ANEL DE CONCRETO ARMADO, D = 1,00 M, H = 0,40 M</t>
  </si>
  <si>
    <t>ANEL DE CONCRETO ARMADO, D = 1,00 M, H = 0,50 M</t>
  </si>
  <si>
    <t>ANEL DE CONCRETO ARMADO, D = 1,20 M, H = 0,50 M</t>
  </si>
  <si>
    <t>ANEL DE CONCRETO ARMADO, D = 1,50 M, H = 0,50 M</t>
  </si>
  <si>
    <t>ANEL DE CONCRETO ARMADO, D = 2,00 M, H = 0,50 M</t>
  </si>
  <si>
    <t>ANEL DE CONCRETO ARMADO, D = 2,50 M, H = 0,50 M</t>
  </si>
  <si>
    <t>ANEL DE CONCRETO ARMADO, D = 3,00 M, H = 0,50 M</t>
  </si>
  <si>
    <t>ANEL DE DISTRIBUICAO EM ACO GALVANIZADO PARA FIO FE-160</t>
  </si>
  <si>
    <t>ANEL DE EXPANSAO EM COBRE, ENGATE RAPIDO 1 1/2", PARA EMPATACAO MANGUEIRA DE COMBATE A INCENDIO PREDIAL</t>
  </si>
  <si>
    <t>ANEL DE EXPANSAO EM COBRE, ENGATE RAPIDO 2 1/2", PARA EMPATACAO MANGUEIRA DE COMBATE A INCENDIO PREDIAL</t>
  </si>
  <si>
    <t>ANEL DE VEDACAO/JUNTA ELASTICA, H = *16* MM, PARA TUBO DE CONCRETO DN 300 MM</t>
  </si>
  <si>
    <t>ANEL DE VEDACAO/JUNTA ELASTICA, H = *16* MM, PARA TUBO DE CONCRETO DN 400 MM</t>
  </si>
  <si>
    <t>ANEL DE VEDACAO/JUNTA ELASTICA, H = *16* MM, PARA TUBO DE CONCRETO DN 500 MM</t>
  </si>
  <si>
    <t>ANEL DE VEDACAO/JUNTA ELASTICA, H = *16* MM, PARA TUBO DE CONCRETO DN 600 MM</t>
  </si>
  <si>
    <t>ANEL DE VEDACAO/JUNTA ELASTICA, H = *18* MM, PARA TUBO DE CONCRETO DN 700 MM</t>
  </si>
  <si>
    <t>ANEL DE VEDACAO/JUNTA ELASTICA, H = *19* MM, PARA TUBO DE CONCRETO DN 800 MM</t>
  </si>
  <si>
    <t>ANEL DE VEDACAO/JUNTA ELASTICA, H = *19* MM, PARA TUBO DE CONCRETO DN 900 MM</t>
  </si>
  <si>
    <t>ANEL DE VEDACAO/JUNTA ELASTICA, H = *21* MM, PARA TUBO DE CONCRETO DN 1000 MM</t>
  </si>
  <si>
    <t>ANEL DESLIZANTE / TRADICIONAL, METALICO, PARA TUBO PEX, DN 16 MM</t>
  </si>
  <si>
    <t>ANEL DESLIZANTE / TRADICIONAL, METALICO, PARA TUBO PEX, DN 20 MM</t>
  </si>
  <si>
    <t>ANEL DESLIZANTE / TRADICIONAL, METALICO, PARA TUBO PEX, DN 25 MM</t>
  </si>
  <si>
    <t>ANEL DESLIZANTE / TRADICIONAL, METALICO, PARA TUBO PEX, DN 32 MM</t>
  </si>
  <si>
    <t>APARELHO CORTE OXI-ACETILENO PARA SOLDA E CORTE CONTENDO MACARICO SOLDA, BICO DE CORTE, CILINDROS, REGULADORES, MANGUEIRAS E CARRINHO</t>
  </si>
  <si>
    <t>APARELHO DE APOIO DE NEOPRENE FRETADO, 60 X 45 X 7,6 CM, COM FRETAGEM DE ACO DE 4 MM INTERCALADAS COM ELASTOMERO DE 11 MM E REVESTIMENTO FINAL COM ELASTOMERO DE 6 MM</t>
  </si>
  <si>
    <t>APARELHO DE APOIO DE NEOPRENE SIMPLES/ NAO FRETADO, 100 X 100 CM, ESPESSURA 6,3 MM</t>
  </si>
  <si>
    <t>APARELHO SINALIZADOR LUMINOSO COM LED, PARA SAIDA GARAGEM, COM 2 LENTES EM POLICARBONATO, BIVOLT (INCLUI SUPORTE DE FIXACAO)</t>
  </si>
  <si>
    <t>APOIO DO PORTA DENTE PARA FRESADORA DE ASFALTO</t>
  </si>
  <si>
    <t>APONTADOR OU APROPRIADOR DE MAO DE OBRA</t>
  </si>
  <si>
    <t>APONTADOR OU APROPRIADOR DE MAO DE OBRA (MENSALISTA)</t>
  </si>
  <si>
    <t>AQUECEDOR DE AGUA A GAS GLP/GN COM CAPACIDADE DE ARMAZENAMENTO DE 50 A 80 L</t>
  </si>
  <si>
    <t>AQUECEDOR DE AGUA ELETRICO  RESERVATORIO DE 100 L CILINDRICO EM COBRE, REFORCADO COM ACO CARBONO, MONOFASICO, TENSAO NOMINAL 220 V</t>
  </si>
  <si>
    <t>AQUECEDOR DE AGUA ELETRICO  RESERVATORIO DE 500 L CILINDRICO EM COBRE, REFORCADO COM ACO CARBONO, MONOFASICO, TENSAO NOMINAL 220 V</t>
  </si>
  <si>
    <t>AQUECEDOR DE AGUA ELETRICO  RESERVATORIO DE 500 L CILINDRICO EM COBRE, REFORCADO COM ACO CARBONO, TRIFASICO, TENSAO NOMINAL 220/380/400 V, POTENCIA 24 KW</t>
  </si>
  <si>
    <t>AQUECEDOR DE AGUA ELETRICO  RESERVATORIO DE 700 L CILINDRICO EM COBRE, REFORCADO COM ACO CARBONO, MONOFASICO, TENSAO NOMINAL 220 V</t>
  </si>
  <si>
    <t>AQUECEDOR DE AGUA ELETRICO HORIZONTAL, RESERVATORIO DE 200 L CILINDRICO EM COBRE, REFORCADO COM ACO CARBONO, MONOFASICO, TENSAO NOMINAL 220 V</t>
  </si>
  <si>
    <t>AQUECEDOR DE OLEO BPF (FLUIDO) TERMICO, CAPACIDADE DE 300.000 KCAL/H</t>
  </si>
  <si>
    <t>AQUECEDOR SOLAR  CAPACIDADE DO RESERVATORIO 800 L, INCLUI 8 PLACAS COLETORAS DE 1,42 M2</t>
  </si>
  <si>
    <t>AQUECEDOR SOLAR CAPACIDADE DO RESERVATORIO 1000 L, INCLUI 10 PLACAS COLETORAS DE 1,42 M2</t>
  </si>
  <si>
    <t>AQUECEDOR SOLAR CAPACIDADE DO RESERVATORIO 200 L, INCLUI 2 PLACAS COLETORAS DE 1,42 M2</t>
  </si>
  <si>
    <t>AQUECEDOR SOLAR CAPACIDADE DO RESERVATORIO 400L, INCLUI 4 PLACAS COLETORAS DE 1,42 M2</t>
  </si>
  <si>
    <t>AQUECEDOR SOLAR CAPACIDADE DO RESERVATORIO 600 L, INCLUI 6 PLACAS COLETORAS DE 1,42 M2</t>
  </si>
  <si>
    <t>AR CONDICIONADO SPLIT INVERTER, HI-WALL (PAREDE), 12000 BTU/H, CICLO FRIO, 60HZ, CLASSIFICACAO A (SELO PROCEL), GAS HFC, CONTROLE S/FIO</t>
  </si>
  <si>
    <t>AR CONDICIONADO SPLIT INVERTER, HI-WALL (PAREDE), 18000 BTU/H, CICLO FRIO, 60HZ, CLASSIFICACAO A (SELO PROCEL), GAS HFC, CONTROLE S/FIO</t>
  </si>
  <si>
    <t>AR CONDICIONADO SPLIT INVERTER, HI-WALL (PAREDE), 24000 BTU/H, CICLO FRIO, 60HZ, CLASSIFICACAO A - SELO PROCEL, GAS HFC, CONTROLE S/FIO</t>
  </si>
  <si>
    <t>AR CONDICIONADO SPLIT INVERTER, HI-WALL (PAREDE), 9000 BTU/H, CICLO FRIO, 60HZ, CLASSIFICACAO A (SELO PROCEL), GAS HFC, CONTROLE S/FIO</t>
  </si>
  <si>
    <t>AR CONDICIONADO SPLIT INVERTER, PISO TETO, APRESENTANDO ENTRE 54000 E 58000 BTU/H, CICLO FRIO, 60HZ, CLASSIFICACAO ENERGETICA A OU B (SELO PROCEL), GAS HFC, CONTROLE S/FIO</t>
  </si>
  <si>
    <t>AR CONDICIONADO SPLIT INVERTER, PISO TETO, 18000 BTU/H, CICLO FRIO, 60HZ, CLASSIFICACAO ENERGETICA A OU B (SELO PROCEL), GAS HFC, CONTROLE S/FIO</t>
  </si>
  <si>
    <t>AR CONDICIONADO SPLIT INVERTER, PISO TETO, 24000 BTU/H, CICLO FRIO, 60HZ, CLASSIFICACAO ENERGETICA A OU B (SELO PROCEL), GAS HFC, CONTROLE S/FIO</t>
  </si>
  <si>
    <t>AR CONDICIONADO SPLIT INVERTER, PISO TETO, 36000 BTU/H, CICLO FRIO, 60HZ, CLASSIFICACAO ENERGETICA A OU B (SELO PROCEL), GAS HFC, CONTROLE S/FIO</t>
  </si>
  <si>
    <t>AR CONDICIONADO SPLIT INVERTER, PISO TETO, 48000 BTU/H, CICLO FRIO, 60HZ, CLASSIFICACAO ENERGETICA A OU B (SELO PROCEL), GAS HFC, CONTROLE S/FIO</t>
  </si>
  <si>
    <t>AR CONDICIONADO SPLIT ON/OFF, CASSETE (TETO), FRIO 4 VIAS 18000 BTUS/H, CLASSIFICACAO ENERGETICA C - SELO PROCEL, GAS HFC, CONTROLE S/ FIO</t>
  </si>
  <si>
    <t>AR CONDICIONADO SPLIT ON/OFF, CASSETE (TETO), FRIO 4 VIAS 24000 BTUS/H, CLASSIFICACAO ENERGETICA C - SELO PROCEL, GAS HFC, CONTROLE S/ FIO</t>
  </si>
  <si>
    <t>AR CONDICIONADO SPLIT ON/OFF, CASSETE (TETO), FRIO 4 VIAS 36000 BTUS/H, CLASSIFICACAO ENERGETICA C - SELO PROCEL, GAS HFC, CONTROLE S/ FIO</t>
  </si>
  <si>
    <t>AR CONDICIONADO SPLIT ON/OFF, CASSETE (TETO), FRIO 4 VIAS 48000 BTUS/H, CLASSIFICACAO ENERGETICA C - SELO PROCEL, GAS HFC, CONTROLE S/ FIO</t>
  </si>
  <si>
    <t>AR CONDICIONADO SPLIT ON/OFF, CASSETE (TETO), FRIO 4 VIAS 60000 BTUS/H, CLASSIFICACAO ENERGETICA C - SELO PROCEL, GAS HFC, CONTROLE S/ FIO</t>
  </si>
  <si>
    <t>AR CONDICIONADO SPLIT ON/OFF, CASSETE (TETO), 18000 BTUS/H, CICLO QUENTE/FRIO, 60 HZ, CLASSIFICACAO ENERGETICA C - SELO PROCEL, GAS HFC, CONTROLE S/ FIO</t>
  </si>
  <si>
    <t>AR CONDICIONADO SPLIT ON/OFF, CASSETE (TETO), 24000 BTUS/H, CICLO QUENTE/FRIO, 60 HZ, CLASSIFICACAO ENERGETICA C - SELO PROCEL, GAS HFC, CONTROLE S/ FIO</t>
  </si>
  <si>
    <t>AR CONDICIONADO SPLIT ON/OFF, CASSETE (TETO), 36000 BTUS/H, CICLO QUENTE/FRIO, 60 HZ, CLASSIFICACAO ENERGETICA A - SELO PROCEL, GAS HFC, CONTROLE S/ FIO</t>
  </si>
  <si>
    <t>AR CONDICIONADO SPLIT ON/OFF, CASSETE (TETO), 48000 BTUS/H, CICLO QUENTE/FRIO, 60 HZ, CLASSIFICACAO ENERGETICA A - SELO PROCEL, GAS HFC, CONTROLE S/ FIO</t>
  </si>
  <si>
    <t>AR CONDICIONADO SPLIT ON/OFF, CASSETE (TETO), 60000 BTUS/H, CICLO QUENTE/FRIO, 60 HZ, CLASSIFICACAO ENERGETICA A - SELO PROCEL, GAS HFC, CONTROLE S/ FIO</t>
  </si>
  <si>
    <t>AR CONDICIONADO SPLIT ON/OFF, HI-WALL (PAREDE), 12000 BTUS/H, CICLO FRIO, 60 HZ, CLASSIFICACAO ENERGETICA A - SELO PROCEL, GAS HFC, CONTROLE S/ FIO</t>
  </si>
  <si>
    <t>AR CONDICIONADO SPLIT ON/OFF, HI-WALL (PAREDE), 12000 BTUS/H, CICLO QUENTE/FRIO, 60 HZ, CLASSIFICACAO ENERGETICA A - SELO PROCEL, GAS HFC, CONTROLE S/ FIO</t>
  </si>
  <si>
    <t>AR CONDICIONADO SPLIT ON/OFF, HI-WALL (PAREDE), 18000 BTUS/H, CICLO FRIO, 60 HZ, CLASSIFICACAO ENERGETICA A - SELO PROCEL, GAS HFC, CONTROLE S/ FIO</t>
  </si>
  <si>
    <t>AR CONDICIONADO SPLIT ON/OFF, HI-WALL (PAREDE), 18000 BTUS/H, CICLO QUENTE/FRIO, 60 HZ, CLASSIFICACAO ENERGETICA A - SELO PROCEL, GAS HFC, CONTROLE S/ FIO</t>
  </si>
  <si>
    <t>AR CONDICIONADO SPLIT ON/OFF, HI-WALL (PAREDE), 24000 BTUS/H, CICLO FRIO, 60 HZ, CLASSIFICACAO ENERGETICA A - SELO PROCEL, GAS HFC, CONTROLE S/ FIO</t>
  </si>
  <si>
    <t>AR CONDICIONADO SPLIT ON/OFF, HI-WALL (PAREDE), 24000 BTUS/H, CICLO QUENTE/FRIO, 60 HZ, CLASSIFICACAO ENERGETICA A - SELO PROCEL, GAS HFC, CONTROLE S/ FIO</t>
  </si>
  <si>
    <t>AR CONDICIONADO SPLIT ON/OFF, HI-WALL (PAREDE), 9000 BTUS/H, CICLO FRIO, 60 HZ, CLASSIFICACAO ENERGETICA A - SELO PROCEL, GAS HFC, CONTROLE S/ FIO</t>
  </si>
  <si>
    <t>AR CONDICIONADO SPLIT ON/OFF, HI-WALL (PAREDE), 9000 BTUS/H, CICLO QUENTE/FRIO, 60 HZ, CLASSIFICACAO ENERGETICA A - SELO PROCEL, GAS HFC, CONTROLE S/ FIO</t>
  </si>
  <si>
    <t>AR CONDICIONADO SPLIT ON/OFF, PISO TETO, 18.000 BTU/H, CICLO FRIO, 60HZ, CLASSIFICACAO ENERGETICA C - SELO PROCEL, GAS HFC, CONTROLE S/FIO</t>
  </si>
  <si>
    <t>AR CONDICIONADO SPLIT ON/OFF, PISO TETO, 24.000 BTU/H, CICLO FRIO, 60HZ, CLASSIFICACAO ENERGETICA C - SELO PROCEL, GAS HFC, CONTROLE S/FIO</t>
  </si>
  <si>
    <t>AR CONDICIONADO SPLIT ON/OFF, PISO TETO, 36.000 BTU/H, CICLO FRIO, 60HZ, CLASSIFICACAO ENERGETICA C - SELO PROCEL, GAS HFC, CONTROLE S/FIO</t>
  </si>
  <si>
    <t>AR CONDICIONADO SPLIT ON/OFF, PISO TETO, 48.000 BTU/H, CICLO FRIO, 60HZ, CLASSIFICACAO ENERGETICA C - SELO PROCEL, GAS HFC, CONTROLE S/FIO</t>
  </si>
  <si>
    <t>AR CONDICIONADO SPLIT ON/OFF, PISO TETO, 60.000 BTU/H, CICLO FRIO, 60HZ, CLASSIFICACAO ENERGETICA C - SELO PROCEL, GAS HFC, CONTROLE S/FIO</t>
  </si>
  <si>
    <t>AR-CONDICIONADO FRIO SPLITAO INVERTER 30 TR</t>
  </si>
  <si>
    <t>AR-CONDICIONADO FRIO SPLITAO MODULAR 10 TR</t>
  </si>
  <si>
    <t>AR-CONDICIONADO FRIO SPLITAO MODULAR 15 TR</t>
  </si>
  <si>
    <t>AR-CONDICIONADO FRIO SPLITAO MODULAR 20 TR</t>
  </si>
  <si>
    <t>AR-CONDICIONADO SPLIT INVERTER, PISO TETO, 24000 BTU/H, QUENTE/FRIO, 60HZ, CLASSIFICACAO ENERGETICA A - SELO PROCEL, GAS HFC, CONTROLE S/FIO</t>
  </si>
  <si>
    <t>ARADO REVERSIVEL COM 3 DISCOS DE 26" X 6MM REBOCAVEL</t>
  </si>
  <si>
    <t>ARAME DE ACO OVALADO 15 X 17 ( 45,7 KG, 700 KGF), ROLO 1000 M</t>
  </si>
  <si>
    <t>ARAME DE AMARRACAO PARA GABIAO GALVANIZADO, DIAMETRO 2,2 MM</t>
  </si>
  <si>
    <t>ARAME FARPADO GALVANIZADO, 14 BWG (2,11 MM), CLASSE 250</t>
  </si>
  <si>
    <t>ARAME FARPADO GALVANIZADO, 16 BWG (1,65 MM), CLASSE 250</t>
  </si>
  <si>
    <t>ARAME GALVANIZADO 12 BWG, D = 2,76 MM (0,048 KG/M) OU 14 BWG, D = 2,11 MM (0,026 KG/M)</t>
  </si>
  <si>
    <t>ARAME GALVANIZADO 16 BWG, D = 1,65MM (0,0166 KG/M)</t>
  </si>
  <si>
    <t>ARAME GALVANIZADO 18 BWG, D = 1,24MM (0,009 KG/M)</t>
  </si>
  <si>
    <t>ARAME GALVANIZADO 6 BWG, D = 5,16 MM (0,157 KG/M), OU 8 BWG, D = 4,19 MM (0,101 KG/M), OU 10 BWG, D = 3,40 MM (0,0713 KG/M)</t>
  </si>
  <si>
    <t>ARAME PROTEGIDO COM POLIMERO PARA GABIAO, DIAMETRO 2,2 MM</t>
  </si>
  <si>
    <t>ARAME RECOZIDO 16 BWG, D = 1,60 MM (0,016 KG/M) OU 18 BWG, D = 1,25 MM (0,01 KG/M)</t>
  </si>
  <si>
    <t>AREIA AMARELA, AREIA BARRADA OU ARENOSO (RETIRADA NO AREAL, SEM TRANSPORTE)</t>
  </si>
  <si>
    <t>AREIA FINA - POSTO JAZIDA/FORNECEDOR (RETIRADO NA JAZIDA, SEM TRANSPORTE)</t>
  </si>
  <si>
    <t>AREIA GROSSA - POSTO JAZIDA/FORNECEDOR (RETIRADO NA JAZIDA, SEM TRANSPORTE)</t>
  </si>
  <si>
    <t>AREIA MEDIA - POSTO JAZIDA/FORNECEDOR (RETIRADO NA JAZIDA, SEM TRANSPORTE)</t>
  </si>
  <si>
    <t>AREIA PARA ATERRO - POSTO JAZIDA/FORNECEDOR (RETIRADO NA JAZIDA, SEM TRANSPORTE)</t>
  </si>
  <si>
    <t>AREIA PARA LEITO FILTRANTE (0,42 A 1,68 MM) - POSTO JAZIDA/FORNECEDOR (RETIRADO NA JAZIDA, SEM TRANSPORTE)</t>
  </si>
  <si>
    <t>AREIA PRETA PARA EMBOCO - POSTO JAZIDA/FORNECEDOR (RETIRADO NA JAZIDA, SEM TRANSPORTE)</t>
  </si>
  <si>
    <t>ARGAMASSA COLANTE AC I PARA CERAMICAS</t>
  </si>
  <si>
    <t>ARGAMASSA COLANTE AC-II</t>
  </si>
  <si>
    <t>ARGAMASSA COLANTE TIPO ACIII</t>
  </si>
  <si>
    <t>ARGAMASSA COLANTE TIPO ACIII E</t>
  </si>
  <si>
    <t>ARGAMASSA INDUSTRIALIZADA MULTIUSO, PARA REVESTIMENTO INTERNO E EXTERNO E ASSENTAMENTO DE BLOCOS DIVERSOS</t>
  </si>
  <si>
    <t>ARGAMASSA INDUSTRIALIZADA PARA CHAPISCO COLANTE</t>
  </si>
  <si>
    <t>ARGAMASSA INDUSTRIALIZADA PARA CHAPISCO ROLADO</t>
  </si>
  <si>
    <t>ARGAMASSA PARA REVESTIMENTO DECORATIVO MONOCAMADA, CORES CLARAS</t>
  </si>
  <si>
    <t>ARGAMASSA PISO SOBRE PISO</t>
  </si>
  <si>
    <t>ARGAMASSA POLIMERICA DE REPARO ESTRUTURAL, BICOMPONENTE</t>
  </si>
  <si>
    <t>ARGAMASSA POLIMERICA IMPERMEABILIZANTE SEMIFLEXIVEL, BICOMPONENTE (MEMBRANA IMPERMEABILIZANTE ACRILICA)</t>
  </si>
  <si>
    <t>ARGAMASSA PRONTA PARA CONTRAPISO</t>
  </si>
  <si>
    <t>ARGAMASSA PRONTA PARA REVESTIMENTO INTERNO EM PAREDES</t>
  </si>
  <si>
    <t>ARGAMASSA USINADA AUTOADENSAVEL E AUTONIVELANTE PARA CONTRAPISO, INCLUI BOMBEAMENTO</t>
  </si>
  <si>
    <t>ARGILA EXPANDIDA, GRANULOMETRIA 2215</t>
  </si>
  <si>
    <t>ARGILA OU BARRO PARA ATERRO/REATERRO (COM TRANSPORTE ATE 10 KM)</t>
  </si>
  <si>
    <t>ARGILA OU BARRO PARA ATERRO/REATERRO (RETIRADO NA JAZIDA, SEM TRANSPORTE)</t>
  </si>
  <si>
    <t>ARGILA, ARGILA VERMELHA OU ARGILA ARENOSA (RETIRADA NA JAZIDA, SEM TRANSPORTE)</t>
  </si>
  <si>
    <t>ARMACAO VERTICAL COM HASTE E CONTRA-PINO, EM CHAPA DE ACO GALVANIZADO 3/16", COM 1 ESTRIBO E 1 ISOLADOR</t>
  </si>
  <si>
    <t>ARMACAO VERTICAL COM HASTE E CONTRA-PINO, EM CHAPA DE ACO GALVANIZADO 3/16", COM 1 ESTRIBO, SEM ISOLADOR</t>
  </si>
  <si>
    <t>ARMACAO VERTICAL COM HASTE E CONTRA-PINO, EM CHAPA DE ACO GALVANIZADO 3/16", COM 2 ESTRIBOS, E 2 ISOLADORES</t>
  </si>
  <si>
    <t>ARMACAO VERTICAL COM HASTE E CONTRA-PINO, EM CHAPA DE ACO GALVANIZADO 3/16", COM 2 ESTRIBOS, SEM ISOLADOR</t>
  </si>
  <si>
    <t>ARMACAO VERTICAL COM HASTE E CONTRA-PINO, EM CHAPA DE ACO GALVANIZADO 3/16", COM 3 ESTRIBOS E 3 ISOLADORES</t>
  </si>
  <si>
    <t>ARMACAO VERTICAL COM HASTE E CONTRA-PINO, EM CHAPA DE ACO GALVANIZADO 3/16", COM 3 ESTRIBOS, SEM ISOLADOR</t>
  </si>
  <si>
    <t>ARMACAO VERTICAL COM HASTE E CONTRA-PINO, EM CHAPA DE ACO GALVANIZADO 3/16", COM 4 ESTRIBOS E 4 ISOLADORES</t>
  </si>
  <si>
    <t>ARMACAO VERTICAL COM HASTE E CONTRA-PINO, EM CHAPA DE ACO GALVANIZADO 3/16", COM 4 ESTRIBOS, SEM ISOLADOR</t>
  </si>
  <si>
    <t>ARMADOR</t>
  </si>
  <si>
    <t>ARMADOR (MENSALISTA)</t>
  </si>
  <si>
    <t>ARQUITETO JUNIOR</t>
  </si>
  <si>
    <t>ARQUITETO JUNIOR (MENSALISTA)</t>
  </si>
  <si>
    <t>ARQUITETO PAISAGISTA</t>
  </si>
  <si>
    <t>ARQUITETO PAISAGISTA (MENSALISTA)</t>
  </si>
  <si>
    <t>ARQUITETO PLENO</t>
  </si>
  <si>
    <t>ARQUITETO PLENO (MENSALISTA)</t>
  </si>
  <si>
    <t>ARQUITETO SENIOR</t>
  </si>
  <si>
    <t>ARQUITETO SENIOR (MENSALISTA)</t>
  </si>
  <si>
    <t>ARRUELA  EM ACO GALVANIZADO, DIAMETRO EXTERNO = 35MM, ESPESSURA = 3MM, DIAMETRO DO FURO= 18MM</t>
  </si>
  <si>
    <t>ARRUELA EM ALUMINIO, COM ROSCA, DE  1 1/4", PARA ELETRODUTO</t>
  </si>
  <si>
    <t>ARRUELA EM ALUMINIO, COM ROSCA, DE 1 1/2", PARA ELETRODUTO</t>
  </si>
  <si>
    <t>ARRUELA EM ALUMINIO, COM ROSCA, DE 1/2", PARA ELETRODUTO</t>
  </si>
  <si>
    <t>ARRUELA EM ALUMINIO, COM ROSCA, DE 1", PARA ELETRODUTO</t>
  </si>
  <si>
    <t>ARRUELA EM ALUMINIO, COM ROSCA, DE 2 1/2", PARA ELETRODUTO</t>
  </si>
  <si>
    <t>ARRUELA EM ALUMINIO, COM ROSCA, DE 2", PARA ELETRODUTO</t>
  </si>
  <si>
    <t>ARRUELA EM ALUMINIO, COM ROSCA, DE 3/4", PARA ELETRODUTO</t>
  </si>
  <si>
    <t>ARRUELA EM ALUMINIO, COM ROSCA, DE 3/8", PARA ELETRODUTO</t>
  </si>
  <si>
    <t>ARRUELA EM ALUMINIO, COM ROSCA, DE 3", PARA ELETRODUTO</t>
  </si>
  <si>
    <t>ARRUELA EM ALUMINIO, COM ROSCA, DE 4", PARA ELETRODUTO</t>
  </si>
  <si>
    <t>ARRUELA QUADRADA EM ACO GALVANIZADO, DIMENSAO = 38 MM, ESPESSURA = 3MM, DIAMETRO DO FURO= 18 MM</t>
  </si>
  <si>
    <t>ARRUELA REDONDA DE LATAO, DIAMETRO EXTERNO = 34 MM, ESPESSURA = 2,5 MM, DIAMETRO DO FURO = 17 MM</t>
  </si>
  <si>
    <t>ASFALTO DILUIDO DE PETROLEO CM-30 (COLETADO CAIXA NA ANP ACRESCIDO DE ICMS)</t>
  </si>
  <si>
    <t>ASFALTO MODIFICADO TIPO I - NBR 9910 (ASFALTO OXIDADO PARA IMPERMEABILIZACAO, COEFICIENTE DE PENETRACAO 25-40)</t>
  </si>
  <si>
    <t>ASFALTO MODIFICADO TIPO II - NBR 9910 (ASFALTO OXIDADO PARA IMPERMEABILIZACAO, COEFICIENTE DE PENETRACAO 20-35)</t>
  </si>
  <si>
    <t>ASFALTO MODIFICADO TIPO III - NBR 9910 (ASFALTO OXIDADO PARA IMPERMEABILIZACAO, COEFICIENTE DE PENETRACAO 15-25)</t>
  </si>
  <si>
    <t>ASSENTADOR DE MANILHAS</t>
  </si>
  <si>
    <t>ASSENTADOR DE MANILHAS (MENSALISTA)</t>
  </si>
  <si>
    <t>ASSENTO  VASO SANITARIO INFANTIL EM PLASTICO BRANCO</t>
  </si>
  <si>
    <t>ASSENTO SANITARIO DE PLASTICO, TIPO CONVENCIONAL</t>
  </si>
  <si>
    <t>AUTOMATICO DE BOIA SUPERIOR / INFERIOR, *15* A / 250 V</t>
  </si>
  <si>
    <t>AUXILIAR  DE ALMOXARIFE</t>
  </si>
  <si>
    <t>AUXILIAR DE ALMOXARIFE (MENSALISTA)</t>
  </si>
  <si>
    <t>AUXILIAR DE AZULEJISTA</t>
  </si>
  <si>
    <t>AUXILIAR DE AZULEJISTA (MENSALISTA)</t>
  </si>
  <si>
    <t>AUXILIAR DE ENCANADOR OU BOMBEIRO HIDRAULICO</t>
  </si>
  <si>
    <t>AUXILIAR DE ENCANADOR OU BOMBEIRO HIDRAULICO (MENSALISTA)</t>
  </si>
  <si>
    <t>AUXILIAR DE ESCRITORIO</t>
  </si>
  <si>
    <t>AUXILIAR DE ESCRITORIO (MENSALISTA)</t>
  </si>
  <si>
    <t>AUXILIAR DE LABORATORISTA DE SOLOS E DE CONCRETO</t>
  </si>
  <si>
    <t>AUXILIAR DE LABORATORISTA DE SOLOS E DE CONCRETO (MENSALISTA)</t>
  </si>
  <si>
    <t>AUXILIAR DE MECANICO</t>
  </si>
  <si>
    <t>AUXILIAR DE MECANICO (MENSALISTA)</t>
  </si>
  <si>
    <t>AUXILIAR DE PEDREIRO</t>
  </si>
  <si>
    <t>AUXILIAR DE PEDREIRO (MENSALISTA)</t>
  </si>
  <si>
    <t>AUXILIAR DE SERVICOS GERAIS</t>
  </si>
  <si>
    <t>AUXILIAR DE SERVICOS GERAIS (MENSALISTA)</t>
  </si>
  <si>
    <t>AUXILIAR DE TOPOGRAFO</t>
  </si>
  <si>
    <t>AUXILIAR DE TOPOGRAFO (MENSALISTA)</t>
  </si>
  <si>
    <t>AUXILIAR TECNICO / ASSISTENTE DE ENGENHARIA</t>
  </si>
  <si>
    <t>AUXILIAR TECNICO / ASSISTENTE DE ENGENHARIA (MENSALISTA)</t>
  </si>
  <si>
    <t>AVENTAL DE SEGURANCA DE RASPA DE COURO 1,00 X 0,60 M</t>
  </si>
  <si>
    <t>AZULEJISTA OU LADRILHEIRO</t>
  </si>
  <si>
    <t>AZULEJISTA OU LADRILHEIRO (MENSALISTA)</t>
  </si>
  <si>
    <t>BACIA SANITARIA (VASO) COM CAIXA ACOPLADA, DE LOUCA BRANCA</t>
  </si>
  <si>
    <t>BACIA SANITARIA (VASO) CONVENCIONAL DE LOUCA BRANCA</t>
  </si>
  <si>
    <t>BACIA SANITARIA (VASO) CONVENCIONAL DE LOUCA COR</t>
  </si>
  <si>
    <t>BACIA SANITARIA (VASO) CONVENCIONAL PARA PCD SEM FURO FRONTAL, DE LOUCA BRANCA, SEM ASSENTO</t>
  </si>
  <si>
    <t>BACIA SANITARIA TURCA DE LOUCA BRANCA</t>
  </si>
  <si>
    <t>BALDE PLASTICO CAPACIDADE *10* L</t>
  </si>
  <si>
    <t>BALDE VERMELHO PARA SINALIZACAO DE VIAS</t>
  </si>
  <si>
    <t>BANCADA DE MARMORE SINTETICO COM UMA CUBA, 120 X *60* CM</t>
  </si>
  <si>
    <t>BANCADA DE MARMORE SINTETICO COM UMA CUBA, 150 X *60* CM</t>
  </si>
  <si>
    <t>BANCADA DE MARMORE SINTETICO COM UMA CUBA, 200 X *60* CM</t>
  </si>
  <si>
    <t>BANCADA/ BANCA EM GRANITO, POLIDO, TIPO ANDORINHA/ QUARTZ/ CASTELO/ CORUMBA OU OUTROS EQUIVALENTES DA REGIAO, COM CUBA INOX, FORMATO *120 X 60* CM, E=  *2* CM</t>
  </si>
  <si>
    <t>BANCADA/ BANCA EM MARMORE, POLIDO, BRANCO COMUM, E=  *3* CM</t>
  </si>
  <si>
    <t>BANCADA/BANCA/PIA DE ACO INOXIDAVEL (AISI 430) COM 1 CUBA CENTRAL, COM VALVULA, ESCORREDOR DUPLO, DE *0,55 X 1,20* M</t>
  </si>
  <si>
    <t>BANCADA/BANCA/PIA DE ACO INOXIDAVEL (AISI 430) COM 1 CUBA CENTRAL, COM VALVULA, ESCORREDOR DUPLO, DE *0,55 X 1,40* M</t>
  </si>
  <si>
    <t>BANCADA/BANCA/PIA DE ACO INOXIDAVEL (AISI 430) COM 1 CUBA CENTRAL, COM VALVULA, ESCORREDOR DUPLO, DE *0,55 X 1,80* M</t>
  </si>
  <si>
    <t>BANCADA/BANCA/PIA DE ACO INOXIDAVEL (AISI 430) COM 1 CUBA CENTRAL, COM VALVULA, LISA (SEM ESCORREDOR), DE *0,55 X 1,20* M</t>
  </si>
  <si>
    <t>BANCADA/BANCA/PIA DE ACO INOXIDAVEL (AISI 430) COM 1 CUBA CENTRAL, SEM VALVULA, ESCORREDOR DUPLO, DE *0,55 X 1,60* M</t>
  </si>
  <si>
    <t>BANCADA/BANCA/PIA DE ACO INOXIDAVEL (AISI 430) COM 2 CUBAS, COM VALVULAS, ESCORREDOR DUPLO, DE *0,55 X 2,00* M</t>
  </si>
  <si>
    <t>BANCADA/TAMPO ACO INOX (AISI 304), LARGURA 60 CM, COM RODABANCA (NAO INCLUI PES DE APOIO)</t>
  </si>
  <si>
    <t>BANCADA/TAMPO ACO INOX (AISI 304), LARGURA 70 CM, COM RODABANCA (NAO INCLUI PES DE APOIO)</t>
  </si>
  <si>
    <t>BANCADA/TAMPO LISO (SEM CUBA) EM MARMORE SINTETICO</t>
  </si>
  <si>
    <t>BANCO ARTICULADO PARA BANHO, EM ACO INOX POLIDO, 70* CM X 45* CM</t>
  </si>
  <si>
    <t>BANCO COM ENCOSTO, 1,60M* DE COMPRIMENTO, EM TUBO DE ACO CARBONO E PINTURA NO PROCESSO ELETROSTATICO - PARA ACADEMIA AO AR LIVRE / ACADEMIA DA TERCEIRA IDADE - ATI</t>
  </si>
  <si>
    <t>BANDEJA DE PINTURA PARA ROLO 23 CM</t>
  </si>
  <si>
    <t>BARRA ANTIPANICO DUPLA, CEGA LADO OPOSTO, COR CINZA</t>
  </si>
  <si>
    <t>BARRA ANTIPANICO DUPLA, PARA PORTA DE VIDRO, COR CINZA</t>
  </si>
  <si>
    <t>BARRA ANTIPANICO SIMPLES, CEGA LADO OPOSTO, COR CINZA</t>
  </si>
  <si>
    <t>BARRA ANTIPANICO SIMPLES, COM FECHADURA LADO OPOSTO, COR CINZA</t>
  </si>
  <si>
    <t>BARRA ANTIPANICO SIMPLES, PARA PORTA DE VIDRO, COR CINZA</t>
  </si>
  <si>
    <t>BARRA DE APOIO EM "L", EM ACO INOX POLIDO 70 X 70 CM, DIAMETRO MINIMO 3 CM</t>
  </si>
  <si>
    <t>BARRA DE APOIO EM "L", EM ACO INOX POLIDO 80 X 80 CM, DIAMETRO MINIMO 3 CM</t>
  </si>
  <si>
    <t>BARRA DE APOIO LATERAL ARTICULADA, COM TRAVA, EM ACO INOX POLIDO, 70 CM, DIAMETRO MINIMO 3 CM</t>
  </si>
  <si>
    <t>BARRA DE APOIO RETA, EM ACO INOX POLIDO, COMPRIMENTO 60CM, DIAMETRO MINIMO 3 CM</t>
  </si>
  <si>
    <t>BARRA DE APOIO RETA, EM ACO INOX POLIDO, COMPRIMENTO 70CM, DIAMETRO MINIMO 3 CM</t>
  </si>
  <si>
    <t>BARRA DE APOIO RETA, EM ACO INOX POLIDO, COMPRIMENTO 80CM, DIAMETRO MINIMO 3 CM</t>
  </si>
  <si>
    <t>BARRA DE APOIO RETA, EM ACO INOX POLIDO, COMPRIMENTO 90 CM, DIAMETRO MINIMO 3 CM</t>
  </si>
  <si>
    <t>BARRA DE APOIO RETA, EM ALUMINIO, COMPRIMENTO 60CM, DIAMETRO MINIMO 3 CM</t>
  </si>
  <si>
    <t>BARRA DE APOIO RETA, EM ALUMINIO, COMPRIMENTO 70CM, DIAMETRO MINIMO 3 CM</t>
  </si>
  <si>
    <t>BARRA DE APOIO RETA, EM ALUMINIO, COMPRIMENTO 80 CM, DIAMETRO MINIMO 3 CM</t>
  </si>
  <si>
    <t>BARRA DE APOIO RETA, EM ALUMINIO, COMPRIMENTO 90 CM, DIAMETRO MINIMO 3 CM</t>
  </si>
  <si>
    <t>BARRA DE FERRO RETANGULAR, BARRA CHATA (QUALQUER DIMENSAO)</t>
  </si>
  <si>
    <t>BARRA DE FERRO RETANGULAR, BARRA CHATA, 1 1/2"  X 1/2" (L X E), 3,79 KG/M</t>
  </si>
  <si>
    <t>BARRA DE FERRO RETANGULAR, BARRA CHATA, 1 1/2" X 1/4" (L X E), 1,89 KG/M</t>
  </si>
  <si>
    <t>BARRA DE FERRO RETANGULAR, BARRA CHATA, 1" X 1/4" (L X E), 1,2265 KG/M</t>
  </si>
  <si>
    <t>BARRA DE FERRO RETANGULAR, BARRA CHATA, 1" X 3/16" (L X E), 1,73 KG/M</t>
  </si>
  <si>
    <t>BARRA DE FERRO RETANGULAR, BARRA CHATA, 2" X 1/2" (L X E), 5,06 KG/M</t>
  </si>
  <si>
    <t>BARRA DE FERRO RETANGULAR, BARRA CHATA, 2" X 1/4" (L X E), 2,53 KG/M</t>
  </si>
  <si>
    <t>BARRA DE FERRO RETANGULAR, BARRA CHATA, 2" X 1" (L X E), 10,12 KG/M</t>
  </si>
  <si>
    <t>BARRA DE FERRO RETANGULAR, BARRA CHATA, 2" X 3/8" (L X E), 3,79KG/M</t>
  </si>
  <si>
    <t>BARRA DE FERRO RETANGULAR, BARRA CHATA, 2" X 5/16" (L X E), 3,162 KG/M</t>
  </si>
  <si>
    <t>BARRA DE FERRO RETANGULAR, BARRA CHATA, 3/4" X 1/8" (L X E), 0,47 KG/M</t>
  </si>
  <si>
    <t>BARRA DE FERRO RETANGULAR, BARRA CHATA, 3/8" X 1 1/2" (L X E), 2,84 KG/M</t>
  </si>
  <si>
    <t>BASE DE MISTURADOR MONOCOMANDO PARA CHUVEIRO</t>
  </si>
  <si>
    <t>BASE PARA MASTRO DE PARA-RAIOS DIAMETRO NOMINAL 1 1/2"</t>
  </si>
  <si>
    <t>BASE PARA MASTRO DE PARA-RAIOS DIAMETRO NOMINAL 2"</t>
  </si>
  <si>
    <t>BASE PARA RELE COM SUPORTE METALICO</t>
  </si>
  <si>
    <t>BASE UNIPOLAR PARA FUSIVEL NH1, CORRENTE NOMINAL DE 250 A, SEM CAPA</t>
  </si>
  <si>
    <t>BATE-ESTACAS POR GRAVIDADE, POTENCIA160 HP, PESO DO MARTELO ATE 3 TONELADAS</t>
  </si>
  <si>
    <t>BATENTE/ PORTAL/ ADUELA/ MARCO MACICO, E= *3 CM, L= *13 CM, *60 CM A 120* CM X *210 CM,  EM CEDRINHO/ ANGELIM COMERCIAL/ EUCALIPTO/ CURUPIXA/ PEROBA/ CUMARU OU EQUIVALENTE DA REGIAO (NAO INCLUI ALIZARES)</t>
  </si>
  <si>
    <t>BATENTE/ PORTAL/ ADUELA/ MARCO MACICO, E= *3* CM, L= *13* CM, *60 CM A 120* CM X *210* CM, EM PINUS/ TAUARI/ VIROLA OU EQUIVALENTE DA REGIAO (NAO INCLUI ALIZARES)</t>
  </si>
  <si>
    <t>BATENTE/ PORTAL/ ADUELA/ MARCO MACICO, E= *3* CM, L= *7* CM, *60 CM A 120* CM X *210* CM,  EM CEDRINHO/ ANGELIM COMERCIAL/ EUCALIPTO/ CURUPIXA/ PEROBA/ CUMARU OU EQUIVALENTE DA REGIAO (NAO INCLUI ALIZARES)</t>
  </si>
  <si>
    <t>BATENTE/ PORTAL/ ADUELA/ MARCO MACICO, E= *3* CM, L= *7* CM, *60 CM A 120* CM X *210* CM, EM PINUS/ TAUARI/ VIROLA OU EQUIVALENTE DA REGIAO (NAO INCLUI ALIZARES)</t>
  </si>
  <si>
    <t>BATENTE/ PORTAL/ ADUELA/MARCO MACICO, E= *3* CM, L= *15* CM, *60 CM A 120* CM  X *210* CM, EM PINUS/ TAUARI/ VIROLA OU EQUIVALENTE DA REGIAO</t>
  </si>
  <si>
    <t>BATENTE/ PORTAL/ADUELA/ MARCO MACICO, E= *3* CM, L= *15* CM, *60 CM A 120* CM  X *210* CM,  EM CEDRINHO/ ANGELIM COMERCIAL/  EUCALIPTO/ CURUPIXA/ PEROBA/ CUMARU OU EQUIVALENTE DA REGIAO (NAO INCLUI ALIZARES)</t>
  </si>
  <si>
    <t>BATENTE/PORTAL/ADUELA/MARCO, EM MDF/PVC WOOD/POLIESTIRENO OU MADEIRA LAMINADA, L = *9,0* CM COM GUARNICAO REGULAVEL 2 FACES = *35* MM, PRIMER</t>
  </si>
  <si>
    <t>BETONEIRA CAPACIDADE NOMINAL 400 L, CAPACIDADE DE MISTURA  280 L, MOTOR ELETRICO TRIFASICO 220/380 V POTENCIA 2 CV, SEM CARREGADOR</t>
  </si>
  <si>
    <t>BETONEIRA CAPACIDADE NOMINAL 400 L, CAPACIDADE DE MISTURA 310 L, MOTOR A DIESEL POTENCIA 5 CV, SEM CARREGADOR</t>
  </si>
  <si>
    <t>BETONEIRA CAPACIDADE NOMINAL 400 L, CAPACIDADE DE MISTURA 310 L, MOTOR A GASOLINA POTENCIA 5,5 CV, SEM CARREGADOR</t>
  </si>
  <si>
    <t>BETONEIRA CAPACIDADE NOMINAL 600 L, CAPACIDADE DE MISTURA 440 L, MOTOR A GASOLINA POTENCIA 10 HP, COM CARREGADOR</t>
  </si>
  <si>
    <t>BETONEIRA, CAPACIDADE NOMINAL 400 L, CAPACIDADE DE MISTURA 310L, MOTOR ELETRICO TRIFASICO 220/380V POTENCIA 2 CV, SEM CARREGADOR</t>
  </si>
  <si>
    <t>BETONEIRA, CAPACIDADE NOMINAL 600 L, CAPACIDADE DE MISTURA  360L, MOTOR ELETRICO TRIFASICO 220/380V, POTENCIA 4CV, EXCLUSO CARREGADOR</t>
  </si>
  <si>
    <t>BETONEIRA, CAPACIDADE NOMINAL 600 L, CAPACIDADE DE MISTURA 440 L, MOTOR A DIESEL POTENCIA 10 CV, COM CARREGADOR</t>
  </si>
  <si>
    <t>BLASTER, DINAMITADOR OU CABO DE FOGO</t>
  </si>
  <si>
    <t>BLASTER, DINAMITADOR OU CABO DE FOGO (MENSALISTA)</t>
  </si>
  <si>
    <t>BLOCO CERAMICO (ALVENARIA DE VEDACAO), DE 9 X 19 X 19 CM</t>
  </si>
  <si>
    <t>BLOCO CERAMICO (ALVENARIA DE VEDACAO), 4 FUROS, DE 9 X 9 X 19 CM</t>
  </si>
  <si>
    <t>BLOCO CERAMICO (ALVENARIA DE VEDACAO), 6 FUROS, DE 9 X 9 X 19 CM</t>
  </si>
  <si>
    <t>BLOCO CERAMICO (ALVENARIA DE VEDACAO), 8 FUROS, DE 9 X 19 X 19 CM</t>
  </si>
  <si>
    <t>BLOCO CERAMICO (ALVENARIA DE VEDACAO), 8 FUROS, DE 9 X 19 X 29 CM</t>
  </si>
  <si>
    <t>BLOCO CERAMICO (ALVENARIA VEDACAO), 6 FUROS, DE 9 X 14 X 19 CM</t>
  </si>
  <si>
    <t>BLOCO CERAMICO DE VEDACAO COM FUROS NA HORIZONTAL, 11,5 X 19 X 19 CM - 4,5 MPA (NBR 15270)</t>
  </si>
  <si>
    <t>BLOCO CERAMICO DE VEDACAO COM FUROS NA VERTICAL, 14 X 19 X 39 CM - 4,5 MPA (NBR 15270)</t>
  </si>
  <si>
    <t>BLOCO CERAMICO DE VEDACAO COM FUROS NA VERTICAL, 19 X 19 X 39 CM - 4,5 MPA (NBR 15270)</t>
  </si>
  <si>
    <t>BLOCO CERAMICO DE VEDACAO COM FUROS NA VERTICAL, 9 X 19 X 39 CM - 4,5 MPA (NBR 15270)</t>
  </si>
  <si>
    <t>BLOCO CONCRETO ESTRUTURAL 14 X 19 X 29 CM, FBK 10 MPA (NBR 6136)</t>
  </si>
  <si>
    <t>BLOCO CONCRETO ESTRUTURAL 14 X 19 X 29 CM, FBK 12 MPA  (NBR 6136)</t>
  </si>
  <si>
    <t>BLOCO CONCRETO ESTRUTURAL 14 X 19 X 29 CM, FBK 14 MPA (NBR 6136)</t>
  </si>
  <si>
    <t>BLOCO CONCRETO ESTRUTURAL 14 X 19 X 29 CM, FBK 16 MPA (NBR 6136)</t>
  </si>
  <si>
    <t>BLOCO CONCRETO ESTRUTURAL 14 X 19 X 29 CM, FBK 4,5 MPA (NBR 6136)</t>
  </si>
  <si>
    <t>BLOCO CONCRETO ESTRUTURAL 14 X 19 X 29 CM, FBK 6 MPA (NBR 6136)</t>
  </si>
  <si>
    <t>BLOCO CONCRETO ESTRUTURAL 14 X 19 X 29 CM, FBK 8 MPA (NBR 6136)</t>
  </si>
  <si>
    <t>BLOCO CONCRETO ESTRUTURAL 14 X 19 X 34 CM, FBK 4,5 MPA (NBR 6136)</t>
  </si>
  <si>
    <t>BLOCO CONCRETO ESTRUTURAL 14 X 19 X 39 CM, FBK 10 MPA (NBR 6136)</t>
  </si>
  <si>
    <t>BLOCO CONCRETO ESTRUTURAL 14 X 19 X 39 CM, FBK 12 MPA (NBR 6136)</t>
  </si>
  <si>
    <t>BLOCO CONCRETO ESTRUTURAL 14 X 19 X 39 CM, FBK 14 MPA (NBR 6136)</t>
  </si>
  <si>
    <t>BLOCO CONCRETO ESTRUTURAL 14 X 19 X 39 CM, FBK 4,5 MPA (NBR 6136)</t>
  </si>
  <si>
    <t>BLOCO CONCRETO ESTRUTURAL 14 X 19 X 39 CM, FBK 6 MPA (NBR 6136)</t>
  </si>
  <si>
    <t>BLOCO CONCRETO ESTRUTURAL 14 X 19 X 39 CM, FBK 8 MPA (NBR 6136)</t>
  </si>
  <si>
    <t>BLOCO CONCRETO ESTRUTURAL 14 X 19 X 39, FCK 16 MPA - NBR 6136/2007</t>
  </si>
  <si>
    <t>BLOCO CONCRETO ESTRUTURAL 19 X 19 X 39 CM, FBK 10 MPA (NBR 6136)</t>
  </si>
  <si>
    <t>BLOCO CONCRETO ESTRUTURAL 19 X 19 X 39 CM, FBK 12 MPA (NBR 6136)</t>
  </si>
  <si>
    <t>BLOCO CONCRETO ESTRUTURAL 19 X 19 X 39 CM, FBK 14 MPA (NBR 6136)</t>
  </si>
  <si>
    <t>BLOCO CONCRETO ESTRUTURAL 19 X 19 X 39 CM, FBK 16 MPA (NBR 6136)</t>
  </si>
  <si>
    <t>BLOCO CONCRETO ESTRUTURAL 19 X 19 X 39 CM, FBK 4,5 MPA (NBR 6136)</t>
  </si>
  <si>
    <t>BLOCO CONCRETO ESTRUTURAL 19 X 19 X 39 CM, FBK 8 MPA (NBR 6136)</t>
  </si>
  <si>
    <t>BLOCO CONCRETO ESTRUTURAL 9 X 19 X 39 CM, FBK 4,5 MPA (NBR 6136)</t>
  </si>
  <si>
    <t>BLOCO DE ESPUMA MULTIUSO *23 X 13 X 8* CM</t>
  </si>
  <si>
    <t>BLOCO DE GESSO COMPACTO, BRANCO, E = 10 CM, *67 X 50* CM</t>
  </si>
  <si>
    <t>BLOCO DE GESSO VAZADO BRANCO, E = *7* CM, *67 X 50* CM</t>
  </si>
  <si>
    <t>BLOCO DE POLIETILENO ALTA DENSIDADE, *27* X *30* X *100* CM, ACOMPANHADOS PLACAS  TERMINAIS  E LONGARINAS, PARA FUNDO DE FILTRO</t>
  </si>
  <si>
    <t>BLOCO DE VIDRO INCOLOR XADREZ, DE *20 X 20 X 10* CM</t>
  </si>
  <si>
    <t>BLOCO DE VIDRO INCOLOR, CANELADO, DE *19 X 19 X 8* CM</t>
  </si>
  <si>
    <t>BLOCO DE VIDRO/ELEMENTO VAZADO INCOLOR, VENEZIANA, DE *20 X 20 X 6* CM</t>
  </si>
  <si>
    <t>BLOCO DE VIDRO/ELEMENTO VAZADO, INCOLOR, VENEZIANA, *20 X 10 X 8* CM</t>
  </si>
  <si>
    <t>BLOCO ESTRUTURAL CERAMICO - 14 X 19 X 29 CM - 4,0 MPA -  NBR 15270</t>
  </si>
  <si>
    <t>BLOCO ESTRUTURAL CERAMICO 14 X 19 X 29 CM, 3,0 MPA (NBR 15270)</t>
  </si>
  <si>
    <t>BLOCO ESTRUTURAL CERAMICO 14 X 19 X 29 CM, 6,0 MPA (NBR 15270)</t>
  </si>
  <si>
    <t>BLOCO ESTRUTURAL CERAMICO 14 X 19 X 34 CM, 6,0 MPA (NBR 15270)</t>
  </si>
  <si>
    <t>BLOCO ESTRUTURAL CERAMICO 14 X 19 X 39 CM, 6,0 MPA (NBR 15270)</t>
  </si>
  <si>
    <t>BLOCO ESTRUTURAL CERAMICO 19 X 19 X 29 CM, 6,0 MPA (NBR 15270)</t>
  </si>
  <si>
    <t>BLOCO ESTRUTURAL CERAMICO 19 X 19 X 39 CM, 6,0 MPA (NBR 15270)</t>
  </si>
  <si>
    <t>BLOCO VEDACAO CONCRETO APARENTE 14 X 19 X 39 CM (CLASSE C - NBR 6136)</t>
  </si>
  <si>
    <t>BLOCO VEDACAO CONCRETO APARENTE 19 X 19 X 39 CM  (CLASSE C - NBR 6136)</t>
  </si>
  <si>
    <t>BLOCO VEDACAO CONCRETO APARENTE 9 X 19 X 39 CM (CLASSE C - NBR 6136)</t>
  </si>
  <si>
    <t>BLOCO VEDACAO CONCRETO CELULAR AUTOCLAVADO 10 X 30 X 60 CM (E X A X C)</t>
  </si>
  <si>
    <t>BLOCO VEDACAO CONCRETO CELULAR AUTOCLAVADO 15 X 30 X 60 CM (E X A X C)</t>
  </si>
  <si>
    <t>BLOCO VEDACAO CONCRETO CELULAR AUTOCLAVADO 20 X 30 X 60 CM</t>
  </si>
  <si>
    <t>BLOCO VEDACAO CONCRETO 14 X 19 X 29 CM (CLASSE C - NBR 6136)</t>
  </si>
  <si>
    <t>BLOCO VEDACAO CONCRETO 14 X 19 X 39 CM (CLASSE C - NBR 6136)</t>
  </si>
  <si>
    <t>BLOCO VEDACAO CONCRETO 19 X 19 X 39 CM (CLASSE C - NBR 6136)</t>
  </si>
  <si>
    <t>BLOCO VEDACAO CONCRETO 9 X 19 X 39 CM (CLASSE C - NBR 6136)</t>
  </si>
  <si>
    <t>BLOQUETE/PISO INTERTRAVADO DE CONCRETO - MODELO ONDA/16 FACES/RETANGULAR/TIJOLINHO/PAVER/HOLANDES/PARALELEPIPEDO, *22 CM X *11 CM, E = 10 CM, RESISTENCIA DE 50 MPA (NBR 9781), COR NATURAL</t>
  </si>
  <si>
    <t>BLOQUETE/PISO INTERTRAVADO DE CONCRETO - MODELO ONDA/16 FACES/RETANGULAR/TIJOLINHO/PAVER/HOLANDES/PARALELEPIPEDO, *22 CM X 11* CM, E = 8 CM, RESISTENCIA DE 35 MPA (NBR 9781), COR NATURAL</t>
  </si>
  <si>
    <t>BLOQUETE/PISO INTERTRAVADO DE CONCRETO - MODELO ONDA/16 FACES/RETANGULAR/TIJOLINHO/PAVER/HOLANDES/PARALELEPIPEDO, 20 CM X 10 CM, E = 10 CM, RESISTENCIA DE 35 MPA (NBR 9781), COR NATURAL</t>
  </si>
  <si>
    <t>BLOQUETE/PISO INTERTRAVADO DE CONCRETO - MODELO ONDA/16 FACES/RETANGULAR/TIJOLINHO/PAVER/HOLANDES/PARALELEPIPEDO, 20 CM X 10 CM, E = 6 CM, RESISTENCIA DE 35 MPA (NBR 9781), COLORIDO</t>
  </si>
  <si>
    <t>BLOQUETE/PISO INTERTRAVADO DE CONCRETO - MODELO ONDA/16 FACES/RETANGULAR/TIJOLINHO/PAVER/HOLANDES/PARALELEPIPEDO, 20 CM X 10 CM, E = 6 CM, RESISTENCIA DE 35 MPA (NBR 9781), COR NATURAL</t>
  </si>
  <si>
    <t>BLOQUETE/PISO INTERTRAVADO DE CONCRETO - MODELO ONDA/16 FACES/RETANGULAR/TIJOLINHO/PAVER/HOLANDES/PARALELEPIPEDO, 20 CM X 10 CM, E = 8 CM, RESISTENCIA DE 35 MPA (NBR 9781), COLORIDO</t>
  </si>
  <si>
    <t>BLOQUETE/PISO INTERTRAVADO DE CONCRETO - MODELO RAQUETE, *22 CM X 13,5* CM, E = 6 CM, RESISTENCIA DE 35 MPA (NBR 9781), COR NATURAL</t>
  </si>
  <si>
    <t>BOCAL PVC, PARA CALHA PLUVIAL, DIAMETRO DA SAIDA ENTRE 80 E 100 MM, PARA DRENAGEM PREDIAL</t>
  </si>
  <si>
    <t>BOLSA DE LIGACAO EM PVC FLEXIVEL PARA VASO SANITARIO 1.1/2 " (40 MM)</t>
  </si>
  <si>
    <t>BOLSA DE LONA PARA FERRAMENTAS *50 X 35 X 25* CM</t>
  </si>
  <si>
    <t>BOMBA CENTRIFUGA  MOTOR ELETRICO TRIFASICO 1,48HP  DIAMETRO DE SUCCAO X ELEVACAO 1" X 1", 4 ESTAGIOS, DIAMETRO DOS ROTORES 3 X 107 MM + 1 X 100 MM, HM/Q: 10 M / 5,3 M3/H A 70 M / 1,8 M3/H</t>
  </si>
  <si>
    <t>BOMBA CENTRIFUGA  MOTOR ELETRICO TRIFASICO 2,96HP, DIAMETRO DE SUCCAO X ELEVACAO 1 1/2" X 1 1/4", DIAMETRO DO ROTOR 148 MM, HM/Q: 34 M / 14,80 M3/H A 40 M / 8,60 M3/H</t>
  </si>
  <si>
    <t>BOMBA CENTRIFUGA COM MOTOR ELETRICO MONOFASICO, POTENCIA 0,33 HP,  BOCAIS 1" X 3/4", DIAMETRO DO ROTOR 99 MM, HM/Q = 4 MCA / 8,5 M3/H A 18 MCA / 0,90 M3/H</t>
  </si>
  <si>
    <t>BOMBA CENTRIFUGA MONOESTAGIO COM MOTOR ELETRICO MONOFASICO, POTENCIA 15 HP,  DIAMETRO DO ROTOR *173* MM, HM/Q = *30* MCA / *90* M3/H A *45* MCA / *55* M3/H</t>
  </si>
  <si>
    <t>BOMBA CENTRIFUGA MOTOR ELETRICO MONOFASICO 0,49 HP  BOCAIS 1" X 3/4", DIAMETRO DO ROTOR 110 MM, HM/Q: 6 M / 8,3 M3/H A 20 M / 1,2 M3/H</t>
  </si>
  <si>
    <t>BOMBA CENTRIFUGA MOTOR ELETRICO MONOFASICO 0,50 CV DIAMETRO DE SUCCAO X ELEVACAO 3/4" X 3/4", MONOESTAGIO, DIAMETRO DOS ROTORES 114 MM, HM/Q: 2 M / 2,99 M3/H A 24 M / 0,71 M3/H</t>
  </si>
  <si>
    <t>BOMBA CENTRIFUGA MOTOR ELETRICO MONOFASICO 0,74HP  DIAMETRO DE SUCCAO X ELEVACAO 1 1/4" X 1", DIAMETRO DO ROTOR 120 MM, HM/Q: 8 M / 7,70 M3/H A 24 M / 2,80 M3/H</t>
  </si>
  <si>
    <t>BOMBA CENTRIFUGA MOTOR ELETRICO TRIFASICO 0,99HP  DIAMETRO DE SUCCAO X ELEVACAO 1" X 1", DIAMETRO DO ROTOR 145 MM, HM/Q: 14 M / 8,4 M3/H A 40 M / 0,60 M3/H</t>
  </si>
  <si>
    <t>BOMBA CENTRIFUGA MOTOR ELETRICO TRIFASICO 14,8 HP, DIAMETRO DE SUCCAO X ELEVACAO 2 1/2" X 2", DIAMETRO DO ROTOR 195 MM, HM/Q: 62 M / 55,5 M3/H A 80 M / 31,50 M3/H</t>
  </si>
  <si>
    <t>BOMBA CENTRIFUGA MOTOR ELETRICO TRIFASICO 5HP, DIAMETRO DE SUCCAO X ELEVACAO 2" X 1 1/2", DIAMETRO DO ROTOR 155 MM, HM/Q: 40 M / 20,40 M3/H A 46 M / 9,20 M3/H</t>
  </si>
  <si>
    <t>BOMBA CENTRIFUGA MOTOR ELETRICO TRIFASICO 9,86 DIAMETRO DE SUCCAO X ELEVACAO 1" X 1", 4 ESTAGIOS, DIAMETRO DOS ROTORES 4 X 146 MM, HM/Q: 85 M / 14,9 M3/H A 140 M / 4,2 M3/H</t>
  </si>
  <si>
    <t>BOMBA CENTRIFUGA,  MOTOR ELETRICO TRIFASICO 1,48HP  DIAMETRO DE SUCCAO X ELEVACAO 1 1/2" X 1", DIAMETRO DO ROTOR 117 MM, HM/Q: 10 M / 21,9 M3/H A 24 M / 6,1 M3/H</t>
  </si>
  <si>
    <t>BOMBA DE PROJECAO DE CONCRETO SECO, POTENCIA 10 CV, VAZAO 3 M3/H</t>
  </si>
  <si>
    <t>BOMBA DE PROJECAO DE CONCRETO SECO, POTENCIA 10 CV, VAZAO 6 M3/H</t>
  </si>
  <si>
    <t>BOMBA SUBMERSA PARA POCOS TUBULARES PROFUNDOS DIAMETRO DE 4 POLEGADAS, ELETRICA, MONOFASICA, POTENCIA 0,49 HP, 13 ESTAGIOS, BOCAL DE DESCARGA DIAMETRO DE UMA POLEGADA E MEIA, HM/Q = 18 M / 1,90 M3/H A 85 M / 0,60 M3/H</t>
  </si>
  <si>
    <t>BOMBA SUBMERSA PARA POCOS TUBULARES PROFUNDOS DIAMETRO DE 4 POLEGADAS, ELETRICA, TRIFASICA, POTENCIA 1,97 HP, 20 ESTAGIOS, BOCAL DE DESCARGA DIAMETRO DE UMA POLEGADA E MEIA, HM/Q = 18 M / 5,40 M3/H A 164 M / 0,80 M3/H</t>
  </si>
  <si>
    <t>BOMBA SUBMERSA PARA POCOS TUBULARES PROFUNDOS DIAMETRO DE 4 POLEGADAS, ELETRICA, TRIFASICA, POTENCIA 5,42 HP, 15 ESTAGIOS, BOCAL DE DESCARGA DIAMETRO DE 2 POLEGADAS, HM/Q = 18 M / 18,10 M3/H A 121 M / 2,90 M3/H</t>
  </si>
  <si>
    <t>BOMBA SUBMERSA PARA POCOS TUBULARES PROFUNDOS DIAMETRO DE 4 POLEGADAS, ELETRICA, TRIFASICA, POTENCIA 5,42 HP, 29 ESTAGIOS, BOCAL DE DESCARGA DE UMA POLEGADA E MEIA, HM/Q = 18 M / 8,10 M3/H A 201 M / 3,2 M3/H</t>
  </si>
  <si>
    <t>BOMBA SUBMERSA PARA POCOS TUBULARES PROFUNDOS DIAMETRO DE 6 POLEGADAS, ELETRICA, TRIFASICA, POTENCIA 27,12 HP, 7 ESTAGIOS, BOCAL DE DESCARGA DIAMETRO DE 4 POLEGADAS, HM/Q = 13,9 M / 90 M3/H A 44,0 M / 25,0 M3/H</t>
  </si>
  <si>
    <t>BOMBA SUBMERSA PARA POCOS TUBULARES PROFUNDOS DIAMETRO DE 6 POLEGADAS, ELETRICA, TRIFASICA, POTENCIA 3,45 HP, 5 ESTAGIOS, BOCAL DE DESCARGA DIAMETRO DE 2 POLEGADAS, HM/Q = 68,5 M / 6,12 M3/H A 39,5 M / 14,04 M3/H</t>
  </si>
  <si>
    <t>BOMBA SUBMERSA PARA POCOS TUBULARES PROFUNDOS DIAMETRO DE 6 POLEGADAS, ELETRICA, TRIFASICA, POTENCIA 32 HP, 9 ESTAGIOS, BOCAL DE DESCARGA DIAMETRO DE 4 POLEGADAS, HM/Q = 114,0 M / 13,9 M3/H A 57,0 M / 25,0 M3/H</t>
  </si>
  <si>
    <t>BOMBA SUBMERSIVEL,  ELETRICA, TRIFASICA, POTENCIA 6 HP, DIAMETRO DO ROTOR 127 MM, BOCAL DE SAIDA DIAMETRO DE 3 POLEGADAS, HM/Q = 7 M / 66,90 M3/H A 26 M / 2,88 M3/H</t>
  </si>
  <si>
    <t>BOMBA SUBMERSIVEL, ELETRICA, TRIFASICA, POTENCIA 0,98 HP, DIAMETRO DO ROTOR 142 MM SEMIABERTO, BOCAL DE SAIDA DIAMETRO DE 2 POLEGADAS, HM/Q = 2 M / 32 M3/H A 8 M / 16 M3/H</t>
  </si>
  <si>
    <t>BOMBA SUBMERSIVEL, ELETRICA, TRIFASICA, POTENCIA 0,99 HP, DIAMETRO ROTOR 98 MM SEMIABERTO, BOCAL DE SAIDA DIAMETRO 2 POLEGADAS, HM/Q = 2 M / 28,90 M3/H A 14 M / 7 M3/H</t>
  </si>
  <si>
    <t>BOMBA SUBMERSIVEL, ELETRICA, TRIFASICA, POTENCIA 1,97 HP, DIAMETRO DO ROTOR 144 MM SEMIABERTO, BOCAL DE SAIDA DIAMETRO DE 2 POLEGADAS, HM/Q = 2 M / 26,8 M3/H A 28 M / 4,6 M3/H</t>
  </si>
  <si>
    <t>BOMBA SUBMERSIVEL, ELETRICA, TRIFASICA, POTENCIA 13 HP, DIAMETRO DO ROTOR 170 MM, BOCAL DE SAIDA DIAMETRO DE 3 POLEGADAS, HM/Q = 11 M / 68,40 M3/H A 72 M / 3,6 M3/H</t>
  </si>
  <si>
    <t>BOMBA SUBMERSIVEL, ELETRICA, TRIFASICA, POTENCIA 2,96 HP, DIAMETRO DO ROTOR 144 MM SEMIABERTO, BOCAL DE SAIDA DIAMETRO DE DUAS POLEGADAS, HM/Q = 2 M / 38,8 M3/H A 28 M / 5 M3/H</t>
  </si>
  <si>
    <t>BOMBA SUBMERSIVEL, ELETRICA, TRIFASICA, POTENCIA 3,75 HP, DIAMETRO DO ROTOR 90 MM SEMIABERTO, BOCAL DE SAIDA DIAMETRO DE 2 POLEGADAS, HM/Q = 5 M / 61,2 M3/H A 25,5 M / 3,6 M3/H</t>
  </si>
  <si>
    <t>BOMBA TRIPLEX COM MOTOR A DIESEL, NACIONAL, DIAMETRO DE SUCCAO DE 2 1/2''</t>
  </si>
  <si>
    <t>BOMBA TRIPLEX, PARA INJECAO DE CALDA DE CIMENTO, VAZAO MAXIMA DE *100* LITROS/MINUTO, PRESSAO MAXIMA DE *70* BAR, POTENCIA DE 15 CV</t>
  </si>
  <si>
    <t>BORBOLETA EM LATAO FUNDIDO CROMADO, PARA TRAVAR JANELA TIPO GUILHOTINA</t>
  </si>
  <si>
    <t>BORBOLETA EM ZAMAC CROMADO, PARA TRAVAR JANELA TIPO GUILHOTINA</t>
  </si>
  <si>
    <t>BOTA DE PVC PRETA, CANO MEDIO, SEM FORRO</t>
  </si>
  <si>
    <t>BOTA DE SEGURANCA COM BIQUEIRA DE ACO E COLARINHO ACOLCHOADO</t>
  </si>
  <si>
    <t>BRACO / CANO PARA CHUVEIRO ELETRICO, EM ALUMINIO, 30 CM X 1/2 "</t>
  </si>
  <si>
    <t>BRACO OU HASTE COM CANOPLA PLASTICA, 1/2 ", PARA CHUVEIRO ELETRICO</t>
  </si>
  <si>
    <t>BRACO OU HASTE COM CANOPLA PLASTICA, 1/2 ", PARA CHUVEIRO SIMPLES</t>
  </si>
  <si>
    <t>BRACO P/ LUMINARIA PUBLICA 1 X 1,50M ROMAGNOLE OU EQUIV</t>
  </si>
  <si>
    <t>BUCHA DE NYLON SEM ABA S10</t>
  </si>
  <si>
    <t>BUCHA DE NYLON SEM ABA S10, COM PARAFUSO DE 6,10 X 65 MM EM ACO ZINCADO COM ROSCA SOBERBA, CABECA CHATA E FENDA PHILLIPS</t>
  </si>
  <si>
    <t>BUCHA DE NYLON SEM ABA S12, COM PARAFUSO DE 5/16" X 80 MM EM ACO ZINCADO COM ROSCA SOBERBA E CABECA SEXTAVADA</t>
  </si>
  <si>
    <t>BUCHA DE NYLON SEM ABA S4</t>
  </si>
  <si>
    <t>BUCHA DE NYLON SEM ABA S5</t>
  </si>
  <si>
    <t>BUCHA DE NYLON SEM ABA S6</t>
  </si>
  <si>
    <t>BUCHA DE NYLON SEM ABA S6, COM PARAFUSO DE 4,20 X 40 MM EM ACO ZINCADO COM ROSCA SOBERBA, CABECA CHATA E FENDA PHILLIPS</t>
  </si>
  <si>
    <t>BUCHA DE NYLON SEM ABA S8</t>
  </si>
  <si>
    <t>BUCHA DE NYLON SEM ABA S8, COM PARAFUSO DE 4,80 X 50 MM EM ACO ZINCADO COM ROSCA SOBERBA, CABECA CHATA E FENDA PHILLIPS</t>
  </si>
  <si>
    <t>BUCHA DE NYLON, DIAMETRO DO FURO 8 MM, COMPRIMENTO 40 MM, COM PARAFUSO DE ROSCA SOBERBA, CABECA CHATA, FENDA SIMPLES, 4,8 X 50 MM</t>
  </si>
  <si>
    <t>BUCHA DE REDUCAO DE COBRE (REF 600-2) SEM ANEL DE SOLDA, PONTA X BOLSA, 22 X 15 MM</t>
  </si>
  <si>
    <t>BUCHA DE REDUCAO DE COBRE (REF 600-2) SEM ANEL DE SOLDA, PONTA X BOLSA, 28 X 22 MM</t>
  </si>
  <si>
    <t>BUCHA DE REDUCAO DE COBRE (REF 600-2) SEM ANEL DE SOLDA, PONTA X BOLSA, 35 X 28 MM</t>
  </si>
  <si>
    <t>BUCHA DE REDUCAO DE COBRE (REF 600-2) SEM ANEL DE SOLDA, PONTA X BOLSA, 42 X 35 MM</t>
  </si>
  <si>
    <t>BUCHA DE REDUCAO DE COBRE (REF 600-2) SEM ANEL DE SOLDA, PONTA X BOLSA, 54 X 42 MM</t>
  </si>
  <si>
    <t>BUCHA DE REDUCAO DE COBRE (REF 600-2) SEM ANEL DE SOLDA, PONTA X BOLSA, 66 X 54 MM</t>
  </si>
  <si>
    <t>BUCHA DE REDUCAO DE FERRO GALVANIZADO, COM ROSCA BSP, DE 1 1/2" X 1 1/4"</t>
  </si>
  <si>
    <t>BUCHA DE REDUCAO DE FERRO GALVANIZADO, COM ROSCA BSP, DE 1 1/2" X 1/2"</t>
  </si>
  <si>
    <t>BUCHA DE REDUCAO DE FERRO GALVANIZADO, COM ROSCA BSP, DE 1 1/2" X 1"</t>
  </si>
  <si>
    <t>BUCHA DE REDUCAO DE FERRO GALVANIZADO, COM ROSCA BSP, DE 1 1/2" X 3/4"</t>
  </si>
  <si>
    <t>BUCHA DE REDUCAO DE FERRO GALVANIZADO, COM ROSCA BSP, DE 1 1/4" X 1/2"</t>
  </si>
  <si>
    <t>BUCHA DE REDUCAO DE FERRO GALVANIZADO, COM ROSCA BSP, DE 1 1/4" X 1"</t>
  </si>
  <si>
    <t>BUCHA DE REDUCAO DE FERRO GALVANIZADO, COM ROSCA BSP, DE 1 1/4" X 3/4"</t>
  </si>
  <si>
    <t>BUCHA DE REDUCAO DE FERRO GALVANIZADO, COM ROSCA BSP, DE 1/2" X 1/4"</t>
  </si>
  <si>
    <t>BUCHA DE REDUCAO DE FERRO GALVANIZADO, COM ROSCA BSP, DE 1/2" X 3/8"</t>
  </si>
  <si>
    <t>BUCHA DE REDUCAO DE FERRO GALVANIZADO, COM ROSCA BSP, DE 1" X 1/2"</t>
  </si>
  <si>
    <t>BUCHA DE REDUCAO DE FERRO GALVANIZADO, COM ROSCA BSP, DE 1" X 3/4"</t>
  </si>
  <si>
    <t>BUCHA DE REDUCAO DE FERRO GALVANIZADO, COM ROSCA BSP, DE 2 1/2" X 1 1/2"</t>
  </si>
  <si>
    <t>BUCHA DE REDUCAO DE FERRO GALVANIZADO, COM ROSCA BSP, DE 2 1/2" X 1 1/4"</t>
  </si>
  <si>
    <t>BUCHA DE REDUCAO DE FERRO GALVANIZADO, COM ROSCA BSP, DE 2 1/2" X 1"</t>
  </si>
  <si>
    <t>BUCHA DE REDUCAO DE FERRO GALVANIZADO, COM ROSCA BSP, DE 2 1/2" X 2"</t>
  </si>
  <si>
    <t>BUCHA DE REDUCAO DE FERRO GALVANIZADO, COM ROSCA BSP, DE 2" X 1 1/2"</t>
  </si>
  <si>
    <t>BUCHA DE REDUCAO DE FERRO GALVANIZADO, COM ROSCA BSP, DE 2" X 1 1/4"</t>
  </si>
  <si>
    <t>BUCHA DE REDUCAO DE FERRO GALVANIZADO, COM ROSCA BSP, DE 2" X 1"</t>
  </si>
  <si>
    <t>BUCHA DE REDUCAO DE FERRO GALVANIZADO, COM ROSCA BSP, DE 3/4" X 1/2"</t>
  </si>
  <si>
    <t>BUCHA DE REDUCAO DE FERRO GALVANIZADO, COM ROSCA BSP, DE 3" X 1 1/2"</t>
  </si>
  <si>
    <t>BUCHA DE REDUCAO DE FERRO GALVANIZADO, COM ROSCA BSP, DE 3" X 1 1/4"</t>
  </si>
  <si>
    <t>BUCHA DE REDUCAO DE FERRO GALVANIZADO, COM ROSCA BSP, DE 3" X 2 1/2"</t>
  </si>
  <si>
    <t>BUCHA DE REDUCAO DE FERRO GALVANIZADO, COM ROSCA BSP, DE 3" X 2"</t>
  </si>
  <si>
    <t>BUCHA DE REDUCAO DE FERRO GALVANIZADO, COM ROSCA BSP, DE 4" X 2 1/2"</t>
  </si>
  <si>
    <t>BUCHA DE REDUCAO DE FERRO GALVANIZADO, COM ROSCA BSP, DE 4" X 2"</t>
  </si>
  <si>
    <t>BUCHA DE REDUCAO DE FERRO GALVANIZADO, COM ROSCA BSP, DE 4" X 3"</t>
  </si>
  <si>
    <t>BUCHA DE REDUCAO DE FERRO GALVANIZADO, COM ROSCA BSP, DE 5" X 4"</t>
  </si>
  <si>
    <t>BUCHA DE REDUCAO DE FERRO GALVANIZADO, COM ROSCA BSP, DE 6" X 4"</t>
  </si>
  <si>
    <t>BUCHA DE REDUCAO DE FERRO GALVANIZADO, COM ROSCA BSP, DE 6" X 5"</t>
  </si>
  <si>
    <t>BUCHA DE REDUCAO DE PVC, SOLDAVEL, CURTA, COM 110 X 85 MM, PARA AGUA FRIA PREDIAL</t>
  </si>
  <si>
    <t>BUCHA DE REDUCAO DE PVC, SOLDAVEL, CURTA, COM 25 X 20 MM, PARA AGUA FRIA PREDIAL</t>
  </si>
  <si>
    <t>BUCHA DE REDUCAO DE PVC, SOLDAVEL, CURTA, COM 32 X 25 MM, PARA AGUA FRIA PREDIAL</t>
  </si>
  <si>
    <t>BUCHA DE REDUCAO DE PVC, SOLDAVEL, CURTA, COM 40 X 32 MM, PARA AGUA FRIA PREDIAL</t>
  </si>
  <si>
    <t>BUCHA DE REDUCAO DE PVC, SOLDAVEL, CURTA, COM 50 X 40 MM, PARA AGUA FRIA PREDIAL</t>
  </si>
  <si>
    <t>BUCHA DE REDUCAO DE PVC, SOLDAVEL, CURTA, COM 60 X 50 MM, PARA AGUA FRIA PREDIAL</t>
  </si>
  <si>
    <t>BUCHA DE REDUCAO DE PVC, SOLDAVEL, CURTA, COM 75 X 60 MM, PARA AGUA FRIA PREDIAL</t>
  </si>
  <si>
    <t>BUCHA DE REDUCAO DE PVC, SOLDAVEL, CURTA, COM 85 X 75 MM, PARA AGUA FRIA PREDIAL</t>
  </si>
  <si>
    <t>BUCHA DE REDUCAO DE PVC, SOLDAVEL, LONGA, COM 110 X 60 MM, PARA AGUA FRIA PREDIAL</t>
  </si>
  <si>
    <t>BUCHA DE REDUCAO DE PVC, SOLDAVEL, LONGA, COM 110 X 75 MM, PARA AGUA FRIA PREDIAL</t>
  </si>
  <si>
    <t>BUCHA DE REDUCAO DE PVC, SOLDAVEL, LONGA, COM 32 X 20 MM, PARA AGUA FRIA PREDIAL</t>
  </si>
  <si>
    <t>BUCHA DE REDUCAO DE PVC, SOLDAVEL, LONGA, COM 40 X 20 MM, PARA AGUA FRIA PREDIAL</t>
  </si>
  <si>
    <t>BUCHA DE REDUCAO DE PVC, SOLDAVEL, LONGA, COM 40 X 25 MM, PARA AGUA FRIA PREDIAL</t>
  </si>
  <si>
    <t>BUCHA DE REDUCAO DE PVC, SOLDAVEL, LONGA, COM 50 X 20 MM, PARA AGUA FRIA PREDIAL</t>
  </si>
  <si>
    <t>BUCHA DE REDUCAO DE PVC, SOLDAVEL, LONGA, COM 50 X 25 MM, PARA AGUA FRIA PREDIAL</t>
  </si>
  <si>
    <t>BUCHA DE REDUCAO DE PVC, SOLDAVEL, LONGA, COM 50 X 32 MM, PARA AGUA FRIA PREDIAL</t>
  </si>
  <si>
    <t>BUCHA DE REDUCAO DE PVC, SOLDAVEL, LONGA, COM 60 X 25 MM, PARA AGUA FRIA PREDIAL</t>
  </si>
  <si>
    <t>BUCHA DE REDUCAO DE PVC, SOLDAVEL, LONGA, COM 60 X 32 MM, PARA AGUA FRIA PREDIAL</t>
  </si>
  <si>
    <t>BUCHA DE REDUCAO DE PVC, SOLDAVEL, LONGA, COM 60 X 40 MM, PARA AGUA FRIA PREDIAL</t>
  </si>
  <si>
    <t>BUCHA DE REDUCAO DE PVC, SOLDAVEL, LONGA, COM 60 X 50 MM, PARA AGUA FRIA PREDIAL</t>
  </si>
  <si>
    <t>BUCHA DE REDUCAO DE PVC, SOLDAVEL, LONGA, COM 75 X 50 MM, PARA AGUA FRIA PREDIAL</t>
  </si>
  <si>
    <t>BUCHA DE REDUCAO DE PVC, SOLDAVEL, LONGA, COM 85 X 60 MM, PARA AGUA FRIA PREDIAL</t>
  </si>
  <si>
    <t>BUCHA DE REDUCAO DE PVC, SOLDAVEL, LONGA, 50 X 40 MM, PARA ESGOTO PREDIAL</t>
  </si>
  <si>
    <t>BUCHA DE REDUCAO EM ALUMINIO, COM ROSCA, DE 1 1/2" X 1 1/4", PARA ELETRODUTO</t>
  </si>
  <si>
    <t>BUCHA DE REDUCAO EM ALUMINIO, COM ROSCA, DE 1 1/2" X 1", PARA ELETRODUTO</t>
  </si>
  <si>
    <t>BUCHA DE REDUCAO EM ALUMINIO, COM ROSCA, DE 1 1/2" X 3/4", PARA ELETRODUTO</t>
  </si>
  <si>
    <t>BUCHA DE REDUCAO EM ALUMINIO, COM ROSCA, DE 1 1/4" X 1/2", PARA ELETRODUTO</t>
  </si>
  <si>
    <t>BUCHA DE REDUCAO EM ALUMINIO, COM ROSCA, DE 1 1/4" X 1", PARA ELETRODUTO</t>
  </si>
  <si>
    <t>BUCHA DE REDUCAO EM ALUMINIO, COM ROSCA, DE 1 1/4" X 3/4", PARA ELETRODUTO</t>
  </si>
  <si>
    <t>BUCHA DE REDUCAO EM ALUMINIO, COM ROSCA, DE 1" X 1/2", PARA ELETRODUTO</t>
  </si>
  <si>
    <t>BUCHA DE REDUCAO EM ALUMINIO, COM ROSCA, DE 1" X 3/4", PARA ELETRODUTO</t>
  </si>
  <si>
    <t>BUCHA DE REDUCAO EM ALUMINIO, COM ROSCA, DE 2 1/2" X 1 1/2", PARA ELETRODUTO</t>
  </si>
  <si>
    <t>BUCHA DE REDUCAO EM ALUMINIO, COM ROSCA, DE 2 1/2" X 1 1/4", PARA ELETRODUTO</t>
  </si>
  <si>
    <t>BUCHA DE REDUCAO EM ALUMINIO, COM ROSCA, DE 2 1/2" X 1", PARA ELETRODUTO</t>
  </si>
  <si>
    <t>BUCHA DE REDUCAO EM ALUMINIO, COM ROSCA, DE 2 1/2" X 2", PARA ELETRODUTO</t>
  </si>
  <si>
    <t>BUCHA DE REDUCAO EM ALUMINIO, COM ROSCA, DE 2" X 1 1/2", PARA ELETRODUTO</t>
  </si>
  <si>
    <t>BUCHA DE REDUCAO EM ALUMINIO, COM ROSCA, DE 2" X 1 1/4", PARA ELETRODUTO</t>
  </si>
  <si>
    <t>BUCHA DE REDUCAO EM ALUMINIO, COM ROSCA, DE 2" X 1", PARA ELETRODUTO</t>
  </si>
  <si>
    <t>BUCHA DE REDUCAO EM ALUMINIO, COM ROSCA, DE 2" X 3/4", PARA ELETRODUTO</t>
  </si>
  <si>
    <t>BUCHA DE REDUCAO EM ALUMINIO, COM ROSCA, DE 3/4" X 1/2",  PARA ELETRODUTO</t>
  </si>
  <si>
    <t>BUCHA DE REDUCAO EM ALUMINIO, COM ROSCA, DE 3" X 1 1/2", PARA ELETRODUTO</t>
  </si>
  <si>
    <t>BUCHA DE REDUCAO EM ALUMINIO, COM ROSCA, DE 3" X 1 1/4", PARA ELETRODUTO</t>
  </si>
  <si>
    <t>BUCHA DE REDUCAO EM ALUMINIO, COM ROSCA, DE 3" X 2 1/2", PARA ELETRODUTO</t>
  </si>
  <si>
    <t>BUCHA DE REDUCAO EM ALUMINIO, COM ROSCA, DE 3" X 2", PARA ELETRODUTO</t>
  </si>
  <si>
    <t>BUCHA DE REDUCAO EM ALUMINIO, COM ROSCA, DE 4" X 2 1/2", PARA ELETRODUTO</t>
  </si>
  <si>
    <t>BUCHA DE REDUCAO EM ALUMINIO, COM ROSCA, DE 4" X 2", PARA ELETRODUTO</t>
  </si>
  <si>
    <t>BUCHA DE REDUCAO EM ALUMINIO, COM ROSCA, DE 4" X 3", PARA ELETRODUTO</t>
  </si>
  <si>
    <t>BUCHA DE REDUCAO PVC ROSCAVEL 1 1/2" X 1"</t>
  </si>
  <si>
    <t>BUCHA DE REDUCAO PVC ROSCAVEL 3/4" X 1/2"</t>
  </si>
  <si>
    <t>BUCHA DE REDUCAO PVC ROSCAVEL, 1 1/2" X 3/4"</t>
  </si>
  <si>
    <t>BUCHA DE REDUCAO PVC ROSCAVEL, 1" X 1/2"</t>
  </si>
  <si>
    <t>BUCHA DE REDUCAO PVC ROSCAVEL, 1" X 3/4"</t>
  </si>
  <si>
    <t>BUCHA DE REDUCAO PVC, ROSCAVEL,  2"  X 1 1/2 "</t>
  </si>
  <si>
    <t>BUCHA DE REDUCAO PVC, ROSCAVEL, 1 1/2"  X1 1/4 "</t>
  </si>
  <si>
    <t>BUCHA DE REDUCAO PVC, ROSCAVEL, 1 1/4"  X 3/4 "</t>
  </si>
  <si>
    <t>BUCHA DE REDUCAO PVC, ROSCAVEL, 1 1/4" X 1 "</t>
  </si>
  <si>
    <t>BUCHA DE REDUCAO PVC, ROSCAVEL, 2"  X 1 "</t>
  </si>
  <si>
    <t>BUCHA DE REDUCAO PVC, ROSCAVEL, 2"  X 1 1/4 "</t>
  </si>
  <si>
    <t>BUCHA DE REDUCAO, CPVC, SOLDAVEL, 22 X 15 MM, PARA AGUA QUENTE</t>
  </si>
  <si>
    <t>BUCHA DE REDUCAO, CPVC, SOLDAVEL, 28 X 22 MM, PARA AGUA QUENTE</t>
  </si>
  <si>
    <t>BUCHA DE REDUCAO, CPVC, SOLDAVEL, 35 X 28 MM, PARA AGUA QUENTE</t>
  </si>
  <si>
    <t>BUCHA DE REDUCAO, CPVC, SOLDAVEL, 42 X 22 MM, PARA AGUA QUENTE</t>
  </si>
  <si>
    <t>BUCHA DE REDUCAO, PPR, DN 25 X 20 MM, PARA AGUA QUENTE PREDIAL</t>
  </si>
  <si>
    <t>BUCHA DE REDUCAO, PPR, DN 32 X 25 MM, PARA AGUA QUENTE E FRIA PREDIAL</t>
  </si>
  <si>
    <t>BUCHA DE REDUCAO, PPR, DN 40 X 25 MM, PARA AGUA QUENTE E FRIA PREDIAL</t>
  </si>
  <si>
    <t>BUCHA DE REDUCAO, PVC, LONGA, SERIE R, DN 50 X 40 MM, PARA ESGOTO PREDIAL</t>
  </si>
  <si>
    <t>BUCHA EM ALUMINIO, COM ROSCA, DE  1 1/2", PARA ELETRODUTO</t>
  </si>
  <si>
    <t>BUCHA EM ALUMINIO, COM ROSCA, DE 1 1/4", PARA ELETRODUTO</t>
  </si>
  <si>
    <t>BUCHA EM ALUMINIO, COM ROSCA, DE 1/2", PARA ELETRODUTO</t>
  </si>
  <si>
    <t>BUCHA EM ALUMINIO, COM ROSCA, DE 1", PARA ELETRODUTO</t>
  </si>
  <si>
    <t>BUCHA EM ALUMINIO, COM ROSCA, DE 2 1/2", PARA ELETRODUTO</t>
  </si>
  <si>
    <t>BUCHA EM ALUMINIO, COM ROSCA, DE 2", PARA ELETRODUTO</t>
  </si>
  <si>
    <t>BUCHA EM ALUMINIO, COM ROSCA, DE 3/4", PARA ELETRODUTO</t>
  </si>
  <si>
    <t>BUCHA EM ALUMINIO, COM ROSCA, DE 3/8", PARA ELETRODUTO</t>
  </si>
  <si>
    <t>BUCHA EM ALUMINIO, COM ROSCA, DE 3", PARA ELETRODUTO</t>
  </si>
  <si>
    <t>BUCHA EM ALUMINIO, COM ROSCA, DE 4", PARA ELETRODUTO</t>
  </si>
  <si>
    <t>CABECEIRA DIREITA OU ESQUERDA, PVC, PARA CALHA PLUVIAL, DIAMETRO ENTRE 119 E 170 MM, PARA DRENAGEM PREDIAL</t>
  </si>
  <si>
    <t>CABECOTE PARA ENTRADA DE LINHA DE ALIMENTACAO PARA ELETRODUTO, EM LIGA DE ALUMINIO COM ACABAMENTO ANTI CORROSIVO, COM FIXACAO POR ENCAIXE LISO DE 360 GRAUS, DE 1 1/2"</t>
  </si>
  <si>
    <t>CABECOTE PARA ENTRADA DE LINHA DE ALIMENTACAO PARA ELETRODUTO, EM LIGA DE ALUMINIO COM ACABAMENTO ANTI CORROSIVO, COM FIXACAO POR ENCAIXE LISO DE 360 GRAUS, DE 1 1/4"</t>
  </si>
  <si>
    <t>CABECOTE PARA ENTRADA DE LINHA DE ALIMENTACAO PARA ELETRODUTO, EM LIGA DE ALUMINIO COM ACABAMENTO ANTI CORROSIVO, COM FIXACAO POR ENCAIXE LISO DE 360 GRAUS, DE 1/2"</t>
  </si>
  <si>
    <t>CABECOTE PARA ENTRADA DE LINHA DE ALIMENTACAO PARA ELETRODUTO, EM LIGA DE ALUMINIO COM ACABAMENTO ANTI CORROSIVO, COM FIXACAO POR ENCAIXE LISO DE 360 GRAUS, DE 1"</t>
  </si>
  <si>
    <t>CABECOTE PARA ENTRADA DE LINHA DE ALIMENTACAO PARA ELETRODUTO, EM LIGA DE ALUMINIO COM ACABAMENTO ANTI CORROSIVO, COM FIXACAO POR ENCAIXE LISO DE 360 GRAUS, DE 2 1/2"</t>
  </si>
  <si>
    <t>CABECOTE PARA ENTRADA DE LINHA DE ALIMENTACAO PARA ELETRODUTO, EM LIGA DE ALUMINIO COM ACABAMENTO ANTI CORROSIVO, COM FIXACAO POR ENCAIXE LISO DE 360 GRAUS, DE 2"</t>
  </si>
  <si>
    <t>CABECOTE PARA ENTRADA DE LINHA DE ALIMENTACAO PARA ELETRODUTO, EM LIGA DE ALUMINIO COM ACABAMENTO ANTI CORROSIVO, COM FIXACAO POR ENCAIXE LISO DE 360 GRAUS, DE 3 1/2"</t>
  </si>
  <si>
    <t>CABECOTE PARA ENTRADA DE LINHA DE ALIMENTACAO PARA ELETRODUTO, EM LIGA DE ALUMINIO COM ACABAMENTO ANTI CORROSIVO, COM FIXACAO POR ENCAIXE LISO DE 360 GRAUS, DE 3/4"</t>
  </si>
  <si>
    <t>CABECOTE PARA ENTRADA DE LINHA DE ALIMENTACAO PARA ELETRODUTO, EM LIGA DE ALUMINIO COM ACABAMENTO ANTI CORROSIVO, COM FIXACAO POR ENCAIXE LISO DE 360 GRAUS, DE 3"</t>
  </si>
  <si>
    <t>CABECOTE PARA ENTRADA DE LINHA DE ALIMENTACAO PARA ELETRODUTO, EM LIGA DE ALUMINIO COM ACABAMENTO ANTI CORROSIVO, COM FIXACAO POR ENCAIXE LISO DE 360 GRAUS, DE 4"</t>
  </si>
  <si>
    <t>CABIDE/GANCHO DE BANHEIRO SIMPLES EM METAL CROMADO</t>
  </si>
  <si>
    <t>CABO DE ACO GALVANIZADO, DIAMETRO 12,7 MM (1/2"), COM ALMA DE ACO CABO INDEPENDENTE 6 X 25 F</t>
  </si>
  <si>
    <t>CABO DE ACO GALVANIZADO, DIAMETRO 12,7 MM (1/2"), COM ALMA DE FIBRA 6 X 25 F</t>
  </si>
  <si>
    <t>CABO DE ACO GALVANIZADO, DIAMETRO 9,53 MM (3/8"), COM ALMA DE FIBRA 6 X 25 F</t>
  </si>
  <si>
    <t>CABO DE ALUMINIO NU COM ALMA DE ACO, BITOLA 1/0 AWG</t>
  </si>
  <si>
    <t>CABO DE ALUMINIO NU COM ALMA DE ACO, BITOLA 2 AWG</t>
  </si>
  <si>
    <t>CABO DE ALUMINIO NU COM ALMA DE ACO, BITOLA 2/0 AWG</t>
  </si>
  <si>
    <t>CABO DE ALUMINIO NU COM ALMA DE ACO, BITOLA 4 AWG</t>
  </si>
  <si>
    <t>CABO DE ALUMINIO NU SEM ALMA DE ACO, BITOLA 1/0 AWG</t>
  </si>
  <si>
    <t>CABO DE ALUMINIO NU SEM ALMA DE ACO, BITOLA 2 AWG</t>
  </si>
  <si>
    <t>CABO DE ALUMINIO NU SEM ALMA DE ACO, BITOLA 2/0 AWG</t>
  </si>
  <si>
    <t>CABO DE ALUMINIO NU SEM ALMA DE ACO, BITOLA 4 AWG</t>
  </si>
  <si>
    <t>CABO DE COBRE NU 10 MM2 MEIO-DURO</t>
  </si>
  <si>
    <t>CABO DE COBRE NU 120 MM2 MEIO-DURO</t>
  </si>
  <si>
    <t>CABO DE COBRE NU 150 MM2 MEIO-DURO</t>
  </si>
  <si>
    <t>CABO DE COBRE NU 16 MM2 MEIO-DURO</t>
  </si>
  <si>
    <t>CABO DE COBRE NU 185 MM2 MEIO-DURO</t>
  </si>
  <si>
    <t>CABO DE COBRE NU 25 MM2 MEIO-DURO</t>
  </si>
  <si>
    <t>CABO DE COBRE NU 300 MM2 MEIO-DURO</t>
  </si>
  <si>
    <t>CABO DE COBRE NU 35 MM2 MEIO-DURO</t>
  </si>
  <si>
    <t>CABO DE COBRE NU 500 MM2 MEIO-DURO</t>
  </si>
  <si>
    <t>CABO DE COBRE NU 70 MM2 MEIO-DURO</t>
  </si>
  <si>
    <t>CABO DE COBRE NU 95 MM2 MEIO-DURO</t>
  </si>
  <si>
    <t>CABO DE COBRE RIGIDO, CLASSE 2, ISOLACAO EM PVC, ANTI-CHAMA BWF-B, 1 CONDUTOR, 450/750 V, DIAMETRO 120 MM2</t>
  </si>
  <si>
    <t>CABO DE COBRE UNIPOLAR 10 MM2, BLINDADO, ISOLACAO 3,6/6 KV EPR, COBERTURA EM PVC</t>
  </si>
  <si>
    <t>CABO DE COBRE UNIPOLAR 16 MM2, BLINDADO, ISOLACAO 3,6/6 KV EPR, COBERTURA EM PVC</t>
  </si>
  <si>
    <t>CABO DE COBRE UNIPOLAR 16 MM2, BLINDADO, ISOLACAO 6/10 KV EPR, COBERTURA EM PVC</t>
  </si>
  <si>
    <t>CABO DE COBRE UNIPOLAR 25 MM2, BLINDADO, ISOLACAO 3,6/6 KV EPR, COBERTURA EM PVC</t>
  </si>
  <si>
    <t>CABO DE COBRE UNIPOLAR 25MM2, BLINDADO, ISOLACAO 6/10 KV EPR, COBERTURA EM PVC</t>
  </si>
  <si>
    <t>CABO DE COBRE UNIPOLAR 35 MM2, BLINDADO, ISOLACAO 12/20 KV EPR, COBERTURA EM PVC</t>
  </si>
  <si>
    <t>CABO DE COBRE UNIPOLAR 35 MM2, BLINDADO, ISOLACAO 3,6/6 KV EPR, COBERTURA EM PVC</t>
  </si>
  <si>
    <t>CABO DE COBRE UNIPOLAR 35 MM2, BLINDADO, ISOLACAO 6/10 KV EPR, COBERTURA EM PVC</t>
  </si>
  <si>
    <t>CABO DE COBRE UNIPOLAR 50 MM2, BLINDADO, ISOLACAO 12/20 KV EPR, COBERTURA EM PVC</t>
  </si>
  <si>
    <t>CABO DE COBRE UNIPOLAR 50 MM2, BLINDADO, ISOLACAO 3,6/6 KV EPR, COBERTURA EM PVC</t>
  </si>
  <si>
    <t>CABO DE COBRE UNIPOLAR 50 MM2, BLINDADO, ISOLACAO 6/10 KV EPR, COBERTURA EM PVC</t>
  </si>
  <si>
    <t>CABO DE COBRE UNIPOLAR 70 MM2, BLINDADO, ISOLACAO 12/20 KV EPR, COBERTURA EM PVC</t>
  </si>
  <si>
    <t>CABO DE COBRE UNIPOLAR 70 MM2, BLINDADO, ISOLACAO 3,6/6 KV EPR, COBERTURA EM PVC</t>
  </si>
  <si>
    <t>CABO DE COBRE UNIPOLAR 70 MM2, BLINDADO, ISOLACAO 6/10 KV EPR, COBERTURA EM PVC</t>
  </si>
  <si>
    <t>CABO DE COBRE UNIPOLAR 95 MM2, BLINDADO, ISOLACAO 12/20 KV EPR, COBERTURA EM PVC</t>
  </si>
  <si>
    <t>CABO DE COBRE UNIPOLAR 95 MM2, BLINDADO, ISOLACAO 3,6/6 KV EPR, COBERTURA EM PVC</t>
  </si>
  <si>
    <t>CABO DE COBRE UNIPOLAR 95 MM2, BLINDADO, ISOLACAO 6/10 KV EPR, COBERTURA EM PVC</t>
  </si>
  <si>
    <t>CABO DE COBRE, FLEXIVEL, CLASSE 4 OU 5, ISOLACAO EM PVC/A, ANTICHAMA BWF-B, COBERTURA PVC-ST1, ANTICHAMA BWF-B, 1 CONDUTOR, 0,6/1 KV, SECAO NOMINAL 1,5 MM2</t>
  </si>
  <si>
    <t>CABO DE COBRE, FLEXIVEL, CLASSE 4 OU 5, ISOLACAO EM PVC/A, ANTICHAMA BWF-B, COBERTURA PVC-ST1, ANTICHAMA BWF-B, 1 CONDUTOR, 0,6/1 KV, SECAO NOMINAL 10 MM2</t>
  </si>
  <si>
    <t>CABO DE COBRE, FLEXIVEL, CLASSE 4 OU 5, ISOLACAO EM PVC/A, ANTICHAMA BWF-B, COBERTURA PVC-ST1, ANTICHAMA BWF-B, 1 CONDUTOR, 0,6/1 KV, SECAO NOMINAL 120 MM2</t>
  </si>
  <si>
    <t>CABO DE COBRE, FLEXIVEL, CLASSE 4 OU 5, ISOLACAO EM PVC/A, ANTICHAMA BWF-B, COBERTURA PVC-ST1, ANTICHAMA BWF-B, 1 CONDUTOR, 0,6/1 KV, SECAO NOMINAL 150 MM2</t>
  </si>
  <si>
    <t>CABO DE COBRE, FLEXIVEL, CLASSE 4 OU 5, ISOLACAO EM PVC/A, ANTICHAMA BWF-B, COBERTURA PVC-ST1, ANTICHAMA BWF-B, 1 CONDUTOR, 0,6/1 KV, SECAO NOMINAL 16 MM2</t>
  </si>
  <si>
    <t>CABO DE COBRE, FLEXIVEL, CLASSE 4 OU 5, ISOLACAO EM PVC/A, ANTICHAMA BWF-B, COBERTURA PVC-ST1, ANTICHAMA BWF-B, 1 CONDUTOR, 0,6/1 KV, SECAO NOMINAL 185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</si>
  <si>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</si>
  <si>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240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</si>
  <si>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</si>
  <si>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300 MM2</t>
  </si>
  <si>
    <t>CABO DE COBRE, FLEXIVEL, CLASSE 4 OU 5, ISOLACAO EM PVC/A, ANTICHAMA BWF-B, COBERTURA PVC-ST1, ANTICHAMA BWF-B, 1 CONDUTOR, 0,6/1 KV, SECAO NOMINAL 35 MM2</t>
  </si>
  <si>
    <t>CABO DE COBRE, FLEXIVEL, CLASSE 4 OU 5, ISOLACAO EM PVC/A, ANTICHAMA BWF-B, COBERTURA PVC-ST1, ANTICHAMA BWF-B, 1 CONDUTOR, 0,6/1 KV, SECAO NOMINAL 4 MM2</t>
  </si>
  <si>
    <t>CABO DE COBRE, FLEXIVEL, CLASSE 4 OU 5, ISOLACAO EM PVC/A, ANTICHAMA BWF-B, COBERTURA PVC-ST1, ANTICHAMA BWF-B, 1 CONDUTOR, 0,6/1 KV, SECAO NOMINAL 400 MM2</t>
  </si>
  <si>
    <t>CABO DE COBRE, FLEXIVEL, CLASSE 4 OU 5, ISOLACAO EM PVC/A, ANTICHAMA BWF-B, COBERTURA PVC-ST1, ANTICHAMA BWF-B, 1 CONDUTOR, 0,6/1 KV, SECAO NOMINAL 50 MM2</t>
  </si>
  <si>
    <t>CABO DE COBRE, FLEXIVEL, CLASSE 4 OU 5, ISOLACAO EM PVC/A, ANTICHAMA BWF-B, COBERTURA PVC-ST1, ANTICHAMA BWF-B, 1 CONDUTOR, 0,6/1 KV, SECAO NOMINAL 500 MM2</t>
  </si>
  <si>
    <t>CABO DE COBRE, FLEXIVEL, CLASSE 4 OU 5, ISOLACAO EM PVC/A, ANTICHAMA BWF-B, COBERTURA PVC-ST1, ANTICHAMA BWF-B, 1 CONDUTOR, 0,6/1 KV, SECAO NOMINAL 6 MM2</t>
  </si>
  <si>
    <t>CABO DE COBRE, FLEXIVEL, CLASSE 4 OU 5, ISOLACAO EM PVC/A, ANTICHAMA BWF-B, COBERTURA PVC-ST1, ANTICHAMA BWF-B, 1 CONDUTOR, 0,6/1 KV, SECAO NOMINAL 70 MM2</t>
  </si>
  <si>
    <t>CABO DE COBRE, FLEXIVEL, CLASSE 4 OU 5, ISOLACAO EM PVC/A, ANTICHAMA BWF-B, COBERTURA PVC-ST1, ANTICHAMA BWF-B, 1 CONDUTOR, 0,6/1 KV, SECAO NOMINAL 95 MM2</t>
  </si>
  <si>
    <t>CABO DE COBRE, FLEXIVEL, CLASSE 4 OU 5, ISOLACAO EM PVC/A, ANTICHAMA BWF-B, 1 CONDUTOR, 450/750 V, SECAO NOMINAL 0,5 MM2</t>
  </si>
  <si>
    <t>CABO DE COBRE, FLEXIVEL, CLASSE 4 OU 5, ISOLACAO EM PVC/A, ANTICHAMA BWF-B, 1 CONDUTOR, 450/750 V, SECAO NOMINAL 0,75 MM2</t>
  </si>
  <si>
    <t>CABO DE COBRE, FLEXIVEL, CLASSE 4 OU 5, ISOLACAO EM PVC/A, ANTICHAMA BWF-B, 1 CONDUTOR, 450/750 V, SECAO NOMINAL 1,0 MM2</t>
  </si>
  <si>
    <t>CABO DE COBRE, FLEXIVEL, CLASSE 4 OU 5, ISOLACAO EM PVC/A, ANTICHAMA BWF-B, 1 CONDUTOR, 450/750 V, SECAO NOMINAL 1,5 MM2</t>
  </si>
  <si>
    <t>CABO DE COBRE, FLEXIVEL, CLASSE 4 OU 5, ISOLACAO EM PVC/A, ANTICHAMA BWF-B, 1 CONDUTOR, 450/750 V, SECAO NOMINAL 10 MM2</t>
  </si>
  <si>
    <t>CABO DE COBRE, FLEXIVEL, CLASSE 4 OU 5, ISOLACAO EM PVC/A, ANTICHAMA BWF-B, 1 CONDUTOR, 450/750 V, SECAO NOMINAL 120 MM2</t>
  </si>
  <si>
    <t>CABO DE COBRE, FLEXIVEL, CLASSE 4 OU 5, ISOLACAO EM PVC/A, ANTICHAMA BWF-B, 1 CONDUTOR, 450/750 V, SECAO NOMINAL 150 MM2</t>
  </si>
  <si>
    <t>CABO DE COBRE, FLEXIVEL, CLASSE 4 OU 5, ISOLACAO EM PVC/A, ANTICHAMA BWF-B, 1 CONDUTOR, 450/750 V, SECAO NOMINAL 16 MM2</t>
  </si>
  <si>
    <t>CABO DE COBRE, FLEXIVEL, CLASSE 4 OU 5, ISOLACAO EM PVC/A, ANTICHAMA BWF-B, 1 CONDUTOR, 450/750 V, SECAO NOMINAL 185 MM2</t>
  </si>
  <si>
    <t>CABO DE COBRE, FLEXIVEL, CLASSE 4 OU 5, ISOLACAO EM PVC/A, ANTICHAMA BWF-B, 1 CONDUTOR, 450/750 V, SECAO NOMINAL 2,5 MM2</t>
  </si>
  <si>
    <t>CABO DE COBRE, FLEXIVEL, CLASSE 4 OU 5, ISOLACAO EM PVC/A, ANTICHAMA BWF-B, 1 CONDUTOR, 450/750 V, SECAO NOMINAL 240 MM2</t>
  </si>
  <si>
    <t>CABO DE COBRE, FLEXIVEL, CLASSE 4 OU 5, ISOLACAO EM PVC/A, ANTICHAMA BWF-B, 1 CONDUTOR, 450/750 V, SECAO NOMINAL 25 MM2</t>
  </si>
  <si>
    <t>CABO DE COBRE, FLEXIVEL, CLASSE 4 OU 5, ISOLACAO EM PVC/A, ANTICHAMA BWF-B, 1 CONDUTOR, 450/750 V, SECAO NOMINAL 35 MM2</t>
  </si>
  <si>
    <t>CABO DE COBRE, FLEXIVEL, CLASSE 4 OU 5, ISOLACAO EM PVC/A, ANTICHAMA BWF-B, 1 CONDUTOR, 450/750 V, SECAO NOMINAL 4 MM2</t>
  </si>
  <si>
    <t>CABO DE COBRE, FLEXIVEL, CLASSE 4 OU 5, ISOLACAO EM PVC/A, ANTICHAMA BWF-B, 1 CONDUTOR, 450/750 V, SECAO NOMINAL 50 MM2</t>
  </si>
  <si>
    <t>CABO DE COBRE, FLEXIVEL, CLASSE 4 OU 5, ISOLACAO EM PVC/A, ANTICHAMA BWF-B, 1 CONDUTOR, 450/750 V, SECAO NOMINAL 6 MM2</t>
  </si>
  <si>
    <t>CABO DE COBRE, FLEXIVEL, CLASSE 4 OU 5, ISOLACAO EM PVC/A, ANTICHAMA BWF-B, 1 CONDUTOR, 450/750 V, SECAO NOMINAL 70 MM2</t>
  </si>
  <si>
    <t>CABO DE COBRE, FLEXIVEL, CLASSE 4 OU 5, ISOLACAO EM PVC/A, ANTICHAMA BWF-B, 1 CONDUTOR, 450/750 V, SECAO NOMINAL 95 MM2</t>
  </si>
  <si>
    <t>CABO DE COBRE, RIGIDO, CLASSE 2, COMPACTADO, BLINDADO, ISOLACAO EM EPR OU XLPE, COBERTURA ANTICHAMA EM PVC, PEAD OU HFFR, 1 CONDUTOR, 20/35 KV, SECAO NOMINAL 120 MM2</t>
  </si>
  <si>
    <t>CABO DE COBRE, RIGIDO, CLASSE 2, COMPACTADO, BLINDADO, ISOLACAO EM EPR OU XLPE, COBERTURA ANTICHAMA EM PVC, PEAD OU HFFR, 1 CONDUTOR, 20/35 KV, SECAO NOMINAL 150 MM2</t>
  </si>
  <si>
    <t>CABO DE COBRE, RIGIDO, CLASSE 2, COMPACTADO, BLINDADO, ISOLACAO EM EPR OU XLPE, COBERTURA ANTICHAMA EM PVC, PEAD OU HFFR, 1 CONDUTOR, 20/35 KV, SECAO NOMINAL 185 MM2</t>
  </si>
  <si>
    <t>CABO DE COBRE, RIGIDO, CLASSE 2, COMPACTADO, BLINDADO, ISOLACAO EM EPR OU XLPE, COBERTURA ANTICHAMA EM PVC, PEAD OU HFFR, 1 CONDUTOR, 20/35 KV, SECAO NOMINAL 240 MM2</t>
  </si>
  <si>
    <t>CABO DE COBRE, RIGIDO, CLASSE 2, COMPACTADO, BLINDADO, ISOLACAO EM EPR OU XLPE, COBERTURA ANTICHAMA EM PVC, PEAD OU HFFR, 1 CONDUTOR, 20/35 KV, SECAO NOMINAL 300 MM2</t>
  </si>
  <si>
    <t>CABO DE COBRE, RIGIDO, CLASSE 2, COMPACTADO, BLINDADO, ISOLACAO EM EPR OU XLPE, COBERTURA ANTICHAMA EM PVC, PEAD OU HFFR, 1 CONDUTOR, 20/35 KV, SECAO NOMINAL 400 MM2</t>
  </si>
  <si>
    <t>CABO DE COBRE, RIGIDO, CLASSE 2, COMPACTADO, BLINDADO, ISOLACAO EM EPR OU XLPE, COBERTURA ANTICHAMA EM PVC, PEAD OU HFFR, 1 CONDUTOR, 20/35 KV, SECAO NOMINAL 50 MM2</t>
  </si>
  <si>
    <t>CABO DE COBRE, RIGIDO, CLASSE 2, COMPACTADO, BLINDADO, ISOLACAO EM EPR OU XLPE, COBERTURA ANTICHAMA EM PVC, PEAD OU HFFR, 1 CONDUTOR, 20/35 KV, SECAO NOMINAL 500 MM2</t>
  </si>
  <si>
    <t>CABO DE COBRE, RIGIDO, CLASSE 2, COMPACTADO, BLINDADO, ISOLACAO EM EPR OU XLPE, COBERTURA ANTICHAMA EM PVC, PEAD OU HFFR, 1 CONDUTOR, 20/35 KV, SECAO NOMINAL 70 MM2</t>
  </si>
  <si>
    <t>CABO DE COBRE, RIGIDO, CLASSE 2, COMPACTADO, BLINDADO, ISOLACAO EM EPR OU XLPE, COBERTURA ANTICHAMA EM PVC, PEAD OU HFFR, 1 CONDUTOR, 20/35 KV, SECAO NOMINAL 95 MM2</t>
  </si>
  <si>
    <t>CABO DE COBRE, RIGIDO, CLASSE 2, ISOLACAO EM PVC/A, ANTICHAMA BWF-B, 1 CONDUTOR, 450/750 V, SECAO NOMINAL 1,5 MM2</t>
  </si>
  <si>
    <t>CABO DE COBRE, RIGIDO, CLASSE 2, ISOLACAO EM PVC/A, ANTICHAMA BWF-B, 1 CONDUTOR, 450/750 V, SECAO NOMINAL 10 MM2</t>
  </si>
  <si>
    <t>CABO DE COBRE, RIGIDO, CLASSE 2, ISOLACAO EM PVC/A, ANTICHAMA BWF-B, 1 CONDUTOR, 450/750 V, SECAO NOMINAL 150 MM2</t>
  </si>
  <si>
    <t>CABO DE COBRE, RIGIDO, CLASSE 2, ISOLACAO EM PVC/A, ANTICHAMA BWF-B, 1 CONDUTOR, 450/750 V, SECAO NOMINAL 16 MM2</t>
  </si>
  <si>
    <t>CABO DE COBRE, RIGIDO, CLASSE 2, ISOLACAO EM PVC/A, ANTICHAMA BWF-B, 1 CONDUTOR, 450/750 V, SECAO NOMINAL 185 MM2</t>
  </si>
  <si>
    <t>CABO DE COBRE, RIGIDO, CLASSE 2, ISOLACAO EM PVC/A, ANTICHAMA BWF-B, 1 CONDUTOR, 450/750 V, SECAO NOMINAL 2,5 MM2</t>
  </si>
  <si>
    <t>CABO DE COBRE, RIGIDO, CLASSE 2, ISOLACAO EM PVC/A, ANTICHAMA BWF-B, 1 CONDUTOR, 450/750 V, SECAO NOMINAL 240 MM2</t>
  </si>
  <si>
    <t>CABO DE COBRE, RIGIDO, CLASSE 2, ISOLACAO EM PVC/A, ANTICHAMA BWF-B, 1 CONDUTOR, 450/750 V, SECAO NOMINAL 25 MM2</t>
  </si>
  <si>
    <t>CABO DE COBRE, RIGIDO, CLASSE 2, ISOLACAO EM PVC/A, ANTICHAMA BWF-B, 1 CONDUTOR, 450/750 V, SECAO NOMINAL 300 MM2</t>
  </si>
  <si>
    <t>CABO DE COBRE, RIGIDO, CLASSE 2, ISOLACAO EM PVC/A, ANTICHAMA BWF-B, 1 CONDUTOR, 450/750 V, SECAO NOMINAL 35 MM2</t>
  </si>
  <si>
    <t>CABO DE COBRE, RIGIDO, CLASSE 2, ISOLACAO EM PVC/A, ANTICHAMA BWF-B, 1 CONDUTOR, 450/750 V, SECAO NOMINAL 4 MM2</t>
  </si>
  <si>
    <t>CABO DE COBRE, RIGIDO, CLASSE 2, ISOLACAO EM PVC/A, ANTICHAMA BWF-B, 1 CONDUTOR, 450/750 V, SECAO NOMINAL 400 MM2</t>
  </si>
  <si>
    <t>CABO DE COBRE, RIGIDO, CLASSE 2, ISOLACAO EM PVC/A, ANTICHAMA BWF-B, 1 CONDUTOR, 450/750 V, SECAO NOMINAL 50 MM2</t>
  </si>
  <si>
    <t>CABO DE COBRE, RIGIDO, CLASSE 2, ISOLACAO EM PVC/A, ANTICHAMA BWF-B, 1 CONDUTOR, 450/750 V, SECAO NOMINAL 500 MM2</t>
  </si>
  <si>
    <t>CABO DE COBRE, RIGIDO, CLASSE 2, ISOLACAO EM PVC/A, ANTICHAMA BWF-B, 1 CONDUTOR, 450/750 V, SECAO NOMINAL 6 MM2</t>
  </si>
  <si>
    <t>CABO DE COBRE, RIGIDO, CLASSE 2, ISOLACAO EM PVC/A, ANTICHAMA BWF-B, 1 CONDUTOR, 450/750 V, SECAO NOMINAL 70 MM2</t>
  </si>
  <si>
    <t>CABO DE COBRE, RIGIDO, CLASSE 2, ISOLACAO EM PVC/A, ANTICHAMA BWF-B, 1 CONDUTOR, 450/750 V, SECAO NOMINAL 95 MM2</t>
  </si>
  <si>
    <t>CABO DE PAR TRANCADO UTP, 4 PARES, CATEGORIA 5E</t>
  </si>
  <si>
    <t>CABO DE PAR TRANCADO UTP, 4 PARES, CATEGORIA 6</t>
  </si>
  <si>
    <t>CABO FLEXIVEL PVC 750 V, 2 CONDUTORES DE 1,5 MM2</t>
  </si>
  <si>
    <t>CABO FLEXIVEL PVC 750 V, 2 CONDUTORES DE 10,0 MM2</t>
  </si>
  <si>
    <t>CABO FLEXIVEL PVC 750 V, 2 CONDUTORES DE 4,0 MM2</t>
  </si>
  <si>
    <t>CABO FLEXIVEL PVC 750 V, 2 CONDUTORES DE 6,0 MM2</t>
  </si>
  <si>
    <t>CABO FLEXIVEL PVC 750 V, 3 CONDUTORES DE 1,5 MM2</t>
  </si>
  <si>
    <t>CABO FLEXIVEL PVC 750 V, 3 CONDUTORES DE 10,0 MM2</t>
  </si>
  <si>
    <t>CABO FLEXIVEL PVC 750 V, 3 CONDUTORES DE 4,0 MM2</t>
  </si>
  <si>
    <t>CABO FLEXIVEL PVC 750 V, 3 CONDUTORES DE 6,0 MM2</t>
  </si>
  <si>
    <t>CABO FLEXIVEL PVC 750 V, 4 CONDUTORES DE 1,5 MM2</t>
  </si>
  <si>
    <t>CABO FLEXIVEL PVC 750 V, 4 CONDUTORES DE 10,0 MM2</t>
  </si>
  <si>
    <t>CABO FLEXIVEL PVC 750 V, 4 CONDUTORES DE 4,0 MM2</t>
  </si>
  <si>
    <t>CABO FLEXIVEL PVC 750 V, 4 CONDUTORES DE 6,0 MM2</t>
  </si>
  <si>
    <t>CABO MULTIPOLAR DE COBRE, FLEXIVEL, CLASSE 4 OU 5, ISOLACAO EM HEPR, COBERTURA EM PVC-ST2, ANTICHAMA BWF-B, 0,6/1 KV, 3 CONDUTORES DE 1,5 MM2</t>
  </si>
  <si>
    <t>CABO MULTIPOLAR DE COBRE, FLEXIVEL, CLASSE 4 OU 5, ISOLACAO EM HEPR, COBERTURA EM PVC-ST2, ANTICHAMA BWF-B, 0,6/1 KV, 3 CONDUTORES DE 10 MM2</t>
  </si>
  <si>
    <t>CABO MULTIPOLAR DE COBRE, FLEXIVEL, CLASSE 4 OU 5, ISOLACAO EM HEPR, COBERTURA EM PVC-ST2, ANTICHAMA BWF-B, 0,6/1 KV, 3 CONDUTORES DE 120 MM2</t>
  </si>
  <si>
    <t>CABO MULTIPOLAR DE COBRE, FLEXIVEL, CLASSE 4 OU 5, ISOLACAO EM HEPR, COBERTURA EM PVC-ST2, ANTICHAMA BWF-B, 0,6/1 KV, 3 CONDUTORES DE 16 MM2</t>
  </si>
  <si>
    <t>CABO MULTIPOLAR DE COBRE, FLEXIVEL, CLASSE 4 OU 5, ISOLACAO EM HEPR, COBERTURA EM PVC-ST2, ANTICHAMA BWF-B, 0,6/1 KV, 3 CONDUTORES DE 2,5 MM2</t>
  </si>
  <si>
    <t>CABO MULTIPOLAR DE COBRE, FLEXIVEL, CLASSE 4 OU 5, ISOLACAO EM HEPR, COBERTURA EM PVC-ST2, ANTICHAMA BWF-B, 0,6/1 KV, 3 CONDUTORES DE 25 MM2</t>
  </si>
  <si>
    <t>CABO MULTIPOLAR DE COBRE, FLEXIVEL, CLASSE 4 OU 5, ISOLACAO EM HEPR, COBERTURA EM PVC-ST2, ANTICHAMA BWF-B, 0,6/1 KV, 3 CONDUTORES DE 35 MM2</t>
  </si>
  <si>
    <t>CABO MULTIPOLAR DE COBRE, FLEXIVEL, CLASSE 4 OU 5, ISOLACAO EM HEPR, COBERTURA EM PVC-ST2, ANTICHAMA BWF-B, 0,6/1 KV, 3 CONDUTORES DE 4 MM2</t>
  </si>
  <si>
    <t>CABO MULTIPOLAR DE COBRE, FLEXIVEL, CLASSE 4 OU 5, ISOLACAO EM HEPR, COBERTURA EM PVC-ST2, ANTICHAMA BWF-B, 0,6/1 KV, 3 CONDUTORES DE 50 MM2</t>
  </si>
  <si>
    <t>CABO MULTIPOLAR DE COBRE, FLEXIVEL, CLASSE 4 OU 5, ISOLACAO EM HEPR, COBERTURA EM PVC-ST2, ANTICHAMA BWF-B, 0,6/1 KV, 3 CONDUTORES DE 6 MM2</t>
  </si>
  <si>
    <t>CABO MULTIPOLAR DE COBRE, FLEXIVEL, CLASSE 4 OU 5, ISOLACAO EM HEPR, COBERTURA EM PVC-ST2, ANTICHAMA BWF-B, 0,6/1 KV, 3 CONDUTORES DE 70 MM2</t>
  </si>
  <si>
    <t>CABO MULTIPOLAR DE COBRE, FLEXIVEL, CLASSE 4 OU 5, ISOLACAO EM HEPR, COBERTURA EM PVC-ST2, ANTICHAMA BWF-B, 0,6/1 KV, 3 CONDUTORES DE 95 MM2</t>
  </si>
  <si>
    <t>CABO TELEFONICO CCI 50, 1 PAR, USO INTERNO, SEM BLINDAGEM</t>
  </si>
  <si>
    <t>CABO TELEFONICO CCI 50, 2 PARES, USO INTERNO, SEM BLINDAGEM</t>
  </si>
  <si>
    <t>CABO TELEFONICO CCI 50, 3 PARES, USO INTERNO, SEM BLINDAGEM</t>
  </si>
  <si>
    <t>CABO TELEFONICO CCI 50, 4 PARES, USO INTERNO, SEM BLINDAGEM</t>
  </si>
  <si>
    <t>CABO TELEFONICO CCI 50, 5 PARES, USO INTERNO, SEM BLINDAGEM</t>
  </si>
  <si>
    <t>CABO TELEFONICO CCI 50, 6 PARES, USO INTERNO, SEM BLINDAGEM</t>
  </si>
  <si>
    <t>CABO TELEFONICO CI 50, 10 PARES, USO INTERNO</t>
  </si>
  <si>
    <t>CABO TELEFONICO CI 50, 20 PARES, USO INTERNO</t>
  </si>
  <si>
    <t>CABO TELEFONICO CI 50, 200 PARES, USO INTERNO</t>
  </si>
  <si>
    <t>CABO TELEFONICO CI 50, 30 PARES, USO INTERNO</t>
  </si>
  <si>
    <t>CABO TELEFONICO CI 50, 50 PARES, USO INTERNO</t>
  </si>
  <si>
    <t>CABO TELEFONICO CI 50, 75 PARES, USO INTERNO</t>
  </si>
  <si>
    <t>CABO TELEFONICO CTP - APL - 50, 10 PARES, USO EXTERNO</t>
  </si>
  <si>
    <t>CABO TELEFONICO CTP - APL - 50, 100 PARES, USO EXTERNO</t>
  </si>
  <si>
    <t>CABO TELEFONICO CTP - APL - 50, 20 PARES, USO EXTERNO</t>
  </si>
  <si>
    <t>CABO TELEFONICO CTP - APL - 50, 30 PARES, USO EXTERNO</t>
  </si>
  <si>
    <t>CACAMBA METALICA BASCULANTE COM CAPACIDADE DE 10 M3 (INCLUI MONTAGEM, NAO INCLUI CAMINHAO)</t>
  </si>
  <si>
    <t>CACAMBA METALICA BASCULANTE COM CAPACIDADE DE 12 M3 (INCLUI MONTAGEM, NAO INCLUI CAMINHAO)</t>
  </si>
  <si>
    <t>CACAMBA METALICA BASCULANTE COM CAPACIDADE DE 6 M3 (INCLUI MONTAGEM, NAO INCLUI CAMINHAO)</t>
  </si>
  <si>
    <t>CACAMBA METALICA BASCULANTE COM CAPACIDADE DE 8 M3 (INCLUI MONTAGEM, NAO INCLUI CAMINHAO)</t>
  </si>
  <si>
    <t>CADEADO SIMPLES/COMUM, EM LATAO MACICO CROMADO, LARGURA DE 25 MM,  HASTE DE ACO TEMPERADO, CEMENTADO (NAO LONGA), INCLUI 2 CHAVES</t>
  </si>
  <si>
    <t>CADEADO SIMPLES, EM LATAO MACICO CROMADO, LARGURA DE 35 MM,  HASTE DE ACO TEMPERADO, CEMENTADO (NAO LONGA), INCLUI 2 CHAVES</t>
  </si>
  <si>
    <t>CADEIRA SUSPENSA MANUAL / BALANCIM INDIVIDUAL (NBR 14751)</t>
  </si>
  <si>
    <t>CAIBRO DE MADEIRA APARELHADA *6 X 8* CM, MACARANDUBA, ANGELIM OU EQUIVALENTE DA REGIAO</t>
  </si>
  <si>
    <t>CAIBRO DE MADEIRA NAO APARELHADA *5 X 6* CM, MACARANDUBA, ANGELIM OU EQUIVALENTE DA REGIAO</t>
  </si>
  <si>
    <t>CAIBRO DE MADEIRA NAO APARELHADA *6 X 8* CM, MACARANDUBA, ANGELIM OU EQUIVALENTE DA REGIAO</t>
  </si>
  <si>
    <t>CAIBRO DE MADEIRA NAO APARELHADA *7,5 X 10 CM (3 X 4 ") PINUS, MISTA OU EQUIVALENTE DA REGIAO</t>
  </si>
  <si>
    <t>CAIBRO DE MADEIRA NAO APARELHADA 5 X 5 CM (2 X 2 ") PINUS, MISTA OU EQUIVALENTE DA REGIAO</t>
  </si>
  <si>
    <t>CAIBRO DE MADEIRA NAO APARELHADA 5 X 5 CM, CEDRINHO OU EQUIVALENTE DA REGIAO</t>
  </si>
  <si>
    <t>CAIXA D'AGUA DE FIBRA DE VIDRO, PARA 500 LITROS, COM TAMPA</t>
  </si>
  <si>
    <t>CAIXA D'AGUA EM POLIETILENO 1000 LITROS, COM TAMPA</t>
  </si>
  <si>
    <t>CAIXA D'AGUA EM POLIETILENO 1500 LITROS, COM TAMPA</t>
  </si>
  <si>
    <t>CAIXA D'AGUA EM POLIETILENO 2000 LITROS, COM TAMPA</t>
  </si>
  <si>
    <t>CAIXA D'AGUA EM POLIETILENO 500 LITROS, COM TAMPA</t>
  </si>
  <si>
    <t>CAIXA D'AGUA EM POLIETILENO 750 LITROS, COM TAMPA</t>
  </si>
  <si>
    <t>CAIXA D'AGUA FIBRA DE VIDRO PARA 1000 LITROS, COM TAMPA</t>
  </si>
  <si>
    <t>CAIXA D'AGUA FIBRA DE VIDRO PARA 10000 LITROS, COM TAMPA</t>
  </si>
  <si>
    <t>CAIXA D'AGUA FIBRA DE VIDRO PARA 1500 LITROS, COM TAMPA</t>
  </si>
  <si>
    <t>CAIXA D'AGUA FIBRA DE VIDRO PARA 2000 LITROS, COM TAMPA</t>
  </si>
  <si>
    <t>CAIXA D'AGUA FIBRA DE VIDRO PARA 5000 LITROS, COM TAMPA</t>
  </si>
  <si>
    <t>CAIXA DE DERIVACAO PARA MEDIDOR DE ENERGIA, COM BARRAMENTO MONOFASICO, EM POLICARBONATO / TERMOPLASTICO - MODULO (PADRAO CONCESSIONARIA LOCAL)</t>
  </si>
  <si>
    <t>CAIXA DE DERIVACAO PARA MEDIDOR DE ENERGIA, COM BARRAMENTO POLIFASICO, EM POLICARBONATO / TERMOPLASTICO - MODULO (PADRAO CONCESSIONARIA LOCAL)</t>
  </si>
  <si>
    <t>CAIXA DE DESCARGA DE PLASTICO EXTERNA, DE *9* L, PUXADOR FIO DE NYLON, NAO INCLUSO CANO, BOLSA, ENGATE</t>
  </si>
  <si>
    <t>CAIXA DE DESCARGA PLASTICA DE EMBUTIR COMPLETA, COM ESPELHO PLASTICO, CAPACIDADE 6 A 10 L, ACESSORIOS INCLUSOS</t>
  </si>
  <si>
    <t>CAIXA DE GORDURA EM PVC, DIAMETRO MINIMO 300 MM, DIAMETRO DE SAIDA 100 MM, CAPACIDADE  APROXIMADA 18 LITROS, COM TAMPA</t>
  </si>
  <si>
    <t>CAIXA DE INCENDIO/ABRIGO PARA MANGUEIRA, DE EMBUTIR/INTERNA, COM 75 X 45 X 17 CM, EM CHAPA DE ACO, PORTA COM VENTILACAO, VISOR COM A INSCRICAO "INCENDIO", SUPORTE/CESTA INTERNA PARA A MANGUEIRA, PINTURA ELETROSTATICA VERMELHA</t>
  </si>
  <si>
    <t>CAIXA DE INCENDIO/ABRIGO PARA MANGUEIRA, DE EMBUTIR/INTERNA, COM 90 X 60 X 17 CM, EM CHAPA DE ACO, PORTA COM VENTILACAO, VISOR COM A INSCRICAO "INCENDIO", SUPORTE/CESTA INTERNA PARA A MANGUEIRA, PINTURA ELETROSTATICA VERMELHA</t>
  </si>
  <si>
    <t>CAIXA DE INCENDIO/ABRIGO PARA MANGUEIRA, DE SOBREPOR/EXTERNA, COM 75 X 45 X 17 CM, EM CHAPA DE ACO, PORTA COM VENTILACAO, VISOR COM A INSCRICAO "INCENDIO", SUPORTE/CESTA INTERNA PARA A MANGUEIRA, PINTURA ELETROSTATICA VERMELHA</t>
  </si>
  <si>
    <t>CAIXA DE INCENDIO/ABRIGO PARA MANGUEIRA, DE SOBREPOR/EXTERNA, COM 90 X 60 X 17 CM, EM CHAPA DE ACO, PORTA COM VENTILACAO, VISOR COM A INSCRICAO "INCENDIO", SUPORTE/CESTA INTERNA PARA A MANGUEIRA, PINTURA ELETROSTATICA VERMELHA</t>
  </si>
  <si>
    <t>CAIXA DE LUZ "3 X 3" EM ACO ESMALTADA</t>
  </si>
  <si>
    <t>CAIXA DE LUZ "4 X 2" EM ACO ESMALTADA</t>
  </si>
  <si>
    <t>CAIXA DE LUZ "4 X 4" EM ACO ESMALTADA</t>
  </si>
  <si>
    <t>CAIXA DE PASSAGEM / DERIVACAO / LUZ, OCTOGONAL 4 X4, EM ACO ESMALTADA, COM FUNDO MOVEL SIMPLES (FMS)</t>
  </si>
  <si>
    <t>CAIXA DE PASSAGEM ELETRICA DE PAREDE, DE EMBUTIR, EM PVC, COM TAMPA APARAFUSADA, DIMENSOES 120 X 120 X *75* MM</t>
  </si>
  <si>
    <t>CAIXA DE PASSAGEM ELETRICA DE PAREDE, DE EMBUTIR, EM PVC, COM TAMPA APARAFUSADA, DIMENSOES 150 X 150 X *75* MM</t>
  </si>
  <si>
    <t>CAIXA DE PASSAGEM ELETRICA DE PAREDE, DE EMBUTIR, EM PVC, COM TAMPA APARAFUSADA, DIMENSOES 200 X 200 X *90* MM</t>
  </si>
  <si>
    <t>CAIXA DE PASSAGEM ELETRICA DE PAREDE, DE EMBUTIR, EM TERMOPLASTICO / PVC, COM TAMPA APARAFUSADA, DIMENSOES 400 X 400 X *120* MM</t>
  </si>
  <si>
    <t>CAIXA DE PASSAGEM ELETRICA DE PAREDE, DE SOBREPOR, EM PVC, COM TAMPA APARAFUSADA, DIMENSOES 300 X 300 X *100* MM</t>
  </si>
  <si>
    <t>CAIXA DE PASSAGEM ELETRICA DE PAREDE, DE SOBREPOR, EM PVC, COM TAMPA APARAFUSADA, DIMENSOES, 400 X 400 X *120* MM</t>
  </si>
  <si>
    <t>CAIXA DE PASSAGEM ELETRICA DE PAREDE, DE SOBREPOR, EM TERMOPLASTICO / PVC, COM TAMPA APARAFUSA, DIMENSOES 200 X 200 X *100* MM</t>
  </si>
  <si>
    <t>CAIXA DE PASSAGEM ELETRICA DE PAREDE, DE SOBREPOR, EM TERMOPLASTICO / PVC, COM TAMPA APARAFUSADA, DIMENSOES, 150 X 150 X *100* MM</t>
  </si>
  <si>
    <t>CAIXA DE PASSAGEM ELETRICA, PARA PISO, EM PVC, DIMENSOES DE 3/4" A 4"</t>
  </si>
  <si>
    <t>CAIXA DE PASSAGEM METALICA DE SOBREPOR COM TAMPA PARAFUSADA, DIMENSOES 20 X 20 X 10 CM</t>
  </si>
  <si>
    <t>CAIXA DE PASSAGEM METALICA DE SOBREPOR COM TAMPA PARAFUSADA, DIMENSOES 30 X 30 X 10 CM</t>
  </si>
  <si>
    <t>CAIXA DE PASSAGEM METALICA DE SOBREPOR COM TAMPA PARAFUSADA, DIMENSOES 40 X 40 X 15 CM</t>
  </si>
  <si>
    <t>CAIXA DE PASSAGEM METALICA DE SOBREPOR COM TAMPA PARAFUSADA, DIMENSOES 50 X 50 X 15 CM</t>
  </si>
  <si>
    <t>CAIXA DE PASSAGEM METALICA DE SOBREPOR COM TAMPA PARAFUSADA, DIMENSOES 60 X 60 X 20 CM</t>
  </si>
  <si>
    <t>CAIXA DE PASSAGEM METALICA DE SOBREPOR COM TAMPA PARAFUSADA, DIMENSOES 70 X 70 X 20 CM</t>
  </si>
  <si>
    <t>CAIXA DE PASSAGEM METALICA DE SOBREPOR COM TAMPA PARAFUSADA, DIMENSOES 80 X 80 X 20 CM</t>
  </si>
  <si>
    <t>CAIXA DE PASSAGEM METALICA, DE SOBREPOR, COM TAMPA APARAFUSADA, DIMENSOES 15 X 15 X *10* CM</t>
  </si>
  <si>
    <t>CAIXA DE PASSAGEM METALICA, DE SOBREPOR, COM TAMPA APARAFUSADA, DIMENSOES 35 X 35 X *12* CM</t>
  </si>
  <si>
    <t>CAIXA DE PASSAGEM/ LUZ / TELEFONIA, DE EMBUTIR,  EM CHAPA DE ACO GALVANIZADO, DIMENSOES 150 X 150 X 15 CM (PADRAO CONCESSIONARIA LOCAL)</t>
  </si>
  <si>
    <t>CAIXA DE PASSAGEM/ LUZ / TELEFONIA, DE EMBUTIR,  EM CHAPA DE ACO GALVANIZADO, DIMENSOES 20 X 20 X *12* CM (PADRAO CONCESSIONARIA LOCAL)</t>
  </si>
  <si>
    <t>CAIXA DE PASSAGEM/ LUZ / TELEFONIA, DE EMBUTIR,  EM CHAPA DE ACO GALVANIZADO, DIMENSOES 200 X 200 X 20 CM (PADRAO CONCESSIONARIA LOCAL)</t>
  </si>
  <si>
    <t>CAIXA DE PASSAGEM/ LUZ / TELEFONIA, DE EMBUTIR,  EM CHAPA DE ACO GALVANIZADO, DIMENSOES 40 X 40 X *12* CM (PADRAO CONCESSIONARIA LOCAL)</t>
  </si>
  <si>
    <t>CAIXA DE PASSAGEM/ LUZ / TELEFONIA, DE EMBUTIR,  EM CHAPA DE ACO GALVANIZADO, DIMENSOES 60 X 60 X *12* CM (PADRAO CONCESSIONARIA LOCAL)</t>
  </si>
  <si>
    <t>CAIXA DE PASSAGEM/ LUZ / TELEFONIA, DE EMBUTIR,  EM CHAPA DE ACO GALVANIZADO, DIMENSOES 80 X 80 X *12* CM (PADRAO CONCESSIONARIA LOCAL)</t>
  </si>
  <si>
    <t>CAIXA DE PASSAGEM/ LUZ / TELEFONIA, DE EMBUTIR, EM CHAPA DE ACO GALVANIZADO, DIMENSOES 120 X 120 X *12* CM (PADRAO CONCESSIONARIA LOCAL)</t>
  </si>
  <si>
    <t>CAIXA DE PASSAGEM/ LUZ / TELEFONIA, DE SOBREPOR,  EM CHAPA DE ACO GALVANIZADO, DIMENSOES 80 X 80 X *12* CM (PADRAO CONCESSIONARIA LOCAL)</t>
  </si>
  <si>
    <t>CAIXA DE PASSAGEM, EM PVC, DE 4" X 2", PARA ELETRODUTO FLEXIVEL CORRUGADO</t>
  </si>
  <si>
    <t>CAIXA DE PASSAGEM, EM PVC, DE 4" X 4", PARA ELETRODUTO FLEXIVEL CORRUGADO</t>
  </si>
  <si>
    <t>CAIXA DE PROTECAO EXTERNA PARA MEDIDOR HOROSAZONAL, DE BAIXA TENSAO, COM MODULO, EM CHAPA DE ACO (PADRAO DA CONCESSIONARIA LOCAL)</t>
  </si>
  <si>
    <t>CAIXA DE PROTECAO PARA TRANSFORMADOR CORRENTE, EM CHAPA DE ACO 18 USG (PADRAO DA CONCESSIONARIA LOCAL)</t>
  </si>
  <si>
    <t>CAIXA GORDURA DUPLA, CONCRETO PRE MOLDADO, CIRCULAR, COM TAMPA, D = 60* CM</t>
  </si>
  <si>
    <t>CAIXA GORDURA, SIMPLES, CONCRETO PRE MOLDADO, CIRCULAR, COM TAMPA, D = 40 CM</t>
  </si>
  <si>
    <t>CAIXA INSPECAO EM CONCRETO PARA ATERRAMENTO E PARA RAIOS DIAMETRO = 300 MM</t>
  </si>
  <si>
    <t>CAIXA INSPECAO EM POLIETILENO PARA ATERRAMENTO E PARA RAIOS DIAMETRO = 300 MM</t>
  </si>
  <si>
    <t>CAIXA INSPECAO, CONCRETO PRE MOLDADO, CIRCULAR, COM TAMPA, D = 40* CM</t>
  </si>
  <si>
    <t>CAIXA INSPECAO, CONCRETO PRE MOLDADO, CIRCULAR, COM TAMPA, D = 60* CM, H= 60* CM</t>
  </si>
  <si>
    <t>CAIXA INTERNA/EXTERNA DE MEDICAO PARA 1 MEDIDOR TRIFASICO, COM VISOR, EM CHAPA DE ACO 18 USG (PADRAO DA CONCESSIONARIA LOCAL)</t>
  </si>
  <si>
    <t>CAIXA INTERNA/EXTERNA DE MEDICAO PARA 4 MEDIDORES MONOFASICOS, COM VISOR, EM CHAPA DE ACO 18 USG (PADRAO DA CONCESSIONARIA LOCAL)</t>
  </si>
  <si>
    <t>CAIXA MODULAR PARA MEDIDOR DE ENERGIA AGRUPADA, EM POLICARBONATO /  TERMOPLASTICO, COM SUPORTE PARA DISJUNTOR (PADRAO DA CONCESSIONARIA LOCAL)</t>
  </si>
  <si>
    <t>CAIXA OCTOGONAL DE FUNDO MOVEL, EM PVC, DE 3" X 3", PARA ELETRODUTO FLEXIVEL CORRUGADO</t>
  </si>
  <si>
    <t>CAIXA OCTOGONAL DE FUNDO MOVEL, EM PVC, DE 4" X 4", PARA ELETRODUTO FLEXIVEL CORRUGADO</t>
  </si>
  <si>
    <t>CAIXA PARA HIDROMETRO CONCRETO PRE MOLDADO</t>
  </si>
  <si>
    <t>CAIXA PARA MEDICAO COLETIVA TIPO L, PADRAO BIFASICO OU TRIFASICO, PARA ATE 4 MEDIDORES, SEM BARRAMENTO E COM PORTAS INFERIOR E SUPERIOR</t>
  </si>
  <si>
    <t>CAIXA PARA MEDICAO COLETIVA TIPO M, PADRAO BIFASICO OU TRIFASICO, PARA ATE 8 MEDIDORES, SEM BARRAMENTO E COM PORTAS INFERIOR E SUPERIOR</t>
  </si>
  <si>
    <t>CAIXA PARA MEDICAO COLETIVA TIPO N, PADRAO BIFASICO OU TRIFASICO, PARA ATE 12 MEDIDORES, SEM BARRAMENTO E COM PORTAS INFERIOR E SUPERIOR</t>
  </si>
  <si>
    <t>CAIXA PARA MEDIDOR MONOFASICO, EM POLICARBONATO /TERMOPLASTICO, COM DISJUNTOR (PADRAO DA CONCESSIONARIA LOCAL)</t>
  </si>
  <si>
    <t>CAIXA PARA MEDIDOR POLIFASICO, EM POLICARBONATO (TERMOPLASTICO), COM 1 DISJUNTOR</t>
  </si>
  <si>
    <t>CAIXA SIFONADA PVC 150 X 150 X 50MM COM TAMPA CEGA QUADRADA BRANCA</t>
  </si>
  <si>
    <t>CAIXA SIFONADA PVC, 100 X 100 X 40 MM, COM GRELHA REDONDA BRANCA</t>
  </si>
  <si>
    <t>CAIXA SIFONADA PVC, 100 X 100 X 50 MM, COM GRELHA REDONDA BRANCA</t>
  </si>
  <si>
    <t>CAIXA SIFONADA PVC, 150 X 150 X 50 MM, COM GRELHA QUADRADA BRANCA (NBR 5688)</t>
  </si>
  <si>
    <t>CAIXA SIFONADA PVC, 150 X 150 X 50 MM, COM GRELHA REDONDA BRANCA</t>
  </si>
  <si>
    <t>CAIXA SIFONADA PVC, 150 X 185 X 75 MM, COM GRELHA QUADRADA BRANCA</t>
  </si>
  <si>
    <t>CAIXA SIFONADA PVC, 150 X 185 X 75 MM, COM TAMPA CEGA QUADRADA BRANCA</t>
  </si>
  <si>
    <t>CAIXA SIFONADA PVC, 250 X 230 X 75 MM, COM TAMPA E PORTA TAMPA QUADRADA BRANCA</t>
  </si>
  <si>
    <t>CAL HIDRATADA CH-I PARA ARGAMASSAS</t>
  </si>
  <si>
    <t>CAL HIDRATADA PARA PINTURA</t>
  </si>
  <si>
    <t>CAL VIRGEM COMUM PARA ARGAMASSAS (NBR 6453)</t>
  </si>
  <si>
    <t>CALAFETADOR / CALAFATE</t>
  </si>
  <si>
    <t>CALAFETADOR / CALAFATE (MENSALISTA)</t>
  </si>
  <si>
    <t>CALCARIO DOLOMITICO A (POSTO PEDREIRA/FORNECEDOR, SEM FRETE)</t>
  </si>
  <si>
    <t>CALCETEIRO</t>
  </si>
  <si>
    <t>CALCETEIRO  (MENSALISTA)</t>
  </si>
  <si>
    <t>CALHA MOLDURA AMERICANA DE CHAPA DE ACO GALVANIZADA NUM 26, CORTE 33 CM</t>
  </si>
  <si>
    <t>CALHA PARA AGUA FURTADA DE CHAPA DE ACO GALVANIZADA NUM 26, CORTE 40 CM</t>
  </si>
  <si>
    <t>CALHA PARA AGUA FURTADA DE CHAPA DE ACO GALVANIZADA NUM 26, CORTE 50 CM</t>
  </si>
  <si>
    <t>CALHA PLATIBANDA DE CHAPA DE ACO GALVANIZADA NUM 26, CORTE 45 CM</t>
  </si>
  <si>
    <t>CALHA PLUVIAL DE PVC, DIAMETRO ENTRE 119 E 170 MM, COMPRIMENTO DE 3 M, PARA DRENAGEM PREDIAL</t>
  </si>
  <si>
    <t>CALHA QUADRADA DE CHAPA DE ACO GALVANIZADA NUM 24, CORTE 100 CM</t>
  </si>
  <si>
    <t>CALHA QUADRADA DE CHAPA DE ACO GALVANIZADA NUM 24, CORTE 33 CM</t>
  </si>
  <si>
    <t>CALHA QUADRADA DE CHAPA DE ACO GALVANIZADA NUM 24, CORTE 50 CM</t>
  </si>
  <si>
    <t>CALHA QUADRADA DE CHAPA DE ACO GALVANIZADA NUM 26, CORTE 33 CM</t>
  </si>
  <si>
    <t>CALHA QUADRADA DE CHAPA DE ACO GALVANIZADA NUM 28, CORTE 25 CM</t>
  </si>
  <si>
    <t>CALHA/CANALETA DE CONCRETO SIMPLES, TIPO MEIA CANA, D = 20 CM, PARA AGUA PLUVIAL</t>
  </si>
  <si>
    <t>CALHA/CANALETA DE CONCRETO SIMPLES, TIPO MEIA CANA, D = 30 CM, PARA AGUA PLUVIAL</t>
  </si>
  <si>
    <t>CALHA/CANALETA DE CONCRETO SIMPLES, TIPO MEIA CANA, D = 50 CM, PARA AGUA PLUVIAL</t>
  </si>
  <si>
    <t>CALHA/CANALETA DE CONCRETO SIMPLES, TIPO MEIA CANA, D = 60 CM, PARA AGUA PLUVIAL</t>
  </si>
  <si>
    <t>CALHA/CANALETA DE CONCRETO SIMPLES, TIPO MEIA CANA, D = 80 CM, PARA AGUA PLUVIAL</t>
  </si>
  <si>
    <t>CALHA/CANALETA DE CONCRETO SIMPLES, TIPO MEIA CANA, D= 40 CM, PARA AGUA PLUVIAL</t>
  </si>
  <si>
    <t>CAMADA SEPARADORA DE FILME DE POLIETILENO 20 A 25 MICRA</t>
  </si>
  <si>
    <t>CAMINHAO TOCO, PESO BRUTO TOTAL 13000 KG, CARGA UTIL MAXIMA 7925 KG, DISTANCIA ENTRE EIXOS 4,80 M, POTENCIA 189 CV (INCLUI CABINE E CHASSI, NAO INCLUI CARROCERIA)</t>
  </si>
  <si>
    <t>CAMINHAO TOCO, PESO BRUTO TOTAL 14300 KG, CARGA UTIL MAXIMA 9590 KG, DISTANCIA ENTRE EIXOS 4,76 M, POTENCIA 185 CV (INCLUI CABINE E CHASSI, NAO INCLUI CARROCERIA)</t>
  </si>
  <si>
    <t>CAMINHAO TOCO, PESO BRUTO TOTAL 14300 KG, CARGA UTIL MAXIMA 9710 KG, DISTANCIA ENTRE EIXOS 3,56 M, POTENCIA 185 CV (INCLUI CABINE E CHASSI, NAO INCLUI CARROCERIA)</t>
  </si>
  <si>
    <t>CAMINHAO TOCO, PESO BRUTO TOTAL 16000 KG, CARGA UTIL MAXIMA DE 10685 KG, DISTANCIA ENTRE EIXOS 4,8M, POTENCIA 189 CV (INCLUI CABINE E CHASSI, NAO INCLUI CARROCERIA)</t>
  </si>
  <si>
    <t>CAMINHAO TOCO, PESO BRUTO TOTAL 16000 KG, CARGA UTIL MAXIMA 10600 KG, DISTANCIA ENTRE EIXOS 4,80 M, POTENCIA 275 CV (INCLUI CABINE E CHASSI, NAO INCLUI CARROCERIA)</t>
  </si>
  <si>
    <t>CAMINHAO TOCO, PESO BRUTO TOTAL 16000 KG, CARGA UTIL MAXIMA 10780 KG, DISTANCIA ENTRE EIXOS 3,56 M, POTENCIA 275 CV (INCLUI CABINE E CHASSI, NAO INCLUI CARROCERIA)</t>
  </si>
  <si>
    <t>CAMINHAO TOCO, PESO BRUTO TOTAL 16000 KG, CARGA UTIL MAXIMA 11030 KG, DISTANCIA ENTRE EIXOS 3,56M, POTENCIA 186 CV (INCLUI CABINE E CHASSI, NAO INCLUI CARROCERIA)</t>
  </si>
  <si>
    <t>CAMINHAO TOCO, PESO BRUTO TOTAL 16000 KG, CARGA UTIL MAXIMA 11130 KG, DISTANCIA ENTRE EIXOS 5,36 M, POTENCIA 185 CV (INCLUI CABINE E CHASSI, NAO INCLUI CARROCERIA)</t>
  </si>
  <si>
    <t>CAMINHAO TOCO, PESO BRUTO TOTAL 16000 KG, CARGA UTIL MAXIMA 13071 KG, DISTANCIA ENTRE EIXOS 4,80 M, POTENCIA 230 CV (INCLUI CABINE E CHASSI, NAO INCLUI CARROCERIA)</t>
  </si>
  <si>
    <t>CAMINHAO TOCO, PESO BRUTO TOTAL 8250 KG, CARGA UTIL MAXIMA 5110 KG, DISTANCIA ENTRE EIXOS 4,30 M, POTENCIA 162 CV (INCLUI CABINE E CHASSI, NAO INCLUI CARROCERIA)</t>
  </si>
  <si>
    <t>CAMINHAO TOCO, PESO BRUTO TOTAL 9000 KG, CARGA UTIL MAXIMA 5940 KG, DISTANCIA ENTRE EIXOS 3,69 M, POTENCIA 177 CV (INCLUI CABINE E CHASSI, NAO INCLUI CARROCERIA)</t>
  </si>
  <si>
    <t>CAMINHAO TOCO, PESO BRUTO TOTAL 9600 KG, CARGA UTIL MAXIMA 6110 KG, DISTANCIA ENTRE EIXOS 3,70 M, POTENCIA 156 CV (INCLUI CABINE E CHASSI, NAO INCLUI CARROCERIA)</t>
  </si>
  <si>
    <t>CAMINHAO TOCO, PESO BRUTO TOTAL 9600 KG, CARGA UTIL MAXIMA 6200 KG, DISTANCIA ENTRE EIXOS 3,10 M, POTENCIA 156 CV (INCLUI CABINE E CHASSI, NAO INCLUI CARROCERIA)</t>
  </si>
  <si>
    <t>CAMINHAO TOCO, PESO BRUTO TOTAL 9700 KG, CARGA UTIL MAXIMA 6360 KG, DISTANCIA ENTRE EIXOS 4,30 M, POTENCIA 160 CV (INCLUI CABINE E CHASSI, NAO INCLUI CARROCERIA)</t>
  </si>
  <si>
    <t>CAMINHAO TRUCADO, PESO BRUTO TOTAL 22000 KG, CARGA UTIL MAXIMA 15350 KG, DISTANCIA ENTRE EIXOS 5,17 M, POTENCIA 238 CV (INCLUI CABINE E CHASSI, NAO INCLUI CARROCERIA)</t>
  </si>
  <si>
    <t>CAMINHAO TRUCADO, PESO BRUTO TOTAL 23000 KG, CARGA UTIL MAXIMA 15378 KG, DISTANCIA ENTRE EIXOS 4,80 M, POTENCIA 326 CV (INCLUI CABINE E CHASSI, NAO INCLUI CARROCERIA)</t>
  </si>
  <si>
    <t>CAMINHAO TRUCADO, PESO BRUTO TOTAL 23000 KG, CARGA UTIL MAXIMA 15935 KG, DISTANCIA ENTRE EIXOS 4,80 M, POTENCIA 230 CV (INCLUI CABINE E CHASSI, NAO INCLUI CARROCERIA)</t>
  </si>
  <si>
    <t>CAMINHAO TRUCADO, PESO BRUTO TOTAL 23000 KG, CARGA UTIL MAXIMA 15940 KG, DISTANCIA ENTRE EIXOS 3,60 M, POTENCIA 286 CV (INCLUI CABINE E CHASSI, NAO INCLUI CARROCERIA)</t>
  </si>
  <si>
    <t>CAMINHAO TRUCADO, PESO BRUTO TOTAL 23000 KG, CARGA UTIL MAXIMA 16190 KG, DISTANCIA ENTRE EIXOS 3,60 M, POTENCIA 286 CV (INCLUI CABINE E CHASSI, NAO INCLUI CARROCERIA)</t>
  </si>
  <si>
    <t>CAMINHAO TRUCADO, PESO BRUTO TOTAL 23000 KG, CARGA UTIL MAXIMA 16360 KG, CABINE ESTENDIDA, DISTANCIA ENTRE EIXOS 3,56 M, POTENCIA 275 CV (INCLUI CABINE E CHASSI, NAO INCLUI CARROCERIA)</t>
  </si>
  <si>
    <t>CAMINHONETE COM MOTOR A DIESEL, POTENCIA *160* CV, CABINE DUPLA, 4X4</t>
  </si>
  <si>
    <t>CAMPAINHA ALTA POTENCIA 110V / 220V, DIAMETRO 150 MM</t>
  </si>
  <si>
    <t>CAMPAINHA CIGARRA 127 V / 220 V (APENAS MODULO)</t>
  </si>
  <si>
    <t>CAMPAINHA CIGARRA 127 V / 220 V, CONJUNTO MONTADO PARA EMBUTIR 4" X 2" (PLACA + SUPORTE + MODULO)</t>
  </si>
  <si>
    <t>CANALETA CONCRETO ESTRUTURAL 14 X 19 X 29 CM, FBK 14 MPA (NBR 6136)</t>
  </si>
  <si>
    <t>CANALETA CONCRETO ESTRUTURAL 14 X 19 X 29 CM, FBK 4,5 MPA (NBR 6136)</t>
  </si>
  <si>
    <t>CANALETA CONCRETO ESTRUTURAL 14 X 19 X 39 CM, FBK 14 MPA (NBR 6136)</t>
  </si>
  <si>
    <t>CANALETA CONCRETO ESTRUTURAL 14 X 19 X 39 CM, FBK 4,5 MPA (NBR 6136)</t>
  </si>
  <si>
    <t>CANALETA CONCRETO 14 X 19 X 19 CM (CLASSE C - NBR 6136)</t>
  </si>
  <si>
    <t>CANALETA CONCRETO 19 X 19 X 19 CM (CLASSE C - NBR 6136)</t>
  </si>
  <si>
    <t>CANALETA CONCRETO 9 X 19 X 19 CM (CLASSE C - NBR 6136)</t>
  </si>
  <si>
    <t>CANALETA ESTRUTURAL CERAMICA, 14 X 19 X 19 CM, 6,0 MPA (NBR 15270)</t>
  </si>
  <si>
    <t>CANALETA ESTRUTURAL CERAMICA, 14 X 19 X 29 CM, 4,0 MPA (NBR 15270)</t>
  </si>
  <si>
    <t>CANALETA ESTRUTURAL CERAMICA, 14 X 19 X 29 CM, 6,0 MPA (NBR 15270)</t>
  </si>
  <si>
    <t>CANALETA ESTRUTURAL CERAMICA, 14 X 19 X 39 CM, 4,0 MPA (NBR 15270)</t>
  </si>
  <si>
    <t>CANALETA ESTRUTURAL CERAMICA, 14 X 19 X 39 CM, 6,0 MPA (NBR 15270)</t>
  </si>
  <si>
    <t>CANOPLA ACABAMENTO CROMADO PARA INSTALACAO DE SPRINKLER, SOB FORRO, 15 MM</t>
  </si>
  <si>
    <t>CANTONEIRA "U" ALUMINIO ABAS IGUAIS 1 ", E = 3/32 "</t>
  </si>
  <si>
    <t>CANTONEIRA ACO ABAS IGUAIS (QUALQUER BITOLA), ESPESSURA ENTRE 1/8" E 1/4"</t>
  </si>
  <si>
    <t>CANTONEIRA ALUMINIO ABAS DESIGUAIS 1" X 3/4 ", E = 1/8 "</t>
  </si>
  <si>
    <t>CANTONEIRA ALUMINIO ABAS DESIGUAIS 2 1/2" X 1/2 ", E = 3/16 "</t>
  </si>
  <si>
    <t>CANTONEIRA ALUMINIO ABAS IGUAIS 1 ", E = 1/8 ", 25,40 X 3,17 MM (0,408 KG/M)</t>
  </si>
  <si>
    <t>CANTONEIRA ALUMINIO ABAS IGUAIS 1 ", E = 3 /16 "</t>
  </si>
  <si>
    <t>CANTONEIRA ALUMINIO ABAS IGUAIS 1 1/2 ", E = 3/16 "</t>
  </si>
  <si>
    <t>CANTONEIRA ALUMINIO ABAS IGUAIS 1 1/4 ", E = 3/16 "</t>
  </si>
  <si>
    <t>CANTONEIRA ALUMINIO ABAS IGUAIS 2 ", E = 1/4 "</t>
  </si>
  <si>
    <t>CANTONEIRA ALUMINIO ABAS IGUAIS 2 ", E = 1/8 "</t>
  </si>
  <si>
    <t>CANTONEIRA FERRO GALVANIZADO DE ABAS IGUAIS, 1 1/2" X 1/4" (L X E), 3,40 KG/M</t>
  </si>
  <si>
    <t>CANTONEIRA FERRO GALVANIZADO DE ABAS IGUAIS, 1" X 1/8" (L X E) , 1,20KG/M</t>
  </si>
  <si>
    <t>CANTONEIRA FERRO GALVANIZADO DE ABAS IGUAIS, 2" X 3/8" (L X E), 6,9 KG/M</t>
  </si>
  <si>
    <t>CANTONEIRA FERRO GALVANIZADO DE ABAS IGUAIS, 3/4" X 1/8" (L X E)</t>
  </si>
  <si>
    <t>CAP OU TAMPAO DE FERRO GALVANIZADO, COM ROSCA BSP, DE 1 1/2"</t>
  </si>
  <si>
    <t>CAP OU TAMPAO DE FERRO GALVANIZADO, COM ROSCA BSP, DE 1 1/4"</t>
  </si>
  <si>
    <t>CAP OU TAMPAO DE FERRO GALVANIZADO, COM ROSCA BSP, DE 1/2"</t>
  </si>
  <si>
    <t>CAP OU TAMPAO DE FERRO GALVANIZADO, COM ROSCA BSP, DE 1/4"</t>
  </si>
  <si>
    <t>CAP OU TAMPAO DE FERRO GALVANIZADO, COM ROSCA BSP, DE 1"</t>
  </si>
  <si>
    <t>CAP OU TAMPAO DE FERRO GALVANIZADO, COM ROSCA BSP, DE 2 1/2"</t>
  </si>
  <si>
    <t>CAP OU TAMPAO DE FERRO GALVANIZADO, COM ROSCA BSP, DE 2"</t>
  </si>
  <si>
    <t>CAP OU TAMPAO DE FERRO GALVANIZADO, COM ROSCA BSP, DE 3/4"</t>
  </si>
  <si>
    <t>CAP OU TAMPAO DE FERRO GALVANIZADO, COM ROSCA BSP, DE 3/8"</t>
  </si>
  <si>
    <t>CAP OU TAMPAO DE FERRO GALVANIZADO, COM ROSCA BSP, DE 3"</t>
  </si>
  <si>
    <t>CAP OU TAMPAO DE FERRO GALVANIZADO, COM ROSCA BSP, DE 4"</t>
  </si>
  <si>
    <t>CAP PPR DN 20 MM, PARA AGUA QUENTE PREDIAL</t>
  </si>
  <si>
    <t>CAP PPR DN 25 MM, PARA AGUA QUENTE PREDIAL</t>
  </si>
  <si>
    <t>CAP PVC, ROSCAVEL, 1 1/2",  AGUA FRIA PREDIAL</t>
  </si>
  <si>
    <t>CAP PVC, ROSCAVEL, 1 1/4",  AGUA FRIA PREDIAL</t>
  </si>
  <si>
    <t>CAP PVC, ROSCAVEL, 1/2", PARA AGUA FRIA PREDIAL</t>
  </si>
  <si>
    <t>CAP PVC, ROSCAVEL, 1",  PARA AGUA FRIA PREDIAL</t>
  </si>
  <si>
    <t>CAP PVC, ROSCAVEL, 2 1/2",  AGUA FRIA PREDIAL</t>
  </si>
  <si>
    <t>CAP PVC, ROSCAVEL, 2",  AGUA FRIA PREDIAL</t>
  </si>
  <si>
    <t>CAP PVC, ROSCAVEL, 3/4",  PARA AGUA FRIA PREDIAL</t>
  </si>
  <si>
    <t>CAP PVC, ROSCAVEL, 3",  AGUA FRIA PREDIAL</t>
  </si>
  <si>
    <t>CAP PVC, SERIE R, DN 100 MM, PARA ESGOTO PREDIAL</t>
  </si>
  <si>
    <t>CAP PVC, SERIE R, DN 150 MM, PARA ESGOTO PREDIAL</t>
  </si>
  <si>
    <t>CAP PVC, SERIE R, DN 75 MM, PARA ESGOTO PREDIAL</t>
  </si>
  <si>
    <t>CAP PVC, SOLDAVEL, DN 100 MM, SERIE NORMAL, PARA ESGOTO PREDIAL</t>
  </si>
  <si>
    <t>CAP PVC, SOLDAVEL, DN 50 MM, SERIE NORMAL, PARA ESGOTO PREDIAL</t>
  </si>
  <si>
    <t>CAP PVC, SOLDAVEL, DN 75 MM, SERIE NORMAL, PARA ESGOTO PREDIAL</t>
  </si>
  <si>
    <t>CAP PVC, SOLDAVEL, 110 MM, PARA AGUA FRIA PREDIAL</t>
  </si>
  <si>
    <t>CAP PVC, SOLDAVEL, 20 MM, PARA AGUA FRIA PREDIAL</t>
  </si>
  <si>
    <t>CAP PVC, SOLDAVEL, 25 MM, PARA AGUA FRIA PREDIAL</t>
  </si>
  <si>
    <t>CAP PVC, SOLDAVEL, 32 MM, PARA AGUA FRIA PREDIAL</t>
  </si>
  <si>
    <t>CAP PVC, SOLDAVEL, 40 MM, PARA AGUA FRIA PREDIAL</t>
  </si>
  <si>
    <t>CAP PVC, SOLDAVEL, 50 MM, PARA AGUA FRIA PREDIAL</t>
  </si>
  <si>
    <t>CAP PVC, SOLDAVEL, 60 MM, PARA AGUA FRIA PREDIAL</t>
  </si>
  <si>
    <t>CAP PVC, SOLDAVEL, 75 MM, PARA AGUA FRIA PREDIAL</t>
  </si>
  <si>
    <t>CAP PVC, SOLDAVEL, 85 MM, PARA AGUA FRIA PREDIAL</t>
  </si>
  <si>
    <t>CAP, PVC PBA, JE, DN 100 / DE 110 MM,  PARA REDE DE AGUA (NBR 10351)</t>
  </si>
  <si>
    <t>CAP, PVC PBA, JE, DN 50 / DE 60 MM,  PARA REDE DE AGUA (NBR 10351)</t>
  </si>
  <si>
    <t>CAP, PVC PBA, JE, DN 75 / DE 85 MM,  PARA REDE DE AGUA (NBR 10351)</t>
  </si>
  <si>
    <t>CAP, PVC, JE, OCRE, DN 150 MM (CONEXAO PARA TUBO COLETOR DE ESGOTO)</t>
  </si>
  <si>
    <t>CAP, PVC, JE, OCRE, DN 200 MM (CONEXAO PARA TUBO COLETOR DE ESGOTO)</t>
  </si>
  <si>
    <t>CAPA PARA CHUVA EM PVC COM FORRO DE POLIESTER, COM CAPUZ (AMARELA OU AZUL)</t>
  </si>
  <si>
    <t>CAPACETE DE SEGURANCA ABA FRONTAL COM SUSPENSAO DE POLIETILENO, SEM JUGULAR (CLASSE B)</t>
  </si>
  <si>
    <t>CAPACITOR TRIFASICO, POTENCIA 2,5 KVAR, TENSAO 220 V, FORNECIDO COM CAPA PROTETORA, RESISTOR INTERNO A UNIDADE CAPACITIVA</t>
  </si>
  <si>
    <t>CAPACITOR TRIFASICO, POTENCIA 5 KVAR, TENSAO 220 V, FORNECIDO COM CAPA PROTETORA, RESISTOR INTERNO A UNIDADE CAPACITIVA</t>
  </si>
  <si>
    <t>CAPIM BRAQUIARIA DECUMBENS/ BRAQUIARINHA, VC *70*% MINIMO</t>
  </si>
  <si>
    <t>CARENAGEM /TAMPA, EM PLASTICO, COR BRANCA, UTILIZADO EM KIT CHASSI METALICO PARA INSTALACAO HIDRAULICA DE CUBA SIMPLES SEM MAQUINA DE LAVAR ROUPA, LARGURA *355* MM X ALTURA *670* MM (COM FUROS E DEMAIS ENCAIXES)</t>
  </si>
  <si>
    <t>CARENAGEM /TAMPA, EM PLASTICO, COR BRANCA, UTILIZADO EM KIT CHASSI METALICO PARA INSTALACAO HIDRAULICA DE TANQUE COM MAQUINA DE LAVAR ROUPA, LARGURA *360* MM X ALTURA *470* MM (COM FUROS E DEMAIS ENCAIXES)</t>
  </si>
  <si>
    <t>CARPETE DE NYLON EM MANTA PARA TRAFEGO COMERCIAL PESADO, E = 6 A 7 MM (INSTALADO)</t>
  </si>
  <si>
    <t>CARPETE DE NYLON EM MANTA PARA TRAFEGO COMERCIAL PESADO, E = 9 A 10 MM (INSTALADO)</t>
  </si>
  <si>
    <t>CARPETE DE NYLON EM PLACAS 50 X 50 CM PARA TRAFEGO COMERCIAL PESADO, E = 6,5 MM (INSTALADO)</t>
  </si>
  <si>
    <t>CARPETE DE POLIESTER EM MANTA PARA TRAFEGO COMERCIAL PESADO, E = 4 A 5 MM (INSTALADO)</t>
  </si>
  <si>
    <t>CARPETE DE POLIPROPILENO EM MANTA PARA TRAFEGO COMERCIAL MEDIO, E = 5 A 6 MM (INSTALADO)</t>
  </si>
  <si>
    <t>CARPINTEIRO AUXILIAR</t>
  </si>
  <si>
    <t>CARPINTEIRO AUXILIAR (MENSALISTA)</t>
  </si>
  <si>
    <t>CARPINTEIRO DE ESQUADRIAS</t>
  </si>
  <si>
    <t>CARPINTEIRO DE ESQUADRIAS (MENSALISTA)</t>
  </si>
  <si>
    <t>CARPINTEIRO DE FORMAS</t>
  </si>
  <si>
    <t>CARPINTEIRO DE FORMAS (MENSALISTA)</t>
  </si>
  <si>
    <t>CARRANCA PARA JANELA VENEZIANA DE ABRIR, EM LATAO CROMADO, SIMPLES, PARA APARAFUSAR NA PAREDE</t>
  </si>
  <si>
    <t>CARRINHO COM 2 PNEUS PARA TRANSPORTAR TUBO CONCRETO, ALTURA ATE 1,0 M E DIAMETRO ATE 1000MM, COM ESTRUTURA EM PERFIL OU TUBO METALICO</t>
  </si>
  <si>
    <t>CARRINHO DE MAO DE ACO CAPACIDADE 50 A 60 L, PNEU COM CAMARA</t>
  </si>
  <si>
    <t>CARROCERIA FIXA ABERTA DE MADEIRA PARA TRANSPORTE GERAL DE CARGA SECA DIMENSOES APROXIMADAS 2,25 X 4,10 X 0,50 M (INCLUI MONTAGEM, NAO INCLUI CAMINHAO)</t>
  </si>
  <si>
    <t>CARROCERIA FIXA ABERTA DE MADEIRA PARA TRANSPORTE GERAL DE CARGA SECA DIMENSOES APROXIMADAS 2,5 X 5,5 X 0,50 M (INCLUI MONTAGEM, NAO INCLUI CAMINHAO)</t>
  </si>
  <si>
    <t>CARROCERIA FIXA ABERTA DE MADEIRA PARA TRANSPORTE GERAL DE CARGA SECA DIMENSOES APROXIMADAS 2,5 X 6,00 X 0,50 M (INCLUI MONTAGEM, NAO INCLUI CAMINHAO)</t>
  </si>
  <si>
    <t>CARROCERIA FIXA ABERTA DE MADEIRA PARA TRANSPORTE GERAL DE CARGA SECA DIMENSOES APROXIMADAS 2,5 X 6,5 X 0,50 M (INCLUI MONTAGEM, NAO INCLUI CAMINHAO)</t>
  </si>
  <si>
    <t>CARROCERIA FIXA ABERTA DE MADEIRA PARA TRANSPORTE GERAL DE CARGA SECA DIMENSOES APROXIMADAS 2,5 X 7,00 X 0,50 M (INCLUI MONTAGEM, NAO INCLUI CAMINHAO)</t>
  </si>
  <si>
    <t>CARROCERIA FIXA ABERTA DE MADEIRA PARA TRANSPORTE GERAL DE CARGA SECA DIMENSOES APROXIMADAS 2,5 X 7,5 X 0,50 M (INCLUI MONTAGEM, NAO INCLUI CAMINHAO)</t>
  </si>
  <si>
    <t>CARVAO ANTRACITO PARA FILTRO, GRAO VARIANDO DE 0,8 ATE 1,1 MM, COEFICIENTE DE UNIFORMIDADE MENOR QUE 1,7 MM</t>
  </si>
  <si>
    <t>CARVAO ANTRACITO PARA FILTRO, GRAO VARIANDO DE 0,8 ATE 1,1 MM, COEFICIENTE DE UNIFORMIDADE MENOR QUE 1,7 MM (DISTRIBUIDOR)</t>
  </si>
  <si>
    <t>CASCALHO DE CAVA</t>
  </si>
  <si>
    <t>CASCALHO DE RIO</t>
  </si>
  <si>
    <t>CASCALHO LAVADO</t>
  </si>
  <si>
    <t>CAVALETE PARA TALHA COM ESTRUTURA EM TUBO METALICO ALTURA MINIMA 3,2 M EQUIPADO COM RODAS DE BORRACHA PARA MOVIMENTACAO DE TUBOS DE CONCRETO NA CENTRAL DE PREMOLDADOS COM CAPACIDADE DE CARGA DE 3 TONELADAS</t>
  </si>
  <si>
    <t>CAVALO MECANICO TRACAO 4X2, PESO BRUTO TOTAL COMBINADO 49000 KG, CAPACIDADE MAXIMA DE TRACAO *66000* KG, POTENCIA *360* CV (INCLUI CABINE E CHASSI, NAO INCLUI SEMIRREBOQUE)</t>
  </si>
  <si>
    <t>CAVALO MECANICO TRACAO 4X2, PESO BRUTO TOTAL 16000 KG, CAPACIDADE MAXIMA DE TRACAO *36000* KG, DISTANCIA ENTRE EIXOS *3,56* M, POTENCIA *286* CV (INCLUI CABINE E CHASSI, NAO INCLUI SEMIRREBOQUE)</t>
  </si>
  <si>
    <t>CAVALO MECANICO TRACAO 4X2, PESO BRUTO TOTAL 16000 KG, CAPACIDADE MAXIMA DE TRACAO *45000* KG, DISTANCIA ENTRE EIXOS *3,56* M, POTENCIA *330* CV (INCLUI CABINE E CHASSI, NAO INCLUI SEMIRREBOQUE)</t>
  </si>
  <si>
    <t>CAVALO MECANICO TRACAO 4X2, PESO BRUTO TOTAL 16000 KG, CAPACIDADE MAXIMA DE TRACAO *80000* KG, POTENCIA *380* CV (INCLUI CABINE E CHASSI, NAO INCLUI SEMIRREBOQUE)</t>
  </si>
  <si>
    <t>CAVALO MECANICO TRACAO 6X2, PESO BRUTO TOTAL COMBINADO 56000 KG, CAPACIDADE MAXIMA DE TRACAO *66000* KG, POTENCIA *360* CV (INCLUI CABINE E CHASSI, NAO INCLUI SEMIRREBOQUE)</t>
  </si>
  <si>
    <t>CAVOUQUEIRO OU OPERADOR DE PERFURATRIZ / ROMPEDOR</t>
  </si>
  <si>
    <t>CAVOUQUEIRO OU OPERADOR DE PERFURATRIZ / ROMPEDOR (MENSALISTA)</t>
  </si>
  <si>
    <t>CENTRALIZADOR DE BARRA DE ACO (CHUMBADOR TIPO CARAMBOLA), PARA ACO ATE 20 MM</t>
  </si>
  <si>
    <t>CENTRO DE MEDICAO AGRUPADA, EM POLICARBONATO / PVC, COM 12 MEDIDORES E PROTECAO GERAL (INCLUI BARRAMENTO, DISJUNTORES E ACESSORIOS DE FIXACAO) (PADRAO CONCESSIONARIA LOCAL)</t>
  </si>
  <si>
    <t>CENTRO DE MEDICAO AGRUPADA, EM POLICARBONATO / PVC, COM 16 MEDIDORES E PROTECAO GERAL (INCLUI BARRAMENTO, DISJUNTORES E ACESSORIOS DE FIXACAO) (PADRAO CONCESSIONARIA LOCAL)</t>
  </si>
  <si>
    <t>CENTRO DE MEDICAO AGRUPADA, EM POLICARBONATO / PVC, COM 4 MEDIDORES E PROTECAO GERAL (INCLUI BARRAMENTO, DISJUNTORES E ACESSORIOS DE FIXACAO) (PADRAO CONCESSIONARIA LOCAL)</t>
  </si>
  <si>
    <t>CENTRO DE MEDICAO AGRUPADA, EM POLICARBONATO / PVC, COM 8 MEDIDORES E PROTECAO GERAL (INCLUI BARRAMENTO, DISJUNTORES E ACESSORIOS DE FIXACAO) (PADRAO CONCESSIONARIA LOCAL)</t>
  </si>
  <si>
    <t>CERA  LIQUIDA</t>
  </si>
  <si>
    <t>CHAPA ACO INOX AISI 304 NUMERO 4 (E = 6 MM), ACABAMENTO NUMERO 1 (LAMINADO A QUENTE, FOSCO)</t>
  </si>
  <si>
    <t>CHAPA ACO INOX AISI 304 NUMERO 9 (E = 4 MM), ACABAMENTO NUMERO 1 (LAMINADO A QUENTE, FOSCO)</t>
  </si>
  <si>
    <t>CHAPA DE ACO CARBONO GALVANIZADA, PERFURADA (GRADE FUROS) E = 1,5 MM, DIAMETRO DO FURO = 9,52 MM (FUROS ALTERNADOS HORIZ.)</t>
  </si>
  <si>
    <t>CHAPA DE ACO CARBONO LAMINADO A QUENTE, QUALIDADE ESTRUTURAL, BITOLA 3/16", E =4,75 MM (37,29 KG/M2)</t>
  </si>
  <si>
    <t>CHAPA DE ACO FINA A FRIO BITOLA MSG 20, E = 0,90 MM (7,20 KG/M2)</t>
  </si>
  <si>
    <t>CHAPA DE ACO FINA A FRIO BITOLA MSG 24, E = 0,60 MM (4,80 KG/M2)</t>
  </si>
  <si>
    <t>CHAPA DE ACO FINA A FRIO BITOLA MSG 26, E = 0,45 MM (3,60 KG/M2)</t>
  </si>
  <si>
    <t>CHAPA DE ACO FINA A QUENTE BITOLA MSG 13, E = 2,25 MM (18,00 KG/M2)</t>
  </si>
  <si>
    <t>CHAPA DE ACO FINA A QUENTE BITOLA MSG 14, E = 2,00 MM (16,0 KG/M2)</t>
  </si>
  <si>
    <t>CHAPA DE ACO FINA A QUENTE BITOLA MSG 16, E = 1,50 MM (12,00 KG/M2)</t>
  </si>
  <si>
    <t>CHAPA DE ACO FINA A QUENTE BITOLA MSG 18, E = 1,20 MM (9,60 KG/M2)</t>
  </si>
  <si>
    <t>CHAPA DE ACO FINA A QUENTE BITOLA MSG 3/16 ", E = 4,75 MM (38,00 KG/M2)</t>
  </si>
  <si>
    <t>CHAPA DE ACO GALVANIZADA BITOLA GSG 14, E = 1,95 MM (15,60 KG/M2)</t>
  </si>
  <si>
    <t>CHAPA DE ACO GALVANIZADA BITOLA GSG 16, E = 1,55 MM (12,40 KG/M2)</t>
  </si>
  <si>
    <t>CHAPA DE ACO GALVANIZADA BITOLA GSG 18, E = 1,25 MM (10,00 KG/M2)</t>
  </si>
  <si>
    <t>CHAPA DE ACO GALVANIZADA BITOLA GSG 19, E = 1,11 MM (8,88 KG/M2)</t>
  </si>
  <si>
    <t>CHAPA DE ACO GALVANIZADA BITOLA GSG 20, E = 0,95 MM (7,60 KG/M2)</t>
  </si>
  <si>
    <t>CHAPA DE ACO GALVANIZADA BITOLA GSG 22, E = 0,80 MM (6,40 KG/M2)</t>
  </si>
  <si>
    <t>CHAPA DE ACO GALVANIZADA BITOLA GSG 24, E = 0,64 (5,12 KG/M2)</t>
  </si>
  <si>
    <t>CHAPA DE ACO GALVANIZADA BITOLA GSG 26, E = 0,50 MM (4,00 KG/M2)</t>
  </si>
  <si>
    <t>CHAPA DE ACO GALVANIZADA BITOLA GSG 30, E = 0,35 MM (2,80 KG/M2)</t>
  </si>
  <si>
    <t>CHAPA DE ACO GROSSA, ASTM A36, E = 1 " (25,40 MM) 199,18 KG/M2</t>
  </si>
  <si>
    <t>CHAPA DE ACO GROSSA, ASTM A36, E = 1/2 " (12,70 MM) 99,59 KG/M2</t>
  </si>
  <si>
    <t>CHAPA DE ACO GROSSA, ASTM A36, E = 1/4 " (6,35 MM) 49,79 KG/M2</t>
  </si>
  <si>
    <t>CHAPA DE ACO GROSSA, ASTM A36, E = 3/4 " (19,05 MM) 149,39 KG/M2</t>
  </si>
  <si>
    <t>CHAPA DE ACO GROSSA, ASTM A36, E = 3/8 " (9,53 MM) 74,69 KG/M2</t>
  </si>
  <si>
    <t>CHAPA DE ACO GROSSA, ASTM A36, E = 5/8 " (15,88 MM) 124,49 KG/M2</t>
  </si>
  <si>
    <t>CHAPA DE ACO GROSSA, ASTM A36, E = 7/8 " (22,23 MM) 174,28 KG/M2</t>
  </si>
  <si>
    <t>CHAPA DE ACO GROSSA, SAE 1020, BITOLA 1/4", E = 6,35 MM (49,85 KG/M2)</t>
  </si>
  <si>
    <t>CHAPA DE ACO XADREZ PARA PISOS, E = 1/4 " (6,30 MM) 54,53 KG/M2</t>
  </si>
  <si>
    <t>CHAPA DE GESSO ACARTONADO, RESISTENTE A UMIDADE (RU), COR VERDE, E = 12,5 MM, 1200 X 1800 MM (L X C)</t>
  </si>
  <si>
    <t>CHAPA DE GESSO ACARTONADO, RESISTENTE A UMIDADE (RU), COR VERDE, E = 12,5 MM, 1200 X 2400 MM (L X C)</t>
  </si>
  <si>
    <t>CHAPA DE GESSO ACARTONADO, RESISTENTE AO FOGO (RF), COR ROSA, E = 12,5 MM, 1200 X 1800 MM (L X C)</t>
  </si>
  <si>
    <t>CHAPA DE GESSO ACARTONADO, RESISTENTE AO FOGO (RF), COR ROSA, E = 12,5 MM, 1200 X 2400 MM (L X C)</t>
  </si>
  <si>
    <t>CHAPA DE GESSO ACARTONADO, STANDARD (ST), COR BRANCA, E = 12,5 MM, 1200 X 1800 MM (L X C)</t>
  </si>
  <si>
    <t>CHAPA DE GESSO ACARTONADO, STANDARD (ST), COR BRANCA, E = 12,5 MM, 1200 X 2400 MM (L X C)</t>
  </si>
  <si>
    <t>CHAPA DE LAMINADO MELAMINICO, LISO BRILHANTE, DE *1,25 X 3,08* M, E = 0,8 MM</t>
  </si>
  <si>
    <t>CHAPA DE LAMINADO MELAMINICO, LISO FOSCO, DE *1,25 X 3,08* M, E = 0,8 MM</t>
  </si>
  <si>
    <t>CHAPA DE LAMINADO MELAMINICO, TEXTURIZADO, DE *1,25 X 3,08* M, E = 0,8 MM</t>
  </si>
  <si>
    <t>CHAPA DE MADEIRA COMPENSADA NAVAL (COM COLA FENOLICA), E = 10 MM, DE *1,60 X 2,20* M</t>
  </si>
  <si>
    <t>CHAPA DE MADEIRA COMPENSADA NAVAL (COM COLA FENOLICA), E = 12 MM, DE *1,60 X 2,20* M</t>
  </si>
  <si>
    <t>CHAPA DE MADEIRA COMPENSADA NAVAL (COM COLA FENOLICA), E = 15 MM, DE *1,60 X 2,20* M</t>
  </si>
  <si>
    <t>CHAPA DE MADEIRA COMPENSADA NAVAL (COM COLA FENOLICA), E = 18 MM, DE *1,60 X 2,20* M</t>
  </si>
  <si>
    <t>CHAPA DE MADEIRA COMPENSADA NAVAL (COM COLA FENOLICA), E = 20 MM, DE *1,60 X 2,20* M</t>
  </si>
  <si>
    <t>CHAPA DE MADEIRA COMPENSADA NAVAL (COM COLA FENOLICA), E = 25 MM, DE *1,60 X 2,20* M</t>
  </si>
  <si>
    <t>CHAPA DE MADEIRA COMPENSADA NAVAL (COM COLA FENOLICA), E = 4 MM, DE *1,60 X 2,20* M</t>
  </si>
  <si>
    <t>CHAPA DE MADEIRA COMPENSADA NAVAL (COM COLA FENOLICA), E = 6 MM, DE *1,60 X 2,20* M</t>
  </si>
  <si>
    <t>CHAPA DE MADEIRA COMPENSADA PLASTIFICADA PARA FORMA DE CONCRETO, DE 2,20 x 1,10 M, E = 10 MM</t>
  </si>
  <si>
    <t>CHAPA DE MADEIRA COMPENSADA PLASTIFICADA PARA FORMA DE CONCRETO, DE 2,20 x 1,10 M, E = 18 MM</t>
  </si>
  <si>
    <t>CHAPA DE MADEIRA COMPENSADA PLASTIFICADA PARA FORMA DE CONCRETO, DE 2,20 X 1,10 M, E = 12 MM</t>
  </si>
  <si>
    <t>CHAPA DE MADEIRA COMPENSADA RESINADA PARA FORMA DE CONCRETO, DE *2,2 X 1,1* M, E = 14 MM</t>
  </si>
  <si>
    <t>CHAPA DE MADEIRA COMPENSADA RESINADA PARA FORMA DE CONCRETO, DE *2,2 X 1,1* M, E = 17 MM</t>
  </si>
  <si>
    <t>CHAPA DE MDF BRANCO LISO 1 FACE, E = 12 MM, DE *2,75 X 1,85* M</t>
  </si>
  <si>
    <t>CHAPA DE MDF BRANCO LISO 1 FACE, E = 15 MM, DE *2,75 X 1,85* M</t>
  </si>
  <si>
    <t>CHAPA DE MDF BRANCO LISO 1 FACE, E = 18 MM, DE *2,75 X 1,85* M</t>
  </si>
  <si>
    <t>CHAPA DE MDF BRANCO LISO 1 FACE, E = 25 MM, DE *2,75 X 1,85* M</t>
  </si>
  <si>
    <t>CHAPA DE MDF BRANCO LISO 1 FACE, E = 6 MM, DE *2,75 X 1,85* M</t>
  </si>
  <si>
    <t>CHAPA DE MDF BRANCO LISO 1 FACE, E = 9 MM, DE *2,75 X 1,85* M</t>
  </si>
  <si>
    <t>CHAPA DE MDF BRANCO LISO 2 FACES, E = 12 MM, DE *2,75 X 1,85* M</t>
  </si>
  <si>
    <t>CHAPA DE MDF BRANCO LISO 2 FACES, E = 15 MM, DE *2,75 X 1,85* M</t>
  </si>
  <si>
    <t>CHAPA DE MDF BRANCO LISO 2 FACES, E = 18 MM, DE *2,75 X 1,85* M</t>
  </si>
  <si>
    <t>CHAPA DE MDF BRANCO LISO 2 FACES, E = 25 MM, DE *2,75 X 1,85* M</t>
  </si>
  <si>
    <t>CHAPA DE MDF BRANCO LISO 2 FACES, E = 6 MM, DE *2,75 X 1,85* M</t>
  </si>
  <si>
    <t>CHAPA DE MDF BRANCO LISO 2 FACES, E = 9 MM, DE *2,75 X 1,85* M</t>
  </si>
  <si>
    <t>CHAPA DE MDF CRU, E = 12 MM, DE *2,75 X 1,85* M</t>
  </si>
  <si>
    <t>CHAPA DE MDF CRU, E = 15 MM, DE *2,75 X 1,85* M</t>
  </si>
  <si>
    <t>CHAPA DE MDF CRU, E = 18 MM, DE *2,75 X 1,85* M</t>
  </si>
  <si>
    <t>CHAPA DE MDF CRU, E = 20 MM, DE *2,75 X 1,85* M</t>
  </si>
  <si>
    <t>CHAPA DE MDF CRU, E = 25 MM, DE *2,75 X 1,85* M</t>
  </si>
  <si>
    <t>CHAPA DE MDF CRU, E = 6 MM, DE *2,75 X 1,85* M</t>
  </si>
  <si>
    <t>CHAPA DE MDF CRU, E = 9 MM, DE *2,75 X 1,85* M</t>
  </si>
  <si>
    <t>CHAPA EM ACO GALVANIZADO PARA STEEL DECK, COM NERVURAS TRAPEZOIDAIS, LARGURA UTIL DE 915 MM E ESPESSURA DE 0,80 MM</t>
  </si>
  <si>
    <t>CHAPA EM ACO GALVANIZADO PARA STEEL DECK, COM NERVURAS TRAPEZOIDAIS, LARGURA UTIL DE 915 MM E ESPESSURA DE 0,95 MM</t>
  </si>
  <si>
    <t>CHAPA EM ACO GALVANIZADO PARA STEEL DECK, COM NERVURAS TRAPEZOIDAIS, LARGURA UTIL DE 915 MM E ESPESSURA DE 1,25 MM</t>
  </si>
  <si>
    <t>CHAPA PARA EMENDA DE VIGA, EM ACO GROSSO, QUALIDADE ESTRUTURAL, BITOLA 3/16 ", E= 4,75 MM, 4 FUROS, LARGURA 45 MM, COMPRIMENTO 500 MM</t>
  </si>
  <si>
    <t>CHAVE BLINDADA TRIPOLAR PARA MOTORES, DO TIPO FACA, COM PORTA FUSIVEL DO TIPO CARTUCHO, CORRENTE NOMINAL DE 100 A, TENSAO NOMINAL DE 250 V</t>
  </si>
  <si>
    <t>CHAVE BLINDADA TRIPOLAR PARA MOTORES, DO TIPO FACA, COM PORTA FUSIVEL DO TIPO CARTUCHO, CORRENTE NOMINAL DE 30 A, TENSAO NOMINAL DE 250 V</t>
  </si>
  <si>
    <t>CHAVE BLINDADA TRIPOLAR PARA MOTORES, DO TIPO FACA, COM PORTA FUSIVEL DO TIPO CARTUCHO, CORRENTE NOMINAL DE 60 A, TENSAO NOMINAL DE 250 V</t>
  </si>
  <si>
    <t>CHAVE DE PARTIDA DIRETA TRIFASICA, COM CAIXA TERMOPLASTICA, COM FUSIVEL DE 25 A, PARA MOTOR COM POTENCIA DE 7,5 CV E TENSAO DE 380 V</t>
  </si>
  <si>
    <t>CHAVE DE PARTIDA DIRETA TRIFASICA, COM CAIXA TERMOPLASTICA, COM FUSIVEL DE 35 A, PARA MOTOR COM POTENCIA DE 5 CV E TENSAO DE 220 V</t>
  </si>
  <si>
    <t>CHAVE DE PARTIDA DIRETA TRIFASICA, COM CAIXA TERMOPLASTICA, COM FUSIVEL DE 63 A, PARA MOTOR COM POTENCIA DE 10 CV E TENSAO DE 220 V</t>
  </si>
  <si>
    <t>CHAVE DUPLA PARA CONEXOES TIPO STORZ, ENGATE RAPIDO 1 1/2" X 2 1/2", EM LATAO, PARA INSTALACAO PREDIAL COMBATE A INCENDIO</t>
  </si>
  <si>
    <t>CHAVE FUSIVEL PARA REDES DE DISTRIBUICAO, TENSAO DE 15,0 KV, CORRENTE NOMINAL DO PORTA FUSIVEL DE 100 A, CAPACIDADE DE INTERRUPCAO SIMETRICA DE 7,10 KA, CAPACIDADE DE INTERRUPCAO ASSIMETRICA 10,00 KA</t>
  </si>
  <si>
    <t>CHAVE SECCIONADORA-FUSIVEL BLINDADA TRIPOLAR, ABERTURA COM CARGA, PARA FUSIVEL NH00, CORRENTE NOMINAL DE 160 A, TENSAO DE 500 V</t>
  </si>
  <si>
    <t>CHAVE SECCIONADORA-FUSIVEL BLINDADA TRIPOLAR, ABERTURA COM CARGA, PARA FUSIVEL NH01, CORRENTE NOMINAL DE 250 A, TENSAO DE 500 V</t>
  </si>
  <si>
    <t>CHUMBADOR DE ACO TIPO PARABOLT, * 5/8" X 200* MM,  COM PORCA E ARRUELA</t>
  </si>
  <si>
    <t>CHUMBADOR DE ACO, DIAMETRO 1/2", COMPRIMENTO 75 MM</t>
  </si>
  <si>
    <t>CHUMBADOR DE ACO, DIAMETRO 5/8", COMPRIMENTO 6", COM PORCA</t>
  </si>
  <si>
    <t>CHUMBADOR DE ACO, 1" X 600 MM, PARA POSTES DE ACO COM BASE, INCLUSO PORCA E ARRUELA</t>
  </si>
  <si>
    <t>CHUMBADOR, DIAMETRO 1/4" COM PARAFUSO 1/4" X 40 MM</t>
  </si>
  <si>
    <t>CHUVEIRO COMUM EM PLASTICO BRANCO, COM CANO, 3 TEMPERATURAS, 5500 W (110/220 V)</t>
  </si>
  <si>
    <t>CHUVEIRO COMUM EM PLASTICO CROMADO, COM CANO, 4 TEMPERATURAS (110/220 V)</t>
  </si>
  <si>
    <t>CHUVEIRO PLASTICO BRANCO SIMPLES 5 '' PARA ACOPLAR EM HASTE 1/2 ", AGUA FRIA</t>
  </si>
  <si>
    <t>CIMENTO ASFALTICO DE PETROLEO A GRANEL (CAP) 30/45 (COLETADO CAIXA NA ANP ACRESCIDO DE ICMS)</t>
  </si>
  <si>
    <t>CIMENTO ASFALTICO DE PETROLEO A GRANEL (CAP) 50/70 (COLETADO CAIXA NA ANP ACRESCIDO DE ICMS)</t>
  </si>
  <si>
    <t>CIMENTO BRANCO</t>
  </si>
  <si>
    <t>CIMENTO IMPERMEABILIZANTE DE PEGA ULTRARRAPIDA PARA TAMPONAMENTOS</t>
  </si>
  <si>
    <t>CIMENTO PORTLAND COMPOSTO CP II-32</t>
  </si>
  <si>
    <t>CIMENTO PORTLAND COMPOSTO CP II-32 (SACO DE 50 KG)</t>
  </si>
  <si>
    <t>CIMENTO PORTLAND DE ALTO FORNO (AF) CP III-32</t>
  </si>
  <si>
    <t>CIMENTO PORTLAND ESTRUTURAL BRANCO CPB-32</t>
  </si>
  <si>
    <t>CIMENTO PORTLAND POZOLANICO CP IV- 32</t>
  </si>
  <si>
    <t>CIMENTO PORTLAND POZOLANICO CP IV-32</t>
  </si>
  <si>
    <t>CINTA CIRCULAR EM ACO GALVANIZADO DE 150 MM DE DIAMETRO PARA FIXACAO DE CAIXA MEDICAO, INCLUI PARAFUSOS E PORCAS</t>
  </si>
  <si>
    <t>CINTA CIRCULAR EM ACO GALVANIZADO DE 210 MM DE DIAMETRO PARA INSTALACAO DE TRANSFORMADOR EM POSTE DE CONCRETO</t>
  </si>
  <si>
    <t>CINTURAO DE SEGURANCA TIPO PARAQUEDISTA, FIVELA EM ACO, AJUSTE NO SUSPENSARIO, CINTURA E PERNAS</t>
  </si>
  <si>
    <t>COBRE ELETROLITICO EM BARRA OU CHAPA</t>
  </si>
  <si>
    <t>COLA A BASE DE RESINA SINTETICA PARA CHAPA DE LAMINADO MELAMINICO</t>
  </si>
  <si>
    <t>COLA BRANCA BASE PVA</t>
  </si>
  <si>
    <t>COLAR DE TOMADA EM POLIPROPILENO, PP, COM PARAFUSOS, PARA PEAD, 63 X 1/2" - LIGACAO PREDIAL DE AGUA</t>
  </si>
  <si>
    <t>COLAR DE TOMADA EM POLIPROPILENO, PP, COM PARAFUSOS, PARA PEAD, 63 X 3/4" - LIGACAO PREDIAL DE AGUA</t>
  </si>
  <si>
    <t>COLAR TOMADA PVC, COM TRAVAS, SAIDA COM ROSCA, DE 110 MM X 1/2" OU 110 MM X 3/4", PARA LIGACAO PREDIAL DE AGUA</t>
  </si>
  <si>
    <t>COLAR TOMADA PVC, COM TRAVAS, SAIDA COM ROSCA, DE 32 MM X 1/2" OU 32 MM X 3/4", PARA LIGACAO PREDIAL DE AGUA</t>
  </si>
  <si>
    <t>COLAR TOMADA PVC, COM TRAVAS, SAIDA COM ROSCA, DE 40 MM X 1/2" OU 40 MM X 3/4", PARA LIGACAO PREDIAL DE AGUA</t>
  </si>
  <si>
    <t>COLAR TOMADA PVC, COM TRAVAS, SAIDA COM ROSCA, DE 50 MM X 1/2" OU 50 MM X 3/4", PARA LIGACAO PREDIAL DE AGUA</t>
  </si>
  <si>
    <t>COLAR TOMADA PVC, COM TRAVAS, SAIDA COM ROSCA, DE 60 MM X 1/2" OU 60 MM X 3/4", PARA LIGACAO PREDIAL DE AGUA</t>
  </si>
  <si>
    <t>COLAR TOMADA PVC, COM TRAVAS, SAIDA COM ROSCA, DE 75 MM X 1/2" OU 75 MM X 3/4", PARA LIGACAO PREDIAL DE AGUA</t>
  </si>
  <si>
    <t>COLAR TOMADA PVC, COM TRAVAS, SAIDA COM ROSCA, DE 85 MM X 1/2" OU 85 MM X 3/4", PARA LIGACAO PREDIAL DE AGUA</t>
  </si>
  <si>
    <t>COLAR TOMADA PVC, COM TRAVAS, SAIDA ROSCAVEL COM BUCHA DE LATAO, DE 110 MM X 1/2" OU 110 MM X 3/4", PARA LIGACAO PREDIAL DE AGUA</t>
  </si>
  <si>
    <t>COLAR TOMADA PVC, COM TRAVAS, SAIDA ROSCAVEL COM BUCHA DE LATAO, DE 60 MM X 1/2" OU 60 MM X 3/4", PARA LIGACAO PREDIAL DE AGUA</t>
  </si>
  <si>
    <t>COLAR TOMADA PVC, COM TRAVAS, SAIDA ROSCAVEL COM BUCHA DE LATAO, DE 75 MM X 1/2" OU 75 MM X 3/4", PARA LIGACAO PREDIAL DE AGUA</t>
  </si>
  <si>
    <t>COLAR TOMADA PVC, COM TRAVAS, SAIDA ROSCAVEL COM BUCHA DE LATAO, DE 85 MM X 1/2" OU 85 MM X 3/4", PARA LIGACAO PREDIAL DE AGUA</t>
  </si>
  <si>
    <t>COMPACTADOR DE SOLO A PERCUSSAO (SOQUETE), COM MOTOR GASOLINA DE 4 TEMPOS, PESO ENTRE 55 E 65 KG, FORCA DE IMPACTO DE 1.000 A 1.500 KGF, FREQUENCIA DE 600 A 700 GOLPES POR MINUTO, VELOCIDADE DE TRABALHO ENTRE 10 E 15 M/MIN, POTENCIA ENTRE 2,00 E 3,00 HP</t>
  </si>
  <si>
    <t>COMPACTADOR DE SOLO TIPO PLACA VIBRATORIA REVERSIVEL, A GASOLINA, 4 TEMPOS, PESO DE 125 A 150 KG, FORCA CENTRIFUGA DE 2500 A 2800 KGF, LARG. TRABALHO DE 400 A 450 MM, FREQ VIBRACAO DE 4300 A 4500 RPM, VELOC. TRABALHO DE 15 A 20 M/MIN, POT. DE 5,5 A 6,0 HP</t>
  </si>
  <si>
    <t>COMPACTADOR DE SOLO TIPO PLACA VIBRATORIA REVERSIVEL, A GASOLINA, 4 TEMPOS, PESO DE 150 A 175 KG, FORCA CENTRIFUGA DE 2800 A 3100 KGF, LARG. TRABALHO DE 450 A 520 MM, FREQ VIBRACAO DE 4000 A 4300 RPM, VELOC. TRABALHO DE 15 A 20 M/MIN, POT. DE 6,0 A 7,0 HP</t>
  </si>
  <si>
    <t>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t>
  </si>
  <si>
    <t>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t>
  </si>
  <si>
    <t>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t>
  </si>
  <si>
    <t>COMPACTADOR DE SOLOS DE PERCURSAO (SOQUETE) COM MOTOR A GASOLINA 4 TEMPOS DE 4 HP (4 CV)</t>
  </si>
  <si>
    <t>COMPRESSOR DE AR ESTACIONARIO, VAZAO 620 PCM, PRESSAO EFETIVA DE TRABALHO 109 PSI, MOTOR ELETRICO, POTENCIA 127 CV</t>
  </si>
  <si>
    <t>COMPRESSOR DE AR REBOCAVEL VAZAO 400 PCM, PRESSAO EFETIVA DE TRABALHO 102 PSI, MOTOR DIESEL, POTENCIA 110 CV</t>
  </si>
  <si>
    <t>COMPRESSOR DE AR REBOCAVEL VAZAO 748 PCM, PRESSAO EFETIVA DE TRABALHO 102 PSI, MOTOR DIESEL, POTENCIA 210 CV</t>
  </si>
  <si>
    <t>COMPRESSOR DE AR REBOCAVEL VAZAO 860 PCM, PRESSAO EFETIVA DE TRABALHO 102 PSI, MOTOR DIESEL, POTENCIA 250 CV</t>
  </si>
  <si>
    <t>COMPRESSOR DE AR REBOCAVEL, VAZAO *89* PCM, PRESSAO EFETIVA DE TRABALHO *102* PSI, MOTOR DIESEL, POTENCIA *20* CV</t>
  </si>
  <si>
    <t>COMPRESSOR DE AR REBOCAVEL, VAZAO 152 PCM, PRESSAO EFETIVA DE TRABALHO 102 PSI, MOTOR DIESEL, POTENCIA 31,5 KW</t>
  </si>
  <si>
    <t>COMPRESSOR DE AR REBOCAVEL, VAZAO 189 PCM, PRESSAO EFETIVA DE TRABALHO 102 PSI, MOTOR DIESEL, POTENCIA 63 CV</t>
  </si>
  <si>
    <t>COMPRESSOR DE AR REBOCAVEL, VAZAO 250 PCM, PRESSAO EFETIVA DE TRABALHO 102 PSI, MOTOR DIESEL, POTENCIA 81 CV</t>
  </si>
  <si>
    <t>COMPRESSOR DE AR, VAZAO DE 10 PCM, RESERVATORIO 100 L, PRESSAO DE TRABALHO ENTRE 6,9 E 9,7 BAR,  POTENCIA 2 HP, TENSAO 110/220 V (COLETADO CAIXA)</t>
  </si>
  <si>
    <t>CONCERTINA CLIPADA (DUPLA) EM ACO GALVANIZADO DE ALTA RESISTENCIA, COM ESPIRAL DE 300 MM, D = 2,76 MM</t>
  </si>
  <si>
    <t>CONCERTINA SIMPLES EM ACO GALVANIZADO DE ALTA RESISTENCIA, COM ESPIRAL DE 300 MM, D = 2,76 MM</t>
  </si>
  <si>
    <t>CONCRETO AUTOADENSAVEL (CAA) CLASSE DE RESISTENCIA C15, ESPALHAMENTO SF2, INCLUI SERVICO DE BOMBEAMENTO (NBR 15823)</t>
  </si>
  <si>
    <t>CONCRETO AUTOADENSAVEL (CAA) CLASSE DE RESISTENCIA C20, ESPALHAMENTO SF2, INCLUI SERVICO DE BOMBEAMENTO (NBR 15823)</t>
  </si>
  <si>
    <t>CONCRETO AUTOADENSAVEL (CAA) CLASSE DE RESISTENCIA C25, ESPALHAMENTO SF2, INCLUI SERVICO DE BOMBEAMENTO (NBR 15823)</t>
  </si>
  <si>
    <t>CONCRETO AUTOADENSAVEL (CAA) CLASSE DE RESISTENCIA C30, ESPALHAMENTO SF2, INCLUI SERVICO DE BOMBEAMENTO (NBR 15823)</t>
  </si>
  <si>
    <t>CONCRETO BETUMINOSO USINADO A QUENTE (CBUQ) PARA PAVIMENTACAO ASFALTICA, PADRAO DNIT, FAIXA C, COM CAP 30/45 - AQUISICAO POSTO USINA</t>
  </si>
  <si>
    <t>CONCRETO BETUMINOSO USINADO A QUENTE (CBUQ) PARA PAVIMENTACAO ASFALTICA, PADRAO DNIT, FAIXA C, COM CAP 50/70 - AQUISICAO POSTO USINA</t>
  </si>
  <si>
    <t>CONCRETO BETUMINOSO USINADO A QUENTE (CBUQ) PARA PAVIMENTACAO ASFALTICA, PADRAO DNIT, PARA BINDER, COM CAP 50/70 - AQUISICAO POSTO USINA</t>
  </si>
  <si>
    <t>CONCRETO USINADO BOMBEAVEL, CLASSE DE RESISTENCIA C20, COM BRITA 0 E 1, SLUMP = 100 +/- 20 MM, EXCLUI SERVICO DE BOMBEAMENTO (NBR 8953)</t>
  </si>
  <si>
    <t>CONCRETO USINADO BOMBEAVEL, CLASSE DE RESISTENCIA C20, COM BRITA 0 E 1, SLUMP = 100 +/- 20 MM, INCLUI SERVICO DE BOMBEAMENTO (NBR 8953)</t>
  </si>
  <si>
    <t>CONCRETO USINADO BOMBEAVEL, CLASSE DE RESISTENCIA C20, COM BRITA 0 E 1, SLUMP = 130 +/- 20 MM, EXCLUI SERVICO DE BOMBEAMENTO (NBR 8953)</t>
  </si>
  <si>
    <t>CONCRETO USINADO BOMBEAVEL, CLASSE DE RESISTENCIA C20, COM BRITA 0 E 1, SLUMP = 190 +/- 20 MM, INCLUI SERVICO DE BOMBEAMENTO (NBR 8953)</t>
  </si>
  <si>
    <t>CONCRETO USINADO BOMBEAVEL, CLASSE DE RESISTENCIA C20, COM BRITA 0, SLUMP = 220 +/- 20 MM, INCLUI SERVICO DE BOMBEAMENTO (NBR 8953)</t>
  </si>
  <si>
    <t>CONCRETO USINADO BOMBEAVEL, CLASSE DE RESISTENCIA C25, COM BRITA 0 E 1, SLUMP = 100 +/- 20 MM, EXCLUI SERVICO DE BOMBEAMENTO (NBR 8953)</t>
  </si>
  <si>
    <t>CONCRETO USINADO BOMBEAVEL, CLASSE DE RESISTENCIA C25, COM BRITA 0 E 1, SLUMP = 100 +/- 20 MM, INCLUI SERVICO DE BOMBEAMENTO (NBR 8953)</t>
  </si>
  <si>
    <t>CONCRETO USINADO BOMBEAVEL, CLASSE DE RESISTENCIA C25, COM BRITA 0 E 1, SLUMP = 130 +/- 20 MM, EXCLUI SERVICO DE BOMBEAMENTO (NBR 8953)</t>
  </si>
  <si>
    <t>CONCRETO USINADO BOMBEAVEL, CLASSE DE RESISTENCIA C25, COM BRITA 0 E 1, SLUMP = 190 +/- 20 MM, EXCLUI SERVICO DE BOMBEAMENTO (NBR 8953)</t>
  </si>
  <si>
    <t>CONCRETO USINADO BOMBEAVEL, CLASSE DE RESISTENCIA C30, COM BRITA 0 E 1, SLUMP = 100 +/- 20 MM, EXCLUI SERVICO DE BOMBEAMENTO (NBR 8953)</t>
  </si>
  <si>
    <t>CONCRETO USINADO BOMBEAVEL, CLASSE DE RESISTENCIA C30, COM BRITA 0 E 1, SLUMP = 100 +/- 20 MM, INCLUI SERVICO DE BOMBEAMENTO (NBR 8953)</t>
  </si>
  <si>
    <t>CONCRETO USINADO BOMBEAVEL, CLASSE DE RESISTENCIA C30, COM BRITA 0 E 1, SLUMP = 130 +/- 20 MM, EXCLUI SERVICO DE BOMBEAMENTO (NBR 8953)</t>
  </si>
  <si>
    <t>CONCRETO USINADO BOMBEAVEL, CLASSE DE RESISTENCIA C30, COM BRITA 0 E 1, SLUMP = 190 +/- 20 MM, EXCLUI SERVICO DE BOMBEAMENTO (NBR 8953)</t>
  </si>
  <si>
    <t>CONCRETO USINADO BOMBEAVEL, CLASSE DE RESISTENCIA C35, COM BRITA 0 E 1, SLUMP = 100 +/- 20 MM, EXCLUI SERVICO DE BOMBEAMENTO (NBR 8953)</t>
  </si>
  <si>
    <t>CONCRETO USINADO BOMBEAVEL, CLASSE DE RESISTENCIA C35, COM BRITA 0 E 1, SLUMP = 100 +/- 20 MM, INCLUI SERVICO DE BOMBEAMENTO (NBR 8953)</t>
  </si>
  <si>
    <t>CONCRETO USINADO BOMBEAVEL, CLASSE DE RESISTENCIA C40, COM BRITA 0 E 1, SLUMP = 100 +/- 20 MM, EXCLUI SERVICO DE BOMBEAMENTO (NBR 8953)</t>
  </si>
  <si>
    <t>CONCRETO USINADO BOMBEAVEL, CLASSE DE RESISTENCIA C40, COM BRITA 0 E 1, SLUMP = 100 +/- 20 MM, INCLUI SERVICO DE BOMBEAMENTO (NBR 8953)</t>
  </si>
  <si>
    <t>CONCRETO USINADO BOMBEAVEL, CLASSE DE RESISTENCIA C45, COM BRITA 0 E 1, SLUMP = 100 +/- 20 MM, INCLUI SERVICO DE BOMBEAMENTO (NBR 8953)</t>
  </si>
  <si>
    <t>CONCRETO USINADO BOMBEAVEL, CLASSE DE RESISTENCIA C50, COM BRITA 0 E 1, SLUMP = 100 +/- 20 MM, INCLUI SERVICO DE BOMBEAMENTO (NBR 8953)</t>
  </si>
  <si>
    <t>CONCRETO USINADO BOMBEAVEL, CLASSE DE RESISTENCIA C60, COM BRITA 0 E 1, SLUMP = 100 +/- 20 MM, INCLUI SERVICO DE BOMBEAMENTO (NBR 8953)</t>
  </si>
  <si>
    <t>CONCRETO USINADO BOMBEAVEL, CLASSE DE RESISTENCIA C80, COM BRITA 0 E 1, SLUMP = 100 +/- 20 MM, EXCLUI SERVICO DE BOMBEAMENTO (NBR 8953)</t>
  </si>
  <si>
    <t>CONCRETO USINADO CONVENCIONAL (NAO BOMBEAVEL) CLASSE DE RESISTENCIA C10, COM BRITA 1 E 2, SLUMP = 80 MM +/- 10 MM (NBR 8953)</t>
  </si>
  <si>
    <t>CONCRETO USINADO CONVENCIONAL (NAO BOMBEAVEL) CLASSE DE RESISTENCIA C15, COM BRITA 1 E 2, SLUMP = 80 MM +/- 10 MM (NBR 8953)</t>
  </si>
  <si>
    <t>CONDULETE DE ALUMINIO TIPO B, PARA ELETRODUTO ROSCAVEL DE 1/2", COM TAMPA CEGA</t>
  </si>
  <si>
    <t>CONDULETE DE ALUMINIO TIPO B, PARA ELETRODUTO ROSCAVEL DE 1", COM TAMPA CEGA</t>
  </si>
  <si>
    <t>CONDULETE DE ALUMINIO TIPO B, PARA ELETRODUTO ROSCAVEL DE 3/4", COM TAMPA CEGA</t>
  </si>
  <si>
    <t>CONDULETE DE ALUMINIO TIPO C, PARA ELETRODUTO ROSCAVEL DE 1/2", COM TAMPA CEGA</t>
  </si>
  <si>
    <t>CONDULETE DE ALUMINIO TIPO C, PARA ELETRODUTO ROSCAVEL DE 1", COM TAMPA CEGA</t>
  </si>
  <si>
    <t>CONDULETE DE ALUMINIO TIPO C, PARA ELETRODUTO ROSCAVEL DE 3/4", COM TAMPA CEGA</t>
  </si>
  <si>
    <t>CONDULETE DE ALUMINIO TIPO C, PARA ELETRODUTO ROSCAVEL DE 4", COM TAMPA CEGA</t>
  </si>
  <si>
    <t>CONDULETE DE ALUMINIO TIPO E, PARA ELETRODUTO ROSCAVEL DE 1  1/4", COM TAMPA CEGA</t>
  </si>
  <si>
    <t>CONDULETE DE ALUMINIO TIPO E, PARA ELETRODUTO ROSCAVEL DE 1 1/2", COM TAMPA CEGA</t>
  </si>
  <si>
    <t>CONDULETE DE ALUMINIO TIPO E, PARA ELETRODUTO ROSCAVEL DE 1/2", COM TAMPA CEGA</t>
  </si>
  <si>
    <t>CONDULETE DE ALUMINIO TIPO E, PARA ELETRODUTO ROSCAVEL DE 1", COM TAMPA CEGA</t>
  </si>
  <si>
    <t>CONDULETE DE ALUMINIO TIPO E, PARA ELETRODUTO ROSCAVEL DE 2", COM TAMPA CEGA</t>
  </si>
  <si>
    <t>CONDULETE DE ALUMINIO TIPO E, PARA ELETRODUTO ROSCAVEL DE 3/4", COM TAMPA CEGA</t>
  </si>
  <si>
    <t>CONDULETE DE ALUMINIO TIPO E, PARA ELETRODUTO ROSCAVEL DE 3", COM TAMPA CEGA</t>
  </si>
  <si>
    <t>CONDULETE DE ALUMINIO TIPO E, PARA ELETRODUTO ROSCAVEL DE 4", COM TAMPA CEGA</t>
  </si>
  <si>
    <t>CONDULETE DE ALUMINIO TIPO LR, PARA ELETRODUTO ROSCAVEL DE 1 1/2", COM TAMPA CEGA</t>
  </si>
  <si>
    <t>CONDULETE DE ALUMINIO TIPO LR, PARA ELETRODUTO ROSCAVEL DE 1 1/4", COM TAMPA CEGA</t>
  </si>
  <si>
    <t>CONDULETE DE ALUMINIO TIPO LR, PARA ELETRODUTO ROSCAVEL DE 1/2", COM TAMPA CEGA</t>
  </si>
  <si>
    <t>CONDULETE DE ALUMINIO TIPO LR, PARA ELETRODUTO ROSCAVEL DE 1", COM TAMPA CEGA</t>
  </si>
  <si>
    <t>CONDULETE DE ALUMINIO TIPO LR, PARA ELETRODUTO ROSCAVEL DE 2", COM TAMPA CEGA</t>
  </si>
  <si>
    <t>CONDULETE DE ALUMINIO TIPO LR, PARA ELETRODUTO ROSCAVEL DE 3/4", COM TAMPA CEGA</t>
  </si>
  <si>
    <t>CONDULETE DE ALUMINIO TIPO LR, PARA ELETRODUTO ROSCAVEL DE 3", COM TAMPA CEGA</t>
  </si>
  <si>
    <t>CONDULETE DE ALUMINIO TIPO LR, PARA ELETRODUTO ROSCAVEL DE 4", COM TAMPA CEGA</t>
  </si>
  <si>
    <t>CONDULETE DE ALUMINIO TIPO T, PARA ELETRODUTO ROSCAVEL DE 1 1/2", COM TAMPA CEGA</t>
  </si>
  <si>
    <t>CONDULETE DE ALUMINIO TIPO T, PARA ELETRODUTO ROSCAVEL DE 1 1/4", COM TAMPA CEGA</t>
  </si>
  <si>
    <t>CONDULETE DE ALUMINIO TIPO T, PARA ELETRODUTO ROSCAVEL DE 1/2", COM TAMPA CEGA</t>
  </si>
  <si>
    <t>CONDULETE DE ALUMINIO TIPO T, PARA ELETRODUTO ROSCAVEL DE 1", COM TAMPA CEGA</t>
  </si>
  <si>
    <t>CONDULETE DE ALUMINIO TIPO T, PARA ELETRODUTO ROSCAVEL DE 2", COM TAMPA CEGA</t>
  </si>
  <si>
    <t>CONDULETE DE ALUMINIO TIPO T, PARA ELETRODUTO ROSCAVEL DE 3/4", COM TAMPA CEGA</t>
  </si>
  <si>
    <t>CONDULETE DE ALUMINIO TIPO T, PARA ELETRODUTO ROSCAVEL DE 3", COM TAMPA CEGA</t>
  </si>
  <si>
    <t>CONDULETE DE ALUMINIO TIPO T, PARA ELETRODUTO ROSCAVEL DE 4", COM TAMPA CEGA</t>
  </si>
  <si>
    <t>CONDULETE DE ALUMINIO TIPO TB, PARA ELETRODUTO ROSCAVEL DE 3", COM TAMPA CEGA</t>
  </si>
  <si>
    <t>CONDULETE DE ALUMINIO TIPO X, PARA ELETRODUTO ROSCAVEL DE 1 1/2", COM TAMPA CEGA</t>
  </si>
  <si>
    <t>CONDULETE DE ALUMINIO TIPO X, PARA ELETRODUTO ROSCAVEL DE 1 1/4", COM TAMPA CEGA</t>
  </si>
  <si>
    <t>CONDULETE DE ALUMINIO TIPO X, PARA ELETRODUTO ROSCAVEL DE 1/2", COM TAMPA CEGA</t>
  </si>
  <si>
    <t>CONDULETE DE ALUMINIO TIPO X, PARA ELETRODUTO ROSCAVEL DE 1", COM TAMPA CEGA</t>
  </si>
  <si>
    <t>CONDULETE DE ALUMINIO TIPO X, PARA ELETRODUTO ROSCAVEL DE 2", COM TAMPA CEGA</t>
  </si>
  <si>
    <t>CONDULETE DE ALUMINIO TIPO X, PARA ELETRODUTO ROSCAVEL DE 3/4", COM TAMPA CEGA</t>
  </si>
  <si>
    <t>CONDULETE DE ALUMINIO TIPO X, PARA ELETRODUTO ROSCAVEL DE 3", COM TAMPA CEGA</t>
  </si>
  <si>
    <t>CONDULETE DE ALUMINIO TIPO X, PARA ELETRODUTO ROSCAVEL DE 4", COM TAMPA CEGA</t>
  </si>
  <si>
    <t>CONDULETE EM PVC, TIPO "B", SEM TAMPA, DE 1/2" OU 3/4"</t>
  </si>
  <si>
    <t>CONDULETE EM PVC, TIPO "B", SEM TAMPA, DE 1"</t>
  </si>
  <si>
    <t>CONDULETE EM PVC, TIPO "C", SEM TAMPA, DE 1/2"</t>
  </si>
  <si>
    <t>CONDULETE EM PVC, TIPO "C", SEM TAMPA, DE 1"</t>
  </si>
  <si>
    <t>CONDULETE EM PVC, TIPO "C", SEM TAMPA, DE 3/4"</t>
  </si>
  <si>
    <t>CONDULETE EM PVC, TIPO "E", SEM TAMPA, DE 1/2"</t>
  </si>
  <si>
    <t>CONDULETE EM PVC, TIPO "E", SEM TAMPA, DE 1"</t>
  </si>
  <si>
    <t>CONDULETE EM PVC, TIPO "E", SEM TAMPA, DE 3/4"</t>
  </si>
  <si>
    <t>CONDULETE EM PVC, TIPO "LB", SEM TAMPA, DE 1/2" OU 3/4"</t>
  </si>
  <si>
    <t>CONDULETE EM PVC, TIPO "LB", SEM TAMPA, DE 1"</t>
  </si>
  <si>
    <t>CONDULETE EM PVC, TIPO "LL", SEM TAMPA, DE 1/2" OU 3/4"</t>
  </si>
  <si>
    <t>CONDULETE EM PVC, TIPO "LL", SEM TAMPA, DE 1"</t>
  </si>
  <si>
    <t>CONDULETE EM PVC, TIPO "LR", SEM TAMPA, DE 1/2"</t>
  </si>
  <si>
    <t>CONDULETE EM PVC, TIPO "LR", SEM TAMPA, DE 1"</t>
  </si>
  <si>
    <t>CONDULETE EM PVC, TIPO "LR", SEM TAMPA, DE 3/4"</t>
  </si>
  <si>
    <t>CONDULETE EM PVC, TIPO "T", SEM TAMPA, DE 1"</t>
  </si>
  <si>
    <t>CONDULETE EM PVC, TIPO "T", SEM TAMPA, DE 3/4"</t>
  </si>
  <si>
    <t>CONDULETE EM PVC, TIPO "TB", SEM TAMPA, DE 1/2" OU 3/4"</t>
  </si>
  <si>
    <t>CONDULETE EM PVC, TIPO "TB", SEM TAMPA, DE 1"</t>
  </si>
  <si>
    <t>CONDULETE EM PVC, TIPO "X", SEM TAMPA, DE 1/2"</t>
  </si>
  <si>
    <t>CONDULETE EM PVC, TIPO "X", SEM TAMPA, DE 1"</t>
  </si>
  <si>
    <t>CONDULETE EM PVC, TIPO "X", SEM TAMPA, DE 3/4"</t>
  </si>
  <si>
    <t>CONDUTOR PLUVIAL, PVC, CIRCULAR, DIAMETRO ENTRE 80 E 100 MM, PARA DRENAGEM PREDIAL</t>
  </si>
  <si>
    <t>CONE DE SINALIZACAO EM PVC FLEXIVEL, H = 70 / 76 CM (NBR 15071)</t>
  </si>
  <si>
    <t>CONE DE SINALIZACAO EM PVC RIGIDO COM FAIXA REFLETIVA, H = 70 / 76 CM</t>
  </si>
  <si>
    <t>CONECTOR / ADAPTADOR FEMEA, COM INSERTO METALICO, PPR, DN 25 MM X 1/2", PARA AGUA QUENTE E FRIA PREDIAL</t>
  </si>
  <si>
    <t>CONECTOR / ADAPTADOR FEMEA, COM INSERTO METALICO, PPR, DN 32 MM X 3/4", PARA AGUA QUENTE E FRIA PREDIAL</t>
  </si>
  <si>
    <t>CONECTOR / ADAPTADOR MACHO, COM INSERTO METALICO, PPR, DN 25 MM X 1/2", PARA AGUA QUENTE E FRIA PREDIAL</t>
  </si>
  <si>
    <t>CONECTOR / ADAPTADOR MACHO, COM INSERTO METALICO, PPR, DN 32 MM X 3/4", PARA AGUA QUENTE E FRIA PREDIAL</t>
  </si>
  <si>
    <t>CONECTOR BRONZE/LATAO (REF 603) SEM ANEL DE SOLDA, BOLSA X ROSCA F, 15 MM X 1/2"</t>
  </si>
  <si>
    <t>CONECTOR BRONZE/LATAO (REF 603) SEM ANEL DE SOLDA, BOLSA X ROSCA F, 22 MM X 1/2"</t>
  </si>
  <si>
    <t>CONECTOR BRONZE/LATAO (REF 603) SEM ANEL DE SOLDA, BOLSA X ROSCA F, 22 MM X 3/4"</t>
  </si>
  <si>
    <t>CONECTOR BRONZE/LATAO (REF 603) SEM ANEL DE SOLDA, BOLSA X ROSCA F, 28 MM X 1/2"</t>
  </si>
  <si>
    <t>CONECTOR CURVO 90 GRAUS DE ALUMINIO, BITOLA 1 1/2", PARA ADAPTAR ENTRADA DE ELETRODUTO METALICO FLEXIVEL EM QUADROS</t>
  </si>
  <si>
    <t>CONECTOR CURVO 90 GRAUS DE ALUMINIO, BITOLA 1 1/4", PARA ADAPTAR ENTRADA DE ELETRODUTO METALICO FLEXIVEL EM QUADROS</t>
  </si>
  <si>
    <t>CONECTOR CURVO 90 GRAUS DE ALUMINIO, BITOLA 1/2", PARA ADAPTAR ENTRADA DE ELETRODUTO METALICO FLEXIVEL EM QUADROS</t>
  </si>
  <si>
    <t>CONECTOR CURVO 90 GRAUS DE ALUMINIO, BITOLA 1", PARA ADAPTAR ENTRADA DE ELETRODUTO METALICO FLEXIVEL EM QUADROS</t>
  </si>
  <si>
    <t>CONECTOR CURVO 90 GRAUS DE ALUMINIO, BITOLA 2 1/2", PARA ADAPTAR ENTRADA DE ELETRODUTO METALICO FLEXIVEL EM QUADROS</t>
  </si>
  <si>
    <t>CONECTOR CURVO 90 GRAUS DE ALUMINIO, BITOLA 2", PARA ADAPTAR ENTRADA DE ELETRODUTO METALICO FLEXIVEL EM QUADROS</t>
  </si>
  <si>
    <t>CONECTOR CURVO 90 GRAUS DE ALUMINIO, BITOLA 3/4", PARA ADAPTAR ENTRADA DE ELETRODUTO METALICO FLEXIVEL EM QUADROS</t>
  </si>
  <si>
    <t>CONECTOR CURVO 90 GRAUS DE ALUMINIO, BITOLA 3", PARA ADAPTAR ENTRADA DE ELETRODUTO METALICO FLEXIVEL EM QUADROS</t>
  </si>
  <si>
    <t>CONECTOR CURVO 90 GRAUS DE ALUMINIO, BITOLA 4", PARA ADAPTAR ENTRADA DE ELETRODUTO METALICO FLEXIVEL EM QUADROS</t>
  </si>
  <si>
    <t>CONECTOR DE ALUMINIO TIPO PRENSA CABO, BITOLA 1 1/2", PARA CABOS DE DIAMETRO DE 37 A 40 MM</t>
  </si>
  <si>
    <t>CONECTOR DE ALUMINIO TIPO PRENSA CABO, BITOLA 1 1/4", PARA CABOS DE DIAMETRO DE 31 A 34 MM</t>
  </si>
  <si>
    <t>CONECTOR DE ALUMINIO TIPO PRENSA CABO, BITOLA 1/2", PARA CABOS DE DIAMETRO DE 12,5 A 15 MM</t>
  </si>
  <si>
    <t>CONECTOR DE ALUMINIO TIPO PRENSA CABO, BITOLA 1", PARA CABOS DE DIAMETRO DE 22,5 A 25 MM</t>
  </si>
  <si>
    <t>CONECTOR DE ALUMINIO TIPO PRENSA CABO, BITOLA 2", PARA CABOS DE DIAMETRO DE 47,5 A 50 MM</t>
  </si>
  <si>
    <t>CONECTOR DE ALUMINIO TIPO PRENSA CABO, BITOLA 3/4", PARA CABOS DE DIAMETRO DE 17,5 A 20 MM</t>
  </si>
  <si>
    <t>CONECTOR DE ALUMINIO TIPO PRENSA CABO, BITOLA 3/8", PARA CABOS DE DIAMETRO DE 9 A 10 MM</t>
  </si>
  <si>
    <t>CONECTOR FEMEA RJ - 45, CATEGORIA 5 E</t>
  </si>
  <si>
    <t>CONECTOR FEMEA RJ - 45, CATEGORIA 6</t>
  </si>
  <si>
    <t>CONECTOR MACHO RJ - 45, CATEGORIA 5 E</t>
  </si>
  <si>
    <t>CONECTOR MACHO RJ - 45, CATEGORIA 6</t>
  </si>
  <si>
    <t>CONECTOR METALICO TIPO PARAFUSO FENDIDO (SPLIT BOLT), COM SEPARADOR DE CABOS BIMETALICOS, PARA CABOS ATE 25 MM2</t>
  </si>
  <si>
    <t>CONECTOR METALICO TIPO PARAFUSO FENDIDO (SPLIT BOLT), COM SEPARADOR DE CABOS BIMETALICOS, PARA CABOS ATE 50 MM2</t>
  </si>
  <si>
    <t>CONECTOR METALICO TIPO PARAFUSO FENDIDO (SPLIT BOLT), COM SEPARADOR DE CABOS BIMETALICOS, PARA CABOS ATE 70 MM2</t>
  </si>
  <si>
    <t>CONECTOR METALICO TIPO PARAFUSO FENDIDO (SPLIT BOLT), PARA CABOS ATE 10 MM2</t>
  </si>
  <si>
    <t>CONECTOR METALICO TIPO PARAFUSO FENDIDO (SPLIT BOLT), PARA CABOS ATE 120 MM2</t>
  </si>
  <si>
    <t>CONECTOR METALICO TIPO PARAFUSO FENDIDO (SPLIT BOLT), PARA CABOS ATE 150 MM2</t>
  </si>
  <si>
    <t>CONECTOR METALICO TIPO PARAFUSO FENDIDO (SPLIT BOLT), PARA CABOS ATE 16 MM2</t>
  </si>
  <si>
    <t>CONECTOR METALICO TIPO PARAFUSO FENDIDO (SPLIT BOLT), PARA CABOS ATE 185 MM2</t>
  </si>
  <si>
    <t>CONECTOR METALICO TIPO PARAFUSO FENDIDO (SPLIT BOLT), PARA CABOS ATE 25 MM2</t>
  </si>
  <si>
    <t>CONECTOR METALICO TIPO PARAFUSO FENDIDO (SPLIT BOLT), PARA CABOS ATE 35 MM2</t>
  </si>
  <si>
    <t>CONECTOR METALICO TIPO PARAFUSO FENDIDO (SPLIT BOLT), PARA CABOS ATE 50 MM2</t>
  </si>
  <si>
    <t>CONECTOR METALICO TIPO PARAFUSO FENDIDO (SPLIT BOLT), PARA CABOS ATE 6 MM2</t>
  </si>
  <si>
    <t>CONECTOR METALICO TIPO PARAFUSO FENDIDO (SPLIT BOLT), PARA CABOS ATE 70 MM2</t>
  </si>
  <si>
    <t>CONECTOR METALICO TIPO PARAFUSO FENDIDO (SPLIT BOLT), PARA CABOS ATE 95 MM2</t>
  </si>
  <si>
    <t>CONECTOR RETO DE ALUMINIO PARA ELETRODUTO DE 1 1/2", PARA ADAPTAR ENTRADA DE ELETRODUTO METALICO FLEXIVEL EM QUADROS</t>
  </si>
  <si>
    <t>CONECTOR RETO DE ALUMINIO PARA ELETRODUTO DE 1 1/4", PARA ADAPTAR ENTRADA DE ELETRODUTO METALICO FLEXIVEL EM QUADROS</t>
  </si>
  <si>
    <t>CONECTOR RETO DE ALUMINIO PARA ELETRODUTO DE 1/2", PARA ADAPTAR ENTRADA DE ELETRODUTO METALICO FLEXIVEL EM QUADROS</t>
  </si>
  <si>
    <t>CONECTOR RETO DE ALUMINIO PARA ELETRODUTO DE 1", PARA ADAPTAR ENTRADA DE ELETRODUTO METALICO FLEXIVEL EM QUADROS</t>
  </si>
  <si>
    <t>CONECTOR RETO DE ALUMINIO PARA ELETRODUTO DE 2 1/2", PARA ADAPTAR ENTRADA DE ELETRODUTO METALICO FLEXIVEL EM QUADROS</t>
  </si>
  <si>
    <t>CONECTOR RETO DE ALUMINIO PARA ELETRODUTO DE 2", PARA ADAPTAR ENTRADA DE ELETRODUTO METALICO FLEXIVEL EM QUADROS</t>
  </si>
  <si>
    <t>CONECTOR RETO DE ALUMINIO PARA ELETRODUTO DE 3/4", PARA ADAPTAR ENTRADA DE ELETRODUTO METALICO FLEXIVEL EM QUADROS</t>
  </si>
  <si>
    <t>CONECTOR RETO DE ALUMINIO PARA ELETRODUTO DE 3", PARA ADAPTAR ENTRADA DE ELETRODUTO METALICO FLEXIVEL EM QUADROS</t>
  </si>
  <si>
    <t>CONECTOR RETO DE ALUMINIO PARA ELETRODUTO DE 4", PARA ADAPTAR ENTRADA DE ELETRODUTO METALICO FLEXIVEL EM QUADROS</t>
  </si>
  <si>
    <t>CONECTOR, CPVC, SOLDAVEL, 15 MM X 1/2", PARA AGUA QUENTE</t>
  </si>
  <si>
    <t>CONECTOR, CPVC, SOLDAVEL, 22 MM X 1/2", PARA AGUA QUENTE</t>
  </si>
  <si>
    <t>CONECTOR, CPVC, SOLDAVEL, 22 MM X 3/4", PARA AGUA QUENTE</t>
  </si>
  <si>
    <t>CONECTOR, CPVC, SOLDAVEL, 28 MM X 1", PARA AGUA QUENTE</t>
  </si>
  <si>
    <t>CONECTOR, CPVC, SOLDAVEL, 35 MM X 1 1/4", PARA AGUA QUENTE</t>
  </si>
  <si>
    <t>CONECTOR, CPVC, SOLDAVEL, 42 MM X 1 1/2", PARA AGUA QUENTE</t>
  </si>
  <si>
    <t>CONEXAO FIXA, ROSCA FEMEA, EM PLASTICO, DN 16 MM X 1/2", PARA CONEXAO COM CRIMPAGEM EM TUBO PEX</t>
  </si>
  <si>
    <t>CONEXAO FIXA, ROSCA FEMEA, EM PLASTICO, DN 16 MM X 3/4", PARA CONEXAO COM CRIMPAGEM EM TUBO PEX</t>
  </si>
  <si>
    <t>CONEXAO FIXA, ROSCA FEMEA, EM PLASTICO, DN 20 MM X 1/2", PARA CONEXAO COM CRIMPAGEM EM TUBO PEX</t>
  </si>
  <si>
    <t>CONEXAO FIXA, ROSCA FEMEA, EM PLASTICO, DN 20 MM X 3/4", PARA CONEXAO COM CRIMPAGEM EM TUBO PEX</t>
  </si>
  <si>
    <t>CONEXAO FIXA, ROSCA FEMEA, EM PLASTICO, DN 25 MM X 1/2", PARA CONEXAO COM CRIMPAGEM EM TUBO PEX</t>
  </si>
  <si>
    <t>CONEXAO FIXA, ROSCA FEMEA, EM PLASTICO, DN 25 MM X 3/4", PARA CONEXAO COM CRIMPAGEM EM TUBO PEX</t>
  </si>
  <si>
    <t>CONEXAO FIXA, ROSCA FEMEA, EM PLASTICO, DN 32 MM X 3/4", PARA CONEXAO COM CRIMPAGEM EM TUBO PEX</t>
  </si>
  <si>
    <t>CONEXAO FIXA, ROSCA FEMEA, METALICA, COM ANEL DESLIZANTE, DN 16 MM X 1/2", PARA TUBO PEX</t>
  </si>
  <si>
    <t>CONEXAO FIXA, ROSCA FEMEA, METALICA, COM ANEL DESLIZANTE, DN 20 MM X 1/2", PARA TUBO PEX</t>
  </si>
  <si>
    <t>CONEXAO FIXA, ROSCA FEMEA, METALICA, COM ANEL DESLIZANTE, DN 20 MM X 3/4", PARA TUBO PEX</t>
  </si>
  <si>
    <t>CONEXAO FIXA, ROSCA FEMEA, METALICA, COM ANEL DESLIZANTE, DN 25 MM X 1", PARA TUBO PEX</t>
  </si>
  <si>
    <t>CONEXAO FIXA, ROSCA FEMEA, METALICA, COM ANEL DESLIZANTE, DN 25 MM X 3/4", PARA TUBO PEX</t>
  </si>
  <si>
    <t>CONEXAO FIXA, ROSCA FEMEA, METALICA, COM ANEL DESLIZANTE, DN 32 MM X 1", PARA TUBO PEX</t>
  </si>
  <si>
    <t>CONEXAO FIXA, ROSCA MACHO, METALICA, PARA TUBO PEX, DN 16 MM X 1/2"</t>
  </si>
  <si>
    <t>CONEXAO FIXA, ROSCA MACHO, METALICA, PARA TUBO PEX, DN 16 MM X 3/4"</t>
  </si>
  <si>
    <t>CONEXAO FIXA, ROSCA MACHO, METALICA, PARA TUBO PEX, DN 20 MM X 1/2"</t>
  </si>
  <si>
    <t>CONEXAO FIXA, ROSCA MACHO, METALICA, PARA TUBO PEX, DN 20 MM X 3/4"</t>
  </si>
  <si>
    <t>CONEXAO FIXA, ROSCA MACHO, METALICA, PARA TUBO PEX, DN 25 MM X 1/2"</t>
  </si>
  <si>
    <t>CONEXAO FIXA, ROSCA MACHO, METALICA, PARA TUBO PEX, DN 25 MM X 1"</t>
  </si>
  <si>
    <t>CONEXAO FIXA, ROSCA MACHO, METALICA, PARA TUBO PEX, DN 25 MM X 3/4"</t>
  </si>
  <si>
    <t>CONEXAO FIXA, ROSCA MACHO, METALICA, PARA TUBO PEX, DN 32 MM X 1"</t>
  </si>
  <si>
    <t>CONEXAO MOVEL, ROSCA FEMEA, METALICA, COM ANEL DESLIZANTE, PARA TUBO PEX, DN 16 MM X 1/2"</t>
  </si>
  <si>
    <t>CONEXAO MOVEL, ROSCA FEMEA, METALICA, COM ANEL DESLIZANTE, PARA TUBO PEX, DN 16 MM X 3/4"</t>
  </si>
  <si>
    <t>CONEXAO MOVEL, ROSCA FEMEA, METALICA, COM ANEL DESLIZANTE, PARA TUBO PEX, DN 20 MM X 1/2"</t>
  </si>
  <si>
    <t>CONEXAO MOVEL, ROSCA FEMEA, METALICA, COM ANEL DESLIZANTE, PARA TUBO PEX, DN 20 MM X 3/4"</t>
  </si>
  <si>
    <t>CONEXAO MOVEL, ROSCA FEMEA, METALICA, COM ANEL DESLIZANTE, PARA TUBO PEX, DN 25 MM X 1"</t>
  </si>
  <si>
    <t>CONEXAO MOVEL, ROSCA FEMEA, METALICA, COM ANEL DESLIZANTE, PARA TUBO PEX, DN 25 MM X 3/4"</t>
  </si>
  <si>
    <t>CONEXAO MOVEL, ROSCA FEMEA, METALICA, COM ANEL DESLIZANTE, PARA TUBO PEX, DN 32 MM X 1"</t>
  </si>
  <si>
    <t>CONJUNTO ARRUELAS DE VEDACAO 5/16" PARA TELHA FIBROCIMENTO (UMA ARRUELA METALICA E UMA ARRUELA PVC - CONICAS)</t>
  </si>
  <si>
    <t>CONJUNTO DE FECHADURA DE SOBREPOR EM FERRO PINTADO, SEM MACANETA, COM CHAVE GRANDE (SEM CILINDRO) - TIPO CAIXAO - COMPLETA</t>
  </si>
  <si>
    <t>CONJUNTO DE FERRAGENS PIVO, PARA PORTA PIVOTANTE DE ATE 100 KG, REGULAVEL COM ESFERA , CROMADO - SUPERIOR E INFERIOR - COMPLETO</t>
  </si>
  <si>
    <t>CONJUNTO DE LIGACAO PARA BACIA SANITARIA AJUSTAVEL, EM PLASTICO BRANCO, COM TUBO, CANOPLA E ESPUDE</t>
  </si>
  <si>
    <t>CONJUNTO DE LIGACAO PARA BACIA SANITARIA EM PLASTICO BRANCO COM TUBO, CANOPLA E ANEL DE EXPANSAO (TUBO 1.1/2 '' X 20 CM)</t>
  </si>
  <si>
    <t>CONJUNTO MONTADO ESTOPIM COM ESPOLETA COMUM NUMERO 8, COM CABECA ACENDEDORA, 1,5 M</t>
  </si>
  <si>
    <t>CONJUNTO PARA FUTSAL COM TRAVES OFICIAIS DE 3,00 X 2,00 M EM TUBO DE ACO GALVANIZADO 3" COM REQUADRO EM TUBO DE 1", PINTURA EM PRIMER COM TINTA ESMALTE SINTETICO E REDES DE POLIETILENO FIO 4 MM</t>
  </si>
  <si>
    <t>CONJUNTO PARA QUADRA DE  VOLEI COM POSTES EM TUBO DE ACO GALVANIZADO 3", H = *255* CM, PINTURA EM TINTA ESMALTE SINTETICO, REDE DE NYLON COM 2 MM, MALHA 10 X 10 CM E ANTENAS OFICIAIS EM FIBRA DE VIDRO</t>
  </si>
  <si>
    <t>CONTAINER ALMOXARIFADO, DE *2,40* X *6,00* M, PADRAO SIMPLES, SEM REVESTIMENTO E SEM DIVISORIAS INTERNOS E SEM SANITARIO, PARA USO EM CANTEIRO DE OBRAS</t>
  </si>
  <si>
    <t>CONTATOR TRIPOLAR, CORRENTE DE *110* A, TENSAO NOMINAL DE *500* V, CATEGORIA AC-2 E AC-3</t>
  </si>
  <si>
    <t>CONTATOR TRIPOLAR, CORRENTE DE *185* A, TENSAO NOMINAL DE *500* V, CATEGORIA AC-2 E AC-3</t>
  </si>
  <si>
    <t>CONTATOR TRIPOLAR, CORRENTE DE *22* A, TENSAO NOMINAL DE *500* V, CATEGORIA AC-2 E AC-3</t>
  </si>
  <si>
    <t>CONTATOR TRIPOLAR, CORRENTE DE *265* A, TENSAO NOMINAL DE *500* V, CATEGORIA AC-2 E AC-3</t>
  </si>
  <si>
    <t>CONTATOR TRIPOLAR, CORRENTE DE *38* A, TENSAO NOMINAL DE *500* V, CATEGORIA AC-2 E AC-3</t>
  </si>
  <si>
    <t>CONTATOR TRIPOLAR, CORRENTE DE *500* A, TENSAO NOMINAL DE *500* V, CATEGORIA AC-2 E AC-3</t>
  </si>
  <si>
    <t>CONTATOR TRIPOLAR, CORRENTE DE *65* A, TENSAO NOMINAL DE *500* V, CATEGORIA AC-2 E AC-3</t>
  </si>
  <si>
    <t>CONTATOR TRIPOLAR, CORRENTE DE 12 A, TENSAO NOMINAL DE *500* V, CATEGORIA AC-2 E AC-3</t>
  </si>
  <si>
    <t>CONTATOR TRIPOLAR, CORRENTE DE 25 A, TENSAO NOMINAL DE *500* V, CATEGORIA AC-2 E AC-3</t>
  </si>
  <si>
    <t>CONTATOR TRIPOLAR, CORRENTE DE 250 A, TENSAO NOMINAL DE *500* V, PARA ACIONAMENTO DE CAPACITORES</t>
  </si>
  <si>
    <t>CONTATOR TRIPOLAR, CORRENTE DE 300 A, TENSAO NOMINAL DE *500* V, CATEGORIA AC-2 E AC-3</t>
  </si>
  <si>
    <t>CONTATOR TRIPOLAR, CORRENTE DE 32 A, TENSAO NOMINAL DE *500* V, CATEGORIA AC-2 E AC-3</t>
  </si>
  <si>
    <t>CONTATOR TRIPOLAR, CORRENTE DE 400 A, TENSAO NOMINAL DE *500* V, CATEGORIA AC-2 E AC-3</t>
  </si>
  <si>
    <t>CONTATOR TRIPOLAR, CORRENTE DE 45 A, TENSAO NOMINAL DE *500* V, CATEGORIA AC-2 E AC-3</t>
  </si>
  <si>
    <t>CONTATOR TRIPOLAR, CORRENTE DE 630 A, TENSAO NOMINAL DE *500* V, CATEGORIA AC-2 E AC-3</t>
  </si>
  <si>
    <t>CONTATOR TRIPOLAR, CORRENTE DE 75 A, TENSAO NOMINAL DE *500* V, CATEGORIA AC-2 E AC-3</t>
  </si>
  <si>
    <t>CONTATOR TRIPOLAR, CORRENTE DE 9 A, TENSAO NOMINAL DE *500* V, CATEGORIA AC-2 E AC-3</t>
  </si>
  <si>
    <t>CONTATOR TRIPOLAR, CORRENTE DE 95 A, TENSAO NOMINAL DE *500* V, CATEGORIA AC-2 E AC-3</t>
  </si>
  <si>
    <t>CONTRA-PORCA SEXTAVADA, DIAMETRO NOMINAL 1 3/8", ALTURA 35 MM</t>
  </si>
  <si>
    <t>COORDENADOR / GERENTE DE OBRA</t>
  </si>
  <si>
    <t>COORDENADOR / GERENTE DE OBRA (MENSALISTA)</t>
  </si>
  <si>
    <t>CORANTE LIQUIDO PARA TINTA PVA, BISNAGA 50 ML</t>
  </si>
  <si>
    <t>CORDA DE POLIAMIDA 12 MM TIPO BOMBEIRO, PARA TRABALHO EM ALTURA</t>
  </si>
  <si>
    <t>CORDAO DE COBRE, FLEXIVEL, TORCIDO, CLASSE 4 OU 5, ISOLACAO EM PVC/D, 300 V, 2 CONDUTORES DE 0,5 MM2</t>
  </si>
  <si>
    <t>CORDAO DE COBRE, FLEXIVEL, TORCIDO, CLASSE 4 OU 5, ISOLACAO EM PVC/D, 300 V, 2 CONDUTORES DE 0,75 MM2</t>
  </si>
  <si>
    <t>CORDAO DE COBRE, FLEXIVEL, TORCIDO, CLASSE 4 OU 5, ISOLACAO EM PVC/D, 300 V, 2 CONDUTORES DE 1,0 MM2</t>
  </si>
  <si>
    <t>CORDAO DE COBRE, FLEXIVEL, TORCIDO, CLASSE 4 OU 5, ISOLACAO EM PVC/D, 300 V, 2 CONDUTORES DE 1,5 MM2</t>
  </si>
  <si>
    <t>CORDAO DE COBRE, FLEXIVEL, TORCIDO, CLASSE 4 OU 5, ISOLACAO EM PVC/D, 300 V, 2 CONDUTORES DE 2,5 MM2</t>
  </si>
  <si>
    <t>CORDAO DE COBRE, FLEXIVEL, TORCIDO, CLASSE 4 OU 5, ISOLACAO EM PVC/D, 300 V, 2 CONDUTORES DE 4 MM2</t>
  </si>
  <si>
    <t>CORDEL DETONANTE, NP 05 G/M</t>
  </si>
  <si>
    <t>CORDEL DETONANTE, NP 10 G/M</t>
  </si>
  <si>
    <t>CORRENTE DE ELO CURTO COMUM, SOLDADA, GALVANIZADA, ESPESSURA DO ELO = 1/2" (12,5 MM)</t>
  </si>
  <si>
    <t>CORTADEIRA DE PISO DE CONCRETO E ASFALTO, PARA DISCO PADRAO DE DIAMETRO 350 MM (14") OU 450 MM (18") , MOTOR A GASOLINA, POTENCIA 13 HP, SEM DISCO</t>
  </si>
  <si>
    <t>CORTADEIRA HIDRAULICA DE VERGALHAO, PARA ACO DE DIAMETRO ATE 50 MM, MOTOR ELETRICO TRIFASICO, POTENCIA DE 5,5 HP A 7,5 HP</t>
  </si>
  <si>
    <t>COTOVELO BRONZE/LATAO (REF 707-3) SEM ANEL DE SOLDA, BOLSA X ROSCA F, 15MM X 1/2"</t>
  </si>
  <si>
    <t>COTOVELO BRONZE/LATAO (REF 707-3) SEM ANEL DE SOLDA, BOLSA X ROSCA F, 22MM X 1/2"</t>
  </si>
  <si>
    <t>COTOVELO BRONZE/LATAO (REF 707-3) SEM ANEL DE SOLDA, BOLSA X ROSCA F, 22MM X 3/4"</t>
  </si>
  <si>
    <t>COTOVELO DE COBRE 90 GRAUS (REF 607) SEM ANEL DE SOLDA, BOLSA X BOLSA, 104 MM</t>
  </si>
  <si>
    <t>COTOVELO DE COBRE 90 GRAUS (REF 607) SEM ANEL DE SOLDA, BOLSA X BOLSA, 15 MM</t>
  </si>
  <si>
    <t>COTOVELO DE COBRE 90 GRAUS (REF 607) SEM ANEL DE SOLDA, BOLSA X BOLSA, 22 MM</t>
  </si>
  <si>
    <t>COTOVELO DE COBRE 90 GRAUS (REF 607) SEM ANEL DE SOLDA, BOLSA X BOLSA, 28 MM</t>
  </si>
  <si>
    <t>COTOVELO DE COBRE 90 GRAUS (REF 607) SEM ANEL DE SOLDA, BOLSA X BOLSA, 35 MM</t>
  </si>
  <si>
    <t>COTOVELO DE COBRE 90 GRAUS (REF 607) SEM ANEL DE SOLDA, BOLSA X BOLSA, 42 MM</t>
  </si>
  <si>
    <t>COTOVELO DE COBRE 90 GRAUS (REF 607) SEM ANEL DE SOLDA, BOLSA X BOLSA, 54 MM</t>
  </si>
  <si>
    <t>COTOVELO DE COBRE 90 GRAUS (REF 607) SEM ANEL DE SOLDA, BOLSA X BOLSA, 66 MM</t>
  </si>
  <si>
    <t>COTOVELO DE COBRE 90 GRAUS (REF 607) SEM ANEL DE SOLDA, BOLSA X BOLSA, 79 MM</t>
  </si>
  <si>
    <t>COTOVELO DE REDUCAO 90 GRAUS DE FERRO GALVANIZADO, COM ROSCA BSP, DE 1 1/2" X 1"</t>
  </si>
  <si>
    <t>COTOVELO DE REDUCAO 90 GRAUS DE FERRO GALVANIZADO, COM ROSCA BSP, DE 1 1/2" X 3/4"</t>
  </si>
  <si>
    <t>COTOVELO DE REDUCAO 90 GRAUS DE FERRO GALVANIZADO, COM ROSCA BSP, DE 1 1/4" X 1"</t>
  </si>
  <si>
    <t>COTOVELO DE REDUCAO 90 GRAUS DE FERRO GALVANIZADO, COM ROSCA BSP, DE 1" X 1/2"</t>
  </si>
  <si>
    <t>COTOVELO DE REDUCAO 90 GRAUS DE FERRO GALVANIZADO, COM ROSCA BSP, DE 1" X 3/4"</t>
  </si>
  <si>
    <t>COTOVELO DE REDUCAO 90 GRAUS DE FERRO GALVANIZADO, COM ROSCA BSP, DE 2 1/2" X 2"</t>
  </si>
  <si>
    <t>COTOVELO DE REDUCAO 90 GRAUS DE FERRO GALVANIZADO, COM ROSCA BSP, DE 2" X 1 1/2"</t>
  </si>
  <si>
    <t>COTOVELO DE REDUCAO 90 GRAUS DE FERRO GALVANIZADO, COM ROSCA BSP, DE 3/4" X 1/2"</t>
  </si>
  <si>
    <t>COTOVELO 45 GRAUS DE FERRO GALVANIZADO, COM ROSCA BSP, DE 1 1/2"</t>
  </si>
  <si>
    <t>COTOVELO 45 GRAUS DE FERRO GALVANIZADO, COM ROSCA BSP, DE 1 1/4"</t>
  </si>
  <si>
    <t>COTOVELO 45 GRAUS DE FERRO GALVANIZADO, COM ROSCA BSP, DE 1/2"</t>
  </si>
  <si>
    <t>COTOVELO 45 GRAUS DE FERRO GALVANIZADO, COM ROSCA BSP, DE 1"</t>
  </si>
  <si>
    <t>COTOVELO 45 GRAUS DE FERRO GALVANIZADO, COM ROSCA BSP, DE 2 1/2"</t>
  </si>
  <si>
    <t>COTOVELO 45 GRAUS DE FERRO GALVANIZADO, COM ROSCA BSP, DE 2"</t>
  </si>
  <si>
    <t>COTOVELO 45 GRAUS DE FERRO GALVANIZADO, COM ROSCA BSP, DE 3/4"</t>
  </si>
  <si>
    <t>COTOVELO 45 GRAUS DE FERRO GALVANIZADO, COM ROSCA BSP, DE 3"</t>
  </si>
  <si>
    <t>COTOVELO 45 GRAUS DE FERRO GALVANIZADO, COM ROSCA BSP, DE 4"</t>
  </si>
  <si>
    <t>COTOVELO 45 GRAUS, PEAD PE 100, DE 125 MM, PARA ELETROFUSAO</t>
  </si>
  <si>
    <t>COTOVELO 45 GRAUS, PEAD PE 100, DE 200 MM, PARA ELETROFUSAO</t>
  </si>
  <si>
    <t>COTOVELO 45 GRAUS, PEAD PE 100, DE 32 MM, PARA ELETROFUSAO</t>
  </si>
  <si>
    <t>COTOVELO 45 GRAUS, PEAD PE 100, DE 40 MM, PARA ELETROFUSAO</t>
  </si>
  <si>
    <t>COTOVELO 45 GRAUS, PEAD PE 100, DE 63 MM, PARA ELETROFUSAO</t>
  </si>
  <si>
    <t>COTOVELO 90 GRAUS DE FERRO GALVANIZADO, COM ROSCA BSP MACHO/FEMEA, DE 1 1/2"</t>
  </si>
  <si>
    <t>COTOVELO 90 GRAUS DE FERRO GALVANIZADO, COM ROSCA BSP MACHO/FEMEA, DE 1 1/4"</t>
  </si>
  <si>
    <t>COTOVELO 90 GRAUS DE FERRO GALVANIZADO, COM ROSCA BSP MACHO/FEMEA, DE 1/2"</t>
  </si>
  <si>
    <t>COTOVELO 90 GRAUS DE FERRO GALVANIZADO, COM ROSCA BSP MACHO/FEMEA, DE 1"</t>
  </si>
  <si>
    <t>COTOVELO 90 GRAUS DE FERRO GALVANIZADO, COM ROSCA BSP MACHO/FEMEA, DE 2 1/2"</t>
  </si>
  <si>
    <t>COTOVELO 90 GRAUS DE FERRO GALVANIZADO, COM ROSCA BSP MACHO/FEMEA, DE 2"</t>
  </si>
  <si>
    <t>COTOVELO 90 GRAUS DE FERRO GALVANIZADO, COM ROSCA BSP MACHO/FEMEA, DE 3/4"</t>
  </si>
  <si>
    <t>COTOVELO 90 GRAUS DE FERRO GALVANIZADO, COM ROSCA BSP MACHO/FEMEA, DE 3"</t>
  </si>
  <si>
    <t>COTOVELO 90 GRAUS DE FERRO GALVANIZADO, COM ROSCA BSP, DE 1 1/2"</t>
  </si>
  <si>
    <t>COTOVELO 90 GRAUS DE FERRO GALVANIZADO, COM ROSCA BSP, DE 1 1/4"</t>
  </si>
  <si>
    <t>COTOVELO 90 GRAUS DE FERRO GALVANIZADO, COM ROSCA BSP, DE 1/2"</t>
  </si>
  <si>
    <t>COTOVELO 90 GRAUS DE FERRO GALVANIZADO, COM ROSCA BSP, DE 1"</t>
  </si>
  <si>
    <t>COTOVELO 90 GRAUS DE FERRO GALVANIZADO, COM ROSCA BSP, DE 2 1/2"</t>
  </si>
  <si>
    <t>COTOVELO 90 GRAUS DE FERRO GALVANIZADO, COM ROSCA BSP, DE 2"</t>
  </si>
  <si>
    <t>COTOVELO 90 GRAUS DE FERRO GALVANIZADO, COM ROSCA BSP, DE 3/4"</t>
  </si>
  <si>
    <t>COTOVELO 90 GRAUS DE FERRO GALVANIZADO, COM ROSCA BSP, DE 3"</t>
  </si>
  <si>
    <t>COTOVELO 90 GRAUS DE FERRO GALVANIZADO, COM ROSCA BSP, DE 4"</t>
  </si>
  <si>
    <t>COTOVELO 90 GRAUS DE FERRO GALVANIZADO, COM ROSCA BSP, DE 5"</t>
  </si>
  <si>
    <t>COTOVELO 90 GRAUS DE FERRO GALVANIZADO, COM ROSCA BSP, DE 6"</t>
  </si>
  <si>
    <t>COTOVELO 90 GRAUS, PEAD PE 100, DE 125 MM, PARA ELETROFUSAO</t>
  </si>
  <si>
    <t>COTOVELO 90 GRAUS, PEAD PE 100, DE 20 MM, PARA ELETROFUSAO</t>
  </si>
  <si>
    <t>COTOVELO 90 GRAUS, PEAD PE 100, DE 200 MM, PARA ELETROFUSAO</t>
  </si>
  <si>
    <t>COTOVELO 90 GRAUS, PEAD PE 100, DE 32 MM, PARA ELETROFUSAO</t>
  </si>
  <si>
    <t>COTOVELO 90 GRAUS, PEAD PE 100, DE 63 MM, PARA ELETROFUSAO</t>
  </si>
  <si>
    <t>COTOVELO/JOELHO COM ADAPTADOR, 90 GRAUS, EM POLIPROPILENO, PN 16, PARA TUBOS PEAD, 20 MM X 1/2" - LIGACAO PREDIAL DE AGUA</t>
  </si>
  <si>
    <t>COTOVELO/JOELHO COM ADAPTADOR, 90 GRAUS, EM POLIPROPILENO, PN 16, PARA TUBOS PEAD, 20 MM X 3/4" - LIGACAO PREDIAL DE AGUA</t>
  </si>
  <si>
    <t>COTOVELO/JOELHO COM ADAPTADOR, 90 GRAUS, EM POLIPROPILENO, PN 16, PARA TUBOS PEAD, 32 MM X 1" - LIGACAO PREDIAL DE AGUA</t>
  </si>
  <si>
    <t>COTOVELO/JOELHO 90 GRAUS, EM POLIPROPILENO, PN 16, PARA TUBOS PEAD, 20 X 20 MM - LIGACAO PREDIAL DE AGUA</t>
  </si>
  <si>
    <t>COTOVELO/JOELHO 90 GRAUS, EM POLIPROPILENO, PN 16, PARA TUBOS PEAD, 32 X 32 MM - LIGACAO PREDIAL DE AGUA</t>
  </si>
  <si>
    <t>CRUZETA DE CONCRETO LEVE, COMP. 2000 MM SECAO, 90 X 90 MM</t>
  </si>
  <si>
    <t>CRUZETA DE EUCALIPTO TRATADO, OU EQUIVALENTE DA REGIAO, *2,4* M, SECAO *9 X 11,5* CM</t>
  </si>
  <si>
    <t>CRUZETA DE FERRO GALVANIZADO, COM ROSCA BSP, DE 1 1/2"</t>
  </si>
  <si>
    <t>CRUZETA DE FERRO GALVANIZADO, COM ROSCA BSP, DE 1 1/4"</t>
  </si>
  <si>
    <t>CRUZETA DE FERRO GALVANIZADO, COM ROSCA BSP, DE 1/2"</t>
  </si>
  <si>
    <t>CRUZETA DE FERRO GALVANIZADO, COM ROSCA BSP, DE 1"</t>
  </si>
  <si>
    <t>CRUZETA DE FERRO GALVANIZADO, COM ROSCA BSP, DE 2 1/2"</t>
  </si>
  <si>
    <t>CRUZETA DE FERRO GALVANIZADO, COM ROSCA BSP, DE 2"</t>
  </si>
  <si>
    <t>CRUZETA DE FERRO GALVANIZADO, COM ROSCA BSP, DE 3/4"</t>
  </si>
  <si>
    <t>CRUZETA DE FERRO GALVANIZADO, COM ROSCA BSP, DE 3"</t>
  </si>
  <si>
    <t>CUBA ACO INOX (AISI 304) DE EMBUTIR COM VALVULA DE 3 1/2 ", DE *56 X 33 X 12* CM</t>
  </si>
  <si>
    <t>CUBA ACO INOX (AISI 304) DE EMBUTIR COM VALVULA 3 1/2 ", DE *40 X 34 X 12* CM</t>
  </si>
  <si>
    <t>CUBA ACO INOX (AISI 304) DE EMBUTIR COM VALVULA 3 1/2 ", DE *46 X 30 X 12* CM</t>
  </si>
  <si>
    <t>CUMEEIRA ARTICULADA (ABA INFERIOR) PARA TELHA ONDULADA DE FIBROCIMENTO E = 4 MM, ABA *330* MM, COMPRIMENTO 500 MM (SEM AMIANTO)</t>
  </si>
  <si>
    <t>CUMEEIRA ARTICULADA (ABA INTERNA INFERIOR OU EXTERNA SUPERIOR) PARA TELHA ESTRUTURAL DE FIBROCIMENTO, 1 ABA, E = 6 MM (SEM AMIANTO)</t>
  </si>
  <si>
    <t>CUMEEIRA ARTICULADA (ABA SUPERIOR) PARA TELHA ONDULADA DE FIBROCIMENTO E = 4 MM, ABA *330* MM, COMPRIMENTO 500 MM (SEM AMIANTO)</t>
  </si>
  <si>
    <t>CUMEEIRA ARTICULADA (PAR) PARA TELHA ONDULADA DE FIBROCIMENTO, E = 6 MM, ABA 350 MM, COMPRIMENTO 1100 MM (SEM AMIANTO)</t>
  </si>
  <si>
    <t>CUMEEIRA NORMAL PARA TELHA ESTRUTURAL DE FIBROCIMENTO 1 ABA, E = 6 MM, COMPRIMENTO 608 MM (SEM AMIANTO)</t>
  </si>
  <si>
    <t>CUMEEIRA NORMAL PARA TELHA ESTRUTURAL DE FIBROCIMENTO 2 ABAS, E = 6 MM, DE 1050 X 935 MM (SEM AMIANTO)</t>
  </si>
  <si>
    <t>CUMEEIRA NORMAL PARA TELHA ONDULADA DE FIBROCIMENTO, E = 6 MM, ABA 300 MM, COMPRIMENTO 1100 MM (SEM AMIANTO)</t>
  </si>
  <si>
    <t>CUMEEIRA PARA TELHA CERAMICA, COMPRIMENTO DE *41* CM, RENDIMENTO DE *3* TELHAS/M</t>
  </si>
  <si>
    <t>CUMEEIRA PARA TELHA DE CONCRETO, PARA 2 AGUAS DE TELHADO, COR CINZA, RENDIMENTO DE *3* TELHAS/M (COLETADO CAIXA)</t>
  </si>
  <si>
    <t>CUMEEIRA SHED PARA TELHA ONDULADA DE FIBROCIMENTO, E = 6 MM, ABA 280 MM, COMPRIMENTO 1100 MM (SEM AMIANTO)</t>
  </si>
  <si>
    <t>CUMEEIRA UNIVERSAL PARA TELHA ONDULADA DE FIBROCIMENTO, E = 6 MM, ABA 210 MM, COMPRIMENTO 1100 MM (SEM AMIANTO)</t>
  </si>
  <si>
    <t>CURVA CPVC, 90 GRAUS, SOLDAVEL, 22 MM, PARA AGUA QUENTE</t>
  </si>
  <si>
    <t>CURVA CPVC, 90 GRAUS, SOLDAVEL, 28 MM, PARA AGUA QUENTE</t>
  </si>
  <si>
    <t>CURVA CPVC, 90 GRAUS, SOLDAVEL,15 MM, PARA AGUA QUENTE</t>
  </si>
  <si>
    <t>CURVA CURTA PVC, PB, JE, 45 GRAUS, DN 100 MM, PARA REDE COLETORA ESGOTO (NBR 10569)</t>
  </si>
  <si>
    <t>CURVA CURTA PVC, PB, JE, 90 GRAUS, DN 100 MM, PARA REDE COLETORA ESGOTO (NBR 10569)</t>
  </si>
  <si>
    <t>CURVA DE PVC 45 GRAUS, SOLDAVEL, 110 MM, PARA AGUA FRIA PREDIAL (NBR 5648)</t>
  </si>
  <si>
    <t>CURVA DE PVC 45 GRAUS, SOLDAVEL, 20 MM, PARA AGUA FRIA PREDIAL (NBR 5648)</t>
  </si>
  <si>
    <t>CURVA DE PVC 45 GRAUS, SOLDAVEL, 25 MM, PARA AGUA FRIA PREDIAL (NBR 5648)</t>
  </si>
  <si>
    <t>CURVA DE PVC 45 GRAUS, SOLDAVEL, 32 MM, PARA AGUA FRIA PREDIAL (NBR 5648)</t>
  </si>
  <si>
    <t>CURVA DE PVC 45 GRAUS, SOLDAVEL, 40 MM, PARA AGUA FRIA PREDIAL (NBR 5648)</t>
  </si>
  <si>
    <t>CURVA DE PVC 45 GRAUS, SOLDAVEL, 50 MM, PARA AGUA FRIA PREDIAL (NBR 5648)</t>
  </si>
  <si>
    <t>CURVA DE PVC 45 GRAUS, SOLDAVEL, 60 MM, PARA AGUA FRIA PREDIAL (NBR 5648)</t>
  </si>
  <si>
    <t>CURVA DE PVC 45 GRAUS, SOLDAVEL, 75 MM, PARA AGUA FRIA PREDIAL (NBR 5648)</t>
  </si>
  <si>
    <t>CURVA DE PVC 45 GRAUS, SOLDAVEL, 85 MM, PARA AGUA FRIA PREDIAL (NBR 5648)</t>
  </si>
  <si>
    <t>CURVA DE PVC 90 GRAUS, SOLDAVEL, 110 MM, PARA AGUA FRIA PREDIAL (NBR 5648)</t>
  </si>
  <si>
    <t>CURVA DE PVC 90 GRAUS, SOLDAVEL, 20 MM, PARA AGUA FRIA PREDIAL (NBR 5648)</t>
  </si>
  <si>
    <t>CURVA DE PVC 90 GRAUS, SOLDAVEL, 25 MM, PARA AGUA FRIA PREDIAL (NBR 5648)</t>
  </si>
  <si>
    <t>CURVA DE PVC 90 GRAUS, SOLDAVEL, 32 MM, PARA AGUA FRIA PREDIAL (NBR 5648)</t>
  </si>
  <si>
    <t>CURVA DE PVC 90 GRAUS, SOLDAVEL, 40 MM, PARA AGUA FRIA PREDIAL (NBR 5648)</t>
  </si>
  <si>
    <t>CURVA DE PVC 90 GRAUS, SOLDAVEL, 50 MM, PARA AGUA FRIA PREDIAL (NBR 5648)</t>
  </si>
  <si>
    <t>CURVA DE PVC 90 GRAUS, SOLDAVEL, 60 MM, PARA AGUA FRIA PREDIAL (NBR 5648)</t>
  </si>
  <si>
    <t>CURVA DE PVC 90 GRAUS, SOLDAVEL, 75 MM, PARA AGUA FRIA PREDIAL (NBR 5648)</t>
  </si>
  <si>
    <t>CURVA DE PVC 90 GRAUS, SOLDAVEL, 85 MM, PARA AGUA FRIA PREDIAL (NBR 5648)</t>
  </si>
  <si>
    <t>CURVA DE PVC, 45 GRAUS, SERIE R, DN 100 MM, PARA ESGOTO PREDIAL</t>
  </si>
  <si>
    <t>CURVA DE PVC, 90 GRAUS, SERIE R, DN 100 MM, PARA ESGOTO PREDIAL</t>
  </si>
  <si>
    <t>CURVA DE PVC, 90 GRAUS, SERIE R, DN 50 MM, PARA ESGOTO PREDIAL</t>
  </si>
  <si>
    <t>CURVA DE PVC, 90 GRAUS, SERIE R, DN 75 MM, PARA ESGOTO PREDIAL</t>
  </si>
  <si>
    <t>CURVA DE TRANSPOSICAO BRONZE/LATAO (REF 736) SEM ANEL DE SOLDA, BOLSA X BOLSA, 15 MM</t>
  </si>
  <si>
    <t>CURVA DE TRANSPOSICAO BRONZE/LATAO (REF 736) SEM ANEL DE SOLDA, BOLSA X BOLSA, 22 MM</t>
  </si>
  <si>
    <t>CURVA DE TRANSPOSICAO BRONZE/LATAO (REF 736) SEM ANEL DE SOLDA, BOLSA X BOLSA, 28 MM</t>
  </si>
  <si>
    <t>CURVA DE TRANSPOSICAO, CPVC, SOLDAVEL, 15 MM</t>
  </si>
  <si>
    <t>CURVA DE TRANSPOSICAO, CPVC, SOLDAVEL, 22 MM</t>
  </si>
  <si>
    <t>CURVA DE TRANSPOSICAO, PVC SOLDAVEL, 20 MM, PARA AGUA FRIA PREDIAL</t>
  </si>
  <si>
    <t>CURVA DE TRANSPOSICAO, PVC, SOLDAVEL, 25 MM, PARA AGUA FRIA PREDIAL</t>
  </si>
  <si>
    <t>CURVA DE TRANSPOSICAO, PVC, SOLDAVEL, 32 MM, PARA AGUA FRIA PREDIAL</t>
  </si>
  <si>
    <t>CURVA LONGA PVC, PB, JE, 45 GRAUS, DN 100 MM, PARA REDE COLETORA ESGOTO (NBR 10569)</t>
  </si>
  <si>
    <t>CURVA LONGA PVC, PB, JE, 45 GRAUS, DN 150 MM, PARA REDE COLETORA ESGOTO (NBR 10569)</t>
  </si>
  <si>
    <t>CURVA LONGA PVC, PB, JE, 90 GRAUS, DN 100 MM, PARA REDE COLETORA ESGOTO (NBR 10569)</t>
  </si>
  <si>
    <t>CURVA LONGA PVC, PB, JE, 90 GRAUS, DN 150 MM, PARA REDE COLETORA ESGOTO (NBR 10569)</t>
  </si>
  <si>
    <t>CURVA PPR 90 GRAUS, DN 20 MM, PARA AGUA QUENTE PREDIAL</t>
  </si>
  <si>
    <t>CURVA PPR 90 GRAUS, DN 25 MM, PARA AGUA QUENTE PREDIAL</t>
  </si>
  <si>
    <t>CURVA PVC CURTA 90 G, DN 50 MM, PARA ESGOTO PREDIAL</t>
  </si>
  <si>
    <t>CURVA PVC CURTA 90 GRAUS, DN 40 MM, PARA ESGOTO PREDIAL</t>
  </si>
  <si>
    <t>CURVA PVC CURTA 90 GRAUS, DN 75 MM, PARA ESGOTO PREDIAL</t>
  </si>
  <si>
    <t>CURVA PVC CURTA 90 GRAUS, 100 MM, PARA ESGOTO PREDIAL</t>
  </si>
  <si>
    <t>CURVA PVC LEVE, 90 GRAUS, COM PONTA E BOLSA LISA, DN 150 MM</t>
  </si>
  <si>
    <t>CURVA PVC LEVE, 90 GRAUS, COM PONTA E BOLSA LISA, DN 250 MM</t>
  </si>
  <si>
    <t>CURVA PVC LEVE, 90 GRAUS, COM PONTA E BOLSA LISA, DN 300 MM</t>
  </si>
  <si>
    <t>CURVA PVC LONGA 45 GRAUS, 100 MM, PARA ESGOTO PREDIAL</t>
  </si>
  <si>
    <t>CURVA PVC LONGA 45G, DN 50 MM, PARA ESGOTO PREDIAL</t>
  </si>
  <si>
    <t>CURVA PVC LONGA 45G, DN 75 MM, PARA ESGOTO PREDIAL</t>
  </si>
  <si>
    <t>CURVA PVC LONGA 90 GRAUS, 100 MM, PARA ESGOTO PREDIAL</t>
  </si>
  <si>
    <t>CURVA PVC LONGA 90 GRAUS, 40 MM, PARA ESGOTO PREDIAL</t>
  </si>
  <si>
    <t>CURVA PVC LONGA 90 GRAUS, 50 MM, PARA ESGOTO PREDIAL</t>
  </si>
  <si>
    <t>CURVA PVC LONGA 90 GRAUS, 75 MM, PARA ESGOTO PREDIAL</t>
  </si>
  <si>
    <t>CURVA PVC PBA, JE, PB, 22 GRAUS, DN 100 / DE 110 MM, PARA REDE AGUA (NBR 10351)</t>
  </si>
  <si>
    <t>CURVA PVC PBA, JE, PB, 22 GRAUS, DN 50 / DE 60 MM, PARA REDE AGUA (NBR 10351)</t>
  </si>
  <si>
    <t>CURVA PVC PBA, JE, PB, 22 GRAUS, DN 75 / DE 85 MM, PARA REDE AGUA (NBR 10351)</t>
  </si>
  <si>
    <t>CURVA PVC PBA, JE, PB, 45 GRAUS, DN 100 / DE 110 MM, PARA REDE AGUA (NBR 10351)</t>
  </si>
  <si>
    <t>CURVA PVC PBA, JE, PB, 45 GRAUS, DN 50 / DE 60 MM, PARA REDE AGUA (NBR 10351)</t>
  </si>
  <si>
    <t>CURVA PVC PBA, JE, PB, 45 GRAUS, DN 75 / DE 85 MM, PARA REDE AGUA (NBR 10351)</t>
  </si>
  <si>
    <t>CURVA PVC PBA, JE, PB, 90 GRAUS, DN 100 / DE 110 MM, PARA REDE AGUA (NBR 10351)</t>
  </si>
  <si>
    <t>CURVA PVC PBA, JE, PB, 90 GRAUS, DN 50 / DE 60 MM, PARA REDE AGUA (NBR 10351)</t>
  </si>
  <si>
    <t>CURVA PVC PBA, JE, PB, 90 GRAUS, DN 75 / DE 85 MM, PARA REDE AGUA (NBR 10351)</t>
  </si>
  <si>
    <t>CURVA PVC 90 GRAUS, ROSCAVEL, 1 1/2",  AGUA FRIA PREDIAL</t>
  </si>
  <si>
    <t>CURVA PVC 90 GRAUS, ROSCAVEL, 1 1/4",  AGUA FRIA PREDIAL</t>
  </si>
  <si>
    <t>CURVA PVC 90 GRAUS, ROSCAVEL, 1/2",  AGUA FRIA PREDIAL</t>
  </si>
  <si>
    <t>CURVA PVC 90 GRAUS, ROSCAVEL, 1",  AGUA FRIA PREDIAL</t>
  </si>
  <si>
    <t>CURVA PVC 90 GRAUS, ROSCAVEL, 2",  AGUA FRIA PREDIAL</t>
  </si>
  <si>
    <t>CURVA PVC, BB, JE, 45 GRAUS, DN 200 MM, PARA TUBO CORRUGADO E/OU LISO, REDE COLETORA ESGOTO (NBR 10569)</t>
  </si>
  <si>
    <t>CURVA PVC, BB, JE, 45 GRAUS, DN 250 MM, PARA TUBO CORRUGADO E/OU LISO, REDE COLETORA ESGOTO (NBR 10569)</t>
  </si>
  <si>
    <t>CURVA PVC, BB, JE, 90 GRAUS, DN 200 MM, PARA TUBO CORRUGADO E/OU LISO, REDE COLETORA ESGOTO (NBR 10569)</t>
  </si>
  <si>
    <t>CURVA PVC, BB, JE, 90 GRAUS, DN 250 MM, PARA TUBO CORRUGADO E/OU LISO, REDE COLETORA ESGOTO (NBR 10569)</t>
  </si>
  <si>
    <t>CURVA PVC, SERIE R, 87.30 GRAUS, CURTA, 100 MM, PARA ESGOTO PREDIAL (PARA PE-DE-COLUNA)</t>
  </si>
  <si>
    <t>CURVA PVC, SERIE R, 87.30 GRAUS, CURTA, 150 MM, PARA ESGOTO PREDIAL (PARA PE-DE-COLUNA)</t>
  </si>
  <si>
    <t>CURVA PVC, SERIE R, 87.30 GRAUS, CURTA, 75 MM, PARA ESGOTO PREDIAL (PARA PE-DE-COLUNA)</t>
  </si>
  <si>
    <t>CURVA PVC, 45 GRAUS, CURTA, PB, DN 100 MM, PARA ESGOTO PREDIAL</t>
  </si>
  <si>
    <t>CURVA 135 GRAUS, DE PVC RIGIDO ROSCAVEL, DE 1", PARA ELETRODUTO</t>
  </si>
  <si>
    <t>CURVA 135 GRAUS, DE PVC RIGIDO ROSCAVEL, DE 3/4", PARA ELETRODUTO</t>
  </si>
  <si>
    <t>CURVA 135 GRAUS, PARA ELETRODUTO, EM ACO GALVANIZADO ELETROLITICO, DIAMETRO DE 100 MM (4")</t>
  </si>
  <si>
    <t>CURVA 135 GRAUS, PARA ELETRODUTO, EM ACO GALVANIZADO ELETROLITICO, DIAMETRO DE 15 MM (1/2")</t>
  </si>
  <si>
    <t>CURVA 135 GRAUS, PARA ELETRODUTO, EM ACO GALVANIZADO ELETROLITICO, DIAMETRO DE 20 MM (3/4")</t>
  </si>
  <si>
    <t>CURVA 135 GRAUS, PARA ELETRODUTO, EM ACO GALVANIZADO ELETROLITICO, DIAMETRO DE 25 MM (1")</t>
  </si>
  <si>
    <t>CURVA 135 GRAUS, PARA ELETRODUTO, EM ACO GALVANIZADO ELETROLITICO, DIAMETRO DE 32 MM (1 1/4")</t>
  </si>
  <si>
    <t>CURVA 135 GRAUS, PARA ELETRODUTO, EM ACO GALVANIZADO ELETROLITICO, DIAMETRO DE 40 MM (1 1/2")</t>
  </si>
  <si>
    <t>CURVA 135 GRAUS, PARA ELETRODUTO, EM ACO GALVANIZADO ELETROLITICO, DIAMETRO DE 50 MM (2")</t>
  </si>
  <si>
    <t>CURVA 135 GRAUS, PARA ELETRODUTO, EM ACO GALVANIZADO ELETROLITICO, DIAMETRO DE 65 MM (2 1/2")</t>
  </si>
  <si>
    <t>CURVA 135 GRAUS, PARA ELETRODUTO, EM ACO GALVANIZADO ELETROLITICO, DIAMETRO DE 80 MM (3")</t>
  </si>
  <si>
    <t>CURVA 180 GRAUS, DE PVC RIGIDO ROSCAVEL, DE 1 1/2", PARA ELETRODUTO</t>
  </si>
  <si>
    <t>CURVA 180 GRAUS, DE PVC RIGIDO ROSCAVEL, DE 1 1/4", PARA ELETRODUTO</t>
  </si>
  <si>
    <t>CURVA 180 GRAUS, DE PVC RIGIDO ROSCAVEL, DE 1/2", PARA ELETRODUTO</t>
  </si>
  <si>
    <t>CURVA 180 GRAUS, DE PVC RIGIDO ROSCAVEL, DE 1", PARA ELETRODUTO</t>
  </si>
  <si>
    <t>CURVA 180 GRAUS, DE PVC RIGIDO ROSCAVEL, DE 2", PARA ELETRODUTO</t>
  </si>
  <si>
    <t>CURVA 180 GRAUS, DE PVC RIGIDO ROSCAVEL, DE 3/4", PARA ELETRODUTO</t>
  </si>
  <si>
    <t>CURVA 45 GRAUS DE COBRE (REF 606) SEM ANEL DE SOLDA, BOLSA X BOLSA, 15 MM</t>
  </si>
  <si>
    <t>CURVA 45 GRAUS DE COBRE (REF 606) SEM ANEL DE SOLDA, BOLSA X BOLSA, 22 MM</t>
  </si>
  <si>
    <t>CURVA 45 GRAUS DE COBRE (REF 606) SEM ANEL DE SOLDA, BOLSA X BOLSA, 28 MM</t>
  </si>
  <si>
    <t>CURVA 45 GRAUS DE COBRE (REF 606) SEM ANEL DE SOLDA, BOLSA X BOLSA, 35 MM</t>
  </si>
  <si>
    <t>CURVA 45 GRAUS DE COBRE (REF 606) SEM ANEL DE SOLDA, BOLSA X BOLSA, 42 MM</t>
  </si>
  <si>
    <t>CURVA 45 GRAUS DE COBRE (REF 606) SEM ANEL DE SOLDA, BOLSA X BOLSA, 54 MM</t>
  </si>
  <si>
    <t>CURVA 45 GRAUS DE COBRE (REF 606) SEM ANEL DE SOLDA, BOLSA X BOLSA, 66 MM</t>
  </si>
  <si>
    <t>CURVA 45 GRAUS DE FERRO GALVANIZADO, COM ROSCA BSP FEMEA, DE 1 1/2"</t>
  </si>
  <si>
    <t>CURVA 45 GRAUS DE FERRO GALVANIZADO, COM ROSCA BSP FEMEA, DE 1 1/4"</t>
  </si>
  <si>
    <t>CURVA 45 GRAUS DE FERRO GALVANIZADO, COM ROSCA BSP FEMEA, DE 1/2"</t>
  </si>
  <si>
    <t>CURVA 45 GRAUS DE FERRO GALVANIZADO, COM ROSCA BSP FEMEA, DE 1"</t>
  </si>
  <si>
    <t>CURVA 45 GRAUS DE FERRO GALVANIZADO, COM ROSCA BSP FEMEA, DE 2 1/2"</t>
  </si>
  <si>
    <t>CURVA 45 GRAUS DE FERRO GALVANIZADO, COM ROSCA BSP FEMEA, DE 2"</t>
  </si>
  <si>
    <t>CURVA 45 GRAUS DE FERRO GALVANIZADO, COM ROSCA BSP FEMEA, DE 3/4"</t>
  </si>
  <si>
    <t>CURVA 45 GRAUS DE FERRO GALVANIZADO, COM ROSCA BSP FEMEA, DE 3"</t>
  </si>
  <si>
    <t>CURVA 45 GRAUS DE FERRO GALVANIZADO, COM ROSCA BSP FEMEA, DE 4"</t>
  </si>
  <si>
    <t>CURVA 45 GRAUS DE FERRO GALVANIZADO, COM ROSCA BSP MACHO/FEMEA, DE 1 1/2"</t>
  </si>
  <si>
    <t>CURVA 45 GRAUS DE FERRO GALVANIZADO, COM ROSCA BSP MACHO/FEMEA, DE 1 1/4"</t>
  </si>
  <si>
    <t>CURVA 45 GRAUS DE FERRO GALVANIZADO, COM ROSCA BSP MACHO/FEMEA, DE 1/2"</t>
  </si>
  <si>
    <t>CURVA 45 GRAUS DE FERRO GALVANIZADO, COM ROSCA BSP MACHO/FEMEA, DE 1"</t>
  </si>
  <si>
    <t>CURVA 45 GRAUS DE FERRO GALVANIZADO, COM ROSCA BSP MACHO/FEMEA, DE 2 1/2"</t>
  </si>
  <si>
    <t>CURVA 45 GRAUS DE FERRO GALVANIZADO, COM ROSCA BSP MACHO/FEMEA, DE 2"</t>
  </si>
  <si>
    <t>CURVA 45 GRAUS DE FERRO GALVANIZADO, COM ROSCA BSP MACHO/FEMEA, DE 3/4"</t>
  </si>
  <si>
    <t>CURVA 45 GRAUS DE FERRO GALVANIZADO, COM ROSCA BSP MACHO/FEMEA, DE 3"</t>
  </si>
  <si>
    <t>CURVA 45 GRAUS EM ACO CARBONO, SOLDAVEL, PRESSAO 3.000 LBS, DN 1 1/2"</t>
  </si>
  <si>
    <t>CURVA 45 GRAUS EM ACO CARBONO, SOLDAVEL, PRESSAO 3.000 LBS, DN 1 1/4"</t>
  </si>
  <si>
    <t>CURVA 45 GRAUS EM ACO CARBONO, SOLDAVEL, PRESSAO 3.000 LBS, DN 1/2"</t>
  </si>
  <si>
    <t>CURVA 45 GRAUS EM ACO CARBONO, SOLDAVEL, PRESSAO 3.000 LBS, DN 1"</t>
  </si>
  <si>
    <t>CURVA 45 GRAUS EM ACO CARBONO, SOLDAVEL, PRESSAO 3.000 LBS, DN 2 1/2"</t>
  </si>
  <si>
    <t>CURVA 45 GRAUS EM ACO CARBONO, SOLDAVEL, PRESSAO 3.000 LBS, DN 2"</t>
  </si>
  <si>
    <t>CURVA 45 GRAUS EM ACO CARBONO, SOLDAVEL, PRESSAO 3.000 LBS, DN 3/4"</t>
  </si>
  <si>
    <t>CURVA 45 GRAUS EM ACO CARBONO, SOLDAVEL, PRESSAO 3.000 LBS, DN 3"</t>
  </si>
  <si>
    <t>CURVA 45 GRAUS RANHURADA EM FERRO FUNDIDO, DN 50 MM (2")</t>
  </si>
  <si>
    <t>CURVA 45 GRAUS RANHURADA EM FERRO FUNDIDO, DN 65 MM (2 1/2")</t>
  </si>
  <si>
    <t>CURVA 45 GRAUS RANHURADA EM FERRO FUNDIDO, DN 80 MM (3")</t>
  </si>
  <si>
    <t>CURVA 45 GRAUS, PARA ELETRODUTO, EM ACO GALVANIZADO ELETROLITICO, DIAMETRO DE 20 MM (3/4")</t>
  </si>
  <si>
    <t>CURVA 45 GRAUS, PARA ELETRODUTO, EM ACO GALVANIZADO ELETROLITICO, DIAMETRO DE 25 MM (1")</t>
  </si>
  <si>
    <t>CURVA 45 GRAUS, PARA ELETRODUTO, EM ACO GALVANIZADO ELETROLITICO, DIAMETRO DE 40 MM (1 1/2")</t>
  </si>
  <si>
    <t>CURVA 90 GRAUS DE BARRA CHATA EM ALUMINIO 3/4 " X 1/4 " X 300 MM</t>
  </si>
  <si>
    <t>CURVA 90 GRAUS DE FERRO GALVANIZADO, COM ROSCA BSP FEMEA, DE 1 1/2"</t>
  </si>
  <si>
    <t>CURVA 90 GRAUS DE FERRO GALVANIZADO, COM ROSCA BSP FEMEA, DE 1 1/4"</t>
  </si>
  <si>
    <t>CURVA 90 GRAUS DE FERRO GALVANIZADO, COM ROSCA BSP FEMEA, DE 1/2"</t>
  </si>
  <si>
    <t>CURVA 90 GRAUS DE FERRO GALVANIZADO, COM ROSCA BSP FEMEA, DE 1"</t>
  </si>
  <si>
    <t>CURVA 90 GRAUS DE FERRO GALVANIZADO, COM ROSCA BSP FEMEA, DE 2 1/2"</t>
  </si>
  <si>
    <t>CURVA 90 GRAUS DE FERRO GALVANIZADO, COM ROSCA BSP FEMEA, DE 2"</t>
  </si>
  <si>
    <t>CURVA 90 GRAUS DE FERRO GALVANIZADO, COM ROSCA BSP FEMEA, DE 3/4"</t>
  </si>
  <si>
    <t>CURVA 90 GRAUS DE FERRO GALVANIZADO, COM ROSCA BSP FEMEA, DE 3"</t>
  </si>
  <si>
    <t>CURVA 90 GRAUS DE FERRO GALVANIZADO, COM ROSCA BSP FEMEA, DE 4"</t>
  </si>
  <si>
    <t>CURVA 90 GRAUS DE FERRO GALVANIZADO, COM ROSCA BSP MACHO/FEMEA, DE 1 1/2"</t>
  </si>
  <si>
    <t>CURVA 90 GRAUS DE FERRO GALVANIZADO, COM ROSCA BSP MACHO/FEMEA, DE 1 1/4"</t>
  </si>
  <si>
    <t>CURVA 90 GRAUS DE FERRO GALVANIZADO, COM ROSCA BSP MACHO/FEMEA, DE 1/2"</t>
  </si>
  <si>
    <t>CURVA 90 GRAUS DE FERRO GALVANIZADO, COM ROSCA BSP MACHO/FEMEA, DE 1"</t>
  </si>
  <si>
    <t>CURVA 90 GRAUS DE FERRO GALVANIZADO, COM ROSCA BSP MACHO/FEMEA, DE 2 1/2"</t>
  </si>
  <si>
    <t>CURVA 90 GRAUS DE FERRO GALVANIZADO, COM ROSCA BSP MACHO/FEMEA, DE 2"</t>
  </si>
  <si>
    <t>CURVA 90 GRAUS DE FERRO GALVANIZADO, COM ROSCA BSP MACHO/FEMEA, DE 3/4"</t>
  </si>
  <si>
    <t>CURVA 90 GRAUS DE FERRO GALVANIZADO, COM ROSCA BSP MACHO/FEMEA, DE 3"</t>
  </si>
  <si>
    <t>CURVA 90 GRAUS DE FERRO GALVANIZADO, COM ROSCA BSP MACHO/FEMEA, DE 4"</t>
  </si>
  <si>
    <t>CURVA 90 GRAUS DE FERRO GALVANIZADO, COM ROSCA BSP MACHO, DE 1 1/2"</t>
  </si>
  <si>
    <t>CURVA 90 GRAUS DE FERRO GALVANIZADO, COM ROSCA BSP MACHO, DE 1 1/4"</t>
  </si>
  <si>
    <t>CURVA 90 GRAUS DE FERRO GALVANIZADO, COM ROSCA BSP MACHO, DE 1/2"</t>
  </si>
  <si>
    <t>CURVA 90 GRAUS DE FERRO GALVANIZADO, COM ROSCA BSP MACHO, DE 1"</t>
  </si>
  <si>
    <t>CURVA 90 GRAUS DE FERRO GALVANIZADO, COM ROSCA BSP MACHO, DE 2 1/2"</t>
  </si>
  <si>
    <t>CURVA 90 GRAUS DE FERRO GALVANIZADO, COM ROSCA BSP MACHO, DE 2"</t>
  </si>
  <si>
    <t>CURVA 90 GRAUS DE FERRO GALVANIZADO, COM ROSCA BSP MACHO, DE 3/4"</t>
  </si>
  <si>
    <t>CURVA 90 GRAUS DE FERRO GALVANIZADO, COM ROSCA BSP MACHO, DE 3"</t>
  </si>
  <si>
    <t>CURVA 90 GRAUS DE FERRO GALVANIZADO, COM ROSCA BSP MACHO, DE 4"</t>
  </si>
  <si>
    <t>CURVA 90 GRAUS DE FERRO GALVANIZADO, COM ROSCA BSP MACHO, DE 6"</t>
  </si>
  <si>
    <t>CURVA 90 GRAUS EM ACO CARBONO, RAIO CURTO, SOLDAVEL, PRESSAO 3.000 LBS, DN 1 1/2"</t>
  </si>
  <si>
    <t>CURVA 90 GRAUS EM ACO CARBONO, RAIO CURTO, SOLDAVEL, PRESSAO 3.000 LBS, DN 1 1/4"</t>
  </si>
  <si>
    <t>CURVA 90 GRAUS EM ACO CARBONO, RAIO CURTO, SOLDAVEL, PRESSAO 3.000 LBS, DN 1/2"</t>
  </si>
  <si>
    <t>CURVA 90 GRAUS EM ACO CARBONO, RAIO CURTO, SOLDAVEL, PRESSAO 3.000 LBS, DN 1"</t>
  </si>
  <si>
    <t>CURVA 90 GRAUS EM ACO CARBONO, RAIO CURTO, SOLDAVEL, PRESSAO 3.000 LBS, DN 2 1/2"</t>
  </si>
  <si>
    <t>CURVA 90 GRAUS EM ACO CARBONO, RAIO CURTO, SOLDAVEL, PRESSAO 3.000 LBS, DN 2"</t>
  </si>
  <si>
    <t>CURVA 90 GRAUS EM ACO CARBONO, RAIO CURTO, SOLDAVEL, PRESSAO 3.000 LBS, DN 3/4"</t>
  </si>
  <si>
    <t>CURVA 90 GRAUS EM ACO CARBONO, RAIO CURTO, SOLDAVEL, PRESSAO 3.000 LBS, DN 3"</t>
  </si>
  <si>
    <t>CURVA 90 GRAUS RANHURADA EM FERRO FUNDIDO, DN 50 MM (2")</t>
  </si>
  <si>
    <t>CURVA 90 GRAUS RANHURADA EM FERRO FUNDIDO, DN 65 MM (2 1/2")</t>
  </si>
  <si>
    <t>CURVA 90 GRAUS RANHURADA EM FERRO FUNDIDO, DN 80 MM (3")</t>
  </si>
  <si>
    <t>CURVA 90 GRAUS, CURTA, DE PVC RIGIDO ROSCAVEL, DE 1/2", PARA ELETRODUTO</t>
  </si>
  <si>
    <t>CURVA 90 GRAUS, CURTA, DE PVC RIGIDO ROSCAVEL, DE 1", PARA ELETRODUTO</t>
  </si>
  <si>
    <t>CURVA 90 GRAUS, CURTA, DE PVC RIGIDO ROSCAVEL, DE 3/4", PARA ELETRODUTO</t>
  </si>
  <si>
    <t>CURVA 90 GRAUS, LONGA, DE PVC RIGIDO ROSCAVEL, DE 1 1/2", PARA ELETRODUTO</t>
  </si>
  <si>
    <t>CURVA 90 GRAUS, LONGA, DE PVC RIGIDO ROSCAVEL, DE 1 1/4", PARA ELETRODUTO</t>
  </si>
  <si>
    <t>CURVA 90 GRAUS, LONGA, DE PVC RIGIDO ROSCAVEL, DE 1/2", PARA ELETRODUTO</t>
  </si>
  <si>
    <t>CURVA 90 GRAUS, LONGA, DE PVC RIGIDO ROSCAVEL, DE 1", PARA ELETRODUTO</t>
  </si>
  <si>
    <t>CURVA 90 GRAUS, LONGA, DE PVC RIGIDO ROSCAVEL, DE 2 1/2", PARA ELETRODUTO</t>
  </si>
  <si>
    <t>CURVA 90 GRAUS, LONGA, DE PVC RIGIDO ROSCAVEL, DE 2", PARA ELETRODUTO</t>
  </si>
  <si>
    <t>CURVA 90 GRAUS, LONGA, DE PVC RIGIDO ROSCAVEL, DE 3/4", PARA ELETRODUTO</t>
  </si>
  <si>
    <t>CURVA 90 GRAUS, LONGA, DE PVC RIGIDO ROSCAVEL, DE 3", PARA ELETRODUTO</t>
  </si>
  <si>
    <t>CURVA 90 GRAUS, LONGA, DE PVC RIGIDO ROSCAVEL, DE 4", PARA ELETRODUTO</t>
  </si>
  <si>
    <t>CURVA 90 GRAUS, PARA ELETRODUTO, EM ACO GALVANIZADO ELETROLITICO, DIAMETRO DE 100 MM (4")</t>
  </si>
  <si>
    <t>CURVA 90 GRAUS, PARA ELETRODUTO, EM ACO GALVANIZADO ELETROLITICO, DIAMETRO DE 15 MM (1/2")</t>
  </si>
  <si>
    <t>CURVA 90 GRAUS, PARA ELETRODUTO, EM ACO GALVANIZADO ELETROLITICO, DIAMETRO DE 20 MM (3/4")</t>
  </si>
  <si>
    <t>CURVA 90 GRAUS, PARA ELETRODUTO, EM ACO GALVANIZADO ELETROLITICO, DIAMETRO DE 25 MM (1")</t>
  </si>
  <si>
    <t>CURVA 90 GRAUS, PARA ELETRODUTO, EM ACO GALVANIZADO ELETROLITICO, DIAMETRO DE 32 MM (1 1/4")</t>
  </si>
  <si>
    <t>CURVA 90 GRAUS, PARA ELETRODUTO, EM ACO GALVANIZADO ELETROLITICO, DIAMETRO DE 40 MM (1 1/2")</t>
  </si>
  <si>
    <t>CURVA 90 GRAUS, PARA ELETRODUTO, EM ACO GALVANIZADO ELETROLITICO, DIAMETRO DE 50 MM (2")</t>
  </si>
  <si>
    <t>CURVA 90 GRAUS, PARA ELETRODUTO, EM ACO GALVANIZADO ELETROLITICO, DIAMETRO DE 65 MM (2 1/2")</t>
  </si>
  <si>
    <t>CURVA 90 GRAUS, PARA ELETRODUTO, EM ACO GALVANIZADO ELETROLITICO, DIAMETRO DE 80 MM (3")</t>
  </si>
  <si>
    <t>DENTE PARA FRESADORA</t>
  </si>
  <si>
    <t>DESEMPENADEIRA DE ACO DENTADA 12 X *25* CM, DENTES 8 X 8 MM, CABO FECHADO DE MADEIRA</t>
  </si>
  <si>
    <t>DESEMPENADEIRA DE ACO LISA 12 X *25* CM COM CABO FECHADO DE MADEIRA</t>
  </si>
  <si>
    <t>DESEMPENADEIRA PLASTICA LISA *14 X 27* CM</t>
  </si>
  <si>
    <t>DESENHISTA COPISTA</t>
  </si>
  <si>
    <t>DESENHISTA COPISTA (MENSALISTA)</t>
  </si>
  <si>
    <t>DESENHISTA DETALHISTA</t>
  </si>
  <si>
    <t>DESENHISTA DETALHISTA (MENSALISTA)</t>
  </si>
  <si>
    <t>DESENHISTA PROJETISTA</t>
  </si>
  <si>
    <t>DESENHISTA PROJETISTA (MENSALISTA)</t>
  </si>
  <si>
    <t>DESENHISTA TECNICO AUXILIAR</t>
  </si>
  <si>
    <t>DESENHISTA TECNICO AUXILIAR (MENSALISTA)</t>
  </si>
  <si>
    <t>DESMOLDANTE PARA CONCRETO ESTAMPADO</t>
  </si>
  <si>
    <t>DESMOLDANTE PARA FORMAS METALICAS A BASE DE OLEO VEGETAL</t>
  </si>
  <si>
    <t>DESMOLDANTE PROTETOR PARA FORMAS DE MADEIRA, DE BASE OLEOSA EMULSIONADA EM AGUA</t>
  </si>
  <si>
    <t>DETERGENTE AMONIACO (AMONIA DILUIDA)</t>
  </si>
  <si>
    <t>DILUENTE EPOXI</t>
  </si>
  <si>
    <t>DISCO DE BORRACHA PARA LIXADEIRA RIGIDO 7 " COM ARRUELA CENTRAL</t>
  </si>
  <si>
    <t>DISCO DE CORTE DIAMANTADO SEGMENTADO DIAMETRO DE 180 MM PARA ESMERILHADEIRA 7 "</t>
  </si>
  <si>
    <t>DISCO DE CORTE DIAMANTADO SEGMENTADO PARA CONCRETO, DIAMETRO DE 110 MM, FURO DE 20 MM</t>
  </si>
  <si>
    <t>DISCO DE CORTE DIAMANTADO SEGMENTADO PARA CONCRETO, DIAMETRO DE 350 MM, FURO DE 1 " (14 X 1 ")</t>
  </si>
  <si>
    <t>DISCO DE CORTE PARA METAL COM DUAS TELAS 12 X 1/8 X 3/4 " (300 X 3,2 X 19,05 MM)</t>
  </si>
  <si>
    <t>DISCO DE DESBASTE PARA METAL FERROSO EM GERAL, COM TRES TELAS,  9 X 1/4 X 7/8 " (228,6 X 6,4 X 22,2 MM)</t>
  </si>
  <si>
    <t>DISCO DE LIXA PARA METAL, DIAMETRO = 180 MM, GRAO 120</t>
  </si>
  <si>
    <t>DISJUNTOR  TERMOMAGNETICO TRIPOLAR 3 X 400 A / ICC - 25 KA</t>
  </si>
  <si>
    <t>DISJUNTOR TERMICO E MAGNETICO AJUSTAVEIS, TRIPOLAR DE 100 ATE 250A, CAPACIDADE DE INTERRUPCAO DE 35KA</t>
  </si>
  <si>
    <t>DISJUNTOR TERMICO E MAGNETICO AJUSTAVEIS, TRIPOLAR DE 300 ATE 400A, CAPACIDADE DE INTERRUPCAO DE 35KA</t>
  </si>
  <si>
    <t>DISJUNTOR TERMICO E MAGNETICO AJUSTAVEIS, TRIPOLAR DE 450 ATE 600A, CAPACIDADE DE INTERRUPCAO DE 35KA</t>
  </si>
  <si>
    <t>DISJUNTOR TERMOMAGNETICO TRIPOLAR 125A</t>
  </si>
  <si>
    <t>DISJUNTOR TERMOMAGNETICO TRIPOLAR 150 A / 600 V, TIPO FXD / ICC - 35 KA</t>
  </si>
  <si>
    <t>DISJUNTOR TERMOMAGNETICO TRIPOLAR 200 A / 600 V, TIPO FXD / ICC - 35 KA</t>
  </si>
  <si>
    <t>DISJUNTOR TERMOMAGNETICO TRIPOLAR 250 A / 600 V, TIPO FXD</t>
  </si>
  <si>
    <t>DISJUNTOR TERMOMAGNETICO TRIPOLAR 3  X 250 A/ICC - 25 KA</t>
  </si>
  <si>
    <t>DISJUNTOR TERMOMAGNETICO TRIPOLAR 3 X 350 A/ICC - 25 KA</t>
  </si>
  <si>
    <t>DISJUNTOR TERMOMAGNETICO TRIPOLAR 300 A / 600 V, TIPO JXD / ICC - 40 KA</t>
  </si>
  <si>
    <t>DISJUNTOR TERMOMAGNETICO TRIPOLAR 400 A / 600 V, TIPO JXD / ICC - 40 KA</t>
  </si>
  <si>
    <t>DISJUNTOR TERMOMAGNETICO TRIPOLAR 600 A / 600 V, TIPO LXD / ICC - 40 KA</t>
  </si>
  <si>
    <t>DISJUNTOR TERMOMAGNETICO TRIPOLAR 800 A / 600 V, TIPO LMXD</t>
  </si>
  <si>
    <t>DISJUNTOR TIPO DIN / IEC, MONOPOLAR DE 40  ATE 50A</t>
  </si>
  <si>
    <t>DISJUNTOR TIPO DIN/IEC, BIPOLAR DE 6 ATE 32A</t>
  </si>
  <si>
    <t>DISJUNTOR TIPO DIN/IEC, BIPOLAR 40 ATE 50A</t>
  </si>
  <si>
    <t>DISJUNTOR TIPO DIN/IEC, BIPOLAR 63 A</t>
  </si>
  <si>
    <t>DISJUNTOR TIPO DIN/IEC, MONOPOLAR DE 6  ATE  32A</t>
  </si>
  <si>
    <t>DISJUNTOR TIPO DIN/IEC, MONOPOLAR DE 63 A</t>
  </si>
  <si>
    <t>DISJUNTOR TIPO DIN/IEC, TRIPOLAR DE 10 ATE 50A</t>
  </si>
  <si>
    <t>DISJUNTOR TIPO DIN/IEC, TRIPOLAR 63 A</t>
  </si>
  <si>
    <t>DISJUNTOR TIPO NEMA, BIPOLAR 10  ATE  50 A, TENSAO MAXIMA 415 V</t>
  </si>
  <si>
    <t>DISJUNTOR TIPO NEMA, BIPOLAR 60 ATE 100A, TENSAO MAXIMA 415 V</t>
  </si>
  <si>
    <t>DISJUNTOR TIPO NEMA, MONOPOLAR DE 60 ATE 70A, TENSAO MAXIMA DE 240 V</t>
  </si>
  <si>
    <t>DISJUNTOR TIPO NEMA, MONOPOLAR 10 ATE 30A, TENSAO MAXIMA DE 240 V</t>
  </si>
  <si>
    <t>DISJUNTOR TIPO NEMA, MONOPOLAR 35  ATE  50 A, TENSAO MAXIMA DE 240 V</t>
  </si>
  <si>
    <t>DISJUNTOR TIPO NEMA, TRIPOLAR 10  ATE  50A, TENSAO MAXIMA DE 415 V</t>
  </si>
  <si>
    <t>DISJUNTOR TIPO NEMA, TRIPOLAR 60 ATE 100 A, TENSAO MAXIMA DE 415 V</t>
  </si>
  <si>
    <t>DISPOSITIVO DPS CLASSE II, 1 POLO, TENSAO MAXIMA DE 175 V, CORRENTE MAXIMA DE *20* KA (TIPO AC)</t>
  </si>
  <si>
    <t>DISPOSITIVO DPS CLASSE II, 1 POLO, TENSAO MAXIMA DE 175 V, CORRENTE MAXIMA DE *30* KA (TIPO AC)</t>
  </si>
  <si>
    <t>DISPOSITIVO DPS CLASSE II, 1 POLO, TENSAO MAXIMA DE 175 V, CORRENTE MAXIMA DE *45* KA (TIPO AC)</t>
  </si>
  <si>
    <t>DISPOSITIVO DPS CLASSE II, 1 POLO, TENSAO MAXIMA DE 175 V, CORRENTE MAXIMA DE *90* KA (TIPO AC)</t>
  </si>
  <si>
    <t>DISPOSITIVO DPS CLASSE II, 1 POLO, TENSAO MAXIMA DE 275 V, CORRENTE MAXIMA DE *20* KA (TIPO AC)</t>
  </si>
  <si>
    <t>DISPOSITIVO DPS CLASSE II, 1 POLO, TENSAO MAXIMA DE 275 V, CORRENTE MAXIMA DE *30* KA (TIPO AC)</t>
  </si>
  <si>
    <t>DISPOSITIVO DPS CLASSE II, 1 POLO, TENSAO MAXIMA DE 275 V, CORRENTE MAXIMA DE *45* KA (TIPO AC)</t>
  </si>
  <si>
    <t>DISPOSITIVO DPS CLASSE II, 1 POLO, TENSAO MAXIMA DE 275 V, CORRENTE MAXIMA DE *90* KA (TIPO AC)</t>
  </si>
  <si>
    <t>DISPOSITIVO DPS CLASSE II, 1 POLO, TENSAO MAXIMA DE 385 V, CORRENTE MAXIMA DE *20* KA (TIPO AC)</t>
  </si>
  <si>
    <t>DISPOSITIVO DPS CLASSE II, 1 POLO, TENSAO MAXIMA DE 385 V, CORRENTE MAXIMA DE *30* KA (TIPO AC)</t>
  </si>
  <si>
    <t>DISPOSITIVO DPS CLASSE II, 1 POLO, TENSAO MAXIMA DE 385 V, CORRENTE MAXIMA DE *45* KA (TIPO AC)</t>
  </si>
  <si>
    <t>DISPOSITIVO DPS CLASSE II, 1 POLO, TENSAO MAXIMA DE 385 V, CORRENTE MAXIMA DE *90* KA (TIPO AC)</t>
  </si>
  <si>
    <t>DISPOSITIVO DPS CLASSE II, 1 POLO, TENSAO MAXIMA DE 460 V, CORRENTE MAXIMA DE *20* KA (TIPO AC)</t>
  </si>
  <si>
    <t>DISPOSITIVO DPS CLASSE II, 1 POLO, TENSAO MAXIMA DE 460 V, CORRENTE MAXIMA DE *30* KA (TIPO AC)</t>
  </si>
  <si>
    <t>DISPOSITIVO DPS CLASSE II, 1 POLO, TENSAO MAXIMA DE 460 V, CORRENTE MAXIMA DE *45* KA (TIPO AC)</t>
  </si>
  <si>
    <t>DISPOSITIVO DPS CLASSE II, 1 POLO, TENSAO MAXIMA DE 460 V, CORRENTE MAXIMA DE *90* KA (TIPO AC)</t>
  </si>
  <si>
    <t>DISPOSITIVO DR, 2 POLOS, SENSIBILIDADE DE 30 MA, CORRENTE DE 100 A, TIPO AC</t>
  </si>
  <si>
    <t>DISPOSITIVO DR, 2 POLOS, SENSIBILIDADE DE 30 MA, CORRENTE DE 25 A, TIPO AC</t>
  </si>
  <si>
    <t>DISPOSITIVO DR, 2 POLOS, SENSIBILIDADE DE 30 MA, CORRENTE DE 40 A, TIPO AC</t>
  </si>
  <si>
    <t>DISPOSITIVO DR, 2 POLOS, SENSIBILIDADE DE 30 MA, CORRENTE DE 63 A, TIPO AC</t>
  </si>
  <si>
    <t>DISPOSITIVO DR, 2 POLOS, SENSIBILIDADE DE 30 MA, CORRENTE DE 80 A, TIPO AC</t>
  </si>
  <si>
    <t>DISPOSITIVO DR, 2 POLOS, SENSIBILIDADE DE 300 MA, CORRENTE DE 25 A, TIPO AC</t>
  </si>
  <si>
    <t>DISPOSITIVO DR, 2 POLOS, SENSIBILIDADE DE 300 MA, CORRENTE DE 40 A, TIPO AC</t>
  </si>
  <si>
    <t>DISPOSITIVO DR, 2 POLOS, SENSIBILIDADE DE 300 MA, CORRENTE DE 63 A, TIPO AC</t>
  </si>
  <si>
    <t>DISPOSITIVO DR, 2 POLOS, SENSIBILIDADE DE 300 MA, CORRENTE DE 80 A, TIPO  AC</t>
  </si>
  <si>
    <t>DISPOSITIVO DR, 4 POLOS, SENSIBILIDADE DE 30 MA, CORRENTE DE 100 A, TIPO AC</t>
  </si>
  <si>
    <t>DISPOSITIVO DR, 4 POLOS, SENSIBILIDADE DE 30 MA, CORRENTE DE 25 A, TIPO AC</t>
  </si>
  <si>
    <t>DISPOSITIVO DR, 4 POLOS, SENSIBILIDADE DE 30 MA, CORRENTE DE 40 A, TIPO AC</t>
  </si>
  <si>
    <t>DISPOSITIVO DR, 4 POLOS, SENSIBILIDADE DE 30 MA, CORRENTE DE 63 A, TIPO AC</t>
  </si>
  <si>
    <t>DISPOSITIVO DR, 4 POLOS, SENSIBILIDADE DE 30 MA, CORRENTE DE 80 A, TIPO AC</t>
  </si>
  <si>
    <t>DISPOSITIVO DR, 4 POLOS, SENSIBILIDADE DE 300 MA, CORRENTE DE 100 A, TIPO AC</t>
  </si>
  <si>
    <t>DISPOSITIVO DR, 4 POLOS, SENSIBILIDADE DE 300 MA, CORRENTE DE 25 A, TIPO AC</t>
  </si>
  <si>
    <t>DISPOSITIVO DR, 4 POLOS, SENSIBILIDADE DE 300 MA, CORRENTE DE 40 A, TIPO AC</t>
  </si>
  <si>
    <t>DISPOSITIVO DR, 4 POLOS, SENSIBILIDADE DE 300 MA, CORRENTE DE 63 A, TIPO AC</t>
  </si>
  <si>
    <t>DISPOSITIVO DR, 4 POLOS, SENSIBILIDADE DE 300 MA, CORRENTE DE 80 A, TIPO AC</t>
  </si>
  <si>
    <t>DISTRIBUIDOR DE AGREGADOS AUTOPROPELIDO, CAP 3 M3, A DIESEL, 6 CC, 176 CV</t>
  </si>
  <si>
    <t>DISTRIBUIDOR DE AGREGADOS REBOCAVEL, CAPACIDADE 1,9 M3, LARGURA DE TRABALHO 3,66 M</t>
  </si>
  <si>
    <t>DISTRIBUIDOR METALICO, COM ROSCA, 2 SAIDAS, DN 1" X 1/2", PARA CONEXAO COM ANEL DESLIZANTE EM TUBO PEX</t>
  </si>
  <si>
    <t>DISTRIBUIDOR METALICO, COM ROSCA, 2 SAIDAS, DN 3/4" X 1/2", PARA CONEXAO COM ANEL DESLIZANTE EM TUBO PEX</t>
  </si>
  <si>
    <t>DISTRIBUIDOR METALICO, COM ROSCA, 3 SAIDAS, DN 1" X 1/2", PARA CONEXAO COM ANEL DESLIZANTE EM TUBO PEX</t>
  </si>
  <si>
    <t>DISTRIBUIDOR METALICO, COM ROSCA, 3 SAIDAS, DN 3/4" X 1/2", PARA CONEXAO COM ANEL DESLIZANTE EM TUBO PEX</t>
  </si>
  <si>
    <t>DISTRIBUIDOR, PLASTICO, 2 SAIDAS, DN 32 X 16 MM, PARA CONEXAO COM CRIMPAGEM EM TUBO PEX</t>
  </si>
  <si>
    <t>DISTRIBUIDOR, PLASTICO, 2 SAIDAS, DN 32 X 20 MM, PARA CONEXAO COM CRIMPAGEM EM TUBO PEX</t>
  </si>
  <si>
    <t>DISTRIBUIDOR, PLASTICO, 2 SAIDAS, DN 32 X 25 MM, PARA CONEXAO COM CRIMPAGEM EM TUBO PEX</t>
  </si>
  <si>
    <t>DISTRIBUIDOR, PLASTICO, 3 SAIDAS, DN 32 X 16 MM, PARA CONEXAO COM CRIMPAGEM EM TUBO PEX</t>
  </si>
  <si>
    <t>DISTRIBUIDOR, PLASTICO, 3 SAIDAS, DN 32 X 20 MM, PARA CONEXAO COM CRIMPAGEM EM TUBO PEX</t>
  </si>
  <si>
    <t>DISTRIBUIDOR, PLASTICO, 3 SAIDAS, DN 32 X 25 MM, PARA CONEXAO COM CRIMPAGEM EM TUBO PEX</t>
  </si>
  <si>
    <t>DIVISORIA (N2) PAINEL/VIDRO - PAINEL C/ MSO/COMEIA E=35MM - MONTANTE/RODAPE DUPLO ACO GALV PINTADO - COLOCADA</t>
  </si>
  <si>
    <t>DIVISORIA (N2) PAINEL/VIDRO - PAINEL C/ MSO/COMEIA E=35MM - PERFIS SIMPLES ACO GALV PINTADO - COLOCADA</t>
  </si>
  <si>
    <t>DIVISORIA (N2) PAINEL/VIDRO - PAINEL MSO/COMEIA E=35MM - MONTANTE/RODAPE DUPLO ALUMINIO ANOD NAT - COLOCADA</t>
  </si>
  <si>
    <t>DIVISORIA (N2) PAINEL/VIDRO - PAINEL MSO/COMEIA E=35MM - PERFIS SIMPLES ALUMINIO ANOD NAT - COLOCADA</t>
  </si>
  <si>
    <t>DIVISORIA (N2) PAINEL/VIDRO - PAINEL VERMICULITA E=35MM - PERFIS SIMPLES ALUMINIO ANOD NATURAL - COLOCADA</t>
  </si>
  <si>
    <t>DIVISORIA (N3) PAINEL/VIDRO/PAINEL MSO/COMEIA E=35MM - MONTANTE/RODAPE DUPLO ACO GALV PINTADO - COLOCADA</t>
  </si>
  <si>
    <t>DIVISORIA (N3) PAINEL/VIDRO/PAINEL MSO/COMEIA E=35MM - MONTANTE/RODAPE DUPLO ALUMINIO ANOD NAT - COLOCADA</t>
  </si>
  <si>
    <t>DIVISORIA (N3) PAINEL/VIDRO/PAINEL MSO/COMEIA E=35MM - PERFIS SIMPLES ACO GALV PINTADO - COLOCADA</t>
  </si>
  <si>
    <t>DIVISORIA (N3) PAINEL/VIDRO/PAINEL MSO/COMEIA E=35MM - PERFIS SIMPLES ALUMINIO ANOD NAT - COLOCADA</t>
  </si>
  <si>
    <t>DIVISORIA (N3) PAINEL/VIDRO/PAINEL VERMICULITA E=35MM - MONTANTE/RODAPE DUPLO ALUMINIO ANOD NATURAL - COLOCADA</t>
  </si>
  <si>
    <t>DIVISORIA (N3) PAINEL/VIDRO/PAINEL VERMICULITA E=35MM - MONTANTE/RODAPE PERFIL DUPLO ACO GALV PINTADO - COLOCADA</t>
  </si>
  <si>
    <t>DIVISORIA CEGA (N1) - PAINEL MSO/COMEIA E=35MM - MONTANTE/RODAPE DUPLO   ACO GALV PINTADO - COLOCADA</t>
  </si>
  <si>
    <t>DIVISORIA CEGA (N1) - PAINEL MSO/COMEIA E=35MM - MONTANTE/RODAPE DUPLO ALUMINIO ANOD NAT - COLOCADA</t>
  </si>
  <si>
    <t>DIVISORIA CEGA (N1) - PAINEL MSO/COMEIA E=35MM - PERFIS SIMPLES ACO GALV PINTADO   - COLOCADA</t>
  </si>
  <si>
    <t>DIVISORIA CEGA (N1) - PAINEL MSO/COMEIA E=35MM - PERFIS SIMPLES ALUMINIO ANOD NAT - COLOCADA</t>
  </si>
  <si>
    <t>DIVISORIA CEGA (N1) - PAINEL VERMICULITA E=35MM - MONTANTE/RODAPE PERFIS SIMPLES ACO GALV PINTADO - COLOCADA</t>
  </si>
  <si>
    <t>DIVISORIA CEGA (N1) - PAINEL VERMICULITA E=35MM - PERFIS SIMPLES ALUMINIO ANOD NATURAL - COLOCADA</t>
  </si>
  <si>
    <t>DIVISORIA EM GRANITO, COM DUAS FACES POLIDAS, TIPO ANDORINHA/ QUARTZ/ CASTELO/ CORUMBA OU OUTROS EQUIVALENTES DA REGIAO, E=  *3,0* CM</t>
  </si>
  <si>
    <t>DIVISORIA EM MARMORE, COM DUAS FACES POLIDAS, BRANCO COMUM, E=  *3,0* CM</t>
  </si>
  <si>
    <t>DIVISORIA, PLACA  PRE-MOLDADA EM GRANILITE, MARMORITE OU GRANITINA,  E = *3 CM</t>
  </si>
  <si>
    <t>DOBRADEIRA ELETROMECANICA DE VERGALHAO, PARA ACO DE DIAMETRO ATE 1 1/2 "Â, MOTOR ELETRICO TRIFASICO, POTENCIA DE 3 HP ATE 5 HP</t>
  </si>
  <si>
    <t>DOBRADICA EM ACO/FERRO, 3 1/2" X  3", E= 1,9  A 2 MM, COM ANEL,  CROMADO OU ZINCADO, TAMPA BOLA, COM PARAFUSOS</t>
  </si>
  <si>
    <t>DOBRADICA EM ACO/FERRO, 3" X 2 1/2", E= 1,2 A 1,8 MM, SEM ANEL,  CROMADO OU ZINCADO, TAMPA CHATA, COM PARAFUSOS</t>
  </si>
  <si>
    <t>DOBRADICA EM ACO/FERRO, 3" X 2 1/2", E= 1,9 A 2 MM, SEM ANEL,  CROMADO OU ZINCADO, TAMPA BOLA, COM PARAFUSOS</t>
  </si>
  <si>
    <t>DOBRADICA EM LATAO, 3 " X 2 1/2 ", E= 1,9 A 2 MM, COM ANEL, CROMADO, TAMPA BOLA, COM PARAFUSOS</t>
  </si>
  <si>
    <t>DOBRADICA TIPO VAI-E-VEM EM ACO/FERRO, TAMANHO 3'', GALVANIZADO, COM PARAFUSOS</t>
  </si>
  <si>
    <t>DOMOS INDIVIDUAL EM ACRILICO BRANCO *95 X 95* CM, SEM INSTALACAO</t>
  </si>
  <si>
    <t>DOSADOR DE AREIA, CAPACIDADE DE *26* LITROS</t>
  </si>
  <si>
    <t>DUCHA HIGIENICA PLASTICA COM REGISTRO METALICO 1/2 "</t>
  </si>
  <si>
    <t>DUCHA METALICA DE PAREDE, ARTICULAVEL, COM BRACO/CANO, SEM DESVIADOR</t>
  </si>
  <si>
    <t>DUCHA METALICA DE PAREDE, ARTICULAVEL, COM DESVIADOR E DUCHA MANUAL</t>
  </si>
  <si>
    <t>DUMPER COM CAPACIDADE DE CARGA DE 1700 KG, PARTIDA ELETRICA, MOTOR DIESEL COM POTENCIA DE 16 CV</t>
  </si>
  <si>
    <t>ELEMENTO VAZADO CERAMICO 25 X 18 X 7 CM</t>
  </si>
  <si>
    <t>ELEMENTO VAZADO CERAMICO 7 X 20 X 20 CM</t>
  </si>
  <si>
    <t>ELEMENTO VAZADO CERAMICO 9 X 20 X 20 CM</t>
  </si>
  <si>
    <t>ELEMENTO VAZADO DE CONCRETO, QUADRICULADO, 1 FURO *10 X 10 X 10* CM</t>
  </si>
  <si>
    <t>ELEMENTO VAZADO DE CONCRETO, QUADRICULADO, 1 FURO *20 X 10 X 7* CM</t>
  </si>
  <si>
    <t>ELEMENTO VAZADO DE CONCRETO, QUADRICULADO, 1 FURO *20 X 20 X 6,5* CM</t>
  </si>
  <si>
    <t>ELEMENTO VAZADO DE CONCRETO, QUADRICULADO, 16 FUROS *29 X 29 X 6* CM</t>
  </si>
  <si>
    <t>ELEMENTO VAZADO DE CONCRETO, QUADRICULADO, 16 FUROS *33 X 33 X 10* CM</t>
  </si>
  <si>
    <t>ELEMENTO VAZADO DE CONCRETO, QUADRICULADO, 16 FUROS *40 X 40 X 7* CM</t>
  </si>
  <si>
    <t>ELEMENTO VAZADO DE CONCRETO, QUADRICULADO, 16 FUROS *50 X 50 X 7* CM</t>
  </si>
  <si>
    <t>ELEMENTO VAZADO DE CONCRETO, QUADRICULADO, 25 FUROS *50 X 50 X 5* CM</t>
  </si>
  <si>
    <t>ELEMENTO VAZADO DE CONCRETO, VENEZIANA *39 X 22 X 15* CM</t>
  </si>
  <si>
    <t>ELEMENTO VAZADO DE CONCRETO, VENEZIANA *39 X 29 X 10* CM</t>
  </si>
  <si>
    <t>ELEMENTO VAZADO DE CONCRETO, VENEZIANA *40 X 10 X 10* CM</t>
  </si>
  <si>
    <t>ELETRICISTA</t>
  </si>
  <si>
    <t>ELETRICISTA (MENSALISTA)</t>
  </si>
  <si>
    <t>ELETRICISTA DE MANUTENCAO INDUSTRIAL</t>
  </si>
  <si>
    <t>ELETRICISTA DE MANUTENCAO INDUSTRIAL (MENSALISTA)</t>
  </si>
  <si>
    <t>ELETRODO REVESTIDO AWS - E-6010, DIAMETRO IGUAL A 4,00 MM</t>
  </si>
  <si>
    <t>ELETRODO REVESTIDO AWS - E6013, DIAMETRO IGUAL A 2,50 MM</t>
  </si>
  <si>
    <t>ELETRODO REVESTIDO AWS - E6013, DIAMETRO IGUAL A 4,00 MM</t>
  </si>
  <si>
    <t>ELETRODO REVESTIDO AWS - E7018, DIAMETRO IGUAL A 4,00 MM</t>
  </si>
  <si>
    <t>ELETRODUTO DE PVC RIGIDO ROSCAVEL DE 1 ", SEM LUVA</t>
  </si>
  <si>
    <t>ELETRODUTO DE PVC RIGIDO ROSCAVEL DE 1 1/2 ", SEM LUVA</t>
  </si>
  <si>
    <t>ELETRODUTO DE PVC RIGIDO ROSCAVEL DE 1 1/4 ", SEM LUVA</t>
  </si>
  <si>
    <t>ELETRODUTO DE PVC RIGIDO ROSCAVEL DE 1/2 ", SEM LUVA</t>
  </si>
  <si>
    <t>ELETRODUTO DE PVC RIGIDO ROSCAVEL DE 2 ", SEM LUVA</t>
  </si>
  <si>
    <t>ELETRODUTO DE PVC RIGIDO ROSCAVEL DE 2 1/2 ", SEM LUVA</t>
  </si>
  <si>
    <t>ELETRODUTO DE PVC RIGIDO ROSCAVEL DE 3 ", SEM LUVA</t>
  </si>
  <si>
    <t>ELETRODUTO DE PVC RIGIDO ROSCAVEL DE 3/4 ", SEM LUVA</t>
  </si>
  <si>
    <t>ELETRODUTO DE PVC RIGIDO ROSCAVEL DE 4 ", SEM LUVA</t>
  </si>
  <si>
    <t>ELETRODUTO DE PVC RIGIDO SOLDAVEL, CLASSE B, DE 20 MM</t>
  </si>
  <si>
    <t>ELETRODUTO DE PVC RIGIDO SOLDAVEL, CLASSE B, DE 25 MM</t>
  </si>
  <si>
    <t>ELETRODUTO DE PVC RIGIDO SOLDAVEL, CLASSE B, DE 32 MM</t>
  </si>
  <si>
    <t>ELETRODUTO DE PVC RIGIDO SOLDAVEL, CLASSE B, DE 40 MM</t>
  </si>
  <si>
    <t>ELETRODUTO DE PVC RIGIDO SOLDAVEL, CLASSE B, DE 50 MM</t>
  </si>
  <si>
    <t>ELETRODUTO DE PVC RIGIDO SOLDAVEL, CLASSE B, DE 60 MM</t>
  </si>
  <si>
    <t>ELETRODUTO FLEXIVEL PLANO EM PEAD, COR PRETA E LARANJA,  DIAMETRO 32 MM</t>
  </si>
  <si>
    <t>ELETRODUTO FLEXIVEL PLANO EM PEAD, COR PRETA E LARANJA,  DIAMETRO 40 MM</t>
  </si>
  <si>
    <t>ELETRODUTO FLEXIVEL PLANO EM PEAD, COR PRETA E LARANJA, DIAMETRO 25 MM</t>
  </si>
  <si>
    <t>ELETRODUTO FLEXIVEL, EM ACO GALVANIZADO, REVESTIDO EXTERNAMENTE COM PVC PRETO, DIAMETRO EXTERNO DE 25 MM (3/4"), TIPO SEALTUBO</t>
  </si>
  <si>
    <t>ELETRODUTO FLEXIVEL, EM ACO GALVANIZADO, REVESTIDO EXTERNAMENTE COM PVC PRETO, DIAMETRO EXTERNO DE 32 MM (1"), TIPO SEALTUBO</t>
  </si>
  <si>
    <t>ELETRODUTO FLEXIVEL, EM ACO GALVANIZADO, REVESTIDO EXTERNAMENTE COM PVC PRETO, DIAMETRO EXTERNO DE 40 MM (1 1/4"), TIPO SEALTUBO</t>
  </si>
  <si>
    <t>ELETRODUTO FLEXIVEL, EM ACO GALVANIZADO, REVESTIDO EXTERNAMENTE COM PVC PRETO, DIAMETRO EXTERNO DE 50 MM( 1 1/2"), TIPO SEALTUBO</t>
  </si>
  <si>
    <t>ELETRODUTO FLEXIVEL, EM ACO GALVANIZADO, REVESTIDO EXTERNAMENTE COM PVC PRETO, DIAMETRO EXTERNO DE 60 MM (2"), TIPO SEALTUBO</t>
  </si>
  <si>
    <t>ELETRODUTO FLEXIVEL, EM ACO GALVANIZADO, REVESTIDO EXTERNAMENTE COM PVC PRETO, DIAMETRO EXTERNO DE 75 MM (2 1/2"), TIPO SEALTUBO</t>
  </si>
  <si>
    <t>ELETRODUTO FLEXIVEL, EM ACO, TIPO CONDUITE, DIAMETRO DE 1 1/2"</t>
  </si>
  <si>
    <t>ELETRODUTO FLEXIVEL, EM ACO, TIPO CONDUITE, DIAMETRO DE 1 1/4"</t>
  </si>
  <si>
    <t>ELETRODUTO FLEXIVEL, EM ACO, TIPO CONDUITE, DIAMETRO DE 1/2"</t>
  </si>
  <si>
    <t>ELETRODUTO FLEXIVEL, EM ACO, TIPO CONDUITE, DIAMETRO DE 1"</t>
  </si>
  <si>
    <t>ELETRODUTO FLEXIVEL, EM ACO, TIPO CONDUITE, DIAMETRO DE 2 1/2"</t>
  </si>
  <si>
    <t>ELETRODUTO FLEXIVEL, EM ACO, TIPO CONDUITE, DIAMETRO DE 2"</t>
  </si>
  <si>
    <t>ELETRODUTO FLEXIVEL, EM ACO, TIPO CONDUITE, DIAMETRO DE 3"</t>
  </si>
  <si>
    <t>ELETRODUTO METALICO FLEXIVEL REVESTIDO COM PVC PRETO, DIAMETRO EXTERNO DE 15 MM (3/8"), TIPO COPEX</t>
  </si>
  <si>
    <t>ELETRODUTO PVC FLEXIVEL CORRUGADO, COR AMARELA, DE 16 MM</t>
  </si>
  <si>
    <t>ELETRODUTO PVC FLEXIVEL CORRUGADO, COR AMARELA, DE 20 MM</t>
  </si>
  <si>
    <t>ELETRODUTO PVC FLEXIVEL CORRUGADO, COR AMARELA, DE 25 MM</t>
  </si>
  <si>
    <t>ELETRODUTO PVC FLEXIVEL CORRUGADO, COR AMARELA, DE 32 MM</t>
  </si>
  <si>
    <t>ELETRODUTO PVC FLEXIVEL CORRUGADO, REFORCADO, COR LARANJA, DE 20 MM, PARA LAJES E PISOS</t>
  </si>
  <si>
    <t>ELETRODUTO PVC FLEXIVEL CORRUGADO, REFORCADO, COR LARANJA, DE 25 MM, PARA LAJES E PISOS</t>
  </si>
  <si>
    <t>ELETRODUTO PVC FLEXIVEL CORRUGADO, REFORCADO, COR LARANJA, DE 32 MM, PARA LAJES E PISOS</t>
  </si>
  <si>
    <t>ELETRODUTO/CONDULETE DE PVC RIGIDO, LISO, COR CINZA, DE 1/2", PARA INSTALACOES APARENTES (NBR 5410)</t>
  </si>
  <si>
    <t>ELETRODUTO/CONDULETE DE PVC RIGIDO, LISO, COR CINZA, DE 1", PARA INSTALACOES APARENTES (NBR 5410)</t>
  </si>
  <si>
    <t>ELETRODUTO/CONDULETE DE PVC RIGIDO, LISO, COR CINZA, DE 3/4", PARA INSTALACOES APARENTES (NBR 5410)</t>
  </si>
  <si>
    <t>ELETRODUTO/DUTO PEAD FLEXIVEL PAREDE SIMPLES, CORRUGACAO HELICOIDAL, COR PRETA, SEM ROSCA, DE 2",  PARA CABEAMENTO SUBTERRANEO (NBR 15715)</t>
  </si>
  <si>
    <t>ELETRODUTO/DUTO PEAD FLEXIVEL PAREDE SIMPLES, CORRUGACAO HELICOIDAL, COR PRETA, SEM ROSCA, DE 3",  PARA CABEAMENTO SUBTERRANEO (NBR 15715)</t>
  </si>
  <si>
    <t>ELETRODUTODUTO PEAD FLEXIVEL PAREDE SIMPLES, CORRUGACAO HELICOIDAL, COR PRETA, SEM ROSCA, DE 1 1/2",  PARA CABEAMENTO SUBTERRANEO (NBR 15715)</t>
  </si>
  <si>
    <t>ELETRODUTODUTO PEAD FLEXIVEL PAREDE SIMPLES, CORRUGACAO HELICOIDAL, COR PRETA, SEM ROSCA, DE 1 1/4",  PARA CABEAMENTO SUBTERRANEO (NBR 15715)</t>
  </si>
  <si>
    <t>ELETRODUTODUTO PEAD FLEXIVEL PAREDE SIMPLES, CORRUGACAO HELICOIDAL, COR PRETA, SEM ROSCA, DE 4",  PARA CABEAMENTO SUBTERRANEO (NBR 15715)</t>
  </si>
  <si>
    <t>ELETROTECNICO</t>
  </si>
  <si>
    <t>ELETROTECNICO (MENSALISTA)</t>
  </si>
  <si>
    <t>ELEVADOR DE CARGA A CABO, CABINE SEMI FECHADA 2,0 X 1,5 X 2,0 M, CAPACIDADE DE CARGA 1000 KG, TORRE  2,38 X 2,21 X 15 M, GUINCHO DE EMBREAGEM, FREIO DE SEGURANCA, LIMITADOR DE VELOCIDADE E CANCELA</t>
  </si>
  <si>
    <t>ELEVADOR DE CREMALHEIRA CABINE FECHADA 1,5 X 2,5 X 2,35 M (UMA POR TORRE), CAPACIDADE DE CARGA 1200 KG (15 PESSOAS), TORRE  24 M (16 MODULOS), FREIO DE SEGURANCA, LIMITADOR DE CARGA</t>
  </si>
  <si>
    <t>EMENDA PARA CALHA PLUVIAL, PVC, DIAMETRO ENTRE 119 E 170 MM, PARA DRENAGEM PREDIAL</t>
  </si>
  <si>
    <t>EMPILHADEIRA SOBRE PNEUS COM TORRE DE TRES ESTAGIOS, 4,70M DE ELEVACAO, C/ DESLOCADOR LATERAL DOS GARFOS, MOTOR GLP 4.3L, CAPACIDADE NOMINAL DE CARGA DE 6T</t>
  </si>
  <si>
    <t>EMPILHADEIRA SOBRE PNEUS COM TORRE DE TRES ESTAGIOS, 4,80M DE ELEVACAO, C/ DESLOCADOR LATERAL DOS GARFOS, MOTOR GLP 2.2L, CAPACIDADE NOMINAL DE CARGA DE 3T</t>
  </si>
  <si>
    <t>EMPILHADEIRA SOBRE PNEUS COM TORRE DE TRES ESTAGIOS, 4,80M DE ELEVACAO, C/ DESLOCADOR LATERAL DOS GARFOS, MOTOR GLP 2.4L, CAPACIDADE NOMINAL DE CARGA DE 2,5T</t>
  </si>
  <si>
    <t>EMPILHADEIRA SOBRE PNEUS COM TORRE DE TRES ESTAGIOS, 4,80M DE ELEVACAO, C/ DESLOCADOR LATERAL DOS GARFOS, MOTOR GLP 4.3L, CAPACIDADE NOMINAL DE CARGA DE 4T</t>
  </si>
  <si>
    <t>EMPILHADEIRA SOBRE PNEUS COM TORRE DE TRES ESTAGIOS, 4,80M DE ELEVACAO, C/ DESLOCADOR LATERAL DOS GARFOS, MOTOR GLP 4.3L, CAPACIDADE NOMINAL DE CARGA DE 5T</t>
  </si>
  <si>
    <t>EMULSAO ASFALTICA ANIONICA</t>
  </si>
  <si>
    <t>EMULSAO ASFALTICA CATIONICA RL-1C PARA USO EM PAVIMENTACAO ASFALTICA (COLETADO CAIXA NA ANP ACRESCIDO DE ICMS)</t>
  </si>
  <si>
    <t>EMULSAO ASFALTICA CATIONICA RR-1C PARA USO EM PAVIMENTACAO ASFALTICA (COLETADO CAIXA NA ANP ACRESCIDO DE ICMS)</t>
  </si>
  <si>
    <t>EMULSAO ASFALTICA CATIONICA RR-2C PARA USO EM PAVIMENTACAO ASFALTICA (COLETADO CAIXA NA ANP ACRESCIDO DE ICMS)</t>
  </si>
  <si>
    <t>EMULSAO EXPLOSIVA EM CARTUCHOS DE 1" X 12", DENSIDADE 1.15 G/CM3, INICIACAO ESPOLETA N. 8 / CORDEL</t>
  </si>
  <si>
    <t>EMULSAO EXPLOSIVA EM CARTUCHOS DE 1" X 24", DENSIDADE 1.15 G/CM3, INICIACAO ESPOLETA N. 8 / CORDEL</t>
  </si>
  <si>
    <t>EMULSAO EXPLOSIVA EM CARTUCHOS DE 1" X 8", DENSIDADE 1.15 G/CM3, INICIACAO ESPOLETA N. 8 / CORDEL</t>
  </si>
  <si>
    <t>EMULSAO EXPLOSIVA EM CARTUCHOS DE 2 1/2" X 24", DENSIDADE 1.15 G/CM3, INICIACAO ESPOLETA N. 8 / CORDEL</t>
  </si>
  <si>
    <t>EMULSAO EXPLOSIVA EM CARTUCHOS DE 2 1/4" X 24", DENSIDADE 1.15 G/CM3, INICIACAO ESPOLETA N. 8 / CORDEL</t>
  </si>
  <si>
    <t>EMULSAO EXPLOSIVA EM CARTUCHOS DE 2" X 24", DENSIDADE 1.15 G/CM3, INICIACAO ESPOLETA N. 8 / CORDEL</t>
  </si>
  <si>
    <t>ENCANADOR OU BOMBEIRO HIDRAULICO</t>
  </si>
  <si>
    <t>ENCANADOR OU BOMBEIRO HIDRAULICO (MENSALISTA)</t>
  </si>
  <si>
    <t>ENCARREGADO GERAL DE OBRAS</t>
  </si>
  <si>
    <t>ENCARREGADO GERAL DE OBRAS (MENSALISTA)</t>
  </si>
  <si>
    <t>ENDURECEDOR MINERAL DE BASE CIMENTICIA PARA PISO DE CONCRETO</t>
  </si>
  <si>
    <t>ENERGIA ELETRICA ATE 2000 KWH INDUSTRIAL, SEM DEMANDA</t>
  </si>
  <si>
    <t>ENERGIA ELETRICA COMERCIAL, BAIXA TENSAO, RELATIVA AO CONSUMO DE ATE 100 KWH, INCLUINDO ICMS, PIS/PASEP E COFINS</t>
  </si>
  <si>
    <t>ENGATE / RABICHO FLEXIVEL INOX 1/2 " X 30 CM</t>
  </si>
  <si>
    <t>ENGATE / RABICHO FLEXIVEL INOX 1/2 " X 40 CM</t>
  </si>
  <si>
    <t>ENGATE/RABICHO FLEXIVEL PLASTICO (PVC OU ABS) BRANCO 1/2 " X 30 CM</t>
  </si>
  <si>
    <t>ENGATE/RABICHO FLEXIVEL PLASTICO (PVC OU ABS) BRANCO 1/2 " X 40 CM</t>
  </si>
  <si>
    <t>ENGENHEIRO CIVIL DE OBRA JUNIOR</t>
  </si>
  <si>
    <t>ENGENHEIRO CIVIL DE OBRA JUNIOR (MENSALISTA)</t>
  </si>
  <si>
    <t>ENGENHEIRO CIVIL DE OBRA PLENO</t>
  </si>
  <si>
    <t>ENGENHEIRO CIVIL DE OBRA PLENO (MENSALISTA)</t>
  </si>
  <si>
    <t>ENGENHEIRO CIVIL DE OBRA SENIOR</t>
  </si>
  <si>
    <t>ENGENHEIRO CIVIL DE OBRA SENIOR (MENSALISTA)</t>
  </si>
  <si>
    <t>ENGENHEIRO CIVIL JUNIOR</t>
  </si>
  <si>
    <t>ENGENHEIRO CIVIL JUNIOR (MENSALISTA)</t>
  </si>
  <si>
    <t>ENGENHEIRO CIVIL PLENO</t>
  </si>
  <si>
    <t>ENGENHEIRO CIVIL PLENO (MENSALISTA)</t>
  </si>
  <si>
    <t>ENGENHEIRO CIVIL SENIOR</t>
  </si>
  <si>
    <t>ENGENHEIRO CIVIL SENIOR (MENSALISTA)</t>
  </si>
  <si>
    <t>ENGENHEIRO ELETRICISTA</t>
  </si>
  <si>
    <t>ENGENHEIRO ELETRICISTA (MENSALISTA)</t>
  </si>
  <si>
    <t>ENGENHEIRO SANITARISTA</t>
  </si>
  <si>
    <t>ENGENHEIRO SANITARISTA (MENSALISTA)</t>
  </si>
  <si>
    <t>ENXADA ESTREITA *25 X 23* CM COM CABO</t>
  </si>
  <si>
    <t>EPI - FAMILIA ALMOXARIFE - HORISTA (ENCARGOS COMPLEMENTARES - COLETADO CAIXA)</t>
  </si>
  <si>
    <t>EPI - FAMILIA ALMOXARIFE - MENSALISTA (ENCARGOS COMPLEMENTARES - COLETADO CAIXA)</t>
  </si>
  <si>
    <t>EPI - FAMILIA CARPINTEIRO DE FORMAS - HORISTA (ENCARGOS COMPLEMENTARES - COLETADO CAIXA)</t>
  </si>
  <si>
    <t>EPI - FAMILIA CARPINTEIRO DE FORMAS - MENSALISTA (ENCARGOS COMPLEMENTARES - COLETADO CAIXA)</t>
  </si>
  <si>
    <t>EPI - FAMILIA ELETRICISTA - HORISTA (ENCARGOS COMPLEMENTARES - COLETADO CAIXA)</t>
  </si>
  <si>
    <t>EPI - FAMILIA ELETRICISTA - MENSALISTA (ENCARGOS COMPLEMENTARES - COLETADO CAIXA)</t>
  </si>
  <si>
    <t>EPI - FAMILIA ENCANADOR - HORISTA (ENCARGOS COMPLEMENTARES - COLETADO CAIXA)</t>
  </si>
  <si>
    <t>EPI - FAMILIA ENCANADOR - MENSALISTA (ENCARGOS COMPLEMENTARES - COLETADO CAIXA)</t>
  </si>
  <si>
    <t>EPI - FAMILIA ENCARREGADO GERAL - HORISTA (ENCARGOS COMPLEMENTARES - COLETADO CAIXA)</t>
  </si>
  <si>
    <t>EPI - FAMILIA ENCARREGADO GERAL - MENSALISTA (ENCARGOS COMPLEMENTARES - COLETADO CAIXA)</t>
  </si>
  <si>
    <t>EPI - FAMILIA ENGENHEIRO CIVIL - HORISTA (ENCARGOS COMPLEMENTARES - COLETADO CAIXA)</t>
  </si>
  <si>
    <t>EPI - FAMILIA ENGENHEIRO CIVIL - MENSALISTA (ENCARGOS COMPLEMENTARES - COLETADO CAIXA)</t>
  </si>
  <si>
    <t>EPI - FAMILIA OPERADOR ESCAVADEIRA - HORISTA (ENCARGOS COMPLEMENTARES - COLETADO CAIXA)</t>
  </si>
  <si>
    <t>EPI - FAMILIA OPERADOR ESCAVADEIRA - MENSALISTA (ENCARGOS COMPLEMENTARES - COLETADO CAIXA)</t>
  </si>
  <si>
    <t>EPI - FAMILIA PEDREIRO - HORISTA (ENCARGOS COMPLEMENTARES - COLETADO CAIXA)</t>
  </si>
  <si>
    <t>EPI - FAMILIA PEDREIRO - MENSALISTA (ENCARGOS COMPLEMENTARES - COLETADO CAIXA)</t>
  </si>
  <si>
    <t>EPI - FAMILIA PINTOR - HORISTA (ENCARGOS COMPLEMENTARES - COLETADO CAIXA)</t>
  </si>
  <si>
    <t>EPI - FAMILIA PINTOR - MENSALISTA (ENCARGOS COMPLEMENTARES - COLETADO CAIXA)</t>
  </si>
  <si>
    <t>EPI - FAMILIA SERVENTE - HORISTA (ENCARGOS COMPLEMENTARES - COLETADO CAIXA)</t>
  </si>
  <si>
    <t>EPI - FAMILIA SERVENTE - MENSALISTA (ENCARGOS COMPLEMENTARES - COLETADO CAIXA)</t>
  </si>
  <si>
    <t>EPI - FAMILIA SOLDADOR - HORISTA (ENCARGOS COMPLEMENTARES - COLETADO CAIXA)</t>
  </si>
  <si>
    <t>EPI - FAMILIA SOLDADOR - MENSALISTA (ENCARGOS COMPLEMENTARES - COLETADO CAIXA)</t>
  </si>
  <si>
    <t>EPI - FAMILIA TOPOGRAFO - HORISTA (ENCARGOS COMPLEMENTARES - COLETADO CAIXA)</t>
  </si>
  <si>
    <t>EPI - FAMILIA TOPOGRAFO - MENSALISTA (ENCARGOS COMPLEMENTARES - COLETADO CAIXA)</t>
  </si>
  <si>
    <t>EQUIPAMENTO DE LIMPEZA COMBINADO (VACUO/ALTA PRESSAO) 95% VACUO, TANQUE 7000 L, BOMBA 140 KGF/CM2 66 L/MIN COM MOTOR INDEPENDENTE A DIESEL DE 60 CV (INCLUI MONTAGEM, NAO INCLUI CAMINHAO)</t>
  </si>
  <si>
    <t>EQUIPAMENTO PARA DEMARCACAO DE FAIXAS DE TRAFEGO A FRIO, A SER MONTADO SOBRE CAMINHAO DE PBT MINIMO DE 9 T E DISTANCIA MINIMA ENTRE EIXOS DE 4,3 M, CAPACIDADE PARA 800 L DE TINTA (INCLUI MONTAGEM, NAO INCLUI CAMINHAO)</t>
  </si>
  <si>
    <t>EQUIPAMENTO PARA DEMARCACAO DE FAIXAS DE TRAFEGO A QUENTE, A SER MONTADO SOBRE CAMINHAO DE PBT MINIMO DE 17 T E DISTANCIA MINIMA ENTRE EIXOS DE 5,2 M, CAPACIDADE PARA 1.000 KG DE MATERIAL TERMOPLASTICO (INCLUI MONTAGEM, NAO INCLUI CAMINHAO E NEM COMPRESSOR DE AR)</t>
  </si>
  <si>
    <t>ESCADA DUPLA DE ABRIR EM ALUMINIO, MODELO PINTOR, 8 DEGRAUS</t>
  </si>
  <si>
    <t>ESCADA EXTENSIVEL EM ALUMINIO COM 6,00 M ESTENDIDA</t>
  </si>
  <si>
    <t>ESCAVADEIRA HIDRAULICA SOBRE ESTEIRA, COM GARRA GIRATORIA DE MANDIBULAS, PESO OPERACIONAL ENTRE 22,00 E 25,50 TON, POTENCIA LIQUIDA ENTRE 150 E 160 HP</t>
  </si>
  <si>
    <t>ESCAVADEIRA HIDRAULICA SOBRE ESTEIRAS CACAMBA 0,40 A 1,20 M3, PESO OPERACIONAL 21,19 T, POTENCIA LIQUIDA 173 HP</t>
  </si>
  <si>
    <t>ESCAVADEIRA HIDRAULICA SOBRE ESTEIRAS COM CACAMBA DE 1,20 M3, PESO OPERACIONAL 21 T, POTENCIA BRUTA 155 HP</t>
  </si>
  <si>
    <t>ESCAVADEIRA HIDRAULICA SOBRE ESTEIRAS, CACAMBA  0,80 M3, PESO OPERACIONAL 17,8 T, POTENCIA LIQUIDA 110 HP</t>
  </si>
  <si>
    <t>ESCAVADEIRA HIDRAULICA SOBRE ESTEIRAS, CACAMBA 0,4 A 1,70 M3, PESO OPERACIONAL 23,2 T, POTENCIA BRUTA 183 HP</t>
  </si>
  <si>
    <t>ESCAVADEIRA HIDRAULICA SOBRE ESTEIRAS, CACAMBA 0,62M3, PESO OPERACIONAL 12,61T, POTENCIA LIQUIDA 95HP</t>
  </si>
  <si>
    <t>ESCAVADEIRA HIDRAULICA SOBRE ESTEIRAS, CACAMBA 0,80 A 1,30 M3, PESO OPERACIONAL 22,18 T, POTENCIA LIQUIDA 170 HP</t>
  </si>
  <si>
    <t>ESCAVADEIRA HIDRAULICA SOBRE ESTEIRAS, CACAMBA 0,80M3, PESO OPERACIONAL 17T, POTENCIA BRUTA 111HP</t>
  </si>
  <si>
    <t>ESCAVADEIRA HIDRAULICA SOBRE ESTEIRAS, CAPACIDADE DA CACAMBA ENTRE 1,20 E 1,50 M3, PESO OPERACIONAL ENTRE 20,00 E 22,00 TON, POTENCIA LIQUIDA ENTRE 150 E 155 HP, EQUIPADA COM CLAMSHELL</t>
  </si>
  <si>
    <t>ESCORA PRE-MOLDADA EM CONCRETO, *10 X 10* CM, H = 2,30M</t>
  </si>
  <si>
    <t>ESCOVA CIRCULAR EM ACO LATONADO, 6 X 1 " (DIAMETRO X ESPESSURA), FURO DE 1 1/4 ", FIO ONDULADO *0,30* MM</t>
  </si>
  <si>
    <t>ESCOVA DE ACO, COM CABO, *4  X 15* FILEIRAS DE CERDAS</t>
  </si>
  <si>
    <t>ESGUICHO JATO REGULAVEL, TIPO ELKHART, ENGATE RAPIDO 1 1/2", PARA COMBATE A INCENDIO</t>
  </si>
  <si>
    <t>ESGUICHO JATO REGULAVEL, TIPO ELKHART, ENGATE RAPIDO 2 1/2", PARA COMBATE A INCENDIO</t>
  </si>
  <si>
    <t>ESGUICHO TIPO JATO SOLIDO, EM LATAO, ENGATE RAPIDO 1 1/2" X 13 MM, PARA MANGUEIRA EM INSTALACAO PREDIAL COMBATE A INCENDIO</t>
  </si>
  <si>
    <t>ESGUICHO TIPO JATO SOLIDO, EM LATAO, ENGATE RAPIDO 1 1/2" X 16 MM, PARA MANGUEIRA EM INSTALACAO PREDIAL COMBATE A INCENDIO</t>
  </si>
  <si>
    <t>ESGUICHO TIPO JATO SOLIDO, EM LATAO, ENGATE RAPIDO 1 1/2" X 19 MM, PARA MANGUEIRA EM INSTALACAO PREDIAL COMBATE A INCENDIO</t>
  </si>
  <si>
    <t>ESGUICHO TIPO JATO SOLIDO, EM LATAO, ENGATE RAPIDO 2 1/2" X 13 MM, PARA MANGUEIRA EM INSTALACAO PREDIAL COMBATE A INCENDIO</t>
  </si>
  <si>
    <t>ESGUICHO TIPO JATO SOLIDO, EM LATAO, ENGATE RAPIDO 2 1/2" X 16 MM, PARA MANGUEIRA EM INSTALACAO PREDIAL COMBATE A INCENDIO</t>
  </si>
  <si>
    <t>ESGUICHO TIPO JATO SOLIDO, EM LATAO, ENGATE RAPIDO 2 1/2" X 19 MM, PARA MANGUEIRA EM INSTALACAO PREDIAL COMBATE A INCENDIO</t>
  </si>
  <si>
    <t>ESMERILHADEIRA ANGULAR ELETRICA, DIAMETRO DO DISCO 7 '' (180 MM), ROTACAO 8500 RPM, POTENCIA 2400 W</t>
  </si>
  <si>
    <t>ESPACADOR / DISTANCIADOR CIRCULAR COM ENTRADA LATERAL, EM PLASTICO, PARA VERGALHAO *4,2 A 12,5* MM, COBRIMENTO 20 MM</t>
  </si>
  <si>
    <t>ESPACADOR / DISTANCIADOR TIPO GARRA DUPLA, EM PLASTICO, COBRIMENTO *20* MM, PARA FERRAGENS DE LAJES E FUNDO DE VIGAS</t>
  </si>
  <si>
    <t>ESPACADOR / DISTANCIADOR TIPO PINO EM PLASTICO, PARA VERGALHAO ATE 10 MM, PARA APOIO DE ARMADURA</t>
  </si>
  <si>
    <t>ESPACADOR / SEPARADOR DE BARRA , METALICO, TIPO CARAMBOLA, PARA TIRANTES, 25 X 84 MM</t>
  </si>
  <si>
    <t>ESPACADOR OU DISTANCIADOR, EM PLASTICO, TIPO APOIO DE CORDOALHA (CARANGUEJO), PARA ARMADURA NEGATIVA E PROTENSAO, COBRIMENTO 50 MM</t>
  </si>
  <si>
    <t>ESPACADOR/SEPARADOR DE CORDOALHA TIPO DISCO 12 FUROS DE 14 MM, PARA TIRANTES</t>
  </si>
  <si>
    <t>ESPARGIDOR DE ASFALTO PRESSURIZADO, REBOCAVEL, TANQUE DE 2500 L, PNEUMATICO,  COM MOTOR A GASOLINA 3,4HP</t>
  </si>
  <si>
    <t>ESPARGIDOR DE ASFALTO PRESSURIZADO, TANQUE 6 M3 COM ISOLACAO TERMICA, AQUECIDO COM 2 MACARICOS, COM BARRA ESPARGIDORA 3,60 M, A SER MONTADO SOBRE CAMINHAO</t>
  </si>
  <si>
    <t>ESPATULA DE ACO INOX COM CABO DE MADEIRA, LARGURA 8 CM</t>
  </si>
  <si>
    <t>ESPATULA DE PLASTICO LISA, LARGURA 10 CM</t>
  </si>
  <si>
    <t>ESPELHO / PLACA CEGA 4" X 2", PARA INSTALACAO DE TOMADAS E INTERRUPTORES</t>
  </si>
  <si>
    <t>ESPELHO / PLACA CEGA 4" X 4", PARA INSTALACAO DE TOMADAS E INTERRUPTORES</t>
  </si>
  <si>
    <t>ESPELHO / PLACA DE 1 POSTO 4" X 2", PARA INSTALACAO DE TOMADAS E INTERRUPTORES</t>
  </si>
  <si>
    <t>ESPELHO / PLACA DE 2 POSTOS 4" X 2", PARA INSTALACAO DE TOMADAS E INTERRUPTORES</t>
  </si>
  <si>
    <t>ESPELHO / PLACA DE 2 POSTOS 4" X 4", PARA INSTALACAO DE TOMADAS E INTERRUPTORES</t>
  </si>
  <si>
    <t>ESPELHO / PLACA DE 3 POSTOS 4" X 2", PARA INSTALACAO DE TOMADAS E INTERRUPTORES</t>
  </si>
  <si>
    <t>ESPELHO / PLACA DE 4 POSTOS 4" X 4", PARA INSTALACAO DE TOMADAS E INTERRUPTORES</t>
  </si>
  <si>
    <t>ESPELHO / PLACA DE 6 POSTOS 4" X 4", PARA INSTALACAO DE TOMADAS E INTERRUPTORES</t>
  </si>
  <si>
    <t>ESPELHO CRISTAL E = 4 MM</t>
  </si>
  <si>
    <t>ESPELHO, RETO OU CURVO, EM LATAO CROMADO, ESPESSURA ATE 6 MM, LARGURA *40*MM, ALTURA *180*MM - PARA FECHADURA DE EMBUTIR</t>
  </si>
  <si>
    <t>ESPELHO, RETO OU CURVO, EM LATAO CROMADO, ESPESSURA MINIMA 6 MM, LARGURA *43*MM, ALTURA *230*MM - PARA FECHADURA DE EMBUTIR</t>
  </si>
  <si>
    <t>ESPOLETA SIMPLES N 8.</t>
  </si>
  <si>
    <t>ESPUMA EXPANSIVA DE POLIURETANO, APLICACAO MANUAL - 500 ML</t>
  </si>
  <si>
    <t>ESQUADRO DE ACO 12 " (300 MM), CABO DE ALUMINIO</t>
  </si>
  <si>
    <t>ESQUADRO INTERNO OU EXTERNO PARA CALHA PLUVIAL, PVC, DIAMETRO ENTRE 119 E 170 MM, PARA DRENAGEM PREDIAL</t>
  </si>
  <si>
    <t>ESQUI TRIPLO, EM TUBO DE ACO CARBONO, PINTURA NO PROCESSO ELETROSTATICO - EQUIPAMENTO DE GINASTICA PARA ACADEMIA AO AR LIVRE / ACADEMIA DA TERCEIRA IDADE - ATI</t>
  </si>
  <si>
    <t>ESTABILIZADOR BIVOLT AUTOMATICO, 1000 VA</t>
  </si>
  <si>
    <t>ESTABILIZADOR BIVOLT AUTOMATICO, 1500 VA</t>
  </si>
  <si>
    <t>ESTABILIZADOR BIVOLT AUTOMATICO, 2000 VA</t>
  </si>
  <si>
    <t>ESTABILIZADOR BIVOLT AUTOMATICO, 300 VA</t>
  </si>
  <si>
    <t>ESTABILIZADOR BIVOLT AUTOMATICO, 500 VA</t>
  </si>
  <si>
    <t>ESTACA PRE-MOLDADA MACICA DE CONCRETO VIBRADO ARMADO, PARA CARGA DE 25 T, SECAO QUADRADA DE *16 X 16*, COM ANEL METALICO INCORPORADO A PECA (SOMENTE FORNECIMENTO)</t>
  </si>
  <si>
    <t>ESTACA PRE-MOLDADA MACICA DE CONCRETO VIBRADO ARMADO, PARA CARGA DE 50 T, SECAO QUADRADA, COM ANEL METALICO INCORPORADO A PECA (SOMENTE FORNECIMENTO)</t>
  </si>
  <si>
    <t>ESTACA PRE-MOLDADA VAZADA DE CONCRETO CENTRIFUGADO, PARA CARGA DE 100 T, SECAO CIRCULAR, COM ANEL METALICO INCORPORADO A PECA (SOMENTE FORNECIMENTO)</t>
  </si>
  <si>
    <t>ESTILETE DE METAL, LAMINA 18 MM</t>
  </si>
  <si>
    <t>ESTOPA</t>
  </si>
  <si>
    <t>ESTOPIM SIMPLES</t>
  </si>
  <si>
    <t>ESTRIBO COM PARAFUSO EM CHAPA DE FERRO FUNDIDO DE 2" X 3/16" X 35 CM, SECAO "U", PARA MADEIRAMENTO DE TELHADO</t>
  </si>
  <si>
    <t>ESTUCADOR</t>
  </si>
  <si>
    <t>ESTUCADOR (MENSALISTA)</t>
  </si>
  <si>
    <t>ETANOL</t>
  </si>
  <si>
    <t>EXAMES - HORISTA (COLETADO CAIXA)</t>
  </si>
  <si>
    <t>EXAMES - MENSALISTA (COLETADO CAIXA)</t>
  </si>
  <si>
    <t>EXTENSAO DE SOLDA 201 ACETILENO, E = *1,5 A 2,5* MM</t>
  </si>
  <si>
    <t>EXTENSAO DE SOLDA 201 GLP, E = *2,5 A 4,0* MM</t>
  </si>
  <si>
    <t>EXTINTOR DE INCENDIO PORTATIL COM CARGA DE AGUA PRESSURIZADA DE 10 L, CLASSE A</t>
  </si>
  <si>
    <t>EXTINTOR DE INCENDIO PORTATIL COM CARGA DE GAS CARBONICO CO2 DE 4 KG, CLASSE BC</t>
  </si>
  <si>
    <t>EXTINTOR DE INCENDIO PORTATIL COM CARGA DE GAS CARBONICO CO2 DE 6 KG, CLASSE BC</t>
  </si>
  <si>
    <t>EXTINTOR DE INCENDIO PORTATIL COM CARGA DE PO QUIMICO SECO (PQS) DE 12 KG, CLASSE BC</t>
  </si>
  <si>
    <t>EXTINTOR DE INCENDIO PORTATIL COM CARGA DE PO QUIMICO SECO (PQS) DE 4 KG, CLASSE BC</t>
  </si>
  <si>
    <t>EXTINTOR DE INCENDIO PORTATIL COM CARGA DE PO QUIMICO SECO (PQS) DE 6 KG, CLASSE BC</t>
  </si>
  <si>
    <t>EXTINTOR DE INCENDIO PORTATIL COM CARGA DE PO QUIMICO SECO (PQS) DE 8 KG, CLASSE BC</t>
  </si>
  <si>
    <t>EXTREMIDADE PVC PBA, BF, JE, DN 100/ DE 110 MM (NBR 10351)</t>
  </si>
  <si>
    <t>EXTREMIDADE PVC PBA, BF, JE, DN 50 / DE 60 MM (NBR 10351)</t>
  </si>
  <si>
    <t>EXTREMIDADE PVC PBA, BF, JE, DN 75/ DE 85 MM (NBR 10351)</t>
  </si>
  <si>
    <t>EXTREMIDADE PVC PBA, PF, JE, DN 100 / DE 110 MM (NBR 10351)</t>
  </si>
  <si>
    <t>EXTREMIDADE PVC PBA, PF, JE, DN 50/ DE 60 MM (NBR 10351)</t>
  </si>
  <si>
    <t>EXTREMIDADE PVC PBA, PF, JE, DN 75 / DE 85 MM (NBR 10351)</t>
  </si>
  <si>
    <t>EXTREMIDADE/TUBETE PARA HIDROMETRO PVC, COM ROSCA, CURTA, COM BUCHA LATAO, 1/2"</t>
  </si>
  <si>
    <t>EXTREMIDADE/TUBETE PARA HIDROMETRO PVC, COM ROSCA, CURTA, COM BUCHA LATAO, 3/4"</t>
  </si>
  <si>
    <t>EXTREMIDADE/TUBETE PARA HIDROMETRO PVC, COM ROSCA, CURTA, SEM BUCHA LATAO, 1/2"</t>
  </si>
  <si>
    <t>EXTREMIDADE/TUBETE PARA HIDROMETRO PVC, COM ROSCA, CURTA, SEM BUCHA LATAO, 3/4"</t>
  </si>
  <si>
    <t>EXTREMIDADE/TUBETE PARA HIDROMETRO PVC, COM ROSCA, LONGA, SEM BUCHA LATAO, 1/2"</t>
  </si>
  <si>
    <t>EXTREMIDADE/TUBETE PARA HIDROMETRO PVC, COM ROSCA, LONGA, SEM BUCHA LATAO, 3/4"</t>
  </si>
  <si>
    <t>FAIXA / FILETE / LISTELO EM CERAMICA, DECORADA, *8 X 30* CM (L X C)</t>
  </si>
  <si>
    <t>FAIXA / FILETE / LISTELO EM CERAMICA, LISO OU CORDAO, BRANCO, *2 X 30* CM (L X C)</t>
  </si>
  <si>
    <t>FECHADURA AUXILIAR SEGURANCA, DE EMBUTIR, REFORCADA, MAQUINA DE 40 A 55 MM, COM CILINDRO, CROMADA, PARA PORTA EXTERNA - COMPLETA</t>
  </si>
  <si>
    <t>FECHADURA C/ CILINDRO LATAO CROMADO P/ PORTA VIDRO TP AROUCA 2171-L OU EQUIV</t>
  </si>
  <si>
    <t>FECHADURA DE EMBUTIR PARA PORTA DE BANHEIRO, CHAVE TIPO TRANQUETA, MAQUINA 40 MM, SEM MACANETA, SEM ESPELHO (SOMENTE MAQUINA) - NIVEL SEGURANCA MEDIO</t>
  </si>
  <si>
    <t>FECHADURA DE EMBUTIR PARA PORTA DE BANHEIRO, TIPO TRANQUETA, MAQUINA 40 MM, MACANETAS ALAVANCA E ROSETAS REDONDAS EM METAL CROMADO - NIVEL SEGURANCA MEDIO - COMPLETA</t>
  </si>
  <si>
    <t>FECHADURA DE EMBUTIR PARA PORTA DE BANHEIRO, TIPO TRANQUETA, MAQUINA 40 MM, MACANETAS ALAVANCA, ESPELHO EM METAL CROMADO - NIVEL SEGURANCA MEDIO - COMPLETA</t>
  </si>
  <si>
    <t>FECHADURA DE EMBUTIR PARA PORTA DE BANHEIRO, TIPO TRANQUETA, MAQUINA 55 MM, MACANETAS ALAVANCA E ROSETAS REDONDAS EM METAL CROMADO - NIVEL SEGURANCA MEDIO - COMPLETA</t>
  </si>
  <si>
    <t>FECHADURA DE EMBUTIR PARA PORTA EXTERNA / ENTRADA, MAQUINA 40 MM, COM CILINDRO, MACANETA ALAVANCA E ESPELHO EM METAL CROMADO - NIVEL SEGURANCA MEDIO - COMPLETA</t>
  </si>
  <si>
    <t>FECHADURA DE EMBUTIR PARA PORTA EXTERNA / ENTRADA, MAQUINA 55 MM, COM CILINDRO, MACANETA ALAVANCA E ESPELHO EM METAL CROMADO - NIVEL SEGURANCA MEDIO - COMPLETA</t>
  </si>
  <si>
    <t>FECHADURA DE EMBUTIR PARA PORTA EXTERNA, MAQUINA 40 MM, COM CILINDRO, MACANETA ALAVANCA E ROSETA REDONDA EM METAL CROMADO - NIVEL DE SEGURANCA MEDIO - COMPLETA</t>
  </si>
  <si>
    <t>FECHADURA DE EMBUTIR PARA PORTA EXTERNA, MAQUINA 40 MM, SEM MACANETA, SEM ESPELHO (SOMENTE MAQUINA) - NIVEL DE SEGURANCA MEDIO</t>
  </si>
  <si>
    <t>FECHADURA DE EMBUTIR PARA PORTA EXTERNA, MAQUINA 55 MM, COM CILINDRO, MACANETA ALAVANCA E ROSETA REDONDA EM METAL CROMADO - NIVEL DE SEGURANCA MEDIO - COMPLETA</t>
  </si>
  <si>
    <t>FECHADURA DE EMBUTIR PARA PORTA EXTERNA, MAQUINA 55 MM, SEM ESPELHO, SEM MACANETA (SOMENTE MAQUINA) - NIVEL DE SEGURANCA MEDIO</t>
  </si>
  <si>
    <t>FECHADURA DE EMBUTIR PARA PORTA INTERNA, TIPO GORGES (CHAVE GRANDE), MAQUINA 40 MM, MACANETA ALAVANCA E ESPELHO EM METAL CROMADO - NIVEL SEGURANCA MEDIO - COMPLETA</t>
  </si>
  <si>
    <t>FECHADURA DE EMBUTIR PARA PORTA INTERNA, TIPO GORGES (CHAVE GRANDE), MAQUINA 55 MM, MACANETAS ALAVANCA E ROSETAS REDONDAS EM METAL CROMADO - NIVEL SEGURANCA MEDIO - COMPLETA</t>
  </si>
  <si>
    <t>FECHADURA DE EMBUTIR PARA PORTA INTERNA, TIPO GORGES, MAQUINA 55 MM (SOMENTE MAQUINA, SEM ESPELHO E SEM MACANETA) - NIVEL DE SEGURANCA MEDIO</t>
  </si>
  <si>
    <t>FECHADURA DE SOBREPOR PARA PORTAO, CAIXA *100* MM, COM CILINDRO, CHAVE SIMPLES, TRINCO LATERAL, EM  LATAO OU ACO CROMADO OU POLIDO, COM OU SEM PINTURA - COMPLETA</t>
  </si>
  <si>
    <t>FECHADURA DE SOBREPOR PARA PORTAO, COM CHAVE TETRA, CAIXA *100* MM, TRINCO LATERAL, EM LATAO OU ACO CROMADO, PINTADO - COMPLETA</t>
  </si>
  <si>
    <t>FECHADURA DE SOBREPOR, CROMADA, COM CILINDRO REDONDO, PARA ARMARIO E GAVETA DE MADEIRA, COM PORTA DE APROXIMADAMENTE 20 MM</t>
  </si>
  <si>
    <t>FECHADURA TRADICIONAL DE EMBUTIR, CROMADA, COM CILINDRO, PARA GAVETAS E MOVEIS DE MADEIRA - COM ABINHAS LATERAIS CURVAS, CHAVES COM PROTECAO PLASTICA</t>
  </si>
  <si>
    <t>FECHO / FECHADURA COM PUXADOR CONCHA, COM TRANCA TIPO TRAVA, PARA JANELA / PORTA DE CORRER (INCLUI TESTA, FECHADURA, PUXADOR) - COMPLETA</t>
  </si>
  <si>
    <t>FECHO / TRINCO / FERROLHO FIO REDONDO, DE SOBREPOR, 12", EM ACO GALVANIZADO / ZINCADO</t>
  </si>
  <si>
    <t>FECHO / TRINCO / FERROLHO FIO REDONDO, DE SOBREPOR, 2", EM ACO GALVANIZADO / ZINCADO</t>
  </si>
  <si>
    <t>FECHO / TRINCO / FERROLHO FIO REDONDO, DE SOBREPOR, 4", EM ACO GALVANIZADO / ZINCADO</t>
  </si>
  <si>
    <t>FECHO / TRINCO / FERROLHO FIO REDONDO, DE SOBREPOR, 5", EM ACO GALVANIZADO / ZINCADO</t>
  </si>
  <si>
    <t>FECHO / TRINCO / FERROLHO FIO REDONDO, DE SOBREPOR, 6", EM ACO GALVANIZADO / ZINCADO</t>
  </si>
  <si>
    <t>FECHO / TRINCO / FERROLHO FIO REDONDO, DE SOBREPOR, 8", EM ACO GALVANIZADO / ZINCADO</t>
  </si>
  <si>
    <t>FECHO DE EMBUTIR, TIPO UNHA, COMANDO COM ALAVANCA, EM LATAO CROMADO, 22 CM, PARA PORTAS E JANELAS - INCLUI PARAFUSOS</t>
  </si>
  <si>
    <t>FECHO DE EMBUTIR, TIPO UNHA, COMANDO COM ALAVANCA, EM LATAO CROMADO, 40 CM, PARA PORTAS E JANELAS - INCLUI PARAFUSOS</t>
  </si>
  <si>
    <t>FECHO DE EMBUTIR, TIPO UNHA, COMANDO DESLIZANTE, COM TRAVA, 120 MM, EM LATAO CROMADO</t>
  </si>
  <si>
    <t>FECHO DE SEGURANCA, TIPO BATOM, EM LATAO / ZAMAC, CROMADO, PARA PORTAS E JANELAS - INCLUI PARAFUSOS</t>
  </si>
  <si>
    <t>FELTRO EM LA DE ROCHA, 1 FACE REVESTIDA COM PAPEL ALUMINIZADO, EM ROLO, DENSIDADE = 32 KG/M3, E=*50* MM (COLETADO CAIXA)</t>
  </si>
  <si>
    <t>FERRAMENTAS - FAMILIA ALMOXARIFE - HORISTA (ENCARGOS COMPLEMENTARES - COLETADO CAIXA)</t>
  </si>
  <si>
    <t>FERRAMENTAS - FAMILIA ALMOXARIFE - MENSALISTA (ENCARGOS COMPLEMENTARES - COLETADO CAIXA)</t>
  </si>
  <si>
    <t>FERRAMENTAS - FAMILIA CARPINTEIRO DE FORMAS - HORISTA (ENCARGOS COMPLEMENTARES - COLETADO CAIXA)</t>
  </si>
  <si>
    <t>FERRAMENTAS - FAMILIA CARPINTEIRO DE FORMAS - MENSALISTA (ENCARGOS COMPLEMENTARES - COLETADO CAIXA)</t>
  </si>
  <si>
    <t>FERRAMENTAS - FAMILIA ELETRICISTA - HORISTA (ENCARGOS COMPLEMENTARES - COLETADO CAIXA)</t>
  </si>
  <si>
    <t>FERRAMENTAS - FAMILIA ELETRICISTA - MENSALISTA (ENCARGOS COMPLEMENTARES - COLETADO CAIXA)</t>
  </si>
  <si>
    <t>FERRAMENTAS - FAMILIA ENCANADOR - HORISTA (ENCARGOS COMPLEMENTARES - COLETADO CAIXA)</t>
  </si>
  <si>
    <t>FERRAMENTAS - FAMILIA ENCANADOR - MENSALISTA (ENCARGOS COMPLEMENTARES - COLETADO CAIXA)</t>
  </si>
  <si>
    <t>FERRAMENTAS - FAMILIA ENCARREGADO GERAL - HORISTA (ENCARGOS COMPLEMENTARES - COLETADO CAIXA)</t>
  </si>
  <si>
    <t>FERRAMENTAS - FAMILIA ENCARREGADO GERAL - MENSALISTA (ENCARGOS COMPLEMENTARES - COLETADO CAIXA)</t>
  </si>
  <si>
    <t>FERRAMENTAS - FAMILIA ENGENHEIRO CIVIL - HORISTA (ENCARGOS COMPLEMENTARES - COLETADO CAIXA)</t>
  </si>
  <si>
    <t>FERRAMENTAS - FAMILIA ENGENHEIRO CIVIL - MENSALISTA (ENCARGOS COMPLEMENTARES - COLETADO CAIXA)</t>
  </si>
  <si>
    <t>FERRAMENTAS - FAMILIA OPERADOR ESCAVADEIRA - HORISTA (ENCARGOS COMPLEMENTARES - COLETADO CAIXA)</t>
  </si>
  <si>
    <t>FERRAMENTAS - FAMILIA OPERADOR ESCAVADEIRA - MENSALISTA (ENCARGOS COMPLEMENTARES - COLETADO CAIXA)</t>
  </si>
  <si>
    <t>FERRAMENTAS - FAMILIA PEDREIRO - HORISTA (ENCARGOS COMPLEMENTARES - COLETADO CAIXA)</t>
  </si>
  <si>
    <t>FERRAMENTAS - FAMILIA PEDREIRO - MENSALISTA (ENCARGOS COMPLEMENTARES - COLETADO CAIXA)</t>
  </si>
  <si>
    <t>FERRAMENTAS - FAMILIA PINTOR - HORISTA (ENCARGOS COMPLEMENTARES - COLETADO CAIXA)</t>
  </si>
  <si>
    <t>FERRAMENTAS - FAMILIA PINTOR - MENSALISTA (ENCARGOS COMPLEMENTARES - COLETADO CAIXA)</t>
  </si>
  <si>
    <t>FERRAMENTAS - FAMILIA SERVENTE - HORISTA (ENCARGOS COMPLEMENTARES - COLETADO CAIXA)</t>
  </si>
  <si>
    <t>FERRAMENTAS - FAMILIA SERVENTE - MENSALISTA (ENCARGOS COMPLEMENTARES - COLETADO CAIXA)</t>
  </si>
  <si>
    <t>FERRAMENTAS - FAMILIA SOLDADOR - HORISTA (ENCARGOS COMPLEMENTARES - COLETADO CAIXA)</t>
  </si>
  <si>
    <t>FERRAMENTAS - FAMILIA SOLDADOR - MENSALISTA (ENCARGOS COMPLEMENTARES - COLETADO CAIXA)</t>
  </si>
  <si>
    <t>FERRAMENTAS - FAMILIA TOPOGRAFO - HORISTA (ENCARGOS COMPLEMENTARES - COLETADO CAIXA)</t>
  </si>
  <si>
    <t>FERRAMENTAS - FAMILIA TOPOGRAFO - MENSALISTA (ENCARGOS COMPLEMENTARES - COLETADO CAIXA)</t>
  </si>
  <si>
    <t>FERROLHO / FECHO CHATO, DE SOBREPOR, EM FERRO ZINCADO, REFORCADO, 5", COM PORTA CADEADO, PARA PORTAO, PORTA E JANELA - INCLUI PARAFUSOS</t>
  </si>
  <si>
    <t>FERROLHO / FECHO CHATO, DE SOBREPOR, EM FERRO ZINCADO, REFORCADO, 6", COM PORTA CADEADO, PARA PORTAO, PORTA E JANELA - INCLUI PARAFUSOS</t>
  </si>
  <si>
    <t>FERROLHO / FECHO CHATO, EM FERRO ZINCADO, LEVE, 3", COM PORTA CADEADO, PARA PORTAO, PORTA E JANELA - INCLUI PARAFUSOS</t>
  </si>
  <si>
    <t>FERTILIZANTE NPK - 10:10:10</t>
  </si>
  <si>
    <t>FERTILIZANTE NPK - 4: 14: 8</t>
  </si>
  <si>
    <t>FERTILIZANTE ORGANICO COMPOSTO, CLASSE A</t>
  </si>
  <si>
    <t>FIBRA DE ACO PARA REFORCO DO CONCRETO, SOLTA, TIPO A-I, FATOR DE FORMA *50* L / D, COMPRIMENTO DE *30* MM E RESISTENCIA A TRACAO DO ACO MAIOR 1000 MPA</t>
  </si>
  <si>
    <t>FILTRO ANAEROBIO CILINDRICO CONCRETO PRE MOLDADO 1,20 X 1,50 (DIAMETROXALTURA) PARA 4 A 5 CONTRIBUINTES (NBR 13969)</t>
  </si>
  <si>
    <t>FILTRO ANAEROBIO, EM POLIETILENO DE ALTA DENSIDADE (PEAD), CAPACIDADE *1100* LITROS (NBR 13969)</t>
  </si>
  <si>
    <t>FILTRO ANAEROBIO, EM POLIETILENO DE ALTA DENSIDADE (PEAD), CAPACIDADE *2800* LITROS (NBR 13969)</t>
  </si>
  <si>
    <t>FILTRO ANAEROBIO, EM POLIETILENO DE ALTA DENSIDADE (PEAD), CAPACIDADE *5000* LITROS (NBR 13969)</t>
  </si>
  <si>
    <t>FINCAPINO CURTO CALIBRE 22 VERMELHO, CARGA MEDIA (ACAO DIRETA)</t>
  </si>
  <si>
    <t>FINCAPINO LONGO CALIBRE 22, CARGA FORTE (ACAO DIRETA)</t>
  </si>
  <si>
    <t>FIO COBRE NU DE 150 A 500 MM2, PARA TENSOES DE ATE 600 V</t>
  </si>
  <si>
    <t>FIO COBRE NU DE 16 A 35 MM2, PARA TENSOES DE ATE 600 V</t>
  </si>
  <si>
    <t>FIO COBRE NU DE 50 A 120 MM2, PARA TENSOES DE ATE 600 V</t>
  </si>
  <si>
    <t>FIO DE COBRE, SOLIDO, CLASSE 1, ISOLACAO EM PVC/A, ANTICHAMA BWF-B, 450/750V, SECAO NOMINAL 1,5 MM2</t>
  </si>
  <si>
    <t>FIO DE COBRE, SOLIDO, CLASSE 1, ISOLACAO EM PVC/A, ANTICHAMA BWF-B, 450/750V, SECAO NOMINAL 10 MM2</t>
  </si>
  <si>
    <t>FIO DE COBRE, SOLIDO, CLASSE 1, ISOLACAO EM PVC/A, ANTICHAMA BWF-B, 450/750V, SECAO NOMINAL 2,5 MM2</t>
  </si>
  <si>
    <t>FIO DE COBRE, SOLIDO, CLASSE 1, ISOLACAO EM PVC/A, ANTICHAMA BWF-B, 450/750V, SECAO NOMINAL 4 MM2</t>
  </si>
  <si>
    <t>FIO DE COBRE, SOLIDO, CLASSE 1, ISOLACAO EM PVC/A, ANTICHAMA BWF-B, 450/750V, SECAO NOMINAL 6 MM2</t>
  </si>
  <si>
    <t>FIO TELEFONICO EXTERNO (FE) EM ACO COBREADO, ISOLACAO EM PEAD OU PVC ANTI-CHAMA, 2 CONDUTORES</t>
  </si>
  <si>
    <t>FIO TELEFONICO INTERNO (FI) EM COBRE ESTANHADO, ISOLACAO EM PVC ANTICHAMA, 2 CONDUTORES DE 0,6 MM (NBR 9115:2005)</t>
  </si>
  <si>
    <t>FITA ACO INOX PARA CINTAR POSTE, L = 19 MM, E = 0,5 MM (ROLO DE 30M)</t>
  </si>
  <si>
    <t>FITA ADESIVA ALUMINIZADA, PARA INSTALACAO DE MANTAS DE SUBCOBERTURA,  L = *5* CM</t>
  </si>
  <si>
    <t>FITA ADESIVA ANTICORROSIVA DE PVC FLEXIVEL, COR PRETA, PARA PROTECAO TUBULACAO, 50 MM X 30 M (L X C), E= *0,25* MM</t>
  </si>
  <si>
    <t>FITA ADESIVA ASFALTICA ALUMINIZADA MULTIUSO, L = 10 CM, ROLO DE 10 M</t>
  </si>
  <si>
    <t>FITA CREPE ROLO DE 25 MM X 50 M</t>
  </si>
  <si>
    <t>FITA DE ALUMINIO PARA PROTECAO DO CONDUTOR LARGURA 10 MM</t>
  </si>
  <si>
    <t>FITA DE PAPEL MICROPERFURADO, 50 X 150 MM, PARA TRATAMENTO DE JUNTAS DE CHAPA DE GESSO PARA DRYWALL</t>
  </si>
  <si>
    <t>FITA DE PAPEL REFORCADA COM LAMINA DE METAL PARA REFORCO DE CANTOS DE CHAPA DE GESSO PARA DRYWALL</t>
  </si>
  <si>
    <t>FITA ISOLANTE ADESIVA ANTICHAMA, USO ATE 750 V, EM ROLO DE 19 MM X 20 M</t>
  </si>
  <si>
    <t>FITA ISOLANTE ADESIVA ANTICHAMA, USO ATE 750 V, EM ROLO DE 19 MM X 5 M</t>
  </si>
  <si>
    <t>FITA ISOLANTE DE BORRACHA AUTOFUSAO, USO ATE 69 KV (ALTA TENSAO)</t>
  </si>
  <si>
    <t>FITA METALICA GRAVADA, L = 17 MM, ROLO DE 25 M, CARGA RECOMENDADA = *120* KGF</t>
  </si>
  <si>
    <t>FITA METALICA PERFURADA, L = *18* MM, ROLO DE 30 M, CARGA RECOMENDADA = *30* KGF</t>
  </si>
  <si>
    <t>FITA METALICA PERFURADA, L = 17 MM, ROLO DE 30 M, CARGA RECOMENDADA = *19* KGF</t>
  </si>
  <si>
    <t>FITA METALICA PERFURADA, L = 25 MM, ROLO DE 30 M, CARGA RECOMENDADA = *222,5* KGF</t>
  </si>
  <si>
    <t>FITA PLASTICA ZEBRADA PARA DEMARCACAO DE AREAS, LARGURA = 7 CM, SEM ADESIVO (COLETADO CAIXA)</t>
  </si>
  <si>
    <t>FITA VEDA ROSCA EM ROLOS DE 18 MM X 10 M (L X C)</t>
  </si>
  <si>
    <t>FITA VEDA ROSCA EM ROLOS DE 18 MM X 25 M (L X C)</t>
  </si>
  <si>
    <t>FITA VEDA ROSCA EM ROLOS DE 18 MM X 50 M (L X C)</t>
  </si>
  <si>
    <t>FIXADOR DE ABA AUTOTRAVANTE PARA TELHA DE FIBROCIMENTO, TIPO CANALETE 90 OU KALHETAO</t>
  </si>
  <si>
    <t>FIXADOR DE ABA SIMPLES PARA TELHA DE FIBROCIMENTO, TIPO CANALETA 49 OU KALHETA</t>
  </si>
  <si>
    <t>FIXADOR DE ABA SIMPLES PARA TELHA DE FIBROCIMENTO, TIPO CANALETA 90 OU KALHETAO</t>
  </si>
  <si>
    <t>FLANELA *30 X 40* CM</t>
  </si>
  <si>
    <t>FLANGE PVC, ROSCAVEL SEXTAVADO SEM FUROS 3/4"</t>
  </si>
  <si>
    <t>FLANGE PVC, ROSCAVEL, SEXTAVADO, SEM FUROS 3"</t>
  </si>
  <si>
    <t>FLANGE PVC, ROSCAVEL, SEXTAVADO, SEM FUROS, 1 1/2"</t>
  </si>
  <si>
    <t>FLANGE PVC, ROSCAVEL, SEXTAVADO, SEM FUROS, 1 1/4"</t>
  </si>
  <si>
    <t>FLANGE PVC, ROSCAVEL, SEXTAVADO, SEM FUROS, 1/2"</t>
  </si>
  <si>
    <t>FLANGE PVC, ROSCAVEL, SEXTAVADO, SEM FUROS, 1"</t>
  </si>
  <si>
    <t>FLANGE PVC, ROSCAVEL, SEXTAVADO, SEM FUROS, 2 1/2"</t>
  </si>
  <si>
    <t>FLANGE PVC, ROSCAVEL, SEXTAVADO, SEM FUROS, 2"</t>
  </si>
  <si>
    <t>FLANGE SEXTAVADO DE FERRO GALVANIZADO, COM ROSCA BSP, DE 1 1/2"</t>
  </si>
  <si>
    <t>FLANGE SEXTAVADO DE FERRO GALVANIZADO, COM ROSCA BSP, DE 1 1/4"</t>
  </si>
  <si>
    <t>FLANGE SEXTAVADO DE FERRO GALVANIZADO, COM ROSCA BSP, DE 1/2"</t>
  </si>
  <si>
    <t>FLANGE SEXTAVADO DE FERRO GALVANIZADO, COM ROSCA BSP, DE 1"</t>
  </si>
  <si>
    <t>FLANGE SEXTAVADO DE FERRO GALVANIZADO, COM ROSCA BSP, DE 2 1/2"</t>
  </si>
  <si>
    <t>FLANGE SEXTAVADO DE FERRO GALVANIZADO, COM ROSCA BSP, DE 2"</t>
  </si>
  <si>
    <t>FLANGE SEXTAVADO DE FERRO GALVANIZADO, COM ROSCA BSP, DE 3/4"</t>
  </si>
  <si>
    <t>FLANGE SEXTAVADO DE FERRO GALVANIZADO, COM ROSCA BSP, DE 3"</t>
  </si>
  <si>
    <t>FLANGE SEXTAVADO DE FERRO GALVANIZADO, COM ROSCA BSP, DE 4"</t>
  </si>
  <si>
    <t>FLANGE SEXTAVADO DE FERRO GALVANIZADO, COM ROSCA BSP, DE 6"</t>
  </si>
  <si>
    <t>FORRO COMPOSTO POR PAINEIS DE LA DE VIDRO, REVESTIDOS EM PVC MICROPERFURADO, DE *1250 X 625* MM, ESPESSURA 15 MM (COM COLOCACAO)</t>
  </si>
  <si>
    <t>FORRO DE FIBRA MINERAL EM PLACAS DE 1250 X 625 MM, E = 15 MM, BORDA RETA, COM PINTURA ANTIMOFO, APOIADO EM PERFIL DE ACO GALVANIZADO COM 24 MM DE BASE - INSTALADO</t>
  </si>
  <si>
    <t>FORRO DE FIBRA MINERAL EM PLACAS DE 625 X 625 MM, E = 15 MM, BORDA RETA, COM PINTURA ANTIMOFO, APOIADO EM PERFIL DE ACO GALVANIZADO COM 24 MM DE BASE - INSTALADO</t>
  </si>
  <si>
    <t>FORRO DE FIBRA MINERAL EM PLACAS DE 625 X 625 MM, E = 15/16 MM, BORDA REBAIXADA, COM PINTURA ANTIMOFO, APOIADO EM PERFIL DE ACO GALVANIZADO COM 24 MM DE BASE - INSTALADO</t>
  </si>
  <si>
    <t>FORRO DE MADEIRA CEDRINHO OU EQUIVALENTE DA REGIAO, ENCAIXE MACHO/FEMEA COM FRISO, *10 X 1* CM (SEM COLOCACAO)</t>
  </si>
  <si>
    <t>FORRO DE MADEIRA CUMARU/IPE CHAMPANHE OU EQUIVALENTE DA REGIAO, ENCAIXE MACHO/FEMEA COM FRISO, *10 X 1* CM (SEM COLOCACAO)</t>
  </si>
  <si>
    <t>FORRO DE MADEIRA PINUS OU EQUIVALENTE DA REGIAO, ENCAIXE MACHO/FEMEA COM FRISO, *10 X 1* CM (SEM COLOCACAO)</t>
  </si>
  <si>
    <t>FORRO DE PVC LISO, BRANCO, REGUA DE 10 CM, ESPESSURA DE 8 MM A 10 MM (COM COLOCACAO / SEM ESTRUTURA METALICA)</t>
  </si>
  <si>
    <t>FORRO DE PVC LISO, BRANCO, REGUA DE 20 CM, ESPESSURA DE 8 MM A 10 MM, COMPRIMENTO 6 M (SEM COLOCACAO)</t>
  </si>
  <si>
    <t>FORRO DE PVC, FRISADO, BRANCO, REGUA DE 10 CM, ESPESSURA DE 8 MM A 10 MM E COMPRIMENTO 6 M (SEM COLOCACAO)</t>
  </si>
  <si>
    <t>FORRO DE PVC, FRISADO, BRANCO, REGUA DE 20 CM, ESPESSURA DE 8 MM A 10 MM E COMPRIMENTO 6 M (SEM COLOCACAO)</t>
  </si>
  <si>
    <t>FOSSA SEPTICA CILINDRICA TIPO "IMHOFF", COM TAMPA, PARA 50 CONTRIBUINTES</t>
  </si>
  <si>
    <t>FOSSA SEPTICA CILINDRICA, TIPO "IMHOFF", COM TAMPA, PARA 100 CONTRIBUINTES</t>
  </si>
  <si>
    <t>FOSSA SEPTICA CILINDRICA, TIPO "IMHOFF", COM TAMPA, PARA 150 CONTRIBUINTES</t>
  </si>
  <si>
    <t>FOSSA SEPTICA CILINDRICA, TIPO "IMHOFF", COM TAMPA, PARA 200 CONTRIBUINTES</t>
  </si>
  <si>
    <t>FOSSA SEPTICA CILINDRICA, TIPO "IMHOFF", COM TAMPA, PARA 30 CONTRIBUINTES</t>
  </si>
  <si>
    <t>FOSSA SEPTICA CILINDRICA, TIPO "IMHOFF", COM TAMPA, PARA 75 CONTRIBUINTES</t>
  </si>
  <si>
    <t>FOSSA SEPTICA CONCRETO PRE MOLDADO PARA 10 CONTRIBUINTES - *90 X 90* CM</t>
  </si>
  <si>
    <t>FOSSA SEPTICA CONCRETO PRE MOLDADO PARA 5 CONTRIBUINTES *90 X 70* CM</t>
  </si>
  <si>
    <t>FOSSA SEPTICA, SEM FILTRO, PARA 15 A 30 CONTRIBUINTES, CILINDRICA, COM TAMPA, EM POLIETILENO DE ALTA DENSIDADE (PEAD), CAPACIDADE APROXIMADA DE 5500 LITROS (NBR 7229)</t>
  </si>
  <si>
    <t>FOSSA SEPTICA, SEM FILTRO, PARA 4 A 7 CONTRIBUINTES, CILINDRICA,  COM TAMPA, EM POLIETILENO DE ALTA DENSIDADE (PEAD), CAPACIDADE APROXIMADA DE 1100 LITROS (NBR 7229)</t>
  </si>
  <si>
    <t>FOSSA SEPTICA, SEM FILTRO, PARA 8 A 14 CONTRIBUINTES, CILINDRICA, COM TAMPA, EM POLIETILENO DE ALTA DENSIDADE (PEAD), CAPACIDADE APROXIMADA DE 3000 LITROS (NBR 7229)</t>
  </si>
  <si>
    <t>FOSSA SEPTICA,SEM FILTRO, PARA 40 A 52 CONTRIBUINTES, CILINDRICA, COM TAMPA, EM POLIETILENO DE ALTA DENSIDADE (PEAD), CAPACIDADE APROXIMADA DE 10000 LITROS (NBR 7229)</t>
  </si>
  <si>
    <t>FRESADORA DE ASFALTO A FRIO SOBRE ESTEIRAS, LARG. FRESAGEM 2,00 M, POT. 410 KW/550 HP</t>
  </si>
  <si>
    <t>FRESADORA DE ASFALTO A FRIO SOBRE RODAS, LARG. FRESAGEM 1,00 M, POT. 155 KW/208 HP</t>
  </si>
  <si>
    <t>FUNDO ANTICORROSIVO PARA METAIS FERROSOS (ZARCAO)</t>
  </si>
  <si>
    <t>FUNDO PREPARADOR ACRILICO BASE AGUA</t>
  </si>
  <si>
    <t>FURO PARA TORNEIRA OU OUTROS ACESSORIOS  EM BANCADA DE MARMORE/ GRANITO OU OUTRO TIPO DE PEDRA NATURAL</t>
  </si>
  <si>
    <t>FUSIVEL DIAZED 20 A TAMANHO DII, CAPACIDADE DE INTERRUPCAO DE 50 KA EM VCA E 8 KA EM VCC, TENSAO NOMIMNAL DE 500 V</t>
  </si>
  <si>
    <t>FUSIVEL DIAZED 35 A TAMANHO DIII, CAPACIDADE DE INTERRUPCAO DE 50 KA EM VCA E 8 KA EM VCC, TENSAO NOMIMNAL DE 500 V</t>
  </si>
  <si>
    <t>FUSIVEL NH *36* A 80 AMPERES, TAMANHO 00, CAPACIDADE DE INTERRUPCAO DE 120 KA, TENSAO NOMIMNAL DE 500 V</t>
  </si>
  <si>
    <t>FUSIVEL NH 100 A TAMANHO 00, CAPACIDADE DE INTERRUPCAO DE 120 KA, TENSAO NOMIMNAL DE 500 V</t>
  </si>
  <si>
    <t>FUSIVEL NH 125 A TAMANHO 00, CAPACIDADE DE INTERRUPCAO DE 120 KA, TENSAO NOMIMNAL DE 500 V</t>
  </si>
  <si>
    <t>FUSIVEL NH 160 A TAMANHO 00, CAPACIDADE DE INTERRUPCAO DE 120 KA, TENSAO NOMIMNAL DE 500 V</t>
  </si>
  <si>
    <t>FUSIVEL NH 20 A TAMANHO 000, CAPACIDADE DE INTERRUPCAO DE 120 KA, TENSAO NOMIMNAL DE 500 V</t>
  </si>
  <si>
    <t>FUSIVEL NH 200 A 250 AMPERES, TAMANHO 1, CAPACIDADE DE INTERRUPCAO DE 120 KA, TENSAO NOMIMNAL DE 500 V</t>
  </si>
  <si>
    <t>GABIAO  TIPO CAIXA, MALHA HEXAGONAL 8 X 10 CM (ZN/AL), FIO 2,7 MM, DIMENSOES 2,0 X 1,0 X 0,5 M (C X L X A)</t>
  </si>
  <si>
    <t>GABIAO MANTA (COLCHAO) MALHA HEXAGONAL 6 X 8 CM (ZN/AL REVESTIDO COM POLIMERO), DIMENSOES 4,0 X 2,0 X 0,17 M (C X L X A) FIO 2 MM</t>
  </si>
  <si>
    <t>GABIAO MANTA (COLCHAO) MALHA HEXAGONAL 6 X 8 CM (ZN/AL REVESTIDO COM POLIMERO), FIO 2 MM, DIMENSOES 4,0 X 2,0 X 0,23 M (C X L X A)</t>
  </si>
  <si>
    <t>GABIAO MANTA (COLCHAO) MALHA HEXAGONAL 6 X 8 CM (ZN/AL REVESTIDO COM POLIMERO), FIO 2 MM, DIMENSOES 4,0 X 2,0 X 0,3 M (C X L X A)</t>
  </si>
  <si>
    <t>GABIAO MANTA (COLCHAO) MALHA HEXAGONAL 6 X 8 CM (ZN/AL REVESTIDO COM POLIMERO), FIO 2,0 MM, DIMENSOES 5,0 X 2,0 X 0,17 M (C X L X A)</t>
  </si>
  <si>
    <t>GABIAO MANTA (COLCHAO) MALHA HEXAGONAL 6 X 8 CM (ZN/AL REVESTIDO COM POLIMERO), FIO 2,0 MM, DIMENSOES 5,0 X 2,0 X 0,23 M (C X L X A)</t>
  </si>
  <si>
    <t>GABIAO MANTA (COLCHAO) MALHA HEXAGONAL 6 X 8 CM (ZN/AL REVESTIDO COM POLIMERO), FIO 2,0 MM, DIMENSOES 5,0 X 2,0 X 0,30 M (C X L X A)</t>
  </si>
  <si>
    <t>GABIAO SACO MALHA HEXAGONAL 8 X 10 CM (ZN/AL REVESTIDO COM POLIMERO),  FIO 2,4 MM, DIMENSOES 3,0 X 0,65 M</t>
  </si>
  <si>
    <t>GABIAO SACO MALHA HEXAGONAL 8 X 10 CM (ZN/AL REVESTIDO COM POLIMERO), FIO 2,4 MM, H = 0,65 M</t>
  </si>
  <si>
    <t>GABIAO SACO MALHA HEXAGONAL 8 X 10 CM (ZN/AL), FIO 2,7 MM, DIMENSOES 4,0 X 0,65 M</t>
  </si>
  <si>
    <t>GABIAO TIPO CAIXA MALHA HEXAGONAL 8 X 10 CM (ZN/AL REVESTIDO COM POLIMERO),  FIO 2,4 MM, DIMENSOES 2,0 X 1,0 X 1,0 M (C X L X A)</t>
  </si>
  <si>
    <t>GABIAO TIPO CAIXA MALHA HEXAGONAL 8 X 10 CM (ZN/AL REVESTIDO COM POLIMERO),  FIO 2,4 MM, H = 0,50 M</t>
  </si>
  <si>
    <t>GABIAO TIPO CAIXA MALHA HEXAGONAL 8 X 10 CM (ZN/AL), FIO 2,7 MM, DIMENSOES 2,0 X 1,0 X 1,0 M (C X L X A)</t>
  </si>
  <si>
    <t>GABIAO TIPO CAIXA MALHA HEXAGONAL 8 X 10 CM (ZN/AL), FIO 2,7 MM, H = 0,50 M</t>
  </si>
  <si>
    <t>GABIAO TIPO CAIXA PARA SOLO REFORCADO, MALHA HEXAGONAL DE DUPLA TORCAO 8 X 10 CM (ZN/AL REVESTIDO COM POLIMERO), FIO 2,7 MM, DIMENSOES 2,0 X 1,0 X 0,5 M, COM CAUDA DE 3,0 M</t>
  </si>
  <si>
    <t>GABIAO TIPO CAIXA PARA SOLO REFORCADO, MALHA HEXAGONAL DE DUPLA TORCAO 8 X 10 CM (ZN/AL REVESTIDO COM POLIMERO), FIO 2,7 MM, DIMENSOES 2,0 X 1,0 X 1,0 M, COM CAUDA DE 3,0 M</t>
  </si>
  <si>
    <t>GABIAO TIPO CAIXA PARA SOLO REFORCADO, MALHA HEXAGONAL DE DUPLA TORCAO 8 X 10 CM (ZN/AL REVESTIDO COM POLIMERO), FIO 2,7 MM, DIMENSOES 2,0 X 1,0 X 1,0 M, COM CAUDA DE 4,0 M</t>
  </si>
  <si>
    <t>GABIAO TIPO CAIXA PARA SOLO REFORCADO, MALHA HEXAGONAL 8 X 10 CM (ZN/AL REVESTIDO COM POLIMERO), FIO 2,7 MM, DIMENSOES 2,0 X 1,0 X 0,5 M, COM CAUDA DE 4,0 M</t>
  </si>
  <si>
    <t>GABIAO TIPO CAIXA PARA SOLO REFORCADO, MALHA HEXAGONAL 8 X 10 CM (ZN/AL REVESTIDO COM POLIMERO), FIO 2,7 MM, DIMENSOES 2,0 X 1,0 X 1,0 M, COM CAUDA DE 4,0 M</t>
  </si>
  <si>
    <t>GABIAO TIPO CAIXA TRAPEZOIDAL, MALHA HEXAGONAL 10 X 12 CM (ZN/AL REVESTIDO COM POLIMERO) FIO 2,7 MM, FACE COM 65 GRAUS, COM GEOSSINTETICO, DIMENSOES 2,0 X 1,5 X 1,0 M (C X L X A)</t>
  </si>
  <si>
    <t>GABIAO TIPO CAIXA, MALHA HEXAGONAL 8 X 10 CM (ZN/AL REVESTIDO COM POLIMERO), FIO DE 2,4 MM, DIMENSOES 2,0 x 1,0 x 1,0 M (C X L X A)</t>
  </si>
  <si>
    <t>GABIAO TIPO CAIXA, MALHA HEXAGONAL 8 X 10 CM (ZN/AL REVESTIDO COM POLIMERO), FIO 2,4 MM, DIMENSOES 2,0 X 1,0 X 0,5 M (C X L X A)</t>
  </si>
  <si>
    <t>GABIAO TIPO CAIXA, MALHA HEXAGONAL 8 X 10 CM (ZN/AL), FIO DE 2,7 MM, DIMENSOES 2,0 X 1,0 X 1,0 M (C X L X A)</t>
  </si>
  <si>
    <t>GABIAO TIPO CAIXA, MALHA HEXAGONAL 8 X 10 CM (ZN/AL), FIO DE 2,7 MM, DIMENSOES 5,0 X 1,0 X 1,0 M (C X L X A)</t>
  </si>
  <si>
    <t>GANCHO CHATO EM FERRO GALVANIZADO,  L = 110 MM, RECOBRIMENTO = 100MM, SECAO 1/8 X 1/2" (3 MM X 12 MM), PARA FIXAR TELHA DE FIBROCIMENTO ONDULADA</t>
  </si>
  <si>
    <t>GANCHO L COM ROSCA, PARA FIXAR TELHA EM MADEIRA, 1/4" X 350 MM (COLETADO CAIXA)</t>
  </si>
  <si>
    <t>GANCHO OLHAL EM ACO GALVANIZADO, ESPESSURA 16MM, ABERTURA 21MM</t>
  </si>
  <si>
    <t>GAS DE COZINHA - GLP</t>
  </si>
  <si>
    <t>GASOLINA COMUM</t>
  </si>
  <si>
    <t>GEOGRELHA TECIDA COM FILAMENTOS DE POLIESTER + PVC, RESISTENCIA LONGITUDINAL: 90 KN/M, RESISTENCIA TRANSVERSAL: 30 KN/M, ALONGAMENTO = 12 POR CENTO</t>
  </si>
  <si>
    <t>GEOTEXTIL NAO TECIDO AGULHADO DE FILAMENTOS CONTINUOS 100% POLIESTER, RESITENCIA A TRACAO = 09 KN/M</t>
  </si>
  <si>
    <t>GEOTEXTIL NAO TECIDO AGULHADO DE FILAMENTOS CONTINUOS 100% POLIESTER, RESITENCIA A TRACAO = 10 KN/M</t>
  </si>
  <si>
    <t>GEOTEXTIL NAO TECIDO AGULHADO DE FILAMENTOS CONTINUOS 100% POLIESTER, RESITENCIA A TRACAO = 14 KN/M</t>
  </si>
  <si>
    <t>GEOTEXTIL NAO TECIDO AGULHADO DE FILAMENTOS CONTINUOS 100% POLIESTER, RESITENCIA A TRACAO = 16 KN/M</t>
  </si>
  <si>
    <t>GEOTEXTIL NAO TECIDO AGULHADO DE FILAMENTOS CONTINUOS 100% POLIESTER, RESITENCIA A TRACAO = 21 KN/M</t>
  </si>
  <si>
    <t>GEOTEXTIL NAO TECIDO AGULHADO DE FILAMENTOS CONTINUOS 100% POLIESTER, RESITENCIA A TRACAO = 26 KN/M</t>
  </si>
  <si>
    <t>GEOTEXTIL NAO TECIDO AGULHADO DE FILAMENTOS CONTINUOS 100% POLIESTER, RESITENCIA A TRACAO = 31 KN/M</t>
  </si>
  <si>
    <t>GERADOR PORTATIL MONOFASICO, POTENCIA 5500 VA, MOTOR A GASOLINA, POTENCIA DO MOTOR 13 CV</t>
  </si>
  <si>
    <t>GESSEIRO</t>
  </si>
  <si>
    <t>GESSEIRO (MENSALISTA)</t>
  </si>
  <si>
    <t>GESSO EM PO PARA REVESTIMENTOS/MOLDURAS/SANCAS</t>
  </si>
  <si>
    <t>GESSO PROJETADO</t>
  </si>
  <si>
    <t>GONZO DE EMBUTIR, EM LATAO / ZAMAC, *20 X 48* MM, PARA JANELA BASCULANTE / PIVOTANTE -  INCLUI PARAFUSOS</t>
  </si>
  <si>
    <t>GONZO DE SOBREPOR, EM LATAO / ZAMAC, PARA JANELA PIVOTANTE - INCLUI PARAFUSOS</t>
  </si>
  <si>
    <t>GRADE DE DISCOS COM CONTROLE REMOTO, REBOCAVEL, COM 24 DISCOS 24" X 6 MM, COM PNEUS PARA TRANSPORTE</t>
  </si>
  <si>
    <t>GRADE DE DISCOS MECANICA 20X24" COM 20 DISCOS 24" X 6MM  COM PNEUS PARA TRANSPORTE</t>
  </si>
  <si>
    <t>GRAMA BATATAIS EM PLACAS, SEM PLANTIO</t>
  </si>
  <si>
    <t>GRAMA ESMERALDA OU SAO CARLOS OU CURITIBANA, EM PLACAS, SEM PLANTIO</t>
  </si>
  <si>
    <t>GRAMPO DE ACO POLIDO 1 " X 9</t>
  </si>
  <si>
    <t>GRAMPO DE ACO POLIDO 7/8 " X 9</t>
  </si>
  <si>
    <t>GRAMPO LINHA VIVA DE LATAO ESTANHADO, DIAMETRO DO CONDUTOR PRINCIPAL DE 10 A 120 MM2, DIAMETRO DA DERIVACAO DE 10 A 70 MM2</t>
  </si>
  <si>
    <t>GRAMPO METALICO TIPO OLHAL PARA HASTE DE ATERRAMENTO DE 1/2'', CONDUTOR DE *10* A 50 MM2</t>
  </si>
  <si>
    <t>GRAMPO METALICO TIPO OLHAL PARA HASTE DE ATERRAMENTO DE 1'', CONDUTOR DE *10* A 50 MM2</t>
  </si>
  <si>
    <t>GRAMPO METALICO TIPO OLHAL PARA HASTE DE ATERRAMENTO DE 3/4'', CONDUTOR DE *10* A 50 MM2</t>
  </si>
  <si>
    <t>GRAMPO METALICO TIPO OLHAL PARA HASTE DE ATERRAMENTO DE 5/8'', CONDUTOR DE *10* A 50 MM2</t>
  </si>
  <si>
    <t>GRAMPO METALICO TIPO U PARA HASTE DE ATERRAMENTO DE ATE 3/4'', CONDUTOR DE 10 A 25 MM2</t>
  </si>
  <si>
    <t>GRAMPO METALICO TIPO U PARA HASTE DE ATERRAMENTO DE ATE 5/8'', CONDUTOR DE 10 A 25 MM2</t>
  </si>
  <si>
    <t>GRAMPO PARALELO METALICO PARA CABO DE 6 A 50 MM2, COM 2 PARAFUSOS</t>
  </si>
  <si>
    <t>GRAMPO U DE 5/8 " N8 EM FERRO GALVANIZADO</t>
  </si>
  <si>
    <t>GRANALHA DE ACO, ANGULAR (GRIT), PARA JATEAMENTO, PENEIRA 0,117 A 1,00 MM, (SAE G-40 A G-80)</t>
  </si>
  <si>
    <t>GRANALHA DE ACO, ANGULAR (GRIT), PARA JATEAMENTO, PENEIRA 1,41 A 1,19 MM (SAE G16)</t>
  </si>
  <si>
    <t>GRANALHA DE ACO, ESFERICA (SHOT), PARA JATEAMENTO, PENEIRA 0,40 A 1,00 MM (SAE S-170 A S-280)</t>
  </si>
  <si>
    <t>GRANALHA DE ACO, ESFERICA (SHOT), PARA JATEAMENTO, PENEIRA 1,19 A 1,00 MM (SAE S390)</t>
  </si>
  <si>
    <t>GRANILHA/ GRANA/ PEDRISCO OU AGREGADO EM MARMORE/ GRANITO/ QUARTZO E CALCARIO, PRETO, CINZA, PALHA OU BRANCO</t>
  </si>
  <si>
    <t>GRANITO PARA BANCADA, POLIDO, TIPO ANDORINHA/ QUARTZ/ CASTELO/ CORUMBA OU OUTROS EQUIVALENTES DA REGIAO, E=  *2,5* CM</t>
  </si>
  <si>
    <t>GRAUTE CIMENTICIO PARA USO GERAL</t>
  </si>
  <si>
    <t>GRAXA LUBRIFICANTE</t>
  </si>
  <si>
    <t>GRELHA FOFO ARTICULADA, CARGA MAXIMA 1,5 T, *300 X 1000* MM, E= *15* MM</t>
  </si>
  <si>
    <t>GRELHA FOFO SIMPLES COM REQUADRO, CARGA MAXIMA  12,5 T, *300 X 1000* MM, E= *15* MM, AREA ESTACIONAMENTO CARRO PASSEIO</t>
  </si>
  <si>
    <t>GRELHA FOFO SIMPLES COM REQUADRO, CARGA MAXIMA 1,5 T, 150 X 1000 MM, E= *15* MM</t>
  </si>
  <si>
    <t>GRELHA FOFO SIMPLES COM REQUADRO, CARGA MAXIMA 1,5 T, 200 X 1000 MM, E= *15* MM</t>
  </si>
  <si>
    <t>GRELHA PVC BRANCA QUADRADA, 150 X 150 MM</t>
  </si>
  <si>
    <t>GRELHA PVC CROMADA REDONDA, 150 MM</t>
  </si>
  <si>
    <t>GRUA ASCENCIONAL, LANCA DE 30 M, CAPACIDADE DE 1,0 T A 30 M, ALTURA ATE 39 M</t>
  </si>
  <si>
    <t>GRUA ASCENCIONAL, LANCA DE 42 M, CAPACIDADE DE 1,5 T A 30 M, ALTURA ATE 39 M</t>
  </si>
  <si>
    <t>GRUA ASCENCIONAL, LANCA DE 50 M, CAPACIDADE DE 2,33 T A 30 M, ALTURA ATE 48 M</t>
  </si>
  <si>
    <t>GRUPO DE SOLDAGEM C/ GERADOR A DIESEL 60 CV PARA SOLDA ELETRICA, SOBRE 04 RODAS, COM MOTOR 4 CILINDROS</t>
  </si>
  <si>
    <t>GRUPO DE SOLDAGEM COM GERADOR A DIESEL 30 CV, PARA SOLDA ELETRICA, SOBRE DUAS RODAS</t>
  </si>
  <si>
    <t>GRUPO GERADOR A GASOLINA, POTENCIA NOMINAL 2,2 KW, TENSAO DE SAIDA 110/220 V, MOTOR POTENCIA 6,5 HP</t>
  </si>
  <si>
    <t>GRUPO GERADOR DIESEL, COM CARENAGEM, POTENCIA STANDART ENTRE 100 E 110 KVA, VELOCIDADE DE 1800 RPM, FREQUENCIA DE 60 HZ</t>
  </si>
  <si>
    <t>GRUPO GERADOR DIESEL, COM CARENAGEM, POTENCIA STANDART ENTRE 140 E 150 KVA, VELOCIDADE DE 1800 RPM, FREQUENCIA DE 60 HZ</t>
  </si>
  <si>
    <t>GRUPO GERADOR DIESEL, COM CARENAGEM, POTENCIA STANDART ENTRE 210 E 220 KVA, VELOCIDADE DE 1800 RPM, FREQUENCIA DE 60 HZ</t>
  </si>
  <si>
    <t>GRUPO GERADOR DIESEL, COM CARENAGEM, POTENCIA STANDART ENTRE 250 E 260 KVA, VELOCIDADE DE 1800 RPM, FREQUENCIA DE 60 HZ</t>
  </si>
  <si>
    <t>GRUPO GERADOR DIESEL, COM CARENAGEM, POTENCIA STANDART ENTRE 50 E 55 KVA, VELOCIDADE DE 1800 RPM, FREQUENCIA DE 60 HZ</t>
  </si>
  <si>
    <t>GRUPO GERADOR DIESEL, SEM CARENAGEM, POTENCIA STANDART ENTRE 100 E 110 KVA, VELOCIDADE DE 1800 RPM, FREQUENCIA DE 60 HZ</t>
  </si>
  <si>
    <t>GRUPO GERADOR DIESEL, SEM CARENAGEM, POTENCIA STANDART ENTRE 210 E 220 KVA, VELOCIDADE DE 1800 RPM, FREQUENCIA DE 60 HZ</t>
  </si>
  <si>
    <t>GRUPO GERADOR DIESEL, SEM CARENAGEM, POTENCIA STANDART ENTRE 250 E 260 KVA, VELOCIDADE DE 1800 RPM, FREQUENCIA DE 60 HZ</t>
  </si>
  <si>
    <t>GRUPO GERADOR DIESEL, SEM CARENAGEM, POTENCIA STANDART ENTRE 80 E 90 KVA, VELOCIDADE DE 1800 RPM, FREQUENCIA DE 60 HZ</t>
  </si>
  <si>
    <t>GRUPO GERADOR ESTACIONARIO SILENCIADO, POTENCIA 50 KVA, MOTOR DIESEL</t>
  </si>
  <si>
    <t>GRUPO GERADOR ESTACIONARIO, MOTOR DIESEL POTENCIA 170 KVA</t>
  </si>
  <si>
    <t>GRUPO GERADOR ESTACIONARIO, POTENCIA 150 KVA, MOTOR DIESEL</t>
  </si>
  <si>
    <t>GRUPO GERADOR ESTACIONARIO, SILENCIADO, POTENCIA 180 KVA, MOTOR DIESEL</t>
  </si>
  <si>
    <t>GRUPO GERADOR REBOCAVEL, POTENCIA *66* KVA, MOTOR A DIESEL</t>
  </si>
  <si>
    <t>GUARNICAO/ ALIZAR/ VISTA MACICA, E= *1* CM, L= *4,5* CM, EM CEDRINHO/ ANGELIM COMERCIAL/  EUCALIPTO/ CURUPIXA/ PEROBA/ CUMARU OU EQUIVALENTE DA REGIAO</t>
  </si>
  <si>
    <t>GUARNICAO/ ALIZAR/ VISTA MACICA, E= *1* CM, L= *4,5* CM, EM PINUS/ TAUARI/ VIROLA OU EQUIVALENTE DA REGIAO</t>
  </si>
  <si>
    <t>GUARNICAO/ALIZAR/VISTA, E = *1,3* CM, L = *5,0* CM HASTE REGULAVEL = *35* MM, EM MDF/PVC WOOD/ POLIESTIRENO OU MADEIRA LAMINADA, PRIMER BRANCO</t>
  </si>
  <si>
    <t>GUARNICAO/ALIZAR/VISTA, E = *1,3* CM, L = *7,0* CM, EM POLIESTIRENO, BRANCO</t>
  </si>
  <si>
    <t>GUARNICAO/ALIZAR/VISTA, E = *1,5* CM, L = *5,0* CM, EM POLIESTIRENO, BRANCO</t>
  </si>
  <si>
    <t>GUARNICAO/MOLDURA DE ACABAMENTO PARA ESQUADRIA DE ALUMINIO ANODIZADO NATURAL, PARA 1 FACE</t>
  </si>
  <si>
    <t>GUINCHO DE ALAVANCA MANUAL, CAPACIDADE DE 1,6 T, COM 20 M DE CABO DE ACO (AQUISICAO)</t>
  </si>
  <si>
    <t>GUINCHO DE ALAVANCA MANUAL, CAPACIDADE 3,2 T COM 20 M DE CABO DE ACO DIAMETRO 16,3 MM</t>
  </si>
  <si>
    <t>GUINCHO ELETRICO DE COLUNA, CAPACIDADE 400 KG, COM MOTO FREIO, MOTOR TRIFASICO DE 1,25 CV</t>
  </si>
  <si>
    <t>GUINDASTE HIDRAULICO AUTOPROPELIDO, COM LANCA TELESCOPICA 28,80 M, CAPACIDADE MAXIMA 30 T, POTENCIA 97 KW, TRACAO 4 X 4</t>
  </si>
  <si>
    <t>GUINDASTE HIDRAULICO AUTOPROPELIDO, COM LANCA TELESCOPICA 40 M, CAPACIDADE MAXIMA 60 T, POTENCIA 260 KW, TRACAO 6 X 6</t>
  </si>
  <si>
    <t>GUINDASTE HIDRAULICO AUTOPROPELIDO, COM LANCA TELESCOPICA 50 M, CAPACIDADE MAXIMA 100 T, POTENCIA 350 KW, TRACAO 10 X 6</t>
  </si>
  <si>
    <t>GUINDAUTO HIDRAULICO, CAPACIDADE MAXIMA DE CARGA 10000 KG, MOMENTO MAXIMO DE CARGA 23 TM , ALCANCE MAXIMO HORIZONTAL 11,80 M, PARA MONTAGEM SOBRE CHASSI DE CAMINHAO PBT MINIMO 15000 KG (INCLUI MONTAGEM, NAO INCLUI CAMINHAO)</t>
  </si>
  <si>
    <t>GUINDAUTO HIDRAULICO, CAPACIDADE MAXIMA DE CARGA 14340 KG, MOMENTO MAXIMO DE CARGA 42,3 TM, ALCANCE MAXIMO HORIZONTAL 16,80 M, PARA MONTAGEM SOBRE CHASSI DE CAMINHAO PBT MINIMO 23000 KG (INCLUI MONTAGEM, NAO INCLUI CAMINHAO)</t>
  </si>
  <si>
    <t>GUINDAUTO HIDRAULICO, CAPACIDADE MAXIMA DE CARGA 30000 KG, MOMENTO MAXIMO DE CARGA 92,2 TM , ALCANCE MAXIMO HORIZONTAL  22,00 M, PARA MONTAGEM SOBRE CHASSI DE CAMINHAO PBT MINIMO 30000 KG (INCLUI MONTAGEM, NAO INCLUI CAMINHAO)</t>
  </si>
  <si>
    <t>GUINDAUTO HIDRAULICO, CAPACIDADE MAXIMA DE CARGA 3300 KG, MOMENTO MAXIMO DE CARGA 5,8 TM , ALCANCE MAXIMO HORIZONTAL  7,60 M, PARA MONTAGEM SOBRE CHASSI DE CAMINHAO PBT MINIMO 8000 KG (INCLUI MONTAGEM, NAO INCLUI CAMINHAO)</t>
  </si>
  <si>
    <t>GUINDAUTO HIDRAULICO, CAPACIDADE MAXIMA DE CARGA 6200 KG, MOMENTO MAXIMO DE CARGA 11,7 TM , ALCANCE MAXIMO HORIZONTAL  9,70 M, PARA MONTAGEM SOBRE CHASSI DE CAMINHAO PBT MINIMO 13000 KG (INCLUI MONTAGEM, NAO INCLUI CAMINHAO)</t>
  </si>
  <si>
    <t>GUINDAUTO HIDRAULICO, CAPACIDADE MAXIMA DE CARGA 8500 KG, MOMENTO MAXIMO DE CARGA 30,4 TM , ALCANCE MAXIMO HORIZONTAL  14,30 M, PARA MONTAGEM SOBRE CHASSI DE CAMINHAO PBT MINIMO 23000 KG (INCLUI MONTAGEM, NAO INCLUI CAMINHAO)</t>
  </si>
  <si>
    <t>HASTE ANCORA EM ACO GALVANIZADO, DIMENSOES 16 MM X 2000 MM</t>
  </si>
  <si>
    <t>HASTE DE ACO GALVANIZADO PARA FIXACAO DE CONCERTINA 2 "/3 M</t>
  </si>
  <si>
    <t>HASTE DE ATERRAMENTO EM ACO GALVANIZADO TIPO CANTONEIRA COM 2,00 M DE COMPRIMENTO, 25 X 25 MM E CHAPA DE 3/16"</t>
  </si>
  <si>
    <t>HASTE METALICA PARA FIXACAO DE CALHA PLUVIAL,  ZINCADA, DOBRADA 90 GRAUS</t>
  </si>
  <si>
    <t>HASTE RETA PARA GANCHO DE FERRO GALVANIZADO, COM ROSCA 1/4 " X 30 CM PARA FIXACAO DE TELHA METALICA, INCLUI PORCA E ARRUELAS DE VEDACAO</t>
  </si>
  <si>
    <t>HASTE RETA PARA GANCHO DE FERRO GALVANIZADO, COM ROSCA 1/4 " X 40 CM PARA FIXACAO DE TELHA DE FIBROCIMENTO, INCLUI PORCA SEXTAVADA DE  ZINCO</t>
  </si>
  <si>
    <t>HASTE RETA PARA GANCHO DE FERRO GALVANIZADO, COM ROSCA 5/16" X 35 CM PARA FIXACAO DE TELHA DE FIBROCIMENTO, INCLUI PORCA E ARRUELAS DE VEDACAO</t>
  </si>
  <si>
    <t>HASTE RETA PARA GANCHO DE FERRO GALVANIZADO, COM ROSCA 5/16" X 40 CM PARA FIXACAO DE TELHA DE FIBROCIMENTO, INCLUI PORCA SEXTAVADA DE  ZINCO</t>
  </si>
  <si>
    <t>HASTE RETA PARA GANCHO DE FERRO GALVANIZADO, COM ROSCA 5/16" X 45 CM PARA FIXACAO DE TELHA DE FIBROCIMENTO, INCLUI PORCA E ARRUELAS DE VEDACAO</t>
  </si>
  <si>
    <t>HEXAMETAFOSFATO DE SODIO</t>
  </si>
  <si>
    <t>HIDRANTE DE COLUNA COMPLETO, EM FERRO FUNDIDO, DN = 100 MM, COM REGISTRO, CUNHA DE BORRACHA, CURVA DESSIMETRICA, EXTREMIDADE E TAMPAS (INCLUI KIT FIXACAO)</t>
  </si>
  <si>
    <t>HIDRANTE DE COLUNA COMPLETO, EM FERRO FUNDIDO, DN = 75 MM, COM REGISTRO, CUNHA DE BORRACHA, CURVA DESSIMETRICA, EXTREMIDADE E TAMPAS (INCLUI KIT FIXACAO)</t>
  </si>
  <si>
    <t>HIDRANTE SUBTERRANEO, EM FERRO FUNDIDO, COM CURVA CURTA E CAIXA, DN 75 MM</t>
  </si>
  <si>
    <t>HIDRANTE SUBTERRANEO, EM FERRO FUNDIDO, COM CURVA LONGA E CAIXA, DN 75 MM</t>
  </si>
  <si>
    <t>HIDROJATEADORA PARA DESOBSTRUCAO DE REDES E GALERIAS, TANQUE 7000 L, BOMBA TRIPLEX 120 KGF/CM2 128 L/MIN (INCLUI MONTAGEM, NAO INCLUI CAMINHAO)</t>
  </si>
  <si>
    <t>HIDROJATEADORA PARA DESOBSTRUCAO DE REDES E GALERIAS, TANQUE 7000 L, BOMBA TRIPLEX 140 KGF/CM2 260 L/MIN ALIMENTADA POR MOTOR INDEPENDENTE A DIESEL POTENCIA 125 CV (INCLUI MONTAGEM, NAO INCLUI CAMINHAO)</t>
  </si>
  <si>
    <t>HIDROMETRO MULTIJATO, VAZAO MAXIMA DE 10,0 M3/H, DE 1"</t>
  </si>
  <si>
    <t>HIDROMETRO MULTIJATO, VAZAO MAXIMA DE 20,0 M3/H, DE 1 1/2"</t>
  </si>
  <si>
    <t>HIDROMETRO MULTIJATO, VAZAO MAXIMA DE 30,0 M3/H, DE 2"</t>
  </si>
  <si>
    <t>HIDROMETRO MULTIJATO, VAZAO MAXIMA DE 7,0 M3/H, DE 1"</t>
  </si>
  <si>
    <t>HIDROMETRO UNIJATO, VAZAO MAXIMA DE 1,5 M3/H, DE 1/2"</t>
  </si>
  <si>
    <t>HIDROMETRO UNIJATO, VAZAO MAXIMA DE 3,0 M3/H, DE 1/2"</t>
  </si>
  <si>
    <t>HIDROMETRO UNIJATO, VAZAO MAXIMA DE 5,0 M3/H, DE 3/4"</t>
  </si>
  <si>
    <t>HIDROMETRO WOLTMANN, VAZAO MAXIMA DE 50,0 M3/H, DE 2"</t>
  </si>
  <si>
    <t>HIDROMETRO WOLTMANN, VAZAO MAXIMA DE 80,0 M3/H, DE 3"</t>
  </si>
  <si>
    <t>IGNITOR PARA LAMPADA DE VAPOR DE SODIO / VAPOR METALICO ATE 2000 W, TENSAO DE PULSO ENTRE 600 A 750 V</t>
  </si>
  <si>
    <t>IGNITOR PARA LAMPADA DE VAPOR DE SODIO / VAPOR METALICO ATE 400 W, TENSAO DE PULSO ENTRE 3000 A 4500 V</t>
  </si>
  <si>
    <t>IGNITOR PARA LAMPADA DE VAPOR DE SODIO / VAPOR METALICO ATE 400 W, TENSAO DE PULSO ENTRE 580 A 750 V</t>
  </si>
  <si>
    <t>IMPERMEABILIZADOR</t>
  </si>
  <si>
    <t>IMPERMEABILIZADOR (MENSALISTA)</t>
  </si>
  <si>
    <t>IMPERMEABILIZANTE FLEXIVEL BRANCO DE BASE ACRILICA PARA COBERTURAS</t>
  </si>
  <si>
    <t>IMPERMEABILIZANTE INCOLOR PARA TRATAMENTO DE FACHADAS E TELHAS, BASE SILICONE</t>
  </si>
  <si>
    <t>IMUNIZANTE PARA MADEIRA, INCOLOR</t>
  </si>
  <si>
    <t>INSTALADOR DE TUBULACOES (TUBOS/EQUIPAMENTOS)</t>
  </si>
  <si>
    <t>INSTALADOR DE TUBULACOES (TUBOS/EQUIPAMENTOS) (MENSALISTA)</t>
  </si>
  <si>
    <t>INTERRUPTOR BIPOLAR SIMPLES 10 A, 250 V (APENAS MODULO)</t>
  </si>
  <si>
    <t>INTERRUPTOR BIPOLAR 10A, 250V, CONJUNTO MONTADO PARA EMBUTIR 4" X 2" (PLACA + SUPORTE + MODULO)</t>
  </si>
  <si>
    <t>INTERRUPTOR INTERMEDIARIO 10 A, 250 V (APENAS MODULO)</t>
  </si>
  <si>
    <t>INTERRUPTOR INTERMEDIARIO 10A, 250V, CONJUNTO MONTADO PARA EMBUTIR 4" X 2" (PLACA + SUPORTE + MODULO)</t>
  </si>
  <si>
    <t>INTERRUPTOR PARALELO + TOMADA 2P+T 10A, 250V, CONJUNTO MONTADO PARA EMBUTIR 4" X 2" (PLACA + SUPORTE + MODULOS)</t>
  </si>
  <si>
    <t>INTERRUPTOR PARALELO 10A, 250V (APENAS MODULO)</t>
  </si>
  <si>
    <t>INTERRUPTOR PARALELO 10A, 250V, CONJUNTO MONTADO PARA EMBUTIR 4" X 2" (PLACA + SUPORTE + MODULO)</t>
  </si>
  <si>
    <t>INTERRUPTOR SIMPLES + INTERRUPTOR PARALELO + TOMADA 2P+T 10A, 250V, CONJUNTO MONTADO PARA EMBUTIR 4" X 2" (PLACA + SUPORTE + MODULOS)</t>
  </si>
  <si>
    <t>INTERRUPTOR SIMPLES + INTERRUPTOR PARALELO 10A, 250V, CONJUNTO MONTADO PARA EMBUTIR 4" X 2" (PLACA + SUPORTE + MODULOS)</t>
  </si>
  <si>
    <t>INTERRUPTOR SIMPLES + TOMADA 2P+T 10A, 250V, CONJUNTO MONTADO PARA EMBUTIR 4" X 2" (PLACA + SUPORTE + MODULOS)</t>
  </si>
  <si>
    <t>INTERRUPTOR SIMPLES + 2 INTERRUPTORES PARALELOS 10A, 250V, CONJUNTO MONTADO PARA EMBUTIR 4" X 2" (PLACA + SUPORTE + MODULOS)</t>
  </si>
  <si>
    <t>INTERRUPTOR SIMPLES 10A, 250V (APENAS MODULO)</t>
  </si>
  <si>
    <t>INTERRUPTOR SIMPLES 10A, 250V, CONJUNTO MONTADO PARA EMBUTIR 4" X 2" (PLACA + SUPORTE + MODULO)</t>
  </si>
  <si>
    <t>INTERRUPTOR SIMPLES 10A, 250V, CONJUNTO MONTADO PARA SOBREPOR 4" X 2" (CAIXA + MODULO)</t>
  </si>
  <si>
    <t>INTERRUPTOR SIMPLES 10A, 250V, CONJUNTO MONTADO PARA SOBREPOR 4" X 2" (CAIXA + 2 MODULOS)</t>
  </si>
  <si>
    <t>INTERRUPTORES PARALELOS (2 MODULOS) + TOMADA 2P+T 10A, 250V, CONJUNTO MONTADO PARA EMBUTIR 4" X 2" (PLACA + SUPORTE + MODULOS)</t>
  </si>
  <si>
    <t>INTERRUPTORES PARALELOS (2 MODULOS) 10A, 250V, CONJUNTO MONTADO PARA EMBUTIR 4" X 2" (PLACA + SUPORTE + MODULOS)</t>
  </si>
  <si>
    <t>INTERRUPTORES PARALELOS (3 MODULOS) 10A, 250V, CONJUNTO MONTADO PARA EMBUTIR 4" X 2" (PLACA + SUPORTE + MODULO)</t>
  </si>
  <si>
    <t>INTERRUPTORES SIMPLES (2 MODULOS) + TOMADA 2P+T 10A, 250V, CONJUNTO MONTADO PARA EMBUTIR 4" X 2" (PLACA + SUPORTE + MODULOS)</t>
  </si>
  <si>
    <t>INTERRUPTORES SIMPLES (2 MODULOS) + 1 INTERRUPTOR PARALELO 10A, 250V, CONJUNTO MONTADO PARA EMBUTIR 4" X 2" (PLACA + SUPORTE + MODULOS)</t>
  </si>
  <si>
    <t>INTERRUPTORES SIMPLES (2 MODULOS) 10A, 250V, CONJUNTO MONTADO PARA EMBUTIR 4" X 2" (PLACA + SUPORTE + MODULOS)</t>
  </si>
  <si>
    <t>INTERRUPTORES SIMPLES (3 MODULOS) 10A, 250V, CONJUNTO MONTADO PARA EMBUTIR 4" X 2" (PLACA + SUPORTE + MODULOS)</t>
  </si>
  <si>
    <t>INVERSOR DE SOLDA MONOFASICO DE 160 A, POTENCIA DE 5400 W, TENSAO DE 220 V, TURBO VENTILADO, PROTECAO POR FUSIVEL TERMICO, PARA ELETRODOS DE 2,0 A 4,0 MM</t>
  </si>
  <si>
    <t>ISOLADOR DE PORCELANA SUSPENSO, DISCO TIPO GARFO OLHAL, DIAMETRO DE 152 MM, PARA TENSAO DE *15* KV</t>
  </si>
  <si>
    <t>ISOLADOR DE PORCELANA, TIPO BUCHA, PARA TENSAO DE *15* KV</t>
  </si>
  <si>
    <t>ISOLADOR DE PORCELANA, TIPO BUCHA, PARA TENSAO DE *35* KV</t>
  </si>
  <si>
    <t>ISOLADOR DE PORCELANA, TIPO PINO MONOCORPO, PARA TENSAO DE *15* KV</t>
  </si>
  <si>
    <t>ISOLADOR DE PORCELANA, TIPO PINO MONOCORPO, PARA TENSAO DE *35* KV</t>
  </si>
  <si>
    <t>JANELA BASCULANTE EM ALUMINIO, 100 X 100 CM (A X L), ACABAMENTO ACET OU BRILHANTE, BATENTE/REQUADRO DE 3 A 14 CM, COM VIDRO, SEM GUARNICAO/ALIZAR</t>
  </si>
  <si>
    <t>JANELA BASCULANTE EM ALUMINIO, 100 X 80 CM (A X L), ACABAMENTO ACET OU BRILHANTE, BATENTE/REQUADRO DE 3 A 14 CM, COM VIDRO, SEM GUARNICAO/ALIZAR</t>
  </si>
  <si>
    <t>JANELA BASCULANTE EM ALUMINIO, 80 X 60 CM (A X L), ACABAMENTO ACET OU BRILHANTE, BATENTE/REQUADRO DE 3 A 14 CM, COM VIDRO, SEM GUARNICAO/ALIZAR</t>
  </si>
  <si>
    <t>JANELA BASCULANTE EM ALUMINIO, 80 X 60 CM (A X L), BATENTE/REQUADRO DE 3 A 14 CM, COM VIDRO, SEM GUARNICAO/ALIZAR</t>
  </si>
  <si>
    <t>JANELA BASCULANTE EM MADEIRA PINUS/ EUCALIPTO/ TAUARI/ VIROLA OU EQUIVALENTE DA REGIAO, *60 X 60*, CAIXA DO BATENTE/ MARCO E = *10* CM, 2 BASCULAS PARA VIDRO, COM FERRAGENS (SEM VIDRO, SEM GUARNICAO/ALIZAR E SEM ACABAMENTO)</t>
  </si>
  <si>
    <t>JANELA BASCULANTE EM MADEIRA PINUS/ EUCALIPTO/ TAUARI/ VIROLA OU EQUIVALENTE DA REGIAO, CAIXA DO BATENTE/ MARCO *10* CM, *2* FOLHAS BASCULANTES PARA VIDRO, COM FERRAGENS (SEM VIDRO, SEM GUARNICAO/ALIZAR E SEM ACABAMENTO)</t>
  </si>
  <si>
    <t>JANELA BASCULANTE, ACO, COM BATENTE/REQUADRO, 60 X 60 CM (SEM VIDROS)</t>
  </si>
  <si>
    <t>JANELA DE ABRIR EM MADEIRA IMBUIA/CEDRO ARANA/CEDRO ROSA OU EQUIVALENTE DA REGIAO, CAIXA DO BATENTE/MARCO *10* CM, 2 FOLHAS DE ABRIR TIPO VENEZIANA E 2 FOLHAS DE ABRIR PARA VIDRO, COM GUARNICAO/ALIZAR, COM FERRAGENS, (SEM VIDRO E SEM ACABAMENTO)</t>
  </si>
  <si>
    <t>JANELA DE ABRIR EM MADEIRA PINUS/EUCALIPTO/ TAUARI/ VIROLA OU EQUIVALENTE DA REGIAO, CAIXA DO BATENTE/MARCO *10* CM, 2 FOLHAS DE ABRIR TIPO VENEZIANA E 2 FOLHAS GUILHOTINA PARA VIDRO, COM FERRAGENS (SEM VIDRO,SEM GUARNICAO/ALIZAR E SEM ACABAMENTO)</t>
  </si>
  <si>
    <t>JANELA DE CORRER EM ALUMINIO, VENEZIANA, 120  X 150 CM (A X L), 3 FLS (2 VENEZIANAS E 1 VIDRO), SEM BANDEIRA, ACABAMENTO ACET OU BRILHANTE, BATENTE/REQUADRO DE 6 A 14 CM, COM VIDRO, SEM GUARNICAO/ALIZAR</t>
  </si>
  <si>
    <t>JANELA DE CORRER EM ALUMINIO, VENEZIANA, 120 X 120 CM (A X L), 3 FLS (2 VENEZIANAS E 1 VIDRO), SEM BANDEIRA, ACABAMENTO ACET OU BRILHANTE, BATENTE/REQUADRO DE 6 A 14 CM, COM VIDRO, SEM GUARNICAO/ALIZAR</t>
  </si>
  <si>
    <t>JANELA DE CORRER EM ALUMINIO, VENEZIANA, 120 X 150 CM (A X L), 6 FLS (4 VENEZIANAS E 2 VIDROS), SEM BANDEIRA, ACABAMENTO ACET OU BRILHANTE, BATENTE/REQUADRO DE 6 A 14 CM, COM VIDRO, SEM GUARNICAO/ALIZAR</t>
  </si>
  <si>
    <t>JANELA DE CORRER EM ALUMINIO, VENEZIANA, 120 X 200 CM (A X L), 6 FLS (4 VENEZIANAS E 2 VIDROS), SEM BANDEIRA, ACABAMENTO ACET OU BRILHANTE,  BATENTE/REQUADRO DE 6 A 14 CM, COM VIDRO, SEM GUARNICAO/ALIZAR</t>
  </si>
  <si>
    <t>JANELA DE CORRER EM ALUMINIO, 100 X 120 CM (A X L), 2 FLS,  SEM BANDEIRA,  ACABAMENTO ACET OU BRILHANTE, BATENTE/REQUADRO DE 6 A 14 CM, COM VIDRO, SEM GUARNICAO</t>
  </si>
  <si>
    <t>JANELA DE CORRER EM ALUMINIO, 100 X 150 CM (A X L), 2 FLS,  SEM BANDEIRA,  ACABAMENTO ACET OU BRILHANTE, BATENTE/REQUADRO DE 6 A 14 CM, COM VIDRO, SEM GUARNICAO/ALIZAR</t>
  </si>
  <si>
    <t>JANELA DE CORRER EM ALUMINIO, 100 X 150 CM (A X L), 4 FLS, SEM BANDEIRA, ACABAMENTO ACET OU BRILHANTE, BATENTE/REQUADRO DE 6 A 14 CM, COM VIDRO, SEM GUARNICAO/ALIZAR</t>
  </si>
  <si>
    <t>JANELA DE CORRER EM ALUMINIO, 100 X 150 CM (A X L), 4 FLS, SEM BANDEIRA, ACABAMENTO ACET OU BRILHANTE, COM VIDRO, COM GUARNICAO PARA 1 FACE</t>
  </si>
  <si>
    <t>JANELA DE CORRER EM ALUMINIO, 100 X 200 CM, 4 FLS,  BANDEIRA COM BASCULA,  ACABAMENTO ACET OU BRILHANTE, BATENTE/REQUADRO DE 6 A 14 CM, COM VIDRO, SEM GUARNICAO/ALIZAR</t>
  </si>
  <si>
    <t>JANELA DE CORRER EM ALUMINIO, 120 X 120 CM (A X L), 2 FLS, SEM BANDEIRA, ACABAMENTO ACET OU BRILHANTE,  BATENTE/REQUADRO DE 6 A 14 CM, COM VIDRO, SEM GUARNICAO/ALIZAR</t>
  </si>
  <si>
    <t>JANELA DE CORRER EM ALUMINIO, 120 X 150 CM (A X L), 2 FLS, SEM BANDEIRA, ACABAMENTO ACET OU BRILHANTE, BATENTE/REQUADRO DE 6 A 14 CM, COM VIDRO, SEM GUARNICAO/ALIZAR</t>
  </si>
  <si>
    <t>JANELA DE CORRER EM ALUMINIO, 120 X 150 CM (A X L), 4 FLS, BANDEIRA COM BASCULA,  ACABAMENTO ACET OU BRILHANTE, BATENTE/REQUADRO DE 6 A 14 CM, COM VIDRO, SEM GUARNICAO/ALIZAR</t>
  </si>
  <si>
    <t>JANELA DE CORRER EM ALUMINIO, 120 X 200 CM (A X L), 4 FLS, BANDEIRA COM BASCULA,  ACABAMENTO ACET OU BRILHANTE, BATENTE/REQUADRO DE 6 A 14 CM, COM VIDRO, SEM GUARNICAO/ALIZAR</t>
  </si>
  <si>
    <t>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t>
  </si>
  <si>
    <t>JANELA DE 6 FOLHAS DE CORRER EM MADEIRA IMBUIA/CEDRO ARANA/CEDRO ROSA OU EQUIVALENTE DA REGIAO, CAIXA DO BATENTE/MARCO *10* CM, 2 FOLHAS DE CORRER VENEZIANA, 2 FOLHAS FIXAS VENEZIANA E 2 FOLHAS DE CORRER PARA VIDRO, COM FERRAGENS (SEM VIDRO, SEM ACABAMENTO E SEM GUARNICAO/ALIZAR)</t>
  </si>
  <si>
    <t>JANELA DE 6 FOLHAS DE CORRER EM MADEIRA PINUS/ EUCALIPTO/ TAUARI/ VIROLA OU  EQUIVALENTE DA REGIAO, CAIXA DO BATENTE/MARCO *10* CM, 2 FOLHAS DE CORRER VENEZIANA, 2 FOLHAS FIXAS VENEZIANA E 2 FOLHAS DE CORRER PARA VIDRO, COM FERRAGENS (SEM VIDRO, SEM ACABAMENTO E SEM GUARNICAO/ALIZAR)</t>
  </si>
  <si>
    <t>JANELA EM MADEIRA CEDRINHO/ ANGELIM COMERCIAL/ CURUPIXA/ CUMARU OU EQUIVALENTE DA REGIAO, CAIXA DO BATENTE/MARCO *10* CM, 2 FOLHAS DE ABRIR TIPO VENEZIANA E 2 FOLHAS GUILHOTINA PARA VIDRO, COM GUARNICAO/ALIZAR, COM FERRAGENS (SEM VIDRO E SEM ACABAMENTO)</t>
  </si>
  <si>
    <t>JANELA FIXA EM ALUMINIO, 60  X 80 CM (A X L), BATENTE/REQUADRO DE 3 A 14 CM, COM VIDRO, SEM GUARNICAO/ALIZAR</t>
  </si>
  <si>
    <t>JANELA FIXA EM ALUMINIO, 60 X 80 CM (A X L), BATENTE/REQUADRO DE 3 A 14 CM, COM VIDRO, SEM GUARNICAO/ALIZAR</t>
  </si>
  <si>
    <t>JANELA MAXIM AR EM ALUMINIO, 80 X 60 CM (A X L), BATENTE/REQUADRO DE 4 A 14 CM, COM VIDRO, SEM GUARNICAO/ALIZAR</t>
  </si>
  <si>
    <t>JANELA MAXIM AR EM MADEIRA CEDRINHO/ ANGELIM COMERCIAL/ CURUPIXA/ CUMARU OU EQUIVALENTE DA REGIAO, CAIXA DO BATENTE/MARCO *10* CM, 1 FOLHA  PARA VIDRO, COM GUARNICAO/ALIZAR, COM FERRAGENS, (SEM VIDRO E SEM ACABAMENTO)</t>
  </si>
  <si>
    <t>JANELA MAXIMO AR, ACO, BATENTE / REQUADRO DE 6 A 14 CM, PINT ANTICORROSIVA, SEM VIDRO, COM GRADE, 1 FL, 60  X 80 CM (A X L)</t>
  </si>
  <si>
    <t>JARDINEIRO</t>
  </si>
  <si>
    <t>JARDINEIRO (MENSALISTA)</t>
  </si>
  <si>
    <t>JOELHO COM VISITA, PVC SERIE R, 90 GRAUS, 100 X 75 MM, PARA ESGOTO PREDIAL</t>
  </si>
  <si>
    <t>JOELHO CPVC, SOLDAVEL, 45 GRAUS, 15 MM, PARA AGUA QUENTE</t>
  </si>
  <si>
    <t>JOELHO CPVC, SOLDAVEL, 45 GRAUS, 22 MM, PARA AGUA QUENTE</t>
  </si>
  <si>
    <t>JOELHO CPVC, SOLDAVEL, 45 GRAUS, 28 MM, PARA AGUA QUENTE</t>
  </si>
  <si>
    <t>JOELHO CPVC, SOLDAVEL, 45 GRAUS, 35 MM, PARA AGUA QUENTE</t>
  </si>
  <si>
    <t>JOELHO CPVC, SOLDAVEL, 45 GRAUS, 42 MM, PARA AGUA QUENTE</t>
  </si>
  <si>
    <t>JOELHO CPVC, SOLDAVEL, 45 GRAUS, 54 MM, PARA AGUA QUENTE</t>
  </si>
  <si>
    <t>JOELHO CPVC, SOLDAVEL, 45 GRAUS, 73 MM, PARA AGUA QUENTE</t>
  </si>
  <si>
    <t>JOELHO CPVC, SOLDAVEL, 45 GRAUS, 89 MM, PARA AGUA QUENTE</t>
  </si>
  <si>
    <t>JOELHO CPVC, SOLDAVEL, 90 GRAUS, 15 MM, PARA AGUA QUENTE</t>
  </si>
  <si>
    <t>JOELHO CPVC, SOLDAVEL, 90 GRAUS, 22 MM, PARA AGUA QUENTE</t>
  </si>
  <si>
    <t>JOELHO CPVC, SOLDAVEL, 90 GRAUS, 28 MM, PARA AGUA QUENTE</t>
  </si>
  <si>
    <t>JOELHO CPVC, SOLDAVEL, 90 GRAUS, 35 MM, PARA AGUA QUENTE</t>
  </si>
  <si>
    <t>JOELHO CPVC, SOLDAVEL, 90 GRAUS, 42 MM, PARA AGUA QUENTE</t>
  </si>
  <si>
    <t>JOELHO CPVC, SOLDAVEL, 90 GRAUS, 54 MM, PARA AGUA QUENTE</t>
  </si>
  <si>
    <t>JOELHO CPVC, SOLDAVEL, 90 GRAUS, 73 MM, PARA AGUA QUENTE</t>
  </si>
  <si>
    <t>JOELHO CPVC, SOLDAVEL, 90 GRAUS, 89 MM, PARA AGUA QUENTE</t>
  </si>
  <si>
    <t>JOELHO DE REDUCAO, PVC SOLDAVEL, 90 GRAUS,  25 MM X 20 MM, PARA AGUA FRIA PREDIAL</t>
  </si>
  <si>
    <t>JOELHO DE REDUCAO, PVC SOLDAVEL, 90 GRAUS,  32 MM X 25 MM, PARA AGUA FRIA PREDIAL</t>
  </si>
  <si>
    <t>JOELHO DE REDUCAO, PVC, ROSCAVEL COM BUCHA DE LATAO, 90 GRAUS,  3/4" X 1/2", PARA AGUA FRIA PREDIAL</t>
  </si>
  <si>
    <t>JOELHO DE REDUCAO, PVC, ROSCAVEL, 90 GRAUS, 1" X 3/4", PARA AGUA FRIA PREDIAL</t>
  </si>
  <si>
    <t>JOELHO DE REDUCAO, PVC, ROSCAVEL, 90 GRAUS, 3/4" X 1/2", PARA AGUA FRIA PREDIAL</t>
  </si>
  <si>
    <t>JOELHO DE TRANSICAO, CPVC, SOLDAVEL, 90 GRAUS, 15 MM X 1/2", PARA AGUA QUENTE</t>
  </si>
  <si>
    <t>JOELHO DE TRANSICAO, CPVC, SOLDAVEL, 90 GRAUS, 22 MM X 1/2", PARA AGUA QUENTE</t>
  </si>
  <si>
    <t>JOELHO DE TRANSICAO, CPVC, SOLDAVEL, 90 GRAUS, 22 MM X 3/4", PARA AGUA QUENTE</t>
  </si>
  <si>
    <t>JOELHO PPR 45 GRAUS, SOLDAVEL,  DN 20 MM, PARA AGUA QUENTE PREDIAL</t>
  </si>
  <si>
    <t>JOELHO PPR 45 GRAUS, SOLDAVEL, DN 25 MM, PARA AGUA QUENTE PREDIAL</t>
  </si>
  <si>
    <t>JOELHO PPR, 45 GRAUS, SOLDAVEL, DN 32 MM, PARA AGUA QUENTE PREDIAL</t>
  </si>
  <si>
    <t>JOELHO PPR, 90 GRAUS, SOLDAVEL, DN 110 MM, PARA AGUA QUENTE PREDIAL</t>
  </si>
  <si>
    <t>JOELHO PPR, 90 GRAUS, SOLDAVEL, DN 20 MM, PARA AGUA QUENTE PREDIAL</t>
  </si>
  <si>
    <t>JOELHO PPR, 90 GRAUS, SOLDAVEL, DN 25 MM, PARA AGUA QUENTE PREDIAL</t>
  </si>
  <si>
    <t>JOELHO PPR, 90 GRAUS, SOLDAVEL, DN 32 MM, PARA AGUA QUENTE PREDIAL</t>
  </si>
  <si>
    <t>JOELHO PPR, 90 GRAUS, SOLDAVEL, DN 40 MM, PARA AGUA QUENTE PREDIAL</t>
  </si>
  <si>
    <t>JOELHO PPR, 90 GRAUS, SOLDAVEL, DN 50 MM, PARA AGUA QUENTE PREDIAL</t>
  </si>
  <si>
    <t>JOELHO PPR, 90 GRAUS, SOLDAVEL, DN 63 MM, PARA AGUA QUENTE PREDIAL</t>
  </si>
  <si>
    <t>JOELHO PPR, 90 GRAUS, SOLDAVEL, DN 75 MM, PARA AGUA QUENTE PREDIAL</t>
  </si>
  <si>
    <t>JOELHO PPR, 90 GRAUS, SOLDAVEL, DN 90 MM, PARA AGUA QUENTE PREDIAL</t>
  </si>
  <si>
    <t>JOELHO PVC COM VISITA, 90 GRAUS, DN 100 X 50 MM, SERIE NORMAL, PARA ESGOTO PREDIAL</t>
  </si>
  <si>
    <t>JOELHO PVC LEVE, 45 GRAUS, DN 150 MM, PARA ESGOTO PREDIAL</t>
  </si>
  <si>
    <t>JOELHO PVC LEVE, 90 GRAUS, DN 150 MM, PARA ESGOTO PREDIAL</t>
  </si>
  <si>
    <t>JOELHO PVC,  SOLDAVEL COM ROSCA, 90 GRAUS, 20 MM X 1/2", PARA AGUA FRIA PREDIAL</t>
  </si>
  <si>
    <t>JOELHO PVC,  SOLDAVEL COM ROSCA, 90 GRAUS, 25 MM X 1/2", PARA AGUA FRIA PREDIAL</t>
  </si>
  <si>
    <t>JOELHO PVC,  SOLDAVEL COM ROSCA, 90 GRAUS, 25 MM X 3/4", PARA AGUA FRIA PREDIAL</t>
  </si>
  <si>
    <t>JOELHO PVC,  SOLDAVEL COM ROSCA, 90 GRAUS, 32 MM X 3/4", PARA AGUA FRIA PREDIAL</t>
  </si>
  <si>
    <t>JOELHO PVC, COM BOLSA E ANEL, 90 GRAUS, DN 40 X *38* MM, SERIE NORMAL, PARA ESGOTO PREDIAL</t>
  </si>
  <si>
    <t>JOELHO PVC, ROSCAVEL, 45 GRAUS, 1/2", PARA AGUA FRIA PREDIAL</t>
  </si>
  <si>
    <t>JOELHO PVC, ROSCAVEL, 45 GRAUS, 1", PARA AGUA FRIA PREDIAL</t>
  </si>
  <si>
    <t>JOELHO PVC, ROSCAVEL, 45 GRAUS, 3/4", PARA AGUA FRIA PREDIAL</t>
  </si>
  <si>
    <t>JOELHO PVC, ROSCAVEL, 90 GRAUS, 1/2", PARA AGUA FRIA PREDIAL</t>
  </si>
  <si>
    <t>JOELHO PVC, ROSCAVEL, 90 GRAUS, 1", PARA AGUA FRIA PREDIAL</t>
  </si>
  <si>
    <t>JOELHO PVC, ROSCAVEL, 90 GRAUS, 3/4", PARA AGUA FRIA PREDIAL</t>
  </si>
  <si>
    <t>JOELHO PVC, SOLDAVEL, BB, 45 GRAUS, DN 40 MM, PARA ESGOTO PREDIAL</t>
  </si>
  <si>
    <t>JOELHO PVC, SOLDAVEL, BB, 90 GRAUS, DN 40 MM, PARA ESGOTO PREDIAL</t>
  </si>
  <si>
    <t>JOELHO PVC, SOLDAVEL, COM BUCHA DE LATAO, 90 GRAUS, 20 MM X 1/2", PARA AGUA FRIA PREDIAL</t>
  </si>
  <si>
    <t>JOELHO PVC, SOLDAVEL, COM BUCHA DE LATAO, 90 GRAUS, 25 MM X 1/2", PARA AGUA FRIA PREDIAL</t>
  </si>
  <si>
    <t>JOELHO PVC, SOLDAVEL, COM BUCHA DE LATAO, 90 GRAUS, 25 MM X 3/4", PARA AGUA FRIA PREDIAL</t>
  </si>
  <si>
    <t>JOELHO PVC, SOLDAVEL, COM BUCHA DE LATAO, 90 GRAUS, 32 MM X 3/4", PARA AGUA FRIA PREDIAL</t>
  </si>
  <si>
    <t>JOELHO PVC, SOLDAVEL, PB, 45 GRAUS, DN 100 MM, PARA ESGOTO PREDIAL</t>
  </si>
  <si>
    <t>JOELHO PVC, SOLDAVEL, PB, 45 GRAUS, DN 150 MM, PARA ESGOTO PREDIAL</t>
  </si>
  <si>
    <t>JOELHO PVC, SOLDAVEL, PB, 45 GRAUS, DN 40 MM, PARA ESGOTO PREDIAL</t>
  </si>
  <si>
    <t>JOELHO PVC, SOLDAVEL, PB, 45 GRAUS, DN 50 MM, PARA ESGOTO PREDIAL</t>
  </si>
  <si>
    <t>JOELHO PVC, SOLDAVEL, PB, 45 GRAUS, DN 75 MM, PARA ESGOTO PREDIAL</t>
  </si>
  <si>
    <t>JOELHO PVC, SOLDAVEL, PB, 90 GRAUS, DN 100 MM, PARA ESGOTO PREDIAL</t>
  </si>
  <si>
    <t>JOELHO PVC, SOLDAVEL, PB, 90 GRAUS, DN 150 MM, PARA ESGOTO PREDIAL</t>
  </si>
  <si>
    <t>JOELHO PVC, SOLDAVEL, PB, 90 GRAUS, DN 40 MM, PARA ESGOTO PREDIAL</t>
  </si>
  <si>
    <t>JOELHO PVC, SOLDAVEL, PB, 90 GRAUS, DN 50 MM, PARA ESGOTO PREDIAL</t>
  </si>
  <si>
    <t>JOELHO PVC, SOLDAVEL, PB, 90 GRAUS, DN 75 MM, PARA ESGOTO PREDIAL</t>
  </si>
  <si>
    <t>JOELHO PVC, SOLDAVEL, 90 GRAUS, 110 MM, PARA AGUA FRIA PREDIAL</t>
  </si>
  <si>
    <t>JOELHO PVC, SOLDAVEL, 90 GRAUS, 20 MM, PARA AGUA FRIA PREDIAL</t>
  </si>
  <si>
    <t>JOELHO PVC, SOLDAVEL, 90 GRAUS, 25 MM, PARA AGUA FRIA PREDIAL</t>
  </si>
  <si>
    <t>JOELHO PVC, SOLDAVEL, 90 GRAUS, 32 MM, PARA AGUA FRIA PREDIAL</t>
  </si>
  <si>
    <t>JOELHO PVC, SOLDAVEL, 90 GRAUS, 40 MM, PARA AGUA FRIA PREDIAL</t>
  </si>
  <si>
    <t>JOELHO PVC, SOLDAVEL, 90 GRAUS, 50 MM, PARA AGUA FRIA PREDIAL</t>
  </si>
  <si>
    <t>JOELHO PVC, SOLDAVEL, 90 GRAUS, 60 MM, PARA AGUA FRIA PREDIAL</t>
  </si>
  <si>
    <t>JOELHO PVC, SOLDAVEL, 90 GRAUS, 85 MM, PARA AGUA FRIA PREDIAL</t>
  </si>
  <si>
    <t>JOELHO PVC, 45 GRAUS, ROSCAVEL,  1 1/2", AGUA FRIA PREDIAL</t>
  </si>
  <si>
    <t>JOELHO PVC, 45 GRAUS, ROSCAVEL, 1 1/4",  AGUA FRIA PREDIAL</t>
  </si>
  <si>
    <t>JOELHO PVC, 45 GRAUS, ROSCAVEL, 2", AGUA FRIA PREDIAL</t>
  </si>
  <si>
    <t>JOELHO PVC, 60 GRAUS, DIAMETRO ENTRE 80 E 100 MM, PARA DRENAGEM PLUVIAL PREDIAL</t>
  </si>
  <si>
    <t>JOELHO PVC, 90 GRAUS, DIAMETRO ENTRE 80 E 100 MM, PARA DRENAGEM PLUVIAL PREDIAL</t>
  </si>
  <si>
    <t>JOELHO PVC, 90 GRAUS, ROSCAVEL, 1 1/2",  AGUA FRIA PREDIAL</t>
  </si>
  <si>
    <t>JOELHO PVC, 90 GRAUS, ROSCAVEL, 1 1/4", AGUA FRIA PREDIAL</t>
  </si>
  <si>
    <t>JOELHO PVC, 90 GRAUS, ROSCAVEL, 2", AGUA FRIA PREDIAL</t>
  </si>
  <si>
    <t>JOELHO ROSCA FEMEA MOVEL, METALICO, PARA CONEXAO COM ANEL DESLIZANTE EM TUBO PEX, DN 16 MM X 1/2"</t>
  </si>
  <si>
    <t>JOELHO ROSCA FEMEA MOVEL, METALICO, PARA CONEXAO COM ANEL DESLIZANTE EM TUBO PEX, DN 20 MM X 1/2"</t>
  </si>
  <si>
    <t>JOELHO ROSCA FEMEA MOVEL, METALICO, PARA CONEXAO COM ANEL DESLIZANTE EM TUBO PEX, DN 20 MM X 3/4"</t>
  </si>
  <si>
    <t>JOELHO ROSCA FEMEA MOVEL, METALICO, PARA CONEXAO COM ANEL DESLIZANTE EM TUBO PEX, DN 25 MM X 3/4"</t>
  </si>
  <si>
    <t>JOELHO 45 GRAUS, PPR, SOLDAVEL, F/ F, DN 40 MM, PARA AQUA QUENTE E FRIA PREDIAL</t>
  </si>
  <si>
    <t>JOELHO 45 GRAUS, PPR, SOLDAVEL, F/ F, DN 50 MM, PARA AQUA QUENTE E FRIA PREDIAL</t>
  </si>
  <si>
    <t>JOELHO 45 GRAUS, PPR, SOLDAVEL, F/ F, DN 63 MM, PARA AQUA QUENTE E FRIA PREDIAL</t>
  </si>
  <si>
    <t>JOELHO 45 GRAUS, PPR, SOLDAVEL, F/ F, DN 75 MM, PARA AQUA QUENTE E FRIA PREDIAL</t>
  </si>
  <si>
    <t>JOELHO 45 GRAUS, PPR, SOLDAVEL, F/ F, DN 90 MM, PARA AQUA QUENTE E FRIA PREDIAL</t>
  </si>
  <si>
    <t>JOELHO 90 GRAUS, METALICO, PARA CONEXAO COM ANEL DESLIZANTE EM TUBO PEX, DN 16 MM</t>
  </si>
  <si>
    <t>JOELHO 90 GRAUS, METALICO, PARA CONEXAO COM ANEL DESLIZANTE EM TUBO PEX, DN 20 MM</t>
  </si>
  <si>
    <t>JOELHO 90 GRAUS, METALICO, PARA CONEXAO COM ANEL DESLIZANTE EM TUBO PEX, DN 25 MM</t>
  </si>
  <si>
    <t>JOELHO 90 GRAUS, METALICO, PARA CONEXAO COM ANEL DESLIZANTE EM TUBO PEX, DN 32 MM</t>
  </si>
  <si>
    <t>JOELHO 90 GRAUS, PLASTICO, PARA CONEXAO COM CRIMPAGEM EM TUBO PEX, DN 16 MM</t>
  </si>
  <si>
    <t>JOELHO 90 GRAUS, PLASTICO, PARA CONEXAO COM CRIMPAGEM EM TUBO PEX, DN 20 MM</t>
  </si>
  <si>
    <t>JOELHO 90 GRAUS, PLASTICO, PARA CONEXAO COM CRIMPAGEM EM TUBO PEX, DN 25 MM</t>
  </si>
  <si>
    <t>JOELHO 90 GRAUS, PLASTICO, PARA CONEXAO COM CRIMPAGEM EM TUBO PEX, DN 32 MM</t>
  </si>
  <si>
    <t>JOELHO 90 GRAUS, ROSCA FEMEA TERMINAL, METALICO, PARA CONEXAO COM ANEL DESLIZANTE EM TUBO PEX, DN 16 MM X 1/2"</t>
  </si>
  <si>
    <t>JOELHO 90 GRAUS, ROSCA FEMEA TERMINAL, METALICO, PARA CONEXAO COM ANEL DESLIZANTE EM TUBO PEX, DN 20 MM X 1/2"</t>
  </si>
  <si>
    <t>JOELHO 90 GRAUS, ROSCA FEMEA TERMINAL, METALICO, PARA CONEXAO COM ANEL DESLIZANTE EM TUBO PEX, DN 20 MM X 3/4"</t>
  </si>
  <si>
    <t>JOELHO 90 GRAUS, ROSCA FEMEA TERMINAL, METALICO, PARA CONEXAO COM ANEL DESLIZANTE EM TUBO PEX, DN 25 MM X 3/4"</t>
  </si>
  <si>
    <t>JOELHO 90 GRAUS, ROSCA FEMEA TERMINAL, PLASTICO, PARA CONEXAO COM CRIMPAGEM EM TUBO PEX, DN 16 MM X 1/2"</t>
  </si>
  <si>
    <t>JOELHO 90 GRAUS, ROSCA FEMEA TERMINAL, PLASTICO, PARA CONEXAO COM CRIMPAGEM EM TUBO PEX, DN 16 MM X 3/4"</t>
  </si>
  <si>
    <t>JOELHO 90 GRAUS, ROSCA FEMEA TERMINAL, PLASTICO, PARA CONEXAO COM CRIMPAGEM EM TUBO PEX, DN 20 MM X 1/2"</t>
  </si>
  <si>
    <t>JOELHO 90 GRAUS, ROSCA FEMEA TERMINAL, PLASTICO, PARA CONEXAO COM CRIMPAGEM EM TUBO PEX, DN 20 MM X 3/4"</t>
  </si>
  <si>
    <t>JOELHO 90 GRAUS, ROSCA FEMEA TERMINAL, PLASTICO, PARA CONEXAO COM CRIMPAGEM EM TUBO PEX, DN 25 MM X 1/2"</t>
  </si>
  <si>
    <t>JOELHO 90 GRAUS, ROSCA FEMEA TERMINAL, PLASTICO, PARA CONEXAO COM CRIMPAGEM EM TUBO PEX, DN 25 MM X 1"</t>
  </si>
  <si>
    <t>JOELHO 90 GRAUS, ROSCA FEMEA TERMINAL, PLASTICO, PARA CONEXAO COM CRIMPAGEM EM TUBO PEX, DN 25 MM X 3/4"</t>
  </si>
  <si>
    <t>JOELHO 90 GRAUS, ROSCA FEMEA TERMINAL, PLASTICO, PARA CONEXAO COM CRIMPAGEM EM TUBO PEX, DN 32 MM X 1"</t>
  </si>
  <si>
    <t>JOELHO 90 GRAUS, ROSCA MACHO TERMINAL, METALICO, PARA CONEXAO COM ANEL DESLIZANTE EM TUBO PEX, DN 16 MM X 1/2"</t>
  </si>
  <si>
    <t>JOELHO 90 GRAUS, ROSCA MACHO TERMINAL, METALICO, PARA CONEXAO COM ANEL DESLIZANTE EM TUBO PEX, DN 20 MM X 1/2"</t>
  </si>
  <si>
    <t>JOELHO 90 GRAUS, ROSCA MACHO TERMINAL, METALICO, PARA CONEXAO COM ANEL DESLIZANTE EM TUBO PEX, DN 20 MM X 3/4"</t>
  </si>
  <si>
    <t>JOELHO 90 GRAUS, ROSCA MACHO TERMINAL, METALICO, PARA CONEXAO COM ANEL DESLIZANTE EM TUBO PEX, DN 25 MM X 3/4"</t>
  </si>
  <si>
    <t>JOELHO 90 GRAUS, ROSCA MACHO TERMINAL, PLASTICO, PARA CONEXAO COM CRIMPAGEM EM TUBO PEX, DN 25 MM X 1/2"</t>
  </si>
  <si>
    <t>JOELHO 90 GRAUS, ROSCA MACHO TERMINAL, PLASTICO, PARA CONEXAO COM CRIMPAGEM EM TUBO PEX, DN 25 MM X 1"</t>
  </si>
  <si>
    <t>JOELHO 90 GRAUS, ROSCA MACHO TERMINAL, PLASTICO, PARA CONEXAO COM CRIMPAGEM EM TUBO PEX, DN 32 MM X 1"</t>
  </si>
  <si>
    <t>JOELHO, PVC COM ROSCA E BUCHA LATAO, 90 GRAUS,  3/4", PARA AGUA FRIA PREDIAL</t>
  </si>
  <si>
    <t>JOELHO, PVC SERIE R, 45 GRAUS, DN 100 MM, PARA ESGOTO PREDIAL</t>
  </si>
  <si>
    <t>JOELHO, PVC SERIE R, 45 GRAUS, DN 150 MM, PARA ESGOTO PREDIAL</t>
  </si>
  <si>
    <t>JOELHO, PVC SERIE R, 45 GRAUS, DN 40 MM, PARA ESGOTO PREDIAL</t>
  </si>
  <si>
    <t>JOELHO, PVC SERIE R, 45 GRAUS, DN 50 MM, PARA ESGOTO PREDIAL</t>
  </si>
  <si>
    <t>JOELHO, PVC SERIE R, 45 GRAUS, DN 75 MM, PARA ESGOTO PREDIAL</t>
  </si>
  <si>
    <t>JOELHO, PVC SERIE R, 90 GRAUS, DN 100 MM, PARA ESGOTO PREDIAL</t>
  </si>
  <si>
    <t>JOELHO, PVC SERIE R, 90 GRAUS, DN 150 MM, PARA ESGOTO PREDIAL</t>
  </si>
  <si>
    <t>JOELHO, PVC SERIE R, 90 GRAUS, DN 40 MM, PARA ESGOTO PREDIAL</t>
  </si>
  <si>
    <t>JOELHO, PVC SERIE R, 90 GRAUS, DN 50 MM, PARA ESGOTO PREDIAL</t>
  </si>
  <si>
    <t>JOELHO, PVC SERIE R, 90 GRAUS, DN 75 MM, PARA ESGOTO PREDIAL</t>
  </si>
  <si>
    <t>JOELHO, PVC SOLDAVEL, 45 GRAUS, 110 MM, PARA AGUA FRIA PREDIAL</t>
  </si>
  <si>
    <t>JOELHO, PVC SOLDAVEL, 45 GRAUS, 20 MM, PARA AGUA FRIA PREDIAL</t>
  </si>
  <si>
    <t>JOELHO, PVC SOLDAVEL, 45 GRAUS, 25 MM, PARA AGUA FRIA PREDIAL</t>
  </si>
  <si>
    <t>JOELHO, PVC SOLDAVEL, 45 GRAUS, 32 MM, PARA AGUA FRIA PREDIAL</t>
  </si>
  <si>
    <t>JOELHO, PVC SOLDAVEL, 45 GRAUS, 40 MM, PARA AGUA FRIA PREDIAL</t>
  </si>
  <si>
    <t>JOELHO, PVC SOLDAVEL, 45 GRAUS, 50 MM, PARA AGUA FRIA PREDIAL</t>
  </si>
  <si>
    <t>JOELHO, PVC SOLDAVEL, 45 GRAUS, 60 MM, PARA AGUA FRIA PREDIAL</t>
  </si>
  <si>
    <t>JOELHO, PVC SOLDAVEL, 45 GRAUS, 75 MM, PARA AGUA FRIA PREDIAL</t>
  </si>
  <si>
    <t>JOELHO, PVC SOLDAVEL, 45 GRAUS, 85 MM, PARA AGUA FRIA PREDIAL</t>
  </si>
  <si>
    <t>JOELHO, PVC SOLDAVEL, 90 GRAUS, 75 MM, PARA AGUA FRIA PREDIAL</t>
  </si>
  <si>
    <t>JOELHO, ROSCA FEMEA, COM BASE FIXA, METALICO, PARA CONEXAO COM ANEL DESLIZANTE EM TUBO PEX, DN 16 MM X 1/2"</t>
  </si>
  <si>
    <t>JOELHO, ROSCA FEMEA, COM BASE FIXA, METALICO, PARA CONEXAO COM ANEL DESLIZANTE EM TUBO PEX, DN 20 MM X 1/2"</t>
  </si>
  <si>
    <t>JOELHO, ROSCA FEMEA, COM BASE FIXA, METALICO, PARA CONEXAO COM ANEL DESLIZANTE EM TUBO PEX, DN 25 MM X 3/4"</t>
  </si>
  <si>
    <t>JOELHO, ROSCA FEMEA, COM BASE FIXA, PLASTICO, PARA CONEXAO COM CRIMPAGEM EM TUBO PEX, DN 25 MM X 1/2"</t>
  </si>
  <si>
    <t>JOELHO, ROSCA FEMEA, COM BASE FIXA, PLASTICO, PARA CONEXAO POR CRIMPAGEM EM TUBO PEX, DN 16 MM X 3/4"</t>
  </si>
  <si>
    <t>JOELHO, ROSCA FEMEA, COM BASE FIXA, PLASTICO, PARA CONEXAO POR CRIMPAGEM EM TUBO PEX, DN 20 MM X 3/4"</t>
  </si>
  <si>
    <t>JOGO DE FERRAGENS CROMADAS P/ PORTA DE VIDRO TEMPERADO, UMA FOLHA COMPOSTA: DOBRADICA SUPERIOR (101) E INFERIOR (103),TRINCO (502), FECHADURA (520),CONTRA FECHADURA (531),COM CAPUCHINHO</t>
  </si>
  <si>
    <t>JOGO DE TRANQUETA E ROSETA QUADRADA DE SOBREPOR SEM FUROS, EM LATAO CROMADO, *50 X 50* MM, PARA FECHADURA DE PORTA DE BANHEIRO</t>
  </si>
  <si>
    <t>JOGO DE TRANQUETA E ROSETA REDONDA DE SOBREPOR SEM FUROS, EM LATAO CROMADO, DIAMETRO *50* MM, PARA FECHADURA DE PORTA DE BANHEIRO</t>
  </si>
  <si>
    <t>JUNCAO DE REDUCAO INVERTIDA, PVC SOLDAVEL, 100 X 50 MM, SERIE NORMAL PARA ESGOTO PREDIAL</t>
  </si>
  <si>
    <t>JUNCAO DE REDUCAO INVERTIDA, PVC SOLDAVEL, 100 X 75 MM, SERIE NORMAL PARA ESGOTO PREDIAL</t>
  </si>
  <si>
    <t>JUNCAO DE REDUCAO INVERTIDA, PVC SOLDAVEL, 75 X 50 MM, SERIE NORMAL PARA ESGOTO PREDIAL</t>
  </si>
  <si>
    <t>JUNCAO DE REDUCAO SIMPLES, COM BOLSA PARA ANEL, PVC LEVE,  150 X 100 MM, PARA ESGOTO PREDIAL</t>
  </si>
  <si>
    <t>JUNCAO DUPLA, PVC SERIE R, DN 100 X 100 X 100 MM, PARA ESGOTO PREDIAL</t>
  </si>
  <si>
    <t>JUNCAO DUPLA, PVC SOLDAVEL, DN 100 X 100 X 100 MM , SERIE NORMAL PARA ESGOTO PREDIAL</t>
  </si>
  <si>
    <t>JUNCAO DUPLA, PVC SOLDAVEL, DN 75 X 75 X 75 MM , SERIE NORMAL PARA ESGOTO PREDIAL</t>
  </si>
  <si>
    <t>JUNCAO INVERTIDA, PVC SOLDAVEL, 75 X 75 MM, SERIE NORMAL PARA ESGOTO PREDIAL</t>
  </si>
  <si>
    <t>JUNCAO PVC  ROSCAVEL, 45 GRAUS, 1/2", PARA AGUA FRIA PREDIAL</t>
  </si>
  <si>
    <t>JUNCAO PVC  ROSCAVEL, 45 GRAUS, 3/4", PARA AGUA FRIA PREDIAL</t>
  </si>
  <si>
    <t>JUNCAO PVC, 45 GRAUS, ROSCAVEL, 1 1/4", AGUA FRIA PREDIAL</t>
  </si>
  <si>
    <t>JUNCAO PVC, 60 GRAUS, CIRCULAR,  DIAMETRO ENTRE 80 E 100 MM, PARA DRENAGEM PLUVIAL PREDIAL</t>
  </si>
  <si>
    <t>JUNCAO SIMPLES, PVC LEVE, 150 MM, PARA ESGOTO PREDIAL</t>
  </si>
  <si>
    <t>JUNCAO SIMPLES, PVC SERIE R, DN 100 X 100 MM, PARA ESGOTO PREDIAL</t>
  </si>
  <si>
    <t>JUNCAO SIMPLES, PVC SERIE R, DN 100 X 75 MM, PARA ESGOTO PREDIAL</t>
  </si>
  <si>
    <t>JUNCAO SIMPLES, PVC SERIE R, DN 150 X 100 MM, PARA ESGOTO PREDIAL</t>
  </si>
  <si>
    <t>JUNCAO SIMPLES, PVC SERIE R, DN 150 X 150 MM, PARA ESGOTO PREDIAL</t>
  </si>
  <si>
    <t>JUNCAO SIMPLES, PVC SERIE R, DN 40 X 40 MM, PARA ESGOTO PREDIAL</t>
  </si>
  <si>
    <t>JUNCAO SIMPLES, PVC SERIE R, DN 50 X 50 MM, PARA ESGOTO PREDIAL</t>
  </si>
  <si>
    <t>JUNCAO SIMPLES, PVC SERIE R, DN 75 X 75 MM, PARA ESGOTO PREDIAL</t>
  </si>
  <si>
    <t>JUNCAO SIMPLES, PVC, DN 100 X 50 MM, SERIE NORMAL PARA ESGOTO PREDIAL</t>
  </si>
  <si>
    <t>JUNCAO SIMPLES, PVC, DN 100 X 75 MM, SERIE NORMAL PARA ESGOTO PREDIAL</t>
  </si>
  <si>
    <t>JUNCAO SIMPLES, PVC, DN 50 X 50 MM, SERIE NORMAL PARA ESGOTO PREDIAL</t>
  </si>
  <si>
    <t>JUNCAO SIMPLES, PVC, DN 75 X 50 MM, SERIE NORMAL PARA ESGOTO PREDIAL</t>
  </si>
  <si>
    <t>JUNCAO SIMPLES, PVC, DN 75 X 75 MM, SERIE NORMAL PARA ESGOTO PREDIAL</t>
  </si>
  <si>
    <t>JUNCAO SIMPLES, PVC, 45 GRAUS, DN 100 X 100 MM, SERIE NORMAL PARA ESGOTO PREDIAL</t>
  </si>
  <si>
    <t>JUNCAO SIMPLES, PVC, 45 GRAUS, DN 40 X 40 MM, SERIE NORMAL PARA ESGOTO PREDIAL</t>
  </si>
  <si>
    <t>JUNCAO 2 GARRAS PARA FITA PERFURADA</t>
  </si>
  <si>
    <t>JUNCAO, PVC, 45 GRAUS, JE, BBB, DN 100 MM, PARA REDE COLETORA DE ESGOTO (NBR 10569)</t>
  </si>
  <si>
    <t>JUNCAO, PVC, 45 GRAUS, JE, BBB, DN 150 MM, PARA REDE COLETORA DE ESGOTO (NBR 10569)</t>
  </si>
  <si>
    <t>JUNCAO, PVC, 45 GRAUS, JE, BBB, DN 150 MM, PARA TUBO CORRUGADO E/OU LISO, REDE COLETORA DE ESGOTO (NBR 10569)</t>
  </si>
  <si>
    <t>JUNCAO, PVC, 45 GRAUS, JE, BBB, DN 200 MM, PARA TUBO CORRUGADO E/OU LISO, REDE COLETORA DE ESGOTO (NBR 10569)</t>
  </si>
  <si>
    <t>JUNCAO, PVC, 45 GRAUS, JE, BBB, DN 250 MM, PARA TUBO CORRUGADO E/OU LISO, REDE COLETORA DE ESGOTO (NBR 10569)</t>
  </si>
  <si>
    <t>JUNTA DE EXPANSAO BRONZE/LATAO (REF 900), PONTA X PONTA, 35 MM</t>
  </si>
  <si>
    <t>JUNTA DE EXPANSAO BRONZE/LATAO (REF 900), PONTA X PONTA, 42 MM</t>
  </si>
  <si>
    <t>JUNTA DE EXPANSAO BRONZE/LATAO (REF 900), PONTA X PONTA, 54 MM</t>
  </si>
  <si>
    <t>JUNTA DE EXPANSAO BRONZE/LATAO (REF 900), PONTA X PONTA, 66 MM</t>
  </si>
  <si>
    <t>JUNTA DE EXPANSAO DE COBRE (REF 900), PONTA X PONTA, 15 MM</t>
  </si>
  <si>
    <t>JUNTA DE EXPANSAO DE COBRE (REF 900), PONTA X PONTA, 22 MM</t>
  </si>
  <si>
    <t>JUNTA DE EXPANSAO DE COBRE (REF 900), PONTA X PONTA, 28 MM</t>
  </si>
  <si>
    <t>JUNTA DILATACAO ELASTICA PARA CONCRETO (FUGENBAND) O-12, ATE 5 MCA</t>
  </si>
  <si>
    <t>JUNTA DILATACAO ELASTICA PARA CONCRETO (FUGENBAND) O-22, ATE 30 MCA</t>
  </si>
  <si>
    <t>JUNTA DILATACAO ELASTICA PARA CONCRETO (FUGENBAND) O-35/10, ATE 100 MCA</t>
  </si>
  <si>
    <t>JUNTA DILATACAO ELASTICA PARA CONCRETO (FUGENBAND) O-35/6, ATE 100 MCA</t>
  </si>
  <si>
    <t>JUNTA PLASTICA DE DILATACAO PARA PISOS, COR CINZA, 10 X 4,5 MM (ALTURA X ESPESSURA)</t>
  </si>
  <si>
    <t>JUNTA PLASTICA DE DILATACAO PARA PISOS, COR CINZA, 17 X 3 MM (ALTURA X ESPESSURA)</t>
  </si>
  <si>
    <t>JUNTA PLASTICA DE DILATACAO PARA PISOS, COR CINZA, 27 X 3 MM (ALTURA X ESPESSURA)</t>
  </si>
  <si>
    <t>KIT ACESSORIOS PARA COMPRESSOR DE AR, 5 PECAS (PISTOLAS PINTURA, LIMPEZA E PULVERIZACAO, CALIBRADOR E MANGUEIRA)</t>
  </si>
  <si>
    <t>KIT CAVALETE, PVC, COM REGISTRO, PARA HIDROMETRO, BITOLAS 1/2" OU 3/4" - COMPLETO</t>
  </si>
  <si>
    <t>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t>
  </si>
  <si>
    <t>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</si>
  <si>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</si>
  <si>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t>
  </si>
  <si>
    <t>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t>
  </si>
  <si>
    <t>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t>
  </si>
  <si>
    <t>KIT DE ACESSORIOS PARA BANHEIRO EM METAL CROMADO, 5 PECAS</t>
  </si>
  <si>
    <t>KIT DE MATERIAIS PARA BRACADEIRA PARA FIXACAO EM POSTE CIRCULAR, CONTEM TRES FIXADORES E UM ROLO DE FITA DE 3 M EM ACO CARBONO</t>
  </si>
  <si>
    <t>KIT DE PROTECAO ARSTOP PARA AR CONDICIONADO, TOMADA PADRAO 2P+T 20 A, COM DISJUNTOR UNIPOLAR DIN 20A</t>
  </si>
  <si>
    <t>KIT PORTA PRONTA DE MADEIRA, FOLHA LEVE (NBR 15930) DE 60 X 210 CM, E = *35* MM, COM MARCO EM ACO, NUCLEO COLMEIA, CAPA LISA EM HDF, ACABAMENTO MELAMINICO BRANCO (INCLUI MARCO, ALIZARES, DOBRADICAS E FECHADURA)</t>
  </si>
  <si>
    <t>KIT PORTA PRONTA DE MADEIRA, FOLHA LEVE (NBR 15930) DE 60 X 210 CM, E = 35 MM, NUCLEO COLMEIA, ESTRUTURA USINADA PARA FECHADURA, CAPA LISA EM HDF, ACABAMENTO EM PRIMER PARA PINTURA (INCLUI MARCO, ALIZARES E DOBRADICAS)</t>
  </si>
  <si>
    <t>KIT PORTA PRONTA DE MADEIRA, FOLHA LEVE (NBR 15930) DE 70 X 210 CM, E = *35* MM, COM MARCO EM ACO, NUCLEO COLMEIA, CAPA LISA EM HDF, ACABAMENTO MELAMINICO BRANCO (INCLUI MARCO, ALIZARES, DOBRADICAS E FECHADURA)</t>
  </si>
  <si>
    <t>KIT PORTA PRONTA DE MADEIRA, FOLHA LEVE (NBR 15930) DE 70 X 210 CM, E = 35 MM, NUCLEO COLMEIA, ESTRUTURA USINADA PARA FECHADURA, CAPA LISA EM HDF, ACABAMENTO EM PRIMER PARA PINTURA (INCLUI MARCO, ALIZARES E DOBRADICAS)</t>
  </si>
  <si>
    <t>KIT PORTA PRONTA DE MADEIRA, FOLHA LEVE (NBR 15930) DE 80 X 210 CM, E = *35* MM, COM MARCO EM ACO, NUCLEO COLMEIA, CAPA LISA EM HDF, ACABAMENTO MELAMINICO BRANCO (INCLUI MARCO, ALIZARES, DOBRADICAS E FECHADURA)</t>
  </si>
  <si>
    <t>KIT PORTA PRONTA DE MADEIRA, FOLHA LEVE (NBR 15930) DE 80 X 210 CM, E = 35 MM, NUCLEO COLMEIA, ESTRUTURA USINADA PARA FECHADURA, CAPA LISA EM HDF, ACABAMENTO EM PRIMER PARA PINTURA (INCLUI MARCO, ALIZARES E DOBRADICAS)</t>
  </si>
  <si>
    <t>KIT PORTA PRONTA DE MADEIRA, FOLHA LEVE (NBR 15930) DE 90 X 210 CM, E = *35* MM, COM MARCO EM ACO, NUCLEO COLMEIA, CAPA LISA EM HDF, ACABAMENTO MELAMINICO BRANCO (INCLUI MARCO, ALIZARES, DOBRADICAS E FECHADURA)</t>
  </si>
  <si>
    <t>KIT PORTA PRONTA DE MADEIRA, FOLHA LEVE (NBR 15930) DE 90 X 210 CM, E = 35 MM, NUCLEO COLMEIA, ESTRUTURA USINADA PARA FECHADURA, CAPA LISA EM HDF, ACABAMENTO EM PRIMER PARA PINTURA (INCLUI MARCO, ALIZARES E DOBRADICAS)</t>
  </si>
  <si>
    <t>KIT PORTA PRONTA DE MADEIRA, FOLHA MEDIA (NBR 15930) DE 60 X 210 CM, E = 35 MM, NUCLEO SARRAFEADO, ESTRUTURA USINADA PARA FECHADURA, CAPA LISA EM HDF, ACABAMENTO EM PRIMER PARA PINTURA (INCLUI MARCO, ALIZARES E DOBRADICAS)</t>
  </si>
  <si>
    <t>KIT PORTA PRONTA DE MADEIRA, FOLHA MEDIA (NBR 15930) DE 60 X 210 CM, E = 35 MM, NUCLEO SARRAFEADO, ESTRUTURA USINADA PARA FECHADURA, CAPA LISA EM HDF, ACABAMENTO MELAMINICO BRANCO (INCLUI MARCO, ALIZARES E DOBRADICAS)</t>
  </si>
  <si>
    <t>KIT PORTA PRONTA DE MADEIRA, FOLHA MEDIA (NBR 15930) DE 70 X 210 CM, E = 35 MM, NUCLEO SARRAFEADO, ESTRUTURA USINADA PARA FECHADURA, CAPA LISA EM HDF, ACABAMENTO EM PRIMER PARA PINTURA (INCLUI MARCO, ALIZARES E DOBRADICAS)</t>
  </si>
  <si>
    <t>KIT PORTA PRONTA DE MADEIRA, FOLHA MEDIA (NBR 15930) DE 70 X 210 CM, E = 35 MM, NUCLEO SARRAFEADO, ESTRUTURA USINADA PARA FECHADURA, CAPA LISA EM HDF, ACABAMENTO MELAMINICO BRANCO (INCLUI MARCO, ALIZARES E DOBRADICAS)</t>
  </si>
  <si>
    <t>KIT PORTA PRONTA DE MADEIRA, FOLHA MEDIA (NBR 15930) DE 80 X 210 CM, E = 35 MM, NUCLEO SARRAFEADO, ESTRUTURA USINADA PARA FECHADURA, CAPA LISA EM HDF, ACABAMENTO EM PRIMER PARA PINTURA (INCLUI MARCO, ALIZARES E DOBRADICAS)</t>
  </si>
  <si>
    <t>KIT PORTA PRONTA DE MADEIRA, FOLHA MEDIA (NBR 15930) DE 80 X 210 CM, E = 35 MM, NUCLEO SARRAFEADO, ESTRUTURA USINADA PARA FECHADURA, CAPA LISA EM HDF, ACABAMENTO MELAMINICO BRANCO (INCLUI MARCO, ALIZARES E DOBRADICAS)</t>
  </si>
  <si>
    <t>KIT PORTA PRONTA DE MADEIRA, FOLHA MEDIA (NBR 15930) DE 90 X 210 CM, E = 35 MM, NUCLEO SARRAFEADO, ESTRUTURA USINADA PARA FECHADURA, CAPA LISA EM HDF, ACABAMENTO EM PRIMER PARA PINTURA (INCLUI MARCO, ALIZARES E DOBRADICAS)</t>
  </si>
  <si>
    <t>KIT PORTA PRONTA DE MADEIRA, FOLHA MEDIA (NBR 15930) DE 90 X 210 CM, E = 35 MM, NUCLEO SARRAFEADO, ESTRUTURA USINADA PARA FECHADURA, CAPA LISA EM HDF, ACABAMENTO MELAMINICO BRANCO (INCLUI MARCO, ALIZARES E DOBRADICAS)</t>
  </si>
  <si>
    <t>KIT PORTA PRONTA DE MADEIRA, FOLHA PESADA (NBR 15930) DE 80 X 210 CM, E = 35 MM, NUCLEO SOLIDO, CAPA LISA EM HDF, ACABAMENTO MELAMINICO BRANCO (INCLUI MARCO, ALIZARES, DOBRADICAS E FECHADURA EXTERNA)</t>
  </si>
  <si>
    <t>KIT PORTA PRONTA DE MADEIRA, FOLHA PESADA (NBR 15930) DE 80 X 210 CM, E = 35 MM, NUCLEO SOLIDO, ESTRUTURA USINADA PARA FECHADURA, CAPA LISA EM HDF, ACABAMENTO EM LAMINADO NATURAL COM VERNIZ (INCLUI MARCO, ALIZARES E DOBRADICAS)</t>
  </si>
  <si>
    <t>KIT PORTA PRONTA DE MADEIRA, FOLHA PESADA (NBR 15930) DE 90 X 210 CM, E = 35 MM, NUCLEO SOLIDO, CAPA LISA EM HDF, ACABAMENTO MELAMINICO BRANCO (INCLUI MARCO, ALIZARES, DOBRADICAS E FECHADURA EXTERNA)</t>
  </si>
  <si>
    <t>KIT PORTA PRONTA DE MADEIRA, FOLHA PESADA (NBR 15930) DE 90 X 210 CM, E = 35 MM, NUCLEO SOLIDO, ESTRUTURA USINADA PARA FECHADURA, CAPA LISA EM HDF, ACABAMENTO EM LAMINADO NATURAL COM VERNIZ (INCLUI MARCO, ALIZARES E DOBRADICAS)</t>
  </si>
  <si>
    <t>LADRILHO HIDRAULICO, *20 x 20* CM, E= 2 CM, PADRAO COPACABANA, 2 CORES (PRETO E BRANCO)</t>
  </si>
  <si>
    <t>LADRILHO HIDRAULICO, *20 X 20* CM, E= 2 CM, DADOS, COR NATURAL</t>
  </si>
  <si>
    <t>LADRILHO HIDRAULICO, *20 X 20* CM, E= 2 CM, RAMPA, NATURAL</t>
  </si>
  <si>
    <t>LADRILHO HIDRAULICO, *20 X 20* CM, E= 2 CM, TATIL ALERTA OU DIRECIONAL, AMARELO</t>
  </si>
  <si>
    <t>LADRILHO HIDRAULICO, *30 X 30* CM, E= 2 CM, MILANO, NATURAL</t>
  </si>
  <si>
    <t>LAJE PRE-MOLDADA CONVENCIONAL (LAJOTAS + VIGOTAS) PARA FORRO, UNIDIRECIONAL, SOBRECARGA DE 100 KG/M2, VAO ATE 4,00 M (SEM COLOCACAO)</t>
  </si>
  <si>
    <t>LAJE PRE-MOLDADA CONVENCIONAL (LAJOTAS + VIGOTAS) PARA FORRO, UNIDIRECIONAL, SOBRECARGA DE 100 KG/M2, VAO ATE 4,50 M (SEM COLOCACAO)</t>
  </si>
  <si>
    <t>LAJE PRE-MOLDADA CONVENCIONAL (LAJOTAS + VIGOTAS) PARA FORRO, UNIDIRECIONAL, SOBRECARGA 100 KG/M2, VAO ATE 5,00 M (SEM COLOCACAO)</t>
  </si>
  <si>
    <t>LAJE PRE-MOLDADA CONVENCIONAL (LAJOTAS + VIGOTAS) PARA PISO, UNIDIRECIONAL, SOBRECARGA DE 200 KG/M2, VAO ATE 3,50 M (SEM COLOCACAO)</t>
  </si>
  <si>
    <t>LAJE PRE-MOLDADA CONVENCIONAL (LAJOTAS + VIGOTAS) PARA PISO, UNIDIRECIONAL, SOBRECARGA DE 200 KG/M2, VAO ATE 4,50 M (SEM COLOCACAO)</t>
  </si>
  <si>
    <t>LAJE PRE-MOLDADA CONVENCIONAL (LAJOTAS + VIGOTAS) PARA PISO, UNIDIRECIONAL, SOBRECARGA DE 200 KG/M2, VAO ATE 5,00 M (SEM COLOCACAO)</t>
  </si>
  <si>
    <t>LAJE PRE-MOLDADA CONVENCIONAL (LAJOTAS + VIGOTAS) PARA PISO, UNIDIRECIONAL, SOBRECARGA DE 350 KG/M2, VAO ATE 4,50 M (SEM COLOCACAO)</t>
  </si>
  <si>
    <t>LAJE PRE-MOLDADA CONVENCIONAL (LAJOTAS + VIGOTAS) PARA PISO, UNIDIRECIONAL, SOBRECARGA DE 350 KG/M2, VAO ATE 5,00 M (SEM COLOCACAO)</t>
  </si>
  <si>
    <t>LAJE PRE-MOLDADA CONVENCIONAL (LAJOTAS + VIGOTAS) PARA PISO, UNIDIRECIONAL, SOBRECARGA 350 KG/M2 VAO ATE 3,50 M (SEM COLOCACAO)</t>
  </si>
  <si>
    <t>LAJE PRE-MOLDADA DE TRANSICAO EXCENTRICA EM CONCRETO ARMADO, DN 1200 MM, FURO CIRCULAR DN 600 MM, ESPESSURA 12 CM</t>
  </si>
  <si>
    <t>LAJE PRE-MOLDADA DE TRANSICAO EXCENTRICA EM CONCRETO ARMADO, DN 1500 MM, FURO CIRCULAR DN 530 MM, ESPESSURA 15 CM</t>
  </si>
  <si>
    <t>LAJE PRE-MOLDADA TRELICADA (LAJOTAS + VIGOTAS) PARA FORRO, UNIDIRECIONAL, SOBRECARGA DE 100 KG/M2, VAO ATE 6,00 M (SEM COLOCACAO)</t>
  </si>
  <si>
    <t>LAJE PRE-MOLDADA TRELICADA (LAJOTAS + VIGOTAS) PARA PISO, UNIDIRECIONAL, SOBRECARGA DE 200 KG/M2, VAO ATE 6,00 M (SEM COLOCACAO)</t>
  </si>
  <si>
    <t>LAMBRI EM ALUMINIO, DE APROXIMADAMENTE 0,6 KG/M, COM APROXIMADAMENTE 168,0 MM DE LARGURA, 6,0 MM DE ALTURA E 6,0 M DE EXTENSAO</t>
  </si>
  <si>
    <t>LAMPADA DE LUZ MISTA 160 W, BASE E27 (220 V)</t>
  </si>
  <si>
    <t>LAMPADA DE LUZ MISTA 250 W, BASE E27 (220 V)</t>
  </si>
  <si>
    <t>LAMPADA DE LUZ MISTA 500 W, BASE E40 (220 V)</t>
  </si>
  <si>
    <t>LAMPADA FLUORESCENTE COMPACTA BRANCA 135 W, BASE E40 (127/220 V)</t>
  </si>
  <si>
    <t>LAMPADA FLUORESCENTE COMPACTA 2U BRANCA 15 W, BASE E27 (127/220 V)</t>
  </si>
  <si>
    <t>LAMPADA FLUORESCENTE COMPACTA 2U/3U BRANCA 9/10 W, BASE E27 (127/220 V)</t>
  </si>
  <si>
    <t>LAMPADA FLUORESCENTE COMPACTA 3U BRANCA 20 W, BASE E27 (127/220 V)</t>
  </si>
  <si>
    <t>LAMPADA FLUORESCENTE ESPIRAL BRANCA 45 W, BASE E27 (127/220 V)</t>
  </si>
  <si>
    <t>LAMPADA FLUORESCENTE ESPIRAL BRANCA 65 W, BASE E27 (127/220 V)</t>
  </si>
  <si>
    <t>LAMPADA FLUORESCENTE TUBULAR T10, DE 20 OU 40 W, BIVOLT</t>
  </si>
  <si>
    <t>LAMPADA FLUORESCENTE TUBULAR T5 DE 14 W, BIVOLT</t>
  </si>
  <si>
    <t>LAMPADA FLUORESCENTE TUBULAR T8 DE 16/18 W, BIVOLT</t>
  </si>
  <si>
    <t>LAMPADA FLUORESCENTE TUBULAR T8 DE 32/36 W, BIVOLT</t>
  </si>
  <si>
    <t>LAMPADA LED TIPO DICROICA BIVOLT, LUZ BRANCA, 5 W (BASE GU10)</t>
  </si>
  <si>
    <t>LAMPADA LED TUBULAR BIVOLT 18/20 W, BASE G13</t>
  </si>
  <si>
    <t>LAMPADA LED TUBULAR BIVOLT 9/10 W, BASE G13</t>
  </si>
  <si>
    <t>LAMPADA LED 10 W BIVOLT BRANCA, FORMATO TRADICIONAL (BASE E27)</t>
  </si>
  <si>
    <t>LAMPADA LED 6 W BIVOLT BRANCA, FORMATO TRADICIONAL (BASE E27)</t>
  </si>
  <si>
    <t>LAMPADA VAPOR DE SODIO OVOIDE 150 W (BASE E40)</t>
  </si>
  <si>
    <t>LAMPADA VAPOR DE SODIO OVOIDE 250 W (BASE E40)</t>
  </si>
  <si>
    <t>LAMPADA VAPOR DE SODIO OVOIDE 400 W (BASE E40)</t>
  </si>
  <si>
    <t>LAMPADA VAPOR MERCURIO 125 W (BASE E27)</t>
  </si>
  <si>
    <t>LAMPADA VAPOR MERCURIO 250 W (BASE E40)</t>
  </si>
  <si>
    <t>LAMPADA VAPOR MERCURIO 400 W (BASE E40)</t>
  </si>
  <si>
    <t>LAMPADA VAPOR METALICO OVOIDE 150 W, BASE E27/E40</t>
  </si>
  <si>
    <t>LAMPADA VAPOR METALICO TUBULAR 400 W (BASE E40)</t>
  </si>
  <si>
    <t>LAVADORA DE ALTA PRESSAO (LAVA-JATO) PARA AGUA FRIA, PRESSAO DE OPERACAO ENTRE 1400 E 1900 LIB/POL2, VAZAO MAXIMA ENTRE  400 E 700 L/H</t>
  </si>
  <si>
    <t>LAVATORIO DE CANTO LOUCA BRANCA SUSPENSO *40 X 30* CM</t>
  </si>
  <si>
    <t>LAVATORIO LOUCA BRANCA COM COLUNA *44 X 35,5* CM</t>
  </si>
  <si>
    <t>LAVATORIO LOUCA BRANCA COM COLUNA *54 X 44* CM</t>
  </si>
  <si>
    <t>LAVATORIO LOUCA BRANCA SUSPENSO *40 X 30* CM</t>
  </si>
  <si>
    <t>LAVATORIO LOUCA COR COM COLUNA *54 X 44* CM</t>
  </si>
  <si>
    <t>LAVATORIO LOUCA COR SUSPENSO *40 X 30* CM</t>
  </si>
  <si>
    <t>LAVATORIO/CUBA DE EMBUTIR OVAL LOUCA BRANCA SEM LADRAO *50 X 35* CM</t>
  </si>
  <si>
    <t>LAVATORIO/CUBA DE EMBUTIR OVAL LOUCA COR SEM LADRAO *50 X 35* CM</t>
  </si>
  <si>
    <t>LAVATORIO/CUBA DE SOBREPOR OVAL PEQUENA LOUCA BRANCA SEM LADRAO *31 X 44*</t>
  </si>
  <si>
    <t>LAVATORIO/CUBA DE SOBREPOR RETANGULAR LOUCA BRANCA COM LADRAO *52 X 45* CM</t>
  </si>
  <si>
    <t>LAVATORIO/CUBA DE SOBREPOR RETANGULAR LOUCA COR COM LADRAO *52 X 45* CM</t>
  </si>
  <si>
    <t>LEITURISTA OU CADASTRISTA DE REDES DE AGUA E ESGOTO</t>
  </si>
  <si>
    <t>LEITURISTA OU CADASTRISTA DE REDES DE AGUA E ESGOTO (MENSALISTA)</t>
  </si>
  <si>
    <t>LETRA ACO INOX (AISI 304), CHAPA NUM. 22, RECORTADO, H= 20 CM (SEM RELEVO)</t>
  </si>
  <si>
    <t>LEVANTADOR DE JANELA GUILHOTINA, EM LATAO CROMADO</t>
  </si>
  <si>
    <t>LIMPADORA A SUCCAO, TANQUE 12000 L, BASCULAMENTO HIDRAULICO, BOMBA 12 M3/MIN 95% VACUO (INCLUI MONTAGEM, NAO INCLUI CAMINHAO)</t>
  </si>
  <si>
    <t>LIMPADORA DE SUCCAO TANQUE 7000 L, BOMBA 12 M3/MIN 95% VACUO (INCLUI MONTAGEM, NAO INCLUI CAMINHAO)</t>
  </si>
  <si>
    <t>LIMPADORA DE SUCCAO, TANQUE 11000 L, BOMBA 340 M3/MIN (INCLUI MONTAGEM, NAO INCLUI CAMINHAO)</t>
  </si>
  <si>
    <t>LIMPADORA DE SUCCAO, TANQUE 5500 L, BOMBA 60M3/MIN, VACUO 500 MBAR (INCLUI MONTAGEM, NAO INCLUI CAMINHAO)</t>
  </si>
  <si>
    <t>LINHA DE PEDREIRO LISA 100 M</t>
  </si>
  <si>
    <t>LIQUIDO PARA BRILHO PAREDES INTERNAS</t>
  </si>
  <si>
    <t>LIXA D'AGUA EM FOLHA, GRAO 100</t>
  </si>
  <si>
    <t>LIXA EM FOLHA PARA FERRO, NUMERO 150</t>
  </si>
  <si>
    <t>LIXA EM FOLHA PARA PAREDE OU MADEIRA, NUMERO 120 (COR VERMELHA)</t>
  </si>
  <si>
    <t>LIXADEIRA ELETRICA ANGULAR PARA CONCRETO, POTENCIA 1.400 W, PRATO DIAMANTADO DE 5''</t>
  </si>
  <si>
    <t>LIXADEIRA ELETRICA ANGULAR, PARA DISCO DE 7 " (180 MM), POTENCIA DE 2.200 W, *5.000* RPM, 220 V</t>
  </si>
  <si>
    <t>LIXEIRA DUPLA, COM CAPACIDADE VOLUMETRICA DE 60L*, FABRICADA EM TUBO DE ACO CARBONO, CESTOS EM CHAPA DE ACO E PINTURA NO PROCESSO ELETROSTATICO - PARA ACADEMIA AO AR LIVRE / ACADEMIA DA TERCEIRA IDADE - ATI</t>
  </si>
  <si>
    <t>LOCACAO DE ANDAIME METALICO TIPO FACHADEIRO, LARGURA DE 1,20 M, ALTURA POR PECA DE 2,0 M, INCLUINDO SAPATAS E ITENS NECESSARIOS A INSTALACAO</t>
  </si>
  <si>
    <t>LOCACAO DE ANDAIME METALICO TUBULAR DE ENCAIXE, TIPO DE TORRE, COM LARGURA DE 1 ATE 1,5 M E ALTURA DE *1,00* M</t>
  </si>
  <si>
    <t>LOCACAO DE ANDAIME SUSPENSO OU BALANCIM MANUAL, CAPACIDADE DE CARGA TOTAL DE APROXIMADAMENTE 250 KG/M2, PLATAFORMA DE 1,50 M X 0,80 M (C X L), CABO DE 45 M</t>
  </si>
  <si>
    <t>LOCACAO DE APRUMADOR METALICO DE PILAR, COM ALTURA E ANGULO REGULAVEIS, EXTENSAO DE *1,50* A *2,80* M</t>
  </si>
  <si>
    <t>LOCACAO DE BARRA DE ANCORAGEM DE 0,80 A 1,20 M DE EXTENSAO, COM ROSCA DE 5/8", INCLUINDO PORCA E FLANGE</t>
  </si>
  <si>
    <t>LOCACAO DE BOMBA MANUAL PARA TESTE HIDROSTATICO ATE 30 BAR</t>
  </si>
  <si>
    <t>LOCACAO DE BOMBA MANUAL PARA TESTE HIDROSTATICO ATE 60 BAR</t>
  </si>
  <si>
    <t>LOCACAO DE BOMBA SUBMERSIVEL PARA DRENAGEM E ESGOTAMENTO, MOTOR ELETRICO TRIFASICO, POTENCIA DE 1 CV, DIAMETRO DE RECALQUE DE 2". FAIXA DE OPERACAO: Q=25 M3/H (+ OU - 1 M3/H) E AMT=2 M; Q=12 M3/H (+ OU - 2 M3/H) E AMT = 12 M (+ OU - 2 M)</t>
  </si>
  <si>
    <t>LOCACAO DE BOMBA SUBMERSIVEL PARA DRENAGEM E ESGOTAMENTO, MOTOR ELETRICO TRIFASICO, POTENCIA DE 2 CV, DIAMETRO DE RECALQUE DE 2". FAIXA DE OPERACAO: Q=35 M3/H (+ OU - 3 M3/H) E AMT=2 M; Q=13 M3/H (+ OU - 3 M3/H) E AMT = 17 M (+ OU - 3 M)</t>
  </si>
  <si>
    <t>LOCACAO DE BOMBA SUBMERSIVEL PARA DRENAGEM E ESGOTAMENTO, MOTOR ELETRICO TRIFASICO, POTENCIA DE 2 CV, DIAMETRO DE RECALQUE DE 3". FAIXA DE OPERACAO: Q=70 M3/H (+ OU - 2 M3/H) E AMT=2 M; Q=9,5 M3/H (+ OU - 3,5 M3/H) E AMT = 10 M (+ OU - 2 M)</t>
  </si>
  <si>
    <t>LOCACAO DE BOMBA SUBMERSIVEL PARA DRENAGEM E ESGOTAMENTO, MOTOR ELETRICO TRIFASICO, POTENCIA DE 3 CV, DIAMETRO DE RECALQUE DE 2". FAIXA DE OPERACAO: Q=84 M3/H (+ OU - 2,5 M3/H) E AMT=2 M; Q=9,1 M3/H (+ OU - 2 M3/H) E AMT = 12 M (+ OU - 2 M)</t>
  </si>
  <si>
    <t>LOCACAO DE BOMBA SUBMERSIVEL PARA DRENAGEM E ESGOTAMENTO, MOTOR ELETRICO TRIFASICO, POTENCIA DE 4 CV, DIAMETRO DE RECALQUE DE 3". FAIXA DE OPERACAO: Q=60 M3/H (+ OU - 1 M3/H) E AMT=2 M; Q=11 M3/H (+ OU - 1 M3/H) E AMT = 23 M (+ OU - 1 M)</t>
  </si>
  <si>
    <t>LOCACAO DE CONTAINER 2,30  X  6,00 M, ALT. 2,50 M, COM 1 SANITARIO, PARA ESCRITORIO, COMPLETO, SEM DIVISORIAS INTERNAS</t>
  </si>
  <si>
    <t>LOCACAO DE CONTAINER 2,30  X  6,00 M, ALT. 2,50 M, PARA ESCRITORIO, SEM DIVISORIAS INTERNAS E SEM SANITARIO</t>
  </si>
  <si>
    <t>LOCACAO DE CONTAINER 2,30 X 4,30 M, ALT. 2,50 M, P/ SANITARIO, C/ 5 BACIAS, 1 LAVATORIO E 4 MICTORIOS</t>
  </si>
  <si>
    <t>LOCACAO DE CONTAINER 2,30 X 4,30 M, ALT. 2,50 M, PARA SANITARIO, COM 3 BACIAS, 4 CHUVEIROS, 1 LAVATORIO E 1 MICTORIO</t>
  </si>
  <si>
    <t>LOCACAO DE CONTAINER 2,30 X 6,00 M, ALT. 2,50 M,  PARA SANITARIO,  COM 4 BACIAS, 8 CHUVEIROS,1 LAVATORIO E 1 MICTORIO</t>
  </si>
  <si>
    <t>LOCACAO DE CRUZETA PARA ESCORA METALICA</t>
  </si>
  <si>
    <t>LOCACAO DE ELEVADOR DE CARGA A CABO, CABINE SEMI FECHADA *2,0* X *1,5* X *2,0* M, CAPACIDADE DE CARGA 1000 KG, TORRE  *2,38* X *2,21* X 15 M, GUINCHO DE EMBREAGEM, FREIO DE SEGURANCA, LIMITADOR DE VELOCIDADE E CANCELA</t>
  </si>
  <si>
    <t>LOCACAO DE ELEVADOR DE CREMALHEIRA CABINE SIMPLES FECHADA 1,5 X 2,5 X 2,35 M (UMA POR TORRE), CAPACIDADE DE CARGA *1200* KG (15 PESSOAS), TORRE DE 24 M (16 MODULOS), 16 PARADAS, FREIO DE SEGURANCA, LIMITADOR DE CARGA</t>
  </si>
  <si>
    <t>LOCACAO DE ESCORA METALICA TELESCOPICA, COM ALTURA REGULAVEL DE *1,80* A *3,20* M, COM CAPACIDADE DE CARGA DE NO MINIMO 1000 KGF (10 KN), INCLUSO TRIPE E FORCADO</t>
  </si>
  <si>
    <t>LOCACAO DE FORMA PLASTICA PARA LAJE NERVURADA, DIMENSOES *60* X *60* X *16* CM</t>
  </si>
  <si>
    <t>LOCACAO DE NIVEL OPTICO, COM PRECISAO DE 0,7 MM, AUMENTO DE 32X</t>
  </si>
  <si>
    <t>LOCACAO DE PERFURATRIZ PNEUMATICA DE PESO MEDIO, * 18 * KG, PARA ROCHA</t>
  </si>
  <si>
    <t>LOCACAO DE PERFURATRIZ PNEUMATICA DE PESO MEDIO, * 24 * KG, PARA ROCHA</t>
  </si>
  <si>
    <t>LOCACAO DE TALHA ELETRICA 3 T, VELOCIDADE  2,1 M / MIN, POTENCIA 1,3 KW</t>
  </si>
  <si>
    <t>LOCACAO DE TALHA MANUAL DE CORRENTE, CAPACIDADE DE 2 T COM ELEVACAO DE 3 M</t>
  </si>
  <si>
    <t>LOCACAO DE TEODOLITO ELETRONICO, PRECISAO ANGULAR DE 5 A 7 SEGUNDOS, INCLUINDO TRIPE</t>
  </si>
  <si>
    <t>LOCACAO DE TORRE METALICA COMPLETA PARA UMA CARGA DE 8 TF (80 KN)  E PE DIREITO DE 6 M, INCLUINDO MODULOS , DIAGONAIS, SAPATAS E FORCADOS</t>
  </si>
  <si>
    <t>LOCACAO DE VIGA SANDUICHE METALICA VAZADA PARA TRAVAMENTO DE PILARES, ALTURA DE *8* CM, LARGURA DE *6* CM E EXTENSAO DE 2 M</t>
  </si>
  <si>
    <t>LONA PLASTICA PRETA, E= 150 MICRA</t>
  </si>
  <si>
    <t>LUMINARIA ABERTA P/ ILUMINACAO PUBLICA, TIPO X-57 PETERCO OU EQUIV</t>
  </si>
  <si>
    <t>LUMINARIA ARANDELA TIPO MEIA-LUA COM VIDRO FOSCO *30 X 15* CM, PARA 1 LAMPADA, BASE E27, POTENCIA MAXIMA 40/60 W (NAO INCLUI LAMPADA)</t>
  </si>
  <si>
    <t>LUMINARIA DE EMBUTIR EM CHAPA DE ACO PARA 2 LAMPADAS FLUORESCENTES DE 14 W COM REFLETOR E ALETAS EM ALUMINIO, COMPLETA (INCLUI REATOR E LAMPADAS)</t>
  </si>
  <si>
    <t>LUMINARIA DE EMBUTIR EM CHAPA DE ACO PARA 4 LAMPADAS FLUORESCENTES DE 14 W *60 X 60 CM* ALETADA (NAO INCLUI REATOR E LAMPADAS)</t>
  </si>
  <si>
    <t>LUMINARIA DE EMERGENCIA 30 LEDS, POTENCIA 2 W, BATERIA DE LITIO, AUTONOMIA DE 6 HORAS</t>
  </si>
  <si>
    <t>LUMINARIA DE LED PARA ILUMINACAO PUBLICA, DE 138 W ATE 180 W, INVOLUCRO EM ALUMINIO OU ACO INOX</t>
  </si>
  <si>
    <t>LUMINARIA DE LED PARA ILUMINACAO PUBLICA, DE 181 W ATE 239 W, INVOLUCRO EM ALUMINIO OU ACO INOX</t>
  </si>
  <si>
    <t>LUMINARIA DE LED PARA ILUMINACAO PUBLICA, DE 240 W ATE 350 W, INVOLUCRO EM ALUMINIO OU ACO INOX</t>
  </si>
  <si>
    <t>LUMINARIA DE LED PARA ILUMINACAO PUBLICA, DE 33 W ATE 50 W, INVOLUCRO EM ALUMINIO OU ACO INOX</t>
  </si>
  <si>
    <t>LUMINARIA DE LED PARA ILUMINACAO PUBLICA, DE 51 W ATE 67 W, INVOLUCRO EM ALUMINIO OU ACO INOX</t>
  </si>
  <si>
    <t>LUMINARIA DE LED PARA ILUMINACAO PUBLICA, DE 68 W ATE 97 W, INVOLUCRO EM ALUMINIO OU ACO INOX</t>
  </si>
  <si>
    <t>LUMINARIA DE LED PARA ILUMINACAO PUBLICA, DE 98 W ATE 137 W, INVOLUCRO EM ALUMINIO OU ACO INOX</t>
  </si>
  <si>
    <t>LUMINARIA DE SOBREPOR EM CHAPA DE ACO COM ALETAS PLASTICAS, PARA 1 LAMPADA, BASE E27, POTENCIA MAXIMA 40/60 W (NAO INCLUI LAMPADA)</t>
  </si>
  <si>
    <t>LUMINARIA DE SOBREPOR EM CHAPA DE ACO COM ALETAS PLASTICAS, PARA 2 LAMPADAS, BASE E27, POTENCIA MAXIMA 40/60 W (NAO INCLUI LAMPADAS)</t>
  </si>
  <si>
    <t>LUMINARIA DE SOBREPOR EM CHAPA DE ACO PARA 1 LAMPADA FLUORESCENTE DE *18* W, ALETADA, COMPLETA (LAMPADA E REATOR INCLUSOS)</t>
  </si>
  <si>
    <t>LUMINARIA DE SOBREPOR EM CHAPA DE ACO PARA 1 LAMPADA FLUORESCENTE DE *18* W, PERFIL COMERCIAL (NAO INCLUI REATOR E LAMPADA)</t>
  </si>
  <si>
    <t>LUMINARIA DE SOBREPOR EM CHAPA DE ACO PARA 1 LAMPADA FLUORESCENTE DE *36* W, ALETADA, COMPLETA (LAMPADA E REATOR INCLUSOS)</t>
  </si>
  <si>
    <t>LUMINARIA DE SOBREPOR EM CHAPA DE ACO PARA 1 LAMPADA FLUORESCENTE DE *36* W, PERFIL COMERCIAL (NAO INCLUI REATOR E LAMPADA)</t>
  </si>
  <si>
    <t>LUMINARIA DE SOBREPOR EM CHAPA DE ACO PARA 2 LAMPADAS FLUORESCENTES DE *18* W, ALETADA, COMPLETA (LAMPADAS E REATOR INCLUSOS)</t>
  </si>
  <si>
    <t>LUMINARIA DE SOBREPOR EM CHAPA DE ACO PARA 2 LAMPADAS FLUORESCENTES DE *18* W, PERFIL COMERCIAL (NAO INCLUI REATOR E LAMPADAS)</t>
  </si>
  <si>
    <t>LUMINARIA DE SOBREPOR EM CHAPA DE ACO PARA 2 LAMPADAS FLUORESCENTES DE *36* W, ALETADA, COMPLETA (LAMPADAS E REATOR INCLUSOS)</t>
  </si>
  <si>
    <t>LUMINARIA DE SOBREPOR EM CHAPA DE ACO PARA 2 LAMPADAS FLUORESCENTES DE *36* W, PERFIL COMERCIAL (NAO INCLUI REATOR E LAMPADAS)</t>
  </si>
  <si>
    <t>LUMINARIA DE TETO PLAFON/PLAFONIER EM PLASTICO COM BASE E27, POTENCIA MAXIMA 60 W (NAO INCLUI LAMPADA)</t>
  </si>
  <si>
    <t>LUMINARIA DUPLA P/SINALIZACAO, TIPO WETZEL AS-2/110 OU EQUIV</t>
  </si>
  <si>
    <t>LUMINARIA HERMETICA IP-65 PARA 2 DUAS LAMPADAS DE 14/16/18/20 W (NAO INCLUI REATOR E LAMPADAS)</t>
  </si>
  <si>
    <t>LUMINARIA HERMETICA IP-65 PARA 2 DUAS LAMPADAS DE 28/32/36/40 W (NAO INCLUI REATOR E LAMPADAS)</t>
  </si>
  <si>
    <t>LUMINARIA LED PLAFON REDONDO DE SOBREPOR BIVOLT 12/13 W,  D = *17* CM</t>
  </si>
  <si>
    <t>LUMINARIA LED REFLETOR RETANGULAR BIVOLT, LUZ BRANCA, 10 W</t>
  </si>
  <si>
    <t>LUMINARIA LED REFLETOR RETANGULAR BIVOLT, LUZ BRANCA, 30 W</t>
  </si>
  <si>
    <t>LUMINARIA LED REFLETOR RETANGULAR BIVOLT, LUZ BRANCA, 50 W</t>
  </si>
  <si>
    <t>LUMINARIA PLAFON REDONDO COM VIDRO FOSCO DIAMETRO *25* CM, PARA 1 LAMPADA, BASE E27, POTENCIA MAXIMA 40/60 W (NAO INCLUI LAMPADA)</t>
  </si>
  <si>
    <t>LUMINARIA PLAFON REDONDO COM VIDRO FOSCO DIAMETRO *30* CM, PARA 2 LAMPADAS, BASE E27, POTENCIA MAXIMA 40/60 W (NAO INCLUI LAMPADAS)</t>
  </si>
  <si>
    <t>LUMINARIA PROVA DE TEMPO PETERCO Y.31/1</t>
  </si>
  <si>
    <t>LUMINARIA SOLAR LED EXTERNA, TIPO ARANDELA DE PAREDE, EM ALUMINIO, 16 LEDS, LUZ BRANCA, *180* LUMENS, CAPACIDADE DE ILUMINACAO ATE 36 H, RETANGULAR, *13 X 9 X 7* (C X L X A), COM SENSOR DE MOVIMENTO / PRESENCA, BATERIA RECARREGAVEL COM LUZ SOLAR, RESISTENTE AO CALOR, A PROVA DE AGUA E POEIRA/ IMPERMEAVEL, IP65</t>
  </si>
  <si>
    <t>LUMINARIA SPOT DE SOBREPOR EM ALUMINIO COM ALETA PLASTICA PARA 1 LAMPADA, BASE E27, POTENCIA MAXIMA 40/60 W (NAO INCLUI LAMPADA)</t>
  </si>
  <si>
    <t>LUMINARIA SPOT DE SOBREPOR EM ALUMINIO COM ALETA PLASTICA PARA 2 LAMPADAS, BASE E27, POTENCIA MAXIMA 40/60 W (NAO INCLUI LAMPADA)</t>
  </si>
  <si>
    <t>LUMINARIA TIPO TARTARUGA A PROVA DE TEMPO, GASES, VAPOR E PO, EM ALUMINIO, COM GRADE, BASE E27, POTENCIA MAXIMA 100 W - REF Y 25/1 (NAO INCLUI LAMPADA)</t>
  </si>
  <si>
    <t>LUMINARIA TIPO TARTARUGA PARA AREA EXTERNA EM ALUMINIO, COM GRADE, PARA 1 LAMPADA, BASE E27, POTENCIA MAXIMA 40/60 W (NAO INCLUI LAMPADA)</t>
  </si>
  <si>
    <t>LUVA CPVC, SOLDAVEL, 15 MM, PARA AGUA QUENTE PREDIAL</t>
  </si>
  <si>
    <t>LUVA CPVC, SOLDAVEL, 22 MM, PARA AGUA QUENTE PREDIAL</t>
  </si>
  <si>
    <t>LUVA CPVC, SOLDAVEL, 28 MM, PARA AGUA QUENTE PREDIAL</t>
  </si>
  <si>
    <t>LUVA CPVC, SOLDAVEL, 35 MM, PARA AGUA QUENTE PREDIAL</t>
  </si>
  <si>
    <t>LUVA CPVC, SOLDAVEL, 42 MM, PARA AGUA QUENTE PREDIAL</t>
  </si>
  <si>
    <t>LUVA CPVC, SOLDAVEL, 54 MM, PARA AGUA QUENTE PREDIAL</t>
  </si>
  <si>
    <t>LUVA CPVC, SOLDAVEL, 73 MM, PARA AGUA QUENTE PREDIAL</t>
  </si>
  <si>
    <t>LUVA CPVC, SOLDAVEL, 89 MM, PARA AGUA QUENTE PREDIAL</t>
  </si>
  <si>
    <t>LUVA DE BORRACHA ISOLANTE PARA ALTA TENSAO, RESISTENTE A OZONIO, TENSAO DE ENSAIO 2,5 KV (PAR)</t>
  </si>
  <si>
    <t>LUVA DE COBRE (REF 600) SEM ANEL DE SOLDA, BOLSA X BOLSA, 104 MM</t>
  </si>
  <si>
    <t>LUVA DE COBRE (REF 600) SEM ANEL DE SOLDA, BOLSA X BOLSA, 15 MM</t>
  </si>
  <si>
    <t>LUVA DE COBRE (REF 600) SEM ANEL DE SOLDA, BOLSA X BOLSA, 22 MM</t>
  </si>
  <si>
    <t>LUVA DE COBRE (REF 600) SEM ANEL DE SOLDA, BOLSA X BOLSA, 28 MM</t>
  </si>
  <si>
    <t>LUVA DE COBRE (REF 600) SEM ANEL DE SOLDA, BOLSA X BOLSA, 35 MM</t>
  </si>
  <si>
    <t>LUVA DE COBRE (REF 600) SEM ANEL DE SOLDA, BOLSA X BOLSA, 42 MM</t>
  </si>
  <si>
    <t>LUVA DE COBRE (REF 600) SEM ANEL DE SOLDA, BOLSA X BOLSA, 54 MM</t>
  </si>
  <si>
    <t>LUVA DE COBRE (REF 600) SEM ANEL DE SOLDA, BOLSA X BOLSA, 66 MM</t>
  </si>
  <si>
    <t>LUVA DE COBRE (REF 600) SEM ANEL DE SOLDA, BOLSA X BOLSA, 79 MM</t>
  </si>
  <si>
    <t>LUVA DE CORRER DEFOFO, PVC, JE, DN 100 MM</t>
  </si>
  <si>
    <t>LUVA DE CORRER DEFOFO, PVC, JE, DN 150 MM</t>
  </si>
  <si>
    <t>LUVA DE CORRER DEFOFO, PVC, JE, DN 200 MM</t>
  </si>
  <si>
    <t>LUVA DE CORRER DEFOFO, PVC, JE, DN 250 MM</t>
  </si>
  <si>
    <t>LUVA DE CORRER DEFOFO, PVC, JE, DN 300 MM</t>
  </si>
  <si>
    <t>LUVA DE CORRER PARA TUBO ROSCAVEL, PVC, 1 1/2", PARA AGUA FRIA PREDIAL</t>
  </si>
  <si>
    <t>LUVA DE CORRER PARA TUBO ROSCAVEL, PVC, 1/2", PARA AGUA FRIA PREDIAL</t>
  </si>
  <si>
    <t>LUVA DE CORRER PARA TUBO ROSCAVEL, PVC, 3/4", PARA AGUA FRIA PREDIAL</t>
  </si>
  <si>
    <t>LUVA DE CORRER PARA TUBO SOLDAVEL, PVC, 20 MM, PARA AGUA FRIA PREDIAL</t>
  </si>
  <si>
    <t>LUVA DE CORRER PARA TUBO SOLDAVEL, PVC, 25 MM, PARA AGUA FRIA PREDIAL</t>
  </si>
  <si>
    <t>LUVA DE CORRER PARA TUBO SOLDAVEL, PVC, 32 MM, PARA AGUA FRIA PREDIAL</t>
  </si>
  <si>
    <t>LUVA DE CORRER PARA TUBO SOLDAVEL, PVC, 50 MM, PARA AGUA FRIA PREDIAL</t>
  </si>
  <si>
    <t>LUVA DE CORRER PARA TUBO SOLDAVEL, PVC, 60 MM, PARA AGUA FRIA PREDIAL</t>
  </si>
  <si>
    <t>LUVA DE CORRER PVC, JE, DN 100 MM, PARA REDE COLETORA DE ESGOTO (NBR 10569)</t>
  </si>
  <si>
    <t>LUVA DE CORRER PVC, JE, DN 150 MM, PARA REDE COLETORA DE ESGOTO (NBR 10569)</t>
  </si>
  <si>
    <t>LUVA DE CORRER PVC, JE, DN 200 MM, PARA REDE COLETORA DE ESGOTO (NBR 10569)</t>
  </si>
  <si>
    <t>LUVA DE CORRER PVC, JE, DN 250 MM, PARA REDE COLETORA DE ESGOTO (NBR 10569)</t>
  </si>
  <si>
    <t>LUVA DE CORRER PVC, JE, DN 300 MM, PARA REDE COLETORA DE ESGOTO (NBR 10569)</t>
  </si>
  <si>
    <t>LUVA DE CORRER, CPVC, SOLDAVEL, 15 MM, PARA AGUA QUENTE PREDIAL</t>
  </si>
  <si>
    <t>LUVA DE CORRER, CPVC, SOLDAVEL, 22 MM, PARA AGUA QUENTE PREDIAL</t>
  </si>
  <si>
    <t>LUVA DE CORRER, CPVC, SOLDAVEL, 28 MM, PARA AGUA QUENTE PREDIAL</t>
  </si>
  <si>
    <t>LUVA DE CORRER, CPVC, SOLDAVEL, 35 MM, PARA AGUA QUENTE PREDIAL</t>
  </si>
  <si>
    <t>LUVA DE CORRER, CPVC, SOLDAVEL, 42 MM, PARA AGUA QUENTE PREDIAL</t>
  </si>
  <si>
    <t>LUVA DE CORRER, PVC PBA, JE, DN 100 / DE 110 MM, PARA REDE AGUA (NBR 10351)</t>
  </si>
  <si>
    <t>LUVA DE CORRER, PVC PBA, JE, DN 50 / DE 60 MM, PARA REDE AGUA (NBR 10351)</t>
  </si>
  <si>
    <t>LUVA DE CORRER, PVC PBA, JE, DN 75 / DE 85 MM, PARA REDE AGUA (NBR 10351)</t>
  </si>
  <si>
    <t>LUVA DE CORRER, PVC SERIE REFORCADA - R, 100 MM, PARA ESGOTO PREDIAL</t>
  </si>
  <si>
    <t>LUVA DE CORRER, PVC SERIE REFORCADA - R, 150 MM, PARA ESGOTO PREDIAL</t>
  </si>
  <si>
    <t>LUVA DE CORRER, PVC SERIE REFORCADA - R, 75 MM, PARA ESGOTO PREDIAL</t>
  </si>
  <si>
    <t>LUVA DE CORRER, PVC, DN 100 MM, PARA ESGOTO PREDIAL</t>
  </si>
  <si>
    <t>LUVA DE CORRER, PVC, DN 50 MM, PARA ESGOTO PREDIAL</t>
  </si>
  <si>
    <t>LUVA DE CORRER, PVC, DN 75 MM, PARA ESGOTO PREDIAL</t>
  </si>
  <si>
    <t>LUVA DE FERRO GALVANIZADO, COM ROSCA BSP MACHO/FEMEA, DE 3/4"</t>
  </si>
  <si>
    <t>LUVA DE FERRO GALVANIZADO, COM ROSCA BSP, DE 1 1/2"</t>
  </si>
  <si>
    <t>LUVA DE FERRO GALVANIZADO, COM ROSCA BSP, DE 1 1/4"</t>
  </si>
  <si>
    <t>LUVA DE FERRO GALVANIZADO, COM ROSCA BSP, DE 1/2"</t>
  </si>
  <si>
    <t>LUVA DE FERRO GALVANIZADO, COM ROSCA BSP, DE 1"</t>
  </si>
  <si>
    <t>LUVA DE FERRO GALVANIZADO, COM ROSCA BSP, DE 2 1/2"</t>
  </si>
  <si>
    <t>LUVA DE FERRO GALVANIZADO, COM ROSCA BSP, DE 2"</t>
  </si>
  <si>
    <t>LUVA DE FERRO GALVANIZADO, COM ROSCA BSP, DE 3/4"</t>
  </si>
  <si>
    <t>LUVA DE FERRO GALVANIZADO, COM ROSCA BSP, DE 3"</t>
  </si>
  <si>
    <t>LUVA DE FERRO GALVANIZADO, COM ROSCA BSP, DE 4"</t>
  </si>
  <si>
    <t>LUVA DE FERRO GALVANIZADO, COM ROSCA BSP, DE 5"</t>
  </si>
  <si>
    <t>LUVA DE FERRO GALVANIZADO, COM ROSCA BSP, DE 6"</t>
  </si>
  <si>
    <t>LUVA DE PRESSAO, EM PVC, DE 20 MM, PARA ELETRODUTO FLEXIVEL</t>
  </si>
  <si>
    <t>LUVA DE PRESSAO, EM PVC, DE 25 MM, PARA ELETRODUTO FLEXIVEL</t>
  </si>
  <si>
    <t>LUVA DE PRESSAO, EM PVC, DE 32 MM, PARA ELETRODUTO FLEXIVEL</t>
  </si>
  <si>
    <t>LUVA DE REDUCAO DE FERRO GALVANIZADO, COM ROSCA BSP MACHO/FEMEA, DE 1 1/2" X 1"</t>
  </si>
  <si>
    <t>LUVA DE REDUCAO DE FERRO GALVANIZADO, COM ROSCA BSP MACHO/FEMEA, DE 1" X 1/2"</t>
  </si>
  <si>
    <t>LUVA DE REDUCAO DE FERRO GALVANIZADO, COM ROSCA BSP MACHO/FEMEA, DE 1" X 3/4"</t>
  </si>
  <si>
    <t>LUVA DE REDUCAO DE FERRO GALVANIZADO, COM ROSCA BSP MACHO/FEMEA, DE 3/4" X 1/2"</t>
  </si>
  <si>
    <t>LUVA DE REDUCAO DE FERRO GALVANIZADO, COM ROSCA BSP, DE 1 1/2" X 1 1/4"</t>
  </si>
  <si>
    <t>LUVA DE REDUCAO DE FERRO GALVANIZADO, COM ROSCA BSP, DE 1 1/2" X 1/2"</t>
  </si>
  <si>
    <t>LUVA DE REDUCAO DE FERRO GALVANIZADO, COM ROSCA BSP, DE 1 1/2" X 1"</t>
  </si>
  <si>
    <t>LUVA DE REDUCAO DE FERRO GALVANIZADO, COM ROSCA BSP, DE 1 1/2" X 3/4"</t>
  </si>
  <si>
    <t>LUVA DE REDUCAO DE FERRO GALVANIZADO, COM ROSCA BSP, DE 1 1/4" X 1/2"</t>
  </si>
  <si>
    <t>LUVA DE REDUCAO DE FERRO GALVANIZADO, COM ROSCA BSP, DE 1 1/4" X 1"</t>
  </si>
  <si>
    <t>LUVA DE REDUCAO DE FERRO GALVANIZADO, COM ROSCA BSP, DE 1 1/4" X 3/4"</t>
  </si>
  <si>
    <t>LUVA DE REDUCAO DE FERRO GALVANIZADO, COM ROSCA BSP, DE 1" X 1/2"</t>
  </si>
  <si>
    <t>LUVA DE REDUCAO DE FERRO GALVANIZADO, COM ROSCA BSP, DE 1" X 3/4"</t>
  </si>
  <si>
    <t>LUVA DE REDUCAO DE FERRO GALVANIZADO, COM ROSCA BSP, DE 2 1/2" X 1 1/2"</t>
  </si>
  <si>
    <t>LUVA DE REDUCAO DE FERRO GALVANIZADO, COM ROSCA BSP, DE 2 1/2" X 2"</t>
  </si>
  <si>
    <t>LUVA DE REDUCAO DE FERRO GALVANIZADO, COM ROSCA BSP, DE 2" X 1 1/2"</t>
  </si>
  <si>
    <t>LUVA DE REDUCAO DE FERRO GALVANIZADO, COM ROSCA BSP, DE 2" X 1 1/4"</t>
  </si>
  <si>
    <t>LUVA DE REDUCAO DE FERRO GALVANIZADO, COM ROSCA BSP, DE 2" X 1"</t>
  </si>
  <si>
    <t>LUVA DE REDUCAO DE FERRO GALVANIZADO, COM ROSCA BSP, DE 3/4" X 1/2"</t>
  </si>
  <si>
    <t>LUVA DE REDUCAO DE FERRO GALVANIZADO, COM ROSCA BSP, DE 3" X 1 1/2"</t>
  </si>
  <si>
    <t>LUVA DE REDUCAO DE FERRO GALVANIZADO, COM ROSCA BSP, DE 3" X 2 1/2"</t>
  </si>
  <si>
    <t>LUVA DE REDUCAO DE FERRO GALVANIZADO, COM ROSCA BSP, DE 3" X 2"</t>
  </si>
  <si>
    <t>LUVA DE REDUCAO DE FERRO GALVANIZADO, COM ROSCA BSP, DE 4" X 2 1/2"</t>
  </si>
  <si>
    <t>LUVA DE REDUCAO DE FERRO GALVANIZADO, COM ROSCA BSP, DE 4" X 2"</t>
  </si>
  <si>
    <t>LUVA DE REDUCAO DE FERRO GALVANIZADO, COM ROSCA BSP, DE 4" X 3"</t>
  </si>
  <si>
    <t>LUVA DE REDUCAO EM ACO CARBONO, COM ENCAIXE PARA SOLDA DN SW, PRESSAO 3.000 LBS,  3/4 " X 1/2"</t>
  </si>
  <si>
    <t>LUVA DE REDUCAO EM ACO CARBONO, COM ENCAIXE PARA SOLDA DN SW, PRESSAO 3.000 LBS, DN 1 1/2" X 1 1/4"</t>
  </si>
  <si>
    <t>LUVA DE REDUCAO EM ACO CARBONO, COM ENCAIXE PARA SOLDA DN SW, PRESSAO 3.000 LBS, DN 1 1/4"  X 1"</t>
  </si>
  <si>
    <t>LUVA DE REDUCAO EM ACO CARBONO, COM ENCAIXE PARA SOLDA DN SW, PRESSAO 3.000 LBS, DN 1" X 3/4"</t>
  </si>
  <si>
    <t>LUVA DE REDUCAO EM ACO CARBONO, COM ENCAIXE PARA SOLDA DN SW, PRESSAO 3.000 LBS, DN 2 1/2" X 2"</t>
  </si>
  <si>
    <t>LUVA DE REDUCAO EM ACO CARBONO, COM ENCAIXE PARA SOLDA DN SW, PRESSAO 3.000 LBS, DN 2" X 1 1/2"</t>
  </si>
  <si>
    <t>LUVA DE REDUCAO EM ACO CARBONO, COM ENCAIXE PARA SOLDA DN SW, PRESSAO 3.000 LBS, DN 3" X 2 1/2"</t>
  </si>
  <si>
    <t>LUVA DE REDUCAO PARA TUBO PEX, METALICA, PARA CONEXAO COM ANEL DESLIZANTE, DN 20 X 16 MM</t>
  </si>
  <si>
    <t>LUVA DE REDUCAO PARA TUBO PEX, METALICA, PARA CONEXAO COM ANEL DESLIZANTE, DN 25 X 16 MM</t>
  </si>
  <si>
    <t>LUVA DE REDUCAO PARA TUBO PEX, METALICA, PARA CONEXAO COM ANEL DESLIZANTE, DN 25 X 20 MM</t>
  </si>
  <si>
    <t>LUVA DE REDUCAO PARA TUBO PEX, METALICA, PARA CONEXAO COM ANEL DESLIZANTE, DN 32 X 25 MM</t>
  </si>
  <si>
    <t>LUVA DE REDUCAO PARA TUBO PEX, PLASTICA, PARA CONEXAO COM CRIMPAGEM, DN 20 X 16 MM</t>
  </si>
  <si>
    <t>LUVA DE REDUCAO PARA TUBO PEX, PLASTICA, PARA CONEXAO COM CRIMPAGEM, DN 25 X 16 MM</t>
  </si>
  <si>
    <t>LUVA DE REDUCAO PARA TUBO PEX, PLASTICA, PARA CONEXAO COM CRIMPAGEM, DN 32 X 20 MM</t>
  </si>
  <si>
    <t>LUVA DE REDUCAO PARA TUBO PEX, PLASTICA, PARA CONEXAO COM CRIMPAGEM, DN 32 X 25 MM</t>
  </si>
  <si>
    <t>LUVA DE REDUCAO ROSCAVEL, PVC, 1" X 3/4", PARA AGUA FRIA PREDIAL</t>
  </si>
  <si>
    <t>LUVA DE REDUCAO ROSCAVEL, PVC, 3/4" X 1/2", PARA AGUA FRIA PREDIAL</t>
  </si>
  <si>
    <t>LUVA DE REDUCAO SOLDAVEL, PVC, 25 MM X 20 MM, PARA AGUA FRIA PREDIAL</t>
  </si>
  <si>
    <t>LUVA DE REDUCAO SOLDAVEL, PVC, 32 MM X 25 MM, PARA AGUA FRIA PREDIAL</t>
  </si>
  <si>
    <t>LUVA DE REDUCAO SOLDAVEL, PVC, 40 MM X 32 MM, PARA AGUA FRIA PREDIAL</t>
  </si>
  <si>
    <t>LUVA DE REDUCAO SOLDAVEL, PVC, 60 MM X 50 MM, PARA AGUA FRIA PREDIAL</t>
  </si>
  <si>
    <t>LUVA DE REDUCAO, PVC, SOLDAVEL, 50 X 25 MM, PARA AGUA FRIA PREDIAL</t>
  </si>
  <si>
    <t>LUVA DE TRANSICAO DE CPVC X PVC, SOLDAVEL, 22 X 25 MM, PARA AGUA QUENTE</t>
  </si>
  <si>
    <t>LUVA DE TRANSICAO, CPVC, SOLDAVEL, 42 MM X 1 1/2", PARA AGUA QUENTE</t>
  </si>
  <si>
    <t>LUVA DE TRANSICAO, CPVC, SOLDAVEL, 54 MM X 2", PARA AGUA QUENTE PREDIAL</t>
  </si>
  <si>
    <t>LUVA DE TRANSICAO, CPVC, 15 MM X 1/2", PARA AGUA QUENTE PREDIAL</t>
  </si>
  <si>
    <t>LUVA DE TRANSICAO, CPVC, 22 MM X 1/2", PARA AGUA QUENTE</t>
  </si>
  <si>
    <t>LUVA DUPLA, PVC LEVE, DN 150 MM</t>
  </si>
  <si>
    <t>LUVA EM ACO CARBONO, SOLDAVEL, PRESSAO 3.000 LBS, DN 1 1/2"</t>
  </si>
  <si>
    <t>LUVA EM ACO CARBONO, SOLDAVEL, PRESSAO 3.000 LBS, DN 1 1/4"</t>
  </si>
  <si>
    <t>LUVA EM ACO CARBONO, SOLDAVEL, PRESSAO 3.000 LBS, DN 1/2"</t>
  </si>
  <si>
    <t>LUVA EM ACO CARBONO, SOLDAVEL, PRESSAO 3.000 LBS, DN 1"</t>
  </si>
  <si>
    <t>LUVA EM ACO CARBONO, SOLDAVEL, PRESSAO 3.000 LBS, DN 2 1/2"</t>
  </si>
  <si>
    <t>LUVA EM ACO CARBONO, SOLDAVEL, PRESSAO 3.000 LBS, DN 2"</t>
  </si>
  <si>
    <t>LUVA EM ACO CARBONO, SOLDAVEL, PRESSAO 3.000 LBS, DN 3/4"</t>
  </si>
  <si>
    <t>LUVA EM ACO CARBONO, SOLDAVEL, PRESSAO 3.000 LBS, DN 3"</t>
  </si>
  <si>
    <t>LUVA EM PVC RIGIDO ROSCAVEL, DE 1 1/2", PARA ELETRODUTO</t>
  </si>
  <si>
    <t>LUVA EM PVC RIGIDO ROSCAVEL, DE 1 1/4", PARA ELETRODUTO</t>
  </si>
  <si>
    <t>LUVA EM PVC RIGIDO ROSCAVEL, DE 1/2", PARA ELETRODUTO</t>
  </si>
  <si>
    <t>LUVA EM PVC RIGIDO ROSCAVEL, DE 1", PARA ELETRODUTO</t>
  </si>
  <si>
    <t>LUVA EM PVC RIGIDO ROSCAVEL, DE 2 1/2", PARA ELETRODUTO</t>
  </si>
  <si>
    <t>LUVA EM PVC RIGIDO ROSCAVEL, DE 2", PARA ELETRODUTO</t>
  </si>
  <si>
    <t>LUVA EM PVC RIGIDO ROSCAVEL, DE 3/4", PARA ELETRODUTO</t>
  </si>
  <si>
    <t>LUVA EM PVC RIGIDO ROSCAVEL, DE 3", PARA ELETRODUTO</t>
  </si>
  <si>
    <t>LUVA EM PVC RIGIDO ROSCAVEL, DE 4", PARA ELETRODUTO</t>
  </si>
  <si>
    <t>LUVA PARA ELETRODUTO, EM ACO GALVANIZADO ELETROLITICO, DIAMETRO DE 100 MM (4")</t>
  </si>
  <si>
    <t>LUVA PARA ELETRODUTO, EM ACO GALVANIZADO ELETROLITICO, DIAMETRO DE 15 MM (1/2")</t>
  </si>
  <si>
    <t>LUVA PARA ELETRODUTO, EM ACO GALVANIZADO ELETROLITICO, DIAMETRO DE 20 MM (3/4")</t>
  </si>
  <si>
    <t>LUVA PARA ELETRODUTO, EM ACO GALVANIZADO ELETROLITICO, DIAMETRO DE 25 MM (1")</t>
  </si>
  <si>
    <t>LUVA PARA ELETRODUTO, EM ACO GALVANIZADO ELETROLITICO, DIAMETRO DE 32 MM (1 1/4")</t>
  </si>
  <si>
    <t>LUVA PARA ELETRODUTO, EM ACO GALVANIZADO ELETROLITICO, DIAMETRO DE 40 MM (1 1/2")</t>
  </si>
  <si>
    <t>LUVA PARA ELETRODUTO, EM ACO GALVANIZADO ELETROLITICO, DIAMETRO DE 50 MM (2")</t>
  </si>
  <si>
    <t>LUVA PARA ELETRODUTO, EM ACO GALVANIZADO ELETROLITICO, DIAMETRO DE 65 MM (2 1/2")</t>
  </si>
  <si>
    <t>LUVA PARA ELETRODUTO, EM ACO GALVANIZADO ELETROLITICO, DIAMETRO DE 80 MM (3")</t>
  </si>
  <si>
    <t>LUVA PARA TUBO PEX, METALICO, PARA CONEXAO COM ANEL DESLIZANTE, DN 16 MM</t>
  </si>
  <si>
    <t>LUVA PARA TUBO PEX, METALICO, PARA CONEXAO COM ANEL DESLIZANTE, DN 20 MM</t>
  </si>
  <si>
    <t>LUVA PARA TUBO PEX, METALICO, PARA CONEXAO COM ANEL DESLIZANTE, DN 25 MM</t>
  </si>
  <si>
    <t>LUVA PARA TUBO PEX, METALICO, PARA CONEXAO COM ANEL DESLIZANTE, DN 32 MM</t>
  </si>
  <si>
    <t>LUVA PARA TUBO PEX, PLASTICA, PARA CONEXAO COM CRIMPAGEM, DN 16 MM</t>
  </si>
  <si>
    <t>LUVA PARA TUBO PEX, PLASTICA, PARA CONEXAO COM CRIMPAGEM, DN 20 MM</t>
  </si>
  <si>
    <t>LUVA PARA TUBO PEX, PLASTICA, PARA CONEXAO COM CRIMPAGEM, DN 25 MM</t>
  </si>
  <si>
    <t>LUVA PARA TUBO PEX, PLASTICA, PARA CONEXAO COM CRIMPAGEM, DN 32 MM</t>
  </si>
  <si>
    <t>LUVA PASSANTE DE COBRE (REF 601) SEM ANEL DE SOLDA, BOLSA 15 MM</t>
  </si>
  <si>
    <t>LUVA PASSANTE DE COBRE (REF 601) SEM ANEL DE SOLDA, BOLSA 22 MM</t>
  </si>
  <si>
    <t>LUVA PASSANTE DE COBRE (REF 601) SEM ANEL DE SOLDA, BOLSA 28 MM</t>
  </si>
  <si>
    <t>LUVA PASSANTE DE COBRE (REF 601) SEM ANEL DE SOLDA, BOLSA 35 MM</t>
  </si>
  <si>
    <t>LUVA PASSANTE DE COBRE (REF 601) SEM ANEL DE SOLDA, BOLSA 42 MM</t>
  </si>
  <si>
    <t>LUVA PASSANTE DE COBRE (REF 601) SEM ANEL DE SOLDA, BOLSA 54 MM</t>
  </si>
  <si>
    <t>LUVA PASSANTE DE COBRE (REF 601) SEM ANEL DE SOLDA, BOLSA 66 MM</t>
  </si>
  <si>
    <t>LUVA PPR, SOLDAVEL, DN 110 MM, PARA AGUA QUENTE PREDIAL</t>
  </si>
  <si>
    <t>LUVA PPR, SOLDAVEL, DN 20 MM, PARA AGUA QUENTE PREDIAL</t>
  </si>
  <si>
    <t>LUVA PPR, SOLDAVEL, DN 25 MM, PARA AGUA QUENTE PREDIAL</t>
  </si>
  <si>
    <t>LUVA PPR, SOLDAVEL, DN 32 MM, PARA AGUA QUENTE PREDIAL</t>
  </si>
  <si>
    <t>LUVA PPR, SOLDAVEL, DN 40 MM, PARA AGUA QUENTE PREDIAL</t>
  </si>
  <si>
    <t>LUVA PPR, SOLDAVEL, DN 50 MM, PARA AGUA QUENTE PREDIAL</t>
  </si>
  <si>
    <t>LUVA PPR, SOLDAVEL, DN 63 MM, PARA AGUA QUENTE PREDIAL</t>
  </si>
  <si>
    <t>LUVA PPR, SOLDAVEL, DN 75 MM, PARA AGUA QUENTE PREDIAL</t>
  </si>
  <si>
    <t>LUVA PPR, SOLDAVEL, DN 90 MM, PARA AGUA QUENTE PREDIAL</t>
  </si>
  <si>
    <t>LUVA PVC SOLDAVEL, 110 MM, PARA AGUA FRIA PREDIAL</t>
  </si>
  <si>
    <t>LUVA PVC SOLDAVEL, 20 MM, PARA AGUA FRIA PREDIAL</t>
  </si>
  <si>
    <t>LUVA PVC SOLDAVEL, 25 MM, PARA AGUA FRIA PREDIAL</t>
  </si>
  <si>
    <t>LUVA PVC SOLDAVEL, 32 MM, PARA AGUA FRIA PREDIAL</t>
  </si>
  <si>
    <t>LUVA PVC SOLDAVEL, 40 MM, PARA AGUA FRIA PREDIAL</t>
  </si>
  <si>
    <t>LUVA PVC SOLDAVEL, 50 MM, PARA AGUA FRIA PREDIAL</t>
  </si>
  <si>
    <t>LUVA PVC SOLDAVEL, 60 MM, PARA AGUA FRIA PREDIAL</t>
  </si>
  <si>
    <t>LUVA PVC SOLDAVEL, 75 MM, PARA AGUA FRIA PREDIAL</t>
  </si>
  <si>
    <t>LUVA PVC SOLDAVEL, 85 MM, PARA AGUA FRIA PREDIAL</t>
  </si>
  <si>
    <t>LUVA PVC, ROSCAVEL,  2 1/2",  AGUA FRIA PREDIAL</t>
  </si>
  <si>
    <t>LUVA PVC, ROSCAVEL, 1 1/2",  AGUA FRIA PREDIAL</t>
  </si>
  <si>
    <t>LUVA PVC, ROSCAVEL, 1 1/4", AGUA FRIA PREDIAL</t>
  </si>
  <si>
    <t>LUVA PVC, ROSCAVEL, 2",  AGUA FRIA PREDIAL</t>
  </si>
  <si>
    <t>LUVA PVC, ROSCAVEL, 3", AGUA FRIA PREDIAL</t>
  </si>
  <si>
    <t>LUVA RASPA DE COURO, CANO CURTO (PUNHO *7* CM)</t>
  </si>
  <si>
    <t>LUVA ROSCAVEL, PVC, 1/2", AGUA FRIA PREDIAL</t>
  </si>
  <si>
    <t>LUVA ROSCAVEL, PVC, 1", AGUA FRIA PREDIAL</t>
  </si>
  <si>
    <t>LUVA ROSCAVEL, PVC, 3/4", AGUA FRIA PREDIAL</t>
  </si>
  <si>
    <t>LUVA SIMPLES, PVC PBA, JE, DN 100 / DE 110 MM, PARA REDE AGUA (NBR 10351)</t>
  </si>
  <si>
    <t>LUVA SIMPLES, PVC PBA, JE, DN 50 / DE 60 MM, PARA REDE AGUA (NBR 10351)</t>
  </si>
  <si>
    <t>LUVA SIMPLES, PVC PBA, JE, DN 75 / DE 85 MM, PARA REDE AGUA (NBR 10351)</t>
  </si>
  <si>
    <t>LUVA SIMPLES, PVC SERIE REFORCADA - R, 100 MM, PARA ESGOTO PREDIAL</t>
  </si>
  <si>
    <t>LUVA SIMPLES, PVC SERIE REFORCADA - R, 150 MM, PARA ESGOTO PREDIAL</t>
  </si>
  <si>
    <t>LUVA SIMPLES, PVC SERIE REFORCADA - R, 40 MM, PARA ESGOTO PREDIAL</t>
  </si>
  <si>
    <t>LUVA SIMPLES, PVC SERIE REFORCADA - R, 50 MM, PARA ESGOTO PREDIAL</t>
  </si>
  <si>
    <t>LUVA SIMPLES, PVC SERIE REFORCADA - R, 75 MM, PARA ESGOTO PREDIAL</t>
  </si>
  <si>
    <t>LUVA SIMPLES, PVC, SOLDAVEL, DN 100 MM, SERIE NORMAL, PARA ESGOTO PREDIAL</t>
  </si>
  <si>
    <t>LUVA SIMPLES, PVC, SOLDAVEL, DN 150 MM, SERIE NORMAL, PARA ESGOTO PREDIAL</t>
  </si>
  <si>
    <t>LUVA SIMPLES, PVC, SOLDAVEL, DN 40 MM, SERIE NORMAL, PARA ESGOTO PREDIAL</t>
  </si>
  <si>
    <t>LUVA SIMPLES, PVC, SOLDAVEL, DN 50 MM, SERIE NORMAL, PARA ESGOTO PREDIAL</t>
  </si>
  <si>
    <t>LUVA SIMPLES, PVC, SOLDAVEL, DN 75 MM, SERIE NORMAL, PARA ESGOTO PREDIAL</t>
  </si>
  <si>
    <t>LUVA SOLDAVEL COM BUCHA DE LATAO, PVC, 20 MM X 1/2"</t>
  </si>
  <si>
    <t>LUVA SOLDAVEL COM BUCHA DE LATAO, PVC, 25 MM X 1/2"</t>
  </si>
  <si>
    <t>LUVA SOLDAVEL COM BUCHA DE LATAO, PVC, 25 MM X 3/4"</t>
  </si>
  <si>
    <t>LUVA SOLDAVEL COM BUCHA DE LATAO, PVC, 32 MM X 1"</t>
  </si>
  <si>
    <t>LUVA SOLDAVEL COM ROSCA, PVC, 20 MM X 1/2", PARA AGUA FRIA PREDIAL</t>
  </si>
  <si>
    <t>LUVA SOLDAVEL COM ROSCA, PVC, 25 MM X 1/2", PARA AGUA FRIA PREDIAL</t>
  </si>
  <si>
    <t>LUVA SOLDAVEL COM ROSCA, PVC, 25 MM X 3/4", PARA AGUA FRIA PREDIAL</t>
  </si>
  <si>
    <t>LUVA SOLDAVEL COM ROSCA, PVC, 32 MM X 1", PARA AGUA FRIA PREDIAL</t>
  </si>
  <si>
    <t>LUVA SOLDAVEL COM ROSCA, PVC, 40 MM X 1 1/4", PARA AGUA FRIA PREDIAL</t>
  </si>
  <si>
    <t>LUVA SOLDAVEL COM ROSCA, PVC, 50 MM X 1 1/2", PARA AGUA FRIA PREDIAL</t>
  </si>
  <si>
    <t>LUVA, PEAD PE 100,  DE 400 MM, PARA ELETROFUSAO</t>
  </si>
  <si>
    <t>LUVA, PEAD PE 100,  DE 63 MM, PARA ELETROFUSAO</t>
  </si>
  <si>
    <t>LUVA, PEAD PE 100, DE 125 MM, PARA ELETROFUSAO</t>
  </si>
  <si>
    <t>LUVA, PEAD PE 100, DE 20 MM, PARA ELETROFUSAO</t>
  </si>
  <si>
    <t>LUVA, PEAD PE 100, DE 200 MM, PARA ELETROFUSAO</t>
  </si>
  <si>
    <t>LUVA, PEAD PE 100, DE 32 MM, PARA ELETROFUSAO</t>
  </si>
  <si>
    <t>MACANETA ALAVANCA, RETA OU CURVA, MACICA, CROMADA, COMPRIMENTO DE 10 A 16 CM, ACABAMENTO PADRAO MEDIO - SOMENTE MACANETAS</t>
  </si>
  <si>
    <t>MACANETA ALAVANCA, RETA SIMPLES / OCA, CROMADA, COMPRIMENTO DE 10 A 16 CM, ACABAMENTO PADRAO POPULAR - SOMENTE MACANETAS</t>
  </si>
  <si>
    <t>MACANETA TIPO BOLA, CROMADA,  DIAMETRO APROXIMADO DE *2 1/2*", (SOMENTE MACANETAS)</t>
  </si>
  <si>
    <t>MACARICO DE SOLDA 201 PARA EXTENSAO GLP OU ACETILENO</t>
  </si>
  <si>
    <t>MACARIQUEIRO</t>
  </si>
  <si>
    <t>MACARIQUEIRO (MENSALISTA)</t>
  </si>
  <si>
    <t>MADEIRA ROLICA SEM TRATAMENTO, EUCALIPTO OU EQUIVALENTE DA REGIAO, H = 3 M, D = 12 A 15 CM (PARA ESCORAMENTO)</t>
  </si>
  <si>
    <t>MADEIRA ROLICA SEM TRATAMENTO, EUCALIPTO OU EQUIVALENTE DA REGIAO, H = 3 M, D = 16 A 19 CM (PARA ESCORAMENTO)</t>
  </si>
  <si>
    <t>MADEIRA ROLICA SEM TRATAMENTO, EUCALIPTO OU EQUIVALENTE DA REGIAO, H = 3 M, D = 20 A 24 CM (PARA ESCORAMENTO)</t>
  </si>
  <si>
    <t>MADEIRA ROLICA SEM TRATAMENTO, EUCALIPTO OU EQUIVALENTE DA REGIAO, H = 3 M, D = 8 A 11 CM (PARA ESCORAMENTO)</t>
  </si>
  <si>
    <t>MADEIRA ROLICA SEM TRATAMENTO, EUCALIPTO OU EQUIVALENTE DA REGIAO, H = 6 M, D = 12 A 15 CM (PARA ESCORAMENTO)</t>
  </si>
  <si>
    <t>MADEIRA ROLICA SEM TRATAMENTO, EUCALIPTO OU EQUIVALENTE DA REGIAO, H = 6 M, D = 8 A 11 CM (PARA ESCORAMENTO)</t>
  </si>
  <si>
    <t>MADEIRA ROLICA TRATADA, EUCALIPTO OU EQUIVALENTE DA REGIAO, H = 12 M, D = 20 A 24 CM (PARA POSTE)</t>
  </si>
  <si>
    <t>MADEIRA ROLICA TRATADA, EUCALIPTO OU EQUIVALENTE DA REGIAO, H = 2,2 M, D = 8 A 11 CM (PARA CERCA)</t>
  </si>
  <si>
    <t>MADEIRA ROLICA TRATADA, EUCALIPTO OU EQUIVALENTE DA REGIAO, H = 2,20 M, D = 16 A 19 CM (PARA CERCA)</t>
  </si>
  <si>
    <t>MADEIRA ROLICA TRATADA, EUCALIPTO OU EQUIVALENTE DA REGIAO, H = 3 M, D = 12 A 15 CM</t>
  </si>
  <si>
    <t>MADEIRA ROLICA TRATADA, EUCALIPTO OU EQUIVALENTE DA REGIAO, H = 3 M, D = 4 A 7 CM (PARA CAIBRO)</t>
  </si>
  <si>
    <t>MADEIRA ROLICA TRATADA, EUCALIPTO OU EQUIVALENTE DA REGIAO, H = 6 M, D = 16 A 19 CM</t>
  </si>
  <si>
    <t>MADEIRA ROLICA TRATADA, EUCALIPTO OU EQUIVALENTE DA REGIAO, H = 6,5 M, D = 25 A 29 CM</t>
  </si>
  <si>
    <t>MADEIRA ROLICA TRATADA, EUCALIPTO OU EQUIVALENTE DA REGIAO, H = 6,5 M, D = 30 A 34 CM</t>
  </si>
  <si>
    <t>MADEIRA SERRADA NAO APARELHADA DE PINUS, MISTA OU EQUIVALENTE DA REGIAO</t>
  </si>
  <si>
    <t>MANGOTE DE SEGURANCA EM RASPA DE COURO</t>
  </si>
  <si>
    <t>MANGUEIRA CRISTAL PARA NIVEL, LISA, PVC TRANSPARENTE, 3/8" X1,5 MM</t>
  </si>
  <si>
    <t>MANGUEIRA CRISTAL PARA NIVEL, LISA, PVC TRANSPARENTE, 5/16" X1 MM</t>
  </si>
  <si>
    <t>MANGUEIRA CRISTAL TRANCADA, PVC COM REFORCO, COM PRESSAO DE TRABALHO (PT) 250 LBS/POL2, DE 3/4" X *2,8* MM</t>
  </si>
  <si>
    <t>MANGUEIRA CRISTAL TRANCADA, PVC COM REFORCO, PRESSAO DE TRABALHO (PT) 250 LBS/POL2, DE 1" X *3,4* MM</t>
  </si>
  <si>
    <t>MANGUEIRA CRISTAL, LISA, PVC TRANSPARENTE, 1/2" X 2 MM</t>
  </si>
  <si>
    <t>MANGUEIRA CRISTAL, LISA, PVC TRANSPARENTE, 1/4" X1 MM</t>
  </si>
  <si>
    <t>MANGUEIRA CRISTAL, LISA, PVC TRANSPARENTE, 1/4" X1,5 MM</t>
  </si>
  <si>
    <t>MANGUEIRA CRISTAL, LISA, PVC TRANSPARENTE, 3/4" X 2 MM</t>
  </si>
  <si>
    <t>MANGUEIRA DE INCENDIO, TIPO 1, DE 1 1/2", COMPRIMENTO = 15 M, TECIDO EM FIO DE POLIESTER E TUBO INTERNO EM BORRACHA SINTETICA, COM UNIOES ENGATE RAPIDO</t>
  </si>
  <si>
    <t>MANGUEIRA DE INCENDIO, TIPO 1, DE 1 1/2", COMPRIMENTO = 20 M, TECIDO EM FIO DE POLIESTER E TUBO INTERNO EM BORRACHA SINTETICA, COM UNIOES ENGATE RAPIDO</t>
  </si>
  <si>
    <t>MANGUEIRA DE INCENDIO, TIPO 1, DE 1 1/2", COMPRIMENTO = 25 M, TECIDO EM FIO DE POLIESTER E TUBO INTERNO EM BORRACHA SINTETICA, COM UNIOES ENGATE RAPIDO</t>
  </si>
  <si>
    <t>MANGUEIRA DE INCENDIO, TIPO 1, DE 1 1/2", COMPRIMENTO = 30 M, TECIDO EM FIO DE POLIESTER E TUBO INTERNO EM BORRACHA SINTETICA, COM UNIOES ENGATE RAPIDO</t>
  </si>
  <si>
    <t>MANGUEIRA DE INCENDIO, TIPO 2, DE 1 1/2", COMPRIMENTO = 15 M, TECIDO EM FIO DE POLIESTER E TUBO INTERNO EM BORRACHA SINTETICA, COM UNIOES ENGATE RAPIDO</t>
  </si>
  <si>
    <t>MANGUEIRA DE INCENDIO, TIPO 2, DE 1 1/2", COMPRIMENTO = 20 M, TECIDO EM FIO DE POLIESTER E TUBO INTERNO EM BORRACHA SINTETICA, COM UNIOES</t>
  </si>
  <si>
    <t>MANGUEIRA DE INCENDIO, TIPO 2, DE 1 1/2", COMPRIMENTO = 25 M, TECIDO EM FIO DE POLIESTER E TUBO INTERNO EM BORRACHA SINTETICA, COM UNIOES</t>
  </si>
  <si>
    <t>MANGUEIRA DE INCENDIO, TIPO 2, DE 1 1/2", COMPRIMENTO = 30 M, TECIDO EM FIO DE POLIESTER E TUBO INTERNO EM BORRACHA SINTETICA, COM UNIOES</t>
  </si>
  <si>
    <t>MANGUEIRA DE INCENDIO, TIPO 2, DE 2 1/2", COMPRIMENTO = 15 M, TECIDO EM FIO DE POLIESTER E TUBO INTERNO EM BORRACHA SINTETICA, COM UNIOES ENGATE RAPIDO</t>
  </si>
  <si>
    <t>MANGUEIRA DE INCENDIO, TIPO 2, DE 2 1/2", COMPRIMENTO = 20 M, TECIDO EM FIO DE POLIESTER E TUBO INTERNO EM BORRACHA SINTETICA, COM UNIOES</t>
  </si>
  <si>
    <t>MANGUEIRA DE INCENDIO, TIPO 2, DE 2 1/2", COMPRIMENTO = 25 M, TECIDO EM FIO DE POLIESTER E TUBO INTERNO EM BORRACHA SINTETICA, COM UNIOES ENGATE RAPIDO</t>
  </si>
  <si>
    <t>MANGUEIRA DE INCENDIO, TIPO 2, DE 2 1/2", COMPRIMENTO = 30 M, TECIDO EM FIO DE POLIESTER E TUBO INTERNO EM BORRACHA SINTETICA, COM UNIOES ENGATE RAPIDO</t>
  </si>
  <si>
    <t>MANGUEIRA DE PVC FLEXIVEL,TIPO FLAT/ACHATADA, COR LARANJA, D = 1 1/2" (40 MM), PARA CONDUCAO DE AGUA, SERVICOS LEVES E MEDIOS</t>
  </si>
  <si>
    <t>MANGUEIRA PARA GAS - GLP, PVC, TRANCADA, DIAMETRO DE 3/8", COMPRIMENTO DE 1M (NORMATIZADA)</t>
  </si>
  <si>
    <t>MANIPULADOR TELESCOPICO, POTENCIA DE 101 HP, CAPACIDADE DE CARGA DE 3.500 KG, ALTURA MAXIMA DE ELEVACAO DE 12 M</t>
  </si>
  <si>
    <t>MANIPULADOR TELESCOPICO, POTENCIA DE 85 HP, CAPACIDADE DE CARGA DE 3.500 KG, ALTURA MAXIMA DE ELEVACAO DE 12,3 M</t>
  </si>
  <si>
    <t>MANOMETRO COM CAIXA EM ACO PINTADO, ESCALA *10* KGF/CM2 (*10* BAR), DIAMETRO NOMINAL DE *63* MM, CONEXAO DE 1/4"</t>
  </si>
  <si>
    <t>MANOMETRO COM CAIXA EM ACO PINTADO, ESCALA *10* KGF/CM2 (*10* BAR), DIAMETRO NOMINAL DE 100 MM, CONEXAO DE 1/2"</t>
  </si>
  <si>
    <t>MANTA ALUMINIZADA NAS DUAS FACES, PARA SUBCOBERTURA,  E = *2* MM</t>
  </si>
  <si>
    <t>MANTA ALUMINIZADA 1 FACE PARA SUBCOBERTURA, E = *1* MM</t>
  </si>
  <si>
    <t>MANTA ANTIRRUIDO DE POLIESTER (PET) PARA CONTRAPISO E = *8* MM</t>
  </si>
  <si>
    <t>MANTA ASFALTICA ELASTOMERICA EM POLIESTER ALUMINIZADA 3 MM, TIPO III, CLASSE B (NBR 9952)</t>
  </si>
  <si>
    <t>MANTA ASFALTICA ELASTOMERICA EM POLIESTER 3 MM, TIPO III, CLASSE B, ACABAMENTO PP (NBR 9952)</t>
  </si>
  <si>
    <t>MANTA ASFALTICA ELASTOMERICA EM POLIESTER 4 MM, TIPO III, CLASSE B, ACABAMENTO PP (NBR 9952)</t>
  </si>
  <si>
    <t>MANTA ASFALTICA ELASTOMERICA EM POLIESTER 5 MM, TIPO III, CLASSE B, ACABAMENTO PP (NBR 9952)</t>
  </si>
  <si>
    <t>MANTA ASFALTICA ELASTOMERICA TIPO GLASS 3 MM, TIPO II, CLASSE C, ACABAMENTO PP (NBR 9952)</t>
  </si>
  <si>
    <t>MANTA DE BORRACHA ANTIRRUIDO 5 MM</t>
  </si>
  <si>
    <t>MANTA DE POLIETILENO EXPANDIDO (PEBD) ANTICHAMAS, E = 8 MM</t>
  </si>
  <si>
    <t>MANTA DE POLIETILENO EXPANDIDO (PEBD), E = 5 MM</t>
  </si>
  <si>
    <t>MANTA DE POLIETILENO EXPANDIDO, COM 1 FACE METALIZADA PARA SUBCOBERTURA,  E = *5* MM</t>
  </si>
  <si>
    <t>MANTA GEOTEXTIL TECIDO DE LAMINETES DE POLIPROPILENO, RESISTENCIA A TRACAO = *25* KN/M</t>
  </si>
  <si>
    <t>MANTA LIQUIDA DE BASE ASFALTICA MODIFICADA COM A ADICAO DE ELASTOMEROS DILUIDOS EM SOLVENTE ORGANICO, APLICACAO A FRIO (MEMBRANA IMPERMEABILIZANTE ASFASTICA)</t>
  </si>
  <si>
    <t>MANTA TERMOPLASTICA, PEAD, GEOMEMBRANA LISA, E = 0,50 MM ( NBR 15352)</t>
  </si>
  <si>
    <t>MANTA TERMOPLASTICA, PEAD, GEOMEMBRANA LISA, E = 0,75 MM ( NBR 15352)</t>
  </si>
  <si>
    <t>MANTA TERMOPLASTICA, PEAD, GEOMEMBRANA LISA, E = 0,80 MM ( NBR 15352)</t>
  </si>
  <si>
    <t>MANTA TERMOPLASTICA, PEAD, GEOMEMBRANA LISA, E = 1,00 MM ( NBR 15352)</t>
  </si>
  <si>
    <t>MANTA TERMOPLASTICA, PEAD, GEOMEMBRANA LISA, E = 1,50 MM ( NBR 15352)</t>
  </si>
  <si>
    <t>MANTA TERMOPLASTICA, PEAD, GEOMEMBRANA LISA, E = 2,00 MM ( NBR 15352)</t>
  </si>
  <si>
    <t>MANTA TERMOPLASTICA, PEAD, GEOMEMBRANA LISA, E = 2,50 MM ( NBR 15352)</t>
  </si>
  <si>
    <t>MANTA TERMOPLASTICA, PEAD, GEOMEMBRANA TEXTURIZADA EM AMBAS AS FACES, E = 0,50 MM (NBR 15352)</t>
  </si>
  <si>
    <t>MANTA TERMOPLASTICA, PEAD, GEOMEMBRANA TEXTURIZADA EM AMBAS AS FACES, E = 0,75 MM (NBR 15352)</t>
  </si>
  <si>
    <t>MANTA TERMOPLASTICA, PEAD, GEOMEMBRANA TEXTURIZADA EM AMBAS AS FACES, E = 0,80 MM (NBR 15352)</t>
  </si>
  <si>
    <t>MANTA TERMOPLASTICA, PEAD, GEOMEMBRANA TEXTURIZADA EM AMBAS AS FACES, E = 1,00 MM (NBR 15352)</t>
  </si>
  <si>
    <t>MANTA TERMOPLASTICA, PEAD, GEOMEMBRANA TEXTURIZADA EM AMBAS AS FACES, E = 1,50 MM (NBR 15352)</t>
  </si>
  <si>
    <t>MANTA TERMOPLASTICA, PEAD, GEOMEMBRANA TEXTURIZADA EM AMBAS AS FACES, E = 2,00 MM (NBR 15352)</t>
  </si>
  <si>
    <t>MANTA TERMOPLASTICA, PEAD, GEOMEMBRANA TEXTURIZADA EM AMBAS AS FACES, E = 2,50 MM (NBR 15352)</t>
  </si>
  <si>
    <t>MAQUINA DEMARCADORA DE FAIXA DE TRAFEGO A FRIO, AUTOPROPELIDA, MOTOR DIESEL 38 HP</t>
  </si>
  <si>
    <t>MAQUINA EXTRUSORA DE CONCRETO PARA GUIAS E SARJETAS, COM MOTOR A DIESEL DE 14 CV</t>
  </si>
  <si>
    <t>MAQUINA MANUAL TIPO PRENSA PARA PRODUCAO DE BLOCOS E PAVIMENTOS DE CONCRETO, COM MOTOR ELETRICO TRIFASICO PARA VIBRACAO, POTENCIA TOTAL INSTALADA DE 1,5 KW</t>
  </si>
  <si>
    <t>MAQUINA PARA CORTE COM DISCO ABRASIVO DE DIAMETRO DE 18'' (450 MM), COM MOTOR ELETRICO TRIFASICO DE 10 CV</t>
  </si>
  <si>
    <t>MAQUINA TIPO PRENSA HIDRAULICA, PARA FABRICACAO DE TUBOS DE CONCRETO PARA AGUAS PLUVIAIS, DN 200 A DN 600 MM X 1000 MM DE COMPRIMENTO, COM MOTOR PRINCIPAL DE 20 CV</t>
  </si>
  <si>
    <t>MAQUINA TIPO VASO/TANQUE/JATO DE PRESSAO PORTATIL PARA JATEAMENTO, CONTROLE AUTOMATICO E REMOTO, CAMARA DE 1 SAIDA, 280 L, DIAM. *670* MM, BICO JATO CURTO VENTURI DE 5/16", MANGUEIRA DE 1" DE 10 M, COMPLETA (VALVULAS POP UP E DOSADORA, FUNDO CONICO ETC)</t>
  </si>
  <si>
    <t>MAQUINA TRANSFORMADORA MONOFASICA PARA SOLDA ELETRICA, TENSAO DE 220 V, FREQUENCIA DE 60 HZ, FAIXA DE CORRENTE ENTRE 80 A (+/- 10 A) E 250 A, POTENCIA ENTRE 14,00 KVA E 15,0 KVA, CICLO DE TRABALHO ENTRE 10% E 20% A 250 A</t>
  </si>
  <si>
    <t>MARCENEIRO</t>
  </si>
  <si>
    <t>MARCENEIRO (MENSALISTA)</t>
  </si>
  <si>
    <t>MARMORISTA / GRANITEIRO</t>
  </si>
  <si>
    <t>MARMORISTA / GRANITEIRO (MENSALISTA)</t>
  </si>
  <si>
    <t>MARTELO DE SOLDADOR/PICADOR DE SOLDA</t>
  </si>
  <si>
    <t>MARTELO DEMOLIDOR ELETRICO, COM POTENCIA DE 2.000 W, FREQUENCIA DE 1.000 IMPACTOS POR MINUTO, FORÇA DE IMPACTO ENTRE 60 E 65 J, PESO DE 30 KG</t>
  </si>
  <si>
    <t>MARTELO DEMOLIDOR PNEUMATICO MANUAL, COM REDUCAO DE VIBRACAO, PESO DE 21 KG</t>
  </si>
  <si>
    <t>MARTELO DEMOLIDOR PNEUMATICO MANUAL, COM REDUCAO DE VIBRACAO, PESO DE 31,5 KG</t>
  </si>
  <si>
    <t>MARTELO DEMOLIDOR PNEUMATICO MANUAL, PADRAO, PESO DE 32 KG</t>
  </si>
  <si>
    <t>MARTELO DEMOLIDOR PNEUMATICO MANUAL, PESO  DE 28 KG, COM SILENCIADOR</t>
  </si>
  <si>
    <t>MARTELO PERFURADOR PNEUMATICO MANUAL, DE SUPERFICIE, COM AVANCO DE COLUNA, PESO DE 22 KG</t>
  </si>
  <si>
    <t>MARTELO PERFURADOR PNEUMATICO MANUAL, HASTE 25 X 75 MM, 21 KG</t>
  </si>
  <si>
    <t>MARTELO PERFURADOR PNEUMATICO MANUAL, PESO DE 25 KG, COM SILENCIADOR</t>
  </si>
  <si>
    <t>MASCARA DE SEGURANCA PARA SOLDA COM ESCUDO DE CELERON E CARNEIRA DE PLASTICO COM REGULAGEM</t>
  </si>
  <si>
    <t>MASSA DE REJUNTE EM PO PARA DRYWALL, A BASE DE GESSO, SECAGEM RAPIDA, PARA TRATAMENTO DE JUNTAS DE CHAPA DE GESSO (COM ADICAO DE AGUA)</t>
  </si>
  <si>
    <t>MASSA DE REJUNTE PRONTA PARA TRATAMENTO DE JUNTAS DE CHAPA DE GESSO PARA DRYWALL, SEM ADICAO DE AGUA</t>
  </si>
  <si>
    <t>MASSA EPOXI BICOMPONENTE (MASSA + CATALIZADOR)</t>
  </si>
  <si>
    <t>MASSA EPOXI BICOMPONENTE PARA REPAROS</t>
  </si>
  <si>
    <t>MASSA PARA TEXTURA LISA DE BASE ACRILICA, USO INTERNO E EXTERNO</t>
  </si>
  <si>
    <t>MASSA PARA TEXTURA RUSTICA DE BASE ACRILICA, COR BRANCA, USO INTERNO E EXTERNO</t>
  </si>
  <si>
    <t>MASSA PARA VIDRO</t>
  </si>
  <si>
    <t>MASSA PLASTICA PARA MARMORE/GRANITO</t>
  </si>
  <si>
    <t>MASTRO SIMPLES GALVANIZADO DIAMETRO NOMINAL 1 1/2", COMPRIMENTO 3 M</t>
  </si>
  <si>
    <t>MASTRO SIMPLES GALVANIZADO DIAMETRO NOMINAL 2", COMPRIMENTO 3 M</t>
  </si>
  <si>
    <t>MATERIAL FILTRANTE (PEDREGULHO) 0,6 A 25,46 MM (POSTO PEDREIRA/FORNECEDOR, SEM FRETE)</t>
  </si>
  <si>
    <t>MATERIAL FILTRANTE (PEDREGULHO) 38 A 25,4 MM (POSTO PEDREIRA/FORNECEDOR, SEM FRETE)</t>
  </si>
  <si>
    <t>MECANICO DE EQUIPAMENTOS PESADOS</t>
  </si>
  <si>
    <t>MECANICO DE EQUIPAMENTOS PESADOS (MENSALISTA)</t>
  </si>
  <si>
    <t>MECANICO DE REFRIGERACAO</t>
  </si>
  <si>
    <t>MECANICO DE REFRIGERACAO (MENSALISTA)</t>
  </si>
  <si>
    <t>MEDIDOR DE NIVEL ESTATICO E DINAMICO PARA POCO, COMPRIMENTO DE 200 M</t>
  </si>
  <si>
    <t>MEIA CANA DE MADEIRA CEDRINHO OU EQUIVALENTE DA REGIAO, ACABAMENTO PARA FORRO PAULISTA, *2,5 X 2,5* CM</t>
  </si>
  <si>
    <t>MEIA CANA DE MADEIRA PINUS OU EQUIVALENTE DA REGIAO, ACABAMENTO PARA FORRO PAULISTA, *2,5 X 2,5* CM</t>
  </si>
  <si>
    <t>MEIA CANALETA CONCRETO ESTRUTURAL 14 X 19 X 19 CM, FBK 14 MPA (NBR 6136)</t>
  </si>
  <si>
    <t>MEIA CANALETA CONCRETO ESTRUTURAL 14 X 19 X 19 CM, FBK 4,5 MPA (NBR 6136)</t>
  </si>
  <si>
    <t>MEIO BLOCO CONCRETO ESTRUTURAL 14 X 19 X 14 CM, FBK 14 MPA (NBR 6136)</t>
  </si>
  <si>
    <t>MEIO BLOCO CONCRETO ESTRUTURAL 14 X 19 X 14 CM, FBK 4,5 MPA (NBR 6136)</t>
  </si>
  <si>
    <t>MEIO BLOCO CONCRETO ESTRUTURAL 14 X 19 X 19 CM, FBK 14 MPA (NBR 6136)</t>
  </si>
  <si>
    <t>MEIO BLOCO CONCRETO ESTRUTURAL 14 X 19 X 19 CM, FBK 4,5 MPA (NBR 6136)</t>
  </si>
  <si>
    <t>MEIO BLOCO CONCRETO ESTRUTURAL 14 X 19 X 34 CM, FBK 14 MPA (NBR 6136)</t>
  </si>
  <si>
    <t>MEIO BLOCO ESTRUTURAL CERAMICO 14 X 19 X 14 CM, 4,0 MPA (NBR 15270)</t>
  </si>
  <si>
    <t>MEIO BLOCO ESTRUTURAL CERAMICO 14 X 19 X 14 CM, 6,0 MPA (NBR 15270)</t>
  </si>
  <si>
    <t>MEIO BLOCO ESTRUTURAL CERAMICO 14 X 19 X 19 CM, 4,0 MPA (NBR 15270)</t>
  </si>
  <si>
    <t>MEIO BLOCO ESTRUTURAL CERAMICO 14 X 19 X 19 CM, 6,0 MPA (NBR 15270)</t>
  </si>
  <si>
    <t>MEIO BLOCO VEDACAO CONCRETO APARENTE 14 X 19 X 19 CM  (CLASSE C - NBR 6136)</t>
  </si>
  <si>
    <t>MEIO BLOCO VEDACAO CONCRETO APARENTE 19 X 19 X 19 CM (CLASSE C - NBR 6136)</t>
  </si>
  <si>
    <t>MEIO BLOCO VEDACAO CONCRETO APARENTE 9  X 19 X 19 CM (CLASSE C - NBR 6136)</t>
  </si>
  <si>
    <t>MEIO BLOCO VEDACAO CONCRETO 14 X 19 X 19 CM (CLASSE C - NBR 6136)</t>
  </si>
  <si>
    <t>MEIO BLOCO VEDACAO CONCRETO 19 X 19 X 19 CM (CLASSE C - NBR 6136)</t>
  </si>
  <si>
    <t>MEIO BLOCO VEDACAO CONCRETO 9 X 19 X 19 CM (CLASSE C - NBR 6136)</t>
  </si>
  <si>
    <t>MEIO-FIO OU GUIA DE CONCRETO, PRE-MOLDADO, COMP 1 M, *30 X 15* CM (H X L)</t>
  </si>
  <si>
    <t>MEIO-FIO OU GUIA DE CONCRETO, PRE-MOLDADO, COMP 1 M, *30 X 15/ 12* CM (H X L1/L2)</t>
  </si>
  <si>
    <t>MEIO-FIO OU GUIA DE CONCRETO, PRE-MOLDADO, COMP 80 CM, *45 X 18 /12* CM (H X L1/L2)</t>
  </si>
  <si>
    <t>MEMBRANA IMPERMEABILIZANTE A BASE DE POLIUREIA, BICOMPONENTE, APLICACAO A FRIO</t>
  </si>
  <si>
    <t>MEMBRANA IMPERMEABILIZANTE A BASE DE POLIURETANO</t>
  </si>
  <si>
    <t>MEMBRANA IMPERMEABILIZANTE ACRILICA MONOCOMPONENTE</t>
  </si>
  <si>
    <t>MESA VIBRATORIA COM DIMENSOES DE 2,0 X 1,0 M, COM MOTOR ELETRICO DE 2 POLOS E POTENCIA DE 3 CV</t>
  </si>
  <si>
    <t>MESTRE DE OBRAS</t>
  </si>
  <si>
    <t>MESTRE DE OBRAS (MENSALISTA)</t>
  </si>
  <si>
    <t>METACAULIM DE ALTA REATIVIDADE/CAULIM CALCINADO</t>
  </si>
  <si>
    <t>MICRO-TRATOR CORTADOR DE GRAMA COM LARGURA DO CORTE DE 107 CM, COM  2 LAMINAS E DESCARTE LATERAL</t>
  </si>
  <si>
    <t>MICROESFERAS DE VIDRO PARA SINALIZACAO HORIZONTAL VIARIA, TIPO I-B (PREMIX) - NBR 16184</t>
  </si>
  <si>
    <t>MICROESFERAS DE VIDRO PARA SINALIZACAO HORIZONTAL VIARIA, TIPO II-A (DROP-ON) - NBR 16184</t>
  </si>
  <si>
    <t>MICTORIO COLETIVO ACO INOX (AISI 304), E = 0,8 MM, DE *100 X 40 X 30* CM (C X A X P)</t>
  </si>
  <si>
    <t>MICTORIO COLETIVO ACO INOX (AISI 304), E = 0,8 MM, DE *100 X 50 X 35* CM (C X A X P)</t>
  </si>
  <si>
    <t>MICTORIO INDIVIDUAL ACO INOX (AISI 304), E = 0,8 MM, DE *50  X 45  X 35* (C X A X P)</t>
  </si>
  <si>
    <t>MICTORIO SIFONADO LOUCA BRANCA SEM COMPLEMENTOS</t>
  </si>
  <si>
    <t>MICTORIO SIFONADO LOUCA COR SEM COMPLEMENTOS</t>
  </si>
  <si>
    <t>MINICARREGADEIRA SOBRE RODAS, POTENCIA LIQUIDA DE *47* HP, CAPACIDADE NOMINAL DE OPERACAO DE *646* KG</t>
  </si>
  <si>
    <t>MINICARREGADEIRA SOBRE RODAS, POTENCIA LIQUIDA DE *72* HP, CAPACIDADE NOMINAL DE OPERACAO DE *1200* KG</t>
  </si>
  <si>
    <t>MINIESCAVADEIRA SOBRE ESTEIRAS, POTENCIA LIQUIDA DE *30* HP, PESO OPERACIONAL DE *3.500* KG</t>
  </si>
  <si>
    <t>MINIESCAVADEIRA SOBRE ESTEIRAS, POTENCIA LIQUIDA DE *42* HP, PESO OPERACIONAL DE *4.500* KG</t>
  </si>
  <si>
    <t>MINIESCAVADEIRA SOBRE ESTEIRAS, POTENCIA LIQUIDA DE *42* HP, PESO OPERACIONAL DE *5.300* KG</t>
  </si>
  <si>
    <t>MINUTERIA ELETRONICA COLETIVA COM POTENCIA MAXIMA RESISTIVA PARA LAMPADAS FLUORESCENTES DE *300* W ( 110 V ) / *600* W ( 110 V )</t>
  </si>
  <si>
    <t>MISTURADOR BASE PARA CHUVEIRO/BANHEIRA, 1/2 " OU 3/4 ", SOLDAVEL OU ROSCAVEL</t>
  </si>
  <si>
    <t>MISTURADOR CROMADO DE MESA BICA BAIXA PARA LAVATORIO (REF 1875)</t>
  </si>
  <si>
    <t>MISTURADOR CROMADO DE PAREDE PARA LAVATORIO (REF 1178)</t>
  </si>
  <si>
    <t>MISTURADOR DE ARGAMASSA, EIXO HORIZONTAL, CAPACIDADE DE MISTURA 160 KG, MOTOR ELETRICO TRIFASICO 220/380 V, POTENCIA 3 CV</t>
  </si>
  <si>
    <t>MISTURADOR DE ARGAMASSA, EIXO HORIZONTAL, CAPACIDADE DE MISTURA 300 KG, MOTOR ELETRICO TRIFASICO 220/380 V, POTENCIA 5 CV</t>
  </si>
  <si>
    <t>MISTURADOR DE ARGAMASSA, EIXO HORIZONTAL, CAPACIDADE DE MISTURA 600 KG, MOTOR ELETRICO TRIFASICO 220/380 V, POTENCIA 7,5 CV</t>
  </si>
  <si>
    <t>MISTURADOR DE PAREDE CROMADO PARA COZINHA BICA MOVEL COM AREJADOR (REF 1258)</t>
  </si>
  <si>
    <t>MISTURADOR DUPLO HORIZONTAL DE ALTA TURBULENCIA, CAPACIDADE / VOLUME 2 X 500 LITROS, MOTORES ELETRICOS MINIMO 5 CV CADA,  PARA NATA CIMENTO, ARGAMASSA E OUTROS</t>
  </si>
  <si>
    <t>MISTURADOR MANUAL DE TINTAS PARA FURADEIRA, HASTE METALICA *60* CM, COM HELICE  (MEXEDOR DE TINTA)</t>
  </si>
  <si>
    <t>MISTURADOR MONOCOMANDO PARA CHUVEIRO, BASE BRUTA E ACABAMENTO CROMADO</t>
  </si>
  <si>
    <t>MOLA AEREA FECHA PORTA, PARA PORTAS COM LARGURA ATE 110 CM</t>
  </si>
  <si>
    <t>MOLA AEREA FECHA PORTA, PARA PORTAS COM LARGURA ATE 95 CM</t>
  </si>
  <si>
    <t>MOLA HIDRAULICA DE PISO P/ VIDRO TEMPERADO 10MM</t>
  </si>
  <si>
    <t>MONTADOR DE ELETROELETRONICOS</t>
  </si>
  <si>
    <t>MONTADOR DE ELETROELETRONICOS (MENSALISTA)</t>
  </si>
  <si>
    <t>MONTADOR DE ESTRUTURAS METALICAS</t>
  </si>
  <si>
    <t>MONTADOR DE ESTRUTURAS METALICAS (MENSALISTA)</t>
  </si>
  <si>
    <t>MONTADOR DE MAQUINAS</t>
  </si>
  <si>
    <t>MONTADOR DE MAQUINAS (MENSALISTA)</t>
  </si>
  <si>
    <t>MOTOBOMBA AUTOESCORVANTE MOTOR A GASOLINA, POTENCIA 6,0HP, BOCAIS 3" X 3", HM/Q = 5 MCA / 24 M3/H A 52,5 MCA / 5,0 M3/H</t>
  </si>
  <si>
    <t>MOTOBOMBA AUTOESCORVANTE MOTOR ELETRICO TRIFASICO 7,4HP BOCA DIAMETRO DE SUCCAO X RECLAQUE: 2"X2", HM/ Q = 10 M / 73,5 M3/H A 28 M / 8,2 M3 /H</t>
  </si>
  <si>
    <t>MOTOBOMBA AUTOESCORVANTE POTENCIA 5,42 HP, BOCAIS SUCCAO X RECALQUE 2" X 2", A GASOLINA, DIAMETRO DO ROTOR 122 MM HM/Q = 6 MCA / 33,0 M3/H A 28 MCA / 8,0 M3/H</t>
  </si>
  <si>
    <t>MOTOBOMBA CENTRIFUGA, MOTOR A GASOLINA, POTENCIA 5,42 HP, BOCAIS 1 1/2" X 1", DIAMETRO ROTOR 143 MM HM/Q = 6 MCA / 16,8 M3/H A 38 MCA / 6,6 M3/H</t>
  </si>
  <si>
    <t>MOTOBOMBA TRASH (PARA AGUA SUJA) AUTO ESCORVANTE, MOTOR GASOLINA DE 6,41 HP, DIAMETROS DE SUCCAO X RECALQUE: 3" X 3", HM/Q: 10/60 A 23/0</t>
  </si>
  <si>
    <t>MOTONIVELADORA POTENCIA BASICA LIQUIDA (PRIMEIRA MARCHA) 125 HP , PESO BRUTO 13843 KG, LARGURA DA LAMINA DE 3,7 M</t>
  </si>
  <si>
    <t>MOTONIVELADORA POTENCIA BASICA LIQUIDA (PRIMEIRA MARCHA) 171 HP, PESO BRUTO 14768 KG, LARGURA DA LAMINA DE 3,7 M</t>
  </si>
  <si>
    <t>MOTONIVELADORA POTENCIA BASICA LIQUIDA (PRIMEIRA MARCHA) 186 HP, PESO BRUTO 15785 KG, LARGURA DA LAMINA DE 4,3 M</t>
  </si>
  <si>
    <t>MOTOR A DIESEL PARA VIBRADOR DE IMERSAO, DE *4,7* CV</t>
  </si>
  <si>
    <t>MOTOR A GASOLINA PARA VIBRADOR DE IMERSAO, 4 TEMPOS, DE 5,5 CV</t>
  </si>
  <si>
    <t>MOTOR ELETRICO PARA VIBRADOR DE IMERSAO, DE 2 CV, MONOFASICO, 110/220 V</t>
  </si>
  <si>
    <t>MOTOR ELETRICO PARA VIBRADOR DE IMERSAO, DE 2 CV, TRIFASICO, 220/380 V</t>
  </si>
  <si>
    <t>MOTORISTA DE CAMINHAO</t>
  </si>
  <si>
    <t>MOTORISTA DE CAMINHAO (MENSALISTA)</t>
  </si>
  <si>
    <t>MOTORISTA DE CAMINHAO-BASCULANTE</t>
  </si>
  <si>
    <t>MOTORISTA DE CAMINHAO-BASCULANTE (MENSALISTA)</t>
  </si>
  <si>
    <t>MOTORISTA DE CAMINHAO-CARRETA</t>
  </si>
  <si>
    <t>MOTORISTA DE CAMINHAO-CARRETA (MENSALISTA)</t>
  </si>
  <si>
    <t>MOTORISTA DE CARRO DE PASSEIO</t>
  </si>
  <si>
    <t>MOTORISTA DE CARRO DE PASSEIO (MENSALISTA)</t>
  </si>
  <si>
    <t>MOTORISTA DE ONIBUS / MICRO-ONIBUS</t>
  </si>
  <si>
    <t>MOTORISTA DE ONIBUS / MICRO-ONIBUS (MENSALISTA)</t>
  </si>
  <si>
    <t>MOTORISTA OPERADOR DE CAMINHAO COM MUNCK</t>
  </si>
  <si>
    <t>MOTORISTA OPERADOR DE CAMINHAO COM MUNCK (MENSALISTA)</t>
  </si>
  <si>
    <t>MOTOSSERRA PORTATIL COM MOTOR A GASOLINA DE *60* CC</t>
  </si>
  <si>
    <t>MOURAO CONCRETO CURVO, SECAO "T", H = 2,80 M + CURVA COM 0,45 M, COM FUROS PARA FIOS</t>
  </si>
  <si>
    <t>MOURAO DE CONCRETO CURVO,10 X 10 CM, H= *2,60* M + CURVA DE 0,40 M</t>
  </si>
  <si>
    <t>MOURAO DE CONCRETO RETO, *10 X 10* CM, H= 2,30 M</t>
  </si>
  <si>
    <t>MOURAO DE CONCRETO RETO, TIPO ESTICADOR, *10 X 10* CM, H= 2,50 M</t>
  </si>
  <si>
    <t>MOURAO DE CONCRETO RETO, 10 X 10 CM, H= 2,00 M</t>
  </si>
  <si>
    <t>MOURAO DE CONCRETO RETO, 10 X 10 CM, H= 3,00 M</t>
  </si>
  <si>
    <t>MUDA DE ARBUSTO FLORIFERO, CLUSIA/GARDENIA/MOREIA BRANCA/ AZALEIA OU EQUIVALENTE DA REGIAO, H= *50 A 70* CM</t>
  </si>
  <si>
    <t>MUDA DE ARBUSTO FOLHAGEM, SANSAO-DO-CAMPO OU EQUIVALENTE DA REGIAO, H= *50 A 70* CM</t>
  </si>
  <si>
    <t>MUDA DE ARBUSTO, BUXINHO, H= *50* M</t>
  </si>
  <si>
    <t>MUDA DE ARBUSTO, PINGO DE OURO/ VIOLETEIRA, H = *10 A 20* CM</t>
  </si>
  <si>
    <t>MUDA DE ARVORE ORNAMENTAL, OITI/AROEIRA SALSA/ANGICO/IPE/JACARANDA OU EQUIVALENTE  DA REGIAO, H= *1* M</t>
  </si>
  <si>
    <t>MUDA DE ARVORE ORNAMENTAL, OITI/AROEIRA SALSA/ANGICO/IPE/JACARANDA OU EQUIVALENTE  DA REGIAO, H= *2* M</t>
  </si>
  <si>
    <t>MUDA DE PALMEIRA, ARECA, H= *1,50* CM</t>
  </si>
  <si>
    <t>MUDA DE RASTEIRA/FORRACAO, AMENDOIM RASTEIRO/ONZE HORAS/AZULZINHA/IMPATIENS OU EQUIVALENTE DA REGIAO</t>
  </si>
  <si>
    <t>MUFLA TERMINAL PRIMARIA UNIPOLAR USO EXTERNO PARA CABO 25/70MM2 ISOL, 3,6/6KV EM EPR - BORRACHA DE SILICONE</t>
  </si>
  <si>
    <t>MUFLA TERMINAL PRIMARIA UNIPOLAR USO INTERNO PARA CABO 25/70MM2 ISOL 6/10KV EM EPR- BORRACHA DE SILICONE</t>
  </si>
  <si>
    <t>MUFLA TERMINAL PRIMARIA UNIPOLAR USO INTERNO PARA CABO 35/120MM2 ISOLACAO 15/25KV EM EPR - BORRACHA DE SILICONE</t>
  </si>
  <si>
    <t>MUFLA TERMINAL PRIMARIA UNIPOLAR USO INTERNO PARA CABO 35/70MM2 ISOLACAO 8,7/15KV EM EPR - BORRACHA DE SILICONE</t>
  </si>
  <si>
    <t>MULTIEXERCITADOR COM SEIS FUNCOES, EM TUBO DE ACO CARBONO, PINTURA NO PROCESSO ELETROSTATICO - EQUIPAMENTO DE GINASTICA PARA ACADEMIA AO AR LIVRE / ACADEMIA DA TERCEIRA IDADE - ATI</t>
  </si>
  <si>
    <t>NIPEL PVC, ROSCAVEL, 1 1/2",  AGUA FRIA PREDIAL</t>
  </si>
  <si>
    <t>NIPEL PVC, ROSCAVEL, 1 1/4",  AGUA FRIA PREDIAL</t>
  </si>
  <si>
    <t>NIPEL PVC, ROSCAVEL, 1/2",  AGUA FRIA PREDIAL</t>
  </si>
  <si>
    <t>NIPEL PVC, ROSCAVEL, 1",  AGUA FRIA PREDIAL</t>
  </si>
  <si>
    <t>NIPEL PVC, ROSCAVEL, 2",  AGUA FRIA PREDIAL</t>
  </si>
  <si>
    <t>NIPEL PVC, ROSCAVEL, 3/4",  AGUA FRIA PREDIAL</t>
  </si>
  <si>
    <t>NIPLE DE FERRO GALVANIZADO, COM ROSCA BSP, DE 1 1/2"</t>
  </si>
  <si>
    <t>NIPLE DE FERRO GALVANIZADO, COM ROSCA BSP, DE 1 1/4"</t>
  </si>
  <si>
    <t>NIPLE DE FERRO GALVANIZADO, COM ROSCA BSP, DE 1/2"</t>
  </si>
  <si>
    <t>NIPLE DE FERRO GALVANIZADO, COM ROSCA BSP, DE 1"</t>
  </si>
  <si>
    <t>NIPLE DE FERRO GALVANIZADO, COM ROSCA BSP, DE 2 1/2"</t>
  </si>
  <si>
    <t>NIPLE DE FERRO GALVANIZADO, COM ROSCA BSP, DE 2"</t>
  </si>
  <si>
    <t>NIPLE DE FERRO GALVANIZADO, COM ROSCA BSP, DE 3/4"</t>
  </si>
  <si>
    <t>NIPLE DE FERRO GALVANIZADO, COM ROSCA BSP, DE 3"</t>
  </si>
  <si>
    <t>NIPLE DE FERRO GALVANIZADO, COM ROSCA BSP, DE 4"</t>
  </si>
  <si>
    <t>NIPLE DE FERRO GALVANIZADO, COM ROSCA BSP, DE 5"</t>
  </si>
  <si>
    <t>NIPLE DE FERRO GALVANIZADO, COM ROSCA BSP, DE 6"</t>
  </si>
  <si>
    <t>NIPLE DE REDUCAO DE FERRO GALVANIZADO, COM ROSCA BSP, DE 1 1/2" X 1 1/4"</t>
  </si>
  <si>
    <t>NIPLE DE REDUCAO DE FERRO GALVANIZADO, COM ROSCA BSP, DE 1 1/2" X 1"</t>
  </si>
  <si>
    <t>NIPLE DE REDUCAO DE FERRO GALVANIZADO, COM ROSCA BSP, DE 1 1/2" X 3/4"</t>
  </si>
  <si>
    <t>NIPLE DE REDUCAO DE FERRO GALVANIZADO, COM ROSCA BSP, DE 1 1/4" X 1/2"</t>
  </si>
  <si>
    <t>NIPLE DE REDUCAO DE FERRO GALVANIZADO, COM ROSCA BSP, DE 1 1/4" X 1"</t>
  </si>
  <si>
    <t>NIPLE DE REDUCAO DE FERRO GALVANIZADO, COM ROSCA BSP, DE 1 1/4" X 3/4"</t>
  </si>
  <si>
    <t>NIPLE DE REDUCAO DE FERRO GALVANIZADO, COM ROSCA BSP, DE 1/2" X 1/4"</t>
  </si>
  <si>
    <t>NIPLE DE REDUCAO DE FERRO GALVANIZADO, COM ROSCA BSP, DE 1" X 1/2"</t>
  </si>
  <si>
    <t>NIPLE DE REDUCAO DE FERRO GALVANIZADO, COM ROSCA BSP, DE 1" X 3/4"</t>
  </si>
  <si>
    <t>NIPLE DE REDUCAO DE FERRO GALVANIZADO, COM ROSCA BSP, DE 2 1/2" X 2"</t>
  </si>
  <si>
    <t>NIPLE DE REDUCAO DE FERRO GALVANIZADO, COM ROSCA BSP, DE 2" X 1 1/2"</t>
  </si>
  <si>
    <t>NIPLE DE REDUCAO DE FERRO GALVANIZADO, COM ROSCA BSP, DE 2" X 1 1/4"</t>
  </si>
  <si>
    <t>NIPLE DE REDUCAO DE FERRO GALVANIZADO, COM ROSCA BSP, DE 2" X 1"</t>
  </si>
  <si>
    <t>NIPLE DE REDUCAO DE FERRO GALVANIZADO, COM ROSCA BSP, DE 3/4" X 1/2"</t>
  </si>
  <si>
    <t>NIPLE DE REDUCAO DE FERRO GALVANIZADO, COM ROSCA BSP, DE 3" X 2 1/2"</t>
  </si>
  <si>
    <t>NIPLE DE REDUCAO DE FERRO GALVANIZADO, COM ROSCA BSP, DE 3" X 2"</t>
  </si>
  <si>
    <t>NIPLE SEXTAVADO EM ACO CARBONO, COM ROSCA BSP, PRESSAO 3.000 LBS, DN 1 1/2"</t>
  </si>
  <si>
    <t>NIPLE SEXTAVADO EM ACO CARBONO, COM ROSCA BSP, PRESSAO 3.000 LBS, DN 1 1/4"</t>
  </si>
  <si>
    <t>NIPLE SEXTAVADO EM ACO CARBONO, COM ROSCA BSP, PRESSAO 3.000 LBS, DN 1/2"</t>
  </si>
  <si>
    <t>NIPLE SEXTAVADO EM ACO CARBONO, COM ROSCA BSP, PRESSAO 3.000 LBS, DN 1"</t>
  </si>
  <si>
    <t>NIPLE SEXTAVADO EM ACO CARBONO, COM ROSCA BSP, PRESSAO 3.000 LBS, DN 2 1/2"</t>
  </si>
  <si>
    <t>NIPLE SEXTAVADO EM ACO CARBONO, COM ROSCA BSP, PRESSAO 3.000 LBS, DN 2"</t>
  </si>
  <si>
    <t>NIPLE SEXTAVADO EM ACO CARBONO, COM ROSCA BSP, PRESSAO 3.000 LBS, DN 3/4"</t>
  </si>
  <si>
    <t>NIVELADOR</t>
  </si>
  <si>
    <t>NIVELADOR (MENSALISTA)</t>
  </si>
  <si>
    <t>NOBREAK TRIFASICO, DE 10 KVA FATOR DE POTENCIA DE 0,8, AUTONOMIA MINIMA DE 30 MINUTOS A PLENA CARGA</t>
  </si>
  <si>
    <t>NOBREAK TRIFASICO, DE 15 KVA FATOR DE POTENCIA DE 0,8, AUTONOMIA MINIMA DE 30 MINUTOS A PLENA CARGA</t>
  </si>
  <si>
    <t>NOBREAK TRIFASICO, DE 20 KVA FATOR DE POTENCIA DE 0,8, AUTONOMIA MINIMA DE 30 MINUTOS A PLENA CARGA</t>
  </si>
  <si>
    <t>NOBREAK TRIFASICO, DE 25 KVA FATOR DE POTENCIA DE 0,8, AUTONOMIA MINIMA DE 30 MINUTOS A PLENA CARGA</t>
  </si>
  <si>
    <t>NOBREAK TRIFASICO, DE 5 KVA FATOR DE POTENCIA DE 0,8, AUTONOMIA MINIMA DE 30 MINUTOS A PLENA CARGA</t>
  </si>
  <si>
    <t>NUMERO / ALGARISMO PARA PORTA, TAMANHO *40* MM, EM ZAMAC, (MODELO DE 0 A 9), FIXACAO POR PARAFUSOS</t>
  </si>
  <si>
    <t>NUMERO / ALGARISMO PARA RESIDENCIA (FACHADA), TAMANHO *120* MM, EM ZAMAC, (MODELO DE 0 A 9), FIXACAO POR PARAFUSOS</t>
  </si>
  <si>
    <t>OCULOS DE SEGURANCA CONTRA IMPACTOS COM LENTE INCOLOR, ARMACAO NYLON, COM PROTECAO UVA E UVB</t>
  </si>
  <si>
    <t>OLEO COMBUSTIVEL BPF A GRANEL</t>
  </si>
  <si>
    <t>OLEO DE LINHACA</t>
  </si>
  <si>
    <t>OLEO DIESEL COMBUSTIVEL COMUM</t>
  </si>
  <si>
    <t>OLEO LUBRIFICANTE PARA MOTORES DE EQUIPAMENTOS PESADOS (CAMINHOES, TRATORES, RETROS E ETC)</t>
  </si>
  <si>
    <t>OLHO MAGICO / VISOR PARA PORTA DE *25 A 46* MM DE ESPESSURA, ANGULO DE VISAO APROXIMADO DE 200 GRAUS, LATAO CROMADO, COM FECHO JANELA</t>
  </si>
  <si>
    <t>OPERADOR DE BATE-ESTACAS</t>
  </si>
  <si>
    <t>OPERADOR DE BATE-ESTACAS (MENSALISTA)</t>
  </si>
  <si>
    <t>OPERADOR DE BETONEIRA (CAMINHAO)</t>
  </si>
  <si>
    <t>OPERADOR DE BETONEIRA (CAMINHAO) (MENSALISTA)</t>
  </si>
  <si>
    <t>OPERADOR DE BETONEIRA ESTACIONARIA / MISTURADOR</t>
  </si>
  <si>
    <t>OPERADOR DE BETONEIRA ESTACIONARIA / MISTURADOR (MENSALISTA)</t>
  </si>
  <si>
    <t>OPERADOR DE COMPRESSOR DE AR OU COMPRESSORISTA</t>
  </si>
  <si>
    <t>OPERADOR DE COMPRESSOR DE AR OU COMPRESSORISTA (MENSALISTA)</t>
  </si>
  <si>
    <t>OPERADOR DE DEMARCADORA DE FAIXAS DE TRAFEGO</t>
  </si>
  <si>
    <t>OPERADOR DE DEMARCADORA DE FAIXAS DE TRAFEGO (MENSALISTA)</t>
  </si>
  <si>
    <t>OPERADOR DE ESCAVADEIRA</t>
  </si>
  <si>
    <t>OPERADOR DE ESCAVADEIRA (MENSALISTA)</t>
  </si>
  <si>
    <t>OPERADOR DE GUINCHO OU GUINCHEIRO</t>
  </si>
  <si>
    <t>OPERADOR DE GUINCHO OU GUINCHEIRO (MENSALISTA)</t>
  </si>
  <si>
    <t>OPERADOR DE GUINDASTE</t>
  </si>
  <si>
    <t>OPERADOR DE GUINDASTE (MENSALISTA)</t>
  </si>
  <si>
    <t>OPERADOR DE JATO ABRASIVO OU JATISTA</t>
  </si>
  <si>
    <t>OPERADOR DE JATO ABRASIVO OU JATISTA (MENSALISTA)</t>
  </si>
  <si>
    <t>OPERADOR DE MAQUINAS E TRATORES DIVERSOS (TERRAPLANAGEM)</t>
  </si>
  <si>
    <t>OPERADOR DE MAQUINAS E TRATORES DIVERSOS (TERRAPLANAGEM) (MENSALISTA)</t>
  </si>
  <si>
    <t>OPERADOR DE MARTELETE OU MARTELETEIRO</t>
  </si>
  <si>
    <t>OPERADOR DE MARTELETE OU MARTELETEIRO (MENSALISTA)</t>
  </si>
  <si>
    <t>OPERADOR DE MOTO SCRAPER</t>
  </si>
  <si>
    <t>OPERADOR DE MOTO SCRAPER (MENSALISTA)</t>
  </si>
  <si>
    <t>OPERADOR DE MOTONIVELADORA</t>
  </si>
  <si>
    <t>OPERADOR DE MOTONIVELADORA (MENSALISTA)</t>
  </si>
  <si>
    <t>OPERADOR DE PA CARREGADEIRA</t>
  </si>
  <si>
    <t>OPERADOR DE PA CARREGADEIRA (MENSALISTA)</t>
  </si>
  <si>
    <t>OPERADOR DE PAVIMENTADORA / MESA VIBROACABADORA</t>
  </si>
  <si>
    <t>OPERADOR DE PAVIMENTADORA / MESA VIBROACABADORA (MENSALISTA)</t>
  </si>
  <si>
    <t>OPERADOR DE ROLO COMPACTADOR</t>
  </si>
  <si>
    <t>OPERADOR DE ROLO COMPACTADOR (MENSALISTA)</t>
  </si>
  <si>
    <t>OPERADOR DE TRATOR - EXCLUSIVE AGROPECUARIA</t>
  </si>
  <si>
    <t>OPERADOR DE TRATOR - EXCLUSIVE AGROPECUARIA (MENSALISTA)</t>
  </si>
  <si>
    <t>OPERADOR DE USINA DE ASFALTO, DE SOLOS OU DE CONCRETO</t>
  </si>
  <si>
    <t>OPERADOR DE USINA DE ASFALTO, DE SOLOS OU DE CONCRETO (MENSALISTA)</t>
  </si>
  <si>
    <t>OXIGENIO, RECARGA PARA CILINDRO DE CONJUNTO OXICORTE GRANDE</t>
  </si>
  <si>
    <t>PA CARREGADEIRA SOBRE RODAS, POTENCIA BRUTA *127* CV, CAPACIDADE DA CACAMBA DE 2,0 A 2,4 M3, PESO OPERACIONAL MAXIMO DE 10330 KG</t>
  </si>
  <si>
    <t>PA CARREGADEIRA SOBRE RODAS, POTENCIA LIQUIDA 128 HP, CAPACIDADE DA CACAMBA DE 1,7 A 2,8 M3, PESO OPERACIONAL MAXIMO DE 11632 KG</t>
  </si>
  <si>
    <t>PA CARREGADEIRA SOBRE RODAS, POTENCIA LIQUIDA 197 HP, CAPACIDADE DA CACAMBA DE 2,5 A 3,5 M3, PESO OPERACIONAL MAXIMO DE 18338 KG</t>
  </si>
  <si>
    <t>PA CARREGADEIRA SOBRE RODAS, POTENCIA LIQUIDA 213 HP, CAPACIDADE DA CACAMBA DE 1,9 A 3,5 M3, PESO OPERACIONAL MAXIMO DE 19234 KG</t>
  </si>
  <si>
    <t>PA CARREGADEIRA SOBRE RODAS, POTENCIA 152 HP, CAPACIDADE DA CACAMBA DE 1,53 A 2,30 M3, PESO OPERACIONAL MAXIMO DE 10216 KG</t>
  </si>
  <si>
    <t>PA DE LIXO PLASTICA, CABO LONGO</t>
  </si>
  <si>
    <t>PAINEL DE LA DE VIDRO SEM REVESTIMENTO PSI 20, E = 25 MM, DE 1200 X 600 MM</t>
  </si>
  <si>
    <t>PAINEL DE LA DE VIDRO SEM REVESTIMENTO PSI 20, E = 50 MM, DE 1200 X 600 MM</t>
  </si>
  <si>
    <t>PAINEL DE LA DE VIDRO SEM REVESTIMENTO PSI 40, E = 25 MM, DE 1200 X 600 MM</t>
  </si>
  <si>
    <t>PAINEL DE LA DE VIDRO SEM REVESTIMENTO PSI 40, E = 50 MM, DE 1200 X 600 MM</t>
  </si>
  <si>
    <t>PAINEL ESTRUTURAL PARA LAJE SECA REVESTIDO EM PLACA CIMENTICIA, DE 1,20 X 2,50 M, E = 23 MM</t>
  </si>
  <si>
    <t>PAINEL ESTRUTURAL PARA LAJE SECA REVESTIDO EM PLACA CIMENTICIA, DE 1,20 X 2,50 M, E = 40 MM</t>
  </si>
  <si>
    <t>PAINEL ESTRUTURAL PARA LAJE SECA REVESTIDO EM PLACA CIMENTICIA, DE 1,20 X 2,50 M, E = 55 MM</t>
  </si>
  <si>
    <t>PAINEL TERMOISOLANTE PARA FECHAMENTOS VERTICAIS (INCLUI PARAFUSOS DE FIXACAO) REVESTIDO EM ACO GALVALUME, LARGURA UTIL DE 1100 MM, REVESTIMENTO COM ESPESSURA DE 0,50 MM, COM PRE-PINTURA NAS DUAS FACES, NUCLEO EM POLIURETANO (PUR) COM ESPESSURA 40/50 MM</t>
  </si>
  <si>
    <t>PAINEL TERMOISOLANTE PARA FECHAMENTOS VERTICAIS (INCLUI PARAFUSOS DE FIXACAO) REVESTIDO EM ACO GALVALUME, LARGURA UTIL DE 1100 MM, REVESTIMENTO COM ESPESSURA DE 0,50 MM, COM PRE-PINTURA NAS DUAS FACES, NUCLEO EM POLIURETANO (PUR) COM ESPESSURA 70/80 MM</t>
  </si>
  <si>
    <t>PAPEL KRAFT BETUMADO</t>
  </si>
  <si>
    <t>PAPELEIRA DE PAREDE EM METAL CROMADO SEM TAMPA</t>
  </si>
  <si>
    <t>PAPELEIRA PLASTICA TIPO DISPENSER PARA PAPEL HIGIENICO ROLAO</t>
  </si>
  <si>
    <t>PAR DE TABELAS DE BASQUETE EM COMPENSADO NAVAL DE *1,80 X 1,20* M, COM ARO DE METAL E REDE (SEM SUPORTE DE FIXACAO)</t>
  </si>
  <si>
    <t>PARA-RAIOS DE BAIXA TENSAO, TENSAO DE OPERACAO *280* V , CORRENTE MAXIMA *20* KA</t>
  </si>
  <si>
    <t>PARA-RAIOS DE DISTRIBUICAO, TENSAO NOMINAL 15 KV, CORRENTE NOMINAL DE DESCARGA 5 KA</t>
  </si>
  <si>
    <t>PARA-RAIOS DE DISTRIBUICAO, TENSAO NOMINAL 30 KV, CORRENTE NOMINAL DE DESCARGA 10 KA</t>
  </si>
  <si>
    <t>PARA-RAIOS TIPO FRANKLIN 350 MM, EM LATAO CROMADO, DUAS DESCIDAS, PARA PROTECAO DE EDIFICACOES CONTRA DESCARGAS ATMOSFERICAS</t>
  </si>
  <si>
    <t>PARAFUSO CABECA TROMBETA E PONTA AGULHA (GN55), COMPRIMENTO 55 MM, EM ACO FOSFATIZADO, PARA FIXAR CHAPA DE GESSO EM PERFIL DRYWALL METALICO MAXIMO 0,7 MM</t>
  </si>
  <si>
    <t>PARAFUSO DE ACO TIPO CHUMBADOR PARABOLT, DIAMETRO 1/2", COMPRIMENTO 75 MM</t>
  </si>
  <si>
    <t>PARAFUSO DE ACO TIPO CHUMBADOR PARABOLT, DIAMETRO 3/8", COMPRIMENTO 75 MM</t>
  </si>
  <si>
    <t>PARAFUSO DE ACO ZINCADO COM ROSCA SOBERBA, CABECA CHATA E FENDA SIMPLES, DIAMETRO 2,5 MM, COMPRIMENTO * 9,5 * MM</t>
  </si>
  <si>
    <t>PARAFUSO DE ACO ZINCADO COM ROSCA SOBERBA, CABECA CHATA E FENDA SIMPLES, DIAMETRO 4,2 MM, COMPRIMENTO * 32 * MM</t>
  </si>
  <si>
    <t>PARAFUSO DE ACO ZINCADO COM ROSCA SOBERBA, CABECA CHATA E FENDA SIMPLES, DIAMETRO 4,8 MM, COMPRIMENTO 45 MM</t>
  </si>
  <si>
    <t>PARAFUSO DE FERRO POLIDO, SEXTAVADO, COM ROSCA INTEIRA, DIAMETRO 5/16", COMPRIMENTO 3/4", COM PORCA E ARRUELA LISA LEVE</t>
  </si>
  <si>
    <t>PARAFUSO DE FERRO POLIDO, SEXTAVADO, COM ROSCA PARCIAL, DIAMETRO 5/8", COMPRIMENTO 6", COM PORCA E ARRUELA DE PRESSAO MEDIA</t>
  </si>
  <si>
    <t>PARAFUSO DE LATAO COM ACABAMENTO CROMADO PARA FIXAR PECA SANITARIA, INCLUI PORCA CEGA, ARRUELA E BUCHA DE NYLON TAMANHO S-10</t>
  </si>
  <si>
    <t>PARAFUSO DE LATAO COM ROSCA SOBERBA, CABECA CHATA E FENDA SIMPLES, DIAMETRO 2,5 MM, COMPRIMENTO 12 MM</t>
  </si>
  <si>
    <t>PARAFUSO DE LATAO COM ROSCA SOBERBA, CABECA CHATA E FENDA SIMPLES, DIAMETRO 3,2 MM, COMPRIMENTO 16 MM</t>
  </si>
  <si>
    <t>PARAFUSO DE LATAO COM ROSCA SOBERBA, CABECA CHATA E FENDA SIMPLES, DIAMETRO 4,8 MM, COMPRIMENTO 65 MM</t>
  </si>
  <si>
    <t>PARAFUSO DRY WALL, EM ACO FOSFATIZADO, CABECA TROMBETA E PONTA AGULHA (TA), COMPRIMENTO 25 MM</t>
  </si>
  <si>
    <t>PARAFUSO DRY WALL, EM ACO FOSFATIZADO, CABECA TROMBETA E PONTA AGULHA (TA), COMPRIMENTO 35 MM</t>
  </si>
  <si>
    <t>PARAFUSO DRY WALL, EM ACO FOSFATIZADO, CABECA TROMBETA E PONTA AGULHA (TA), COMPRIMENTO 45 MM</t>
  </si>
  <si>
    <t>PARAFUSO DRY WALL, EM ACO FOSFATIZADO, CABECA TROMBETA E PONTA BROCA (TB), COMPRIMENTO 25 MM</t>
  </si>
  <si>
    <t>PARAFUSO DRY WALL, EM ACO FOSFATIZADO, CABECA TROMBETA E PONTA BROCA (TB), COMPRIMENTO 35 MM</t>
  </si>
  <si>
    <t>PARAFUSO DRY WALL, EM ACO FOSFATIZADO, CABECA TROMBETA E PONTA BROCA (TB), COMPRIMENTO 45 MM</t>
  </si>
  <si>
    <t>PARAFUSO DRY WALL, EM ACO ZINCADO, CABECA LENTILHA E PONTA AGULHA (LA), LARGURA 4,2 MM, COMPRIMENTO 13 MM</t>
  </si>
  <si>
    <t>PARAFUSO DRY WALL, EM ACO ZINCADO, CABECA LENTILHA E PONTA BROCA (LB), LARGURA 4,2 MM, COMPRIMENTO 13 MM</t>
  </si>
  <si>
    <t>PARAFUSO EM ACO GALVANIZADO, TIPO MAQUINA, SEXTAVADO, SEM PORCA, DIAMETRO 1/2", COMPRIMENTO 2"</t>
  </si>
  <si>
    <t>PARAFUSO FRANCES METRICO ZINCADO, DIAMETRO 12 MM, COMPRIMENTO 140MM, COM PORCA SEXTAVADA E ARRUELA DE PRESSAO MEDIA</t>
  </si>
  <si>
    <t>PARAFUSO FRANCES METRICO ZINCADO, DIAMETRO 12 MM, COMPRIMENTO 150 MM, COM PORCA SEXTAVADA E ARRUELA DE PRESSAO MEDIA</t>
  </si>
  <si>
    <t>PARAFUSO FRANCES M16 EM ACO GALVANIZADO, COMPRIMENTO = 150 MM, DIAMETRO = 16 MM, CABECA ABAULADA</t>
  </si>
  <si>
    <t>PARAFUSO FRANCES M16 EM ACO GALVANIZADO, COMPRIMENTO = 45 MM, DIAMETRO = 16 MM, CABECA ABAULADA</t>
  </si>
  <si>
    <t>PARAFUSO FRANCES ZINCADO, DIAMETRO 1/2'', COMPRIMENTO 2'', COM PORCA E ARRUELA</t>
  </si>
  <si>
    <t>PARAFUSO FRANCES ZINCADO, DIAMETRO 1/2", COMPRIMENTO 12", COM PORCA E ARRUELA LISA MEDIA</t>
  </si>
  <si>
    <t>PARAFUSO FRANCES ZINCADO, DIAMETRO 1/2", COMPRIMENTO 15", COM PORCA E ARRUELA LISA MEDIA</t>
  </si>
  <si>
    <t>PARAFUSO FRANCES ZINCADO, DIAMETRO 1/2", COMPRIMENTO 4", COM PORCA E ARRUELA</t>
  </si>
  <si>
    <t>PARAFUSO M16 EM ACO GALVANIZADO, COMPRIMENTO = 125 MM, DIAMETRO = 16 MM, ROSCA MAQUINA, CABECA QUADRADA</t>
  </si>
  <si>
    <t>PARAFUSO M16 EM ACO GALVANIZADO, COMPRIMENTO = 150 MM, DIAMETRO = 16 MM, ROSCA MAQUINA, CABECA QUADRADA</t>
  </si>
  <si>
    <t>PARAFUSO M16 EM ACO GALVANIZADO, COMPRIMENTO = 200 MM, DIAMETRO = 16 MM, ROSCA MAQUINA, CABECA QUADRADA</t>
  </si>
  <si>
    <t>PARAFUSO M16 EM ACO GALVANIZADO, COMPRIMENTO = 250 MM, DIAMETRO = 16 MM, ROSCA MAQUINA, CABECA QUADRADA</t>
  </si>
  <si>
    <t>PARAFUSO M16 EM ACO GALVANIZADO, COMPRIMENTO = 300 MM, DIAMETRO = 16 MM, ROSCA DUPLA</t>
  </si>
  <si>
    <t>PARAFUSO M16 EM ACO GALVANIZADO, COMPRIMENTO = 300 MM, DIAMETRO = 16 MM, ROSCA MAQUINA, CABECA QUADRADA</t>
  </si>
  <si>
    <t>PARAFUSO M16 EM ACO GALVANIZADO, COMPRIMENTO = 350 MM, DIAMETRO = 16 MM, ROSCA MAQUINA, CABECA QUADRADA</t>
  </si>
  <si>
    <t>PARAFUSO M16 EM ACO GALVANIZADO, COMPRIMENTO = 400 MM, DIAMETRO = 16 MM, ROSCA DUPLA</t>
  </si>
  <si>
    <t>PARAFUSO M16 EM ACO GALVANIZADO, COMPRIMENTO = 450 MM, DIAMETRO = 16 MM, ROSCA MAQUINA, CABECA QUADRADA</t>
  </si>
  <si>
    <t>PARAFUSO M16 EM ACO GALVANIZADO, COMPRIMENTO = 500 MM, DIAMETRO = 16 MM, ROSCA MAQUINA, COM CABECA SEXTAVADA E PORCA</t>
  </si>
  <si>
    <t>PARAFUSO NIQUELADO COM ACABAMENTO CROMADO PARA FIXAR PECA SANITARIA, INCLUI PORCA CEGA, ARRUELA E BUCHA DE NYLON TAMANHO S-10</t>
  </si>
  <si>
    <t>PARAFUSO NIQUELADO 3 1/2" COM ACABAMENTO CROMADO PARA FIXAR PECA SANITARIA, INCLUI PORCA CEGA, ARRUELA E BUCHA DE NYLON TAMANHO S-8</t>
  </si>
  <si>
    <t>PARAFUSO ROSCA SOBERBA ZINCADO CABECA CHATA FENDA SIMPLES 3,2 X 20 MM (3/4 ")</t>
  </si>
  <si>
    <t>PARAFUSO ROSCA SOBERBA ZINCADO CABECA CHATA FENDA SIMPLES 3,5 X 25 MM (1 ")</t>
  </si>
  <si>
    <t>PARAFUSO ROSCA SOBERBA ZINCADO CABECA CHATA FENDA SIMPLES 3,8 X 30 MM (1.1/4 ")</t>
  </si>
  <si>
    <t>PARAFUSO ROSCA SOBERBA ZINCADO CABECA CHATA FENDA SIMPLES 4,8 X 40 MM (1.1/2 ")</t>
  </si>
  <si>
    <t>PARAFUSO ROSCA SOBERBA ZINCADO CABECA CHATA FENDA SIMPLES 5,5 X 50 MM (2 ")</t>
  </si>
  <si>
    <t>PARAFUSO ROSCA SOBERBA ZINCADO CABECA CHATA FENDA SIMPLES 5,5 X 65 MM (2.1/2 ")</t>
  </si>
  <si>
    <t>PARAFUSO ZINCADO ROSCA SOBERBA 5/16 " X 120 MM PARA TELHA FIBROCIMENTO</t>
  </si>
  <si>
    <t>PARAFUSO ZINCADO ROSCA SOBERBA, CABECA SEXTAVADA, 5/16 " X 110 MM, PARA FIXACAO DE TELHA EM MADEIRA</t>
  </si>
  <si>
    <t>PARAFUSO ZINCADO ROSCA SOBERBA, CABECA SEXTAVADA, 5/16 " X 150 MM, PARA FIXACAO DE TELHA EM MADEIRA</t>
  </si>
  <si>
    <t>PARAFUSO ZINCADO ROSCA SOBERBA, CABECA SEXTAVADA, 5/16 " X 180 MM, PARA FIXACAO DE TELHA EM MADEIRA</t>
  </si>
  <si>
    <t>PARAFUSO ZINCADO ROSCA SOBERBA, CABECA SEXTAVADA, 5/16 " X 200 MM, PARA FIXACAO DE TELHA EM MADEIRA</t>
  </si>
  <si>
    <t>PARAFUSO ZINCADO ROSCA SOBERBA, CABECA SEXTAVADA, 5/16 " X 230 MM, PARA FIXACAO DE TELHA EM MADEIRA</t>
  </si>
  <si>
    <t>PARAFUSO ZINCADO ROSCA SOBERBA, CABECA SEXTAVADA, 5/16 " X 250 MM, PARA FIXACAO DE TELHA EM MADEIRA</t>
  </si>
  <si>
    <t>PARAFUSO ZINCADO ROSCA SOBERBA, CABECA SEXTAVADA, 5/16 " X 50 MM, PARA FIXACAO DE TELHA EM MADEIRA</t>
  </si>
  <si>
    <t>PARAFUSO ZINCADO ROSCA SOBERBA, CABECA SEXTAVADA, 5/16 " X 85 MM, PARA FIXACAO DE TELHA EM MADEIRA</t>
  </si>
  <si>
    <t>PARAFUSO ZINCADO 5/16 " X 250 MM PARA FIXACAO DE TELHA DE FIBROCIMENTO CANALETE 49, INCLUI BUCHA NYLON S-10</t>
  </si>
  <si>
    <t>PARAFUSO ZINCADO 5/16 " X 85 MM PARA FIXACAO DE TELHA DE FIBROCIMENTO CANALETE 90, INCLUI BUCHA NYLON S-10</t>
  </si>
  <si>
    <t>PARAFUSO ZINCADO, AUTOBROCANTE, FLANGEADO, 4,2 MM X 19 MM</t>
  </si>
  <si>
    <t>PARAFUSO ZINCADO, SEXTAVADO, COM ROSCA INTEIRA, DIAMETRO 1/4", COMPRIMENTO 1/2"</t>
  </si>
  <si>
    <t>PARAFUSO ZINCADO, SEXTAVADO, COM ROSCA INTEIRA, DIAMETRO 3/8", COMPRIMENTO 2"</t>
  </si>
  <si>
    <t>PARAFUSO ZINCADO, SEXTAVADO, COM ROSCA INTEIRA, DIAMETRO 5/8", COMPRIMENTO 2 1/4"</t>
  </si>
  <si>
    <t>PARAFUSO ZINCADO, SEXTAVADO, COM ROSCA INTEIRA, DIAMETRO 5/8", COMPRIMENTO 3", COM PORCA E ARRUELA DE PRESSAO MEDIA</t>
  </si>
  <si>
    <t>PARAFUSO ZINCADO, SEXTAVADO, COM ROSCA SOBERBA, DIAMETRO 3/8", COMPRIMENTO 80 MM</t>
  </si>
  <si>
    <t>PARAFUSO ZINCADO, SEXTAVADO, COM ROSCA SOBERBA, DIAMETRO 5/16", COMPRIMENTO 40 MM</t>
  </si>
  <si>
    <t>PARAFUSO ZINCADO, SEXTAVADO, COM ROSCA SOBERBA, DIAMETRO 5/16", COMPRIMENTO 80 MM</t>
  </si>
  <si>
    <t>PARAFUSO ZINCADO, SEXTAVADO, GRAU 5, ROSCA INTEIRA, DIAMETRO 1 1/2", COMPRIMENTO 4"</t>
  </si>
  <si>
    <t>PARAFUSO, ASTM A307 - GRAU A, SEXTAVADO, ZINCADO, DIAMETRO 3/8" (9,52 MM), COMPRIMENTO 1 " (25,4 MM)</t>
  </si>
  <si>
    <t>PARAFUSO, AUTO ATARRACHANTE, CABECA CHATA, FENDA SIMPLES, 1/4 (6,35 MM) X 25 MM</t>
  </si>
  <si>
    <t>PARAFUSO, COMUM, ASTM A307, SEXTAVADO, DIAMETRO 1/2" (12,7 MM), COMPRIMENTO 1" (25,4 MM)</t>
  </si>
  <si>
    <t>PARALELEPIPEDO GRANITICO OU BASALTICO, PARA PAVIMENTACAO, SEM FRETE,  *30 A 35* PECAS POR M2</t>
  </si>
  <si>
    <t>PASTA DESENGRAXANTE PARA MAOS</t>
  </si>
  <si>
    <t>PASTA LUBRIFICANTE PARA TUBOS E CONEXOES COM JUNTA ELASTICA (USO EM PVC, ACO, POLIETILENO E OUTROS) ( DE *400* G)</t>
  </si>
  <si>
    <t>PASTA LUBRIFICANTE PARA TUBOS E CONEXOES COM JUNTA ELASTICA (USO EM PVC, ACO, POLIETILENO E OUTROS) (POTE DE 3.500* G)</t>
  </si>
  <si>
    <t>PASTA PARA SOLDA DE TUBOS E CONEXOES DE COBRE (EMBALAGEM COM 250 G)</t>
  </si>
  <si>
    <t>PASTA VEDA JUNTAS/ROSCA, LATA DE *500* G, PARA INSTALACOES DE GAS E OUTROS</t>
  </si>
  <si>
    <t>PASTILHA CERAMICA/PORCELANA, REVEST INT/EXT E  PISCINA, CORES BRANCA OU FRIAS, *2,5 X 2,5* CM</t>
  </si>
  <si>
    <t>PASTILHA CERAMICA/PORCELANA, REVEST INT/EXT E  PISCINA, CORES FRIAS *5 X 5* CM</t>
  </si>
  <si>
    <t>PASTILHA CERAMICA/PORCELANA, REVEST INT/EXT E  PISCINA, CORES QUENTES *5 X 5* CM</t>
  </si>
  <si>
    <t>PASTILHA CERAMICA/PORCELANA, REVEST INT/EXT E  PISCINA, CORES QUENTES, *2,5 X 2,5* CM</t>
  </si>
  <si>
    <t>PASTILHA DE VIDRO CRISTAL, NACIONAL, REVEST INT/EXT E PISCINA, TODAS AS CORES, E MAIOR OU IGUAL A 5 MM  *2,0 X 2,0* CM</t>
  </si>
  <si>
    <t>PASTILHA DE VIDRO PIGMENTADA *2,0 X 2,0* CM, NACIONAL, PARA REVESTIMENTO INTERNO/EXTERNO E PISCINA, BRANCA OU CORES FRIAS, ESPESSURA MAIOR OU IGUAL A 5 MM</t>
  </si>
  <si>
    <t>PASTILHA DE VIDRO PIGMENTADA, NACIONAL, REVEST INT/EXT E PISCINA, CORES QUENTES, ESPESSURA MAIOR OU IGUAL A 5 MM  *2,0 X 2,0* CM</t>
  </si>
  <si>
    <t>PASTILHEIRO</t>
  </si>
  <si>
    <t>PASTILHEIRO (MENSALISTA)</t>
  </si>
  <si>
    <t>PATCH CORD, CATEGORIA 5 E, EXTENSAO DE 1,50 M</t>
  </si>
  <si>
    <t>PATCH CORD, CATEGORIA 5 E, EXTENSAO DE 2,50 M</t>
  </si>
  <si>
    <t>PATCH CORD, CATEGORIA 6, EXTENSAO DE 1,50 M</t>
  </si>
  <si>
    <t>PATCH CORD, CATEGORIA 6, EXTENSAO DE 2,50 M</t>
  </si>
  <si>
    <t>PATCH PANEL, 24 PORTAS, CATEGORIA 5E, COM RACKS DE 19" E 1 U DE ALTURA</t>
  </si>
  <si>
    <t>PATCH PANEL, 24 PORTAS, CATEGORIA 6, COM RACKS DE 19" E 1 U DE ALTURA</t>
  </si>
  <si>
    <t>PATCH PANEL, 48 PORTAS, CATEGORIA 5E, COM RACKS DE 19" E 2 U DE ALTURA</t>
  </si>
  <si>
    <t>PATCH PANEL, 48 PORTAS, CATEGORIA 6, COM RACKS DE 19" E 2 U DE ALTURA</t>
  </si>
  <si>
    <t>PECA DE MADEIRA APARELHADA *7,5 X 7,5* CM (3 X 3 ") MACARANDUBA, ANGELIM OU EQUIVALENTE DA REGIAO</t>
  </si>
  <si>
    <t>PECA DE MADEIRA NAO APARELHADA *7,5 X 7,5* CM (3 X 3 ") MACARANDUBA, ANGELIM OU EQUIVALENTE DA REGIAO</t>
  </si>
  <si>
    <t>PEDRA ARDOSIA, CINZA, *40 X 40* CM, E= *1 CM</t>
  </si>
  <si>
    <t>PEDRA ARDOSIA, CINZA, 20  X  40 CM,  E=  *1 CM</t>
  </si>
  <si>
    <t>PEDRA ARDOSIA, CINZA, 30  X  30,  E= *1 CM</t>
  </si>
  <si>
    <t>PEDRA BRITADA GRADUADA, CLASSIFICADA (POSTO PEDREIRA/FORNECEDOR, SEM FRETE)</t>
  </si>
  <si>
    <t>PEDRA BRITADA N. 0, OU PEDRISCO (4,8 A 9,5 MM) POSTO PEDREIRA/FORNECEDOR, SEM FRETE</t>
  </si>
  <si>
    <t>PEDRA BRITADA N. 1 (9,5 a 19 MM) POSTO PEDREIRA/FORNECEDOR, SEM FRETE</t>
  </si>
  <si>
    <t>PEDRA BRITADA N. 2 (19 A 38 MM) POSTO PEDREIRA/FORNECEDOR, SEM FRETE</t>
  </si>
  <si>
    <t>PEDRA BRITADA N. 3 (38 A 50 MM) POSTO PEDREIRA/FORNECEDOR, SEM FRETE</t>
  </si>
  <si>
    <t>PEDRA BRITADA N. 4 (50 A 76 MM) POSTO PEDREIRA/FORNECEDOR, SEM FRETE</t>
  </si>
  <si>
    <t>PEDRA BRITADA N. 5 (76 A 100 MM) POSTO PEDREIRA/FORNECEDOR, SEM FRETE</t>
  </si>
  <si>
    <t>PEDRA BRITADA OU BICA CORRIDA, NAO CLASSIFICADA (POSTO PEDREIRA/FORNECEDOR, SEM FRETE)</t>
  </si>
  <si>
    <t>PEDRA DE MAO OU PEDRA RACHAO PARA ARRIMO/FUNDACAO (POSTO PEDREIRA/FORNECEDOR, SEM FRETE)</t>
  </si>
  <si>
    <t>PEDRA GRANITICA OU BASALTICA IRREGULAR, FAIXA GRANULOMETRICA 100 A 150 MM PARA PAVIMENTACAO OU CALCAMENTO POLIEDRICO, POSTO PEDREIRA / FORNECEDOR (SEM FRETE)</t>
  </si>
  <si>
    <t>PEDRA GRANITICA OU BASALTO, CACO, RETALHO, CAVACO, TIPO MIRACEMA, MADEIRA, PADUANA, RACHINHA, SANTA ISABEL OU OUTRAS SIMILARES, E=  *1,0 A *2,0 CM</t>
  </si>
  <si>
    <t>PEDRA GRANITICA, SERRADA, TIPO MIRACEMA, MADEIRA, PADUANA, RACHINHA, SANTA ISABEL OU OUTRAS SIMILARES, *11,5 X  *23 CM, E=  *1,0 A *2,0 CM</t>
  </si>
  <si>
    <t>PEDRA PORTUGUESA  OU PETIT PAVE, BRANCA OU PRETA</t>
  </si>
  <si>
    <t>PEDRA QUARTZITO OU CALCARIO LAMINADO, CACO, TIPO CARIRI, ITACOLOMI, LAGOA SANTA, LUMINARIA, PIRENOPOLIS, SAO TOME OU OUTRAS SIMILARES DA REGIAO, E=  *1,5 A *2,5 CM</t>
  </si>
  <si>
    <t>PEDRA QUARTZITO OU CALCARIO LAMINADO, SERRADA, TIPO CARIRI, ITACOLOMI, LAGOA SANTA, LUMINARIA, PIRENOPOLIS, SAO TOME OU OUTRAS SIMILARES DA REGIAO, *20 X *40 CM, E=  *1,5 A *2,5 CM</t>
  </si>
  <si>
    <t>PEDREGULHO OU PICARRA DE JAZIDA, AO NATURAL, PARA BASE DE PAVIMENTACAO (RETIRADO NA JAZIDA, SEM TRANSPORTE)</t>
  </si>
  <si>
    <t>PEDREIRO</t>
  </si>
  <si>
    <t>PEDREIRO (MENSALISTA)</t>
  </si>
  <si>
    <t>PEITORIL EM MARMORE, POLIDO, BRANCO COMUM, L= *15* CM, E=  *2,0* CM, COM PINGADEIRA</t>
  </si>
  <si>
    <t>PEITORIL EM MARMORE, POLIDO, BRANCO COMUM, L= *15* CM, E=  *3* CM, CORTE RETO</t>
  </si>
  <si>
    <t>PEITORIL PRE-MOLDADO EM GRANILITE, MARMORITE OU GRANITINA, L = *15* CM</t>
  </si>
  <si>
    <t>PEITORIL/ SOLEIRA EM MARMORE, POLIDO, BRANCO COMUM, L= *25* CM, E=  *3* CM, CORTE RETO</t>
  </si>
  <si>
    <t>PELICULA REFLETIVA, GT 7 ANOS PARA SINALIZACAO VERTICAL</t>
  </si>
  <si>
    <t>PENDURAL OU PRESILHA REGULADORA, EM ACO GALVANIZADO, COM CORPO, MOLA E REBITE, PARA PERFIL TIPO CANALETA DE ESTRUTURA EM FORROS DRYWALL</t>
  </si>
  <si>
    <t>PENDURAL OU REGULADOR, COM MOLA, EM ACO GALVANIZADO, PARA PERFIL TIPO T CLICADO DE FORROS REMOVIVEL</t>
  </si>
  <si>
    <t>PENEIRA ROTATIVA COM MOTOR ELETRICO TRIFASICO DE 2 CV, CILINDRO DE 1 M X 0,60 M, COM FUROS DE 3,17 MM</t>
  </si>
  <si>
    <t>PERFIL "H" DE ACO LAMINADO, "HP" 250 X 62,0</t>
  </si>
  <si>
    <t>PERFIL "H" DE ACO LAMINADO, "HP" 310 X 79,0</t>
  </si>
  <si>
    <t>PERFIL "H" DE ACO LAMINADO, "W" 200 X 35,9</t>
  </si>
  <si>
    <t>PERFIL "I" DE ACO LAMINADO, ABAS INCLINADAS, "I" 102 X 12,7</t>
  </si>
  <si>
    <t>PERFIL "I" DE ACO LAMINADO, ABAS INCLINADAS, "I" 152 X 22</t>
  </si>
  <si>
    <t>PERFIL "I" DE ACO LAMINADO, ABAS INCLINADAS, "I" 203 X 34,3</t>
  </si>
  <si>
    <t>PERFIL "I" DE ACO LAMINADO, ABAS PARALELAS, "W", QUALQUER BITOLA</t>
  </si>
  <si>
    <t>PERFIL "U" DE ACO LAMINADO, "U" 102 X 9,3</t>
  </si>
  <si>
    <t>PERFIL "U" DE ACO LAMINADO, "U" 152 X 15,6</t>
  </si>
  <si>
    <t>PERFIL "U" EM CHAPA ACO DOBRADA, E = 3,04 MM, H = 20 CM, ABAS = 5 CM (4,47 KG/M)</t>
  </si>
  <si>
    <t>PERFIL "U" ENRIJECIDO DE ACO GALVANIZADO, DOBRADO, 150 X 60 X 20 MM, E = 3,00 MM OU 200 X 75 X 25 MM, E = 3,75 MM</t>
  </si>
  <si>
    <t>PERFIL "U" SIMPLES DE ACO GALVANIZADO DOBRADO 75 X *40* MM, E = 2,65 MM</t>
  </si>
  <si>
    <t>PERFIL CANALETA, FORMATO C, EM ACO ZINCADO, PARA ESTRUTURA FORRO DRYWALL, E = 0,5 MM, *46 X 18* (L X H), COMPRIMENTO 3 M</t>
  </si>
  <si>
    <t>PERFIL CANTONEIRA L, LISA, EM ACO, 25 X 30 MM, E = 0,5 MM, PARA ESTRUTURA DRYWALL</t>
  </si>
  <si>
    <t>PERFIL CANTONEIRA L, PERFURADA, EM ACO, 23 X 23 MM, E = 0,5 MM, PARA ESTRUTURA DRYWALL</t>
  </si>
  <si>
    <t>PERFIL CARTOLA DE ACO GALVANIZADO, *20 X 30 X 10* MM, E =  0,8 MM</t>
  </si>
  <si>
    <t>PERFIL DE ALUMINIO ANODIZADO</t>
  </si>
  <si>
    <t>PERFIL DE BORRACHA EPDM MACICO *12 X 15* MM PARA ESQUADRIAS</t>
  </si>
  <si>
    <t>PERFIL ELASTOMERICO PRE-FORMADO EM EPMD, PARA JUNTA DE DILATACAO DE PISOS COM POUCA SOLICITACAO, 15 MM DE LARGURA, MOVIMENTACAO DE *11 A 19* MM</t>
  </si>
  <si>
    <t>PERFIL ELASTOMERICO PRE-FORMADO EM EPMD, PARA JUNTA DE DILATACAO DE USO GERAL EM MEDIAS SOLICITACOES, 8 MM DE LARGURA, MOVIMENTACAO DE *5 A 11* MM</t>
  </si>
  <si>
    <t>PERFIL GUIA, FORMATO U, EM ACO ZINCADO, PARA ESTRUTURA PAREDE DRYWALL, E = 0,5 MM, 48  X 3000 MM (L X C)</t>
  </si>
  <si>
    <t>PERFIL GUIA, FORMATO U, EM ACO ZINCADO, PARA ESTRUTURA PAREDE DRYWALL, E = 0,5 MM, 70 X 3000 MM (L X C)</t>
  </si>
  <si>
    <t>PERFIL GUIA, FORMATO U, EM ACO ZINCADO, PARA ESTRUTURA PAREDE DRYWALL, E = 0,5 MM, 90 X 3000 MM (L X C)</t>
  </si>
  <si>
    <t>PERFIL LONGARINA (PRINCIPAL), T CLICADO, EM ACO, BRANCO, PARA FORRO REMOVIVEL, 24 X 3750 MM (L X C)</t>
  </si>
  <si>
    <t>PERFIL MONTANTE, FORMATO C, EM ACO ZINCADO, PARA ESTRUTURA PAREDE DRYWALL, E = 0,5 MM, 48 X 3000 MM (L X C)</t>
  </si>
  <si>
    <t>PERFIL MONTANTE, FORMATO C, EM ACO ZINCADO, PARA ESTRUTURA PAREDE DRYWALL, E = 0,5 MM, 70 X 3000 MM (L X C)</t>
  </si>
  <si>
    <t>PERFIL MONTANTE, FORMATO C, EM ACO ZINCADO, PARA ESTRUTURA PAREDE DRYWALL, E = 0,5 MM, 90 X 3000 MM (L X C)</t>
  </si>
  <si>
    <t>PERFIL RODAPE DE IMPERMEABILIZACAO, FORMATO L, EM ACO ZINCADO, PARA ESTRUTURA DRYWALL, E = 0,5 MM, 220 X 3000 MM (H X C)</t>
  </si>
  <si>
    <t>PERFIL TABICA ABERTA, PERFURADA, FORMATO Z, EM ACO GALVANIZADO NATURAL, LARGURA APROXIMADA 40 MM, PARA ESTRUTURA FORRO DRYWALL</t>
  </si>
  <si>
    <t>PERFIL TABICA FECHADA, LISA, FORMATO Z, EM ACO GALVANIZADO NATURAL, LARGURA TOTAL NA HORIZONTAL *40* MM, PARA ESTRUTURA FORRO DRYWALL</t>
  </si>
  <si>
    <t>PERFIL TIPO CANTONEIRA EM L, EM ACO GALVANIZADO, BRANCO, PARA FORRO REMOVIVEL, *23* X 3000 MM (L X C)</t>
  </si>
  <si>
    <t>PERFIL TRAVESSA (SECUNDARIO), T CLICADO, EM ACO GALVANIZADO , BRANCO, PARA FORRO REMOVIVEL, 24 X 1250 MM (L X C)</t>
  </si>
  <si>
    <t>PERFIL TRAVESSA (SECUNDARIO), T CLICADO, EM ACO GALVANIZADO, BRANCO, PARA FORRO REMOVIVEL, 24 X 625 MM (L X C)</t>
  </si>
  <si>
    <t>PERFIL U / CANALETA DE ALUMINIO, DE ABAS IGUAIS, 1/2" (1,27 X 1,27 CM), PARA PORTA OU JANELA DE CORRER</t>
  </si>
  <si>
    <t>PERFIL UDC ("U" DOBRADO DE CHAPA) SIMPLES DE ACO LAMINADO, GALVANIZADO, ASTM A36, 127 X 50 MM, E= 3 MM</t>
  </si>
  <si>
    <t>PERFILADO PERFURADO DUPLO 38 X 76 MM, CHAPA 22</t>
  </si>
  <si>
    <t>PERFILADO PERFURADO SIMPLES 38 X 38 MM, CHAPA 22</t>
  </si>
  <si>
    <t>PERFILADO PERFURADO 19 X 38 MM, CHAPA 22</t>
  </si>
  <si>
    <t>PERFURATRIZ COM TORRE METALICA PARA EXECUCAO DE ESTACA HELICE CONTINUA, PROFUNDIDADE MAXIMA DE 30 M, DIAMETRO MAXIMO DE 800 MM, POTENCIA INSTALADA DE 268 HP, MESA ROTATIVA COM TORQUE MAXIMO DE 170 KNM</t>
  </si>
  <si>
    <t>PERFURATRIZ COM TORRE METALICA PARA EXECUCAO DE ESTACA HELICE CONTINUA, PROFUNDIDADE MAXIMA DE 32 M, DIAMETRO MAXIMO DE 1000 MM, POTENCIA INSTALADA DE 350 HP, MESA ROTATIVA COM TORQUE MAXIMO DE 263 KNM</t>
  </si>
  <si>
    <t>PERFURATRIZ HIDRAULICA COM TRADO CURTO ACOPLADO, PROFUNDIDADE MAXIMA DE 20 M, DIAMETRO MAXIMO DE 1500 MM, POTENCIA INSTALADA DE 137 HP, MESA ROTATIVA COM TORQUE MAXIMO DE 30 KNM (INCLUI MONTAGEM, NAO INCLUI CAMINHAO)</t>
  </si>
  <si>
    <t>PERFURATRIZ MANUAL, TORQUE MAXIMO 55 KGF.M, POTENCIA 5 CV, COM DIAMETRO MAXIMO 8 1/2" (INCLUI SUPORTE/CHASSI TIPO MESA)</t>
  </si>
  <si>
    <t>PERFURATRIZ MANUAL, TORQUE MAXIMO 83 N.M, POTENCIA 5 CV, COM DIAMETRO MAXIMO 4" (NAO INCLUI SUPORTE / CHASSI)</t>
  </si>
  <si>
    <t>PERFURATRIZ MANUAL, TORQUE MAXIMO 83 N.M, POTENCIA 5 CV, COM DIAMETRO MAXIMO 4", PARA SOLO GRAMPEADO (INCLUI SUPORTE OU CHASSI TIPO MESA)</t>
  </si>
  <si>
    <t>PERFURATRIZ PNEUMATICA MANUAL DE PESO MEDIO, 18KG, COMPRIMENTO DE CURSO DE 6 M, DIAMETRO DO PISTAO DE 5,5 CM</t>
  </si>
  <si>
    <t>PERFURATRIZ ROTATIVA SOBRE ESTEIRA, TORQUE MAXIMO 2500 KGM, POTENCIA 110 HP, MOTOR DIESEL  (COLETADO CAIXA)</t>
  </si>
  <si>
    <t>PERFURATRIZ SOBRE ESTEIRA, TORQUE MAXIMO DE 600 KGF, POTENCIA ENTRE 50 E 60 HP, DIAMETRO MAXIMO DE 10"</t>
  </si>
  <si>
    <t>PERFURATRIZ SOBRE ESTEIRA, TORQUE MAXIMO 600 KGF, PESO MEDIO 1000 KG, POTENCIA 20 HP, DIAMETRO MAXIMO 10"</t>
  </si>
  <si>
    <t>PICAPE CABINE SIMPLES COM MOTOR 1.6 FLEX, CAMBIO MANUAL, POTENCIA 101/104 CV, 2 PORTAS</t>
  </si>
  <si>
    <t>PIGMENTO EM PO PARA ARGAMASSAS, CIMENTOS E OUTROS</t>
  </si>
  <si>
    <t>PILAR DE MADEIRA NAO APARELHADA *10 X 10* CM, MACARANDUBA, ANGELIM OU EQUIVALENTE DA REGIAO</t>
  </si>
  <si>
    <t>PILAR DE MADEIRA NAO APARELHADA *15 X 15* CM, MACARANDUBA, ANGELIM OU EQUIVALENTE DA REGIAO</t>
  </si>
  <si>
    <t>PILAR DE MADEIRA NAO APARELHADA *20 X 20* CM, MACARANDUBA, ANGELIM OU EQUIVALENTE DA REGIAO</t>
  </si>
  <si>
    <t>PINCEL CHATO (TRINCHA) CERDAS GRIS 1.1/2 " (38 MM)</t>
  </si>
  <si>
    <t>PINGADEIRA PLASTICA PARA TELHA DE FIBROCIMENTO CANALETE 49/KALHETA OU CANALETE 90/KALHETAO</t>
  </si>
  <si>
    <t>PINO DE ACO COM ARRUELA CONICA, DIAMETRO ARRUELA = *23* MM E COMP HASTE = *27* MM (ACAO INDIRETA)</t>
  </si>
  <si>
    <t>PINO DE ACO COM FURO, HASTE = 27 MM (ACAO DIRETA)</t>
  </si>
  <si>
    <t>PINO DE ACO COM ROSCA 1/4 ", COMPRIMENTO DA HASTE = 30 MM E ROSCA = 20 MM (ACAO DIRETA)</t>
  </si>
  <si>
    <t>PINO DE ACO LISO 1/4 ", HASTE = *36,5* MM (ACAO DIRETA)</t>
  </si>
  <si>
    <t>PINO DE ACO LISO 1/4 ", HASTE = *53* MM (ACAO DIRETA)</t>
  </si>
  <si>
    <t>PINO ROSCA EXTERNA, EM ACO GALVANIZADO, PARA ISOLADOR DE 15KV, DIAMETRO 25 MM, COMPRIMENTO *290* MM</t>
  </si>
  <si>
    <t>PINO ROSCA EXTERNA, EM ACO GALVANIZADO, PARA ISOLADOR DE 25KV, DIAMETRO 35MM, COMPRIMENTO *320* MM</t>
  </si>
  <si>
    <t>PINTOR</t>
  </si>
  <si>
    <t>PINTOR (MENSALISTA)</t>
  </si>
  <si>
    <t>PINTOR DE LETREIROS</t>
  </si>
  <si>
    <t>PINTOR DE LETREIROS (MENSALISTA)</t>
  </si>
  <si>
    <t>PINTOR PARA TINTA EPOXI</t>
  </si>
  <si>
    <t>PINTOR PARA TINTA EPOXI (MENSALISTA)</t>
  </si>
  <si>
    <t>PISO DE BORRACHA CANELADO EM PLACAS 50 X 50 CM, E = *3,5* MM, PARA COLA</t>
  </si>
  <si>
    <t>PISO DE BORRACHA ESPORTIVO EM PLACAS 50 X 50 CM, E = 15 MM, PARA ARGAMASSA, PRETO</t>
  </si>
  <si>
    <t>PISO DE BORRACHA FRISADO OU PASTILHADO, PRETO, EM PLACAS 50 X 50 CM, E = 7 MM, PARA ARGAMASSA</t>
  </si>
  <si>
    <t>PISO DE BORRACHA PASTILHADO EM PLACAS 50 X 50 CM, E = *3,5* MM, PARA COLA, PRETO</t>
  </si>
  <si>
    <t>PISO DE BORRACHA PASTILHADO EM PLACAS 50 X 50 CM, E = 15 MM, PARA ARGAMASSA, PRETO</t>
  </si>
  <si>
    <t>PISO ELEVADO COM 2 PLACAS DE ACO COM ENCHIMENTO DE CONCRETO CELULAR, INCLUSO BASE/HASTE/CRUZETAS, 60 X 60 CM, H = *28* CM, RESISTENCIA CARGA CONCENTRADA 496 KG (COM COLOCACAO)</t>
  </si>
  <si>
    <t>PISO EM CERAMICA ESMALTADA EXTRA, PEI MAIOR OU IGUAL A 4, FORMATO MAIOR QUE 2025 CM2</t>
  </si>
  <si>
    <t>PISO EM CERAMICA ESMALTADA EXTRA, PEI MAIOR OU IGUAL A 4, FORMATO MENOR OU IGUAL A 2025 CM2</t>
  </si>
  <si>
    <t>PISO EM CERAMICA ESMALTADA, COMERCIAL (PADRAO POPULAR), PEI MAIOR OU IGUAL A 3, FORMATO MENOR OU IGUAL A  2025 CM2</t>
  </si>
  <si>
    <t>PISO EM GRANILITE, MARMORITE OU GRANITINA, AGREGADO COR PRETO, CINZA, PALHA OU BRANCO, E=  *8* MM (INCLUSO EXECUCAO)</t>
  </si>
  <si>
    <t>PISO EM GRANITO, POLIDO, TIPO AMENDOA/ AMARELO CAPRI/ AMARELO DOURADO CARIOCA OU OUTROS EQUIVALENTES DA REGIAO, FORMATO MENOR OU IGUAL A 3025 CM2, E=  *2* CM</t>
  </si>
  <si>
    <t>PISO EM GRANITO, POLIDO, TIPO ANDORINHA/ QUARTZ/ CASTELO/ CORUMBA OU OUTROS EQUIVALENTES DA REGIAO, FORMATO MENOR OU IGUAL A 3025 CM2, E=  *2* CM</t>
  </si>
  <si>
    <t>PISO EM GRANITO, POLIDO, TIPO MARFIM, DALLAS, CARAVELAS OU OUTROS EQUIVALENTES DA REGIAO, FORMATO MENOR OU IGUAL A 3025 CM2, E=  *2* CM</t>
  </si>
  <si>
    <t>PISO EM GRANITO, POLIDO, TIPO PRETO SAO GABRIEL/ TIJUCA OU OUTROS EQUIVALENTES DA REGIAO, FORMATO MENOR OU IGUAL A 3025 CM2, E=  *2* CM</t>
  </si>
  <si>
    <t>PISO EM PORCELANATO RETIFICADO EXTRA, FORMATO MENOR OU IGUAL A 2025 CM2</t>
  </si>
  <si>
    <t>PISO EM REGUA VINILICA SEMIFLEXIVEL, ENCAIXE CLICADO, E = 4 MM (SEM COLOCACAO)</t>
  </si>
  <si>
    <t>PISO EPOXI AUTONIVELANTE, ESPESSURA *4* MM (INCLUSO EXECUCAO)</t>
  </si>
  <si>
    <t>PISO EPOXI MULTILAYER, ESPESSURA *2* MM (INCLUSO EXECUCAO)</t>
  </si>
  <si>
    <t>PISO FULGET (GRANITO LAVADO) EM PLACAS DE *40 X 40* CM (SEM COLOCACAO)</t>
  </si>
  <si>
    <t>PISO FULGET (GRANITO LAVADO) EM PLACAS DE *75 X 75* CM (SEM COLOCACAO)</t>
  </si>
  <si>
    <t>PISO FULGET (GRANITO LAVADO) MOLDADO IN LOCO (INCLUSO EXECUCAO)</t>
  </si>
  <si>
    <t>PISO INDUSTRIAL EM CONCRETO ARMADO DE ACABAMENTO POLIDO, ESPESSURA 12 CM (CIMENTO QUEIMADO) (INCLUSO EXECUCAO)</t>
  </si>
  <si>
    <t>PISO KORODUR (INCLUSO EXECUCAO)</t>
  </si>
  <si>
    <t>PISO PODOTATIL DE CONCRETO - DIRECIONAL E ALERTA, *40 X 40 X 2,5* CM</t>
  </si>
  <si>
    <t>PISO PORCELANATO, BORDA RETA, EXTRA, FORMATO MAIOR QUE 2025 CM2</t>
  </si>
  <si>
    <t>PISO TATIL ALERTA OU DIRECIONAL, DE BORRACHA, COLORIDO, 25 X 25 CM, E = 5 MM, PARA COLA</t>
  </si>
  <si>
    <t>PISO TATIL DE ALERTA OU DIRECIONAL DE BORRACHA, PRETO, 25 X 25 CM, E = 5 MM, PARA COLA</t>
  </si>
  <si>
    <t>PISO TATIL DE ALERTA OU DIRECIONAL, DE BORRACHA, COLORIDO, 25 X 25 CM, E = 12 MM, PARA ARGAMASSA</t>
  </si>
  <si>
    <t>PISO TATIL DE ALERTA OU DIRECIONAL, DE BORRACHA, PRETO, 25 X 25 CM, E = 12 MM, PARA ARGAMASSA</t>
  </si>
  <si>
    <t>PISO URETANO, VERSAO REVESTIMENTO AUTONIVELANTE, ESPESSURA VARIÁVEL DE 3 A 4 MM (INCLUSO EXECUCAO)</t>
  </si>
  <si>
    <t>PISO/ REVESTIMENTO EM GRANITO, POLIDO, TIPO ANDORINHA/ QUARTZ/ CASTELO/ CORUMBA OU OUTROS EQUIVALENTES DA REGIAO, FORMATO MAIOR OU IGUAL A 3025 CM2, E = *2* CM</t>
  </si>
  <si>
    <t>PISO/ REVESTIMENTO EM MARMORE, POLIDO, BRANCO COMUM, FORMATO MAIOR OU IGUAL A 3025 CM2, E = *2* CM</t>
  </si>
  <si>
    <t>PISO/ REVESTIMENTO EM MARMORE, POLIDO, BRANCO COMUM, FORMATO MENOR OU IGUAL A 3025 CM2, E = *2* CM</t>
  </si>
  <si>
    <t>PLACA / CHAPA DE GESSO ACARTONADO, ACABAMENTO VINILICO LISO EM UMA DAS FACES, COR BRANCA, BORDA QUADRADA, E = 9,5 MM, 625 X 1250 MM (L X C), PARA FORRO REMOVIVEL</t>
  </si>
  <si>
    <t>PLACA / CHAPA DE GESSO ACARTONADO, ACABAMENTO VINILICO LISO EM UMA DAS FACES, COR BRANCA, BORDA QUADRADA, E = 9,5 MM, 625 X 625 MM (L X C), PARA FORRO REMOVIVEL</t>
  </si>
  <si>
    <t>PLACA CIMENTICIA LISA E = 10 MM, DE 1,20 X 3,00 M (SEM AMIANTO)</t>
  </si>
  <si>
    <t>PLACA CIMENTICIA LISA E = 6 MM, DE 1,20 X 3,00 M (SEM AMIANTO)</t>
  </si>
  <si>
    <t>PLACA DE ACO ESMALTADA PARA  IDENTIFICACAO DE RUA, *45 CM X 20* CM</t>
  </si>
  <si>
    <t>PLACA DE ACRILICO TRANSPARENTE ADESIVADA PARA SINALIZACAO DE PORTAS, BORDA POLIDA, DE *25 X 8*, E = 6 MM (NAO INCLUI ACESSORIOS PARA FIXACAO)</t>
  </si>
  <si>
    <t>PLACA DE FIBRA MINERAL PARA FORRO, DE 1250 X 625 MM, E = 15 MM, BORDA RETA, COM PINTURA ANTIMOFO (NAO INCLUI PERFIS)</t>
  </si>
  <si>
    <t>PLACA DE FIBRA MINERAL PARA FORRO, DE 625 X 625 MM, E = 15 MM, BORDA REBAIXADA PARA PERFIL 24 MM, COM PINTURA ANTIMOFO (NAO INCLUI PERFIS)</t>
  </si>
  <si>
    <t>PLACA DE FIBRA MINERAL PARA FORRO, DE 625 X 625 MM, E = 15 MM, BORDA RETA, COM PINTURA ANTIMOFO (NAO INCLUI PERFIS)</t>
  </si>
  <si>
    <t>PLACA DE GESSO PARA FORRO, DE  *60 X 60* CM E ESPESSURA DE 12 MM (30 MM NAS BORDAS) SEM COLOCACAO</t>
  </si>
  <si>
    <t>PLACA DE INAUGURACAO EM BRONZE *35X 50*CM</t>
  </si>
  <si>
    <t>PLACA DE INAUGURACAO METALICA, *40* CM X *60* CM</t>
  </si>
  <si>
    <t>PLACA DE OBRA (PARA CONSTRUCAO CIVIL) EM CHAPA GALVANIZADA *N. 22*, ADESIVADA, DE *2,0 X 1,125* M</t>
  </si>
  <si>
    <t>PLACA DE SINALIZACAO DE SEGURANCA CONTRA INCENDIO - ALERTA, TRIANGULAR, BASE DE *30* CM, EM PVC *2* MM ANTI-CHAMAS (SIMBOLOS, CORES E PICTOGRAMAS CONFORME NBR 13434)</t>
  </si>
  <si>
    <t>PLACA DE SINALIZACAO DE SEGURANCA CONTRA INCENDIO, FOTOLUMINESCENTE, QUADRADA, *14 X 14* CM, EM PVC *2* MM ANTI-CHAMAS (SIMBOLOS, CORES E PICTOGRAMAS CONFORME NBR 13434)</t>
  </si>
  <si>
    <t>PLACA DE SINALIZACAO DE SEGURANCA CONTRA INCENDIO, FOTOLUMINESCENTE, QUADRADA, *20 X 20* CM, EM PVC *2* MM ANTI-CHAMAS (SIMBOLOS, CORES E PICTOGRAMAS CONFORME NBR 13434)</t>
  </si>
  <si>
    <t>PLACA DE SINALIZACAO DE SEGURANCA CONTRA INCENDIO, FOTOLUMINESCENTE, RETANGULAR, *12 X 40* CM, EM PVC *2* MM ANTI-CHAMAS (SIMBOLOS, CORES E PICTOGRAMAS CONFORME NBR 13434)</t>
  </si>
  <si>
    <t>PLACA DE SINALIZACAO DE SEGURANCA CONTRA INCENDIO, FOTOLUMINESCENTE, RETANGULAR, *13 X 26* CM, EM PVC *2* MM ANTI-CHAMAS (SIMBOLOS, CORES E PICTOGRAMAS CONFORME NBR 13434)</t>
  </si>
  <si>
    <t>PLACA DE SINALIZACAO DE SEGURANCA CONTRA INCENDIO, FOTOLUMINESCENTE, RETANGULAR, *20 X 40* CM, EM PVC *2* MM ANTI-CHAMAS (SIMBOLOS, CORES E PICTOGRAMAS CONFORME NBR 13434)</t>
  </si>
  <si>
    <t>PLACA DE SINALIZACAO EM CHAPA DE ACO NUM 16 COM PINTURA REFLETIVA</t>
  </si>
  <si>
    <t>PLACA DE SINALIZACAO EM CHAPA DE ALUMINIO COM PINTURA REFLETIVA, E = 2 MM</t>
  </si>
  <si>
    <t>PLACA DE VENTILACAO PARA TELHA DE FIBROCIMENTO CANALETE 49 KALHETA</t>
  </si>
  <si>
    <t>PLACA DE VENTILACAO PARA TELHA DE FIBROCIMENTO, CANALETE 90 OU KALHETAO</t>
  </si>
  <si>
    <t>PLACA NUMERACAO RESIDENCIAL EM CHAPA GALVANIZADA ESMALTADA 12 X 18 CM</t>
  </si>
  <si>
    <t>PLACA ORIENTATIVA SOBRE EXERCÍCIOS, 2,00M X 1,00M, EM TUBO DE ACO CARBONO, PINTURA NO PROCESSO ELETROSTATICO - PARA ACADEMIA AO AR LIVRE / ACADEMIA DA TERCEIRA IDADE - ATI</t>
  </si>
  <si>
    <t>PLACA VINILICA SEMIFLEXIVEL PARA PISOS, E = 3,2 MM, 30 X 30 CM (SEM COLOCACAO)</t>
  </si>
  <si>
    <t>PLACA VINILICA SEMIFLEXIVEL PARA REVESTIMENTO DE PISOS E PAREDES, E = 2 MM (SEM COLOCACAO)</t>
  </si>
  <si>
    <t>PLACA/PISO DE CONCRETO POROSO/ PAVIMENTO PERMEAVEL/BLOCO DRENANTE DE CONCRETO, 40 CM X 40 CM, E = 6 CM, COR NATURAL</t>
  </si>
  <si>
    <t>PLACA/TAMPA CEGA EM LATAO ESCOVADO PARA CONDULETE EM LIGA DE ALUMINIO 4 X 4"</t>
  </si>
  <si>
    <t>PLUG OU BUJAO DE FERRO GALVANIZADO, DE 1 1/2"</t>
  </si>
  <si>
    <t>PLUG OU BUJAO DE FERRO GALVANIZADO, DE 1 1/4"</t>
  </si>
  <si>
    <t>PLUG OU BUJAO DE FERRO GALVANIZADO, DE 1/2"</t>
  </si>
  <si>
    <t>PLUG OU BUJAO DE FERRO GALVANIZADO, DE 1"</t>
  </si>
  <si>
    <t>PLUG OU BUJAO DE FERRO GALVANIZADO, DE 2 1/2"</t>
  </si>
  <si>
    <t>PLUG OU BUJAO DE FERRO GALVANIZADO, DE 2"</t>
  </si>
  <si>
    <t>PLUG OU BUJAO DE FERRO GALVANIZADO, DE 3/4"</t>
  </si>
  <si>
    <t>PLUG OU BUJAO DE FERRO GALVANIZADO, DE 3"</t>
  </si>
  <si>
    <t>PLUG OU BUJAO DE FERRO GALVANIZADO, DE 4"</t>
  </si>
  <si>
    <t>PLUG PVC P/ ESG PREDIAL  75MM</t>
  </si>
  <si>
    <t>PLUG PVC P/ ESG PREDIAL 100MM</t>
  </si>
  <si>
    <t>PLUG PVC P/ ESG PREDIAL 50MM</t>
  </si>
  <si>
    <t>PLUG PVC ROSCAVEL,  1/2",  AGUA FRIA PREDIAL (NBR 5648)</t>
  </si>
  <si>
    <t>PLUG PVC,  JE, DN 100 MM, PARA REDE COLETORA ESGOTO (NBR 10569)</t>
  </si>
  <si>
    <t>PLUG PVC, JE, DN 150 MM, PARA REDE COLETORA ESGOTO (NBR 10569)</t>
  </si>
  <si>
    <t>PLUG PVC, JE, DN 200 MM, PARA REDE COLETORA ESGOTO (NBR 10569)</t>
  </si>
  <si>
    <t>PLUG PVC, JE, DN 250 MM, PARA REDE COLETORA ESGOTO (NBR 10569)</t>
  </si>
  <si>
    <t>PLUG PVC, JE, DN 350 MM, PARA REDE COLETORA ESGOTO (NBR 10569)</t>
  </si>
  <si>
    <t>PLUG PVC, ROSCAVEL 1", PARA AGUA FRIA PREDIAL</t>
  </si>
  <si>
    <t>PLUG PVC, ROSCAVEL 3/4", PARA  AGUA FRIA PREDIAL</t>
  </si>
  <si>
    <t>PLUG PVC, ROSCAVEL, 1 1/2",  AGUA FRIA PREDIAL</t>
  </si>
  <si>
    <t>PLUG PVC, ROSCAVEL, 1 1/4",  AGUA FRIA PREDIAL</t>
  </si>
  <si>
    <t>PLUG PVC, ROSCAVEL, 2",  AGUA FRIA PREDIAL</t>
  </si>
  <si>
    <t>PO DE MARMORE (POSTO PEDREIRA/FORNECEDOR, SEM FRETE)</t>
  </si>
  <si>
    <t>PO DE PEDRA (POSTO PEDREIRA/FORNECEDOR, SEM FRETE)</t>
  </si>
  <si>
    <t>POCEIRO / ESCAVADOR DE VALAS E TUBULOES</t>
  </si>
  <si>
    <t>POCEIRO / ESCAVADOR DE VALAS E TUBULOES (MENSALISTA)</t>
  </si>
  <si>
    <t>POLIDORA DE PISO (POLITRIZ) ELETRICA, MOTOR MONOFASICO DE 4 HP, PESO DE 100 KG, DIAMETRO DO TRABALHO DE 450 MM</t>
  </si>
  <si>
    <t>POLIESTIRENO EXPANDIDO/EPS (ISOPOR), PEROLAS, PARA CONCRETO LEVE</t>
  </si>
  <si>
    <t>POLIESTIRENO EXPANDIDO/EPS (ISOPOR), TIPO 2F, BLOCO</t>
  </si>
  <si>
    <t>POLIESTIRENO EXPANDIDO/EPS (ISOPOR), TIPO 2F, PLACA, ISOLAMENTO TERMOACUSTICO, E = 10 MM, 1000 X 500 MM</t>
  </si>
  <si>
    <t>POLIESTIRENO EXPANDIDO/EPS (ISOPOR), TIPO 2F, PLACA, ISOLAMENTO TERMOACUSTICO, E = 20 MM, 1000 X 500 MM</t>
  </si>
  <si>
    <t>POLIESTIRENO EXPANDIDO/EPS (ISOPOR), TIPO 2F, PLACA, ISOLAMENTO TERMOACUSTICO, E = 50 MM, 1000 X 500 MM</t>
  </si>
  <si>
    <t>POLVORA NEGRA</t>
  </si>
  <si>
    <t>PONTALETE DE MADEIRA NAO APARELHADA *7,5 X 7,5* CM (3 X 3 ") PINUS, MISTA OU EQUIVALENTE DA REGIAO</t>
  </si>
  <si>
    <t>PONTEIRO PARA MARTELO ROMPEDOR, DIAMETRO = *28* MM, COMPRIMENTO = *520* MM, ENCAIXE SEXTAVADO</t>
  </si>
  <si>
    <t>PORCA OLHAL EM ACO GALVANIZADO, DIAMETRO NOMINAL DE 16 MM</t>
  </si>
  <si>
    <t>PORCA OLHAL EM ACO GALVANIZADO, ESPESSURA 16MM, ABERTURA 21MM</t>
  </si>
  <si>
    <t>PORCA UNIAO/JUNCAO ZINCADA SEXTAVADA 1/4 ", CHAVE 7/16 ", COMPRIMENTO = 25 MM</t>
  </si>
  <si>
    <t>PORCA ZINCADA, QUADRADA, DIAMETRO 3/8"</t>
  </si>
  <si>
    <t>PORCA ZINCADA, QUADRADA, DIAMETRO 5/8"</t>
  </si>
  <si>
    <t>PORCA ZINCADA, SEXTAVADA, DIAMETRO 1/2"</t>
  </si>
  <si>
    <t>PORCA ZINCADA, SEXTAVADA, DIAMETRO 1/4"</t>
  </si>
  <si>
    <t>PORCA ZINCADA, SEXTAVADA, DIAMETRO 1"</t>
  </si>
  <si>
    <t>PORCA ZINCADA, SEXTAVADA, DIAMETRO 3/8"</t>
  </si>
  <si>
    <t>PORCA ZINCADA, SEXTAVADA, DIAMETRO 5/16"</t>
  </si>
  <si>
    <t>PORCA ZINCADA, SEXTAVADA, DIAMETRO 5/8"</t>
  </si>
  <si>
    <t>PORTA CADEADO,  3 1/2", EM ACO ZINCADO, PRETO, PARA PORTAO E JANELA</t>
  </si>
  <si>
    <t>PORTA CORTA-FOGO PARA SAIDA DE EMERGENCIA, COM FECHADURA, VAO LUZ DE 90 X 210 CM, CLASSE P-90 (NBR 11742)</t>
  </si>
  <si>
    <t>PORTA DE ABRIR EM ACO COM DIVISAO HORIZONTAL  PARA VIDROS, COM FUNDO ANTICORROSIVO/PRIMER DE PROTECAO, SEM GUARNICAO/ALIZAR/VISTA, VIDROS NAO INCLUSOS, 87 X 210 CM</t>
  </si>
  <si>
    <t>PORTA DE ABRIR EM ACO TIPO VENEZIANA, COM FUNDO ANTICORROSIVO / PRIMER DE PROTECAO, SEM GUARNICAO/ALIZAR/VISTA, 87 X 210 CM</t>
  </si>
  <si>
    <t>PORTA DE ABRIR EM ALUMINIO COM DIVISAO HORIZONTAL  PARA VIDROS,  ACABAMENTO ANODIZADO NATURAL, VIDROS INCLUSOS, SEM GUARNICAO/ALIZAR/VISTA , 87 X 210 CM</t>
  </si>
  <si>
    <t>PORTA DE ABRIR EM ALUMINIO COM LAMBRI HORIZONTAL/LAMINADA, ACABAMENTO ANODIZADO NATURAL, SEM GUARNICAO/ALIZAR/VISTA</t>
  </si>
  <si>
    <t>PORTA DE ABRIR EM ALUMINIO TIPO VENEZIANA, ACABAMENTO ANODIZADO NATURAL, SEM GUARNICAO/ALIZAR/VISTA, 87 X 210 CM</t>
  </si>
  <si>
    <t>PORTA DE ABRIR EM GRADIL COM BARRA CHATA 3 CM X 1/4", COM REQUADRO E GUARNICAO - COMPLETO - ACABAMENTO NATURAL</t>
  </si>
  <si>
    <t>PORTA DE CORRER EM ALUMINIO, DUAS FOLHAS MOVEIS COM VIDRO, FECHADURA E PUXADOR EMBUTIDO, ACABAMENTO ANODIZADO NATURAL, SEM GUARNICAO/ALIZAR/VISTA</t>
  </si>
  <si>
    <t>PORTA DE ENROLAR MANUAL COMPLETA, ARTICULADA RAIADA LARGA, EM ACO GALVANIZADO NATURAL, CHAPA NUMERO 24 (SEM INSTALACAO)</t>
  </si>
  <si>
    <t>PORTA DE ENROLAR MANUAL COMPLETA, PERFIL MEIA CANA CEGA, EM ACO GALVANIZADO COM PINTURA ELETROSTATICA, CHAPA NUMERO 24 " (SEM INSTALACAO)</t>
  </si>
  <si>
    <t>PORTA DE ENROLAR MANUAL COMPLETA, PERFIL MEIA CANA CEGA, EM ACO GALVANIZADO NATURAL, CHAPA NUMERO 24 (SEM INSTALACAO)</t>
  </si>
  <si>
    <t>PORTA DE ENROLAR MANUAL COMPLETA, PERFIL MEIA CANA VAZADA TIJOLINHO, EM ACO GALVANIZADO NATURAL, CHAPA NUMERO 24 (SEM INSTALACAO)</t>
  </si>
  <si>
    <t>PORTA DE MADEIRA QUADRICULADA PARA VIDRO, DE CORRER (EUCALIPTO OU EQUIVALENTE REGIONAL), E = *3,5* CM</t>
  </si>
  <si>
    <t>PORTA DE MADEIRA TIPO VENEZIANA (EUCALIPTO OU EQUIVALENTE REGIONAL), E = *3,5* CM</t>
  </si>
  <si>
    <t>PORTA DE MADEIRA-DE-LEI QUADRICULADA PARA VIDRO, DE CORRER (ANGELIM OU EQUIVALENTE REGIONAL), E = *3,5* CM</t>
  </si>
  <si>
    <t>PORTA DE MADEIRA-DE-LEI TIPO MEXICANA SEM EMENDA (ANGELIM OU EQUIVALENTE REGIONAL), E = *3,5* CM</t>
  </si>
  <si>
    <t>PORTA DE MADEIRA-DE-LEI TIPO VENEZIANA (ANGELIM OU EQUIVALENTE REGIONAL), E = *3,5* CM</t>
  </si>
  <si>
    <t>PORTA DE MADEIRA, FOLHA LEVE (NBR 15930) DE 60 X 210 CM, E = *35* MM, NUCLEO COLMEIA, CAPA LISA EM HDF, ACABAMENTO EM PRIMER PARA PINTURA</t>
  </si>
  <si>
    <t>PORTA DE MADEIRA, FOLHA LEVE (NBR 15930) DE 70 X 210 CM, E = *35* MM, NUCLEO COLMEIA, CAPA LISA EM HDF, ACABAMENTO EM PRIMER PARA PINTURA</t>
  </si>
  <si>
    <t>PORTA DE MADEIRA, FOLHA LEVE (NBR 15930) DE 80 X 210 CM, E = *35* MM, NUCLEO COLMEIA, CAPA LISA EM HDF, ACABAMENTO EM PRIMER PARA PINTURA</t>
  </si>
  <si>
    <t>PORTA DE MADEIRA, FOLHA MEDIA (NBR 15930) DE 100 X 210 CM, E = 35 MM, NUCLEO SARRAFEADO, CAPA LISA EM HDF, ACABAMENTO EM LAMINADO NATURAL PARA VERNIZ</t>
  </si>
  <si>
    <t>PORTA DE MADEIRA, FOLHA MEDIA (NBR 15930) DE 100 X 210 CM, E = 35 MM, NUCLEO SARRAFEADO, CAPA LISA EM HDF, ACABAMENTO EM PRIMER PARA PINTURA</t>
  </si>
  <si>
    <t>PORTA DE MADEIRA, FOLHA MEDIA (NBR 15930) DE 60 X 210 CM, E = 35 MM, NUCLEO SARRAFEADO, CAPA FRISADA EM HDF, ACABAMENTO MELAMINICO EM PADRAO MADEIRA</t>
  </si>
  <si>
    <t>PORTA DE MADEIRA, FOLHA MEDIA (NBR 15930) DE 60 X 210 CM, E = 35 MM, NUCLEO SARRAFEADO, CAPA LISA EM HDF, ACABAMENTO EM PRIMER PARA PINTURA</t>
  </si>
  <si>
    <t>PORTA DE MADEIRA, FOLHA MEDIA (NBR 15930) DE 60 X 210 CM, E = 35 MM, NUCLEO SARRAFEADO, CAPA LISA EM HDF, ACABAMENTO LAMINADO NATURAL PARA VERNIZ</t>
  </si>
  <si>
    <t>PORTA DE MADEIRA, FOLHA MEDIA (NBR 15930) DE 70 X 210 CM, E = 35 MM, NUCLEO SARRAFEADO, CAPA FRISADA EM HDF, ACABAMENTO MELAMINICO EM PADRAO MADEIRA</t>
  </si>
  <si>
    <t>PORTA DE MADEIRA, FOLHA MEDIA (NBR 15930) DE 70 X 210 CM, E = 35 MM, NUCLEO SARRAFEADO, CAPA LISA EM HDF, ACABAMENTO EM LAMINADO NATURAL PARA VERNIZ</t>
  </si>
  <si>
    <t>PORTA DE MADEIRA, FOLHA MEDIA (NBR 15930) DE 70 X 210 CM, E = 35 MM, NUCLEO SARRAFEADO, CAPA LISA EM HDF, ACABAMENTO EM PRIMER PARA PINTURA</t>
  </si>
  <si>
    <t>PORTA DE MADEIRA, FOLHA MEDIA (NBR 15930) DE 80 X 210 CM, E = 35 MM, NUCLEO SARRAFEADO, CAPA FRISADA EM HDF, ACABAMENTO MELAMINICO EM PADRAO MADEIRA</t>
  </si>
  <si>
    <t>PORTA DE MADEIRA, FOLHA MEDIA (NBR 15930) DE 80 X 210 CM, E = 35 MM, NUCLEO SARRAFEADO, CAPA LISA EM HDF, ACABAMENTO EM LAMINADO NATURAL PARA VERNIZ</t>
  </si>
  <si>
    <t>PORTA DE MADEIRA, FOLHA MEDIA (NBR 15930) DE 80 X 210 CM, E = 35 MM, NUCLEO SARRAFEADO, CAPA LISA EM HDF, ACABAMENTO EM PRIMER PARA PINTURA</t>
  </si>
  <si>
    <t>PORTA DE MADEIRA, FOLHA MEDIA (NBR 15930) DE 90 X 210 CM, E = 35 MM, NUCLEO SARRAFEADO, CAPA LISA EM HDF, ACABAMENTO EM LAMINADO NATURAL PARA VERNIZ</t>
  </si>
  <si>
    <t>PORTA DE MADEIRA, FOLHA MEDIA (NBR 15930) DE 90 X 210 CM, E = 35 MM, NUCLEO SARRAFEADO, CAPA LISA EM HDF, ACABAMENTO EM PRIMER PARA PINTURA</t>
  </si>
  <si>
    <t>PORTA DE MADEIRA, FOLHA MEDIA (NBR 15930), E = 35 MM, NUCLEO SARRAFEADO, CAPA FRISADA EM HDF, ACABAMENTO MELAMINICO EM PADRAO MADEIRA</t>
  </si>
  <si>
    <t>PORTA DE MADEIRA, FOLHA PESADA (NBR 15930) DE 80 X 210 CM, E = 35 MM, NUCLEO SOLIDO, CAPA LISA EM HDF, ACABAMENTO EM LAMINADO NATURAL PARA VERNIZ</t>
  </si>
  <si>
    <t>PORTA DE MADEIRA, FOLHA PESADA (NBR 15930) DE 80 X 210 CM, E = 35 MM, NUCLEO SOLIDO, CAPA LISA EM HDF, ACABAMENTO EM PRIMER PARA PINTURA</t>
  </si>
  <si>
    <t>PORTA DE MADEIRA, FOLHA PESADA (NBR 15930) DE 90 X 210 CM, E = 35 MM, NUCLEO SOLIDO, CAPA LISA EM HDF, ACABAMENTO EM LAMINADO NATURAL PARA VERNIZ</t>
  </si>
  <si>
    <t>PORTA DE MADEIRA, FOLHA PESADA (NBR 15930) DE 90 X 210 CM, E = 35 MM, NUCLEO SOLIDO, CAPA LISA EM HDF, ACABAMENTO EM PRIMER PARA PINTURA</t>
  </si>
  <si>
    <t>PORTA DENTE PARA FRESADORA</t>
  </si>
  <si>
    <t>PORTA GRADE DE ENROLAR MANUAL COMPLETA, PERFIL TUBULAR TIJOLINHO 3/4 ", EM ACO GALVANIZADO NATURAL (SEM INSTALACAO)</t>
  </si>
  <si>
    <t>PORTA TOALHA BANHO EM METAL CROMADO, TIPO BARRA</t>
  </si>
  <si>
    <t>PORTA TOALHA ROSTO EM METAL CROMADO, TIPO ARGOLA</t>
  </si>
  <si>
    <t>PORTA VIDRO TEMPERADO INCOLOR, 2 FOLHAS DE CORRER, E = 10 MM (SEM FERRAGENS E SEM COLOCACAO)</t>
  </si>
  <si>
    <t>PORTAO BASCULANTE MANUAL EM ACO GALVANIZADO NATURAL, TIPO LAMBRIL COM REQUADRO/BATENTE, CHAPA NUMERO 26, INCLUI FECHADURA (SEM INSTALACAO)</t>
  </si>
  <si>
    <t>PORTAO BASCULANTE, MANUAL, EM CHAPA TIPO LAMBRIL QUADRADO, COM REQUADRO, ACABAMENTO NATURAL</t>
  </si>
  <si>
    <t>PORTAO DE ABRIR EM GRADIL DE METALON REDONDO DE 3/4"  VERTICAL, COM REQUADRO, ACABAMENTO NATURAL - COMPLETO</t>
  </si>
  <si>
    <t>PORTAO DE CORRER EM CHAPA TIPO PAINEL LAMBRIL QUADRADO, COM PORTA SOCIAL COMPLETA INCLUIDA, COM REQUADRO, ACABAMENTO NATURAL, COM TRILHOS E ROLDANAS</t>
  </si>
  <si>
    <t>PORTAO DE CORRER EM GRADIL FIXO DE BARRA DE FERRO CHATA DE 3 X 1/4" NA VERTICAL, SEM REQUADRO, ACABAMENTO NATURAL, COM TRILHOS E ROLDANAS</t>
  </si>
  <si>
    <t>PORTINHOLA DE ABRIR EM ALUMINIO DE 60 X 80 CM, VENEZIANA VENTILADA 1 FOLHA, ACABAMENTO ANODIZADO NATURAL</t>
  </si>
  <si>
    <t>POSTE CONICO CONTINUO EM ACO GALVANIZADO, CURVO, BRACO DUPLO, ENGASTADO,  H = 9 M, DIAMETRO INFERIOR = *135* MM</t>
  </si>
  <si>
    <t>POSTE CONICO CONTINUO EM ACO GALVANIZADO, CURVO, BRACO DUPLO, FLANGEADO,  H = 9 M, DIAMETRO INFERIOR = *135* MM</t>
  </si>
  <si>
    <t>POSTE CONICO CONTINUO EM ACO GALVANIZADO, CURVO, BRACO SIMPLES, ENGASTADO,  H = 9 M, DIAMETRO INFERIOR = *135* MM</t>
  </si>
  <si>
    <t>POSTE CONICO CONTINUO EM ACO GALVANIZADO, CURVO, BRACO SIMPLES, FLANGEADO,  H = 9 M, DIAMETRO INFERIOR = *135* MM</t>
  </si>
  <si>
    <t>POSTE CONICO CONTINUO EM ACO GALVANIZADO, CURVO, BRACO SIMPLES, FLANGEADO, H = 7 M, DIAMETRO INFERIOR = *125* MM</t>
  </si>
  <si>
    <t>POSTE CONICO CONTINUO EM ACO GALVANIZADO, RETO, ENGASTADO,  H = 7 M, DIAMETRO INFERIOR = *125* MM</t>
  </si>
  <si>
    <t>POSTE CONICO CONTINUO EM ACO GALVANIZADO, RETO, ENGASTADO,  H = 9 M, DIAMETRO INFERIOR = *145* MM</t>
  </si>
  <si>
    <t>POSTE CONICO CONTINUO EM ACO GALVANIZADO, RETO, FLANGEADO,  H = 3 M, DIAMETRO INFERIOR = *95* MM</t>
  </si>
  <si>
    <t>POSTE CONICO CONTINUO EM ACO GALVANIZADO, RETO, FLANGEADO, H = 6 M, DIAMETRO INFERIOR = *90* CM</t>
  </si>
  <si>
    <t>POSTE DE CONCRETO CIRCULAR, 150 KG, H = 10 M (NBR 8451)</t>
  </si>
  <si>
    <t>POSTE DE CONCRETO CIRCULAR, 200 KG, H = 11 M (NBR 8451)</t>
  </si>
  <si>
    <t>POSTE DE CONCRETO CIRCULAR, 200 KG, H = 9 M (NBR 8451)</t>
  </si>
  <si>
    <t>POSTE DE CONCRETO CIRCULAR, 300 KG, H = 11 M (NBR 8451)</t>
  </si>
  <si>
    <t>POSTE DE CONCRETO CIRCULAR, 300 KG, H = 9 M (NBR 8451)</t>
  </si>
  <si>
    <t>POSTE DE CONCRETO CIRCULAR, 400 KG, H = 11 M (NBR 8451)</t>
  </si>
  <si>
    <t>POSTE DE CONCRETO CIRCULAR, 400 KG, H = 14 M (NBR 8451)</t>
  </si>
  <si>
    <t>POSTE DE CONCRETO CIRCULAR, 400 KG, H = 9 M (NBR 8451)</t>
  </si>
  <si>
    <t>POSTE DE CONCRETO CIRCULAR, 600 KG, H = 10 M (NBR 8451)</t>
  </si>
  <si>
    <t>POSTE DE CONCRETO DUPLO T ,TIPO B, 500 KG, H = 9 M (NBR 8451)</t>
  </si>
  <si>
    <t>POSTE DE CONCRETO DUPLO T, TIPO B, 300 KG, H = 10 M (NBR 8451)</t>
  </si>
  <si>
    <t>POSTE DE CONCRETO DUPLO T, TIPO B, 300 KG, H = 9 M (NBR 8451)</t>
  </si>
  <si>
    <t>POSTE DE CONCRETO DUPLO T, TIPO D, 200 KG, H = 9 M (NBR 8451)</t>
  </si>
  <si>
    <t>POSTE DE CONCRETO DUPLO T, 200 KG, H = 11 M (NBR 8451)</t>
  </si>
  <si>
    <t>POSTE DE CONCRETO DUPLO T, 300 KG, H = 12 M (NBR 8451)</t>
  </si>
  <si>
    <t>POSTE DE CONCRETO DUPLO T, 400 KG,H = 12 M (NBR 8451)</t>
  </si>
  <si>
    <t>POSTE DECORATIVO PARA JARDIM EM ACO TUBULAR, SEM LUMINARIA, H = *2,5* M</t>
  </si>
  <si>
    <t>POSTE PADRAO SUBTERRANEO 100 A, H = 2,5 M</t>
  </si>
  <si>
    <t>POSTE PADRAO SUBTERRANEO 200 A, H = 2,5 M</t>
  </si>
  <si>
    <t>POZOLANA DE CLASSE C</t>
  </si>
  <si>
    <t>PRANCHA DE MADEIRA APARELHADA *4 X 30* CM, MACARANDUBA, ANGELIM OU EQUIVALENTE DA REGIAO</t>
  </si>
  <si>
    <t>PRANCHA DE MADEIRA NAO APARELHADA *6 X 25* CM, MACARANDUBA, ANGELIM OU EQUIVALENTE DA REGIAO</t>
  </si>
  <si>
    <t>PRANCHA DE MADEIRA NAO APARELHADA *6 X 30* CM, MACARANDUBA, ANGELIM OU EQUIVALENTE DA REGIAO</t>
  </si>
  <si>
    <t>PRANCHA DE MADEIRA NAO APARELHADA *6 X 40* CM, MACARANDUBA, ANGELIM OU EQUIVALENTE DA REGIAO</t>
  </si>
  <si>
    <t>PRANCHAO DE MADEIRA APARELHADA *7,5 X 23* CM (3 X 9 ") MACARANDUBA, ANGELIM OU EQUIVALENTE DA REGIAO</t>
  </si>
  <si>
    <t>PRANCHAO DE MADEIRA APARELHADA *8 X 30* CM, MACARANDUBA, ANGELIM OU EQUIVALENTE DA REGIAO</t>
  </si>
  <si>
    <t>PRANCHAO DE MADEIRA NAO APARELHADA *7,5 X 23* CM (3 x 9 ") MACARANDUBA, ANGELIM OU EQUIVALENTE DA REGIAO</t>
  </si>
  <si>
    <t>PRANCHAO DE MADEIRA NAO APARELHADA *8 X 30* CM, MACARANDUBA, ANGELIM OU EQUIVALENTE DA REGIAO</t>
  </si>
  <si>
    <t>PREGO DE ACO POLIDO COM CABECA DUPLA 17 X 27 (2 1/2 X 11)</t>
  </si>
  <si>
    <t>PREGO DE ACO POLIDO COM CABECA 10 X 10 (7/8 X 17)</t>
  </si>
  <si>
    <t>PREGO DE ACO POLIDO COM CABECA 10 X 11 (1 X 17)</t>
  </si>
  <si>
    <t>PREGO DE ACO POLIDO COM CABECA 12 X 12</t>
  </si>
  <si>
    <t>PREGO DE ACO POLIDO COM CABECA 14 X 18 (1 1/2 X 14)</t>
  </si>
  <si>
    <t>PREGO DE ACO POLIDO COM CABECA 15 X 15 (1 1/4 X 13)</t>
  </si>
  <si>
    <t>PREGO DE ACO POLIDO COM CABECA 15 X 18 (1 1/2 X 13)</t>
  </si>
  <si>
    <t>PREGO DE ACO POLIDO COM CABECA 16 X 24 (2 1/4 X 12)</t>
  </si>
  <si>
    <t>PREGO DE ACO POLIDO COM CABECA 16 X 27 (2 1/2 X 12)</t>
  </si>
  <si>
    <t>PREGO DE ACO POLIDO COM CABECA 17 X 21 (2 X 11)</t>
  </si>
  <si>
    <t>PREGO DE ACO POLIDO COM CABECA 17 X 24 (2 1/4 X 11)</t>
  </si>
  <si>
    <t>PREGO DE ACO POLIDO COM CABECA 17 X 27 (2 1/2 X 11)</t>
  </si>
  <si>
    <t>PREGO DE ACO POLIDO COM CABECA 17 X 30 (2 3/4 X 11)</t>
  </si>
  <si>
    <t>PREGO DE ACO POLIDO COM CABECA 18 X 24 (2 1/4 X 10)</t>
  </si>
  <si>
    <t>PREGO DE ACO POLIDO COM CABECA 18 X 27 (2 1/2 X 10)</t>
  </si>
  <si>
    <t>PREGO DE ACO POLIDO COM CABECA 18 X 30 (2 3/4 X 10)</t>
  </si>
  <si>
    <t>PREGO DE ACO POLIDO COM CABECA 19  X 36 (3 1/4  X  9)</t>
  </si>
  <si>
    <t>PREGO DE ACO POLIDO COM CABECA 19 X 33 (3 X 9)</t>
  </si>
  <si>
    <t>PREGO DE ACO POLIDO COM CABECA 22 X 48 (4 1/4 X 5)</t>
  </si>
  <si>
    <t>PREGO DE ACO POLIDO SEM CABECA 15 X 15 (1 1/4 X 13)</t>
  </si>
  <si>
    <t>PRENDEDOR / TRAVA DE PORTA, MONTAGEM PISO / PORTA, EM LATAO / ZAMAC, CROMADO</t>
  </si>
  <si>
    <t>PRESSAO DE PERNAS TRIPLO, EM TUBO DE ACO CARBONO, PINTURA NO PROCESSO ELETROSTATICO - EQUIPAMENTO DE GINASTICA PARA ACADEMIA AO AR LIVRE / ACADEMIA DA TERCEIRA IDADE - ATI</t>
  </si>
  <si>
    <t>PRIMER EPOXI</t>
  </si>
  <si>
    <t>PRIMER PARA MANTA ASFALTICA A BASE DE ASFALTO MODIFICADO DILUIDO EM SOLVENTE, APLICACAO A FRIO</t>
  </si>
  <si>
    <t>PRIMER UNIVERSAL, FUNDO ANTICORROSIVO TIPO ZARCAO</t>
  </si>
  <si>
    <t>PROJETOR DE ARGAMASSA, CAPACIDADE DE PROJECAO 1,5 M3/H, ALCANCE DA PROJECAO 30 ATE 60 M, MOTOR ELETRICO TRIFASICO</t>
  </si>
  <si>
    <t>PROJETOR DE ARGAMASSA, CAPACIDADE DE PROJECAO 2,0 M3/H, ALCANCE DA PROJECAO ATE 50 M, MOTOR ELETRICO TRIFASICO</t>
  </si>
  <si>
    <t>PROJETOR PNEUMATICO DE ARGAMASSA PARA CHAPISCO E REBOCO COM RECIPIENTE ACOPLADO, TIPO CANEQUNHA, COM VOLUME DE 1,50 L, SEM COMPRESSOR</t>
  </si>
  <si>
    <t>PROJETOR RETANGULAR FECHADO PARA LAMPADA VAPOR DE MERCURIO/SODIO 250 W A 500 W, CABECEIRAS EM ALUMINIO FUNDIDO, CORPO EM ALUMINIO ANODIZADO, PARA LAMPADA E40 FECHAMENTO EM VIDRO TEMPERADO.</t>
  </si>
  <si>
    <t>PROLONGADOR/EXTENSOR PARA ROLO DE PINTURA 3 M</t>
  </si>
  <si>
    <t>PROLONGAMENTO PVC PARA CAIXA SIFONADA  100 MM X 200 MM (NBR 5688)</t>
  </si>
  <si>
    <t>PROLONGAMENTO PVC PARA CAIXA SIFONADA 100 MM X 100 MM (NBR 5688)</t>
  </si>
  <si>
    <t>PROLONGAMENTO PVC PARA CAIXA SIFONADA, 100 MM X 150 MM (NBR 5688)</t>
  </si>
  <si>
    <t>PROLONGAMENTO PVC PARA CAIXA SIFONADA, 150 MM X 150 MM (NBR 5688)</t>
  </si>
  <si>
    <t>PROLONGAMENTO PVC PARA CAIXA SIFONADA, 150 MM X 200 MM (NBR 5688)</t>
  </si>
  <si>
    <t>PROTETOR AUDITIVO TIPO CONCHA COM ABAFADOR DE RUIDOS, ATENUACAO ACIMA DE 22 DB</t>
  </si>
  <si>
    <t>PROTETOR AUDITIVO TIPO PLUG DE INSERCAO COM CORDAO, ATENUACAO SUPERIOR A 15 DB</t>
  </si>
  <si>
    <t>PROTETOR SOLAR FPS 30, EMBALAGEM 2 LITROS</t>
  </si>
  <si>
    <t>PROTETOR/PONTEIRA PLASTICA PARA PONTA DE VERGALHAO DE ATE 1", TIPO PROTETOR DE ESPERA</t>
  </si>
  <si>
    <t>PRUMO DE CENTRO EM ACO *400* G</t>
  </si>
  <si>
    <t>PRUMO DE PAREDE EM ACO 700 A 750 G</t>
  </si>
  <si>
    <t>PULSADOR CAMPAINHA 10A, 250V (APENAS MODULO)</t>
  </si>
  <si>
    <t>PULSADOR CAMPAINHA 10A, 250V, CONJUNTO MONTADO PARA EMBUTIR 4" X 2" (PLACA + SUPORTE + MODULO)</t>
  </si>
  <si>
    <t>PULSADOR MINUTERIA 10A, 250V (APENAS MODULO)</t>
  </si>
  <si>
    <t>PULSADOR MINUTERIA 10A, 250V, CONJUNTO MONTADO PARA EMBUTIR 4" X 2" (PLACA + SUPORTE + MODULO)</t>
  </si>
  <si>
    <t>PULVERIZADOR DE TINTA ELETRICO / MAQUINA DE PINTURA AIRLESS, VAZAO *2* L/MIN (COLETADO CAIXA)</t>
  </si>
  <si>
    <t>PUXADOR CENTRAL, TIPO ALCA, EM ZAMAC CROMADO, COM ROSETAS, COMPRIMENTO *100* MM, PARA PORTA / JANELA EM MADEIRA OU METALICA - INCLUI PARAFUSOS</t>
  </si>
  <si>
    <t>PUXADOR CONCHA DE EMBUTIR PARA JANELA / PORTA DE CORRER, EM LATAO CROMADO, COM FURO CENTRAL PARA CHAVE E FUROS PARA PARAFUSOS, *40 X 100* MM  (LARGURA X ALTURA) - SEM FECHADURA</t>
  </si>
  <si>
    <t>PUXADOR TUBULAR RETO, DUPLO, EM ALUMINIO POLIDO, DIAMETRO APROX.DE 1", COMPRIMENTO APROX. DE 400 MM, PARA PORTAS DE MADEIRA OU VIDRO</t>
  </si>
  <si>
    <t>QUADRO DE DISTRIBUICAO COM BARRAMENTO TRIFASICO, DE EMBUTIR, EM CHAPA DE ACO GALVANIZADO, PARA 12 DISJUNTORES DIN, 100 A</t>
  </si>
  <si>
    <t>QUADRO DE DISTRIBUICAO COM BARRAMENTO TRIFASICO, DE EMBUTIR, EM CHAPA DE ACO GALVANIZADO, PARA 18 DISJUNTORES DIN, 100 A, INCLUINDO BARRAMENTO</t>
  </si>
  <si>
    <t>QUADRO DE DISTRIBUICAO COM BARRAMENTO TRIFASICO, DE EMBUTIR, EM CHAPA DE ACO GALVANIZADO, PARA 24 DISJUNTORES DIN, 100 A</t>
  </si>
  <si>
    <t>QUADRO DE DISTRIBUICAO COM BARRAMENTO TRIFASICO, DE EMBUTIR, EM CHAPA DE ACO GALVANIZADO, PARA 28 DISJUNTORES DIN, 100 A</t>
  </si>
  <si>
    <t>QUADRO DE DISTRIBUICAO COM BARRAMENTO TRIFASICO, DE EMBUTIR, EM CHAPA DE ACO GALVANIZADO, PARA 30 DISJUNTORES DIN, 150 A</t>
  </si>
  <si>
    <t>QUADRO DE DISTRIBUICAO COM BARRAMENTO TRIFASICO, DE EMBUTIR, EM CHAPA DE ACO GALVANIZADO, PARA 30 DISJUNTORES DIN, 225 A</t>
  </si>
  <si>
    <t>QUADRO DE DISTRIBUICAO COM BARRAMENTO TRIFASICO, DE EMBUTIR, EM CHAPA DE ACO GALVANIZADO, PARA 36 DISJUNTORES DIN, 100 A</t>
  </si>
  <si>
    <t>QUADRO DE DISTRIBUICAO COM BARRAMENTO TRIFASICO, DE EMBUTIR, EM CHAPA DE ACO GALVANIZADO, PARA 40 DISJUNTORES DIN, 100 A</t>
  </si>
  <si>
    <t>QUADRO DE DISTRIBUICAO COM BARRAMENTO TRIFASICO, DE EMBUTIR, EM CHAPA DE ACO GALVANIZADO, PARA 48 DISJUNTORES DIN, 100 A</t>
  </si>
  <si>
    <t>QUADRO DE DISTRIBUICAO COM BARRAMENTO TRIFASICO, DE SOBREPOR, EM CHAPA DE ACO GALVANIZADO, PARA 12 DISJUNTORES DIN, 100 A</t>
  </si>
  <si>
    <t>QUADRO DE DISTRIBUICAO COM BARRAMENTO TRIFASICO, DE SOBREPOR, EM CHAPA DE ACO GALVANIZADO, PARA 18 DISJUNTORES DIN, 100 A</t>
  </si>
  <si>
    <t>QUADRO DE DISTRIBUICAO COM BARRAMENTO TRIFASICO, DE SOBREPOR, EM CHAPA DE ACO GALVANIZADO, PARA 28 DISJUNTORES DIN, 100 A</t>
  </si>
  <si>
    <t>QUADRO DE DISTRIBUICAO COM BARRAMENTO TRIFASICO, DE SOBREPOR, EM CHAPA DE ACO GALVANIZADO, PARA 30 DISJUNTORES DIN, 100 A</t>
  </si>
  <si>
    <t>QUADRO DE DISTRIBUICAO COM BARRAMENTO TRIFASICO, DE SOBREPOR, EM CHAPA DE ACO GALVANIZADO, PARA 36 DISJUNTORES DIN, 100 A</t>
  </si>
  <si>
    <t>QUADRO DE DISTRIBUICAO COM BARRAMENTO TRIFASICO, DE SOBREPOR, EM CHAPA DE ACO GALVANIZADO, PARA 48 DISJUNTORES DIN, 100 A</t>
  </si>
  <si>
    <t>QUADRO DE DISTRIBUICAO, EM PVC, DE EMBUTIR, COM BARRAMENTO TERRA / NEUTRO, PARA 12 DISJUNTORES NEMA OU 16 DISJUNTORES DIN</t>
  </si>
  <si>
    <t>QUADRO DE DISTRIBUICAO, EM PVC, DE EMBUTIR, COM BARRAMENTO TERRA / NEUTRO, PARA 18 DISJUNTORES NEMA OU 24 DISJUNTORES DIN</t>
  </si>
  <si>
    <t>QUADRO DE DISTRIBUICAO, EM PVC, DE EMBUTIR, COM BARRAMENTO TERRA / NEUTRO, PARA 27 DISJUNTORES NEMA OU 36 DISJUNTORES DIN</t>
  </si>
  <si>
    <t>QUADRO DE DISTRIBUICAO, EM PVC, DE EMBUTIR, COM BARRAMENTO TERRA / NEUTRO, PARA 48 DISJUNTORES DIN</t>
  </si>
  <si>
    <t>QUADRO DE DISTRIBUICAO, EM PVC, DE EMBUTIR, COM BARRAMENTO TERRA / NEUTRO, PARA 6 DISJUNTORES NEMA OU 8 DISJUNTORES DIN</t>
  </si>
  <si>
    <t>QUADRO DE DISTRIBUICAO, SEM BARRAMENTO, EM PVC, DE EMBUTIR, PARA 12 DISJUNTORES NEMA OU 16 DISJUNTORES DIN</t>
  </si>
  <si>
    <t>QUADRO DE DISTRIBUICAO, SEM BARRAMENTO, EM PVC, DE EMBUTIR, PARA 18 DISJUNTORES NEMA OU 24 DISJUNTORES DIN</t>
  </si>
  <si>
    <t>QUADRO DE DISTRIBUICAO, SEM BARRAMENTO, EM PVC, DE EMBUTIR, PARA 27 DISJUNTORES NEMA OU 36 DISJUNTORES DIN</t>
  </si>
  <si>
    <t>QUADRO DE DISTRIBUICAO, SEM BARRAMENTO, EM PVC, DE EMBUTIR, PARA 3 DISJUNTORES NEMA OU 4 DISJUNTORES DIN</t>
  </si>
  <si>
    <t>QUADRO DE DISTRIBUICAO, SEM BARRAMENTO, EM PVC, DE EMBUTIR, PARA 6 DISJUNTORES NEMA OU 8 DISJUNTORES DIN</t>
  </si>
  <si>
    <t>QUADRO DE DISTRIBUICAO, SEM BARRAMENTO, EM PVC, DE SOBREPOR,  PARA 3 DISJUNTORES NEMA OU 4 DISJUNTORES DIN</t>
  </si>
  <si>
    <t>QUADRO DE DISTRIBUICAO, SEM BARRAMENTO, EM PVC, DE SOBREPOR, PARA 12 DISJUNTORES NEMA OU 16 DISJUNTORES DIN</t>
  </si>
  <si>
    <t>QUADRO DE DISTRIBUICAO, SEM BARRAMENTO, EM PVC, DE SOBREPOR, PARA 18 DISJUNTORES NEMA OU 24 DISJUNTORES DIN</t>
  </si>
  <si>
    <t>QUADRO DE DISTRIBUICAO, SEM BARRAMENTO, EM PVC, DE SOBREPOR, PARA 27 DISJUNTORES NEMA OU 36 DISJUNTORES DIN</t>
  </si>
  <si>
    <t>QUADRO DE DISTRIBUICAO, SEM BARRAMENTO, EM PVC, DE SOBREPOR, PARA 6 DISJUNTORES NEMA OU 8 DISJUNTORES DIN</t>
  </si>
  <si>
    <t>QUEROSENE</t>
  </si>
  <si>
    <t>RALO FOFO COM REQUADRO, QUADRADO 150 X 150 MM</t>
  </si>
  <si>
    <t>RALO FOFO COM REQUADRO, QUADRADO 200 X 200 MM</t>
  </si>
  <si>
    <t>RALO FOFO COM REQUADRO, QUADRADO 250 X 250 MM</t>
  </si>
  <si>
    <t>RALO FOFO COM REQUADRO, QUADRADO 300 X 300 MM</t>
  </si>
  <si>
    <t>RALO FOFO COM REQUADRO, QUADRADO 400 X 400 MM</t>
  </si>
  <si>
    <t>RALO FOFO SEMIESFERICO, 100 MM, PARA LAJES/ CALHAS</t>
  </si>
  <si>
    <t>RALO FOFO SEMIESFERICO, 150 MM, PARA LAJES/ CALHAS</t>
  </si>
  <si>
    <t>RALO FOFO SEMIESFERICO, 200 MM, PARA LAJES/ CALHAS</t>
  </si>
  <si>
    <t>RALO FOFO SEMIESFERICO, 75 MM, PARA LAJES/ CALHAS</t>
  </si>
  <si>
    <t>RALO SECO PVC CONICO, 100 X 40 MM,  COM GRELHA REDONDA BRANCA</t>
  </si>
  <si>
    <t>RALO SECO PVC CONICO, 100 X 40 MM, COM GRELHA QUADRADA</t>
  </si>
  <si>
    <t>RALO SECO PVC QUADRADO, 100 X 100 X 53 MM, SAIDA 40 MM, COM GRELHA BRANCA</t>
  </si>
  <si>
    <t>RALO SIFONADO PVC CILINDRICO, 100 X 40 MM,  COM GRELHA REDONDA BRANCA</t>
  </si>
  <si>
    <t>RALO SIFONADO PVC REDONDO CONICO, 100 X 40 MM, COM GRELHA  BRANCA REDONDA</t>
  </si>
  <si>
    <t>RALO SIFONADO PVC, QUADRADO, 100 X 100 X 53 MM, SAIDA 40 MM, COM GRELHA BRANCA</t>
  </si>
  <si>
    <t>RASTELEIRO</t>
  </si>
  <si>
    <t>RASTELEIRO (MENSALISTA)</t>
  </si>
  <si>
    <t>REATOR ELETRONICO BIVOLT PARA 1 LAMPADA FLUORESCENTE DE 18/20 W</t>
  </si>
  <si>
    <t>REATOR ELETRONICO BIVOLT PARA 1 LAMPADA FLUORESCENTE DE 36/40 W</t>
  </si>
  <si>
    <t>REATOR ELETRONICO BIVOLT PARA 2 LAMPADAS FLUORESCENTES DE 14 W</t>
  </si>
  <si>
    <t>REATOR ELETRONICO BIVOLT PARA 2 LAMPADAS FLUORESCENTES DE 18/20 W</t>
  </si>
  <si>
    <t>REATOR ELETRONICO BIVOLT PARA 2 LAMPADAS FLUORESCENTES DE 36/40 W</t>
  </si>
  <si>
    <t>REATOR INTERNO/INTEGRADO PARA LAMPADA VAPOR METALICO 400 W, ALTO FATOR DE POTENCIA</t>
  </si>
  <si>
    <t>REATOR P/ LAMPADA VAPOR DE SODIO 250W USO EXT</t>
  </si>
  <si>
    <t>REATOR P/ 1 LAMPADA VAPOR DE MERCURIO 125W USO EXT</t>
  </si>
  <si>
    <t>REATOR P/ 1 LAMPADA VAPOR DE MERCURIO 250W USO EXT</t>
  </si>
  <si>
    <t>REATOR P/ 1 LAMPADA VAPOR DE MERCURIO 400W USO EXT</t>
  </si>
  <si>
    <t>REBITE DE ALUMINIO VAZADO DE REPUXO, 3,2 X 8 MM (1KG = 1025 UNIDADES)</t>
  </si>
  <si>
    <t>REBOLO ABRASIVO RETO DE USO GERAL GRAO 36, DE 6 X 1 " (DIAMETRO X ALTURA)</t>
  </si>
  <si>
    <t>REBOLO ABRASIVO RETO DE USO GERAL GRAO 36, DE 6 X 3/4 " (DIAMETRO X ALTURA)</t>
  </si>
  <si>
    <t>RECICLADORA DE ASFALTO A FRIO SOBRE RODAS, LARG. FRESAGEM 2,00 M, POT. 315 KW/422 HP</t>
  </si>
  <si>
    <t>REDUCAO EXCENTRICA PVC NBR 10569 P/REDE COLET ESG PB JE 150 X 100MM</t>
  </si>
  <si>
    <t>REDUCAO EXCENTRICA PVC NBR 10569 P/REDE COLET ESG PB JE 200 X 150MM</t>
  </si>
  <si>
    <t>REDUCAO EXCENTRICA PVC NBR 10569 P/REDE COLET ESG PB JE 250 X 200MM</t>
  </si>
  <si>
    <t>REDUCAO EXCENTRICA PVC P/ ESG PREDIAL DN 100 X 50MM</t>
  </si>
  <si>
    <t>REDUCAO EXCENTRICA PVC P/ ESG PREDIAL DN 100 X 75MM</t>
  </si>
  <si>
    <t>REDUCAO EXCENTRICA PVC P/ ESG PREDIAL DN 75 X 50MM</t>
  </si>
  <si>
    <t>REDUCAO EXCENTRICA PVC, SERIE R, DN 100 X 75 MM, PARA ESGOTO PREDIAL</t>
  </si>
  <si>
    <t>REDUCAO EXCENTRICA PVC, SERIE R, DN 150 X 100 MM, PARA ESGOTO PREDIAL</t>
  </si>
  <si>
    <t>REDUCAO EXCENTRICA PVC, SERIE R, DN 75 X 50 MM, PARA ESGOTO PREDIAL</t>
  </si>
  <si>
    <t>REDUCAO FIXA TIPO STORZ, ENGATE RAPIDO 2.1/2" X 1.1/2", EM LATAO, PARA INSTALACAO PREDIAL COMBATE A INCENDIO PREDIAL</t>
  </si>
  <si>
    <t>REDUCAO PVC PBA, JE, BB, DN 75 X 50 / DE 85 X 60 MM, PARA REDE DE AGUA</t>
  </si>
  <si>
    <t>REDUCAO PVC PBA, JE, PB, DN 100 X 50 / DE 110 X 60 MM, PARA REDE DE AGUA</t>
  </si>
  <si>
    <t>REDUCAO PVC PBA, JE, PB, DN 100 X 75 / DE 110 X 85 MM, PARA REDE DE AGUA</t>
  </si>
  <si>
    <t>REDUCAO PVC PBA, JE, PB, DN 75 X 50 / DE 85 X 60 MM, PARA REDE DE AGUA</t>
  </si>
  <si>
    <t>REDUTOR TIPO THINNER PARA ACABAMENTO</t>
  </si>
  <si>
    <t>REFLETOR REDONDO EM ALUMINIO ANODIZADO PARA LAMPADA VAPOR DE MERCURIO/SODIO, CORPO EM ALUMINIO COM PINTURA EPOXI, PARA LAMPADA E-27 DE 300 W, COM SUPORTE REDONDO E ALCA REGULAVEL PARA FIXACAO.</t>
  </si>
  <si>
    <t>REGISTRO DE ESFERA DE PASSEIO, PVC PARA POLIETILENO, 20 MM</t>
  </si>
  <si>
    <t>REGISTRO DE ESFERA PVC, COM BORBOLETA, COM ROSCA EXTERNA, DE 1/2"</t>
  </si>
  <si>
    <t>REGISTRO DE ESFERA PVC, COM BORBOLETA, COM ROSCA EXTERNA, DE 3/4"</t>
  </si>
  <si>
    <t>REGISTRO DE ESFERA PVC, COM CABECA QUADRADA, COM ROSCA EXTERNA, 1/2"</t>
  </si>
  <si>
    <t>REGISTRO DE ESFERA PVC, COM CABECA QUADRADA, COM ROSCA EXTERNA, 3/4"</t>
  </si>
  <si>
    <t>REGISTRO DE ESFERA, PVC, COM VOLANTE, VS, ROSCAVEL, DN 1 1/2", COM CORPO DIVIDIDO</t>
  </si>
  <si>
    <t>REGISTRO DE ESFERA, PVC, COM VOLANTE, VS, ROSCAVEL, DN 1 1/4", COM CORPO DIVIDIDO</t>
  </si>
  <si>
    <t>REGISTRO DE ESFERA, PVC, COM VOLANTE, VS, ROSCAVEL, DN 1/2", COM CORPO DIVIDIDO</t>
  </si>
  <si>
    <t>REGISTRO DE ESFERA, PVC, COM VOLANTE, VS, ROSCAVEL, DN 1", COM CORPO DIVIDIDO</t>
  </si>
  <si>
    <t>REGISTRO DE ESFERA, PVC, COM VOLANTE, VS, ROSCAVEL, DN 2", COM CORPO DIVIDIDO</t>
  </si>
  <si>
    <t>REGISTRO DE ESFERA, PVC, COM VOLANTE, VS, ROSCAVEL, DN 3/4", COM CORPO DIVIDIDO</t>
  </si>
  <si>
    <t>REGISTRO DE ESFERA, PVC, COM VOLANTE, VS, SOLDAVEL, DN 20 MM, COM CORPO DIVIDIDO</t>
  </si>
  <si>
    <t>REGISTRO DE ESFERA, PVC, COM VOLANTE, VS, SOLDAVEL, DN 25 MM, COM CORPO DIVIDIDO</t>
  </si>
  <si>
    <t>REGISTRO DE ESFERA, PVC, COM VOLANTE, VS, SOLDAVEL, DN 32 MM, COM CORPO DIVIDIDO</t>
  </si>
  <si>
    <t>REGISTRO DE ESFERA, PVC, COM VOLANTE, VS, SOLDAVEL, DN 40 MM, COM CORPO DIVIDIDO</t>
  </si>
  <si>
    <t>REGISTRO DE ESFERA, PVC, COM VOLANTE, VS, SOLDAVEL, DN 50 MM, COM CORPO DIVIDIDO</t>
  </si>
  <si>
    <t>REGISTRO DE ESFERA, PVC, COM VOLANTE, VS, SOLDAVEL, DN 60 MM, COM CORPO DIVIDIDO</t>
  </si>
  <si>
    <t>REGISTRO DE PRESSAO PVC, ROSCAVEL, VOLANTE SIMPLES, DE 1/2"</t>
  </si>
  <si>
    <t>REGISTRO DE PRESSAO PVC, ROSCAVEL, VOLANTE SIMPLES, DE 3/4"</t>
  </si>
  <si>
    <t>REGISTRO DE PRESSAO PVC, SOLDAVEL, VOLANTE SIMPLES, DE 20 MM</t>
  </si>
  <si>
    <t>REGISTRO DE PRESSAO PVC, SOLDAVEL, VOLANTE SIMPLES, DE 25 MM</t>
  </si>
  <si>
    <t>REGISTRO GAVETA BRUTO EM LATAO FORJADO, BITOLA 1 " (REF 1509)</t>
  </si>
  <si>
    <t>REGISTRO GAVETA BRUTO EM LATAO FORJADO, BITOLA 1 1/2 " (REF 1509)</t>
  </si>
  <si>
    <t>REGISTRO GAVETA BRUTO EM LATAO FORJADO, BITOLA 1 1/4 " (REF 1509)</t>
  </si>
  <si>
    <t>REGISTRO GAVETA BRUTO EM LATAO FORJADO, BITOLA 1/2 " (REF 1509)</t>
  </si>
  <si>
    <t>REGISTRO GAVETA BRUTO EM LATAO FORJADO, BITOLA 2 " (REF 1509)</t>
  </si>
  <si>
    <t>REGISTRO GAVETA BRUTO EM LATAO FORJADO, BITOLA 2 1/2 " (REF 1509)</t>
  </si>
  <si>
    <t>REGISTRO GAVETA BRUTO EM LATAO FORJADO, BITOLA 3 " (REF 1509)</t>
  </si>
  <si>
    <t>REGISTRO GAVETA BRUTO EM LATAO FORJADO, BITOLA 3/4 " (REF 1509)</t>
  </si>
  <si>
    <t>REGISTRO GAVETA BRUTO EM LATAO FORJADO, BITOLA 4 " (REF 1509)</t>
  </si>
  <si>
    <t>REGISTRO GAVETA COM ACABAMENTO E CANOPLA CROMADOS, SIMPLES, BITOLA 1 " (REF 1509)</t>
  </si>
  <si>
    <t>REGISTRO GAVETA COM ACABAMENTO E CANOPLA CROMADOS, SIMPLES, BITOLA 1 1/2 " (REF 1509)</t>
  </si>
  <si>
    <t>REGISTRO GAVETA COM ACABAMENTO E CANOPLA CROMADOS, SIMPLES, BITOLA 1 1/4 " (REF 1509)</t>
  </si>
  <si>
    <t>REGISTRO GAVETA COM ACABAMENTO E CANOPLA CROMADOS, SIMPLES, BITOLA 1/2 " (REF 1509)</t>
  </si>
  <si>
    <t>REGISTRO GAVETA COM ACABAMENTO E CANOPLA CROMADOS, SIMPLES, BITOLA 3/4 " (REF 1509)</t>
  </si>
  <si>
    <t>REGISTRO OU REGULADOR DE GAS COZINHA, VAZAO DE 2 KG/H, 2,8 KPA</t>
  </si>
  <si>
    <t>REGISTRO OU VALVULA GLOBO ANGULAR EM LATAO, PARA HIDRANTES EM INSTALACAO PREDIAL DE INCENDIO, 45 GRAUS, DIAMETRO DE 2 1/2", COM VOLANTE, CLASSE DE PRESSAO DE ATE 200 PSI</t>
  </si>
  <si>
    <t>REGISTRO PRESSAO BRUTO EM LATAO FORJADO, BITOLA 1/2 " (REF 1400)</t>
  </si>
  <si>
    <t>REGISTRO PRESSAO BRUTO EM LATAO FORJADO, BITOLA 3/4 " (REF 1400)</t>
  </si>
  <si>
    <t>REGISTRO PRESSAO COM ACABAMENTO E CANOPLA CROMADA, SIMPLES, BITOLA 1/2 " (REF 1416)</t>
  </si>
  <si>
    <t>REGISTRO PRESSAO COM ACABAMENTO E CANOPLA CROMADA, SIMPLES, BITOLA 3/4 " (REF 1416)</t>
  </si>
  <si>
    <t>REGUA DE ALUMINIO PARA PEDREIRO 2 X 1 "</t>
  </si>
  <si>
    <t>REGUA VIBRADORA DUPLA PARA CONCRETO A GASOLINA 5,5 HP, PESO DE 60 KG, COMPRIMENTO 4 M</t>
  </si>
  <si>
    <t>REGUA VIBRATORIA DE CONCRETO TRELICADA, EQUIPADA COM MOTOR A GASOLINA DE 9 HP</t>
  </si>
  <si>
    <t>REJEITO DE MINERIO DE FERRO PARA PAVIMENTACAO (POSTO PEDREIRA/FORNECEDOR, SEM FRETE)</t>
  </si>
  <si>
    <t>REJUNTE BRANCO, CIMENTICIO</t>
  </si>
  <si>
    <t>REJUNTE COLORIDO, CIMENTICIO</t>
  </si>
  <si>
    <t>REJUNTE EPOXI BRANCO</t>
  </si>
  <si>
    <t>REJUNTE EPOXI COR</t>
  </si>
  <si>
    <t>RELE FOTOELETRICO INTERNO E EXTERNO BIVOLT 1000 W, DE CONECTOR, SEM BASE</t>
  </si>
  <si>
    <t>RELE TERMICO BIMETAL PARA USO EM MOTORES TRIFASICOS, TENSAO 380 V, POTENCIA ATE 15 CV, CORRENTE NOMINAL MAXIMA 22 A</t>
  </si>
  <si>
    <t>REMOVEDOR DE TINTA OLEO/ESMALTE VERNIZ</t>
  </si>
  <si>
    <t>RESINA ACRILICA BASE AGUA - COR BRANCA</t>
  </si>
  <si>
    <t>RESPIRADOR DESCARTAVEL SEM VALVULA DE EXALACAO, PFF 1</t>
  </si>
  <si>
    <t>RETARDO PARA CORDEL DETONANTE</t>
  </si>
  <si>
    <t>RETROESCAVADEIRA SOBRE RODAS COM CARREGADEIRA, TRACAO 4 X 2, POTENCIA LIQUIDA 79 HP, PESO OPERACIONAL MINIMO DE 6570 KG, CAPACIDADE DA CARREGADEIRA DE 1,00 M3 E DA  RETROESCAVADEIRA MINIMA DE 0,20 M3, PROFUNDIDADE DE ESCAVACAO MAXIMA DE 4,37 M</t>
  </si>
  <si>
    <t>RETROESCAVADEIRA SOBRE RODAS COM CARREGADEIRA, TRACAO 4 X 4, POTENCIA LIQUIDA 72 HP, PESO OPERACIONAL MINIMO DE 7140 KG, CAPACIDADE MINIMA DA CARREGADEIRA DE 0,79 M3 E DA RETROESCAVADEIRA MINIMA DE 0,18 M3, PROFUNDIDADE DE ESCAVACAO MAXIMA DE 4,50 M</t>
  </si>
  <si>
    <t>RETROESCAVADEIRA SOBRE RODAS COM CARREGADEIRA, TRACAO 4 X 4, POTENCIA LIQUIDA 88 HP, PESO OPERACIONAL MINIMO DE 6674 KG, CAPACIDADE DA CARREGADEIRA DE 1,00 M3 E DA  RETROESCAVADEIRA MINIMA DE 0,26 M3, PROFUNDIDADE DE ESCAVACAO MAXIMA DE 4,37 M</t>
  </si>
  <si>
    <t>REVESTIMENTO DE PAREDE EM GRANILITE, MARMORITE OU GRANITINA - ESP = 5 MM (INCLUSO EXECUCAO)</t>
  </si>
  <si>
    <t>REVESTIMENTO DE PAREDE EM GRANILITE, MARMORITE OU GRANITINA COLORIDO - ESP = 5 MM (INCLUSO EXECUCAO)</t>
  </si>
  <si>
    <t>REVESTIMENTO EM CERAMICA ESMALTADA COMERCIAL, PEI MENOR OU IGUAL A 3, FORMATO MENOR OU IGUAL A 2025 CM2</t>
  </si>
  <si>
    <t>REVESTIMENTO EM CERAMICA ESMALTADA EXTRA, PEI MAIOR OU IGUAL 4, FORMATO MAIOR A 2025 CM2</t>
  </si>
  <si>
    <t>REVESTIMENTO EM CERAMICA ESMALTADA EXTRA, PEI MENOR OU IGUAL A 3, FORMATO MENOR OU IGUAL A 2025 CM2</t>
  </si>
  <si>
    <t>REVESTIMENTO EPOXI DE ALTA RESISTENCIA QUIMICA, ISENTO DE SOLVENTES, BICOMPONENTE</t>
  </si>
  <si>
    <t>REVESTIMENTO PARA ESCADA EM GRANILITE, MARMORITE OU GRANITINA ESP = 8 MM (INCLUSO EXECUCAO)</t>
  </si>
  <si>
    <t>RIPA DE MADEIRA APARELHADA *1,5 X 5* CM, MACARANDUBA, ANGELIM OU EQUIVALENTE DA REGIAO</t>
  </si>
  <si>
    <t>RIPA DE MADEIRA NAO APARELHADA *1 X 3* CM, MACARANDUBA, ANGELIM OU EQUIVALENTE DA REGIAO</t>
  </si>
  <si>
    <t>RIPA DE MADEIRA NAO APARELHADA *1,5 X 5* CM, MACARANDUBA, ANGELIM OU EQUIVALENTE DA REGIAO</t>
  </si>
  <si>
    <t>RIPA DE MADEIRA NAO APARELHADA *2 X 7* CM, PINUS, MISTA OU EQUIVALENTE DA REGIAO</t>
  </si>
  <si>
    <t>ROCADEIRA COSTAL COM MOTOR A GASOLINA DE *32* CC</t>
  </si>
  <si>
    <t>ROCADEIRA DESLOCAVEL, LARGURA DE TRABALHO DE 1,3 M</t>
  </si>
  <si>
    <t>RODAFORRO EM PVC, PARA FORRO DE PVC, COMPRIMENTO 6 M</t>
  </si>
  <si>
    <t>RODAPE ARDOSIA, CINZA, 10 CM, E= *1CM</t>
  </si>
  <si>
    <t>RODAPE DE BORRACHA LISO, H = 70 MM, E = *2* MM, PARA ARGAMASSA, PRETO</t>
  </si>
  <si>
    <t>RODAPE DE MADEIRA MACICA CUMARU/IPE CHAMPANHE OU EQUIVALENTE DA REGIAO, *1,5 X 7 CM</t>
  </si>
  <si>
    <t>RODAPE EM MARMORE, POLIDO, BRANCO COMUM, L= *7* CM, E=  *2* CM, CORTE RETO</t>
  </si>
  <si>
    <t>RODAPE EM POLIESTIRENO, BRANCO, H = *5* CM, E = *1,5* CM</t>
  </si>
  <si>
    <t>RODAPE OU RODABANCADA EM GRANITO, POLIDO, TIPO ANDORINHA/ QUARTZ/ CASTELO/ CORUMBA OU OUTROS EQUIVALENTES DA REGIAO, H= 10 CM, E=  *2,0* CM</t>
  </si>
  <si>
    <t>RODAPE PLANO PARA PISO VINILICO, H = 5 CM</t>
  </si>
  <si>
    <t>RODAPE PRE-MOLDADO DE GRANILITE, MARMORITE OU GRANITINA L = 10 CM</t>
  </si>
  <si>
    <t>RODIZIO PARA TRILHO (TIPO NAPOLEAO),  EM LATAO, COM ROLAMENTO EM ACO, 6 MM, PARA JANELA DE CORRER</t>
  </si>
  <si>
    <t>RODO PARA CHAO 40 CM COM CABO</t>
  </si>
  <si>
    <t>ROLDANA CONCOVA DUPLA, EM CHAPA DE ACO, ROLAMENTO INTERNO BLINDADO DE ACO REVESTIDO EM NYLON, PARA PORTA DE CORRER</t>
  </si>
  <si>
    <t>ROLDANA DUPLA, EM ZAMAC COM CHAPA DE LATAO, ROLAMENTOS EM ACO, PARA PORTA E JANELA DE CORRER</t>
  </si>
  <si>
    <t>ROLDANA PLASTICA COM PREGO, TAMANHO 30 X 30 MM, PARA INSTALACAO ELETRICA APARENTE</t>
  </si>
  <si>
    <t>ROLO COMPACTADOR DE PNEUS, ESTATICO, PRESSAO VARIAVEL, POTENCIA 110 HP, PESO SEM/COM LASTRO 10,8/27 T, LARGURA DE ROLAGEM 2,30 M</t>
  </si>
  <si>
    <t>ROLO COMPACTADOR DE PNEUS, ESTATICO, PRESSAO VARIAVEL, POTENCIA 111 HP, PESO SEM/COM LASTRO 9,5/26,0 T, LARGURA DE ROLAGEM 1,90 M</t>
  </si>
  <si>
    <t>ROLO COMPACTADOR PE DE CARNEIRO VIBRATORIO, POTENCIA 125 HP, PESO OPERACIONAL SEM/COM LASTRO 11,95/13,30 T, IMPACTO DINAMICO 38,5/22,5 T, LARGURA DE TRABALHO 2,15 M</t>
  </si>
  <si>
    <t>ROLO COMPACTADOR PE DE CARNEIRO VIBRATORIO, POTENCIA 80 HP, PESO OPERACIONAL SEM/COM LASTRO 7,4/8,8 T, LARGURA DE TRABALHO 1,68 M</t>
  </si>
  <si>
    <t>ROLO COMPACTADOR VIBRATORIO DE UM CILINDRO LISO DE ACO, POTENCIA 125 HP, PESO SEM/COM LASTRO 10,75/12,92 T, IMPACTO DINAMICO 31,5/18,5 T, LARGURA TRABALHO 2,15 M</t>
  </si>
  <si>
    <t>ROLO COMPACTADOR VIBRATORIO DE UM CILINDRO, ACO LISO, POTENCIA 80 HP, PESO OPERACIONAL MAXIMO 8,1 T, IMPACTO DINAMICO 16,15/9,5 T, LARGURA TRABALHO 1,68 M</t>
  </si>
  <si>
    <t>ROLO COMPACTADOR VIBRATORIO PE DE CARNEIRO, COM CONTROLE REMOTO POR RADIO, POTENCIA  12,5 KW, PESO OPERACIONAL DE 1,675 T, LARGURA DE TRABALHO 0,85 M</t>
  </si>
  <si>
    <t>ROLO COMPACTADOR VIBRATORIO REBOCAVEL, CILINDRO DE ACO LISO, POTENCIA DE TRACAO DE 65 CV, PESO DE 4,7 T, IMPACTO DINAMICO TOTAL DE 18,3 T, LARGURA DO ROLO 1,67 M</t>
  </si>
  <si>
    <t>ROLO COMPACTADOR VIBRATORIO TANDEM, ACO LISO, POTENCIA 125 HP, PESO SEM/COM LASTRO 10,20/11,65 T, LARGURA DE TRABALHO 1,73 M</t>
  </si>
  <si>
    <t>ROLO COMPACTADOR VIBRATORIO TANDEM, ACO LISO, POTENCIA 58 CV, PESO SEM/COM LASTRO 6,5/9,4 T, LARGURA DE TRABALHO 1,20 M</t>
  </si>
  <si>
    <t>ROLO DE ESPUMA POLIESTER 23 CM (SEM CABO)</t>
  </si>
  <si>
    <t>ROLO DE LA DE CARNEIRO 23 CM (SEM CABO)</t>
  </si>
  <si>
    <t>ROMPEDOR ELETRICO PESO 26 KG, POTENCIA OPERACIONAL DE 2,5 KW</t>
  </si>
  <si>
    <t>ROSETA QUADRADA, SEM FUROS, EM ACO INOX POLIDO, LARGURA APROXIMADA DE 50 MM, PARA FECHADURA DE PORTA - PARAFUSOS INCLUIDOS</t>
  </si>
  <si>
    <t>ROSETA REDONDA DE SOBREPOR, SEM FUROS, EM ACO INOX POLIDO, DIAMETRO APROXIMADO DE 50 MM, PARA FECHADURA DE PORTA - PARAFUSOS INCLUIDOS</t>
  </si>
  <si>
    <t>ROTACAO DIAGONAL DUPLA, APARELHO TRIPLO, EM TUBO DE ACO CARBONO, PINTURA NO PROCESSO ELETROSTATICO - EQUIPAMENTO DE GINASTICA PARA ACADEMIA AO AR LIVRE / ACADEMIA DA TERCEIRA IDADE - ATI</t>
  </si>
  <si>
    <t>ROTACAO VERTICAL DUPLO, EM TUBO DE ACO CARBONO, PINTURA NO PROCESSO ELETROSTATICO - EQUIPAMENTO DE GINASTICA PARA ACADEMIA AO AR LIVRE / ACADEMIA DA TERCEIRA IDADE - ATI</t>
  </si>
  <si>
    <t>RUFO EXTERNO DE CHAPA DE ACO GALVANIZADA NUM 26, CORTE 25 CM</t>
  </si>
  <si>
    <t>RUFO EXTERNO DE CHAPA DE ACO GALVANIZADA NUM 26, CORTE 28 CM</t>
  </si>
  <si>
    <t>RUFO EXTERNO/INTERNO DE CHAPA DE ACO GALVANIZADA NUM 26, CORTE 33 CM</t>
  </si>
  <si>
    <t>RUFO INTERNO DE CHAPA DE ACO GALVANIZADA NUM 26, CORTE 50 CM</t>
  </si>
  <si>
    <t>RUFO INTERNO/EXTERNO DE CHAPA DE ACO GALVANIZADA NUM 24, CORTE 25 CM</t>
  </si>
  <si>
    <t>RUFO PARA TELHA ESTRUTURAL DE FIBROCIMENTO 1 ABA (SEM AMIANTO)</t>
  </si>
  <si>
    <t>RUFO PARA TELHA ESTRUTURAL DE FIBROCIMENTO 2 ABAS, COMPRIMENTO DE 1031 MM (SEM AMIANTO)</t>
  </si>
  <si>
    <t>RUFO PARA TELHA ONDULADA DE FIBROCIMENTO, E = 6 MM, ABA *260* MM, COMPRIMENTO 1100 MM (SEM AMIANTO)</t>
  </si>
  <si>
    <t>SABAO EM PO</t>
  </si>
  <si>
    <t>SABONETEIRA DE PAREDE EM METAL CROMADO</t>
  </si>
  <si>
    <t>SABONETEIRA PLASTICA TIPO DISPENSER PARA SABONETE LIQUIDO COM RESERVATORIO 800 A 1500 ML</t>
  </si>
  <si>
    <t>SACO DE RAFIA PARA ENTULHO, NOVO, LISO (SEM CLICHE), *60 x 90* CM</t>
  </si>
  <si>
    <t>SAIBRO PARA ARGAMASSA (COLETADO NO COMERCIO)</t>
  </si>
  <si>
    <t>SAPATA DE PVC ADITIVADO NERVURADO D = 6"</t>
  </si>
  <si>
    <t>SAPATA DE PVC ADITIVADO NERVURADO D = 8"</t>
  </si>
  <si>
    <t>SAPATILHA EM ACO GALVANIZADO PARA CABOS COM DIAMETRO NOMINAL ATE 5/8"</t>
  </si>
  <si>
    <t>SARRAFO DE MADEIRA APARELHADA *2 X 10* CM, MACARANDUBA, ANGELIM OU EQUIVALENTE DA REGIAO</t>
  </si>
  <si>
    <t>SARRAFO DE MADEIRA NAO APARELHADA *2,5 X 10 CM, MACARANDUBA, ANGELIM OU EQUIVALENTE DA REGIAO</t>
  </si>
  <si>
    <t>SARRAFO DE MADEIRA NAO APARELHADA *2,5 X 7* CM, MACARANDUBA, ANGELIM OU EQUIVALENTE DA REGIAO</t>
  </si>
  <si>
    <t>SARRAFO DE MADEIRA NAO APARELHADA *2,5 X 7,5* CM (1 X 3 ") PINUS, MISTA OU EQUIVALENTE DA REGIAO</t>
  </si>
  <si>
    <t>SARRAFO DE MADEIRA NAO APARELHADA 2,5 X 5 CM (1 X 2 ") PINUS, MISTA OU EQUIVALENTE DA REGIAO</t>
  </si>
  <si>
    <t>SARRAFO DE MADEIRA NAO APARELHADA 2,5 X 5 CM, MACARANDUBA, ANGELIM OU EQUIVALENTE DA REGIAO</t>
  </si>
  <si>
    <t>SEGURO - HORISTA (COLETADO CAIXA)</t>
  </si>
  <si>
    <t>SEGURO - MENSALISTA (COLETADO CAIXA)</t>
  </si>
  <si>
    <t>SEIXO ROLADO PARA APLICACAO EM CONCRETO (POSTO PEDREIRA/FORNECEDOR, SEM FRETE)</t>
  </si>
  <si>
    <t>SELADOR ACRILICO PAREDES INTERNAS/EXTERNAS</t>
  </si>
  <si>
    <t>SELADOR HORIZONTAL PARA FITA DE ACO 1 "</t>
  </si>
  <si>
    <t>SELADOR PVA PAREDES INTERNAS</t>
  </si>
  <si>
    <t>SELANTE A BASE DE ALCATRAO E POLIURETANO PARA JUNTAS HORIZONTAIS</t>
  </si>
  <si>
    <t>SELANTE A BASE DE RESINAS ACRILICAS PARA TRINCAS</t>
  </si>
  <si>
    <t>SELANTE ACRILICO PARA TRATAMENTO / ACABAMENTO SUPERFICIAL DE CONCRETO ESTAMPADO, APARENTE, PEDRAS E OUTROS</t>
  </si>
  <si>
    <t>SELANTE DE BASE ASFALTICA PARA VEDACAO</t>
  </si>
  <si>
    <t>SELANTE ELASTICO MONOCOMPONENTE A BASE DE POLIURETANO (PU) PARA JUNTAS DIVERSAS</t>
  </si>
  <si>
    <t>SELANTE MONOCOMPONENTE A BASE DE SILICONE DE BAIXO MODULO, PARA JUNTAS DE PAVIMENTACAO</t>
  </si>
  <si>
    <t>SELANTE TIPO VEDA CALHA PARA METAL E FIBROCIMENTO</t>
  </si>
  <si>
    <t>SELIM COMPACTO EM PVC, SEM TRAVA,  DN 150 X 100 MM, PARA REDE COLETORA ESGOTO (NBR 10569)</t>
  </si>
  <si>
    <t>SELIM COMPACTO EM PVC, SEM TRAVA,  DN 200 X 100 MM, PARA REDE COLETORA ESGOTO (NBR 10569)</t>
  </si>
  <si>
    <t>SELIM COMPACTO EM PVC, SEM TRAVAS,  DN 300 X 100 MM, PARA REDE COLETORA ESGOTO (NBR 10569)</t>
  </si>
  <si>
    <t>SELIM PVC, COM TRAVA, JE, 90 GRAUS,  DN 125 X 100 MM OU 150 X 100 MM, PARA REDE COLETORA ESGOTO (NBR 10569)</t>
  </si>
  <si>
    <t>SELIM PVC, SOLDAVEL, SEM TRAVA, JE, 90 GRAUS,  DN 200 X 100 MM, PARA REDE COLETORA ESGOTO (NBR 10569)</t>
  </si>
  <si>
    <t>SEMIRREBOQUE COM DOIS EIXOS EM TANDEM TIPO BASCULANTE COM CACAMBA METALICA 14 M3  (INCLUI MONTAGEM, NAO INCLUI CAVALO MECANICO)</t>
  </si>
  <si>
    <t>SEMIRREBOQUE COM TRES EIXOS EM TANDEM TIPO BASCULANTE COM CACAMBA METALICA 18 M3 (INCLUI MONTAGEM, NAO INCLUI CAVALO MECANICO)</t>
  </si>
  <si>
    <t>SEMIRREBOQUE COM TRES EIXOS, PARA TRANSPORTE DE CARGA SECA, DIMENSOES APROXIMADAS 2,60 X 12,50 X 0,50 M (NAO INCLUI CAVALO MECANICO)</t>
  </si>
  <si>
    <t>SENSOR DE PRESENCA BIVOLT COM FOTOCELULA PARA QUALQUER TIPO DE LAMPADA, POTENCIA MAXIMA *1000* W, USO EXTERNO</t>
  </si>
  <si>
    <t>SENSOR DE PRESENCA BIVOLT DE PAREDE COM FOTOCELULA PARA QUALQUER TIPO DE LAMPADA POTENCIA MAXIMA *1000* W, USO INTERNO</t>
  </si>
  <si>
    <t>SENSOR DE PRESENCA BIVOLT DE PAREDE SEM FOTOCELULA PARA QUALQUER TIPO DE LAMPADA POTENCIA MAXIMA *1000* W, USO INTERNO</t>
  </si>
  <si>
    <t>SENSOR DE PRESENCA BIVOLT DE TETO COM FOTOCELULA PARA QUALQUER TIPO DE LAMPADA POTENCIA MAXIMA *1000* W, USO INTERNO</t>
  </si>
  <si>
    <t>SENSOR DE PRESENCA BIVOLT DE TETO SEM FOTOCELULA PARA QUALQUER TIPO DE LAMPADA POTENCIA MAXIMA *900* W, USO INTERNO</t>
  </si>
  <si>
    <t>SERRA CIRCULAR DE BANCADA COM MOTOR ELETRICO, POTENCIA DE *1600* W, PARA DISCO DE DIAMETRO DE 10" (250 MM)</t>
  </si>
  <si>
    <t>SERRA CIRCULAR DE BANCADA, MODELO PICA-PAU, DIAMETRO DE 350 MM. CARACTERISTICAS DO MOTOR: TRIFASICO, POTENCIA DE 5 HP, FREQUENCIA DE 60 HZ</t>
  </si>
  <si>
    <t>SERRALHEIRO</t>
  </si>
  <si>
    <t>SERRALHEIRO (MENSALISTA)</t>
  </si>
  <si>
    <t>SERVENTE DE OBRAS</t>
  </si>
  <si>
    <t>SERVENTE DE OBRAS (MENSALISTA)</t>
  </si>
  <si>
    <t>SERVICO DE BOMBEAMENTO DE CONCRETO COM CONSUMO MINIMO DE 40 M3</t>
  </si>
  <si>
    <t>SIFAO EM METAL CROMADO PARA PIA AMERICANA, 1.1/2 X 1.1/2 "</t>
  </si>
  <si>
    <t>SIFAO EM METAL CROMADO PARA PIA AMERICANA, 1.1/2 X 2 "</t>
  </si>
  <si>
    <t>SIFAO EM METAL CROMADO PARA PIA OU LAVATORIO, 1 X 1.1/2 "</t>
  </si>
  <si>
    <t>SIFAO EM METAL CROMADO PARA TANQUE, 1.1/4 X 1.1/2 "</t>
  </si>
  <si>
    <t>SIFAO PLASTICO EXTENSIVEL UNIVERSAL, TIPO COPO</t>
  </si>
  <si>
    <t>SIFAO PLASTICO FLEXIVEL SAIDA VERTICAL PARA COLUNA LAVATORIO, 1 X 1.1/2 "</t>
  </si>
  <si>
    <t>SIFAO PLASTICO TIPO COPO PARA PIA AMERICANA 1.1/2 X 1.1/2 "</t>
  </si>
  <si>
    <t>SIFAO PLASTICO TIPO COPO PARA PIA OU LAVATORIO, 1 X 1.1/2 "</t>
  </si>
  <si>
    <t>SIFAO PLASTICO TIPO COPO PARA TANQUE, 1.1/4 X 1.1/2 "</t>
  </si>
  <si>
    <t>SILICA ATIVA PARA ADICAO EM CONCRETO E ARGAMASSA</t>
  </si>
  <si>
    <t>SILICONE ACETICO USO GERAL INCOLOR 280 G</t>
  </si>
  <si>
    <t>SIMULADOR DE CAMINHADA TRIPLO, EM TUBO DE ACO CARBONO, PINTURA NO PROCESSO ELETROSTATICO - EQUIPAMENTO DE GINASTICA PARA ACADEMIA AO AR LIVRE / ACADEMIA DA TERCEIRA IDADE - ATI</t>
  </si>
  <si>
    <t>SIMULADOR DE CAVALGADA TRIPLO, EM TUBO DE ACO CARBONO, PINTURA NO PROCESSO ELETROSTATICO - EQUIPAMENTO DE GINASTICA PARA ACADEMIA AO AR LIVRE / ACADEMIA DA TERCEIRA IDADE - ATI</t>
  </si>
  <si>
    <t>SIMULADOR DE REMO INDIVIDUAL, EM TUBO DE ACO CARBONO, PINTURA NO PROCESSO ELETROSTATICO - EQUIPAMENTO DE GINASTICA PARA ACADEMIA AO AR LIVRE / ACADEMIA DA TERCEIRA IDADE - ATI</t>
  </si>
  <si>
    <t>SINALIZADOR NOTURNO SIMPLES PARA PARA-RAIOS, SEM RELE FOTOELETRICO</t>
  </si>
  <si>
    <t>SISAL EM FIBRA</t>
  </si>
  <si>
    <t>SISTEMA DE FORMAS MANUSEAVEIS DE ALUMINIO, PARA BLOCO RESID. COM PAREDES DE CONCRETO MOLDADAS IN LOCO, BLOCO COM 4 PAV. E 4 UNIDADES POR PAV., UNIDADE HABITACIONALCOM 48 M2 E 2 QUARTOS; TELHA DE FIBROCIMENTO (COLETADO CAIXA)</t>
  </si>
  <si>
    <t>SISTEMA DE FORMAS MANUSEAVEIS DE ALUMINIO, PARA EDIF. RESID. UNIFAMILIAR COM PAREDES DE CONCRETO MOLDADAS IN LOCO, UNIDADE HABITACIONAL TERREA COM 38 M2, COM SALA, CIRCULACAO, 2 QUARTOS, BANHEIRO, COZINHA E TANQUE EXTERNO (SEM COBERTURA) (COLETADO CAIXA)</t>
  </si>
  <si>
    <t>SODA CAUSTICA EM ESCAMAS</t>
  </si>
  <si>
    <t>SOLDA EM BARRA DE ESTANHO-CHUMBO 50/50</t>
  </si>
  <si>
    <t>SOLDA EM VARETA FOSCOPER, D = *2,5* MM  X COMPRIMENTO 500 MM</t>
  </si>
  <si>
    <t>SOLDA ESTANHO/COBRE PARA CONEXOES DE COBRE, FIO 2,5 MM, CARRETEL 500 GR (SEM CHUMBO)</t>
  </si>
  <si>
    <t>SOLDADOR</t>
  </si>
  <si>
    <t>SOLDADOR (MENSALISTA)</t>
  </si>
  <si>
    <t>SOLDADOR ELETRICO (PARA SOLDA A SER TESTADA COM RAIOS "X")</t>
  </si>
  <si>
    <t>SOLDADOR ELETRICO (PARA SOLDA A SER TESTADA COM RAIOS "X") (MENSALISTA)</t>
  </si>
  <si>
    <t>SOLEIRA EM GRANITO, POLIDO, TIPO ANDORINHA/ QUARTZ/ CASTELO/ CORUMBA OU OUTROS EQUIVALENTES DA REGIAO, L= *15* CM, E=  *2,0* CM</t>
  </si>
  <si>
    <t>SOLEIRA PRE-MOLDADA EM GRANILITE, MARMORITE OU GRANITINA, L = *15 CM</t>
  </si>
  <si>
    <t>SOLEIRA/ PEITORIL EM MARMORE, POLIDO, BRANCO COMUM, L= *15* CM, E=  *2* CM,  CORTE RETO</t>
  </si>
  <si>
    <t>SOLEIRA/ TABEIRA EM MARMORE, POLIDO, BRANCO COMUM, L= 5 CM, E=  *2,0* CM</t>
  </si>
  <si>
    <t>SOLUCAO ASFALTICA ELASTOMERICA PARA IMPRIMACAO, APLICACAO A FRIO</t>
  </si>
  <si>
    <t>SOLUCAO LIMPADORA PARA PVC, FRASCO COM 1000 CM3</t>
  </si>
  <si>
    <t>SOLUCAO LIMPADORA PARA PVC, FRASCO COM 200 CM3</t>
  </si>
  <si>
    <t>SOLVENTE DILUENTE A BASE DE AGUARRAS</t>
  </si>
  <si>
    <t>SOLVENTE PARA COLA (PARA LAMINADO MELAMINICO) A BASE DE RESINA SINTETICA</t>
  </si>
  <si>
    <t>SOQUETE DE BAQUELITE BASE E27, PARA LAMPADAS</t>
  </si>
  <si>
    <t>SOQUETE DE PORCELANA BASE E27, FIXO DE TETO, PARA LAMPADAS</t>
  </si>
  <si>
    <t>SOQUETE DE PORCELANA BASE E27, PARA USO AO TEMPO, PARA LAMPADAS</t>
  </si>
  <si>
    <t>SOQUETE DE PVC / TERMOPLASTICO BASE E27, COM CHAVE, PARA LAMPADAS</t>
  </si>
  <si>
    <t>SOQUETE DE PVC / TERMOPLASTICO BASE E27, COM RABICHO, PARA LAMPADAS</t>
  </si>
  <si>
    <t>SPRINKLER TIPO PENDENTE, 68 GRAUS CELSIUS (BULBO VERMELHO), ACABAMENTO CROMADO, 1/2" - 15 MM</t>
  </si>
  <si>
    <t>SPRINKLER TIPO PENDENTE, 68 GRAUS CELSIUS (BULBO VERMELHO), ACABAMENTO CROMADO, 3/4" - 20 MM</t>
  </si>
  <si>
    <t>SPRINKLER TIPO PENDENTE, 68 GRAUS CELSIUS (BULBO VERMELHO), ACABAMENTO NATURAL, 1/2" - 15 MM</t>
  </si>
  <si>
    <t>SPRINKLER TIPO PENDENTE, 68 GRAUS CELSIUS (BULBO VERMELHO), ACABAMENTO NATURAL, 3/4" - 20 MM</t>
  </si>
  <si>
    <t>SPRINKLER TIPO PENDENTE, 79 GRAUS CELSIUS (BULBO AMARELO), ACABAMENTO CROMADO, 3/4" - 20 MM</t>
  </si>
  <si>
    <t>SPRINKLER TIPO PENDENTE, 79 GRAUS CELSIUS (BULBO AMARELO), ACABAMENTO NATURAL, 3/4" - 20 MM</t>
  </si>
  <si>
    <t>SPRINKLER TIPO PENDENTE, 79 GRAUS CELSIUS (BULBO AMARELO,) ACABAMENTO NATURAL OU CROMADO, 1/2" - 15 MM</t>
  </si>
  <si>
    <t>SUMIDOURO CONCRETO PRE MOLDADO, COMPLETO, PARA 10 CONTRIBUINTES</t>
  </si>
  <si>
    <t>SUMIDOURO CONCRETO PRE MOLDADO, COMPLETO, PARA 100 CONTRIBUINTES</t>
  </si>
  <si>
    <t>SUMIDOURO CONCRETO PRE MOLDADO, COMPLETO, PARA 150 CONTRIBUINTES</t>
  </si>
  <si>
    <t>SUMIDOURO CONCRETO PRE MOLDADO, COMPLETO, PARA 200 CONTRIBUINTES</t>
  </si>
  <si>
    <t>SUMIDOURO CONCRETO PRE MOLDADO, COMPLETO, PARA 5 CONTRIBUINTES</t>
  </si>
  <si>
    <t>SUMIDOURO CONCRETO PRE MOLDADO, COMPLETO, PARA 50 CONTRIBUINTES</t>
  </si>
  <si>
    <t>SUMIDOURO CONCRETO PRE MOLDADO, COMPLETO, PARA 75 CONTRIBUINTES</t>
  </si>
  <si>
    <t>SUPORTE "Y" PARA FITA PERFURADA</t>
  </si>
  <si>
    <t>SUPORTE DE FIXACAO PARA ESPELHO / PLACA 4" X 2", PARA 3 MODULOS, PARA INSTALACAO DE TOMADAS E INTERRUPTORES (SOMENTE SUPORTE)</t>
  </si>
  <si>
    <t>SUPORTE DE FIXACAO PARA ESPELHO / PLACA 4" X 4", PARA 6 MODULOS, PARA INSTALACAO DE TOMADAS E INTERRUPTORES (SOMENTE SUPORTE)</t>
  </si>
  <si>
    <t>SUPORTE DE PVC PARA CALHA PLUVIAL, DIAMETRO ENTRE 119 E 170 MM, PARA DRENAGEM PREDIAL</t>
  </si>
  <si>
    <t>SUPORTE EM ACO GALVANIZADO PARA TRANSFORMADOR PARA POSTE DUPLO T 185 X 95 MM, CHAPA DE 5/16"</t>
  </si>
  <si>
    <t>SUPORTE GUIA SIMPLES COM ROLDANA EM POLIPROPILENO PARA CHUMBAR, H = 20 CM</t>
  </si>
  <si>
    <t>SUPORTE ISOLADOR REFORCADO DIAMETRO NOMINAL 5/16", COM ROSCA SOBERBA E BUCHA</t>
  </si>
  <si>
    <t>SUPORTE ISOLADOR SIMPLES DIAMETRO NOMINAL 5/16", COM ROSCA SOBERBA E BUCHA</t>
  </si>
  <si>
    <t>SUPORTE MAO-FRANCESA EM ACO, ABAS IGUAIS 30 CM, CAPACIDADE MINIMA 60 KG, BRANCO</t>
  </si>
  <si>
    <t>SUPORTE MAO-FRANCESA EM ACO, ABAS IGUAIS 40 CM, CAPACIDADE MINIMA 70 KG, BRANCO</t>
  </si>
  <si>
    <t>SUPORTE METALICO PARA CALHA PLUVIAL,  ZINCADO, DOBRADO, DIAMETRO ENTRE 119 E 170 MM, PARA DRENAGEM PREDIAL</t>
  </si>
  <si>
    <t>SUPORTE PARA CALHA DE 150 MM EM FERRO GALVANIZADO</t>
  </si>
  <si>
    <t>SUPORTE PARA TUBO DIAMETRO NOMINAL 2", COM ROSCA MECANICA</t>
  </si>
  <si>
    <t>SURF DUPLO, EM TUBO DE ACO CARBONO, PINTURA NO PROCESSO ELETROSTATICO - EQUIPAMENTO DE GINASTICA PARA ACADEMIA AO AR LIVRE / ACADEMIA DA TERCEIRA IDADE - ATI</t>
  </si>
  <si>
    <t>TABUA DE  MADEIRA PARA PISO, CUMARU/IPE CHAMPANHE OU EQUIVALENTE DA REGIAO, ENCAIXE MACHO/FEMEA, *10 X 2* CM</t>
  </si>
  <si>
    <t>TABUA DE  MADEIRA PARA PISO, CUMARU/IPE CHAMPANHE OU EQUIVALENTE DA REGIAO, ENCAIXE MACHO/FEMEA, *15 X 2* CM</t>
  </si>
  <si>
    <t>TABUA DE  MADEIRA PARA PISO, IPE (CERNE) OU EQUIVALENTE DA REGIAO, ENCAIXE MACHO/FEMEA, *20 X 2* CM</t>
  </si>
  <si>
    <t>TABUA DE MADEIRA APARELHADA *2,5 X 15* CM, MACARANDUBA, ANGELIM OU EQUIVALENTE DA REGIAO</t>
  </si>
  <si>
    <t>TABUA DE MADEIRA APARELHADA *2,5 X 25* CM, MACARANDUBA, ANGELIM OU EQUIVALENTE DA REGIAO</t>
  </si>
  <si>
    <t>TABUA DE MADEIRA APARELHADA *2,5 X 30* CM, MACARANDUBA, ANGELIM OU EQUIVALENTE DA REGIAO</t>
  </si>
  <si>
    <t>TABUA DE MADEIRA NAO APARELHADA *2,5 X 10 CM (1 X 4 ") PINUS, MISTA OU EQUIVALENTE DA REGIAO</t>
  </si>
  <si>
    <t>TABUA DE MADEIRA NAO APARELHADA *2,5 X 15 CM (1 X 6 ") PINUS, MISTA OU EQUIVALENTE DA REGIAO</t>
  </si>
  <si>
    <t>TABUA DE MADEIRA NAO APARELHADA *2,5 X 20* CM, CEDRINHO OU EQUIVALENTE DA REGIAO</t>
  </si>
  <si>
    <t>TABUA DE MADEIRA NAO APARELHADA *2,5 X 23* CM (1 x 9 ") PINUS, MISTA OU EQUIVALENTE DA REGIAO</t>
  </si>
  <si>
    <t>TABUA DE MADEIRA NAO APARELHADA *2,5 X 30 CM (1 X 12 ") PINUS, MISTA OU EQUIVALENTE DA REGIAO</t>
  </si>
  <si>
    <t>TABUA DE MADEIRA NAO APARELHADA *2,5 X 30* CM, CEDRINHO OU EQUIVALENTE DA REGIAO</t>
  </si>
  <si>
    <t>TACO DE MADEIRA PARA PISO, IPE (CERNE) OU EQUIVALENTE DA REGIAO, 7 X 42 CM, E = 2 CM</t>
  </si>
  <si>
    <t>TALABARTE DE SEGURANCA, 2 MOSQUETOES TRAVA DUPLA *53* MM DE ABERTURA, COM ABSORVEDOR DE ENERGIA</t>
  </si>
  <si>
    <t>TALHA ELETRICA 3 T, VELOCIDADE  2,1 M / MIN, POTENCIA 1,3 KW</t>
  </si>
  <si>
    <t>TALHA MANUAL DE CORRENTE, CAPACIDADE DE 1 T COM ELEVACAO DE 3 M</t>
  </si>
  <si>
    <t>TALHA MANUAL DE CORRENTE, CAPACIDADE DE 2 T COM ELEVACAO DE 3 M</t>
  </si>
  <si>
    <t>TALHADEIRA COM PUNHO DE PROTECAO *20 X 250* MM</t>
  </si>
  <si>
    <t>TAMPA CEGA EM PVC PARA CONDULETE 4 X 2"</t>
  </si>
  <si>
    <t>TAMPA DE CONCRETO PARA PV OU CAIXA DE INSPECAO, DIMENSOES 600 X 600 X 50 MM</t>
  </si>
  <si>
    <t>TAMPA PARA CONDULETE, EM PVC, PARA TOMADA HEXAGONAL</t>
  </si>
  <si>
    <t>TAMPA PARA CONDULETE, EM PVC, PARA 1 INTERRUPTOR</t>
  </si>
  <si>
    <t>TAMPA PARA CONDULETE, EM PVC, PARA 1 MODULO RJ</t>
  </si>
  <si>
    <t>TAMPA PARA CONDULETE, EM PVC, PARA 2 MODULOS RJ</t>
  </si>
  <si>
    <t>TAMPAO / CAP, ROSCA FEMEA, METALICO, PARA TUBO PEX, DN 1/2"</t>
  </si>
  <si>
    <t>TAMPAO / CAP, ROSCA FEMEA, METALICO, PARA TUBO PEX, DN 3/4"</t>
  </si>
  <si>
    <t>TAMPAO / CAP, ROSCA MACHO, PARA TUBO PEX, DN 1/2"</t>
  </si>
  <si>
    <t>TAMPAO / CAP, ROSCA MACHO, PARA TUBO PEX, DN 1"</t>
  </si>
  <si>
    <t>TAMPAO / CAP, ROSCA MACHO, PARA TUBO PEX, DN 3/4"</t>
  </si>
  <si>
    <t>TAMPAO / TERMINAL / PLUG, D = 1 1/4" , PARA DUTO CORRUGADO PEAD (CABEAMENTO SUBTERRANEO)</t>
  </si>
  <si>
    <t>TAMPAO / TERMINAL / PLUG, D = 2" , PARA DUTO CORRUGADO PEAD (CABEAMENTO SUBTERRANEO)</t>
  </si>
  <si>
    <t>TAMPAO / TERMINAL / PLUG, D = 3" , PARA DUTO CORRUGADO PEAD (CABEAMENTO SUBTERRANEO)</t>
  </si>
  <si>
    <t>TAMPAO / TERMINAL / PLUG, D = 4" , PARA DUTO CORRUGADO PEAD (CABEAMENTO SUBTERRANEO)</t>
  </si>
  <si>
    <t>TAMPAO COM CORRENTE, EM LATAO, ENGATE RAPIDO 1 1/2", PARA INSTALACAO PREDIAL DE COMBATE A INCENDIO</t>
  </si>
  <si>
    <t>TAMPAO COM CORRENTE, EM LATAO, ENGATE RAPIDO 2 1/2", PARA INSTALACAO PREDIAL DE COMBATE A INCENDIO</t>
  </si>
  <si>
    <t>TAMPAO COMPLETO PARA TIL, EM PVC, OCRE, DN 100 MM, PARA REDE COLETORA DE ESGOTO</t>
  </si>
  <si>
    <t>TAMPAO COMPLETO PARA TIL, EM PVC, OCRE, DN 150 MM, PARA REDE COLETORA DE ESGOTO</t>
  </si>
  <si>
    <t>TAMPAO COMPLETO PARA TIL, EM PVC, OCRE, DN 200 MM, PARA REDE COLETORA DE ESGOTO</t>
  </si>
  <si>
    <t>TAMPAO COMPLETO PARA TIL, EM PVC, OCRE, DN 250 MM, PARA REDE COLETORA DE ESGOTO</t>
  </si>
  <si>
    <t>TAMPAO FOFO ARTICULADO P/ REGISTRO, CLASSE A15 CARGA MAX 1,5 T, *200 X 200* MM</t>
  </si>
  <si>
    <t>TAMPAO FOFO ARTICULADO P/ REGISTRO, CLASSE A15 CARGA MAXIMA 1,5 T, *400 X 400* MM</t>
  </si>
  <si>
    <t>TAMPAO FOFO ARTICULADO, CLASSE B125 CARGA MAX 12,5 T, REDONDO TAMPA 600 MM, REDE PLUVIAL/ESGOTO</t>
  </si>
  <si>
    <t>TAMPAO FOFO ARTICULADO, CLASSE D400 CARGA MAX 40 T, REDONDO TAMPA *600 MM, REDE PLUVIAL/ESGOTO</t>
  </si>
  <si>
    <t>TAMPAO FOFO SIMPLES COM BASE, CLASSE A15 CARGA MAX 1,5 T, *400 X 600* MM, REDE TELEFONE</t>
  </si>
  <si>
    <t>TAMPAO FOFO SIMPLES COM BASE, CLASSE A15 CARGA MAX 1,5 T, 300 X 300 MM, REDE PLUVIAL/ESGOTO</t>
  </si>
  <si>
    <t>TAMPAO FOFO SIMPLES COM BASE, CLASSE A15 CARGA MAX 1,5 T, 300 X 400 MM</t>
  </si>
  <si>
    <t>TAMPAO FOFO SIMPLES COM BASE, CLASSE A15 CARGA MAX 1,5 T, 400 X 400 MM, REDE PLUVIAL/ESGOTO/ELETRICA</t>
  </si>
  <si>
    <t>TAMPAO FOFO SIMPLES COM BASE, CLASSE A15 CARGA MAX 1,5 T, 400 X 500 MM, COM INSCRICAO INCENDIO</t>
  </si>
  <si>
    <t>TAMPAO FOFO SIMPLES COM BASE, CLASSE B125 CARGA MAX 12,5 T, REDONDO TAMPA 500 MM, REDE PLUVIAL/ESGOTO</t>
  </si>
  <si>
    <t>TAMPAO FOFO SIMPLES COM BASE, CLASSE B125 CARGA MAX 12,5 T, REDONDO TAMPA 600 MM, REDE PLUVIAL/ESGOTO</t>
  </si>
  <si>
    <t>TAMPAO FOFO SIMPLES COM BASE, CLASSE D400 CARGA MAX 40 T, REDONDO TAMPA 500 MM, REDE PLUVIAL/ESGOTO</t>
  </si>
  <si>
    <t>TAMPAO FOFO SIMPLES COM BASE, CLASSE D400 CARGA MAX 40 T, REDONDO TAMPA 600 MM, REDE PLUVIAL/ESGOTO</t>
  </si>
  <si>
    <t>TAMPAO FOFO SIMPLES COM BASE, CLASSE D400 CARGA MAX 40 T, REDONDO TAMPA 900 MM, REDE PLUVIAL/ESGOTO</t>
  </si>
  <si>
    <t>TAMPAO FOFO SIMPLES, CLASSE A15 CARGA MAX 1,5 T, *550 X 1100* MM, REDE TELEFONE</t>
  </si>
  <si>
    <t>TAMPAO PARA TELHA ESTRUTURAL DE FIBROCIMENTO 1 ABA, DE 370 X 155 X 76 MM (SEM AMIANTO)</t>
  </si>
  <si>
    <t>TAMPAO PARA TELHA ESTRUTURAL DE FIBROCIMENTO 2 ABAS, DE 787 X 215 X 60 MM (SEM AMIANTO)</t>
  </si>
  <si>
    <t>TANQUE ACO INOXIDAVEL (ACO 304) COM ESFREGADOR E VALVULA, DE *50 X 40 X 22* CM</t>
  </si>
  <si>
    <t>TANQUE DE ACO CARBONO NAO REVESTIDO, PARA TRANSPORTE DE AGUA COM CAPACIDADE DE 10 M3, COM BOMBA CENTRIFUGA POR TOMADA DE FORCA, VAZAO MAXIMA *75* M3/H (INCLUI MONTAGEM, NAO INCLUI CAMINHAO)</t>
  </si>
  <si>
    <t>TANQUE DE ACO PARA TRANSPORTE DE AGUA COM CAPACIDADE DE 14 M3 (INCLUI MONTAGEM, NAO INCLUI CAMINHAO)</t>
  </si>
  <si>
    <t>TANQUE DE ACO PARA TRANSPORTE DE AGUA COM CAPACIDADE DE 4 M3 (INCLUI MONTAGEM, NAO INCLUI CAMINHAO)</t>
  </si>
  <si>
    <t>TANQUE DE ACO PARA TRANSPORTE DE AGUA COM CAPACIDADE DE 6 M3 (INCLUI MONTAGEM, NAO INCLUI CAMINHAO)</t>
  </si>
  <si>
    <t>TANQUE DE ACO PARA TRANSPORTE DE AGUA COM CAPACIDADE DE 8 M3 (INCLUI MONTAGEM, NAO INCLUI CAMINHAO)</t>
  </si>
  <si>
    <t>TANQUE DE ASFALTO ESTACIONARIO COM MACARICO, CAPACIDADE 20.000 L</t>
  </si>
  <si>
    <t>TANQUE DE ASFALTO ESTACIONARIO COM SERPENTINA, CAPACIDADE 20.000 L</t>
  </si>
  <si>
    <t>TANQUE DE ASFALTO ESTACIONARIO COM SERPENTINA, CAPACIDADE 30.000 L</t>
  </si>
  <si>
    <t>TANQUE DUPLO EM MARMORE SINTETICO COM CUBA LISA E ESFREGADOR, *110 X 60* CM</t>
  </si>
  <si>
    <t>TANQUE LOUCA BRANCA COM COLUNA *30* L</t>
  </si>
  <si>
    <t>TANQUE LOUCA BRANCA SUSPENSO *20* L</t>
  </si>
  <si>
    <t>TANQUE SIMPLES EM MARMORE SINTETICO COM COLUNA, CAPACIDADE *22* L, *60 X 46* CM</t>
  </si>
  <si>
    <t>TANQUE SIMPLES EM MARMORE SINTETICO DE FIXAR NA PAREDE, CAPACIDADE *22* L, *60 X 46* CM</t>
  </si>
  <si>
    <t>TANQUE SIMPLES EM MARMORE SINTETICO SUSPENSO, CAPACIDADE *38* L, *60 X 60* CM</t>
  </si>
  <si>
    <t>TAQUEADOR OU TAQUEIRO</t>
  </si>
  <si>
    <t>TAQUEADOR OU TAQUEIRO (MENSALISTA)</t>
  </si>
  <si>
    <t>TARIFA "A" ENTRE  0 E 20M3 FORNECIMENTO D'AGUA</t>
  </si>
  <si>
    <t>TARJETA TIPO LIVRE / OCUPADO, CROMADA, PARA PORTA DE BANHEIRO</t>
  </si>
  <si>
    <t>TE CPVC, SOLDAVEL, 90 GRAUS, 15 MM, PARA AGUA QUENTE PREDIAL</t>
  </si>
  <si>
    <t>TE CPVC, SOLDAVEL, 90 GRAUS, 22 MM, PARA AGUA QUENTE PREDIAL</t>
  </si>
  <si>
    <t>TE CPVC, SOLDAVEL, 90 GRAUS, 28 MM, PARA AGUA QUENTE PREDIAL</t>
  </si>
  <si>
    <t>TE CPVC, SOLDAVEL, 90 GRAUS, 35 MM, PARA AGUA QUENTE PREDIAL</t>
  </si>
  <si>
    <t>TE CPVC, SOLDAVEL, 90 GRAUS, 42 MM, PARA AGUA QUENTE PREDIAL</t>
  </si>
  <si>
    <t>TE CPVC, SOLDAVEL, 90 GRAUS, 54 MM, PARA AGUA QUENTE PREDIAL</t>
  </si>
  <si>
    <t>TE CPVC, SOLDAVEL, 90 GRAUS, 73 MM, PARA AGUA QUENTE PREDIAL</t>
  </si>
  <si>
    <t>TE CPVC, SOLDAVEL, 90 GRAUS, 89 MM, PARA AGUA QUENTE PREDIAL</t>
  </si>
  <si>
    <t>TE DE COBRE (REF 611) SEM ANEL DE SOLDA, BOLSA X BOLSA X BOLSA, 104 MM</t>
  </si>
  <si>
    <t>TE DE COBRE (REF 611) SEM ANEL DE SOLDA, BOLSA X BOLSA X BOLSA, 15 MM</t>
  </si>
  <si>
    <t>TE DE COBRE (REF 611) SEM ANEL DE SOLDA, BOLSA X BOLSA X BOLSA, 22 MM</t>
  </si>
  <si>
    <t>TE DE COBRE (REF 611) SEM ANEL DE SOLDA, BOLSA X BOLSA X BOLSA, 28 MM</t>
  </si>
  <si>
    <t>TE DE COBRE (REF 611) SEM ANEL DE SOLDA, BOLSA X BOLSA X BOLSA, 35 MM</t>
  </si>
  <si>
    <t>TE DE COBRE (REF 611) SEM ANEL DE SOLDA, BOLSA X BOLSA X BOLSA, 42 MM</t>
  </si>
  <si>
    <t>TE DE COBRE (REF 611) SEM ANEL DE SOLDA, BOLSA X BOLSA X BOLSA, 54 MM</t>
  </si>
  <si>
    <t>TE DE COBRE (REF 611) SEM ANEL DE SOLDA, BOLSA X BOLSA X BOLSA, 66 MM</t>
  </si>
  <si>
    <t>TE DE COBRE (REF 611) SEM ANEL DE SOLDA, BOLSA X BOLSA X BOLSA, 79 MM</t>
  </si>
  <si>
    <t>TE DE FERRO GALVANIZADO, DE 1 1/2"</t>
  </si>
  <si>
    <t>TE DE FERRO GALVANIZADO, DE 1 1/4"</t>
  </si>
  <si>
    <t>TE DE FERRO GALVANIZADO, DE 1/2"</t>
  </si>
  <si>
    <t>TE DE FERRO GALVANIZADO, DE 1"</t>
  </si>
  <si>
    <t>TE DE FERRO GALVANIZADO, DE 2 1/2"</t>
  </si>
  <si>
    <t>TE DE FERRO GALVANIZADO, DE 2"</t>
  </si>
  <si>
    <t>TE DE FERRO GALVANIZADO, DE 3/4"</t>
  </si>
  <si>
    <t>TE DE FERRO GALVANIZADO, DE 3"</t>
  </si>
  <si>
    <t>TE DE FERRO GALVANIZADO, DE 4"</t>
  </si>
  <si>
    <t>TE DE FERRO GALVANIZADO, DE 5"</t>
  </si>
  <si>
    <t>TE DE FERRO GALVANIZADO, DE 6"</t>
  </si>
  <si>
    <t>TE DE INSPECAO, PVC,  100 X 75 MM, SERIE NORMAL PARA ESGOTO PREDIAL</t>
  </si>
  <si>
    <t>TE DE INSPECAO, PVC, SERIE R, 100 X 75 MM, PARA ESGOTO PREDIAL</t>
  </si>
  <si>
    <t>TE DE INSPECAO, PVC, SERIE R, 150 X 100 MM, PARA ESGOTO PREDIAL</t>
  </si>
  <si>
    <t>TE DE INSPECAO, PVC, SERIE R, 75 X 75 MM, PARA ESGOTO PREDIAL</t>
  </si>
  <si>
    <t>TE DE REDUCAO COM ROSCA, PVC, 90 GRAUS, 1 X 3/4", PARA AGUA FRIA PREDIAL</t>
  </si>
  <si>
    <t>TE DE REDUCAO COM ROSCA, PVC, 90 GRAUS, 3/4 X 1/2", PARA AGUA FRIA PREDIAL</t>
  </si>
  <si>
    <t>TE DE REDUCAO DE FERRO GALVANIZADO, COM ROSCA BSP, DE 1 1/2" X 1"</t>
  </si>
  <si>
    <t>TE DE REDUCAO DE FERRO GALVANIZADO, COM ROSCA BSP, DE 1 1/2" X 3/4"</t>
  </si>
  <si>
    <t>TE DE REDUCAO DE FERRO GALVANIZADO, COM ROSCA BSP, DE 1 1/4" X 3/4"</t>
  </si>
  <si>
    <t>TE DE REDUCAO DE FERRO GALVANIZADO, COM ROSCA BSP, DE 1" X 1/2"</t>
  </si>
  <si>
    <t>TE DE REDUCAO DE FERRO GALVANIZADO, COM ROSCA BSP, DE 1" X 3/4"</t>
  </si>
  <si>
    <t>TE DE REDUCAO DE FERRO GALVANIZADO, COM ROSCA BSP, DE 2 1/2" X 1 1/2"</t>
  </si>
  <si>
    <t>TE DE REDUCAO DE FERRO GALVANIZADO, COM ROSCA BSP, DE 2 1/2" X 1 1/4"</t>
  </si>
  <si>
    <t>TE DE REDUCAO DE FERRO GALVANIZADO, COM ROSCA BSP, DE 2 1/2" X 1"</t>
  </si>
  <si>
    <t>TE DE REDUCAO DE FERRO GALVANIZADO, COM ROSCA BSP, DE 2 1/2" X 2"</t>
  </si>
  <si>
    <t>TE DE REDUCAO DE FERRO GALVANIZADO, COM ROSCA BSP, DE 2" X 1 1/2"</t>
  </si>
  <si>
    <t>TE DE REDUCAO DE FERRO GALVANIZADO, COM ROSCA BSP, DE 2" X 1 1/4"</t>
  </si>
  <si>
    <t>TE DE REDUCAO DE FERRO GALVANIZADO, COM ROSCA BSP, DE 2" X 1"</t>
  </si>
  <si>
    <t>TE DE REDUCAO DE FERRO GALVANIZADO, COM ROSCA BSP, DE 3/4" X 1/2"</t>
  </si>
  <si>
    <t>TE DE REDUCAO DE FERRO GALVANIZADO, COM ROSCA BSP, DE 3" X 1 1/2"</t>
  </si>
  <si>
    <t>TE DE REDUCAO DE FERRO GALVANIZADO, COM ROSCA BSP, DE 3" X 1 1/4"</t>
  </si>
  <si>
    <t>TE DE REDUCAO DE FERRO GALVANIZADO, COM ROSCA BSP, DE 3" X 1"</t>
  </si>
  <si>
    <t>TE DE REDUCAO DE FERRO GALVANIZADO, COM ROSCA BSP, DE 3" X 2 1/2"</t>
  </si>
  <si>
    <t>TE DE REDUCAO DE FERRO GALVANIZADO, COM ROSCA BSP, DE 3" X 2"</t>
  </si>
  <si>
    <t>TE DE REDUCAO DE FERRO GALVANIZADO, COM ROSCA BSP, DE 4" X 2"</t>
  </si>
  <si>
    <t>TE DE REDUCAO DE FERRO GALVANIZADO, COM ROSCA BSP, DE 4" X 3"</t>
  </si>
  <si>
    <t>TE DE REDUCAO METALICO, PARA CONEXAO COM ANEL DESLIZANTE EM TUBO PEX, DN 16 X 20 X 16 MM</t>
  </si>
  <si>
    <t>TE DE REDUCAO METALICO, PARA CONEXAO COM ANEL DESLIZANTE EM TUBO PEX, DN 16 X 25 X 16 MM</t>
  </si>
  <si>
    <t>TE DE REDUCAO METALICO, PARA CONEXAO COM ANEL DESLIZANTE EM TUBO PEX, DN 20 X 16 X 16 MM</t>
  </si>
  <si>
    <t>TE DE REDUCAO METALICO, PARA CONEXAO COM ANEL DESLIZANTE EM TUBO PEX, DN 20 X 16 X 20 MM</t>
  </si>
  <si>
    <t>TE DE REDUCAO METALICO, PARA CONEXAO COM ANEL DESLIZANTE EM TUBO PEX, DN 20 X 20 X 16 MM</t>
  </si>
  <si>
    <t>TE DE REDUCAO METALICO, PARA CONEXAO COM ANEL DESLIZANTE EM TUBO PEX, DN 20 X 25 X 20 MM</t>
  </si>
  <si>
    <t>TE DE REDUCAO METALICO, PARA CONEXAO COM ANEL DESLIZANTE EM TUBO PEX, DN 25 X 16 X 16 MM</t>
  </si>
  <si>
    <t>TE DE REDUCAO METALICO, PARA CONEXAO COM ANEL DESLIZANTE EM TUBO PEX, DN 25 X 16 X 20 MM</t>
  </si>
  <si>
    <t>TE DE REDUCAO METALICO, PARA CONEXAO COM ANEL DESLIZANTE EM TUBO PEX, DN 25 X 16 X 25 MM</t>
  </si>
  <si>
    <t>TE DE REDUCAO METALICO, PARA CONEXAO COM ANEL DESLIZANTE EM TUBO PEX, DN 25 X 20 X 20 MM</t>
  </si>
  <si>
    <t>TE DE REDUCAO METALICO, PARA CONEXAO COM ANEL DESLIZANTE EM TUBO PEX, DN 25 X 20 X 25 MM</t>
  </si>
  <si>
    <t>TE DE REDUCAO METALICO, PARA CONEXAO COM ANEL DESLIZANTE EM TUBO PEX, DN 25 X 32 X 25 MM</t>
  </si>
  <si>
    <t>TE DE REDUCAO METALICO, PARA CONEXAO COM ANEL DESLIZANTE EM TUBO PEX, DN 32 X 20 X 32 MM</t>
  </si>
  <si>
    <t>TE DE REDUCAO METALICO, PARA CONEXAO COM ANEL DESLIZANTE EM TUBO PEX, DN 32 X 25 X 25 MM</t>
  </si>
  <si>
    <t>TE DE REDUCAO METALICO, PARA CONEXAO COM ANEL DESLIZANTE EM TUBO PEX, DN 32 X 25 X 32 MM</t>
  </si>
  <si>
    <t>TE DE REDUCAO, CPVC, 22 X 15 MM, PARA AGUA QUENTE PREDIAL</t>
  </si>
  <si>
    <t>TE DE REDUCAO, CPVC, 28 X 22 MM, PARA AGUA QUENTE PREDIAL</t>
  </si>
  <si>
    <t>TE DE REDUCAO, CPVC, 35 X 28 MM, PARA AGUA QUENTE PREDIAL</t>
  </si>
  <si>
    <t>TE DE REDUCAO, CPVC, 42 X 35 MM, PARA AGUA QUENTE PREDIAL</t>
  </si>
  <si>
    <t>TE DE REDUCAO, PVC LEVE, CURTO, 90 GRAUS, COM BOLSA PARA ANEL, 150 X 100 MM, PARA ESGOTO</t>
  </si>
  <si>
    <t>TE DE REDUCAO, PVC PBA, BBB, JE, DN 100 X 50 / DE 110 X 60 MM, PARA REDE AGUA (NBR 10351)</t>
  </si>
  <si>
    <t>TE DE REDUCAO, PVC PBA, BBB, JE, DN 100 X 75 / DE 110 X 85 MM, PARA REDE AGUA (NBR 10351)</t>
  </si>
  <si>
    <t>TE DE REDUCAO, PVC PBA, BBB, JE, DN 75 X 50 / DE 85 X 60 MM, PARA REDE AGUA (NBR 10351)</t>
  </si>
  <si>
    <t>TE DE REDUCAO, PVC, BBB, JE, 90 GRAUS, DN 200 X 150 MM, PARA TUBO CORRUGADO E/OU LISO, REDE COLETORA ESGOTO (NBR 10569)</t>
  </si>
  <si>
    <t>TE DE REDUCAO, PVC, BBB, JE, 90 GRAUS, DN 250 X 150 MM, PARA TUBO CORRUGADO E/OU LISO, REDE COLETORA ESGOTO (NBR 10569)</t>
  </si>
  <si>
    <t>TE DE REDUCAO, PVC, SOLDAVEL, 90 GRAUS, 110 MM X 60 MM, PARA AGUA FRIA PREDIAL</t>
  </si>
  <si>
    <t>TE DE REDUCAO, PVC, SOLDAVEL, 90 GRAUS, 25 MM X 20 MM, PARA AGUA FRIA PREDIAL</t>
  </si>
  <si>
    <t>TE DE REDUCAO, PVC, SOLDAVEL, 90 GRAUS, 32 MM X 25 MM, PARA AGUA FRIA PREDIAL</t>
  </si>
  <si>
    <t>TE DE REDUCAO, PVC, SOLDAVEL, 90 GRAUS, 40 MM X 32 MM, PARA AGUA FRIA PREDIAL</t>
  </si>
  <si>
    <t>TE DE REDUCAO, PVC, SOLDAVEL, 90 GRAUS, 50 MM X 20 MM, PARA AGUA FRIA PREDIAL</t>
  </si>
  <si>
    <t>TE DE REDUCAO, PVC, SOLDAVEL, 90 GRAUS, 50 MM X 25 MM, PARA AGUA FRIA PREDIAL</t>
  </si>
  <si>
    <t>TE DE REDUCAO, PVC, SOLDAVEL, 90 GRAUS, 50 MM X 32 MM, PARA AGUA FRIA PREDIAL</t>
  </si>
  <si>
    <t>TE DE REDUCAO, PVC, SOLDAVEL, 90 GRAUS, 50 MM X 40 MM, PARA AGUA FRIA PREDIAL</t>
  </si>
  <si>
    <t>TE DE REDUCAO, PVC, SOLDAVEL, 90 GRAUS, 75 MM X 50 MM, PARA AGUA FRIA PREDIAL</t>
  </si>
  <si>
    <t>TE DE REDUCAO, PVC, SOLDAVEL, 90 GRAUS, 85 MM X 60 MM, PARA AGUA FRIA PREDIAL</t>
  </si>
  <si>
    <t>TE DE SERVICO INTEGRADO, EM POLIPROPILENO (PP), PARA TUBOS EM PEAD/PVC, 60 X 20 MM - LIGACAO PREDIAL DE AGUA</t>
  </si>
  <si>
    <t>TE DE SERVICO INTEGRADO, EM POLIPROPILENO (PP), PARA TUBOS EM PEAD/PVC, 60 X 32 MM - LIGACAO PREDIAL DE AGUA</t>
  </si>
  <si>
    <t>TE DE SERVICO INTEGRADO, EM POLIPROPILENO (PP), PARA TUBOS EM PEAD, 63 X 20 MM - LIGACAO PREDIAL DE AGUA</t>
  </si>
  <si>
    <t>TE DE SERVICO, PEAD PE 100, DE 125 X 20 MM, PARA ELETROFUSAO</t>
  </si>
  <si>
    <t>TE DE SERVICO, PEAD PE 100, DE 125 X 32 MM, PARA ELETROFUSAO</t>
  </si>
  <si>
    <t>TE DE SERVICO, PEAD PE 100, DE 125 X 63 MM, PARA ELETROFUSAO</t>
  </si>
  <si>
    <t>TE DE SERVICO, PEAD PE 100, DE 200 X 20 MM, PARA ELETROFUSAO</t>
  </si>
  <si>
    <t>TE DE SERVICO, PEAD PE 100, DE 200 X 32 MM, PARA ELETROFUSAO</t>
  </si>
  <si>
    <t>TE DE SERVICO, PEAD PE 100, DE 200 X 63 MM, PARA ELETROFUSAO</t>
  </si>
  <si>
    <t>TE DE SERVICO, PEAD PE 100, DE 63 X 20 MM, PARA ELETROFUSAO</t>
  </si>
  <si>
    <t>TE DE SERVICO, PEAD PE 100, DE 63 X 32 MM, PARA ELETROFUSAO</t>
  </si>
  <si>
    <t>TE DE SERVICO, PEAD PE 100, DE 63 X 63 MM, PARA ELETROFUSAO</t>
  </si>
  <si>
    <t>TE DE TRANSICAO, CPVC, SOLDAVEL, 15 MM X 1/2", PARA AGUA QUENTE</t>
  </si>
  <si>
    <t>TE DE TRANSICAO, CPVC, SOLDAVEL, 22 MM X 1/2", PARA AGUA QUENTE</t>
  </si>
  <si>
    <t>TE DUPLA CURVA BRONZE/LATAO (REF 764) SEM ANEL DE SOLDA, ROSCA F X BOLSA X ROSCA F, 1/2" X 15 X 1/2"</t>
  </si>
  <si>
    <t>TE DUPLA CURVA BRONZE/LATAO (REF 764) SEM ANEL DE SOLDA, ROSCA F X BOLSA X ROSCA F, 3/4" X 22 X 3/4"</t>
  </si>
  <si>
    <t>TE METALICO, PARA CONEXAO COM ANEL DESLIZANTE EM TUBO PEX, DN 16 MM</t>
  </si>
  <si>
    <t>TE METALICO, PARA CONEXAO COM ANEL DESLIZANTE EM TUBO PEX, DN 20 MM</t>
  </si>
  <si>
    <t>TE METALICO, PARA CONEXAO COM ANEL DESLIZANTE EM TUBO PEX, DN 25 MM</t>
  </si>
  <si>
    <t>TE METALICO, PARA CONEXAO COM ANEL DESLIZANTE EM TUBO PEX, DN 32 MM</t>
  </si>
  <si>
    <t>TE MISTURADOR COM INSERTO METALICO, FEMEA, PPR, DN 25 MM X 3/4", PARA AGUA QUENTE E FRIA PREDIAL</t>
  </si>
  <si>
    <t>TE MISTURADOR DE TRANSICAO, CPVC, COM ROSCA, 22 MM X 3/4", PARA AGUA QUENTE</t>
  </si>
  <si>
    <t>TE MISTURADOR METALICO, PARA CONEXAO COM ANEL DESLIZANTE EM TUBO PEX, DN 16 MM X 1/2"</t>
  </si>
  <si>
    <t>TE MISTURADOR METALICO, PARA CONEXAO COM ANEL DESLIZANTE EM TUBO PEX, DN 20 MM X 3/4"</t>
  </si>
  <si>
    <t>TE MISTURADOR, CPVC, SOLDAVEL, 15 MM, PARA AGUA QUENTE</t>
  </si>
  <si>
    <t>TE MISTURADOR, CPVC, SOLDAVEL, 22 MM, PARA AGUA QUENTE</t>
  </si>
  <si>
    <t>TE MISTURADOR, PPR, F M M, DN 20 X 20 MM, PARA AGUA QUENTE PREDIAL</t>
  </si>
  <si>
    <t>TE MISTURADOR, PPR, F M M, DN 25 X 25 MM, PARA AGUA QUENTE PREDIAL</t>
  </si>
  <si>
    <t>TE NORMAL, PPR, SOLDAVEL, 90 GRAUS, DN 110 X 110 X 110 MM, PARA AGUA QUENTE PREDIAL</t>
  </si>
  <si>
    <t>TE NORMAL, PPR, SOLDAVEL, 90 GRAUS, DN 20 X 20 X 20 MM, PARA AGUA QUENTE PREDIAL</t>
  </si>
  <si>
    <t>TE NORMAL, PPR, SOLDAVEL, 90 GRAUS, DN 25 X 25 X 25 MM, PARA AGUA QUENTE PREDIAL</t>
  </si>
  <si>
    <t>TE NORMAL, PPR, SOLDAVEL, 90 GRAUS, DN 32 X 32 X 32 MM, PARA AGUA QUENTE PREDIAL</t>
  </si>
  <si>
    <t>TE NORMAL, PPR, SOLDAVEL, 90 GRAUS, DN 40 X 40 X 40 MM, PARA AGUA QUENTE PREDIAL</t>
  </si>
  <si>
    <t>TE NORMAL, PPR, SOLDAVEL, 90 GRAUS, DN 50 X 50 X 50 MM, PARA AGUA QUENTE PREDIAL</t>
  </si>
  <si>
    <t>TE NORMAL, PPR, SOLDAVEL, 90 GRAUS, DN 63 X 63 X 63 MM, PARA AGUA QUENTE PREDIAL</t>
  </si>
  <si>
    <t>TE NORMAL, PPR, SOLDAVEL, 90 GRAUS, DN 75 X 75 X 75 MM, PARA AGUA QUENTE PREDIAL</t>
  </si>
  <si>
    <t>TE NORMAL, PPR, SOLDAVEL, 90 GRAUS, DN 90 X 90 X 90 MM, PARA AGUA QUENTE PREDIAL</t>
  </si>
  <si>
    <t>TE PVC ROSCAVEL 90 GRAUS, 1", PARA  AGUA FRIA PREDIAL</t>
  </si>
  <si>
    <t>TE PVC SOLDAVEL, BBB, 90 GRAUS, DN 40 MM, PARA ESGOTO SECUNDARIO PREDIAL</t>
  </si>
  <si>
    <t>TE PVC, ROSCAVEL, 90 GRAUS, 1 1/2", AGUA FRIA PREDIAL</t>
  </si>
  <si>
    <t>TE PVC, ROSCAVEL, 90 GRAUS, 1 1/4", AGUA FRIA PREDIAL</t>
  </si>
  <si>
    <t>TE PVC, ROSCAVEL, 90 GRAUS, 1/2",  AGUA FRIA PREDIAL</t>
  </si>
  <si>
    <t>TE PVC, ROSCAVEL, 90 GRAUS, 2",  AGUA FRIA PREDIAL</t>
  </si>
  <si>
    <t>TE PVC, ROSCAVEL, 90 GRAUS, 3/4", AGUA FRIA PREDIAL</t>
  </si>
  <si>
    <t>TE PVC, SOLDAVEL, COM BUCHA DE LATAO NA BOLSA CENTRAL, 90 GRAUS, 20 MM X 1/2", PARA AGUA FRIA PREDIAL</t>
  </si>
  <si>
    <t>TE PVC, SOLDAVEL, COM BUCHA DE LATAO NA BOLSA CENTRAL, 90 GRAUS, 25 MM X 1/2", PARA AGUA FRIA PREDIAL</t>
  </si>
  <si>
    <t>TE PVC, SOLDAVEL, COM BUCHA DE LATAO NA BOLSA CENTRAL, 90 GRAUS, 25 MM X 3/4", PARA AGUA FRIA PREDIAL</t>
  </si>
  <si>
    <t>TE PVC, SOLDAVEL, COM BUCHA DE LATAO NA BOLSA CENTRAL, 90 GRAUS, 32 MM X 3/4", PARA AGUA FRIA PREDIAL</t>
  </si>
  <si>
    <t>TE PVC, SOLDAVEL, COM ROSCA NA BOLSA CENTRAL, 90 GRAUS, 20 MM X 1/2", PARA AGUA FRIA PREDIAL</t>
  </si>
  <si>
    <t>TE PVC, SOLDAVEL, COM ROSCA NA BOLSA CENTRAL, 90 GRAUS, 25 MM X 1/2", PARA AGUA FRIA PREDIAL</t>
  </si>
  <si>
    <t>TE PVC, SOLDAVEL, COM ROSCA NA BOLSA CENTRAL, 90 GRAUS, 25 MM X 3/4", PARA AGUA FRIA PREDIAL</t>
  </si>
  <si>
    <t>TE PVC, SOLDAVEL, COM ROSCA NA BOLSA CENTRAL, 90 GRAUS, 32 MM X 3/4", PARA AGUA FRIA PREDIAL</t>
  </si>
  <si>
    <t>TE RANHURADO EM FERRO FUNDIDO, DN 50 (2")</t>
  </si>
  <si>
    <t>TE RANHURADO EM FERRO FUNDIDO, DN 65 (2 1/2")</t>
  </si>
  <si>
    <t>TE RANHURADO EM FERRO FUNDIDO, DN 80 (3")</t>
  </si>
  <si>
    <t>TE REDUCAO PVC, ROSCAVEL, 90 GRAUS,  1.1/2" X 3/4",  AGUA FRIA PREDIAL</t>
  </si>
  <si>
    <t>TE ROSCA FEMEA, METALICO, PARA CONEXAO COM ANEL DESLIZANTE EM TUBO PEX, DN 16 MM X 1/2"</t>
  </si>
  <si>
    <t>TE ROSCA FEMEA, METALICO, PARA CONEXAO COM ANEL DESLIZANTE EM TUBO PEX, DN 20 MM X 1/2"</t>
  </si>
  <si>
    <t>TE ROSCA FEMEA, METALICO, PARA CONEXAO COM ANEL DESLIZANTE EM TUBO PEX, DN 20 MM X 3/4"</t>
  </si>
  <si>
    <t>TE ROSCA FEMEA, METALICO, PARA CONEXAO COM ANEL DESLIZANTE EM TUBO PEX, DN 25 MM X 1/2"</t>
  </si>
  <si>
    <t>TE ROSCA FEMEA, METALICO, PARA CONEXAO COM ANEL DESLIZANTE EM TUBO PEX, DN 25 MM X 3/4"</t>
  </si>
  <si>
    <t>TE ROSCA MACHO, METALICO, PARA CONEXAO COM ANEL DESLIZANTE EM TUBO PEX, DN 16 MM X 1/2"</t>
  </si>
  <si>
    <t>TE ROSCA MACHO, METALICO, PARA CONEXAO COM ANEL DESLIZANTE EM TUBO PEX, DN 20 MM X 1/2"</t>
  </si>
  <si>
    <t>TE ROSCA MACHO, METALICO, PARA CONEXAO COM ANEL DESLIZANTE EM TUBO PEX, DN 20 MM X 3/4"</t>
  </si>
  <si>
    <t>TE ROSCA MACHO, METALICO, PARA CONEXAO COM ANEL DESLIZANTE EM TUBO PEX, DN 25 MM X 3/4"</t>
  </si>
  <si>
    <t>TE ROSCA MACHO, METALICO, PARA CONEXAO COM ANEL DESLIZANTE EM TUBO PEX, DN 32 MM X 1"</t>
  </si>
  <si>
    <t>TE ROSCA MACHO, METALICO, PARA CONEXAO COM ANEL DESLIZANTE EM TUBO PEX, DN 32 MM X 3/4"</t>
  </si>
  <si>
    <t>TE SANITARIO, PVC, DN 100 X 100 MM, SERIE NORMAL, PARA ESGOTO PREDIAL</t>
  </si>
  <si>
    <t>TE SANITARIO, PVC, DN 100 X 50 MM, SERIE NORMAL, PARA ESGOTO PREDIAL</t>
  </si>
  <si>
    <t>TE SANITARIO, PVC, DN 100 X 75 MM, SERIE NORMAL PARA ESGOTO PREDIAL</t>
  </si>
  <si>
    <t>TE SANITARIO, PVC, DN 40 X 40 MM, SERIE NORMAL, PARA ESGOTO PREDIAL</t>
  </si>
  <si>
    <t>TE SANITARIO, PVC, DN 50 X 50 MM, SERIE NORMAL, PARA ESGOTO PREDIAL</t>
  </si>
  <si>
    <t>TE SANITARIO, PVC, DN 75 X 50 MM, SERIE NORMAL PARA ESGOTO PREDIAL</t>
  </si>
  <si>
    <t>TE SANITARIO, PVC, DN 75 X 75 MM, SERIE NORMAL PARA ESGOTO PREDIAL</t>
  </si>
  <si>
    <t>TE SOLDAVEL, PVC, 90 GRAUS, 110 MM, PARA AGUA FRIA PREDIAL (NBR 5648)</t>
  </si>
  <si>
    <t>TE SOLDAVEL, PVC, 90 GRAUS, 20 MM, PARA AGUA FRIA PREDIAL (NBR 5648)</t>
  </si>
  <si>
    <t>TE SOLDAVEL, PVC, 90 GRAUS, 25 MM, PARA AGUA FRIA PREDIAL (NBR 5648)</t>
  </si>
  <si>
    <t>TE SOLDAVEL, PVC, 90 GRAUS, 32 MM, PARA AGUA FRIA PREDIAL (NBR 5648)</t>
  </si>
  <si>
    <t>TE SOLDAVEL, PVC, 90 GRAUS, 40 MM, PARA AGUA FRIA PREDIAL (NBR 5648)</t>
  </si>
  <si>
    <t>TE SOLDAVEL, PVC, 90 GRAUS, 60 MM, PARA AGUA FRIA PREDIAL (NBR 5648)</t>
  </si>
  <si>
    <t>TE SOLDAVEL, PVC, 90 GRAUS, 75 MM, PARA AGUA FRIA PREDIAL (NBR 5648)</t>
  </si>
  <si>
    <t>TE SOLDAVEL, PVC, 90 GRAUS, 85 MM, PARA AGUA FRIA PREDIAL (NBR 5648)</t>
  </si>
  <si>
    <t>TE SOLDAVEL, PVC, 90 GRAUS,50 MM, PARA AGUA FRIA PREDIAL (NBR 5648)</t>
  </si>
  <si>
    <t>TE 45 GRAUS DE FERRO GALVANIZADO, COM ROSCA BSP, DE 1 1/2"</t>
  </si>
  <si>
    <t>TE 45 GRAUS DE FERRO GALVANIZADO, COM ROSCA BSP, DE 1 1/4"</t>
  </si>
  <si>
    <t>TE 45 GRAUS DE FERRO GALVANIZADO, COM ROSCA BSP, DE 1/2"</t>
  </si>
  <si>
    <t>TE 45 GRAUS DE FERRO GALVANIZADO, COM ROSCA BSP, DE 1"</t>
  </si>
  <si>
    <t>TE 45 GRAUS DE FERRO GALVANIZADO, COM ROSCA BSP, DE 2 1/2"</t>
  </si>
  <si>
    <t>TE 45 GRAUS DE FERRO GALVANIZADO, COM ROSCA BSP, DE 2"</t>
  </si>
  <si>
    <t>TE 45 GRAUS DE FERRO GALVANIZADO, COM ROSCA BSP, DE 3/4"</t>
  </si>
  <si>
    <t>TE 45 GRAUS DE FERRO GALVANIZADO, COM ROSCA BSP, DE 3"</t>
  </si>
  <si>
    <t>TE 45 GRAUS DE FERRO GALVANIZADO, COM ROSCA BSP, DE 4"</t>
  </si>
  <si>
    <t>TE 90 GRAUS EM ACO CARBONO, SOLDAVEL, PRESSAO 3.000 LBS, DN 1 1/2"</t>
  </si>
  <si>
    <t>TE 90 GRAUS EM ACO CARBONO, SOLDAVEL, PRESSAO 3.000 LBS, DN 1 1/4"</t>
  </si>
  <si>
    <t>TE 90 GRAUS EM ACO CARBONO, SOLDAVEL, PRESSAO 3.000 LBS, DN 1/2"</t>
  </si>
  <si>
    <t>TE 90 GRAUS EM ACO CARBONO, SOLDAVEL, PRESSAO 3.000 LBS, DN 1"</t>
  </si>
  <si>
    <t>TE 90 GRAUS EM ACO CARBONO, SOLDAVEL, PRESSAO 3.000 LBS, DN 2 1/2"</t>
  </si>
  <si>
    <t>TE 90 GRAUS EM ACO CARBONO, SOLDAVEL, PRESSAO 3.000 LBS, DN 2"</t>
  </si>
  <si>
    <t>TE 90 GRAUS EM ACO CARBONO, SOLDAVEL, PRESSAO 3.000 LBS, DN 3/4"</t>
  </si>
  <si>
    <t>TE 90 GRAUS EM ACO CARBONO, SOLDAVEL, PRESSAO 3.000 LBS, DN 3"</t>
  </si>
  <si>
    <t>TE, PLASTICO, DN 16 MM, PARA CONEXAO COM CRIMPAGEM EM TUBO PEX</t>
  </si>
  <si>
    <t>TE, PLASTICO, DN 20 MM, PARA CONEXAO COM CRIMPAGEM EM TUBO PEX</t>
  </si>
  <si>
    <t>TE, PLASTICO, DN 25 MM, PARA CONEXAO COM CRIMPAGEM EM TUBO PEX</t>
  </si>
  <si>
    <t>TE, PLASTICO, DN 32 MM, PARA CONEXAO COM CRIMPAGEM EM TUBO PEX</t>
  </si>
  <si>
    <t>TE, PVC LEVE, CURTO, 90 GRAUS, 150 MM, PARA ESGOTO</t>
  </si>
  <si>
    <t>TE, PVC PBA, BBB, 90 GRAUS, DN 100 / DE 110 MM, PARA REDE  AGUA (NBR 10351)</t>
  </si>
  <si>
    <t>TE, PVC PBA, BBB, 90 GRAUS, DN 50 / DE 60 MM, PARA REDE AGUA (NBR 10351)</t>
  </si>
  <si>
    <t>TE, PVC PBA, BBB, 90 GRAUS, DN 75 / DE 85 MM, PARA REDE AGUA (NBR 10351)</t>
  </si>
  <si>
    <t>TE, PVC, SERIE R, 100 X 100 MM, PARA ESGOTO PREDIAL</t>
  </si>
  <si>
    <t>TE, PVC, SERIE R, 100 X 75 MM, PARA ESGOTO PREDIAL</t>
  </si>
  <si>
    <t>TE, PVC, SERIE R, 150 X 100 MM, PARA ESGOTO PREDIAL</t>
  </si>
  <si>
    <t>TE, PVC, SERIE R, 150 X 150 MM, PARA ESGOTO PREDIAL</t>
  </si>
  <si>
    <t>TE, PVC, SERIE R, 75 X 75 MM, PARA ESGOTO PREDIAL</t>
  </si>
  <si>
    <t>TE, PVC, 90 GRAUS, BBB, JE, DN 100 MM, PARA REDE COLETORA ESGOTO (NBR 10569)</t>
  </si>
  <si>
    <t>TE, PVC, 90 GRAUS, BBB, JE, DN 100 MM, PARA TUBO CORRUGADO E/OU LISO, REDE COLETORA ESGOTO (NBR 10569</t>
  </si>
  <si>
    <t>TE, PVC, 90 GRAUS, BBB, JE, DN 150 MM, PARA REDE COLETORA ESGOTO (NBR 10569)</t>
  </si>
  <si>
    <t>TE, PVC, 90 GRAUS, BBB, JE, DN 150 MM, PARA TUBO CORRUGADO E/OU LISO, REDE COLETORA ESGOTO (NBR 10569)</t>
  </si>
  <si>
    <t>TE, PVC, 90 GRAUS, BBB, JE, DN 200 MM, PARA REDE COLETORA ESGOTO (NBR 10569)</t>
  </si>
  <si>
    <t>TE, PVC, 90 GRAUS, BBB, JE, DN 200 MM, PARA TUBO CORRUGADO E/OU LISO, REDE COLETORA ESGOTO (NBR 10569)</t>
  </si>
  <si>
    <t>TE, PVC, 90 GRAUS, BBB, JE, DN 250 MM, PARA TUBO CORRUGADO E/OU LISO, REDE COLETORA ESGOTO (NBR 10569)</t>
  </si>
  <si>
    <t>TE, PVC, 90 GRAUS, BBB, JE, DN 300 MM, PARA TUBO CORRUGADO E/OU LISO, REDE COLETORA ESGOTO (NBR 10569)</t>
  </si>
  <si>
    <t>TE, PVC, 90 GRAUS, BBP, JE, DN 100 MM, PARA REDE COLETORA ESGOTO (NBR 10569)</t>
  </si>
  <si>
    <t>TECNICO DE EDIFICACOES</t>
  </si>
  <si>
    <t>TECNICO DE EDIFICACOES (MENSALISTA)</t>
  </si>
  <si>
    <t>TECNICO EM LABORATORIO E CAMPO DE CONSTRUCAO CIVIL</t>
  </si>
  <si>
    <t>TECNICO EM LABORATORIO E CAMPO DE CONSTRUCAO CIVIL (MENSALISTA)</t>
  </si>
  <si>
    <t>TECNICO EM SEGURANCA DO TRABALHO</t>
  </si>
  <si>
    <t>TECNICO EM SEGURANCA DO TRABALHO (MENSALISTA)</t>
  </si>
  <si>
    <t>TECNICO EM SONDAGEM</t>
  </si>
  <si>
    <t>TECNICO EM SONDAGEM (MENSALISTA)</t>
  </si>
  <si>
    <t>TELA ARAME GALVANIZADO REVESTIDO COM POLIMERO, MALHA HEXAGONAL DUPLA TORCAO, 8 X 10 CM (ZN/AL REVESTIDO COM POLIMERO), FIO *2,4* MM</t>
  </si>
  <si>
    <t>TELA DE ACO SOLDADA GALVANIZADA/ZINCADA PARA ALVENARIA, FIO  D = *1,20 A 1,70* MM, MALHA 15 X 15 MM, (C X L) *50 X 12* CM</t>
  </si>
  <si>
    <t>TELA DE ACO SOLDADA GALVANIZADA/ZINCADA PARA ALVENARIA, FIO  D = *1,20 A 1,70* MM, MALHA 15 X 15 MM, (C X L) *50 X 17,5* CM</t>
  </si>
  <si>
    <t>TELA DE ACO SOLDADA GALVANIZADA/ZINCADA PARA ALVENARIA, FIO D = *1,20 A 1,70* MM, MALHA 15 X 15 MM, (C X L) *50 X 10,5* CM</t>
  </si>
  <si>
    <t>TELA DE ACO SOLDADA GALVANIZADA/ZINCADA PARA ALVENARIA, FIO D = *1,20 A 1,70* MM, MALHA 15 X 15 MM, (C X L) *50 X 6* CM</t>
  </si>
  <si>
    <t>TELA DE ACO SOLDADA GALVANIZADA/ZINCADA PARA ALVENARIA, FIO D = *1,20 A 1,70* MM, MALHA 15 X 15 MM, (C X L) *50 X 7,5* CM</t>
  </si>
  <si>
    <t>TELA DE ACO SOLDADA GALVANIZADA/ZINCADA PARA ALVENARIA, FIO D = *1,24 MM, MALHA 25 X 25 MM</t>
  </si>
  <si>
    <t>TELA DE ACO SOLDADA NERVURADA, CA-60, L-159, (1,69 KG/M2), DIAMETRO DO FIO = 4,5 MM, LARGURA = 2,45 M, ESPACAMENTO DA MALHA = 30 X 10 CM</t>
  </si>
  <si>
    <t>TELA DE ACO SOLDADA NERVURADA, CA-60, Q-113, (1,8 KG/M2), DIAMETRO DO FIO = 3,8 MM, LARGURA = 2,45 M, ESPACAMENTO DA MALHA = 10 X 10 CM</t>
  </si>
  <si>
    <t>TELA DE ACO SOLDADA NERVURADA, CA-60, Q-138, (2,20 KG/M2), DIAMETRO DO FIO = 4,2 MM, LARGURA = 2,45 M, ESPACAMENTO DA MALHA = 10  X 10 CM</t>
  </si>
  <si>
    <t>TELA DE ACO SOLDADA NERVURADA, CA-60, Q-159, (2,52 KG/M2), DIAMETRO DO FIO = 4,5 MM, LARGURA =  2,45 M, ESPACAMENTO DA MALHA = 10 X 10 CM</t>
  </si>
  <si>
    <t>TELA DE ACO SOLDADA NERVURADA, CA-60, Q-196, (3,11 KG/M2), DIAMETRO DO FIO = 5,0 MM, LARGURA = 2,45 M, ESPACAMENTO DA MALHA = 10 X 10 CM</t>
  </si>
  <si>
    <t>TELA DE ACO SOLDADA NERVURADA, CA-60, Q-283 (4,48 KG/M2), DIAMETRO DO FIO = 6,0 MM, LARGURA = 2,45 X 6,00 M DE COMPRIMENTO, ESPACAMENTO DA MALHA = 10 X 10 CM</t>
  </si>
  <si>
    <t>TELA DE ACO SOLDADA NERVURADA, CA-60, Q-61, (0,97 KG/M2), DIAMETRO DO FIO = 3,4 MM, LARGURA = 2,45 M, ESPACAMENTO DA MALHA = 15 X 15 CM</t>
  </si>
  <si>
    <t>TELA DE ACO SOLDADA NERVURADA, CA-60, Q-92, (1,48 KG/M2), DIAMETRO DO FIO = 4,2 MM, LARGURA = 2,45 X 60 M DE COMPRIMENTO, ESPACAMENTO DA MALHA = 15  X 15 CM</t>
  </si>
  <si>
    <t>TELA DE ACO SOLDADA NERVURADA, CA-60, T-196, (2,11 KG/M2), DIAMETRO DO FIO = 5,0 MM, LARGURA = 2,45 M, ESPACAMENTO DA MALHA = 30 X 10 CM</t>
  </si>
  <si>
    <t>TELA DE ANIAGEM (JUTA)</t>
  </si>
  <si>
    <t>TELA DE ARAME GALVANIZADA QUADRANGULAR / LOSANGULAR, FIO 2,11 MM (14 BWG), MALHA 5 X 5 CM, H = 2 M</t>
  </si>
  <si>
    <t>TELA DE ARAME GALVANIZADA QUADRANGULAR / LOSANGULAR, FIO 2,11 MM (14 BWG), MALHA 8 X 8 CM, H = 2 M</t>
  </si>
  <si>
    <t>TELA DE ARAME GALVANIZADA QUADRANGULAR / LOSANGULAR, FIO 2,77 MM (12 BWG), MALHA 10 X 10 CM, H = 2 M</t>
  </si>
  <si>
    <t>TELA DE ARAME GALVANIZADA QUADRANGULAR / LOSANGULAR, FIO 2,77 MM (12 BWG), MALHA 5 X 5 CM, H = 2 M</t>
  </si>
  <si>
    <t>TELA DE ARAME GALVANIZADA QUADRANGULAR / LOSANGULAR, FIO 2,77 MM (12 BWG), MALHA 8 X 8 CM, H = 2 M</t>
  </si>
  <si>
    <t>TELA DE ARAME GALVANIZADA QUADRANGULAR / LOSANGULAR, FIO 3,4 MM (10 BWG), MALHA 5 X 5 CM, H = 2 M</t>
  </si>
  <si>
    <t>TELA DE ARAME GALVANIZADA QUADRANGULAR / LOSANGULAR, FIO 4,19 MM (8 BWG), MALHA 5 X 5 CM, H = 2 M</t>
  </si>
  <si>
    <t>TELA DE ARAME GALVANIZADA REVESTIDA EM PVC, QUADRANGULAR / LOSANGULAR, FIO 2,11 MM (14 BWG), BITOLA FINAL = *2,8* MM, MALHA *8 X 8* CM, H = 2 M</t>
  </si>
  <si>
    <t>TELA DE ARAME GALVANIZADA REVESTIDA EM PVC, QUADRANGULAR / LOSANGULAR, FIO 2,77 MM (12 BWG), BITOLA FINAL = *3,8* MM, MALHA 7,5 X 7,5 CM, H = 2 M</t>
  </si>
  <si>
    <t>TELA DE ARAME GALVANIZADA, HEXAGONAL, FIO 0,56 MM (24 BWG), MALHA 1/2", H = 1 M</t>
  </si>
  <si>
    <t>TELA DE ARAME ONDULADA, FIO *2,77* MM (12 BWG), MALHA 5 X 5 CM, H = 2 M</t>
  </si>
  <si>
    <t>TELA DE FIBRA DE VIDRO, ACABAMENTO ANTI-ALCALINO, MALHA 10 X 10 MM</t>
  </si>
  <si>
    <t>TELA EM MALHA HEXAGONAL DE DUPLA TORCAO 8 X 10 CM (ZN/AL REVESTIDO COM POLIMERO), FIO 2,7 MM, COM GEOMANTA OU BIOMANTA, DIMENSOES 4,0 X 2,0 X 0,6 M, COM INCLINACAO DE 70 GRAUS, PARA SOLO REFORCADO</t>
  </si>
  <si>
    <t>TELA EM METAL PARA ESTUQUE (DEPLOYE)</t>
  </si>
  <si>
    <t>TELA FACHADEIRA EM POLIETILENO, ROLO DE 3 X 100 M (L X C), COR BRANCA, SEM LOGOMARCA - PARA PROTECAO DE OBRAS</t>
  </si>
  <si>
    <t>TELA PLASTICA LARANJA, TIPO TAPUME PARA SINALIZACAO, MALHA RETANGULAR, ROLO 1.20 X 50 M (L X C)</t>
  </si>
  <si>
    <t>TELA PLASTICA TECIDA LISTRADA BRANCA E LARANJA, TIPO GUARDA CORPO, EM POLIETILENO MONOFILADO, ROLO 1,20 X 50 M (L X C)</t>
  </si>
  <si>
    <t>TELHA CERAMICA TIPO AMERICANA, COMPRIMENTO DE *45* CM, RENDIMENTO DE *12* TELHAS/M2</t>
  </si>
  <si>
    <t>TELHA DE BARRO / CERAMICA, NAO ESMALTADA, TIPO COLONIAL, CANAL, PLAN, PAULISTA, COMPRIMENTO DE *44 A 50* CM, RENDIMENTO DE COBERTURA DE *26* TELHAS/M2</t>
  </si>
  <si>
    <t>TELHA DE BARRO / CERAMICA, TIPO ROMANA, AMERICANA, PORTUGUESA, FRANCESA, COMPRIMENTO DE *41* CM,  RENDIMENTO DE *16* TELHAS/M2</t>
  </si>
  <si>
    <t>TELHA DE CONCRETO TIPO CLASSICA, COR CINZA, COMPRIMENTO DE *42* CM, RENDIMENTO DE *10* TELHAS/M2 (COLETADO CAIXA)</t>
  </si>
  <si>
    <t>TELHA DE FIBRA DE VIDRO ONDULADA INCOLOR, E = 0,6 MM, DE *0,50 X 2,44* M</t>
  </si>
  <si>
    <t>TELHA DE FIBROCIMENTO E = 6 MM, DE 3,00 X 1,06 M (SEM AMIANTO)</t>
  </si>
  <si>
    <t>TELHA DE FIBROCIMENTO E = 6 MM, DE 4,10 X 1,06 M (SEM AMIANTO)</t>
  </si>
  <si>
    <t>TELHA DE FIBROCIMENTO E = 6 MM, DE 4,60 X 1,06 M (SEM AMIANTO)</t>
  </si>
  <si>
    <t>TELHA DE FIBROCIMENTO E = 8 MM, DE 3,00 X 1,06 M (SEM AMIANTO)</t>
  </si>
  <si>
    <t>TELHA DE FIBROCIMENTO E = 8 MM, DE 4,10 X 1,06 M (SEM AMIANTO)</t>
  </si>
  <si>
    <t>TELHA DE FIBROCIMENTO E = 8 MM, DE 4,60 X 1,06 M (SEM AMIANTO)</t>
  </si>
  <si>
    <t>TELHA DE FIBROCIMENTO E= 8 MM, DE *3,70 X 1,06* M (SEM AMIANTO)</t>
  </si>
  <si>
    <t>TELHA DE FIBROCIMENTO ONDULADA E = 4 MM, DE 1,22 X 0,50 M (SEM AMIANTO)</t>
  </si>
  <si>
    <t>TELHA DE FIBROCIMENTO ONDULADA E = 4 MM, DE 2,13 X 0,50 M (SEM AMIANTO)</t>
  </si>
  <si>
    <t>TELHA DE FIBROCIMENTO ONDULADA E = 4 MM, DE 2,44 X 0,50 M (SEM AMIANTO)</t>
  </si>
  <si>
    <t>TELHA DE FIBROCIMENTO ONDULADA E = 6 MM, DE 1,53 X 1,10 M (SEM AMIANTO)</t>
  </si>
  <si>
    <t>TELHA DE FIBROCIMENTO ONDULADA E = 6 MM, DE 1,83 X 1,10 M (SEM AMIANTO)</t>
  </si>
  <si>
    <t>TELHA DE FIBROCIMENTO ONDULADA E = 6 MM, DE 2,44 X 1,10 M (SEM AMIANTO)</t>
  </si>
  <si>
    <t>TELHA DE FIBROCIMENTO ONDULADA E = 6 MM, DE 3,66 X 1,10 M (SEM AMIANTO)</t>
  </si>
  <si>
    <t>TELHA DE FIBROCIMENTO ONDULADA E = 8 MM, DE 1,53 X 1,10 M (SEM AMIANTO)</t>
  </si>
  <si>
    <t>TELHA DE FIBROCIMENTO ONDULADA E = 8 MM, DE 1,83 X 1,10 M (SEM AMIANTO)</t>
  </si>
  <si>
    <t>TELHA DE FIBROCIMENTO ONDULADA E = 8 MM, DE 2,44 X 1,10 M (SEM AMIANTO)</t>
  </si>
  <si>
    <t>TELHA DE FIBROCIMENTO ONDULADA E = 8 MM, DE 3,66 X 1,10 M (SEM AMIANTO)</t>
  </si>
  <si>
    <t>TELHA DE VIDRO TIPO FRANCESA, *39 X 23* CM</t>
  </si>
  <si>
    <t>TELHA ESTRUTURAL DE FIBROCIMENTO 1 ABA, DE 0,52 X 2,00 M (SEM AMIANTO)</t>
  </si>
  <si>
    <t>TELHA ESTRUTURAL DE FIBROCIMENTO 1 ABA, DE 0,52 X 2,50 M (SEM AMIANTO)</t>
  </si>
  <si>
    <t>TELHA ESTRUTURAL DE FIBROCIMENTO 1 ABA, DE 0,52 X 3,60 M (SEM AMIANTO)</t>
  </si>
  <si>
    <t>TELHA ESTRUTURAL DE FIBROCIMENTO 1 ABA, DE 0,52 X 4,00 M (SEM AMIANTO)</t>
  </si>
  <si>
    <t>TELHA ESTRUTURAL DE FIBROCIMENTO 1 ABA, DE 0,52 X 4,50 M (SEM AMIANTO)</t>
  </si>
  <si>
    <t>TELHA ESTRUTURAL DE FIBROCIMENTO 1 ABA, DE 0,52 X 5,00 M (SEM AMIANTO)</t>
  </si>
  <si>
    <t>TELHA ESTRUTURAL DE FIBROCIMENTO 1 ABA, DE 0,52 X 5,50 M (SEM AMIANTO)</t>
  </si>
  <si>
    <t>TELHA ESTRUTURAL DE FIBROCIMENTO 1 ABA, DE 0,52 X 6,00 M (SEM AMIANTO)</t>
  </si>
  <si>
    <t>TELHA ESTRUTURAL DE FIBROCIMENTO 1 ABA, DE 0,52 X 6,50 M (SEM AMIANTO)</t>
  </si>
  <si>
    <t>TELHA ESTRUTURAL DE FIBROCIMENTO 1 ABA, DE 0,52 X 7,20 M (SEM AMIANTO)</t>
  </si>
  <si>
    <t>TELHA ESTRUTURAL DE FIBROCIMENTO 2 ABAS, DE 1,00 X 3,00 M (SEM AMIANTO)</t>
  </si>
  <si>
    <t>TELHA ESTRUTURAL DE FIBROCIMENTO 2 ABAS, DE 1,00 X 4,60 M (SEM AMIANTO)</t>
  </si>
  <si>
    <t>TELHA ESTRUTURAL DE FIBROCIMENTO 2 ABAS, DE 1,00 X 6,00 M (SEM AMIANTO)</t>
  </si>
  <si>
    <t>TELHA ESTRUTURAL DE FIBROCIMENTO 2 ABAS, DE 1,00 X 7,40 M (SEM AMIANTO)</t>
  </si>
  <si>
    <t>TELHA ESTRUTURAL DE FIBROCIMENTO 2 ABAS, DE 1,00 X 8,20 M (SEM AMIANTO)</t>
  </si>
  <si>
    <t>TELHA ESTRUTURAL DE FIBROCIMENTO 2 ABAS, DE 1,00 X 9,20 M (SEM AMIANTO)</t>
  </si>
  <si>
    <t>TELHA ONDULADA EM ACO ZINCADO, ALTURA DE 17 MM, ESPESSURA DE 0,50 MM, LARGURA UTIL DE APROXIMADAMENTE 985 MM, SEM PINTURA</t>
  </si>
  <si>
    <t>TELHA TERMOISOLANTE REVESTIDA EM ACO GALVALUME, COM FACE SUPERIOR EM TELHA TRAPEZOIDAL E FACE INFERIOR EM CHAPA PLANA (NÃO INCLUI ACESSORIOS DE FIXACAO), REVESTIMENTO COM ESPESSURA DE 0,50 MM COM PRE-PINTURA DE COR BRANCA NAS DUAS FACES, NUCLEO EM POLIISOCIANURATO (PIR) COM ESPESSURA DE 50 MM</t>
  </si>
  <si>
    <t>TELHA TERMOISOLANTE REVESTIDA EM ACO GALVANIZADO, FACE SUPERIOR EM TELHA TRAPEZOIDAL E FACE INFERIOR EM CHAPA PLANA (SEM ACESSORIOS DE FIXACAO), REVESTIMENTO COM ESPESSURA DE 0,50 MM COM PRE-PINTURA NAS DUAS FACES, NUCLEO EM POLIESTIRENO (EPS) DE 30 MM</t>
  </si>
  <si>
    <t>TELHA TERMOISOLANTE REVESTIDA EM ACO GALVANIZADO, FACE SUPERIOR EM TELHA TRAPEZOIDAL E FACE INFERIOR EM CHAPA PLANA (SEM ACESSORIOS DE FIXACAO), REVESTIMENTO COM ESPESSURA DE 0,50 MM COM PRE-PINTURA NAS DUAS FACES, NUCLEO EM POLIESTIRENO (EPS) DE 50 MM</t>
  </si>
  <si>
    <t>TELHA TERMOISOLANTE REVESTIDA EM ACO GALVANIZADO, FACES SUPERIOR E INFERIOR EM TELHA TRAPEZOIDAL (SEM ACESSORIOS DE FIXACAO), REVESTIMENTO COM ESPESSURA DE 0,50 MM COM PRE-PINTURA NAS DUAS FACES, NUCLEO EM POLIESTIRENO (EPS) DE 50 MM</t>
  </si>
  <si>
    <t>TELHA TRAPEZOIDAL EM ACO ZINCADO, SEM PINTURA, ALTURA DE APROXIMADAMENTE 40 MM, ESPESSURA DE 0,50 MM E LARGURA UTIL DE 980 MM</t>
  </si>
  <si>
    <t>TELHA TRAPEZOIDAL EM ALUMINIO, ALTURA DE *38* MM E ESPESSURA DE 0,5 MM (LARGURA TOTAL DE 1056 MM E COMPRIMENTO DE 5000 MM)</t>
  </si>
  <si>
    <t>TELHA TRAPEZOIDAL EM ALUMINIO, ALTURA DE *38* MM E ESPESSURA DE 0,7 MM (LARGURA TOTAL DE 1056 MM E COMPRIMENTO DE 5000 MM)</t>
  </si>
  <si>
    <t>TELHA VIDRO TIPO CANAL OU COLONIAL, C = 46 A 50 CM</t>
  </si>
  <si>
    <t>TELHADOR</t>
  </si>
  <si>
    <t>TELHADOR  (MENSALISTA)</t>
  </si>
  <si>
    <t>TERMINAL A COMPRESSAO EM COBRE ESTANHADO PARA CABO 10 MM2, 1 FURO E 1 COMPRESSAO, PARA PARAFUSO DE FIXACAO M6</t>
  </si>
  <si>
    <t>TERMINAL A COMPRESSAO EM COBRE ESTANHADO PARA CABO 120 MM2, 1 FURO E 1 COMPRESSAO, PARA PARAFUSO DE FIXACAO M12</t>
  </si>
  <si>
    <t>TERMINAL A COMPRESSAO EM COBRE ESTANHADO PARA CABO 16 MM2, 1 FURO E 1 COMPRESSAO, PARA PARAFUSO DE FIXACAO M6</t>
  </si>
  <si>
    <t>TERMINAL A COMPRESSAO EM COBRE ESTANHADO PARA CABO 2,5 MM2, 1 FURO E 1 COMPRESSAO, PARA PARAFUSO DE FIXACAO M5</t>
  </si>
  <si>
    <t>TERMINAL A COMPRESSAO EM COBRE ESTANHADO PARA CABO 25 MM2, 1 FURO E 1 COMPRESSAO, PARA PARAFUSO DE FIXACAO M8</t>
  </si>
  <si>
    <t>TERMINAL A COMPRESSAO EM COBRE ESTANHADO PARA CABO 35 MM2, 1 FURO E 1 COMPRESSAO, PARA PARAFUSO DE FIXACAO M8</t>
  </si>
  <si>
    <t>TERMINAL A COMPRESSAO EM COBRE ESTANHADO PARA CABO 4 MM2, 1 FURO E 1 COMPRESSAO, PARA PARAFUSO DE FIXACAO M5</t>
  </si>
  <si>
    <t>TERMINAL A COMPRESSAO EM COBRE ESTANHADO PARA CABO 50 MM2, 1 FURO E 1 COMPRESSAO, PARA PARAFUSO DE FIXACAO M8</t>
  </si>
  <si>
    <t>TERMINAL A COMPRESSAO EM COBRE ESTANHADO PARA CABO 6 MM2, 1 FURO E 1 COMPRESSAO, PARA PARAFUSO DE FIXACAO M6</t>
  </si>
  <si>
    <t>TERMINAL A COMPRESSAO EM COBRE ESTANHADO PARA CABO 70 MM2, 1 FURO E 1 COMPRESSAO, PARA PARAFUSO DE FIXACAO M10</t>
  </si>
  <si>
    <t>TERMINAL A COMPRESSAO EM COBRE ESTANHADO PARA CABO 95 MM2, 1 FURO E 1 COMPRESSAO, PARA PARAFUSO DE FIXACAO M12</t>
  </si>
  <si>
    <t>TERMINAL AEREO EM ACO GALVANIZADO DN 5/16", COMPRIMENTO DE 350MM, COM BASE DE FIXACAO HORIZONTAL</t>
  </si>
  <si>
    <t>TERMINAL DE VENTILACAO, 100 MM, SERIE NORMAL, ESGOTO PREDIAL</t>
  </si>
  <si>
    <t>TERMINAL DE VENTILACAO, 50 MM, SERIE NORMAL, ESGOTO PREDIAL</t>
  </si>
  <si>
    <t>TERMINAL DE VENTILACAO, 75 MM, SERIE NORMAL, ESGOTO PREDIAL</t>
  </si>
  <si>
    <t>TERMINAL METALICO A PRESSAO PARA 1 CABO DE 120 MM2, COM 1 FURO DE FIXACAO</t>
  </si>
  <si>
    <t>TERMINAL METALICO A PRESSAO PARA 1 CABO DE 150 A 185 MM2, COM 2 FUROS PARA FIXACAO</t>
  </si>
  <si>
    <t>TERMINAL METALICO A PRESSAO PARA 1 CABO DE 150 MM2, COM 1 FURO DE FIXACAO</t>
  </si>
  <si>
    <t>TERMINAL METALICO A PRESSAO PARA 1 CABO DE 16 A 25 MM2, COM 2 FUROS PARA FIXACAO</t>
  </si>
  <si>
    <t>TERMINAL METALICO A PRESSAO PARA 1 CABO DE 16 MM2, COM 1 FURO DE FIXACAO</t>
  </si>
  <si>
    <t>TERMINAL METALICO A PRESSAO PARA 1 CABO DE 185 MM2, COM 1 FURO DE FIXACAO</t>
  </si>
  <si>
    <t>TERMINAL METALICO A PRESSAO PARA 1 CABO DE 240 MM2, COM 1 FURO DE FIXACAO</t>
  </si>
  <si>
    <t>TERMINAL METALICO A PRESSAO PARA 1 CABO DE 25 A 35 MM2, COM 2 FUROS PARA FIXACAO</t>
  </si>
  <si>
    <t>TERMINAL METALICO A PRESSAO PARA 1 CABO DE 25 MM2, COM 1 FURO DE FIXACAO</t>
  </si>
  <si>
    <t>TERMINAL METALICO A PRESSAO PARA 1 CABO DE 300 MM2, COM 1 FURO DE FIXACAO</t>
  </si>
  <si>
    <t>TERMINAL METALICO A PRESSAO PARA 1 CABO DE 35 MM2, COM 1 FURO DE FIXACAO</t>
  </si>
  <si>
    <t>TERMINAL METALICO A PRESSAO PARA 1 CABO DE 50 A 70 MM2, COM 2 FUROS PARA FIXACAO</t>
  </si>
  <si>
    <t>TERMINAL METALICO A PRESSAO PARA 1 CABO DE 50 MM2, COM 1 FURO DE FIXACAO</t>
  </si>
  <si>
    <t>TERMINAL METALICO A PRESSAO PARA 1 CABO DE 6 A 10 MM2, COM 1 FURO DE FIXACAO</t>
  </si>
  <si>
    <t>TERMINAL METALICO A PRESSAO PARA 1 CABO DE 70 MM2, COM 1 FURO DE FIXACAO</t>
  </si>
  <si>
    <t>TERMINAL METALICO A PRESSAO PARA 1 CABO DE 95 A 120 MM2, COM 2 FUROS PARA FIXACAO</t>
  </si>
  <si>
    <t>TERMINAL METALICO A PRESSAO PARA 1 CABO DE 95 MM2, COM 1 FURO DE FIXACAO</t>
  </si>
  <si>
    <t>TERMINAL METALICO A PRESSAO 1 CABO, PARA CABOS DE 4 A 10 MM2, COM 2 FUROS PARA FIXACAO</t>
  </si>
  <si>
    <t>TERMOFUSORA PARA TUBOS E CONEXOES EM PPR COM DIAMETROS DE 20 A 63 MM, POTENCIA DE 800 W, TENSAO 220 V</t>
  </si>
  <si>
    <t>TERMOFUSORA PARA TUBOS E CONEXOES EM PPR COM DIAMETROS DE 75 A 110 MM, POTENCIA DE *1100* W, TENSAO 220 V</t>
  </si>
  <si>
    <t>TERRA VEGETAL (ENSACADA)</t>
  </si>
  <si>
    <t>TERRA VEGETAL (GRANEL)</t>
  </si>
  <si>
    <t>TESTEIRA ANTIDERRAPANTE PARA PISO VINILICO *5 X 2,5* CM, E = 2 MM</t>
  </si>
  <si>
    <t>TIJOLO CERAMICO LAMINADO 5,5 X 11 X 23 CM</t>
  </si>
  <si>
    <t>TIJOLO CERAMICO MACICO *5 X 10 X 20* CM</t>
  </si>
  <si>
    <t>TIJOLO CERAMICO MACICO APARENTE *6 X 12 X 24* CM</t>
  </si>
  <si>
    <t>TIJOLO CERAMICO MACICO APARENTE 2 FUROS, *6,5 X 10 X 20* CM</t>
  </si>
  <si>
    <t>TIJOLO CERAMICO REFRATARIO 2,5 X 11,4 X 22,9 CM</t>
  </si>
  <si>
    <t>TIJOLO CERAMICO REFRATARIO 6,3 X 11,4 X 22,9 CM</t>
  </si>
  <si>
    <t>TIL PARA LIGACAO PREDIAL, EM PVC, JE, BBB, DN 100 X 100 MM, PARA REDE COLETORA ESGOTO (NBR 10569)</t>
  </si>
  <si>
    <t>TIL TUBO QUEDA, EM PVC, JE, BBB, DN 100 X 100 MM, PARA REDE COLETORA DE ESGOTO (NBR 10569)</t>
  </si>
  <si>
    <t>TINTA / REVESTIMENTO A BASE DE RESINA EPOXI COM ALCATRAO, BICOMPONENTE</t>
  </si>
  <si>
    <t>TINTA A BASE DE RESINA ACRILICA EMULSIONADA EM AGUA, PARA SINALIZACAO HORIZONTAL VIARIA (NBR 13699)</t>
  </si>
  <si>
    <t>TINTA A BASE DE RESINA ACRILICA, PARA SINALIZACAO HORIZONTAL VIARIA (NBR 11862)</t>
  </si>
  <si>
    <t>TINTA ACRILICA PARA CERAMICA</t>
  </si>
  <si>
    <t>TINTA ACRILICA PREMIUM PARA PISO</t>
  </si>
  <si>
    <t>TINTA ACRILICA PREMIUM, COR BRANCO FOSCO</t>
  </si>
  <si>
    <t>TINTA ASFALTICA IMPERMEABILIZANTE DILUIDA EM SOLVENTE, PARA MATERIAIS CIMENTICIOS, METAL E MADEIRA</t>
  </si>
  <si>
    <t>TINTA ASFALTICA IMPERMEABILIZANTE DISPERSA EM AGUA, PARA MATERIAIS CIMENTICIOS</t>
  </si>
  <si>
    <t>TINTA BORRACHA CLORADA, ACABAMENTO SEMIBRILHO, BRANCA</t>
  </si>
  <si>
    <t>TINTA BORRACHA CLORADA, ACABAMENTO SEMIBRILHO, CORES VIVAS</t>
  </si>
  <si>
    <t>TINTA BORRACHA, CLORADA, ACABAMENTO SEMIBRILHO, PRETA</t>
  </si>
  <si>
    <t>TINTA EPOXI PREMIUM, BRANCA</t>
  </si>
  <si>
    <t>TINTA ESMALTE SINTETICO GRAFITE COM PROTECAO PARA METAIS FERROSOS</t>
  </si>
  <si>
    <t>TINTA ESMALTE SINTETICO PREMIUM ACETINADO</t>
  </si>
  <si>
    <t>TINTA ESMALTE SINTETICO PREMIUM BRILHANTE</t>
  </si>
  <si>
    <t>TINTA ESMALTE SINTETICO PREMIUM FOSCO</t>
  </si>
  <si>
    <t>TINTA LATEX ACRILICA ECONOMICA, COR BRANCA</t>
  </si>
  <si>
    <t>TINTA LATEX ACRILICA STANDARD, COR BRANCA</t>
  </si>
  <si>
    <t>TINTA MINERAL IMPERMEAVEL EM PO, BRANCA</t>
  </si>
  <si>
    <t>TINTA PROTETORA SUPERFICIE METALICA ALUMINIO</t>
  </si>
  <si>
    <t>TIRANTE COM ELO, EM ARAME GALVANIZADO RIGIDO, NUMERO 10, COMPRIMENTO 2000 MM, PARA PENDURAL DE FORRO REMOVIVEL</t>
  </si>
  <si>
    <t>TIRANTE EM FERRO GALVANIZADO PARA CONTRAVENTAMENTO DE TELHA CANALETE 90, 1/4 " X 400 MM</t>
  </si>
  <si>
    <t>TOALHEIRO PLASTICO TIPO DISPENSER PARA PAPEL TOALHA INTERFOLHADO</t>
  </si>
  <si>
    <t>TOMADA INDUSTRIAL DE EMBUTIR 3P+T 30 A, 440 V, COM TRAVA, COM PLACA</t>
  </si>
  <si>
    <t>TOMADA INDUSTRIAL DE EMBUTIR 3P+T 30 A, 440 V, COM TRAVA, SEM PLACA</t>
  </si>
  <si>
    <t>TOMADA PARA ANTENA DE TV, CABO COAXIAL DE 9 MM (APENAS MODULO)</t>
  </si>
  <si>
    <t>TOMADA PARA ANTENA DE TV, CABO COAXIAL DE 9 MM, CONJUNTO MONTADO PARA EMBUTIR 4" X 2" (PLACA + SUPORTE + MODULO)</t>
  </si>
  <si>
    <t>TOMADA RJ11, 2 FIOS (APENAS MODULO)</t>
  </si>
  <si>
    <t>TOMADA RJ11, 2 FIOS, CONJUNTO MONTADO PARA EMBUTIR 4" X 2" (PLACA + SUPORTE + MODULO)</t>
  </si>
  <si>
    <t>TOMADA RJ45, 8 FIOS, CAT 5E (APENAS MODULO)</t>
  </si>
  <si>
    <t>TOMADA RJ45, 8 FIOS, CAT 5E, CONJUNTO MONTADO PARA EMBUTIR 4" X 2" (PLACA + SUPORTE + MODULO)</t>
  </si>
  <si>
    <t>TOMADA 2P+T 10A, 250V  (APENAS MODULO)</t>
  </si>
  <si>
    <t>TOMADA 2P+T 10A, 250V, CONJUNTO MONTADO PARA EMBUTIR 4" X 2" (PLACA + SUPORTE + MODULO)</t>
  </si>
  <si>
    <t>TOMADA 2P+T 10A, 250V, CONJUNTO MONTADO PARA SOBREPOR 4" X 2" (CAIXA + MODULO)</t>
  </si>
  <si>
    <t>TOMADA 2P+T 20A 250V, CONJUNTO MONTADO PARA EMBUTIR 4" X 2" (PLACA + SUPORTE + MODULO)</t>
  </si>
  <si>
    <t>TOMADA 2P+T 20A, 250V  (APENAS MODULO)</t>
  </si>
  <si>
    <t>TOMADAS (2 MODULOS) 2P+T 10A, 250V, CONJUNTO MONTADO PARA EMBUTIR 4" X 2" (PLACA + SUPORTE + MODULOS)</t>
  </si>
  <si>
    <t>TOPOGRAFO</t>
  </si>
  <si>
    <t>TOPOGRAFO (MENSALISTA)</t>
  </si>
  <si>
    <t>TORNEIRA CROMADA COM BICO PARA JARDIM/TANQUE 1/2 " OU 3/4 " (REF 1153)</t>
  </si>
  <si>
    <t>TORNEIRA CROMADA CURTA SEM BICO PARA TANQUE, PADRAO POPULAR, 1/2 " OU 3/4 " (REF 1140)</t>
  </si>
  <si>
    <t>TORNEIRA CROMADA CURTA SEM BICO PARA USO GERAL  1/2 " OU 3/4 " (REF 1152)</t>
  </si>
  <si>
    <t>TORNEIRA CROMADA DE MESA PARA COZINHA BICA MOVEL COM AREJADOR 1/2 " OU 3/4 " (REF 1167)</t>
  </si>
  <si>
    <t>TORNEIRA CROMADA DE MESA PARA LAVATORIO COM SENSOR DE PRESENCA</t>
  </si>
  <si>
    <t>TORNEIRA CROMADA DE MESA PARA LAVATORIO TEMPORIZADA PRESSAO BICA BAIXA</t>
  </si>
  <si>
    <t>TORNEIRA CROMADA DE MESA PARA LAVATORIO, BICA ALTA (REF 1195)</t>
  </si>
  <si>
    <t>TORNEIRA CROMADA DE MESA PARA LAVATORIO, PADRAO POPULAR, 1/2 " OU 3/4 " (REF 1193)</t>
  </si>
  <si>
    <t>TORNEIRA CROMADA DE PAREDE LONGA PARA LAVATORIO (REF 1178)</t>
  </si>
  <si>
    <t>TORNEIRA CROMADA DE PAREDE PARA COZINHA BICA MOVEL COM AREJADOR 1/2 " OU 3/4 " (REF 1168)</t>
  </si>
  <si>
    <t>TORNEIRA CROMADA DE PAREDE PARA COZINHA COM AREJADOR 1/2 " OU 3/4 " (REF 1157)</t>
  </si>
  <si>
    <t>TORNEIRA CROMADA DE PAREDE PARA COZINHA COM AREJADOR, PADRAO POPULAR, 1/2 " OU 3/4 " (REF 1159)</t>
  </si>
  <si>
    <t>TORNEIRA CROMADA DE PAREDE PARA COZINHA SEM AREJADOR, PADRAO POPULAR, 1/2 " OU 3/4 " (REF 1158)</t>
  </si>
  <si>
    <t>TORNEIRA CROMADA SEM BICO PARA TANQUE 1/2 " OU 3/4 " (REF 1143)</t>
  </si>
  <si>
    <t>TORNEIRA CROMADA SEM BICO PARA TANQUE, PADRAO POPULAR, 1/2 " OU 3/4 " (REF 1126)</t>
  </si>
  <si>
    <t>TORNEIRA DE BOIA CONVENCIONAL PARA CAIXA D'AGUA, 1.1/2", COM HASTE E TORNEIRA METALICOS E BALAO PLASTICO</t>
  </si>
  <si>
    <t>TORNEIRA DE BOIA CONVENCIONAL PARA CAIXA D'AGUA, 1.1/4", COM HASTE E TORNEIRA METALICOS E BALAO PLASTICO</t>
  </si>
  <si>
    <t>TORNEIRA DE BOIA CONVENCIONAL PARA CAIXA D'AGUA, 1/2", COM HASTE E TORNEIRA METALICOS E BALAO PLASTICO</t>
  </si>
  <si>
    <t>TORNEIRA DE BOIA CONVENCIONAL PARA CAIXA D'AGUA, 1", COM HASTE E TORNEIRA METALICOS E BALAO PLASTICO</t>
  </si>
  <si>
    <t>TORNEIRA DE BOIA CONVENCIONAL PARA CAIXA D'AGUA, 2", COM HASTE E TORNEIRA METALICOS E BALAO PLASTICO</t>
  </si>
  <si>
    <t>TORNEIRA DE BOIA CONVENCIONAL PARA CAIXA D'AGUA, 3/4", COM HASTE E TORNEIRA METALICOS E BALAO PLASTICO</t>
  </si>
  <si>
    <t>TORNEIRA DE BOIA VAZAO TOTAL PARA CAIXA D'AGUA, 1/2", COM HASTE E TORNEIRA METALICOS E BALAO PLASTICO</t>
  </si>
  <si>
    <t>TORNEIRA DE BOIA VAZAO TOTAL PARA CAIXA D'AGUA, 1", COM HASTE E TORNEIRA METALICOS E BALAO PLASTICO</t>
  </si>
  <si>
    <t>TORNEIRA DE BOIA VAZAO TOTAL PARA CAIXA D'AGUA, 3/4", COM HASTE E TORNEIRA METALICOS E BALAO PLASTICO</t>
  </si>
  <si>
    <t>TORNEIRA ELETRICA DE PAREDE, BICA ALTA, PARA COZINHA, 5500 W (110/220 V)</t>
  </si>
  <si>
    <t>TORNEIRA METAL AMARELO COM BICO PARA JARDIM, PADRAO POPULAR, 1/2 " OU 3/4 " (REF 1128)</t>
  </si>
  <si>
    <t>TORNEIRA METAL AMARELO CURTA SEM BICO PARA TANQUE, PADRAO POPULAR, 1/2 " OU 3/4 " (REF 1120)</t>
  </si>
  <si>
    <t>TORNEIRA METALICA DE BOIA CONVENCIONAL PARA CAIXA D'AGUA, 1/2 ", COM HASTE, TORNEIRA E BALAO METALICOS</t>
  </si>
  <si>
    <t>TORNEIRA METALICA DE BOIA CONVENCIONAL PARA CAIXA D'AGUA, 3/4 ", COM HASTE, TORNEIRA E BALAO METALICOS</t>
  </si>
  <si>
    <t>TORNEIRA PLASTICA DE BOIA CONVENCIONAL PARA CAIXA DE AGUA, 3/4 ", COM HASTE METALICA E COM TORNEIRA E BALAO PLASTICOS (PADRAO POPULAR)</t>
  </si>
  <si>
    <t>TORNEIRA PLASTICA DE BOIA PARA CAIXA DE DESCARGA,  1/2", BALAO E TORNEIRA PLASTICOS, COM HASTE METALICA</t>
  </si>
  <si>
    <t>TORNEIRA PLASTICA DE MESA, BICA MOVEL, PARA COZINHA 1/2 "</t>
  </si>
  <si>
    <t>TORNEIRA PLASTICA PARA TANQUE 1/2 " OU 3/4 " COM BICO PARA MANGUEIRA</t>
  </si>
  <si>
    <t>TRANSFORMADOR TRIFASICO DE DISTRIBUICAO, POTENCIA DE 1000 KVA, TENSAO NOMINAL DE 15 KV, TENSAO SECUNDARIA DE 220/127V, EM OLEO ISOLANTE TIPO MINERAL</t>
  </si>
  <si>
    <t>TRANSFORMADOR TRIFASICO DE DISTRIBUICAO, POTENCIA DE 112,5 KVA, TENSAO NOMINAL DE 15 KV, TENSAO SECUNDARIA DE 220/127V, EM OLEO ISOLANTE TIPO MINERAL</t>
  </si>
  <si>
    <t>TRANSFORMADOR TRIFASICO DE DISTRIBUICAO, POTENCIA DE 15 KVA, TENSAO NOMINAL DE 15 KV, TENSAO SECUNDARIA DE 220/127V, EM OLEO ISOLANTE TIPO MINERAL</t>
  </si>
  <si>
    <t>TRANSFORMADOR TRIFASICO DE DISTRIBUICAO, POTENCIA DE 150 KVA, TENSAO NOMINAL DE 15 KV, TENSAO SECUNDARIA DE 220/127V, EM OLEO ISOLANTE TIPO MINERAL</t>
  </si>
  <si>
    <t>TRANSFORMADOR TRIFASICO DE DISTRIBUICAO, POTENCIA DE 1500 KVA, TENSAO NOMINAL DE 15 KV, TENSAO SECUNDARIA DE 220/127V, EM OLEO ISOLANTE TIPO MINERAL</t>
  </si>
  <si>
    <t>TRANSFORMADOR TRIFASICO DE DISTRIBUICAO, POTENCIA DE 225 KVA, TENSAO NOMINAL DE 15 KV, TENSAO SECUNDARIA DE 220/127V, EM OLEO ISOLANTE TIPO MINERAL</t>
  </si>
  <si>
    <t>TRANSFORMADOR TRIFASICO DE DISTRIBUICAO, POTENCIA DE 30 KVA, TENSAO NOMINAL DE 15 KV, TENSAO SECUNDARIA DE 220/127V, EM OLEO ISOLANTE TIPO MINERAL</t>
  </si>
  <si>
    <t>TRANSFORMADOR TRIFASICO DE DISTRIBUICAO, POTENCIA DE 300 KVA, TENSAO NOMINAL DE 15 KV, TENSAO SECUNDARIA DE 220/127V, EM OLEO ISOLANTE TIPO MINERAL</t>
  </si>
  <si>
    <t>TRANSFORMADOR TRIFASICO DE DISTRIBUICAO, POTENCIA DE 45 KVA, TENSAO NOMINAL DE 15 KV, TENSAO SECUNDARIA DE 220/127V, EM OLEO ISOLANTE TIPO MINERAL</t>
  </si>
  <si>
    <t>TRANSFORMADOR TRIFASICO DE DISTRIBUICAO, POTENCIA DE 500 KVA, TENSAO NOMINAL DE 15 KV, TENSAO SECUNDARIA DE 220/127V, EM OLEO ISOLANTE TIPO MINERAL</t>
  </si>
  <si>
    <t>TRANSFORMADOR TRIFASICO DE DISTRIBUICAO, POTENCIA DE 75 KVA, TENSAO NOMINAL DE 15 KV, TENSAO SECUNDARIA DE 220/127V, EM OLEO ISOLANTE TIPO MINERAL</t>
  </si>
  <si>
    <t>TRANSFORMADOR TRIFASICO DE DISTRIBUICAO, POTENCIA DE 750 KVA, TENSAO NOMINAL DE 15 KV, TENSAO SECUNDARIA DE 220/127V, EM OLEO ISOLANTE TIPO MINERAL</t>
  </si>
  <si>
    <t>TRANSPORTE - HORISTA (COLETADO CAIXA)</t>
  </si>
  <si>
    <t>TRANSPORTE - MENSALISTA (COLETADO CAIXA)</t>
  </si>
  <si>
    <t>TRATOR DE ESTEIRAS, POTENCIA BRUTA DE 133 HP, PESO OPERACIONAL DE 14 T, COM LAMINA COM CAPACIDADE DE 3,00 M3</t>
  </si>
  <si>
    <t>TRATOR DE ESTEIRAS, POTENCIA BRUTA DE 347 HP, PESO OPERACIONAL DE 38,5 T, COM ESCARIFICADOR E LAMINA COM CAPACIDADE DE 4,70M3</t>
  </si>
  <si>
    <t>TRATOR DE ESTEIRAS, POTENCIA DE 100 HP, PESO OPERACIONAL DE 9,4 T, COM LAMINA COM CAPACIDADE DE 2,19 M3</t>
  </si>
  <si>
    <t>TRATOR DE ESTEIRAS, POTENCIA DE 150 HP, PESO OPERACIONAL DE 16,7 T, COM RODA MOTRIZ ELEVADA E LAMINA COM CONTATO DE 3,18M3</t>
  </si>
  <si>
    <t>TRATOR DE ESTEIRAS, POTENCIA DE 170 HP, PESO OPERACIONAL DE 19 T, COM LAMINA COM CAPACIDADE DE 5,2 M3</t>
  </si>
  <si>
    <t>TRATOR DE ESTEIRAS, POTENCIA DE 347 HP, PESO OPERACIONAL DE 38,5 T, COM LAMINA COM CAPACIDADE DE 8,70M3</t>
  </si>
  <si>
    <t>TRATOR DE ESTEIRAS, POTENCIA NO VOLANTE DE 200 HP, PESO OPERACIONAL DE 20,1 T, COM RODA MOTRIZ ELEVADA E LAMINA COM CAPACIDADE DE 3,89 M3</t>
  </si>
  <si>
    <t>TRATOR DE ESTEIRAS, POTENCIA 125 HP, PESO OPERACIONAL DE 12,9 T, COM LAMINA COM CAPACIDADE DE 2,7 M3</t>
  </si>
  <si>
    <t>TRATOR DE PNEUS COM POTENCIA DE 105 CV, TRACAO 4 X 4, PESO COM LASTRO DE 5775 KG</t>
  </si>
  <si>
    <t>TRATOR DE PNEUS COM POTENCIA DE 122 CV, TRACAO 4 X 4, PESO COM LASTRO DE 4510 KG</t>
  </si>
  <si>
    <t>TRATOR DE PNEUS COM POTENCIA DE 15 CV, PESO COM LASTRO DE 1160 KG</t>
  </si>
  <si>
    <t>TRATOR DE PNEUS COM POTENCIA DE 50 CV, TRACAO 4 X 2, PESO COM LASTRO DE 2714 KG</t>
  </si>
  <si>
    <t>TRATOR DE PNEUS COM POTENCIA DE 85 CV, TRACAO 4 X 4, PESO COM LASTRO DE 4675 KG</t>
  </si>
  <si>
    <t>TRATOR DE PNEUS COM POTENCIA DE 85 CV, TURBO,  PESO COM LASTRO DE 4900 KG</t>
  </si>
  <si>
    <t>TRATOR DE PNEUS COM POTENCIA DE 95 CV, TRACAO 4 X 4, PESO MAXIMO DE 5225 KG</t>
  </si>
  <si>
    <t>TRAVA-QUEDAS EM ACO PARA CORDA DE 12 MM, EXTENSOR DE 25 X 300 MM, COM MOSQUETAO TIPO GANCHO TRAVA DUPLA</t>
  </si>
  <si>
    <t>TRELICA NERVURADA (ESPACADOR), ALTURA = 120,0 MM, DIAMETRO DOS BANZOS INFERIORES E SUPERIOR = 6,0 MM, DIAMETRO DA DIAGONAL = 4,2 MM</t>
  </si>
  <si>
    <t>TRILHO EM ALUMINIO "U", COM ABAULADO PARA ROLDANA DE PORTA DE CORRER, *40 X 40* MM</t>
  </si>
  <si>
    <t>TRILHO QUADRADO, EM ALUMINIO (VERGALHAO MACICO), 1/4", (*6 X 6* CM), PARA RODIZIOS</t>
  </si>
  <si>
    <t>TRINCO / FECHO TIPO AVIAO, EM ZAMAC CROMADO, *60* MM, PARA JANELAS - INCLUI PARAFUSOS</t>
  </si>
  <si>
    <t>TROLEY MANUAL CAPACIDADE 1 T</t>
  </si>
  <si>
    <t>TUBO / MANGUEIRA PRETA EM POLIETILENO, LINHA PESADA OU REFORCADA, TIPO ESPAGUETE, PARA INJECAO DE CALDA DE CIMENTO, D = 1/2", ESPESSURA 1,5 MM</t>
  </si>
  <si>
    <t>TUBO ACO CARBONO COM COSTURA, NBR 5580, CLASSE L, DN = 15 MM, E = 2,25 MM, 1,06 KG/M</t>
  </si>
  <si>
    <t>TUBO ACO CARBONO COM COSTURA, NBR 5580, CLASSE L, DN = 25 MM, E = 2,65 MM, 2,02 KG/M</t>
  </si>
  <si>
    <t>TUBO ACO CARBONO COM COSTURA, NBR 5580, CLASSE L, DN = 40 MM, E = 3,0 MM, 3,34 KG/M</t>
  </si>
  <si>
    <t>TUBO ACO CARBONO COM COSTURA, NBR 5580, CLASSE L, DN = 80 MM, E = 3,35 MM, 7,07 KG/M</t>
  </si>
  <si>
    <t>TUBO ACO CARBONO COM COSTURA, NBR 5580, CLASSE M, DN = 25 MM, E = 3,35 MM, *2,50* KG//M</t>
  </si>
  <si>
    <t>TUBO ACO CARBONO COM COSTURA, NBR 5580, CLASSE M, DN = 40 MM, E = 3,35 MM, *3,71* KG//M</t>
  </si>
  <si>
    <t>TUBO ACO CARBONO COM COSTURA, NBR 5580, CLASSE M, DN = 80 MM, E = 4,05 MM, *8,47* KG/M</t>
  </si>
  <si>
    <t>TUBO ACO CARBONO SEM COSTURA 1 1/2", E= *3,68 MM, SCHEDULE 40, 4,05 KG/M</t>
  </si>
  <si>
    <t>TUBO ACO CARBONO SEM COSTURA 1/2", E= *2,77 MM, SCHEDULE 40, *1,27 KG/M</t>
  </si>
  <si>
    <t>TUBO ACO CARBONO SEM COSTURA 1/2", E= *3,73 MM, SCHEDULE 80, *1,62 KG/M</t>
  </si>
  <si>
    <t>TUBO ACO CARBONO SEM COSTURA 14", E= *11,13 MM, SCHEDULE 40, *94,55 KG/M</t>
  </si>
  <si>
    <t>TUBO ACO CARBONO SEM COSTURA 2 1/2", E = 5,16 MM, SCHEDULE 40 (8,62 KG/M)</t>
  </si>
  <si>
    <t>TUBO ACO CARBONO SEM COSTURA 2", E= *3,91* MM, SCHEDULE 40, *5,43* KG/M</t>
  </si>
  <si>
    <t>TUBO ACO CARBONO SEM COSTURA 20", E= *12,70 MM, SCHEDULE 30, *154,97 KG/M</t>
  </si>
  <si>
    <t>TUBO ACO CARBONO SEM COSTURA 20", E= *6,35 MM,  SCHEDULE 10, *78,46 KG/M</t>
  </si>
  <si>
    <t>TUBO ACO CARBONO SEM COSTURA 3/4", E= *2,87 MM, SCHEDULE 40, *1,69 KG/M</t>
  </si>
  <si>
    <t>TUBO ACO CARBONO SEM COSTURA 3/4", E= *3,91 MM, SCHEDULE 80, *2,19 KG/M.</t>
  </si>
  <si>
    <t>TUBO ACO CARBONO SEM COSTURA 4", E= *6,02 MM, SCHEDULE 40, *16,06 KG/M</t>
  </si>
  <si>
    <t>TUBO ACO CARBONO SEM COSTURA 4", E= *8,56 MM, SCHEDULE 80, *22,31 KG/M</t>
  </si>
  <si>
    <t>TUBO ACO CARBONO SEM COSTURA 6", E= *10,97 MM, SCHEDULE 80, *42,56 KG/M</t>
  </si>
  <si>
    <t>TUBO ACO CARBONO SEM COSTURA 6", E= 7,11 MM,  SCHEDULE 40, *28,26 KG/M</t>
  </si>
  <si>
    <t>TUBO ACO CARBONO SEM COSTURA 8", E= *12,70 MM, SCHEDULE 80, *64,64 KG/M</t>
  </si>
  <si>
    <t>TUBO ACO CARBONO SEM COSTURA 8", E= *6,35 MM,  SCHEDULE 20, *33,27 KG/M</t>
  </si>
  <si>
    <t>TUBO ACO CARBONO SEM COSTURA 8", E= *7,04 MM, SCHEDULE 30, *36,75 KG/M</t>
  </si>
  <si>
    <t>TUBO ACO CARBONO SEM COSTURA 8", E= *8,18 MM, SCHEDULE 40, *42,55 KG/M</t>
  </si>
  <si>
    <t>TUBO ACO GALVANIZADO COM COSTURA, CLASSE LEVE, DN 100 MM ( 4"),  E = 3,75 MM,  *10,55* KG/M (NBR 5580)</t>
  </si>
  <si>
    <t>TUBO ACO GALVANIZADO COM COSTURA, CLASSE LEVE, DN 15 MM ( 1/2"),  E = 2,25 MM,  *1,2* KG/M (NBR 5580)</t>
  </si>
  <si>
    <t>TUBO ACO GALVANIZADO COM COSTURA, CLASSE LEVE, DN 20 MM ( 3/4"),  E = 2,25 MM,  *1,3* KG/M (NBR 5580)</t>
  </si>
  <si>
    <t>TUBO ACO GALVANIZADO COM COSTURA, CLASSE LEVE, DN 25 MM ( 1"),  E = 2,65 MM,  *2,11* KG/M (NBR 5580)</t>
  </si>
  <si>
    <t>TUBO ACO GALVANIZADO COM COSTURA, CLASSE LEVE, DN 32 MM ( 1 1/4"),  E = 2,65 MM,  *2,71* KG/M (NBR 5580)</t>
  </si>
  <si>
    <t>TUBO ACO GALVANIZADO COM COSTURA, CLASSE LEVE, DN 40 MM ( 1 1/2"),  E = 3,00 MM,  *3,48* KG/M (NBR 5580)</t>
  </si>
  <si>
    <t>TUBO ACO GALVANIZADO COM COSTURA, CLASSE LEVE, DN 50 MM ( 2"),  E = 3,00 MM,  *4,40* KG/M (NBR 5580)</t>
  </si>
  <si>
    <t>TUBO ACO GALVANIZADO COM COSTURA, CLASSE LEVE, DN 65 MM ( 2 1/2"),  E = 3,35 MM, * 6,23* KG/M (NBR 5580)</t>
  </si>
  <si>
    <t>TUBO ACO GALVANIZADO COM COSTURA, CLASSE LEVE, DN 80 MM ( 3"),  E = 3,35 MM, *7,32* KG/M (NBR 5580)</t>
  </si>
  <si>
    <t>TUBO ACO GALVANIZADO COM COSTURA, CLASSE MEDIA, DN 1.1/2", E = *3,25* MM, PESO *3,61* KG/M (NBR 5580)</t>
  </si>
  <si>
    <t>TUBO ACO GALVANIZADO COM COSTURA, CLASSE MEDIA, DN 1.1/4", E = *3,25* MM, PESO *3,14* KG/M (NBR 5580)</t>
  </si>
  <si>
    <t>TUBO ACO GALVANIZADO COM COSTURA, CLASSE MEDIA, DN 1/2", E = *2,65* MM, PESO *1,22* KG/M (NBR 5580)</t>
  </si>
  <si>
    <t>TUBO ACO GALVANIZADO COM COSTURA, CLASSE MEDIA, DN 1", E = 3,38 MM, PESO 2,50 KG/M (NBR 5580)</t>
  </si>
  <si>
    <t>TUBO ACO GALVANIZADO COM COSTURA, CLASSE MEDIA, DN 2.1/2", E = *3,65* MM, PESO *6,51* KG/M (NBR 5580)</t>
  </si>
  <si>
    <t>TUBO ACO GALVANIZADO COM COSTURA, CLASSE MEDIA, DN 2", E = *3,65* MM, PESO *5,10* KG/M (NBR 5580)</t>
  </si>
  <si>
    <t>TUBO ACO GALVANIZADO COM COSTURA, CLASSE MEDIA, DN 3/4", E = *2,65* MM, PESO *1,58* KG/M (NBR 5580)</t>
  </si>
  <si>
    <t>TUBO ACO GALVANIZADO COM COSTURA, CLASSE MEDIA, DN 3", E = *4,05* MM, PESO *8,47* KG/M (NBR 5580)</t>
  </si>
  <si>
    <t>TUBO ACO GALVANIZADO COM COSTURA, CLASSE MEDIA, DN 4", E = 4,50* MM, PESO 12,10* KG/M (NBR 5580)</t>
  </si>
  <si>
    <t>TUBO ACO GALVANIZADO COM COSTURA, CLASSE MEDIA, DN 5", E = *5,40* MM, PESO *17,80* KG/M (NBR 5580)</t>
  </si>
  <si>
    <t>TUBO ACO GALVANIZADO COM COSTURA, CLASSE MEDIA, DN 6", E = 4,85* MM, PESO 19,68* KG/M (NBR 5580)</t>
  </si>
  <si>
    <t>TUBO ACO INDUSTRIAL DN 2" (50,8 MM) E=1,50MM, PESO= 1,8237 KG/M</t>
  </si>
  <si>
    <t>TUBO COLETOR DE ESGOTO PVC, JEI, DN 100 MM (NBR  7362)</t>
  </si>
  <si>
    <t>TUBO COLETOR DE ESGOTO PVC, JEI, DN 200 MM (NBR 7362)</t>
  </si>
  <si>
    <t>TUBO COLETOR DE ESGOTO PVC, JEI, DN 250 MM (NBR 7362)</t>
  </si>
  <si>
    <t>TUBO COLETOR DE ESGOTO PVC, JEI, DN 300 MM (NBR 7362)</t>
  </si>
  <si>
    <t>TUBO COLETOR DE ESGOTO PVC, JEI, DN 350 MM (NBR 7362)</t>
  </si>
  <si>
    <t>TUBO COLETOR DE ESGOTO PVC, JEI, DN 400 MM (NBR 7362)</t>
  </si>
  <si>
    <t>TUBO COLETOR DE ESGOTO, PVC, JEI, DN 150 MM  (NBR 7362)</t>
  </si>
  <si>
    <t>TUBO CONCRETO ARMADO, CLASSE EA-2, PB JE, DN 1000 MM, PARA ESGOTO SANITARIO (NBR 8890)</t>
  </si>
  <si>
    <t>TUBO CONCRETO ARMADO, CLASSE EA-2, PB JE, DN 300 MM, PARA ESGOTO SANITARIO (NBR 8890)</t>
  </si>
  <si>
    <t>TUBO CONCRETO ARMADO, CLASSE EA-2, PB JE, DN 400 MM, PARA ESGOTO SANITARIO (NBR 8890)</t>
  </si>
  <si>
    <t>TUBO CONCRETO ARMADO, CLASSE EA-2, PB JE, DN 500 MM, PARA ESGOTO SANITARIO (NBR 8890)</t>
  </si>
  <si>
    <t>TUBO CONCRETO ARMADO, CLASSE EA-2, PB JE, DN 600 MM, PARA ESGOTO SANITARIO (NBR 8890)</t>
  </si>
  <si>
    <t>TUBO CONCRETO ARMADO, CLASSE EA-2, PB JE, DN 700 MM, PARA ESGOTO SANITARIO (NBR 8890)</t>
  </si>
  <si>
    <t>TUBO CONCRETO ARMADO, CLASSE EA-2, PB JE, DN 800 MM, PARA ESGOTO SANITARIO (NBR 8890)</t>
  </si>
  <si>
    <t>TUBO CONCRETO ARMADO, CLASSE EA-2, PB JE, DN 900 MM, PARA ESGOTO SANITARIO (NBR 8890)</t>
  </si>
  <si>
    <t>TUBO CONCRETO ARMADO, CLASSE EA-3, PB JE, DN 1000 MM, PARA ESGOTO SANITARIO (NBR 8890)</t>
  </si>
  <si>
    <t>TUBO CONCRETO ARMADO, CLASSE EA-3, PB JE, DN 400 MM, PARA ESGOTO SANITARIO (NBR 8890)</t>
  </si>
  <si>
    <t>TUBO CONCRETO ARMADO, CLASSE EA-3, PB JE, DN 500 MM, PARA ESGOTO SANITARIO (NBR 8890)</t>
  </si>
  <si>
    <t>TUBO CONCRETO ARMADO, CLASSE EA-3, PB JE, DN 600 MM, PARA ESGOTO SANITARIO (NBR 8890)</t>
  </si>
  <si>
    <t>TUBO CONCRETO ARMADO, CLASSE EA-3, PB JE, DN 700 MM, PARA ESGOTO SANITARIO (NBR 8890)</t>
  </si>
  <si>
    <t>TUBO CONCRETO ARMADO, CLASSE EA-3, PB JE, DN 800 MM, PARA ESGOTO SANITARIO (NBR 8890)</t>
  </si>
  <si>
    <t>TUBO CONCRETO ARMADO, CLASSE EA-3, PB JE, DN 900 MM, PARA ESGOTO SANITARIO (NBR 8890)</t>
  </si>
  <si>
    <t>TUBO CONCRETO ARMADO, CLASSE PA-1, PB, DN 1000 MM, PARA AGUAS PLUVIAIS (NBR 8890)</t>
  </si>
  <si>
    <t>TUBO CONCRETO ARMADO, CLASSE PA-1, PB, DN 1100 MM, PARA AGUAS PLUVIAIS (NBR 8890)</t>
  </si>
  <si>
    <t>TUBO CONCRETO ARMADO, CLASSE PA-1, PB, DN 1200 MM, PARA AGUAS PLUVIAIS (NBR 8890)</t>
  </si>
  <si>
    <t>TUBO CONCRETO ARMADO, CLASSE PA-1, PB, DN 1500 MM, PARA AGUAS PLUVIAIS (NBR 8890)</t>
  </si>
  <si>
    <t>TUBO CONCRETO ARMADO, CLASSE PA-1, PB, DN 2000 MM, PARA AGUAS PLUVIAIS (NBR 8890)</t>
  </si>
  <si>
    <t>TUBO CONCRETO ARMADO, CLASSE PA-1, PB, DN 300 MM, PARA AGUAS PLUVIAIS (NBR 8890)</t>
  </si>
  <si>
    <t>TUBO CONCRETO ARMADO, CLASSE PA-1, PB, DN 400 MM, PARA AGUAS PLUVIAIS (NBR 8890)</t>
  </si>
  <si>
    <t>TUBO CONCRETO ARMADO, CLASSE PA-1, PB, DN 500 MM, PARA AGUAS PLUVIAIS (NBR 8890)</t>
  </si>
  <si>
    <t>TUBO CONCRETO ARMADO, CLASSE PA-1, PB, DN 600 MM, PARA AGUAS PLUVIAIS (NBR 8890)</t>
  </si>
  <si>
    <t>TUBO CONCRETO ARMADO, CLASSE PA-1, PB, DN 700 MM, PARA AGUAS PLUVIAIS (NBR 8890)</t>
  </si>
  <si>
    <t>TUBO CONCRETO ARMADO, CLASSE PA-1, PB, DN 800 MM, PARA AGUAS PLUVIAIS (NBR 8890)</t>
  </si>
  <si>
    <t>TUBO CONCRETO ARMADO, CLASSE PA-1, PB, DN 900 MM, PARA AGUAS PLUVIAIS (NBR 8890)</t>
  </si>
  <si>
    <t>TUBO CONCRETO ARMADO, CLASSE PA-2, PB, DN 1000 MM, PARA AGUAS PLUVIAIS (NBR 8890)</t>
  </si>
  <si>
    <t>TUBO CONCRETO ARMADO, CLASSE PA-2, PB, DN 1100 MM, PARA AGUAS PLUVIAIS (NBR 8890)</t>
  </si>
  <si>
    <t>TUBO CONCRETO ARMADO, CLASSE PA-2, PB, DN 1200 MM, PARA AGUAS PLUVIAIS (NBR 8890)</t>
  </si>
  <si>
    <t>TUBO CONCRETO ARMADO, CLASSE PA-2, PB, DN 1500 MM, PARA AGUAS PLUVIAIS (NBR 8890)</t>
  </si>
  <si>
    <t>TUBO CONCRETO ARMADO, CLASSE PA-2, PB, DN 2000 MM, PARA AGUAS PLUVIAIS (NBR 8890)</t>
  </si>
  <si>
    <t>TUBO CONCRETO ARMADO, CLASSE PA-2, PB, DN 300 MM, PARA AGUAS PLUVIAIS (NBR 8890)</t>
  </si>
  <si>
    <t>TUBO CONCRETO ARMADO, CLASSE PA-2, PB, DN 400 MM, PARA AGUAS PLUVIAIS (NBR 8890)</t>
  </si>
  <si>
    <t>TUBO CONCRETO ARMADO, CLASSE PA-2, PB, DN 500 MM, PARA AGUAS PLUVIAIS (NBR 8890)</t>
  </si>
  <si>
    <t>TUBO CONCRETO ARMADO, CLASSE PA-2, PB, DN 600 MM, PARA AGUAS PLUVIAIS (NBR 8890)</t>
  </si>
  <si>
    <t>TUBO CONCRETO ARMADO, CLASSE PA-2, PB, DN 700 MM, PARA AGUAS PLUVIAIS (NBR 8890)</t>
  </si>
  <si>
    <t>TUBO CONCRETO ARMADO, CLASSE PA-2, PB, DN 800 MM, PARA AGUAS PLUVIAIS (NBR 8890)</t>
  </si>
  <si>
    <t>TUBO CONCRETO ARMADO, CLASSE PA-2, PB, DN 900 MM, PARA AGUAS PLUVIAIS (NBR 8890)</t>
  </si>
  <si>
    <t>TUBO CONCRETO ARMADO, CLASSE PA-3, PB, DN 1000 MM, PARA AGUAS PLUVIAIS (NBR 8890)</t>
  </si>
  <si>
    <t>TUBO CONCRETO ARMADO, CLASSE PA-3, PB, DN 1100 MM, PARA AGUAS PLUVIAIS (NBR 8890)</t>
  </si>
  <si>
    <t>TUBO CONCRETO ARMADO, CLASSE PA-3, PB, DN 1200 MM, PARA AGUAS PLUVIAIS (NBR 8890)</t>
  </si>
  <si>
    <t>TUBO CONCRETO ARMADO, CLASSE PA-3, PB, DN 1500 MM, PARA AGUAS PLUVIAIS (NBR 8890)</t>
  </si>
  <si>
    <t>TUBO CONCRETO ARMADO, CLASSE PA-3, PB, DN 400 MM, PARA AGUAS PLUVIAIS (NBR 8890)</t>
  </si>
  <si>
    <t>TUBO CONCRETO ARMADO, CLASSE PA-3, PB, DN 500 MM, PARA AGUAS PLUVIAIS (NBR 8890)</t>
  </si>
  <si>
    <t>TUBO CONCRETO ARMADO, CLASSE PA-3, PB, DN 600 MM, PARA AGUAS PLUVIAIS (NBR 8890)</t>
  </si>
  <si>
    <t>TUBO CONCRETO ARMADO, CLASSE PA-3, PB, DN 700 MM, PARA AGUAS PLUVIAIS (NBR 8890)</t>
  </si>
  <si>
    <t>TUBO CONCRETO ARMADO, CLASSE PA-3, PB, DN 800 MM, PARA AGUAS PLUVIAIS (NBR 8890)</t>
  </si>
  <si>
    <t>TUBO CONCRETO ARMADO, CLASSE PA-3, PB, DN 900 MM, PARA AGUAS PLUVIAIS (NBR 8890)</t>
  </si>
  <si>
    <t>TUBO CORRUGADO PEAD, PAREDE DUPLA, INTERNA LISA, JEI, DN/DI *1000* MM, PARA SANEAMENTO</t>
  </si>
  <si>
    <t>TUBO CORRUGADO PEAD, PAREDE DUPLA, INTERNA LISA, JEI, DN/DI *400* MM, PARA SANEAMENTO</t>
  </si>
  <si>
    <t>TUBO CORRUGADO PEAD, PAREDE DUPLA, INTERNA LISA, JEI, DN/DI *800* MM, PARA SANEAMENTO</t>
  </si>
  <si>
    <t>TUBO CORRUGADO PEAD, PAREDE DUPLA, INTERNA LISA, JEI, DN/DI 1200 MM, PARA SANEAMENTO</t>
  </si>
  <si>
    <t>TUBO CORRUGADO PEAD, PAREDE DUPLA, INTERNA LISA, JEI, DN/DI 250 MM, PARA SANEAMENTO</t>
  </si>
  <si>
    <t>TUBO CORRUGADO PEAD, PAREDE DUPLA, INTERNA LISA, JEI, DN/DI 300 MM, PARA SANEAMENTO</t>
  </si>
  <si>
    <t>TUBO CORRUGADO PEAD, PAREDE DUPLA, INTERNA LISA, JEI, DN/DI 600 MM, PARA SANEAMENTO</t>
  </si>
  <si>
    <t>TUBO CPVC SOLDAVEL, 35 MM, AGUA QUENTE PREDIAL (NBR 15884)</t>
  </si>
  <si>
    <t>TUBO CPVC, SOLDAVEL, 15 MM, AGUA QUENTE PREDIAL (NBR 15884)</t>
  </si>
  <si>
    <t>TUBO CPVC, SOLDAVEL, 22 MM, AGUA QUENTE PREDIAL (NBR 15884)</t>
  </si>
  <si>
    <t>TUBO CPVC, SOLDAVEL, 28 MM, AGUA QUENTE PREDIAL (NBR 15884)</t>
  </si>
  <si>
    <t>TUBO CPVC, SOLDAVEL, 42 MM, AGUA QUENTE PREDIAL (NBR 15884)</t>
  </si>
  <si>
    <t>TUBO CPVC, SOLDAVEL, 54 MM, AGUA QUENTE PREDIAL (NBR 15884)</t>
  </si>
  <si>
    <t>TUBO CPVC, SOLDAVEL, 73 MM, AGUA QUENTE PREDIAL (NBR 15884)</t>
  </si>
  <si>
    <t>TUBO CPVC, SOLDAVEL, 89 MM, AGUA QUENTE PREDIAL (NBR 15884)</t>
  </si>
  <si>
    <t>TUBO DE BORRACHA ELASTOMERICA FLEXIVEL, PRETA, PARA ISOLAMENTO TERMICO DE TUBULACAO, DN 1 1/8" (28 MM), E= 32 MM, COEFICIENTE DE CONDUTIVIDADE TERMICA 0,036W/mK, VAPOR DE AGUA MAIOR OU IGUAL A 10.000</t>
  </si>
  <si>
    <t>TUBO DE BORRACHA ELASTOMERICA FLEXIVEL, PRETA, PARA ISOLAMENTO TERMICO DE TUBULACAO, DN 1 3/8" (35 MM), E= 32 MM, COEFICIENTE DE CONDUTIVIDADE TERMICA 0,036W/mK, VAPOR DE AGUA MAIOR OU IGUAL A 10.000</t>
  </si>
  <si>
    <t>TUBO DE BORRACHA ELASTOMERICA FLEXIVEL, PRETA, PARA ISOLAMENTO TERMICO DE TUBULACAO, DN 1 5/8" (42 MM), E= 32 MM, COEFICIENTE DE CONDUTIVIDADE TERMICA 0,036W/mK, VAPOR DE AGUA MAIOR OU IGUAL A 10.000</t>
  </si>
  <si>
    <t>TUBO DE BORRACHA ELASTOMERICA FLEXIVEL, PRETA, PARA ISOLAMENTO TERMICO DE TUBULACAO, DN 1/2" (12 MM), E= 19 MM, COEFICIENTE DE CONDUTIVIDADE TERMICA 0,036W/mK, VAPOR DE AGUA MAIOR OU IGUAL A 10.000</t>
  </si>
  <si>
    <t>TUBO DE BORRACHA ELASTOMERICA FLEXIVEL, PRETA, PARA ISOLAMENTO TERMICO DE TUBULACAO, DN 1/4" (6 MM), E= 9 MM, COEFICIENTE DE CONDUTIVIDADE TERMICA 0,036W/mK, VAPOR DE AGUA MAIOR OU IGUAL A 10.000</t>
  </si>
  <si>
    <t>TUBO DE BORRACHA ELASTOMERICA FLEXIVEL, PRETA, PARA ISOLAMENTO TERMICO DE TUBULACAO, DN 1" (25 MM), E= 32 MM, COEFICIENTE DE CONDUTIVIDADE TERMICA 0,036W/mK, VAPOR DE AGUA MAIOR OU IGUAL A 10.000</t>
  </si>
  <si>
    <t>TUBO DE BORRACHA ELASTOMERICA FLEXIVEL, PRETA, PARA ISOLAMENTO TERMICO DE TUBULACAO, DN 2 1/8" (54 MM), E= 32 MM, COEFICIENTE DE CONDUTIVIDADE TERMICA 0,036W/mK, VAPOR DE AGUA MAIOR OU IGUAL A 10.000</t>
  </si>
  <si>
    <t>TUBO DE BORRACHA ELASTOMERICA FLEXIVEL, PRETA, PARA ISOLAMENTO TERMICO DE TUBULACAO, DN 2 5/8" (*64* MM), E= *32* MM, COEFICIENTE DE CONDUTIVIDADE TERMICA 0,036W/MK, VAPOR DE AGUA MAIOR OU IGUAL A 10.000</t>
  </si>
  <si>
    <t>TUBO DE BORRACHA ELASTOMERICA FLEXIVEL, PRETA, PARA ISOLAMENTO TERMICO DE TUBULACAO, DN 3/4" (18 MM), E= 32 MM, COEFICIENTE DE CONDUTIVIDADE TERMICA 0,036W/mK, VAPOR DE AGUA MAIOR OU IGUAL A 10.000</t>
  </si>
  <si>
    <t>TUBO DE BORRACHA ELASTOMERICA FLEXIVEL, PRETA, PARA ISOLAMENTO TERMICO DE TUBULACAO, DN 3/8" (10 MM), E= 19 MM, COEFICIENTE DE CONDUTIVIDADE TERMICA 0,036W/mK, VAPOR DE AGUA MAIOR OU IGUAL A 10.000</t>
  </si>
  <si>
    <t>TUBO DE BORRACHA ELASTOMERICA FLEXIVEL, PRETA, PARA ISOLAMENTO TERMICO DE TUBULACAO, DN 5/8" (15 MM), E= 19 MM, COEFICIENTE DE CONDUTIVIDADE TERMICA 0,036W/MK, VAPOR DE AGUA MAIOR OU IGUAL A 10.000</t>
  </si>
  <si>
    <t>TUBO DE BORRACHA ELASTOMERICA FLEXIVEL, PRETA, PARA ISOLAMENTO TERMICO DE TUBULACAO, DN 7/8" (22 MM), E= 32 MM, COEFICIENTE DE CONDUTIVIDADE TERMICA 0,036W/mK, VAPOR DE AGUA MAIOR OU IGUAL A 10.000</t>
  </si>
  <si>
    <t>TUBO DE COBRE CLASSE "A", DN = 1 " (28 MM), PARA INSTALACOES DE MEDIA PRESSAO PARA GASES COMBUSTIVEIS E MEDICINAIS</t>
  </si>
  <si>
    <t>TUBO DE COBRE CLASSE "A", DN = 1 1/2 " (42 MM), PARA INSTALACOES DE MEDIA PRESSAO PARA GASES COMBUSTIVEIS E MEDICINAIS</t>
  </si>
  <si>
    <t>TUBO DE COBRE CLASSE "A", DN = 1 1/4 " (35 MM), PARA INSTALACOES DE MEDIA PRESSAO PARA GASES COMBUSTIVEIS E MEDICINAIS</t>
  </si>
  <si>
    <t>TUBO DE COBRE CLASSE "A", DN = 1/2 " (15 MM), PARA INSTALACOES DE MEDIA PRESSAO PARA GASES COMBUSTIVEIS E MEDICINAIS</t>
  </si>
  <si>
    <t>TUBO DE COBRE CLASSE "A", DN = 2 1/2 " (66 MM), PARA INSTALACOES DE MEDIA PRESSAO PARA GASES COMBUSTIVEIS E MEDICINAIS</t>
  </si>
  <si>
    <t>TUBO DE COBRE CLASSE "A", DN = 3 " (79 MM), PARA INSTALACOES DE MEDIA PRESSAO PARA GASES COMBUSTIVEIS E MEDICINAIS</t>
  </si>
  <si>
    <t>TUBO DE COBRE CLASSE "A", DN = 3/4 " (22 MM), PARA INSTALACOES DE MEDIA PRESSAO PARA GASES COMBUSTIVEIS E MEDICINAIS</t>
  </si>
  <si>
    <t>TUBO DE COBRE CLASSE "A", DN = 4 " (104 MM), PARA INSTALACOES DE MEDIA PRESSAO PARA GASES COMBUSTIVEIS E MEDICINAIS</t>
  </si>
  <si>
    <t>TUBO DE COBRE CLASSE "E", DN = 104 MM, PARA INSTALACAO HIDRAULICA PREDIAL</t>
  </si>
  <si>
    <t>TUBO DE COBRE CLASSE "E", DN = 15 MM, PARA INSTALACAO HIDRAULICA PREDIAL</t>
  </si>
  <si>
    <t>TUBO DE COBRE CLASSE "E", DN = 22 MM, PARA INSTALACAO HIDRAULICA PREDIAL</t>
  </si>
  <si>
    <t>TUBO DE COBRE CLASSE "E", DN = 28 MM, PARA INSTALACAO HIDRAULICA PREDIAL</t>
  </si>
  <si>
    <t>TUBO DE COBRE CLASSE "E", DN = 35 MM, PARA INSTALACAO HIDRAULICA PREDIAL</t>
  </si>
  <si>
    <t>TUBO DE COBRE CLASSE "E", DN = 42 MM, PARA INSTALACAO HIDRAULICA PREDIAL</t>
  </si>
  <si>
    <t>TUBO DE COBRE CLASSE "E", DN = 54 MM, PARA INSTALACAO HIDRAULICA PREDIAL</t>
  </si>
  <si>
    <t>TUBO DE COBRE CLASSE "E", DN = 66 MM, PARA INSTALACAO HIDRAULICA PREDIAL</t>
  </si>
  <si>
    <t>TUBO DE COBRE CLASSE "E", DN = 79 MM, PARA INSTALACAO HIDRAULICA PREDIAL</t>
  </si>
  <si>
    <t>TUBO DE COBRE CLASSE "I", DN = 1 " (28 MM), PARA INSTALACOES INDUSTRIAIS DE ALTA PRESSAO E VAPOR</t>
  </si>
  <si>
    <t>TUBO DE COBRE CLASSE "I", DN = 1 1/2 " (42 MM), PARA INSTALACOES INDUSTRIAIS DE ALTA PRESSAO E VAPOR</t>
  </si>
  <si>
    <t>TUBO DE COBRE CLASSE "I", DN = 1 1/4 " (35 MM), PARA INSTALACOES INDUSTRIAIS DE ALTA PRESSAO E VAPOR</t>
  </si>
  <si>
    <t>TUBO DE COBRE CLASSE "I", DN = 1/2 " (15 MM), PARA INSTALACOES INDUSTRIAIS DE ALTA PRESSAO E VAPOR</t>
  </si>
  <si>
    <t>TUBO DE COBRE CLASSE "I", DN = 2 " (54 MM), PARA INSTALACOES INDUSTRIAIS DE ALTA PRESSAO E VAPOR</t>
  </si>
  <si>
    <t>TUBO DE COBRE CLASSE "I", DN = 2 1/2 " (66 MM), PARA INSTALACOES INDUSTRIAIS DE ALTA PRESSAO E VAPOR</t>
  </si>
  <si>
    <t>TUBO DE COBRE CLASSE "I", DN = 3 " (79 MM), PARA INSTALACOES INDUSTRIAIS DE ALTA PRESSAO E VAPOR</t>
  </si>
  <si>
    <t>TUBO DE COBRE CLASSE "I", DN = 3/4 " (22 MM), PARA INSTALACOES INDUSTRIAIS DE ALTA PRESSAO E VAPOR</t>
  </si>
  <si>
    <t>TUBO DE COBRE CLASSE "I", DN = 4" (104 MM), PARA INSTALACOES INDUSTRIAIS DE ALTA PRESSAO E VAPOR</t>
  </si>
  <si>
    <t>TUBO DE COBRE FLEXIVEL, D = 1/2 ", E = 0,79 MM, PARA AR-CONDICIONADO/ INSTALACOES GAS RESIDENCIAIS E COMERCIAIS</t>
  </si>
  <si>
    <t>TUBO DE COBRE FLEXIVEL, D = 1/4 ", E = 0,79 MM, PARA AR-CONDICIONADO/ INSTALACOES GAS RESIDENCIAIS E COMERCIAIS</t>
  </si>
  <si>
    <t>TUBO DE COBRE FLEXIVEL, D = 3/16 ", E = 0,79 MM, PARA AR-CONDICIONADO/ INSTALACOES GAS RESIDENCIAIS E COMERCIAIS</t>
  </si>
  <si>
    <t>TUBO DE COBRE FLEXIVEL, D = 3/4 ", E = 0,79 MM, PARA AR-CONDICIONADO/ INSTALACOES GAS RESIDENCIAIS E COMERCIAIS</t>
  </si>
  <si>
    <t>TUBO DE COBRE FLEXIVEL, D = 3/8 ", E = 0,79 MM, PARA AR-CONDICIONADO/ INSTALACOES GAS RESIDENCIAIS E COMERCIAIS</t>
  </si>
  <si>
    <t>TUBO DE COBRE FLEXIVEL, D = 5/16 ", E = 0,79 MM, PARA AR-CONDICIONADO/ INSTALACOES GAS RESIDENCIAIS E COMERCIAIS</t>
  </si>
  <si>
    <t>TUBO DE COBRE FLEXIVEL, D = 5/8 ", E = 0,79 MM, PARA AR-CONDICIONADO/ INSTALACOES GAS RESIDENCIAIS E COMERCIAIS</t>
  </si>
  <si>
    <t>TUBO DE COBRE, CLASSE "A", DN = 2" (54 MM), PARA INSTALACOES DE MEDIA PRESSAO PARA GASES COMBUSTIVEIS E MEDICINAIS</t>
  </si>
  <si>
    <t>TUBO DE CONCRETO SIMPLES POROSO, MACHO/FEMEA, DN 200 MM</t>
  </si>
  <si>
    <t>TUBO DE CONCRETO SIMPLES POROSO, MACHO/FEMEA, DN 300 MM</t>
  </si>
  <si>
    <t>TUBO DE CONCRETO SIMPLES, CLASSE ES, PB JE, DN 400 MM, PARA ESGOTO SANITARIO (NBR 8890)</t>
  </si>
  <si>
    <t>TUBO DE CONCRETO SIMPLES, CLASSE ES, PB JE, DN 500 MM, PARA ESGOTO SANITARIO (NBR 8890)</t>
  </si>
  <si>
    <t>TUBO DE CONCRETO SIMPLES, CLASSE ES, PB JE, DN 600 MM, PARA ESGOTO SANITARIO (NBR 8890)</t>
  </si>
  <si>
    <t>TUBO DE CONCRETO SIMPLES, CLASSE- PS1, MACHO/FEMEA, DN 200 MM, PARA AGUAS PLUVIAIS (NBR 8890)</t>
  </si>
  <si>
    <t>TUBO DE CONCRETO SIMPLES, CLASSE- PS1, MACHO/FEMEA, DN 300 MM, PARA AGUAS PLUVIAIS (NBR 8890)</t>
  </si>
  <si>
    <t>TUBO DE CONCRETO SIMPLES, CLASSE- PS1, MACHO/FEMEA, DN 400 MM, PARA AGUAS PLUVIAIS (NBR 8890)</t>
  </si>
  <si>
    <t>TUBO DE CONCRETO SIMPLES, CLASSE- PS1, MACHO/FEMEA, DN 500 MM, PARA AGUAS PLUVIAIS (NBR 8890)</t>
  </si>
  <si>
    <t>TUBO DE CONCRETO SIMPLES, CLASSE- PS1, MACHO/FEMEA, DN 600 MM, PARA AGUAS PLUVIAIS (NBR 8890)</t>
  </si>
  <si>
    <t>TUBO DE CONCRETO SIMPLES, CLASSE- PS1, PB, DN 200 MM, PARA AGUAS PLUVIAIS (NBR 8890)</t>
  </si>
  <si>
    <t>TUBO DE CONCRETO SIMPLES, CLASSE- PS1, PB, DN 300 MM, PARA AGUAS PLUVIAIS (NBR 8890)</t>
  </si>
  <si>
    <t>TUBO DE CONCRETO SIMPLES, CLASSE- PS1, PB, DN 400 MM, PARA AGUAS PLUVIAIS (NBR 8890)</t>
  </si>
  <si>
    <t>TUBO DE CONCRETO SIMPLES, CLASSE- PS1, PB, DN 500 MM, PARA AGUAS PLUVIAIS (NBR 8890)</t>
  </si>
  <si>
    <t>TUBO DE CONCRETO SIMPLES, CLASSE- PS1, PB, DN 600 MM, PARA AGUAS PLUVIAIS (NBR 8890)</t>
  </si>
  <si>
    <t>TUBO DE CONCRETO SIMPLES, CLASSE- PS2, PB, DN 200 MM, PARA AGUAS PLUVIAIS (NBR 8890)</t>
  </si>
  <si>
    <t>TUBO DE CONCRETO SIMPLES, CLASSE- PS2, PB, DN 300 MM, PARA AGUAS PLUVIAIS (NBR 8890)</t>
  </si>
  <si>
    <t>TUBO DE CONCRETO SIMPLES, CLASSE- PS2, PB, DN 400 MM, PARA AGUAS PLUVIAIS (NBR 8890)</t>
  </si>
  <si>
    <t>TUBO DE CONCRETO SIMPLES, CLASSE- PS2, PB, DN 500 MM, PARA AGUAS PLUVIAIS (NBR 8890)</t>
  </si>
  <si>
    <t>TUBO DE CONCRETO SIMPLES, CLASSE- PS2, PB, DN 600 MM, PARA AGUAS PLUVIAIS (NBR 8890)</t>
  </si>
  <si>
    <t>TUBO DE DESCARGA PVC, PARA LIGACAO CAIXA DE DESCARGA - EMBUTIR, 40 MM X 150 CM</t>
  </si>
  <si>
    <t>TUBO DE DESCIDA EXTERNO DE PVC PARA CAIXA DE DESCARGA EXTERNA ALTA - 40 MM X 1,60 M</t>
  </si>
  <si>
    <t>TUBO DE ESPUMA DE POLIETILENO EXPANDIDO FLEXIVEL PARA ISOLAMENTO TERMICO DE TUBULACAO DE AR CONDICIONADO, AGUA QUENTE,  DN 1 1/2", E= 10 MM</t>
  </si>
  <si>
    <t>TUBO DE ESPUMA DE POLIETILENO EXPANDIDO FLEXIVEL PARA ISOLAMENTO TERMICO DE TUBULACAO DE AR CONDICIONADO, AGUA QUENTE,  DN 1 1/4", E= 10 MM</t>
  </si>
  <si>
    <t>TUBO DE ESPUMA DE POLIETILENO EXPANDIDO FLEXIVEL PARA ISOLAMENTO TERMICO DE TUBULACAO DE AR CONDICIONADO, AGUA QUENTE,  DN 1 1/8", E= 10 MM</t>
  </si>
  <si>
    <t>TUBO DE ESPUMA DE POLIETILENO EXPANDIDO FLEXIVEL PARA ISOLAMENTO TERMICO DE TUBULACAO DE AR CONDICIONADO, AGUA QUENTE,  DN 1 3/8", E= 10 MM</t>
  </si>
  <si>
    <t>TUBO DE ESPUMA DE POLIETILENO EXPANDIDO FLEXIVEL PARA ISOLAMENTO TERMICO DE TUBULACAO DE AR CONDICIONADO, AGUA QUENTE,  DN 1 5/8", E= 10 MM</t>
  </si>
  <si>
    <t>TUBO DE ESPUMA DE POLIETILENO EXPANDIDO FLEXIVEL PARA ISOLAMENTO TERMICO DE TUBULACAO DE AR CONDICIONADO, AGUA QUENTE,  DN 1/2", E= 10 MM</t>
  </si>
  <si>
    <t>TUBO DE ESPUMA DE POLIETILENO EXPANDIDO FLEXIVEL PARA ISOLAMENTO TERMICO DE TUBULACAO DE AR CONDICIONADO, AGUA QUENTE,  DN 1/4", E= 10 MM</t>
  </si>
  <si>
    <t>TUBO DE ESPUMA DE POLIETILENO EXPANDIDO FLEXIVEL PARA ISOLAMENTO TERMICO DE TUBULACAO DE AR CONDICIONADO, AGUA QUENTE,  DN 1", E= 10 MM</t>
  </si>
  <si>
    <t>TUBO DE ESPUMA DE POLIETILENO EXPANDIDO FLEXIVEL PARA ISOLAMENTO TERMICO DE TUBULACAO DE AR CONDICIONADO, AGUA QUENTE,  DN 3/4", E= 10 MM</t>
  </si>
  <si>
    <t>TUBO DE ESPUMA DE POLIETILENO EXPANDIDO FLEXIVEL PARA ISOLAMENTO TERMICO DE TUBULACAO DE AR CONDICIONADO, AGUA QUENTE,  DN 3/8", E= 10 MM</t>
  </si>
  <si>
    <t>TUBO DE ESPUMA DE POLIETILENO EXPANDIDO FLEXIVEL PARA ISOLAMENTO TERMICO DE TUBULACAO DE AR CONDICIONADO, AGUA QUENTE,  DN 7/8", E= 10 MM</t>
  </si>
  <si>
    <t>TUBO DE POLIETILENO DE ALTA DENSIDADE (PEAD), PE-80, DE = 20 MM X 2,3 MM DE PAREDE, PARA LIGACAO DE AGUA PREDIAL (NBR 15561)</t>
  </si>
  <si>
    <t>TUBO DE POLIETILENO DE ALTA DENSIDADE (PEAD), PE-80, DE = 32 MM X 3,0 MM DE PAREDE, PARA LIGACAO DE AGUA PREDIAL (NBR 15561)</t>
  </si>
  <si>
    <t>TUBO DE POLIETILENO DE ALTA DENSIDADE, PEAD, PE-80, DE = 1000 MM X 38,5 MM PAREDE, ( SDR 26 - PN 05 ) PARA REDE DE AGUA OU ESGOTO (NBR 15561)</t>
  </si>
  <si>
    <t>TUBO DE POLIETILENO DE ALTA DENSIDADE, PEAD, PE-80, DE = 110 MM X 10,0 MM PAREDE, ( SDR 11 - PN 12,5 ) PARA REDE DE AGUA OU ESGOTO (NBR 15561)</t>
  </si>
  <si>
    <t>TUBO DE POLIETILENO DE ALTA DENSIDADE, PEAD, PE-80, DE = 1200 MM X 37,2 MM PAREDE ( SDR 32,25 - PN 04 ) PARA REDE DE AGUA OU ESGOTO (NBR 15561)</t>
  </si>
  <si>
    <t>TUBO DE POLIETILENO DE ALTA DENSIDADE, PEAD, PE-80, DE = 1400 MM X 42,9 MM PAREDE, (SDR 32,25 - PN 04 ) PARA REDE DE AGUA OU ESGOTO (NBR 15561)</t>
  </si>
  <si>
    <t>TUBO DE POLIETILENO DE ALTA DENSIDADE, PEAD, PE-80, DE = 160 MM X 14,6 MM PAREDE, (SDR 11 - PN 12,5 ) PARA REDE DE AGUA OU ESGOTO (NBR 15561)</t>
  </si>
  <si>
    <t>TUBO DE POLIETILENO DE ALTA DENSIDADE, PEAD, PE-80, DE = 1600 MM X 49,0 MM PAREDE, ( SDR 32,25 - PN 04 ) PARA REDE DE AGUA OU ESGOTO (NBR 15561)</t>
  </si>
  <si>
    <t>TUBO DE POLIETILENO DE ALTA DENSIDADE, PEAD, PE-80, DE = 900 MM X 34,7 MM PAREDE, ( SDR 26 - PN 05 ) PARA REDE DE AGUA OU ESGOTO (NBR 15561)</t>
  </si>
  <si>
    <t>TUBO DE POLIETILENO DE ALTA DENSIDADE, PEAD, PE-80, DE= 200 MM X 18,2 MM PAREDE, ( SDR 11 - PN 12,5 ) PARA REDE DE AGUA OU ESGOTO (NBR 15561)</t>
  </si>
  <si>
    <t>TUBO DE POLIETILENO DE ALTA DENSIDADE, PEAD, PE-80, DE= 315 MM X 28,7 MM PAREDE, ( SDR 11 - PN 12,5 ) PARA REDE DE AGUA OU ESGOTO (NBR 15561)</t>
  </si>
  <si>
    <t>TUBO DE POLIETILENO DE ALTA DENSIDADE, PEAD, PE-80, DE= 400 MM X 36,4 MM PAREDE, ( SDR 11 - PN 12,5 ) PARA REDE DE AGUA OU ESGOTO (NBR 15561)</t>
  </si>
  <si>
    <t>TUBO DE POLIETILENO DE ALTA DENSIDADE, PEAD, PE-80, DE= 50 MM X 4,6 MM PAREDE, (SDR 11 - PN 12,5) PARA REDE DE AGUA OU ESGOTO (NBR 15561)</t>
  </si>
  <si>
    <t>TUBO DE POLIETILENO DE ALTA DENSIDADE, PEAD, PE-80, DE= 500 MM X 45,5 MM PAREDE, ( SDR 11 - PN 12,5 ) PARA REDE DE AGUA OU ESGOTO (NBR 15561)</t>
  </si>
  <si>
    <t>TUBO DE POLIETILENO DE ALTA DENSIDADE, PEAD, PE-80, DE= 630 MM X 57,3 MM PAREDE (SDR 11 - PN 12,5 ) PARA REDE DE AGUA OU ESGOTO (NBR 15561)</t>
  </si>
  <si>
    <t>TUBO DE POLIETILENO DE ALTA DENSIDADE, PEAD, PE-80, DE= 730 MM X 34,1 MM PAREDE, ( SDR 21 - PN 06 ) PARA REDE DE AGUA OU ESGOTO (NBR 15561)</t>
  </si>
  <si>
    <t>TUBO DE POLIETILENO DE ALTA DENSIDADE, PEAD, PE-80, DE= 75 MM X 6,9 MM PAREDE, ( SRD 11 - PN 12,5 ) PARA REDE DE AGUA OU ESGOTO (NBR 15561)</t>
  </si>
  <si>
    <t>TUBO DE POLIETILENO DE ALTA DENSIDADE, PEAD, PE-80, DE= 800 MM X 30,8 MM PAREDE, ( SDR 26 - PN 05 ) PARA REDE DE AGUA OU ESGOTO (NBR 15561)</t>
  </si>
  <si>
    <t>TUBO DE PVC, PBL, TIPO LEVE, DN = 125 MM,  PARA VENTILACAO</t>
  </si>
  <si>
    <t>TUBO DE PVC, PBL, TIPO LEVE, DN = 250 MM,  PARA VENTILACAO</t>
  </si>
  <si>
    <t>TUBO DE PVC, PBL, TIPO LEVE, DN = 300 MM,  PARA VENTILACAO</t>
  </si>
  <si>
    <t>TUBO DE PVC, PBL, TIPO LEVE, DN = 400 MM,  PARA VENTILACAO</t>
  </si>
  <si>
    <t>TUBO DE REVESTIMENTO, EM ACO, CORPO SCHEDULE 40, PONTEIRA SCHEDULE 80, ROSQUEAVEL E SEGMENTADO PARA PERFURACAO,  DIAMETRO 6'' (200 MM) (COLETADO CAIXA)</t>
  </si>
  <si>
    <t>TUBO DE REVESTIMENTO, EM ACO, CORPO SCHEDULE 40, PONTEIRA SCHEDULE 80, ROSQUEAVEL E SEGMENTADO PARA PERFURACAO, DIAMETRO 10'' (310 MM)  (COLETADO CAIXA)</t>
  </si>
  <si>
    <t>TUBO DE REVESTIMENTO, EM ACO, CORPO SCHEDULE 40, PONTEIRA SCHEDULE 80, ROSQUEAVEL E SEGMENTADO PARA PERFURACAO, DIAMETRO 14'' (400 MM)  (COLETADO CAIXA)</t>
  </si>
  <si>
    <t>TUBO DE REVESTIMENTO, EM ACO, CORPO SCHEDULE 40, PONTEIRA SCHEDULE 80, ROSQUEAVEL E SEGMENTADO PARA PERFURACAO, DIAMETRO 16'' (450 MM)  (COLETADO CAIXA)</t>
  </si>
  <si>
    <t>TUBO DRENO, CORRUGADO, ESPIRALADO, FLEXIVEL, PERFURADO, EM POLIETILENO DE ALTA DENSIDADE (PEAD), DN *160* MM, (6") PARA DRENAGEM - EM BARRA (NORMA DNIT 093/2006 - EM)</t>
  </si>
  <si>
    <t>TUBO DRENO, CORRUGADO, ESPIRALADO, FLEXIVEL, PERFURADO, EM POLIETILENO DE ALTA DENSIDADE (PEAD), DN *200* MM, (8") PARA DRENAGEM - EM BARRA (NORMA DNIT 093/2006 - EM)</t>
  </si>
  <si>
    <t>TUBO DRENO, CORRUGADO, ESPIRALADO, FLEXIVEL, PERFURADO, EM POLIETILENO DE ALTA DENSIDADE (PEAD), DN 100 MM, (4") PARA DRENAGEM - EM ROLO (NORMA DNIT 093/2006 - E.M)</t>
  </si>
  <si>
    <t>TUBO DRENO, CORRUGADO, ESPIRALADO, FLEXIVEL, PERFURADO, EM POLIETILENO DE ALTA DENSIDADE (PEAD), DN 65 MM, (2 1/2") PARA DRENAGEM - EM ROLO (NORMA DNIT 093/2006 - EM)</t>
  </si>
  <si>
    <t>TUBO MONOCAMADA PEX, DN 16 MM</t>
  </si>
  <si>
    <t>TUBO MONOCAMADA PEX, DN 20 MM</t>
  </si>
  <si>
    <t>TUBO MONOCAMADA PEX, DN 25 MM</t>
  </si>
  <si>
    <t>TUBO MONOCAMADA PEX, DN 32 MM</t>
  </si>
  <si>
    <t>TUBO MULTICAMADA PEX, DN *26* MM, PARA INSTALACOES A GAS (AMARELO)</t>
  </si>
  <si>
    <t>TUBO MULTICAMADA PEX, DN 16 MM, PARA INSTALACOES A GAS (AMARELO)</t>
  </si>
  <si>
    <t>TUBO MULTICAMADA PEX, DN 20 MM, PARA INSTALACOES A GAS (AMARELO)</t>
  </si>
  <si>
    <t>TUBO MULTICAMADA PEX, DN 32 MM, PARA INSTALACOES A GAS (AMARELO)</t>
  </si>
  <si>
    <t>TUBO PPR PN 20, DN 20 MM, PARA AGUA QUENTE PREDIAL</t>
  </si>
  <si>
    <t>TUBO PPR PN 20, DN 25 MM, PARA AGUA QUENTE PREDIAL</t>
  </si>
  <si>
    <t>TUBO PPR, CLASSE PN 12, DN 110 MM</t>
  </si>
  <si>
    <t>TUBO PPR, CLASSE PN 12, DN 32 MM</t>
  </si>
  <si>
    <t>TUBO PPR, CLASSE PN 12, DN 40 MM</t>
  </si>
  <si>
    <t>TUBO PPR, CLASSE PN 12, DN 50 MM</t>
  </si>
  <si>
    <t>TUBO PPR, CLASSE PN 12, DN 63 MM</t>
  </si>
  <si>
    <t>TUBO PPR, CLASSE PN 12, DN 75 MM</t>
  </si>
  <si>
    <t>TUBO PPR, CLASSE PN 12, DN 90 MM</t>
  </si>
  <si>
    <t>TUBO PPR, CLASSE PN 25, DN 110 MM, PARA AGUA QUENTE E FRIA PREDIAL</t>
  </si>
  <si>
    <t>TUBO PPR, CLASSE PN 25, DN 20 MM, PARA AGUA QUENTE E FRIA PREDIAL</t>
  </si>
  <si>
    <t>TUBO PPR, CLASSE PN 25, DN 25 MM, PARA AGUA QUENTE E FRIA PREDIAL</t>
  </si>
  <si>
    <t>TUBO PPR, CLASSE PN 25, DN 32 MM, PARA AGUA QUENTE E FRIA PREDIAL</t>
  </si>
  <si>
    <t>TUBO PPR, CLASSE PN 25, DN 40 MM, PARA AGUA QUENTE E FRIA PREDIAL</t>
  </si>
  <si>
    <t>TUBO PPR, CLASSE PN 25, DN 50 MM, PARA AGUA QUENTE E FRIA PREDIAL</t>
  </si>
  <si>
    <t>TUBO PPR, CLASSE PN 25, DN 63 MM, PARA AGUA QUENTE E FRIA PREDIAL</t>
  </si>
  <si>
    <t>TUBO PPR, CLASSE PN 25, DN 75 MM, PARA AGUA QUENTE E FRIA PREDIAL</t>
  </si>
  <si>
    <t>TUBO PPR, CLASSE PN 25, DN 90 MM, PARA AGUA QUENTE E FRIA PREDIAL</t>
  </si>
  <si>
    <t>TUBO PVC  SERIE NORMAL, DN 100 MM, PARA ESGOTO  PREDIAL (NBR 5688)</t>
  </si>
  <si>
    <t>TUBO PVC  SERIE NORMAL, DN 150 MM, PARA ESGOTO  PREDIAL (NBR 5688)</t>
  </si>
  <si>
    <t>TUBO PVC  SERIE NORMAL, DN 40 MM, PARA ESGOTO  PREDIAL (NBR 5688)</t>
  </si>
  <si>
    <t>TUBO PVC CORRUGADO, PAREDE DUPLA, JE, DN 150 MM, REDE COLETORA ESGOTO</t>
  </si>
  <si>
    <t>TUBO PVC CORRUGADO, PAREDE DUPLA, JE, DN 200 MM, REDE COLETORA ESGOTO</t>
  </si>
  <si>
    <t>TUBO PVC CORRUGADO, PAREDE DUPLA, JE, DN 250 MM, REDE COLETORA ESGOTO</t>
  </si>
  <si>
    <t>TUBO PVC CORRUGADO, PAREDE DUPLA, JE, DN 300 MM, REDE COLETORA ESGOTO</t>
  </si>
  <si>
    <t>TUBO PVC CORRUGADO, PAREDE DUPLA, JE, DN 350 MM, REDE COLETORA ESGOTO</t>
  </si>
  <si>
    <t>TUBO PVC CORRUGADO, PAREDE DUPLA, JE, DN 400 MM, REDE COLETORA ESGOTO</t>
  </si>
  <si>
    <t>TUBO PVC DE REVESTIMENTO GEOMECANICO NERVURADO REFORCADO, DN = 150 MM, COMPRIMENTO = 2 M</t>
  </si>
  <si>
    <t>TUBO PVC DE REVESTIMENTO GEOMECANICO NERVURADO REFORCADO, DN = 200 MM, COMPRIMENTO = 2 M</t>
  </si>
  <si>
    <t>TUBO PVC DE REVESTIMENTO GEOMECANICO NERVURADO STANDARD, DN = 154 MM, COMPRIMENTO = 2 M</t>
  </si>
  <si>
    <t>TUBO PVC DE REVESTIMENTO GEOMECANICO NERVURADO STANDARD, DN = 206 MM, COMPRIMENTO = 2 M</t>
  </si>
  <si>
    <t>TUBO PVC DE REVESTIMENTO GEOMECANICO NERVURADO STANDARD, DN = 250 MM, COMPRIMENTO = 2 M</t>
  </si>
  <si>
    <t>TUBO PVC DEFOFO, JEI, 1 MPA, DN 100 MM, PARA REDE DE AGUA (NBR 7665)</t>
  </si>
  <si>
    <t>TUBO PVC DEFOFO, JEI, 1 MPA, DN 150 MM, PARA REDE DE  AGUA (NBR 7665)</t>
  </si>
  <si>
    <t>TUBO PVC DEFOFO, JEI, 1 MPA, DN 200 MM, PARA REDE DE AGUA (NBR 7665)</t>
  </si>
  <si>
    <t>TUBO PVC DEFOFO, JEI, 1 MPA, DN 250 MM, PARA REDE DE AGUA (NBR 7665)</t>
  </si>
  <si>
    <t>TUBO PVC DEFOFO, JEI, 1 MPA, DN 300 MM, PARA REDE DE AGUA (NBR 7665)</t>
  </si>
  <si>
    <t>TUBO PVC PBA JEI, CLASSE 12, DN 100 MM, PARA REDE DE AGUA (NBR 5647)</t>
  </si>
  <si>
    <t>TUBO PVC PBA JEI, CLASSE 12, DN 50 MM, PARA REDE DE AGUA (NBR 5647)</t>
  </si>
  <si>
    <t>TUBO PVC PBA JEI, CLASSE 12, DN 75 MM, PARA REDE DE AGUA (NBR 5647)</t>
  </si>
  <si>
    <t>TUBO PVC PBA JEI, CLASSE 15, DN 100 MM, PARA REDE DE AGUA (NBR 5647)</t>
  </si>
  <si>
    <t>TUBO PVC PBA JEI, CLASSE 15, DN 50 MM, PARA REDE DE AGUA (NBR 5647)</t>
  </si>
  <si>
    <t>TUBO PVC PBA JEI, CLASSE 15, DN 75 MM, PARA REDE DE AGUA (NBR 5647)</t>
  </si>
  <si>
    <t>TUBO PVC PBA JEI, CLASSE 20, DN 100 MM, PARA REDE DE AGUA (NBR 5647)</t>
  </si>
  <si>
    <t>TUBO PVC PBA JEI, CLASSE 20, DN 50 MM, PARA REDE DE AGUA (NBR 5647)</t>
  </si>
  <si>
    <t>TUBO PVC PBA JEI, CLASSE 20, DN 75 MM, PARA REDE DE AGUA (NBR 5647)</t>
  </si>
  <si>
    <t>TUBO PVC ROSCAVEL, 3/4",  AGUA FRIA PREDIAL</t>
  </si>
  <si>
    <t>TUBO PVC SERIE NORMAL, DN 50 MM, PARA ESGOTO PREDIAL (NBR 5688)</t>
  </si>
  <si>
    <t>TUBO PVC SERIE NORMAL, DN 75 MM, PARA ESGOTO PREDIAL (NBR 5688)</t>
  </si>
  <si>
    <t>TUBO PVC, FLEXIVEL, CORRUGADO, PERFURADO, DN 110 MM, PARA DRENAGEM, SISTEMA IRRIGACAO</t>
  </si>
  <si>
    <t>TUBO PVC, FLEXIVEL, CORRUGADO, PERFURADO, DN 65 MM, PARA DRENAGEM, SISTEMA IRRIGACAO</t>
  </si>
  <si>
    <t>TUBO PVC, RIGIDO, CORRUGADO, PERFURADO, DN 150 MM, PARA DRENAGEM, SISTEMA IRRIGACAO</t>
  </si>
  <si>
    <t>TUBO PVC, ROSCAVEL,  2 1/2", AGUA FRIA PREDIAL</t>
  </si>
  <si>
    <t>TUBO PVC, ROSCAVEL,  2", PARA AGUA FRIA PREDIAL</t>
  </si>
  <si>
    <t>TUBO PVC, ROSCAVEL, 1 1/2",  AGUA FRIA PREDIAL</t>
  </si>
  <si>
    <t>TUBO PVC, ROSCAVEL, 1 1/4", AGUA FRIA PREDIAL</t>
  </si>
  <si>
    <t>TUBO PVC, ROSCAVEL, 1/2", AGUA FRIA PREDIAL</t>
  </si>
  <si>
    <t>TUBO PVC, ROSCAVEL, 1", AGUA FRIA PREDIAL</t>
  </si>
  <si>
    <t>TUBO PVC, ROSCAVEL, 3", AGUA FRIA PREDIAL</t>
  </si>
  <si>
    <t>TUBO PVC, ROSCAVEL, 4",  AGUA FRIA PREDIAL</t>
  </si>
  <si>
    <t>TUBO PVC, ROSCAVEL, 5",  AGUA FRIA PREDIAL</t>
  </si>
  <si>
    <t>TUBO PVC, ROSCAVEL, 6",  AGUA FRIA PREDIAL</t>
  </si>
  <si>
    <t>TUBO PVC, SERIE R, DN 100 MM, PARA ESGOTO OU AGUAS PLUVIAIS PREDIAL (NBR 5688)</t>
  </si>
  <si>
    <t>TUBO PVC, SERIE R, DN 150 MM, PARA ESGOTO OU AGUAS PLUVIAIS PREDIAL (NBR 5688)</t>
  </si>
  <si>
    <t>TUBO PVC, SERIE R, DN 40 MM, PARA ESGOTO OU AGUAS PLUVIAIS PREDIAL (NBR 5688)</t>
  </si>
  <si>
    <t>TUBO PVC, SERIE R, DN 50 MM, PARA ESGOTO OU AGUAS PLUVIAIS PREDIAL (NBR 5688)</t>
  </si>
  <si>
    <t>TUBO PVC, SERIE R, DN 75 MM, PARA ESGOTO OU AGUAS PLUVIAIS PREDIAL (NBR 5688)</t>
  </si>
  <si>
    <t>TUBO PVC, SOLDAVEL, DN 110 MM, AGUA FRIA (NBR-5648)</t>
  </si>
  <si>
    <t>TUBO PVC, SOLDAVEL, DN 20 MM, AGUA FRIA (NBR-5648)</t>
  </si>
  <si>
    <t>TUBO PVC, SOLDAVEL, DN 25 MM, AGUA FRIA (NBR-5648)</t>
  </si>
  <si>
    <t>TUBO PVC, SOLDAVEL, DN 32 MM, AGUA FRIA (NBR-5648)</t>
  </si>
  <si>
    <t>TUBO PVC, SOLDAVEL, DN 40 MM, AGUA FRIA (NBR-5648)</t>
  </si>
  <si>
    <t>TUBO PVC, SOLDAVEL, DN 50 MM, PARA AGUA FRIA (NBR-5648)</t>
  </si>
  <si>
    <t>TUBO PVC, SOLDAVEL, DN 60 MM, AGUA FRIA (NBR-5648)</t>
  </si>
  <si>
    <t>TUBO PVC, SOLDAVEL, DN 75 MM, AGUA FRIA (NBR-5648)</t>
  </si>
  <si>
    <t>TUBO PVC, SOLDAVEL, DN 85 MM, AGUA FRIA (NBR-5648)</t>
  </si>
  <si>
    <t>TUBO 26" EM CHAPA PRETA, E= 3/16", 147 KG/6 M</t>
  </si>
  <si>
    <t>TUBO 30" EM CHAPA PRETA, E= 1/4", 175 KG/6 M</t>
  </si>
  <si>
    <t>TUBO 30" EM CHAPA PRETA, E= 3/8", 177 KG/6 M</t>
  </si>
  <si>
    <t>UNIAO COM ASSENTO CONICO DE BRONZE, DIAMETRO 1/2"</t>
  </si>
  <si>
    <t>UNIAO COM ASSENTO CONICO DE BRONZE, DIAMETRO 1"</t>
  </si>
  <si>
    <t>UNIAO COM ASSENTO CONICO DE BRONZE, DIAMETRO 2 1/2"</t>
  </si>
  <si>
    <t>UNIAO COM ASSENTO CONICO DE BRONZE, DIAMETRO 2'</t>
  </si>
  <si>
    <t>UNIAO COM ASSENTO CONICO DE BRONZE, DIAMETRO 3/4"</t>
  </si>
  <si>
    <t>UNIAO COM ASSENTO CONICO DE BRONZE, DIAMETRO 3"</t>
  </si>
  <si>
    <t>UNIAO COM ASSENTO CONICO DE BRONZE, DIAMETRO 4"</t>
  </si>
  <si>
    <t>UNIAO COM ASSENTO CONICO DE FERRO LONGO (MACHO-FEMEA), DIAMETRO 1 1/2"</t>
  </si>
  <si>
    <t>UNIAO COM ASSENTO CONICO DE FERRO LONGO (MACHO-FEMEA), DIAMETRO 1/2"</t>
  </si>
  <si>
    <t>UNIAO COM ASSENTO CONICO DE FERRO LONGO (MACHO-FEMEA), DIAMETRO 1"</t>
  </si>
  <si>
    <t>UNIAO COM ASSENTO CONICO DE FERRO LONGO (MACHO-FEMEA), DIAMETRO 2 1/2"</t>
  </si>
  <si>
    <t>UNIAO COM ASSENTO CONICO DE FERRO LONGO (MACHO-FEMEA), DIAMETRO 2"</t>
  </si>
  <si>
    <t>UNIAO COM ASSENTO CONICO DE FERRO LONGO (MACHO-FEMEA), DIAMETRO 3/4"</t>
  </si>
  <si>
    <t>UNIAO COM ASSENTO CONICO DE FERRO LONGO (MACHO-FEMEA), DIAMETRO 3'</t>
  </si>
  <si>
    <t>UNIAO COM ASSENTO CONICO DE FERRO LONGO (MACHO-FEMEA), DIAMETRO 4"</t>
  </si>
  <si>
    <t>UNIAO COM FLANGE PPR, DN 40 MM, PARA AGUA QUENTE PREDIAL</t>
  </si>
  <si>
    <t>UNIAO DE FERRO GALVANIZADO, COM ASSENTO CONICO DE BRONZE, DE 1 1/2"</t>
  </si>
  <si>
    <t>UNIAO DE FERRO GALVANIZADO, COM ASSENTO CONICO DE BRONZE, DE 1 1/4"</t>
  </si>
  <si>
    <t>UNIAO DE FERRO GALVANIZADO, COM ROSCA BSP, COM ASSENTO PLANO, DE 1 1/2"</t>
  </si>
  <si>
    <t>UNIAO DE FERRO GALVANIZADO, COM ROSCA BSP, COM ASSENTO PLANO, DE 1 1/4"</t>
  </si>
  <si>
    <t>UNIAO DE FERRO GALVANIZADO, COM ROSCA BSP, COM ASSENTO PLANO, DE 1/2"</t>
  </si>
  <si>
    <t>UNIAO DE FERRO GALVANIZADO, COM ROSCA BSP, COM ASSENTO PLANO, DE 1"</t>
  </si>
  <si>
    <t>UNIAO DE FERRO GALVANIZADO, COM ROSCA BSP, COM ASSENTO PLANO, DE 2 1/2"</t>
  </si>
  <si>
    <t>UNIAO DE FERRO GALVANIZADO, COM ROSCA BSP, COM ASSENTO PLANO, DE 2"</t>
  </si>
  <si>
    <t>UNIAO DE FERRO GALVANIZADO, COM ROSCA BSP, COM ASSENTO PLANO, DE 3/4"</t>
  </si>
  <si>
    <t>UNIAO DE FERRO GALVANIZADO, COM ROSCA BSP, COM ASSENTO PLANO, DE 3"</t>
  </si>
  <si>
    <t>UNIAO DE FERRO GALVANIZADO, COM ROSCA BSP, COM ASSENTO PLANO, DE 4"</t>
  </si>
  <si>
    <t>UNIAO DE REDUCAO METALICA, PARA CONEXAO COM ANEL DESLIZANTE EM TUBO PEX, DN 20 X 16 MM</t>
  </si>
  <si>
    <t>UNIAO DE REDUCAO METALICA, PARA CONEXAO COM ANEL DESLIZANTE EM TUBO PEX, DN 25 X 16 MM</t>
  </si>
  <si>
    <t>UNIAO DE REDUCAO METALICA, PARA CONEXAO COM ANEL DESLIZANTE EM TUBO PEX, DN 25 X 20 MM</t>
  </si>
  <si>
    <t>UNIAO DE REDUCAO METALICA, PARA CONEXAO COM ANEL DESLIZANTE EM TUBO PEX, DN 32 X 25 MM</t>
  </si>
  <si>
    <t>UNIAO DUPLA PPR DN 20 MM, PARA AGUA QUENTE PREDIAL</t>
  </si>
  <si>
    <t>UNIAO DUPLA PPR DN 25 MM, PARA AGUA QUENTE PREDIAL</t>
  </si>
  <si>
    <t>UNIAO EM POLIPROPILENO (PP), PARA TUBO EM PEAD, 20 MM - LIGACAO PREDIAL DE AGUA</t>
  </si>
  <si>
    <t>UNIAO EM POLIPROPILENO (PP), PARA TUBO EM PEAD, 32 MM - LIGACAO PREDIAL DE AGUA</t>
  </si>
  <si>
    <t>UNIAO METALICA, PARA CONEXAO COM ANEL DESLIZANTE EM TUBO PEX, DN 16 MM</t>
  </si>
  <si>
    <t>UNIAO METALICA, PARA CONEXAO COM ANEL DESLIZANTE EM TUBO PEX, DN 20 MM</t>
  </si>
  <si>
    <t>UNIAO METALICA, PARA CONEXAO COM ANEL DESLIZANTE EM TUBO PEX, DN 25 MM</t>
  </si>
  <si>
    <t>UNIAO METALICA, PARA CONEXAO COM ANEL DESLIZANTE EM TUBO PEX, DN 32 MM</t>
  </si>
  <si>
    <t>UNIAO PVC, ROSCAVEL 1/2",  AGUA FRIA PREDIAL</t>
  </si>
  <si>
    <t>UNIAO PVC, ROSCAVEL 2",  AGUA FRIA PREDIAL</t>
  </si>
  <si>
    <t>UNIAO PVC, ROSCAVEL, 1 1/2",  AGUA FRIA PREDIAL</t>
  </si>
  <si>
    <t>UNIAO PVC, ROSCAVEL, 1 1/4",  AGUA FRIA PREDIAL</t>
  </si>
  <si>
    <t>UNIAO PVC, ROSCAVEL, 1",  AGUA FRIA PREDIAL</t>
  </si>
  <si>
    <t>UNIAO PVC, ROSCAVEL, 2 1/2",  AGUA FRIA PREDIAL</t>
  </si>
  <si>
    <t>UNIAO PVC, ROSCAVEL, 3/4",  AGUA FRIA PREDIAL</t>
  </si>
  <si>
    <t>UNIAO PVC, ROSCAVEL, 3",  AGUA FRIA PREDIAL</t>
  </si>
  <si>
    <t>UNIAO PVC, SOLDAVEL, 110 MM,  PARA AGUA FRIA PREDIAL</t>
  </si>
  <si>
    <t>UNIAO PVC, SOLDAVEL, 20 MM,  PARA AGUA FRIA PREDIAL</t>
  </si>
  <si>
    <t>UNIAO PVC, SOLDAVEL, 25 MM,  PARA AGUA FRIA PREDIAL</t>
  </si>
  <si>
    <t>UNIAO PVC, SOLDAVEL, 32 MM,  PARA AGUA FRIA PREDIAL</t>
  </si>
  <si>
    <t>UNIAO PVC, SOLDAVEL, 40 MM,  PARA AGUA FRIA PREDIAL</t>
  </si>
  <si>
    <t>UNIAO PVC, SOLDAVEL, 50 MM,  PARA AGUA FRIA PREDIAL</t>
  </si>
  <si>
    <t>UNIAO PVC, SOLDAVEL, 60 MM,  PARA AGUA FRIA PREDIAL</t>
  </si>
  <si>
    <t>UNIAO PVC, SOLDAVEL, 75 MM,  PARA AGUA FRIA PREDIAL</t>
  </si>
  <si>
    <t>UNIAO PVC, SOLDAVEL, 85 MM,  PARA AGUA FRIA PREDIAL</t>
  </si>
  <si>
    <t>UNIAO TIPO STORZ, COM EMPATACAO INTERNA TIPO ANEL DE EXPANSAO, ENGATE RAPIDO 1 1/2", PARA MANGUEIRA DE COMBATE A INCENDIO PREDIAL</t>
  </si>
  <si>
    <t>UNIAO TIPO STORZ, COM EMPATACAO INTERNA TIPO ANEL DE EXPANSAO, ENGATE RAPIDO 2 1/2", PARA MANGUEIRA DE COMBATE A INCENDIO PREDIAL</t>
  </si>
  <si>
    <t>UNIAO, CPVC, SOLDAVEL, 15 MM, PARA AGUA QUENTE PREDIAL</t>
  </si>
  <si>
    <t>UNIAO, CPVC, SOLDAVEL, 22 MM, PARA AGUA QUENTE PREDIAL</t>
  </si>
  <si>
    <t>UNIAO, CPVC, SOLDAVEL, 28 MM, PARA AGUA QUENTE PREDIAL</t>
  </si>
  <si>
    <t>UNIAO, CPVC, SOLDAVEL, 35 MM, PARA AGUA QUENTE PREDIAL</t>
  </si>
  <si>
    <t>UNIAO, CPVC, SOLDAVEL, 42 MM, PARA AGUA QUENTE PREDIAL</t>
  </si>
  <si>
    <t>UNIAO, CPVC, SOLDAVEL, 54 MM, PARA AGUA QUENTE PREDIAL</t>
  </si>
  <si>
    <t>UNIAO, CPVC, SOLDAVEL, 73 MM, PARA AGUA QUENTE PREDIAL</t>
  </si>
  <si>
    <t>UNIAO, CPVC, SOLDAVEL, 89 MM, PARA AGUA QUENTE PREDIAL</t>
  </si>
  <si>
    <t>USINA DE ASFALTO A FRIO, CAPACIDADE DE 30 A 40 T/H, ELETRICA, POTENCIA DE 30 CV</t>
  </si>
  <si>
    <t>USINA DE ASFALTO A FRIO, CAPACIDADE DE 40 A 60 T/H, ELETRICA, POTENCIA DE 30 CV</t>
  </si>
  <si>
    <t>USINA DE ASFALTO A QUENTE, FIXA, TIPO CONTRA FLUXO, CAPACIDADE DE 100 A 140 T/H, POTENCIA DE 280 KW, COM MISTURADOR EXTERNO ROTATIVO</t>
  </si>
  <si>
    <t>USINA DE ASFALTO, GRAVIMETRICA, CAPACIDADE DE 150 T/H, POTENCIA DE 400 KW</t>
  </si>
  <si>
    <t>USINA DE CONCRETO FIXA, CAPACIDADE NOMINAL DE 40 M3/H, SEM SILO</t>
  </si>
  <si>
    <t>USINA DE CONCRETO FIXA, CAPACIDADE NOMINAL DE 60 M3/H, SEM SILO</t>
  </si>
  <si>
    <t>USINA DE CONCRETO FIXA, CAPACIDADE NOMINAL DE 80 M3/H, SEM SILO</t>
  </si>
  <si>
    <t>USINA DE CONCRETO FIXA, CAPACIDADE NOMINAL DE 90 A 120 M3/H, SEM SILO</t>
  </si>
  <si>
    <t>USINA DE LAMA ASFALTICA, PROD 30 A 50 T/H, SILO DE AGREGADO 7 M3, RESERVATORIOS PARA EMULSAO E AGUA DE 2,3 M3 CADA, MISTURADOR TIPO PUGG-MILL A SER MONTADO SOBRE CAMINHAO</t>
  </si>
  <si>
    <t>USINA DE MISTURAS ASFALTICAS A QUENTE, MOVEL, TIPO CONTRA FLUXO, CAPACIDADE DE 40 A 80 T/H</t>
  </si>
  <si>
    <t>USINA MISTURADORA DE SOLOS,  DOSADORES TRIPLOS, CALHA VIBRATORIA CAPACIDADE DE 200 A 500 T/H, POTENCIA DE 75 KW</t>
  </si>
  <si>
    <t>VALVULA DE DESCARGA EM METAL CROMADO PARA MICTORIO COM ACIONAMENTO POR PRESSAO E FECHAMENTO AUTOMATICO</t>
  </si>
  <si>
    <t>VALVULA DE DESCARGA METALICA, BASE 1 1/2 " E ACABAMENTO METALICO CROMADO</t>
  </si>
  <si>
    <t>VALVULA DE DESCARGA METALICA, BASE 1 1/4 " E ACABAMENTO METALICO CROMADO</t>
  </si>
  <si>
    <t>VALVULA DE ESFERA BRUTA EM BRONZE, BITOLA 1 " (REF 1552-B)</t>
  </si>
  <si>
    <t>VALVULA DE ESFERA BRUTA EM BRONZE, BITOLA 1 1/2 " (REF 1552-B)</t>
  </si>
  <si>
    <t>VALVULA DE ESFERA BRUTA EM BRONZE, BITOLA 1 1/4 " (REF 1552-B)</t>
  </si>
  <si>
    <t>VALVULA DE ESFERA BRUTA EM BRONZE, BITOLA 1/2 " (REF 1552-B)</t>
  </si>
  <si>
    <t>VALVULA DE ESFERA BRUTA EM BRONZE, BITOLA 2 " (REF 1552-B)</t>
  </si>
  <si>
    <t>VALVULA DE ESFERA BRUTA EM BRONZE, BITOLA 3/4 " (REF 1552-B)</t>
  </si>
  <si>
    <t>VALVULA DE RETENCAO DE BRONZE, PE COM CRIVOS, EXTREMIDADE COM ROSCA, DE 1 1/2", PARA FUNDO DE POCO</t>
  </si>
  <si>
    <t>VALVULA DE RETENCAO DE BRONZE, PE COM CRIVOS, EXTREMIDADE COM ROSCA, DE 1 1/4", PARA FUNDO DE POCO</t>
  </si>
  <si>
    <t>VALVULA DE RETENCAO DE BRONZE, PE COM CRIVOS, EXTREMIDADE COM ROSCA, DE 1", PARA FUNDO DE POCO</t>
  </si>
  <si>
    <t>VALVULA DE RETENCAO DE BRONZE, PE COM CRIVOS, EXTREMIDADE COM ROSCA, DE 2 1/2", PARA FUNDO DE POCO</t>
  </si>
  <si>
    <t>VALVULA DE RETENCAO DE BRONZE, PE COM CRIVOS, EXTREMIDADE COM ROSCA, DE 2", PARA FUNDO DE POCO</t>
  </si>
  <si>
    <t>VALVULA DE RETENCAO DE BRONZE, PE COM CRIVOS, EXTREMIDADE COM ROSCA, DE 3/4", PARA FUNDO DE POCO</t>
  </si>
  <si>
    <t>VALVULA DE RETENCAO DE BRONZE, PE COM CRIVOS, EXTREMIDADE COM ROSCA, DE 3", PARA FUNDO DE POCO</t>
  </si>
  <si>
    <t>VALVULA DE RETENCAO DE BRONZE, PE COM CRIVOS, EXTREMIDADE COM ROSCA, DE 4", PARA FUNDO DE POCO</t>
  </si>
  <si>
    <t>VALVULA DE RETENCAO HORIZONTAL, DE BRONZE (PN-25), 1 1/2", 400 PSI, TAMPA DE PORCA DE UNIAO, EXTREMIDADES COM ROSCA</t>
  </si>
  <si>
    <t>VALVULA DE RETENCAO HORIZONTAL, DE BRONZE (PN-25), 1 1/4", 400 PSI, TAMPA DE PORCA DE UNIAO, EXTREMIDADES COM ROSCA</t>
  </si>
  <si>
    <t>VALVULA DE RETENCAO HORIZONTAL, DE BRONZE (PN-25), 1/2", 400 PSI, TAMPA DE PORCA DE UNIAO, EXTREMIDADES COM ROSCA</t>
  </si>
  <si>
    <t>VALVULA DE RETENCAO HORIZONTAL, DE BRONZE (PN-25), 1", 400 PSI, TAMPA DE PORCA DE UNIAO, EXTREMIDADES COM ROSCA</t>
  </si>
  <si>
    <t>VALVULA DE RETENCAO HORIZONTAL, DE BRONZE (PN-25), 2 1/2", 400 PSI, TAMPA DE PORCA DE UNIAO, EXTREMIDADES COM ROSCA</t>
  </si>
  <si>
    <t>VALVULA DE RETENCAO HORIZONTAL, DE BRONZE (PN-25), 2", 400 PSI, TAMPA DE PORCA DE UNIAO, EXTREMIDADES COM ROSCA</t>
  </si>
  <si>
    <t>VALVULA DE RETENCAO HORIZONTAL, DE BRONZE (PN-25), 3/4", 400 PSI, TAMPA DE PORCA DE UNIAO, EXTREMIDADES COM ROSCA</t>
  </si>
  <si>
    <t>VALVULA DE RETENCAO HORIZONTAL, DE BRONZE (PN-25), 3", 400 PSI, TAMPA DE PORCA DE UNIAO, EXTREMIDADES COM ROSCA</t>
  </si>
  <si>
    <t>VALVULA DE RETENCAO HORIZONTAL, DE BRONZE (PN-25), 4", 400 PSI, TAMPA DE PORCA DE UNIAO, EXTREMIDADES COM ROSCA</t>
  </si>
  <si>
    <t>VALVULA DE RETENCAO VERTICAL, DE BRONZE (PN-16), 1 1/2", 200 PSI, EXTREMIDADES COM ROSCA</t>
  </si>
  <si>
    <t>VALVULA DE RETENCAO VERTICAL, DE BRONZE (PN-16), 1 1/4", 200 PSI, EXTREMIDADES COM ROSCA</t>
  </si>
  <si>
    <t>VALVULA DE RETENCAO VERTICAL, DE BRONZE (PN-16), 1/2", 200 PSI, EXTREMIDADES COM ROSCA</t>
  </si>
  <si>
    <t>VALVULA DE RETENCAO VERTICAL, DE BRONZE (PN-16), 1", 200 PSI, EXTREMIDADES COM ROSCA</t>
  </si>
  <si>
    <t>VALVULA DE RETENCAO VERTICAL, DE BRONZE (PN-16), 2 1/2", 200 PSI, EXTREMIDADES COM ROSCA</t>
  </si>
  <si>
    <t>VALVULA DE RETENCAO VERTICAL, DE BRONZE (PN-16), 2", 200 PSI, EXTREMIDADES COM ROSCA</t>
  </si>
  <si>
    <t>VALVULA DE RETENCAO VERTICAL, DE BRONZE (PN-16), 3/4", 200 PSI, EXTREMIDADES COM ROSCA</t>
  </si>
  <si>
    <t>VALVULA DE RETENCAO VERTICAL, DE BRONZE (PN-16), 3", 200 PSI, EXTREMIDADES COM ROSCA</t>
  </si>
  <si>
    <t>VALVULA DE RETENCAO VERTICAL, DE BRONZE (PN-16), 4", 200 PSI, EXTREMIDADES COM ROSCA</t>
  </si>
  <si>
    <t>VALVULA EM METAL CROMADO PARA LAVATORIO, 1 " SEM LADRAO</t>
  </si>
  <si>
    <t>VALVULA EM METAL CROMADO PARA PIA AMERICANA 3.1/2 X 1.1/2 "</t>
  </si>
  <si>
    <t>VALVULA EM METAL CROMADO PARA TANQUE, 1.1/2 " SEM LADRAO</t>
  </si>
  <si>
    <t>VALVULA EM PLASTICO BRANCO COM SAIDA LISA PARA TANQUE 1.1/4 " X 1.1/2 "</t>
  </si>
  <si>
    <t>VALVULA EM PLASTICO BRANCO PARA LAVATORIO 1 ", SEM UNHO, COM LADRAO</t>
  </si>
  <si>
    <t>VALVULA EM PLASTICO BRANCO PARA TANQUE OU LAVATORIO 1 ", SEM UNHO E SEM LADRAO</t>
  </si>
  <si>
    <t>VALVULA EM PLASTICO BRANCO PARA TANQUE 1.1/4 " X 1.1/2 ", SEM UNHO E SEM LADRAO</t>
  </si>
  <si>
    <t>VALVULA EM PLASTICO CROMADO PARA LAVATORIO 1 ", SEM UNHO, COM LADRAO</t>
  </si>
  <si>
    <t>VALVULA EM PLASTICO CROMADO TIPO AMERICANA PARA PIA DE COZINHA 3.1/2 " X 1.1/2 ", SEM ADAPTADOR</t>
  </si>
  <si>
    <t>VARIADOR DE LUMINOSIDADE ROTATIVO (DIMMER) 127 V, 300 W (APENAS MODULO)</t>
  </si>
  <si>
    <t>VARIADOR DE LUMINOSIDADE ROTATIVO (DIMMER) 127V, 300W, CONJUNTO MONTADO PARA EMBUTIR 4" X 2" (PLACA + SUPORTE + MODULO)</t>
  </si>
  <si>
    <t>VARIADOR DE LUMINOSIDADE ROTATIVO (DIMMER) 220 V, 600 W (APENAS MODULO)</t>
  </si>
  <si>
    <t>VARIADOR DE LUMINOSIDADE ROTATIVO (DIMMER) 220V, 600W, CONJUNTO MONTADO PARA EMBUTIR 4" X 2" (PLACA + SUPORTE + MODULO)</t>
  </si>
  <si>
    <t>VARIADOR DE VELOCIDADE PARA VENTILADOR 127 V, 150 W (APENAS MODULO)</t>
  </si>
  <si>
    <t>VARIADOR DE VELOCIDADE PARA VENTILADOR 127V, 150W + 2 INTERRUPTORES PARALELOS, PARA REVERSAO E LAMPADA, CONJUNTO MONTADO PARA EMBUTIR 4" X 2" (PLACA + SUPORTE + MODULOS)</t>
  </si>
  <si>
    <t>VARIADOR DE VELOCIDADE PARA VENTILADOR 220 V, 250 W (APENAS MODULO)</t>
  </si>
  <si>
    <t>VARIADOR DE VELOCIDADE PARA VENTILADOR 220V, 250W + 2 INTERRUPTORES PARALELOS, PARA REVERSAO E LAMPADA, CONJUNTO MONTADO PARA EMBUTIR 4" X 2" (PLACA + SUPORTE + MODULOS)</t>
  </si>
  <si>
    <t>VASO SANITARIO SIFONADO INFANTIL LOUCA BRANCA</t>
  </si>
  <si>
    <t>VASSOURA MECANICA REBOCAVEL COM ESCOVA CILINDRICA LARGURA UTIL DE VARRIMENTO = 2,44M</t>
  </si>
  <si>
    <t>VASSOURA 40 CM COM CABO</t>
  </si>
  <si>
    <t>VEDACAO DE CALHA, EM BORRACHA COR PRETA, MEDIDA ENTRE 119 E 170 MM, PARA DRENAGEM PLUVIAL PREDIAL</t>
  </si>
  <si>
    <t>VEDACAO PVC, 100 MM, PARA SAIDA VASO SANITARIO</t>
  </si>
  <si>
    <t>VERGALHAO ZINCADO ROSCA TOTAL, 1/4 " (6,3 MM)</t>
  </si>
  <si>
    <t>VERNIZ POLIURETANO BRILHANTE PARA MADEIRA, COM FILTRO SOLAR, USO INTERNO E EXTERNO</t>
  </si>
  <si>
    <t>VERNIZ SINTETICO BRILHANTE PARA MADEIRA TIPO COPAL, USO INTERNO</t>
  </si>
  <si>
    <t>VERNIZ SINTETICO BRILHANTE PARA MADEIRA, COM FILTRO SOLAR, USO INTERNO E EXTERNO (BASE SOLVENTE)</t>
  </si>
  <si>
    <t>VEU DE VIDRO/VEU DE SUPERFICIE 30 A 35 G/M2</t>
  </si>
  <si>
    <t>VEU POLIESTER</t>
  </si>
  <si>
    <t>VIBRADOR DE IMERSAO, COM PONTEIRA DE *35* MM, MANGOTE DE 5 M, SEM MOTOR</t>
  </si>
  <si>
    <t>VIBRADOR DE IMERSAO, COM PONTEIRA DE *45* MM, MANGOTE DE 5 M, SEM MOTOR.</t>
  </si>
  <si>
    <t>VIBRADOR DE IMERSAO, COM PONTEIRA DE *60* MM, MANGOTE DE 5 M, SEM MOTOR.</t>
  </si>
  <si>
    <t>VIBRADOR DE IMERSAO, DIAMETRO DA PONTEIRA DE *35* MM, COM MOTOR 4 TEMPOS A GASOLINA DE 5,5 HP (5,5 CV)</t>
  </si>
  <si>
    <t>VIBRADOR DE IMERSAO, DIAMETRO DA PONTEIRA DE *45* MM, COM MOTOR ELETRICO TRIFASICO DE 2 HP (2 CV)</t>
  </si>
  <si>
    <t>VIBRADOR DE IMERSAO, DIAMETRO DA PONTEIRA DE *45* MM, COM MOTOR 4 TEMPOS A GASOLINA DE 5,5 HP (5,5 CV)</t>
  </si>
  <si>
    <t>VIBROACABADORA DE ASFALTO SOBRE ESTEIRAS, LARG. PAVIM. MAX. 8,00 M, POT. 100 KW/ 134 HP, CAP. 600 T/ H</t>
  </si>
  <si>
    <t>VIBROACABADORA DE ASFALTO SOBRE ESTEIRAS, LARG. PAVIM. 2,13 M A 4,55 M, POT. 74 KW/ 100 HP, CAP. 400 T/ H</t>
  </si>
  <si>
    <t>VIBROACABADORA DE ASFALTO SOBRE ESTEIRAS, LARG. PAVIM. 2,60 M A 5,75 M, POT. 110 HP, CAP. 450 T/ H</t>
  </si>
  <si>
    <t>VIBROACABADORA DE ASFALTO SOBRE ESTEIRAS, LARG. PAVIMENT. 1,90 A 5,3 M, POT. 78 KW/105 HP, CAP. 450 T/H</t>
  </si>
  <si>
    <t>VIBROACABADORA DE ASFALTO SOBRE RODAS, LARGURA DE PAVIMENTACAO DE 1,70 A 4,20 M, POTENCIA 78 KW/105 HP, CAPACIDADE 300 T/H</t>
  </si>
  <si>
    <t>VIDRACEIRO</t>
  </si>
  <si>
    <t>VIDRACEIRO (MENSALISTA)</t>
  </si>
  <si>
    <t>VIDRO COMUM LAMINADO LISO INCOLOR DUPLO, ESPESSURA TOTAL 8 MM (CADA CAMADA DE 4 MM) - COLOCADO</t>
  </si>
  <si>
    <t>VIDRO COMUM LAMINADO, LISO, INCOLOR, DUPLO, ESPESSURA TOTAL 6 MM (CADA CAMADA E= 3 MM) - COLOCADO</t>
  </si>
  <si>
    <t>VIDRO COMUM LAMINADO, LISO, INCOLOR, TRIPLO, ESPESSURA TOTAL 12 MM (CADA CAMADA E=  4 MM) - COLOCADO</t>
  </si>
  <si>
    <t>VIDRO COMUM LAMINADO, LISO, INCOLOR, TRIPLO, ESPESSURA TOTAL 15 MM (CADA CAMADA E = 5 MM) - COLOCADO</t>
  </si>
  <si>
    <t>VIDRO CRISTAL COLORIDO, 10 MM, PINTADO NA COR BRANCA</t>
  </si>
  <si>
    <t>VIDRO CRISTAL COLORIDO, 4 MM, PINTADO NA COR BRANCA</t>
  </si>
  <si>
    <t>VIDRO CRISTAL COLORIDO, 6 MM, PINTADO NA COR BRANCA</t>
  </si>
  <si>
    <t>VIDRO CRISTAL COLORIDO, 8 MM, PINTADO NA COR BRANCA</t>
  </si>
  <si>
    <t>VIDRO LISO FUME E = 4MM - SEM COLOCACAO</t>
  </si>
  <si>
    <t>VIDRO LISO FUME E = 6MM - SEM COLOCACAO</t>
  </si>
  <si>
    <t>VIDRO LISO FUME, E = 5 MM - SEM COLOCACAO</t>
  </si>
  <si>
    <t>VIDRO LISO INCOLOR 10 MM - SEM COLOCACAO</t>
  </si>
  <si>
    <t>VIDRO LISO INCOLOR 2 A 3 MM - SEM COLOCACAO</t>
  </si>
  <si>
    <t>VIDRO LISO INCOLOR 4MM - SEM COLOCACAO</t>
  </si>
  <si>
    <t>VIDRO LISO INCOLOR 5MM - SEM COLOCACAO</t>
  </si>
  <si>
    <t>VIDRO LISO INCOLOR 6 MM - SEM COLOCACAO</t>
  </si>
  <si>
    <t>VIDRO LISO INCOLOR 8MM  -  SEM COLOCACAO</t>
  </si>
  <si>
    <t>VIDRO MARTELADO OU CANELADO, 4 MM - SEM COLOCACAO</t>
  </si>
  <si>
    <t>VIDRO PLANO ARAMADO E = 6 MM - SEM COLOCACAO</t>
  </si>
  <si>
    <t>VIDRO PLANO ARMADO E = 7MM - SEM COLOCACAO</t>
  </si>
  <si>
    <t>VIDRO TEMPERADO INCOLOR E = 10 MM, SEM COLOCACAO</t>
  </si>
  <si>
    <t>VIDRO TEMPERADO INCOLOR E = 6 MM, SEM COLOCACAO</t>
  </si>
  <si>
    <t>VIDRO TEMPERADO INCOLOR E = 8 MM, SEM COLOCACAO</t>
  </si>
  <si>
    <t>VIDRO TEMPERADO INCOLOR PARA PORTA DE ABRIR, E = 10 MM (SEM FERRAGENS E SEM COLOCACAO)</t>
  </si>
  <si>
    <t>VIDRO TEMPERADO VERDE E = 10 MM, SEM COLOCACAO</t>
  </si>
  <si>
    <t>VIDRO TEMPERADO VERDE E = 6 MM, SEM COLOCACAO</t>
  </si>
  <si>
    <t>VIDRO TEMPERADO VERDE E = 8 MM, SEM COLOCACAO</t>
  </si>
  <si>
    <t>VIGA DE ESCORAMAENTO H20, DE MADEIRA, PESO DE 5,00 A 5,20 KG/M, COM EXTREMIDADES PLASTICAS</t>
  </si>
  <si>
    <t>VIGA DE MADEIRA APARELHADA *6 X 12* CM, MACARANDUBA, ANGELIM OU EQUIVALENTE DA REGIAO</t>
  </si>
  <si>
    <t>VIGA DE MADEIRA APARELHADA *6 X 16* CM, MACARANDUBA, ANGELIM OU EQUIVALENTE DA REGIAO</t>
  </si>
  <si>
    <t>VIGA DE MADEIRA NAO APARELHADA *6 X 16* CM, MACARANDUBA, ANGELIM OU EQUIVALENTE DA REGIAO</t>
  </si>
  <si>
    <t>VIGA DE MADEIRA NAO APARELHADA *6 X 20* CM, MACARANDUBA, ANGELIM OU EQUIVALENTE DA REGIAO</t>
  </si>
  <si>
    <t>VIGA DE MADEIRA NAO APARELHADA *7,5 X 15 CM (3 X 6 ") PINUS, MISTA OU EQUIVALENTE DA REGIAO</t>
  </si>
  <si>
    <t>VIGA DE MADEIRA NAO APARELHADA 6 X 12 CM, MACARANDUBA, ANGELIM OU EQUIVALENTE DA REGIAO</t>
  </si>
  <si>
    <t>VIGA DE MADEIRA NAO APARELHADA 8 X 16 CM, MACARANDUBA, ANGELIM OU EQUIVALENTE DA REGIAO</t>
  </si>
  <si>
    <t>VIGIA DIURNO</t>
  </si>
  <si>
    <t>VIGIA DIURNO (MENSALISTA)</t>
  </si>
  <si>
    <t>VIGIA NOTURNO, HORA EFETIVAMENTE TRABALHADA DE 22 H AS 5 H (COM ADICIONAL NOTURNO)</t>
  </si>
  <si>
    <t>WASH PRIMER PARA TINTA AUTOMOTIVA</t>
  </si>
  <si>
    <t>ACABAMENTO POLIDO PARA PISO DE CONCRETO ARMADO DE ALTA RESISTÊNCIA. AF_09/2017</t>
  </si>
  <si>
    <t>CORTE E DOBRA DE AÇO CA-50, DIÂMERO DE 32 MM, UTILIZADO EM ESTRUTURAS DIVERSAS, EXCETO LAJE. AF_10/2016</t>
  </si>
  <si>
    <t>MONTAGEM DE ARMADURA LONGITUDINAL DE ESTACAS DE SEÇÃO CIRCULAR, DIÂMETRO = 32,0 MM. AF_11/2016</t>
  </si>
  <si>
    <t>MONTAGEM DE ARMADURA LONGITUDINAL DE ESTACAS DE SEÇÃO RETANGULAR (BARRETE), DIÂMETRO = 32,0 MM. AF_11/2016</t>
  </si>
  <si>
    <t>QUADRO DE MEDIÇÃO GERAL DE ENERGIA COM 8 MEDIDORES - FORNECIMENTO E INSTALAÇÃO. AF_04/2016</t>
  </si>
  <si>
    <t>QUADRO DE MEDIÇÃO GERAL DE ENERGIA COM 12 MEDIDORES - FORNECIMENTO E INSTALAÇÃO. AF_04/2016</t>
  </si>
  <si>
    <t>QUADRO DE MEDIÇÃO GERAL DE ENERGIA COM 16 MEDIDORES - FORNECIMENTO E INSTALAÇÃO. AF_04/2016</t>
  </si>
  <si>
    <t>LUMINÁRIA TIPO CALHA, DE SOBREPOR, COM 1 LÂMPADA TUBULAR FLUORESCENTE DE 18 W, COM REATOR DE PARTIDA RÁPIDA - FORNECIMENTO E INSTALAÇÃO. AF_02/2020</t>
  </si>
  <si>
    <t>LUMINÁRIA TIPO CALHA, DE SOBREPOR, COM 1 LÂMPADA TUBULAR FLUORESCENTE DE 36 W, COM REATOR DE PARTIDA RÁPIDA - FORNECIMENTO E INSTALAÇÃO. AF_02/2020</t>
  </si>
  <si>
    <t>LUMINÁRIA TIPO CALHA, DE SOBREPOR, COM 2 LÂMPADAS TUBULARES FLUORESCENTES DE 18 W, COM REATOR DE PARTIDA RÁPIDA - FORNECIMENTO E INSTALAÇÃO. AF_02/2020</t>
  </si>
  <si>
    <t>LUMINÁRIA TIPO CALHA, DE SOBREPOR, COM 2 LÂMPADAS TUBULARES FLUORESCENTES DE 36 W, COM REATOR DE PARTIDA RÁPIDA - FORNECIMENTO E INSTALAÇÃO. AF_02/2020</t>
  </si>
  <si>
    <t>LUMINÁRIA TIPO CALHA, DE EMBUTIR, COM 2 LÂMPADAS FLUORESCENTES DE 14 W, COM REATOR DE PARTIDA RÁPIDA - FORNECIMENTO E INSTALAÇÃO. AF_02/2020</t>
  </si>
  <si>
    <t>LUMINÁRIA TIPO PLAFON EM PLÁSTICO, DE SOBREPOR, COM 1 LÂMPADA FLUORESCENTE DE 15 W, SEM REATOR - FORNECIMENTO E INSTALAÇÃO. AF_02/2020</t>
  </si>
  <si>
    <t>LUMINÁRIA TIPO PLAFON REDONDO COM VIDRO FOSCO, DE SOBREPOR, COM 1 LÂMPADA FLUORESCENTE DE 15 W, SEM REATOR - FORNECIMENTO E INSTALAÇÃO. AF_02/2020</t>
  </si>
  <si>
    <t>LUMINÁRIA TIPO PLAFON REDONDO COM VIDRO FOSCO, DE SOBREPOR, COM 2 LÂMPADAS FLUORESCENTES DE 15 W, SEM REATOR - FORNECIMENTO E INSTALAÇÃO. AF_02/2020</t>
  </si>
  <si>
    <t>LUMINÁRIA TIPO PLAFON, DE SOBREPOR, COM 1 LÂMPADA LED DE 12/13 W, SEM REATOR - FORNECIMENTO E INSTALAÇÃO. AF_02/2020</t>
  </si>
  <si>
    <t>LUMINÁRIA TIPO SPOT, DE SOBREPOR, COM 1 LÂMPADA FLUORESCENTE DE 15 W, SEM REATOR - FORNECIMENTO E INSTALAÇÃO. AF_02/2020</t>
  </si>
  <si>
    <t>LUMINÁRIA TIPO SPOT, DE SOBREPOR, COM 2 LÂMPADAS FLUORESCENTES DE 15 W, SEM REATOR - FORNECIMENTO E INSTALAÇÃO. AF_02/2020</t>
  </si>
  <si>
    <t>SENSOR DE PRESENÇA COM FOTOCÉLULA, FIXAÇÃO EM PAREDE - FORNECIMENTO E INSTALAÇÃO. AF_02/2020</t>
  </si>
  <si>
    <t>SENSOR DE PRESENÇA SEM FOTOCÉLULA, FIXAÇÃO EM PAREDE - FORNECIMENTO E INSTALAÇÃO. AF_02/2020</t>
  </si>
  <si>
    <t>SENSOR DE PRESENÇA COM FOTOCÉLULA, FIXAÇÃO EM TETO - FORNECIMENTO E INSTALAÇÃO. AF_02/2020</t>
  </si>
  <si>
    <t>SENSOR DE PRESENÇA SEM FOTOCÉLULA, FIXAÇÃO EM TETO - FORNECIMENTO E INSTALAÇÃO. AF_02/2020</t>
  </si>
  <si>
    <t>LUMINÁRIA DE EMERGÊNCIA, COM 30 LÂMPADAS LED DE 2 W, SEM REATOR - FORNECIMENTO E INSTALAÇÃO. AF_02/2020</t>
  </si>
  <si>
    <t>LÂMPADA COMPACTA DE LED 6 W, BASE E27 - FORNECIMENTO E INSTALAÇÃO. AF_02/2020</t>
  </si>
  <si>
    <t>LÂMPADA COMPACTA DE LED 10 W, BASE E27 - FORNECIMENTO E INSTALAÇÃO. AF_02/2020</t>
  </si>
  <si>
    <t>LÂMPADA COMPACTA FLUORESCENTE DE 15 W, BASE E27 - FORNECIMENTO E INSTALAÇÃO. AF_02/2020</t>
  </si>
  <si>
    <t>LÂMPADA COMPACTA FLUORESCENTE DE 20 W, BASE E27 - FORNECIMENTO E INSTALAÇÃO. AF_02/2020</t>
  </si>
  <si>
    <t>LÂMPADA COMPACTA DE VAPOR MERCURIO 125 W, BASE E27 - FORNECIMENTO E INSTALAÇÃO. AF_02/2020</t>
  </si>
  <si>
    <t>LÂMPADA COMPACTA DE VAPOR METÁLICO OVOIDE 150 W, BASE E27 - FORNECIMENTO E INSTALAÇÃO. AF_02/2020</t>
  </si>
  <si>
    <t>LÂMPADA TUBULAR FLUORESCENTE T8 DE 16/18 W, BASE G13 - FORNECIMENTO E INSTALAÇÃO. AF_02/2020_P</t>
  </si>
  <si>
    <t>LÂMPADA TUBULAR FLUORESCENTE T8 DE 32/36 W, BASE G13 - FORNECIMENTO E INSTALAÇÃO. AF_02/2020_P</t>
  </si>
  <si>
    <t>LÂMPADA TUBULAR FLUORESCENTE T10 DE 20/40 W, BASE G13 - FORNECIMENTO E INSTALAÇÃO. AF_02/2020_P</t>
  </si>
  <si>
    <t>LÂMPADA TUBULAR FLUORESCENTE T5 DE 14 W, BASE G13 - FORNECIMENTO E INSTALAÇÃO. AF_02/2020_P</t>
  </si>
  <si>
    <t>LÂMPADA TUBULAR LED DE 9/10 W, BASE G13 - FORNECIMENTO E INSTALAÇÃO. AF_02/2020_P</t>
  </si>
  <si>
    <t>LÂMPADA TUBULAR LED DE 18/20 W, BASE G13 - FORNECIMENTO E INSTALAÇÃO. AF_02/2020_P</t>
  </si>
  <si>
    <t>LUMINÁRIA TIPO CALHA, DE SOBREPOR, COM 1 LÂMPADA TUBULAR FLUORESCENTE DE 20 W, COM REATOR DE PARTIDA CONVENCIONAL - FORNECIMENTO E INSTALAÇÃO. AF_02/2020</t>
  </si>
  <si>
    <t>LUMINÁRIA DUPLA TIPO CALHA, DE SOBREPOR, COM 4 LÂMPADAS TUBULARES FLUORESCENTES DE 18 W,COM REATORES DE PARTIDA RÁPIDA - FORNECIMENTO E INSTALAÇÃO. AF_02/2020</t>
  </si>
  <si>
    <t>LUMINÁRIA DUPLA TIPO CALHA, DE SOBREPOR, COM 4 LÂMPADAS TUBULARES FLUORESCENTES DE 36 W, COM REATORES DE PARTIDA RÁPIDA -FORNECIMENTO E INSTALAÇÃO. AF_02/2020</t>
  </si>
  <si>
    <t>LÂMPADA FLUORESCENTE ESPIRAL BRANCA 45 W, BASE E27 - FORNECIMENTO E INSTALAÇÃO. AF_02/2020</t>
  </si>
  <si>
    <t>LÂMPADA FLUORESCENTE ESPIRAL BRANCA 65 W, BASE E27 - FORNECIMENTO E INSTALAÇÃO. AF_02/2020</t>
  </si>
  <si>
    <t>REATOR DE PARTIDA RÁPIDA PARA LÂMPADA FLUORESCENTE 2X40W - FORNECIMENTO E INSTALAÇÃO. AF_02/2020</t>
  </si>
  <si>
    <t>REATOR DE PARTIDA RÁPIDA PARA LÂMPADA FLUORESCENTE 1X20W - FORNECIMENTO E INSTALAÇÃO. AF_02/2020</t>
  </si>
  <si>
    <t>REATOR DE PARTIDA RÁPIDA PARA LÂMPADA FLUORESCENTE 1X40W - FORNECIMENTO E INSTALAÇÃO. AF_02/2020</t>
  </si>
  <si>
    <t>REFLETOR EM ALUMÍNIO, DE SUPORTE E ALÇA, COM 1 LÂMPADA VAPOR DE MERCÚRIO DE 125 W, COM REATOR ALTO FATOR DE POTÊNCIA - FORNECIMENTO E INSTALAÇÃO. AF_02/2020</t>
  </si>
  <si>
    <t>REFLETOR EM ALUMÍNIO, DE SUPORTE E ALÇA, COM LÂMPADA VAPOR DE MERCÚRIO DE 250 W, COM REATOR ALTO FATOR DE POTÊNCIA - FORNECIMENTO E INSTALAÇÃO. AF_02/2020</t>
  </si>
  <si>
    <t>LUMINÁRIA ARANDELA TIPO MEIA LUA, DE SOBREPOR, COM 1 LÂMPADA LED DE 6 W, SEM REATOR - FORNECIMENTO E INSTALAÇÃO. AF_02/2020</t>
  </si>
  <si>
    <t>LUMINÁRIA ARANDELA TIPO MEIA LUA, DE SOBREPOR, COM 1 LÂMPADA FLUORESCENTE DE 15 W, SEM REATOR - FORNECIMENTO E INSTALAÇÃO. AF_02/2020</t>
  </si>
  <si>
    <t>LUMINÁRIA ARANDELA TIPO TARTARUGA, DE SOBREPOR, COM 1 LÂMPADA LED DE 6 W, SEM REATOR - FORNECIMENTO E INSTALAÇÃO. AF_02/2020</t>
  </si>
  <si>
    <t>LUMINÁRIA ARANDELA TIPO TARTARUGA, COM GRADE, DE SOBREPOR, COM 1 LÂMPADA FLUORESCENTE DE 15 W, SEM REATOR - FORNECIMENTO E INSTALAÇÃO. AF_02/2020</t>
  </si>
  <si>
    <t>PLACA DE OBRA EM CHAPA DE AÇO GALVANIZADO</t>
  </si>
  <si>
    <t>CP-IP-01</t>
  </si>
  <si>
    <t>CP-DEM-2</t>
  </si>
  <si>
    <t xml:space="preserve"> altura (m)</t>
  </si>
  <si>
    <t xml:space="preserve">MURO DAS DUAS LATERAIS + ABERTURA DO PORTÃO </t>
  </si>
  <si>
    <t>APICOAMENTO MANUAL DE SUPERFICIE DE CONCRETO</t>
  </si>
  <si>
    <t>CP-REV-1</t>
  </si>
  <si>
    <t xml:space="preserve">PINTURA DE QUADRO ESCOLAR COM TINTA ESMALTE ACABAMENTO FOSCO, DUAS DEMÃOS SOBRE MASSA ACRILICA </t>
  </si>
  <si>
    <t>CP-PIN-5</t>
  </si>
  <si>
    <t xml:space="preserve">CAIAÇÃO COM ADOÇÃO DE FIXADOR COM DUAS DEMÃOS </t>
  </si>
  <si>
    <t>CP-PIN-2</t>
  </si>
  <si>
    <t>CP-PIN-03</t>
  </si>
  <si>
    <t>CP-PIN-4</t>
  </si>
  <si>
    <t>CP-HID-1</t>
  </si>
  <si>
    <t>CP-HID-2</t>
  </si>
  <si>
    <t>CP-HID-3</t>
  </si>
  <si>
    <t>CP-HID-4</t>
  </si>
  <si>
    <t>CP-HID-5</t>
  </si>
  <si>
    <t>CP-HID-6</t>
  </si>
  <si>
    <t>CP-HID-7</t>
  </si>
  <si>
    <t>CP-HID-8</t>
  </si>
  <si>
    <t>JUNÇÃO PVC SIMPLES 100MM-50MM - FORNECIMENTO E INSTALAÇÃO</t>
  </si>
  <si>
    <t>CP-SNT-1</t>
  </si>
  <si>
    <t>CP-SNT-2</t>
  </si>
  <si>
    <t>CP-SNT-3</t>
  </si>
  <si>
    <t>CP-SNT-4</t>
  </si>
  <si>
    <t>CP-SNT-5</t>
  </si>
  <si>
    <t>CP-ELE-1</t>
  </si>
  <si>
    <t>CP-ELE-2</t>
  </si>
  <si>
    <t>CP-ELE-3</t>
  </si>
  <si>
    <t>CP-ELE-4</t>
  </si>
  <si>
    <t>CP-ELE-6</t>
  </si>
  <si>
    <t>CP-ELE-7</t>
  </si>
  <si>
    <t>CONJUNTO MOTOBOMBA TRIFASICO BC- 21 R 1 1/2 3 CV COM QUADRO DE COMANDO</t>
  </si>
  <si>
    <t>CONJUNTO MOTOBOMBA  BC- 21 R 1 1/2 3 CV COM CENTRAL DE COMANDO PARA  HIDRANTE, FORNECIMENTO E INSTALAÇÃO</t>
  </si>
  <si>
    <t>CP-CBI-03</t>
  </si>
  <si>
    <t>FORNECIMENTO E INSTALAÇÃO DE ABRIGO DE 2,00X1,00 PARA BOMBA DE INCENDIO E BOMBA DE ABASTECIMENTO DA CISTERNA PARA CAIXA D'ÁGUA</t>
  </si>
  <si>
    <t xml:space="preserve">CAMADA VERTICAL DRENANTE C/ PEDRA BRITA NUMS 1 E 2 </t>
  </si>
  <si>
    <t>INTERLIGAÇÃO DO POSTO DE TRANSFORMAÇÃO AO QGBT PROJETADO</t>
  </si>
  <si>
    <t>CP-ELE-11</t>
  </si>
  <si>
    <t>CP-ELE-12</t>
  </si>
  <si>
    <t>CP-ELE-13</t>
  </si>
  <si>
    <t>CP-ELE-14</t>
  </si>
  <si>
    <t>CP-ELE-15</t>
  </si>
  <si>
    <t>CP-ELE-16</t>
  </si>
  <si>
    <t>CP-ELE-17</t>
  </si>
  <si>
    <t xml:space="preserve">TERMINAL METALICO A PRESSAO PARA 1 CABO DE 95 MM2, COM 1 FURO DE FIXACAO </t>
  </si>
  <si>
    <t xml:space="preserve">DISJUNTOR TERMOMAGNETICO TRIPOLAR 300 A / 600 V, TIPO JXD / ICC - 40 KA </t>
  </si>
  <si>
    <t>IMPLANTAÇÃO DO POSTO DE TRANSFORMAÇÃO DE 112,5kVA</t>
  </si>
  <si>
    <t>MASSA PARA CALAFETAR</t>
  </si>
  <si>
    <t>Perfil U</t>
  </si>
  <si>
    <t>Suporte de transformador para poste Duplo "T"</t>
  </si>
  <si>
    <t>Rede de distribuição de média tensão</t>
  </si>
  <si>
    <t xml:space="preserve">ATERRAMENTO </t>
  </si>
  <si>
    <t>N1-CE3U PERFIL U CFU</t>
  </si>
  <si>
    <t>SI-1</t>
  </si>
  <si>
    <t xml:space="preserve">ACRESCENTOU A BOMBA DE AGUA </t>
  </si>
  <si>
    <t>ACRESCENTOU A BOMBA DE AGUA HIDRANTE</t>
  </si>
  <si>
    <t>CP-DRE-1</t>
  </si>
  <si>
    <t xml:space="preserve">GRELHA DE FERRO FUNDIDO PARA CANALETA LARG = 30CM, FORNECIMENTO E ASSENTAMENTO </t>
  </si>
  <si>
    <t>CP-SD-1</t>
  </si>
  <si>
    <t>CP-SD-2</t>
  </si>
  <si>
    <t>CP-SD-3</t>
  </si>
  <si>
    <t>CP-SD-4</t>
  </si>
  <si>
    <t>CP-ELE-8</t>
  </si>
  <si>
    <t>CP-ELE-9</t>
  </si>
  <si>
    <t>CP-ELE-18</t>
  </si>
  <si>
    <t>CP-ELE-19</t>
  </si>
  <si>
    <t>CP-ELE-20</t>
  </si>
  <si>
    <t>CP-ELE-21</t>
  </si>
  <si>
    <t>CP-ELE-22</t>
  </si>
  <si>
    <t>CP-ELE-23</t>
  </si>
  <si>
    <t>CP-ELE-24</t>
  </si>
  <si>
    <t>CP-ELE-25</t>
  </si>
  <si>
    <t>CP-ELE-26</t>
  </si>
  <si>
    <t>CP-ELE-27</t>
  </si>
  <si>
    <t>CP-ELE-28</t>
  </si>
  <si>
    <t>CP-ELE-29</t>
  </si>
  <si>
    <t>CP-ELE-30</t>
  </si>
  <si>
    <t>CP-ELE-31</t>
  </si>
  <si>
    <t>CP-ELE-32</t>
  </si>
  <si>
    <t>CP-ELE-33</t>
  </si>
  <si>
    <t>CP-ELE-34</t>
  </si>
  <si>
    <t>CP-ELE-35</t>
  </si>
  <si>
    <t>CP-ELE-36</t>
  </si>
  <si>
    <t>CP-ELE-37</t>
  </si>
  <si>
    <t>CP-ELE-38</t>
  </si>
  <si>
    <t>CP-ELE-39</t>
  </si>
  <si>
    <t>CP-ELE-40</t>
  </si>
  <si>
    <t>CP-ELE-41</t>
  </si>
  <si>
    <t>CP-ELE-42</t>
  </si>
  <si>
    <t>CP-ELE-43</t>
  </si>
  <si>
    <t>CP-ELE-44</t>
  </si>
  <si>
    <t>CP-ELE-45</t>
  </si>
  <si>
    <t>CP-ELE-46</t>
  </si>
  <si>
    <t>CP-ELE-47</t>
  </si>
  <si>
    <t>CP-ELE-48</t>
  </si>
  <si>
    <t>CP-ELE-49</t>
  </si>
  <si>
    <t>CP-ELE-50</t>
  </si>
  <si>
    <t>CP-ELE-51</t>
  </si>
  <si>
    <t>CP-ELE-52</t>
  </si>
  <si>
    <t>CP-ELE-53</t>
  </si>
  <si>
    <t>CP-ELE-54</t>
  </si>
  <si>
    <t>CP-ELE-55</t>
  </si>
  <si>
    <t>CP-ELE-56</t>
  </si>
  <si>
    <t>CP-ELE-57</t>
  </si>
  <si>
    <t>CP-ELE-58</t>
  </si>
  <si>
    <t>CP-ELE-59</t>
  </si>
  <si>
    <t>CP-ELE-60</t>
  </si>
  <si>
    <t>CP-ELE-61</t>
  </si>
  <si>
    <t>CP-ELE-62</t>
  </si>
  <si>
    <t>CP-ELE-63</t>
  </si>
  <si>
    <t>CP-ELE-64</t>
  </si>
  <si>
    <t>CP-ELE-65</t>
  </si>
  <si>
    <t>CP-ELE-66</t>
  </si>
  <si>
    <t>CP-ELE-67</t>
  </si>
  <si>
    <t>CP-ELE-68</t>
  </si>
  <si>
    <t>CP-ELE-69</t>
  </si>
  <si>
    <t>CP-ELE-70</t>
  </si>
  <si>
    <t>CP-ELE-71</t>
  </si>
  <si>
    <t>CP-ELE-72</t>
  </si>
  <si>
    <t>CP-ELE-73</t>
  </si>
  <si>
    <t>CP-HID-9</t>
  </si>
  <si>
    <t>3.17</t>
  </si>
  <si>
    <t xml:space="preserve">SAPATAS </t>
  </si>
  <si>
    <t xml:space="preserve">TOTAL DO SUBITEM </t>
  </si>
  <si>
    <t>5.1.14</t>
  </si>
  <si>
    <t>6.2.1</t>
  </si>
  <si>
    <t>26.2</t>
  </si>
  <si>
    <t>16.1.1.12</t>
  </si>
  <si>
    <t xml:space="preserve">JOELHO DE REDUCAO, PVC SOLDAVEL, 90 GRAUS,  32 MM X 25 MM, PARA AGUA FRIA PREDIAL </t>
  </si>
  <si>
    <t>19.2.26</t>
  </si>
  <si>
    <t>19.2.27</t>
  </si>
  <si>
    <t xml:space="preserve">FOSSA </t>
  </si>
  <si>
    <t>20.4.6</t>
  </si>
  <si>
    <t>20.4.7</t>
  </si>
  <si>
    <t>24.1.1</t>
  </si>
  <si>
    <t>24.1.2</t>
  </si>
  <si>
    <t>24.1.3</t>
  </si>
  <si>
    <t>24.1.4</t>
  </si>
  <si>
    <t>24.1.5</t>
  </si>
  <si>
    <t>24.2.1</t>
  </si>
  <si>
    <t>24.2.2</t>
  </si>
  <si>
    <t>24.2.3</t>
  </si>
  <si>
    <t>24.2.4</t>
  </si>
  <si>
    <t>24.2.5</t>
  </si>
  <si>
    <t>24.2.6</t>
  </si>
  <si>
    <t>24.2.7</t>
  </si>
  <si>
    <t>24.2.8</t>
  </si>
  <si>
    <t>24.2.9</t>
  </si>
  <si>
    <t>24.2.10</t>
  </si>
  <si>
    <t>24.2.11</t>
  </si>
  <si>
    <t>24.2.12</t>
  </si>
  <si>
    <t>24.2.13</t>
  </si>
  <si>
    <t>24.2.14</t>
  </si>
  <si>
    <t>24.2.15</t>
  </si>
  <si>
    <t>24.2.16</t>
  </si>
  <si>
    <t>24.2.17</t>
  </si>
  <si>
    <t>24.2.18</t>
  </si>
  <si>
    <t>24.2.19</t>
  </si>
  <si>
    <t>24.3.1</t>
  </si>
  <si>
    <t>24.3.2</t>
  </si>
  <si>
    <t>24.3.3</t>
  </si>
  <si>
    <t>24.3.4</t>
  </si>
  <si>
    <t>24.3.5</t>
  </si>
  <si>
    <t>24.3.6</t>
  </si>
  <si>
    <t>24.3.7</t>
  </si>
  <si>
    <t>24.3.8</t>
  </si>
  <si>
    <t>24.3.9</t>
  </si>
  <si>
    <t>24.3.10</t>
  </si>
  <si>
    <t>24.3.11</t>
  </si>
  <si>
    <t>24.3.12</t>
  </si>
  <si>
    <t>24.3.13</t>
  </si>
  <si>
    <t>24.3.14</t>
  </si>
  <si>
    <t>24.3.15</t>
  </si>
  <si>
    <t>24.3.16</t>
  </si>
  <si>
    <t>24.3.17</t>
  </si>
  <si>
    <t>24.3.18</t>
  </si>
  <si>
    <t>24.3.19</t>
  </si>
  <si>
    <t>24.3.20</t>
  </si>
  <si>
    <t>24.3.21</t>
  </si>
  <si>
    <t>24.3.22</t>
  </si>
  <si>
    <t>24.3.23</t>
  </si>
  <si>
    <t>24.3.24</t>
  </si>
  <si>
    <t>24.3.25</t>
  </si>
  <si>
    <t>24.3.26</t>
  </si>
  <si>
    <t>24.3.28</t>
  </si>
  <si>
    <t>24.3.29</t>
  </si>
  <si>
    <t>24.3.30</t>
  </si>
  <si>
    <t>24.3.31</t>
  </si>
  <si>
    <t>24.3.32</t>
  </si>
  <si>
    <t>24.3.33</t>
  </si>
  <si>
    <t>24.3.34</t>
  </si>
  <si>
    <t>24.3.35</t>
  </si>
  <si>
    <t>24.3.36</t>
  </si>
  <si>
    <t>24.3.37</t>
  </si>
  <si>
    <t>24.4.1</t>
  </si>
  <si>
    <t>24.4.2</t>
  </si>
  <si>
    <t>24.4.3</t>
  </si>
  <si>
    <t>24.4.4</t>
  </si>
  <si>
    <t>24.5.1</t>
  </si>
  <si>
    <t>24.5.2</t>
  </si>
  <si>
    <t>24.5.3</t>
  </si>
  <si>
    <t>24.5.4</t>
  </si>
  <si>
    <t>24.5.5</t>
  </si>
  <si>
    <t>24.5.6</t>
  </si>
  <si>
    <t>24.6.1</t>
  </si>
  <si>
    <t>24.6.2</t>
  </si>
  <si>
    <t>24.6.3</t>
  </si>
  <si>
    <t>24.6.4</t>
  </si>
  <si>
    <t>24.6.5</t>
  </si>
  <si>
    <t>24.6.6</t>
  </si>
  <si>
    <t>24.6.7</t>
  </si>
  <si>
    <t>24.6.8</t>
  </si>
  <si>
    <t>24.6.9</t>
  </si>
  <si>
    <t>24.6.10</t>
  </si>
  <si>
    <t>24.6.11</t>
  </si>
  <si>
    <t>24.6.12</t>
  </si>
  <si>
    <t>24.6.13</t>
  </si>
  <si>
    <t>24.6.14</t>
  </si>
  <si>
    <t>24.6.15</t>
  </si>
  <si>
    <t>24.6.16</t>
  </si>
  <si>
    <t>24.6.17</t>
  </si>
  <si>
    <t>24.6.18</t>
  </si>
  <si>
    <t>24.6.19</t>
  </si>
  <si>
    <t>24.6.20</t>
  </si>
  <si>
    <t>24.6.21</t>
  </si>
  <si>
    <t>24.6.22</t>
  </si>
  <si>
    <t>24.6.23</t>
  </si>
  <si>
    <t>24.6.24</t>
  </si>
  <si>
    <t>24.6.25</t>
  </si>
  <si>
    <t>24.7.1</t>
  </si>
  <si>
    <t>24.7.2</t>
  </si>
  <si>
    <t>24.7.4</t>
  </si>
  <si>
    <t>24.7.3</t>
  </si>
  <si>
    <t>24.7.5</t>
  </si>
  <si>
    <t>25.7</t>
  </si>
  <si>
    <t>25.8</t>
  </si>
  <si>
    <t>25.9</t>
  </si>
  <si>
    <t>26.1</t>
  </si>
  <si>
    <t>26.6</t>
  </si>
  <si>
    <t>26.7</t>
  </si>
  <si>
    <t>26.3</t>
  </si>
  <si>
    <t>26.4</t>
  </si>
  <si>
    <t>26.5</t>
  </si>
  <si>
    <t>26.8</t>
  </si>
  <si>
    <t>27.3</t>
  </si>
  <si>
    <t>27.2</t>
  </si>
  <si>
    <t>27.4</t>
  </si>
  <si>
    <t>27.5</t>
  </si>
  <si>
    <t>28.0</t>
  </si>
  <si>
    <t>28.1</t>
  </si>
  <si>
    <t>Composições Analíticas com Preço Unitário</t>
  </si>
  <si>
    <t>Bancos</t>
  </si>
  <si>
    <t>B.D.I.</t>
  </si>
  <si>
    <t>Encargos Sociais</t>
  </si>
  <si>
    <t>EMEB JUVENILIA</t>
  </si>
  <si>
    <t>Composições Principais</t>
  </si>
  <si>
    <t xml:space="preserve"> 1.1 </t>
  </si>
  <si>
    <t>Código</t>
  </si>
  <si>
    <t>Banco</t>
  </si>
  <si>
    <t>Descrição</t>
  </si>
  <si>
    <t>Tipo</t>
  </si>
  <si>
    <t>Und</t>
  </si>
  <si>
    <t>Quant.</t>
  </si>
  <si>
    <t>Valor Unit</t>
  </si>
  <si>
    <t>Total</t>
  </si>
  <si>
    <t>Composição</t>
  </si>
  <si>
    <t>SEDI - SERVIÇOS DIVERSOS</t>
  </si>
  <si>
    <t>Composição Auxiliar</t>
  </si>
  <si>
    <t>Insumo</t>
  </si>
  <si>
    <t>Mão de Obra</t>
  </si>
  <si>
    <t>Equipamento</t>
  </si>
  <si>
    <t>Outros</t>
  </si>
  <si>
    <t>Taxas</t>
  </si>
  <si>
    <t>MO sem LS =&gt;</t>
  </si>
  <si>
    <t>LS =&gt;</t>
  </si>
  <si>
    <t>MO com LS =&gt;</t>
  </si>
  <si>
    <t>Valor do BDI =&gt;</t>
  </si>
  <si>
    <t>Valor com BDI =&gt;</t>
  </si>
  <si>
    <t xml:space="preserve"> 1.2 </t>
  </si>
  <si>
    <t>Material</t>
  </si>
  <si>
    <t xml:space="preserve"> 1.3 </t>
  </si>
  <si>
    <t>Serviços</t>
  </si>
  <si>
    <t xml:space="preserve"> 2.1 </t>
  </si>
  <si>
    <t>URBA - URBANIZAÇÃO</t>
  </si>
  <si>
    <t>m²</t>
  </si>
  <si>
    <t>CHOR - CUSTOS HORÁRIOS DE MÁQUINAS E EQUIPAMENTOS</t>
  </si>
  <si>
    <t xml:space="preserve"> 88316 </t>
  </si>
  <si>
    <t xml:space="preserve"> 2.2 </t>
  </si>
  <si>
    <t>MOVT - MOVIMENTO DE TERRA</t>
  </si>
  <si>
    <t>m³</t>
  </si>
  <si>
    <t xml:space="preserve"> 2.3 </t>
  </si>
  <si>
    <t xml:space="preserve"> 2.4 </t>
  </si>
  <si>
    <t>CANT - CANTEIRO DE OBRAS</t>
  </si>
  <si>
    <t>FUES - FUNDAÇÕES E ESTRUTURAS</t>
  </si>
  <si>
    <t xml:space="preserve"> 3.1 </t>
  </si>
  <si>
    <t>SERP - SERVIÇOS PRELIMINARES</t>
  </si>
  <si>
    <t xml:space="preserve"> 3.3 </t>
  </si>
  <si>
    <t xml:space="preserve"> 3.4 </t>
  </si>
  <si>
    <t xml:space="preserve"> 3.5 </t>
  </si>
  <si>
    <t xml:space="preserve"> 3.6 </t>
  </si>
  <si>
    <t xml:space="preserve"> 3.7 </t>
  </si>
  <si>
    <t xml:space="preserve"> 3.8 </t>
  </si>
  <si>
    <t xml:space="preserve"> 3.10 </t>
  </si>
  <si>
    <t xml:space="preserve"> 3.11 </t>
  </si>
  <si>
    <t xml:space="preserve"> 88309 </t>
  </si>
  <si>
    <t xml:space="preserve"> 3.12 </t>
  </si>
  <si>
    <t xml:space="preserve"> 3.14 </t>
  </si>
  <si>
    <t xml:space="preserve"> 3.15 </t>
  </si>
  <si>
    <t xml:space="preserve"> 3.16 </t>
  </si>
  <si>
    <t xml:space="preserve"> 3.18 </t>
  </si>
  <si>
    <t xml:space="preserve"> 74010/001 </t>
  </si>
  <si>
    <t xml:space="preserve"> 5.1.1 </t>
  </si>
  <si>
    <t xml:space="preserve"> 5.1.2 </t>
  </si>
  <si>
    <t xml:space="preserve"> 5.1.3 </t>
  </si>
  <si>
    <t xml:space="preserve"> 5.1.4 </t>
  </si>
  <si>
    <t xml:space="preserve"> 5.1.5 </t>
  </si>
  <si>
    <t xml:space="preserve"> 5.1.6 </t>
  </si>
  <si>
    <t xml:space="preserve"> 5.1.7 </t>
  </si>
  <si>
    <t xml:space="preserve"> 5.1.8 </t>
  </si>
  <si>
    <t xml:space="preserve"> 5.1.9 </t>
  </si>
  <si>
    <t xml:space="preserve"> 5.1.10 </t>
  </si>
  <si>
    <t xml:space="preserve"> 5.1.11 </t>
  </si>
  <si>
    <t>IMPE - IMPERMEABILIZAÇÕES E PROTEÇÕES DIVERSAS</t>
  </si>
  <si>
    <t xml:space="preserve"> 5.1.12 </t>
  </si>
  <si>
    <t xml:space="preserve"> 5.1.14 </t>
  </si>
  <si>
    <t xml:space="preserve"> 5.2.1 </t>
  </si>
  <si>
    <t xml:space="preserve"> 5.2.5 </t>
  </si>
  <si>
    <t xml:space="preserve"> 5.2.6 </t>
  </si>
  <si>
    <t xml:space="preserve"> 5.2.9 </t>
  </si>
  <si>
    <t xml:space="preserve"> 6.1.6 </t>
  </si>
  <si>
    <t xml:space="preserve"> 6.2.4 </t>
  </si>
  <si>
    <t xml:space="preserve"> 6.2.6 </t>
  </si>
  <si>
    <t xml:space="preserve"> 7.1 </t>
  </si>
  <si>
    <t xml:space="preserve"> 7.2 </t>
  </si>
  <si>
    <t xml:space="preserve"> 7.3 </t>
  </si>
  <si>
    <t>PARE - PAREDES/PAINEIS</t>
  </si>
  <si>
    <t>CENTO</t>
  </si>
  <si>
    <t xml:space="preserve"> 8.1 </t>
  </si>
  <si>
    <t>COBE - COBERTURA</t>
  </si>
  <si>
    <t xml:space="preserve"> 8.2 </t>
  </si>
  <si>
    <t xml:space="preserve"> 8.3 </t>
  </si>
  <si>
    <t xml:space="preserve"> 8.4 </t>
  </si>
  <si>
    <t xml:space="preserve"> 8.5 </t>
  </si>
  <si>
    <t>PINT - PINTURAS</t>
  </si>
  <si>
    <t>18L</t>
  </si>
  <si>
    <t xml:space="preserve"> 9.1 </t>
  </si>
  <si>
    <t>CJ</t>
  </si>
  <si>
    <t xml:space="preserve"> 9.3 </t>
  </si>
  <si>
    <t xml:space="preserve"> 10.3 </t>
  </si>
  <si>
    <t>ESQV - ESQUADRIAS/FERRAGENS/VIDROS</t>
  </si>
  <si>
    <t xml:space="preserve"> 10.4 </t>
  </si>
  <si>
    <t xml:space="preserve"> 11.1 </t>
  </si>
  <si>
    <t>PISO - PISOS</t>
  </si>
  <si>
    <t xml:space="preserve"> 11.2 </t>
  </si>
  <si>
    <t xml:space="preserve"> 11.3 </t>
  </si>
  <si>
    <t xml:space="preserve"> 11.4 </t>
  </si>
  <si>
    <t xml:space="preserve"> 00001381 </t>
  </si>
  <si>
    <t xml:space="preserve"> 11.5 </t>
  </si>
  <si>
    <t xml:space="preserve"> 11.6 </t>
  </si>
  <si>
    <t xml:space="preserve"> 11.7 </t>
  </si>
  <si>
    <t>DROP - DRENAGEM/OBRAS DE CONTENÇÃO / POÇOS DE VISITA E CAIXAS</t>
  </si>
  <si>
    <t xml:space="preserve"> 12.2 </t>
  </si>
  <si>
    <t>REVE - REVESTIMENTO E TRATAMENTO DE SUPERFÍCIES</t>
  </si>
  <si>
    <t xml:space="preserve"> 12.3 </t>
  </si>
  <si>
    <t xml:space="preserve"> 12.4 </t>
  </si>
  <si>
    <t xml:space="preserve"> 12.5 </t>
  </si>
  <si>
    <t xml:space="preserve"> 13.1 </t>
  </si>
  <si>
    <t xml:space="preserve"> 73774/001 </t>
  </si>
  <si>
    <t xml:space="preserve"> 14.1 </t>
  </si>
  <si>
    <t xml:space="preserve"> 15.1.2 </t>
  </si>
  <si>
    <t xml:space="preserve"> 15.1.3 </t>
  </si>
  <si>
    <t xml:space="preserve"> 17.1 </t>
  </si>
  <si>
    <t xml:space="preserve"> 18.1 </t>
  </si>
  <si>
    <t xml:space="preserve"> 74245/001 </t>
  </si>
  <si>
    <t xml:space="preserve"> 19.1.2 </t>
  </si>
  <si>
    <t xml:space="preserve"> 19.2.1 </t>
  </si>
  <si>
    <t>INES - INSTALAÇÕES ESPECIAIS</t>
  </si>
  <si>
    <t xml:space="preserve"> 19.2.3 </t>
  </si>
  <si>
    <t>INHI - INSTALAÇÕES HIDROS SANITÁRIAS</t>
  </si>
  <si>
    <t xml:space="preserve"> 19.2.4 </t>
  </si>
  <si>
    <t xml:space="preserve"> 19.2.5 </t>
  </si>
  <si>
    <t xml:space="preserve"> 19.2.6 </t>
  </si>
  <si>
    <t xml:space="preserve"> 19.2.7 </t>
  </si>
  <si>
    <t xml:space="preserve"> 19.2.8 </t>
  </si>
  <si>
    <t xml:space="preserve"> 19.2.9 </t>
  </si>
  <si>
    <t xml:space="preserve"> 19.2.10 </t>
  </si>
  <si>
    <t xml:space="preserve"> 19.2.11 </t>
  </si>
  <si>
    <t xml:space="preserve"> 19.2.12 </t>
  </si>
  <si>
    <t xml:space="preserve"> 19.2.13 </t>
  </si>
  <si>
    <t xml:space="preserve"> 19.2.15 </t>
  </si>
  <si>
    <t xml:space="preserve"> 19.2.16 </t>
  </si>
  <si>
    <t xml:space="preserve"> 19.2.17 </t>
  </si>
  <si>
    <t xml:space="preserve"> 19.2.18 </t>
  </si>
  <si>
    <t xml:space="preserve"> 19.2.19 </t>
  </si>
  <si>
    <t xml:space="preserve"> 19.2.20 </t>
  </si>
  <si>
    <t xml:space="preserve"> 19.2.22 </t>
  </si>
  <si>
    <t xml:space="preserve"> 19.2.23 </t>
  </si>
  <si>
    <t xml:space="preserve"> 19.2.24 </t>
  </si>
  <si>
    <t xml:space="preserve"> 19.2.25 </t>
  </si>
  <si>
    <t xml:space="preserve"> 19.3.2 </t>
  </si>
  <si>
    <t xml:space="preserve"> 19.3.3 </t>
  </si>
  <si>
    <t xml:space="preserve"> 19.3.11 </t>
  </si>
  <si>
    <t xml:space="preserve"> 19.3.12 </t>
  </si>
  <si>
    <t xml:space="preserve"> 19.3.13 </t>
  </si>
  <si>
    <t xml:space="preserve"> 20.1.2 </t>
  </si>
  <si>
    <t xml:space="preserve"> 20.1.3 </t>
  </si>
  <si>
    <t xml:space="preserve"> 20.2..4 </t>
  </si>
  <si>
    <t xml:space="preserve"> 20.2..5 </t>
  </si>
  <si>
    <t xml:space="preserve"> 20.2..7 </t>
  </si>
  <si>
    <t xml:space="preserve"> 20.2..8 </t>
  </si>
  <si>
    <t xml:space="preserve"> 20.2..9 </t>
  </si>
  <si>
    <t xml:space="preserve"> 20.2..10 </t>
  </si>
  <si>
    <t xml:space="preserve"> 20.2..11 </t>
  </si>
  <si>
    <t xml:space="preserve"> 20.2..13 </t>
  </si>
  <si>
    <t xml:space="preserve"> 20.2..14 </t>
  </si>
  <si>
    <t xml:space="preserve"> 20.2..15 </t>
  </si>
  <si>
    <t xml:space="preserve"> 20.2..16 </t>
  </si>
  <si>
    <t xml:space="preserve"> 20.2..17 </t>
  </si>
  <si>
    <t xml:space="preserve"> 20.3.4 </t>
  </si>
  <si>
    <t xml:space="preserve"> 21.1.3 </t>
  </si>
  <si>
    <t xml:space="preserve"> 21.1.4 </t>
  </si>
  <si>
    <t xml:space="preserve"> 21.1.5 </t>
  </si>
  <si>
    <t xml:space="preserve"> 21.1.6 </t>
  </si>
  <si>
    <t xml:space="preserve"> 21.2.2 </t>
  </si>
  <si>
    <t xml:space="preserve"> 21.2.3 </t>
  </si>
  <si>
    <t xml:space="preserve"> 22.2 </t>
  </si>
  <si>
    <t xml:space="preserve"> 22.6 </t>
  </si>
  <si>
    <t xml:space="preserve"> 22.7 </t>
  </si>
  <si>
    <t xml:space="preserve"> 22.8 </t>
  </si>
  <si>
    <t xml:space="preserve"> 22.10 </t>
  </si>
  <si>
    <t xml:space="preserve"> 22.11 </t>
  </si>
  <si>
    <t xml:space="preserve"> 23.2.1 </t>
  </si>
  <si>
    <t>INEL - INSTALAÇÃO ELÉTRICA/ELETRIFICAÇÃO E ILUMINAÇÃO EXTERNA</t>
  </si>
  <si>
    <t xml:space="preserve"> 23.2.2 </t>
  </si>
  <si>
    <t xml:space="preserve"> 23.2.3 </t>
  </si>
  <si>
    <t xml:space="preserve"> 23.2.4 </t>
  </si>
  <si>
    <t xml:space="preserve"> 23.2.5 </t>
  </si>
  <si>
    <t xml:space="preserve"> 23.3.1 </t>
  </si>
  <si>
    <t xml:space="preserve"> 23.3.2 </t>
  </si>
  <si>
    <t xml:space="preserve"> 23.3.3 </t>
  </si>
  <si>
    <t xml:space="preserve"> 23.3.4 </t>
  </si>
  <si>
    <t xml:space="preserve"> 23.3.5 </t>
  </si>
  <si>
    <t xml:space="preserve"> 23.3.6 </t>
  </si>
  <si>
    <t xml:space="preserve"> 23.3.8 </t>
  </si>
  <si>
    <t xml:space="preserve"> 23.3.9 </t>
  </si>
  <si>
    <t xml:space="preserve"> 23.3.10 </t>
  </si>
  <si>
    <t xml:space="preserve"> 23.3.11 </t>
  </si>
  <si>
    <t xml:space="preserve"> 23.3.12 </t>
  </si>
  <si>
    <t xml:space="preserve"> 23.3.13 </t>
  </si>
  <si>
    <t xml:space="preserve"> 23.3.14 </t>
  </si>
  <si>
    <t xml:space="preserve"> 23.3.15 </t>
  </si>
  <si>
    <t xml:space="preserve"> 23.3.16 </t>
  </si>
  <si>
    <t xml:space="preserve"> 23.3.17 </t>
  </si>
  <si>
    <t xml:space="preserve"> 23.3.18 </t>
  </si>
  <si>
    <t xml:space="preserve"> 23.3.19 </t>
  </si>
  <si>
    <t xml:space="preserve"> 23.3.20 </t>
  </si>
  <si>
    <t xml:space="preserve"> 23.3.21 </t>
  </si>
  <si>
    <t xml:space="preserve"> 23.3.22 </t>
  </si>
  <si>
    <t xml:space="preserve"> 23.3.23 </t>
  </si>
  <si>
    <t xml:space="preserve"> 23.3.33 </t>
  </si>
  <si>
    <t xml:space="preserve"> 23.3.34 </t>
  </si>
  <si>
    <t xml:space="preserve"> 23.3.36 </t>
  </si>
  <si>
    <t xml:space="preserve"> 23.3.37 </t>
  </si>
  <si>
    <t xml:space="preserve"> 74131/004 </t>
  </si>
  <si>
    <t xml:space="preserve"> 74131/005 </t>
  </si>
  <si>
    <t xml:space="preserve"> 24.2.15 </t>
  </si>
  <si>
    <t xml:space="preserve"> 24.2.17 </t>
  </si>
  <si>
    <t xml:space="preserve"> 24.2.19 </t>
  </si>
  <si>
    <t xml:space="preserve"> 24.3.36 </t>
  </si>
  <si>
    <t xml:space="preserve"> 24.3.37 </t>
  </si>
  <si>
    <t xml:space="preserve"> 24.7.1 </t>
  </si>
  <si>
    <t xml:space="preserve"> 25.1 </t>
  </si>
  <si>
    <t>310ML</t>
  </si>
  <si>
    <t xml:space="preserve"> 25.3 </t>
  </si>
  <si>
    <t xml:space="preserve"> 26.1 </t>
  </si>
  <si>
    <t xml:space="preserve"> 73775/002 </t>
  </si>
  <si>
    <t xml:space="preserve"> 26.2 </t>
  </si>
  <si>
    <t xml:space="preserve"> 26.3 </t>
  </si>
  <si>
    <t xml:space="preserve"> 26.5 </t>
  </si>
  <si>
    <t xml:space="preserve"> 26.6 </t>
  </si>
  <si>
    <t xml:space="preserve"> 27.4 </t>
  </si>
  <si>
    <t>Composições Auxiliares</t>
  </si>
  <si>
    <t>KW/H</t>
  </si>
  <si>
    <t>Total sem BDI</t>
  </si>
  <si>
    <t>Total do BDI</t>
  </si>
  <si>
    <t>Total Geral</t>
  </si>
  <si>
    <t>ELÉTRICA - QGBT</t>
  </si>
  <si>
    <t>24.1.6</t>
  </si>
  <si>
    <t xml:space="preserve">ESCOLA TODA </t>
  </si>
  <si>
    <t>9.4</t>
  </si>
  <si>
    <t xml:space="preserve"> 74111/001 </t>
  </si>
  <si>
    <t xml:space="preserve"> 00020249 </t>
  </si>
  <si>
    <t>ENDEREÇO: RUA PRINCIPAL, BAIRRO: ENGORDADOR</t>
  </si>
  <si>
    <t xml:space="preserve">OBRA: REFORMA E AMPLIAÇÃO DA UNIDADE ESCOLAR </t>
  </si>
  <si>
    <t>GIOVANNA RODRIGUES MONTEIRO MAYER</t>
  </si>
  <si>
    <t>Engenheira Civil CREA MT: 49049</t>
  </si>
  <si>
    <t xml:space="preserve">ISRAEL ROSBERG COSTA </t>
  </si>
  <si>
    <t>Engenheiro Eletricista CREA: 048484</t>
  </si>
  <si>
    <t>ACO CA-25, 16,0 MM, BARRA DE TRANSFERENCIA</t>
  </si>
  <si>
    <t>CHAPA/BOBINA LISA EM ALUMINIO, LIGA 1.200 - H14, QUALQUER ESPESSURA, QUALQUER LARGURA</t>
  </si>
  <si>
    <t>QUADRO DE DISTRIBUICAO COM BARRAMENTO TRIFASICO, DE SOBREPOR, EM CHAPA DE ACO GALVANIZADO, PARA *42* DISJUNTORES DIN, 100 A</t>
  </si>
  <si>
    <t>TELHA GALVALUME COM ISOLAMENTO TERMOACUSTICO EM ESPUMA RIGIDA DE POLIURETANO (PU) INJETADO, ESPESSURA DE 30 MM, DENSIDADE DE 35 KG/M3, COM DUAS FACES TRAPEZOIDAIS, ACABAMENTO NATURAL (NAO INCLUI ACESSORIOS DE FIXACAO)</t>
  </si>
  <si>
    <t>ESTACA RAÍZ, DIÂMETRO DE 20CM, SEM PRESENÇA DE ROCHA (EXCLUSIVE MOBILIZAÇÃO E DESMOBILIZAÇÃO). AF_03/2020</t>
  </si>
  <si>
    <t>ESTACA RAÍZ, DIÂMETRO DE 31CM, SEM PRESENÇA DE ROCHA (EXCLUSIVE MOBILIZAÇÃO E DESMOBILIZAÇÃO). AF_03/2020</t>
  </si>
  <si>
    <t>ESTACA RAÍZ, DIÂMETRO DE 40CM, SEM PRESENÇA DE ROCHA (EXCLUSIVE MOBILIZAÇÃO E DESMOBILIZAÇÃO). AF_03/2020</t>
  </si>
  <si>
    <t>ESTACA RAÍZ, DIÂMETRO DE 45CM, SEM PRESENÇA DE ROCHA (EXCLUSIVE MOBILIZAÇÃO E DESMOBILIZAÇÃO). AF_03/2020</t>
  </si>
  <si>
    <t>ESTACA RAÍZ, DIÂMETRO DE 20CM, PERFURADA EM ROCHA (EXCLUSIVE MOBILIZAÇÃO E DESMOBILIZAÇÃO). AF_03/2020</t>
  </si>
  <si>
    <t>ESTACA RAÍZ, DIÂMETRO DE 31CM, PERFURADA EM ROCHA (EXCLUSIVE MOBILIZAÇÃO E DESMOBILIZAÇÃO). AF_03/2020</t>
  </si>
  <si>
    <t>ESTACA RAÍZ, DIÂMETRO DE 40CM, PERFURADA EM ROCHA (EXCLUSIVE MOBILIZAÇÃO E DESMOBILIZAÇÃO). AF_03/2020</t>
  </si>
  <si>
    <t>ESTACA RAÍZ, DIÂMETRO DE 45CM, PERFURADA EM ROCHA (EXCLUSIVE MOBILIZAÇÃO E DESMOBILIZAÇÃO). AF_03/2020</t>
  </si>
  <si>
    <t>IMPERMEABILIZAÇÃO DE SUPERFÍCIE COM MEMBRANA À BASE DE POLIURETANO, 2 DEMÃOS. AF_06/2018</t>
  </si>
  <si>
    <t>IMPERMEABILIZAÇÃO DE SUPERFÍCIE COM MEMBRANA À BASE DE RESINA ACRÍLICA, 3 DEMÃOS. AF_06/2018</t>
  </si>
  <si>
    <t>BANCADA DE GRANITO CINZA POLIDO, DE 1,50 X 0,60 M, PARA PIA DE COZINHA - FORNECIMENTO E INSTALAÇÃO. AF_01/2020</t>
  </si>
  <si>
    <t>BANCADA DE MÁRMORE BRANCO POLIDO, DE 1,50 X 0,60 M, PARA PIA DE COZINHA - FORNECIMENTO E INSTALAÇÃO. AF_01/2020</t>
  </si>
  <si>
    <t>BANCADA DE MÁRMORE SINTÉTICO, DE 120 X 60CM, COM CUBA INTEGRADA - FORNECIMENTO E INSTALAÇÃO. AF_01/2020</t>
  </si>
  <si>
    <t>BANCADA DE GRANITO CINZA POLIDO, DE 0,50 X 0,60 M, PARA LAVATÓRIO - FORNECIMENTO E INSTALAÇÃO. AF_01/2020</t>
  </si>
  <si>
    <t>BANCADA DE MÁRMORE BRANCO POLIDO, DE 0,50 X 0,60 M, PARA LAVATÓRIO - FORNECIMENTO E INSTALAÇÃO. AF_01/2020</t>
  </si>
  <si>
    <t>EXECUÇÃO E COMPACTAÇÃO DE BASE E OU SUB BASE PARA PAVIMENTAÇÃO DE SOLO (PREDOMINANTEMENTE ARENOSO) COM CIMENTO (TEOR DE 2%) - EXCLUSIVE SOLO, ESCAVAÇÃO, CARGA E TRANSPORTE. AF_11/2019</t>
  </si>
  <si>
    <t>EXECUÇÃO E COMPACTAÇÃO DE BASE E OU SUB BASE PARA PAVIMENTAÇÃO DE SOLO (PREDOMINANTEMENTE ARENOSO) COM CIMENTO (TEOR DE 4%) - EXCLUSIVE SOLO, ESCAVAÇÃO, CARGA E TRANSPORTE. AF_11/2019</t>
  </si>
  <si>
    <t>EXECUÇÃO E COMPACTAÇÃO DE BASE E OU SUB BASE PARA PAVIMENTAÇÃO DE PEDRA RACHÃO  - EXCLUSIVE CARGA E TRANSPORTE. AF_11/2019</t>
  </si>
  <si>
    <t>USINAGEM DE BRITA GRADUADA SIMPLES. AF_03/2020</t>
  </si>
  <si>
    <t>USINAGEM DE BRITA GRADUADA TRATADA COM CIMENTO. AF_03/2020</t>
  </si>
  <si>
    <t>USINAGEM DE CONCRETO PARA COMPACTAÇÃO COM ROLO. AF_03/2020</t>
  </si>
  <si>
    <t>USINAGEM DE CONCRETO ASFÁLTICO COM CAP 50/70, PARA CAMADA DE BINDER, PADRÃO DNIT FAIXA B, EM USINA DE ASFALTO CONTÍNUA DE 80 TON/H. AF_03/2020</t>
  </si>
  <si>
    <t>USINAGEM DE CONCRETO ASFÁLTICO COM CAP 50/70, PARA CAMADA DE ROLAMENTO, PADRÃO DNIT FAIXA C, EM USINA DE ASFALTO CONTÍNUA DE 80 TON/H. AF_03/2020</t>
  </si>
  <si>
    <t>USINAGEM DE CONCRETO ASFÁLTICO COM CAP 50/70, PARA CAMADA DE BINDER, PADRÃO DNIT FAIXA B, EM USINA DE ASFALTO CONTÍNUA DE 140 TON/H. AF_03/2020_P</t>
  </si>
  <si>
    <t>USINAGEM DE CONCRETO ASFÁLTICO COM CAP 50/70, PARA CAMADA DE ROLAMENTO, PADRÃO DNIT FAIXA C, EM USINA DE ASFALTO CONTÍNUA DE 140 TON/H. AF_03/2020_P</t>
  </si>
  <si>
    <t>USINAGEM DE CONCRETO ASFÁLTICO COM CAP 50/70, PARA CAMADA DE BINDER, PADRÃO DNIT FAIXA B, EM USINA DE ASFALTO GRAVIMÉTRICA DE 150 TON/H. AF_03/2020_P</t>
  </si>
  <si>
    <t>USINAGEM DE CONCRETO ASFÁLTICO COM CAP 50/70 PARA CAMADA DE ROLAMENTO, PADRÃO DNIT FAIXA C, EM USINA DE ASFALTO GRAVIMÉTRICA DE 150 TON/H. AF_03/2020_P</t>
  </si>
  <si>
    <t>USINAGEM DE PRÉ MISTURADO A FRIO, PARA CAMADA DE BINDER, PADRÃO DNIT FAIXA B. AF_03/2020_P</t>
  </si>
  <si>
    <t>USINAGEM DE PRÉ MISTURADO A FRIO, PARA CAMADA DE ROLAMENTO, PADRÃO DNIT FAIXA C. AF_03/2020_P</t>
  </si>
  <si>
    <t>ARGAMASSA TRAÇO 1:1,93 (EM VOLUME DE CIMENTO E AREIA MÉDIA ÚMIDA), FCK 20 MPA, PREPARO MECÂNICO COM MISTURADOR DUPLO HORIZONTAL DE ALTA TURBULÊNCIA. AF_03/2020</t>
  </si>
  <si>
    <t>Mureta em alvenaria 1 vez dim 3,00x1,20metros para QGBT</t>
  </si>
  <si>
    <t>radier</t>
  </si>
  <si>
    <t>mureta</t>
  </si>
  <si>
    <t>laje</t>
  </si>
  <si>
    <t>MALHA  COM TELA DE AÇO NERVURADO COM  BITOLA DE 5MM COM ESPAÇAMENTO DE 10X 10 CM</t>
  </si>
  <si>
    <t>24.1.7</t>
  </si>
  <si>
    <t xml:space="preserve"> 00006153 </t>
  </si>
  <si>
    <t xml:space="preserve"> 00003146 </t>
  </si>
  <si>
    <t xml:space="preserve"> 88267 </t>
  </si>
  <si>
    <t xml:space="preserve"> 86879 </t>
  </si>
  <si>
    <t xml:space="preserve"> 00006157 </t>
  </si>
  <si>
    <t xml:space="preserve"> 86878 </t>
  </si>
  <si>
    <t xml:space="preserve"> 00037588 </t>
  </si>
  <si>
    <t xml:space="preserve"> 86877 </t>
  </si>
  <si>
    <t xml:space="preserve"> 00002705 </t>
  </si>
  <si>
    <t xml:space="preserve"> 90585 </t>
  </si>
  <si>
    <t xml:space="preserve"> 00013896 </t>
  </si>
  <si>
    <t xml:space="preserve"> 90584 </t>
  </si>
  <si>
    <t xml:space="preserve"> 90583 </t>
  </si>
  <si>
    <t xml:space="preserve"> 90582 </t>
  </si>
  <si>
    <t xml:space="preserve"> 90586 </t>
  </si>
  <si>
    <t xml:space="preserve"> 90587 </t>
  </si>
  <si>
    <t xml:space="preserve"> 5903 </t>
  </si>
  <si>
    <t xml:space="preserve"> 5901 </t>
  </si>
  <si>
    <t xml:space="preserve"> 95606 </t>
  </si>
  <si>
    <t xml:space="preserve"> 00037371 </t>
  </si>
  <si>
    <t xml:space="preserve"> 00037373 </t>
  </si>
  <si>
    <t xml:space="preserve"> 00004237 </t>
  </si>
  <si>
    <t xml:space="preserve"> 00043464 </t>
  </si>
  <si>
    <t xml:space="preserve"> 00037372 </t>
  </si>
  <si>
    <t xml:space="preserve"> 00043488 </t>
  </si>
  <si>
    <t xml:space="preserve"> 00037370 </t>
  </si>
  <si>
    <t xml:space="preserve"> 95386 </t>
  </si>
  <si>
    <t xml:space="preserve"> 88324 </t>
  </si>
  <si>
    <t xml:space="preserve"> 00004221 </t>
  </si>
  <si>
    <t xml:space="preserve"> 53817 </t>
  </si>
  <si>
    <t xml:space="preserve"> 00007622 </t>
  </si>
  <si>
    <t xml:space="preserve"> 5724 </t>
  </si>
  <si>
    <t xml:space="preserve"> 89030 </t>
  </si>
  <si>
    <t xml:space="preserve"> 89029 </t>
  </si>
  <si>
    <t xml:space="preserve"> 89032 </t>
  </si>
  <si>
    <t xml:space="preserve"> 89031 </t>
  </si>
  <si>
    <t xml:space="preserve"> 00011831 </t>
  </si>
  <si>
    <t xml:space="preserve"> 86916 </t>
  </si>
  <si>
    <t xml:space="preserve"> 00013415 </t>
  </si>
  <si>
    <t xml:space="preserve"> 86906 </t>
  </si>
  <si>
    <t xml:space="preserve"> 00036791 </t>
  </si>
  <si>
    <t xml:space="preserve"> 86915 </t>
  </si>
  <si>
    <t xml:space="preserve"> 00038101 </t>
  </si>
  <si>
    <t xml:space="preserve"> 88264 </t>
  </si>
  <si>
    <t xml:space="preserve"> 88247 </t>
  </si>
  <si>
    <t xml:space="preserve"> 91994 </t>
  </si>
  <si>
    <t xml:space="preserve"> 00038102 </t>
  </si>
  <si>
    <t xml:space="preserve"> 92007 </t>
  </si>
  <si>
    <t xml:space="preserve"> 92006 </t>
  </si>
  <si>
    <t xml:space="preserve"> 91991 </t>
  </si>
  <si>
    <t xml:space="preserve"> 91990 </t>
  </si>
  <si>
    <t xml:space="preserve"> 00012869 </t>
  </si>
  <si>
    <t xml:space="preserve"> 00043459 </t>
  </si>
  <si>
    <t xml:space="preserve"> 00043483 </t>
  </si>
  <si>
    <t xml:space="preserve"> 95385 </t>
  </si>
  <si>
    <t xml:space="preserve"> 88323 </t>
  </si>
  <si>
    <t xml:space="preserve"> 00020271 </t>
  </si>
  <si>
    <t xml:space="preserve"> 00037329 </t>
  </si>
  <si>
    <t xml:space="preserve"> 00004351 </t>
  </si>
  <si>
    <t xml:space="preserve"> 86872 </t>
  </si>
  <si>
    <t xml:space="preserve"> 00038099 </t>
  </si>
  <si>
    <t xml:space="preserve"> 00038094 </t>
  </si>
  <si>
    <t xml:space="preserve"> 91946 </t>
  </si>
  <si>
    <t xml:space="preserve"> 00006136 </t>
  </si>
  <si>
    <t xml:space="preserve"> 86881 </t>
  </si>
  <si>
    <t xml:space="preserve"> 00006148 </t>
  </si>
  <si>
    <t xml:space="preserve"> 86883 </t>
  </si>
  <si>
    <t xml:space="preserve"> 00006111 </t>
  </si>
  <si>
    <t xml:space="preserve"> 00043467 </t>
  </si>
  <si>
    <t xml:space="preserve"> 00043491 </t>
  </si>
  <si>
    <t xml:space="preserve"> 95378 </t>
  </si>
  <si>
    <t xml:space="preserve"> 00006110 </t>
  </si>
  <si>
    <t xml:space="preserve"> 00043465 </t>
  </si>
  <si>
    <t xml:space="preserve"> 00043489 </t>
  </si>
  <si>
    <t xml:space="preserve"> 95377 </t>
  </si>
  <si>
    <t xml:space="preserve"> 88315 </t>
  </si>
  <si>
    <t xml:space="preserve"> 91691 </t>
  </si>
  <si>
    <t xml:space="preserve"> 00014618 </t>
  </si>
  <si>
    <t xml:space="preserve"> 91690 </t>
  </si>
  <si>
    <t xml:space="preserve"> 91689 </t>
  </si>
  <si>
    <t xml:space="preserve"> 91688 </t>
  </si>
  <si>
    <t xml:space="preserve"> 88297 </t>
  </si>
  <si>
    <t xml:space="preserve"> 91692 </t>
  </si>
  <si>
    <t xml:space="preserve"> 91693 </t>
  </si>
  <si>
    <t xml:space="preserve"> 53786 </t>
  </si>
  <si>
    <t xml:space="preserve"> 00036531 </t>
  </si>
  <si>
    <t xml:space="preserve"> 5664 </t>
  </si>
  <si>
    <t xml:space="preserve"> 88858 </t>
  </si>
  <si>
    <t xml:space="preserve"> 88857 </t>
  </si>
  <si>
    <t xml:space="preserve"> 88294 </t>
  </si>
  <si>
    <t xml:space="preserve"> 5678 </t>
  </si>
  <si>
    <t xml:space="preserve"> 5679 </t>
  </si>
  <si>
    <t xml:space="preserve"> 5668 </t>
  </si>
  <si>
    <t xml:space="preserve"> 00036530 </t>
  </si>
  <si>
    <t xml:space="preserve"> 5667 </t>
  </si>
  <si>
    <t xml:space="preserve"> 88860 </t>
  </si>
  <si>
    <t xml:space="preserve"> 88859 </t>
  </si>
  <si>
    <t xml:space="preserve"> 5680 </t>
  </si>
  <si>
    <t xml:space="preserve"> 53858 </t>
  </si>
  <si>
    <t xml:space="preserve"> 00004262 </t>
  </si>
  <si>
    <t xml:space="preserve"> 53857 </t>
  </si>
  <si>
    <t xml:space="preserve"> 89129 </t>
  </si>
  <si>
    <t xml:space="preserve"> 89128 </t>
  </si>
  <si>
    <t xml:space="preserve"> 88301 </t>
  </si>
  <si>
    <t xml:space="preserve"> 5940 </t>
  </si>
  <si>
    <t xml:space="preserve"> 5942 </t>
  </si>
  <si>
    <t xml:space="preserve"> 88261 </t>
  </si>
  <si>
    <t xml:space="preserve"> 00004783 </t>
  </si>
  <si>
    <t xml:space="preserve"> 00043466 </t>
  </si>
  <si>
    <t xml:space="preserve"> 00043490 </t>
  </si>
  <si>
    <t xml:space="preserve"> 95372 </t>
  </si>
  <si>
    <t xml:space="preserve"> 88310 </t>
  </si>
  <si>
    <t xml:space="preserve"> 00004517 </t>
  </si>
  <si>
    <t xml:space="preserve"> 00020247 </t>
  </si>
  <si>
    <t xml:space="preserve"> 00002692 </t>
  </si>
  <si>
    <t xml:space="preserve"> 00001358 </t>
  </si>
  <si>
    <t xml:space="preserve"> 88239 </t>
  </si>
  <si>
    <t xml:space="preserve"> 94972 </t>
  </si>
  <si>
    <t xml:space="preserve"> 92783 </t>
  </si>
  <si>
    <t xml:space="preserve"> 97735 </t>
  </si>
  <si>
    <t xml:space="preserve"> 00004750 </t>
  </si>
  <si>
    <t xml:space="preserve"> 95371 </t>
  </si>
  <si>
    <t xml:space="preserve"> 00004248 </t>
  </si>
  <si>
    <t xml:space="preserve"> 95364 </t>
  </si>
  <si>
    <t xml:space="preserve"> 00004230 </t>
  </si>
  <si>
    <t xml:space="preserve"> 95360 </t>
  </si>
  <si>
    <t xml:space="preserve"> 00004257 </t>
  </si>
  <si>
    <t xml:space="preserve"> 95361 </t>
  </si>
  <si>
    <t xml:space="preserve"> 88298 </t>
  </si>
  <si>
    <t xml:space="preserve"> 00004254 </t>
  </si>
  <si>
    <t xml:space="preserve"> 95359 </t>
  </si>
  <si>
    <t xml:space="preserve"> 88296 </t>
  </si>
  <si>
    <t xml:space="preserve"> 00004253 </t>
  </si>
  <si>
    <t xml:space="preserve"> 95358 </t>
  </si>
  <si>
    <t xml:space="preserve"> 88295 </t>
  </si>
  <si>
    <t xml:space="preserve"> 00004234 </t>
  </si>
  <si>
    <t xml:space="preserve"> 95357 </t>
  </si>
  <si>
    <t xml:space="preserve"> 00037666 </t>
  </si>
  <si>
    <t xml:space="preserve"> 95389 </t>
  </si>
  <si>
    <t xml:space="preserve"> 88377 </t>
  </si>
  <si>
    <t xml:space="preserve"> 92959 </t>
  </si>
  <si>
    <t xml:space="preserve"> 00013836 </t>
  </si>
  <si>
    <t xml:space="preserve"> 92958 </t>
  </si>
  <si>
    <t xml:space="preserve"> 92957 </t>
  </si>
  <si>
    <t xml:space="preserve"> 92956 </t>
  </si>
  <si>
    <t xml:space="preserve"> 92960 </t>
  </si>
  <si>
    <t xml:space="preserve"> 92961 </t>
  </si>
  <si>
    <t xml:space="preserve"> 00004093 </t>
  </si>
  <si>
    <t xml:space="preserve"> 95347 </t>
  </si>
  <si>
    <t xml:space="preserve"> 88282 </t>
  </si>
  <si>
    <t xml:space="preserve"> 00020020 </t>
  </si>
  <si>
    <t xml:space="preserve"> 95346 </t>
  </si>
  <si>
    <t xml:space="preserve"> 88281 </t>
  </si>
  <si>
    <t xml:space="preserve"> 00002437 </t>
  </si>
  <si>
    <t xml:space="preserve"> 00043460 </t>
  </si>
  <si>
    <t xml:space="preserve"> 00043484 </t>
  </si>
  <si>
    <t xml:space="preserve"> 95345 </t>
  </si>
  <si>
    <t xml:space="preserve"> 88279 </t>
  </si>
  <si>
    <t xml:space="preserve"> 00025957 </t>
  </si>
  <si>
    <t xml:space="preserve"> 95344 </t>
  </si>
  <si>
    <t xml:space="preserve"> 88278 </t>
  </si>
  <si>
    <t xml:space="preserve"> 00041898 </t>
  </si>
  <si>
    <t xml:space="preserve"> 53863 </t>
  </si>
  <si>
    <t xml:space="preserve"> 95115 </t>
  </si>
  <si>
    <t xml:space="preserve"> 95114 </t>
  </si>
  <si>
    <t xml:space="preserve"> 5795 </t>
  </si>
  <si>
    <t xml:space="preserve"> 5952 </t>
  </si>
  <si>
    <t xml:space="preserve"> 00004755 </t>
  </si>
  <si>
    <t xml:space="preserve"> 95341 </t>
  </si>
  <si>
    <t xml:space="preserve"> 88274 </t>
  </si>
  <si>
    <t xml:space="preserve"> 00010425 </t>
  </si>
  <si>
    <t xml:space="preserve"> 86904 </t>
  </si>
  <si>
    <t xml:space="preserve"> 00010426 </t>
  </si>
  <si>
    <t xml:space="preserve"> 86903 </t>
  </si>
  <si>
    <t xml:space="preserve"> 00004720 </t>
  </si>
  <si>
    <t xml:space="preserve"> 91534 </t>
  </si>
  <si>
    <t xml:space="preserve"> 91533 </t>
  </si>
  <si>
    <t xml:space="preserve"> 94112 </t>
  </si>
  <si>
    <t xml:space="preserve"> 94116 </t>
  </si>
  <si>
    <t xml:space="preserve"> 00025964 </t>
  </si>
  <si>
    <t xml:space="preserve"> 95390 </t>
  </si>
  <si>
    <t xml:space="preserve"> 88441 </t>
  </si>
  <si>
    <t xml:space="preserve"> 00038112 </t>
  </si>
  <si>
    <t xml:space="preserve"> 91966 </t>
  </si>
  <si>
    <t xml:space="preserve"> 91958 </t>
  </si>
  <si>
    <t xml:space="preserve"> 91952 </t>
  </si>
  <si>
    <t xml:space="preserve"> 00011964 </t>
  </si>
  <si>
    <t xml:space="preserve"> 93288 </t>
  </si>
  <si>
    <t xml:space="preserve"> 93287 </t>
  </si>
  <si>
    <t xml:space="preserve"> 92256 </t>
  </si>
  <si>
    <t xml:space="preserve"> 92258 </t>
  </si>
  <si>
    <t xml:space="preserve"> 00012873 </t>
  </si>
  <si>
    <t xml:space="preserve"> 95338 </t>
  </si>
  <si>
    <t xml:space="preserve"> 88270 </t>
  </si>
  <si>
    <t xml:space="preserve"> 93286 </t>
  </si>
  <si>
    <t xml:space="preserve"> 00025954 </t>
  </si>
  <si>
    <t xml:space="preserve"> 93285 </t>
  </si>
  <si>
    <t xml:space="preserve"> 93284 </t>
  </si>
  <si>
    <t xml:space="preserve"> 93296 </t>
  </si>
  <si>
    <t xml:space="preserve"> 93283 </t>
  </si>
  <si>
    <t xml:space="preserve"> 93280 </t>
  </si>
  <si>
    <t xml:space="preserve"> 00036487 </t>
  </si>
  <si>
    <t xml:space="preserve"> 93279 </t>
  </si>
  <si>
    <t xml:space="preserve"> 93278 </t>
  </si>
  <si>
    <t xml:space="preserve"> 93277 </t>
  </si>
  <si>
    <t xml:space="preserve"> 93281 </t>
  </si>
  <si>
    <t xml:space="preserve"> 93282 </t>
  </si>
  <si>
    <t xml:space="preserve"> 00000392 </t>
  </si>
  <si>
    <t xml:space="preserve"> 88248 </t>
  </si>
  <si>
    <t xml:space="preserve"> 91170 </t>
  </si>
  <si>
    <t xml:space="preserve"> 00006189 </t>
  </si>
  <si>
    <t xml:space="preserve"> 00005068 </t>
  </si>
  <si>
    <t xml:space="preserve"> 88262 </t>
  </si>
  <si>
    <t xml:space="preserve"> 92270 </t>
  </si>
  <si>
    <t xml:space="preserve"> 92269 </t>
  </si>
  <si>
    <t xml:space="preserve"> 00004491 </t>
  </si>
  <si>
    <t xml:space="preserve"> 92273 </t>
  </si>
  <si>
    <t xml:space="preserve"> 00006141 </t>
  </si>
  <si>
    <t xml:space="preserve"> 86884 </t>
  </si>
  <si>
    <t xml:space="preserve"> 00011684 </t>
  </si>
  <si>
    <t xml:space="preserve"> 86887 </t>
  </si>
  <si>
    <t xml:space="preserve"> 00043461 </t>
  </si>
  <si>
    <t xml:space="preserve"> 00043485 </t>
  </si>
  <si>
    <t xml:space="preserve"> 00002696 </t>
  </si>
  <si>
    <t xml:space="preserve"> 95335 </t>
  </si>
  <si>
    <t xml:space="preserve"> 00002436 </t>
  </si>
  <si>
    <t xml:space="preserve"> 95332 </t>
  </si>
  <si>
    <t xml:space="preserve"> 00041776 </t>
  </si>
  <si>
    <t xml:space="preserve"> 95388 </t>
  </si>
  <si>
    <t xml:space="preserve"> 00002706 </t>
  </si>
  <si>
    <t xml:space="preserve"> 95402 </t>
  </si>
  <si>
    <t xml:space="preserve"> 00040818 </t>
  </si>
  <si>
    <t xml:space="preserve"> 95422 </t>
  </si>
  <si>
    <t xml:space="preserve"> 00001213 </t>
  </si>
  <si>
    <t xml:space="preserve"> 95330 </t>
  </si>
  <si>
    <t xml:space="preserve"> 00001214 </t>
  </si>
  <si>
    <t xml:space="preserve"> 95329 </t>
  </si>
  <si>
    <t xml:space="preserve"> 00004760 </t>
  </si>
  <si>
    <t xml:space="preserve"> 95324 </t>
  </si>
  <si>
    <t xml:space="preserve"> 00000252 </t>
  </si>
  <si>
    <t xml:space="preserve"> 95320 </t>
  </si>
  <si>
    <t xml:space="preserve"> 00000246 </t>
  </si>
  <si>
    <t xml:space="preserve"> 95317 </t>
  </si>
  <si>
    <t xml:space="preserve"> 00000247 </t>
  </si>
  <si>
    <t xml:space="preserve"> 95316 </t>
  </si>
  <si>
    <t xml:space="preserve"> 00000378 </t>
  </si>
  <si>
    <t xml:space="preserve"> 95314 </t>
  </si>
  <si>
    <t xml:space="preserve"> 00000242 </t>
  </si>
  <si>
    <t xml:space="preserve"> 95313 </t>
  </si>
  <si>
    <t xml:space="preserve"> 00006117 </t>
  </si>
  <si>
    <t xml:space="preserve"> 95309 </t>
  </si>
  <si>
    <t xml:space="preserve"> 00006114 </t>
  </si>
  <si>
    <t xml:space="preserve"> 95308 </t>
  </si>
  <si>
    <t xml:space="preserve"> 00004823 </t>
  </si>
  <si>
    <t xml:space="preserve"> 00001743 </t>
  </si>
  <si>
    <t xml:space="preserve"> 86900 </t>
  </si>
  <si>
    <t xml:space="preserve"> 00043059 </t>
  </si>
  <si>
    <t xml:space="preserve"> 88245 </t>
  </si>
  <si>
    <t xml:space="preserve"> 88238 </t>
  </si>
  <si>
    <t xml:space="preserve"> 92791 </t>
  </si>
  <si>
    <t xml:space="preserve"> 92799 </t>
  </si>
  <si>
    <t xml:space="preserve"> 00000033 </t>
  </si>
  <si>
    <t xml:space="preserve"> 92793 </t>
  </si>
  <si>
    <t xml:space="preserve"> 00000032 </t>
  </si>
  <si>
    <t xml:space="preserve"> 92792 </t>
  </si>
  <si>
    <t xml:space="preserve"> 00043055 </t>
  </si>
  <si>
    <t xml:space="preserve"> 92795 </t>
  </si>
  <si>
    <t xml:space="preserve"> 00000034 </t>
  </si>
  <si>
    <t xml:space="preserve"> 92794 </t>
  </si>
  <si>
    <t xml:space="preserve"> 00004721 </t>
  </si>
  <si>
    <t xml:space="preserve"> 00001379 </t>
  </si>
  <si>
    <t xml:space="preserve"> 00000370 </t>
  </si>
  <si>
    <t xml:space="preserve"> 89226 </t>
  </si>
  <si>
    <t xml:space="preserve"> 89225 </t>
  </si>
  <si>
    <t xml:space="preserve"> 94968 </t>
  </si>
  <si>
    <t xml:space="preserve"> 94974 </t>
  </si>
  <si>
    <t xml:space="preserve"> 94970 </t>
  </si>
  <si>
    <t xml:space="preserve"> 88831 </t>
  </si>
  <si>
    <t xml:space="preserve"> 88830 </t>
  </si>
  <si>
    <t xml:space="preserve"> 94964 </t>
  </si>
  <si>
    <t xml:space="preserve"> 96307 </t>
  </si>
  <si>
    <t xml:space="preserve"> 96306 </t>
  </si>
  <si>
    <t xml:space="preserve"> 96305 </t>
  </si>
  <si>
    <t xml:space="preserve"> 96304 </t>
  </si>
  <si>
    <t xml:space="preserve"> 96309 </t>
  </si>
  <si>
    <t xml:space="preserve"> 00041991 </t>
  </si>
  <si>
    <t xml:space="preserve"> 96308 </t>
  </si>
  <si>
    <t xml:space="preserve"> 00004222 </t>
  </si>
  <si>
    <t xml:space="preserve"> 91532 </t>
  </si>
  <si>
    <t xml:space="preserve"> 00013458 </t>
  </si>
  <si>
    <t xml:space="preserve"> 91531 </t>
  </si>
  <si>
    <t xml:space="preserve"> 91530 </t>
  </si>
  <si>
    <t xml:space="preserve"> 91529 </t>
  </si>
  <si>
    <t xml:space="preserve"> 53831 </t>
  </si>
  <si>
    <t xml:space="preserve"> 00037736 </t>
  </si>
  <si>
    <t xml:space="preserve"> 00037747 </t>
  </si>
  <si>
    <t xml:space="preserve"> 5763 </t>
  </si>
  <si>
    <t xml:space="preserve"> 91397 </t>
  </si>
  <si>
    <t xml:space="preserve"> 91398 </t>
  </si>
  <si>
    <t xml:space="preserve"> 91396 </t>
  </si>
  <si>
    <t xml:space="preserve"> 53792 </t>
  </si>
  <si>
    <t xml:space="preserve"> 00037760 </t>
  </si>
  <si>
    <t xml:space="preserve"> 00037733 </t>
  </si>
  <si>
    <t xml:space="preserve"> 5695 </t>
  </si>
  <si>
    <t xml:space="preserve"> 91368 </t>
  </si>
  <si>
    <t xml:space="preserve"> 91369 </t>
  </si>
  <si>
    <t xml:space="preserve"> 91367 </t>
  </si>
  <si>
    <t xml:space="preserve"> 5811 </t>
  </si>
  <si>
    <t xml:space="preserve"> 5961 </t>
  </si>
  <si>
    <t xml:space="preserve"> 7061 </t>
  </si>
  <si>
    <t xml:space="preserve"> 00037752 </t>
  </si>
  <si>
    <t xml:space="preserve"> 7060 </t>
  </si>
  <si>
    <t xml:space="preserve"> 7059 </t>
  </si>
  <si>
    <t xml:space="preserve"> 91402 </t>
  </si>
  <si>
    <t xml:space="preserve"> 7058 </t>
  </si>
  <si>
    <t xml:space="preserve"> 67826 </t>
  </si>
  <si>
    <t xml:space="preserve"> 67827 </t>
  </si>
  <si>
    <t xml:space="preserve"> 89224 </t>
  </si>
  <si>
    <t xml:space="preserve"> 00036397 </t>
  </si>
  <si>
    <t xml:space="preserve"> 89223 </t>
  </si>
  <si>
    <t xml:space="preserve"> 89222 </t>
  </si>
  <si>
    <t xml:space="preserve"> 89221 </t>
  </si>
  <si>
    <t xml:space="preserve"> 88829 </t>
  </si>
  <si>
    <t xml:space="preserve"> 00010535 </t>
  </si>
  <si>
    <t xml:space="preserve"> 88828 </t>
  </si>
  <si>
    <t xml:space="preserve"> 88827 </t>
  </si>
  <si>
    <t xml:space="preserve"> 88826 </t>
  </si>
  <si>
    <t xml:space="preserve"> 00005061 </t>
  </si>
  <si>
    <t xml:space="preserve"> 88629 </t>
  </si>
  <si>
    <t xml:space="preserve"> 88256 </t>
  </si>
  <si>
    <t xml:space="preserve"> 88251 </t>
  </si>
  <si>
    <t xml:space="preserve"> 00039017 </t>
  </si>
  <si>
    <t xml:space="preserve"> 00043132 </t>
  </si>
  <si>
    <t xml:space="preserve"> 88631 </t>
  </si>
  <si>
    <t xml:space="preserve"> 87301 </t>
  </si>
  <si>
    <t xml:space="preserve"> 87373 </t>
  </si>
  <si>
    <t xml:space="preserve"> 00000367 </t>
  </si>
  <si>
    <t xml:space="preserve"> 87316 </t>
  </si>
  <si>
    <t xml:space="preserve"> 88628 </t>
  </si>
  <si>
    <t xml:space="preserve"> 87313 </t>
  </si>
  <si>
    <t xml:space="preserve"> 00001106 </t>
  </si>
  <si>
    <t xml:space="preserve"> 87292 </t>
  </si>
  <si>
    <t xml:space="preserve"> 87369 </t>
  </si>
  <si>
    <t xml:space="preserve"> 00000002 </t>
  </si>
  <si>
    <t xml:space="preserve"> 00000001 </t>
  </si>
  <si>
    <t xml:space="preserve"> 92715 </t>
  </si>
  <si>
    <t xml:space="preserve"> 00013761 </t>
  </si>
  <si>
    <t xml:space="preserve"> 92714 </t>
  </si>
  <si>
    <t xml:space="preserve"> 92713 </t>
  </si>
  <si>
    <t xml:space="preserve"> 92712 </t>
  </si>
  <si>
    <t xml:space="preserve"> 92716 </t>
  </si>
  <si>
    <t xml:space="preserve"> 92717 </t>
  </si>
  <si>
    <t xml:space="preserve"> 88243 </t>
  </si>
  <si>
    <t xml:space="preserve"> 00021012 </t>
  </si>
  <si>
    <t xml:space="preserve"> 00021011 </t>
  </si>
  <si>
    <t xml:space="preserve"> 00021010 </t>
  </si>
  <si>
    <t xml:space="preserve"> 00021009 </t>
  </si>
  <si>
    <t xml:space="preserve"> 00011002 </t>
  </si>
  <si>
    <t xml:space="preserve"> 00001332 </t>
  </si>
  <si>
    <t xml:space="preserve"> 99837 </t>
  </si>
  <si>
    <t xml:space="preserve"> 00010904 </t>
  </si>
  <si>
    <t xml:space="preserve"> 00020972 </t>
  </si>
  <si>
    <t xml:space="preserve"> 00021029 </t>
  </si>
  <si>
    <t xml:space="preserve"> 00010902 </t>
  </si>
  <si>
    <t xml:space="preserve"> 00010521 </t>
  </si>
  <si>
    <t xml:space="preserve"> 00010899 </t>
  </si>
  <si>
    <t xml:space="preserve"> 72283 </t>
  </si>
  <si>
    <t xml:space="preserve"> 00007343 </t>
  </si>
  <si>
    <t xml:space="preserve"> 84665 </t>
  </si>
  <si>
    <t xml:space="preserve"> 00010889 </t>
  </si>
  <si>
    <t xml:space="preserve"> 00004350 </t>
  </si>
  <si>
    <t xml:space="preserve"> 72554 </t>
  </si>
  <si>
    <t xml:space="preserve"> 00010892 </t>
  </si>
  <si>
    <t xml:space="preserve"> 83635 </t>
  </si>
  <si>
    <t xml:space="preserve"> 00010886 </t>
  </si>
  <si>
    <t xml:space="preserve"> 94106 </t>
  </si>
  <si>
    <t xml:space="preserve"> 00013388 </t>
  </si>
  <si>
    <t xml:space="preserve"> 00000142 </t>
  </si>
  <si>
    <t xml:space="preserve"> 00005104 </t>
  </si>
  <si>
    <t xml:space="preserve"> 00040783 </t>
  </si>
  <si>
    <t xml:space="preserve"> 94228 </t>
  </si>
  <si>
    <t xml:space="preserve"> 00001092 </t>
  </si>
  <si>
    <t xml:space="preserve"> 00039158 </t>
  </si>
  <si>
    <t xml:space="preserve"> 88544 </t>
  </si>
  <si>
    <t xml:space="preserve"> 00007258 </t>
  </si>
  <si>
    <t xml:space="preserve"> 97889 </t>
  </si>
  <si>
    <t xml:space="preserve"> 00002673 </t>
  </si>
  <si>
    <t xml:space="preserve"> 91862 </t>
  </si>
  <si>
    <t xml:space="preserve"> 90446 </t>
  </si>
  <si>
    <t xml:space="preserve"> 00039248 </t>
  </si>
  <si>
    <t xml:space="preserve"> 97670 </t>
  </si>
  <si>
    <t xml:space="preserve"> 00021127 </t>
  </si>
  <si>
    <t xml:space="preserve"> 00001000 </t>
  </si>
  <si>
    <t xml:space="preserve"> 92998 </t>
  </si>
  <si>
    <t xml:space="preserve"> 00012039 </t>
  </si>
  <si>
    <t xml:space="preserve"> 00012038 </t>
  </si>
  <si>
    <t xml:space="preserve"> 00002686 </t>
  </si>
  <si>
    <t xml:space="preserve"> 93011 </t>
  </si>
  <si>
    <t xml:space="preserve"> 00002681 </t>
  </si>
  <si>
    <t xml:space="preserve"> 93009 </t>
  </si>
  <si>
    <t xml:space="preserve"> 00002680 </t>
  </si>
  <si>
    <t xml:space="preserve"> 93008 </t>
  </si>
  <si>
    <t xml:space="preserve"> 00002688 </t>
  </si>
  <si>
    <t xml:space="preserve"> 91834 </t>
  </si>
  <si>
    <t xml:space="preserve"> 91854 </t>
  </si>
  <si>
    <t xml:space="preserve"> 00002690 </t>
  </si>
  <si>
    <t xml:space="preserve"> 91836 </t>
  </si>
  <si>
    <t xml:space="preserve"> 00001574 </t>
  </si>
  <si>
    <t xml:space="preserve"> 00034709 </t>
  </si>
  <si>
    <t xml:space="preserve"> 93672 </t>
  </si>
  <si>
    <t xml:space="preserve"> 00001571 </t>
  </si>
  <si>
    <t xml:space="preserve"> 93670 </t>
  </si>
  <si>
    <t xml:space="preserve"> 23.3.24 </t>
  </si>
  <si>
    <t xml:space="preserve"> 00034616 </t>
  </si>
  <si>
    <t xml:space="preserve"> 93663 </t>
  </si>
  <si>
    <t xml:space="preserve"> 00001573 </t>
  </si>
  <si>
    <t xml:space="preserve"> 93664 </t>
  </si>
  <si>
    <t xml:space="preserve"> 00034653 </t>
  </si>
  <si>
    <t xml:space="preserve"> 93657 </t>
  </si>
  <si>
    <t xml:space="preserve"> 00001570 </t>
  </si>
  <si>
    <t xml:space="preserve"> 93654 </t>
  </si>
  <si>
    <t xml:space="preserve"> 93653 </t>
  </si>
  <si>
    <t xml:space="preserve"> 92009 </t>
  </si>
  <si>
    <t xml:space="preserve"> 92008 </t>
  </si>
  <si>
    <t xml:space="preserve"> 91993 </t>
  </si>
  <si>
    <t xml:space="preserve"> 91996 </t>
  </si>
  <si>
    <t xml:space="preserve"> 91992 </t>
  </si>
  <si>
    <t xml:space="preserve"> 91967 </t>
  </si>
  <si>
    <t xml:space="preserve"> 91959 </t>
  </si>
  <si>
    <t xml:space="preserve"> 91953 </t>
  </si>
  <si>
    <t xml:space="preserve"> 00000982 </t>
  </si>
  <si>
    <t xml:space="preserve"> 91930 </t>
  </si>
  <si>
    <t xml:space="preserve"> 00000981 </t>
  </si>
  <si>
    <t xml:space="preserve"> 91928 </t>
  </si>
  <si>
    <t xml:space="preserve"> 00001014 </t>
  </si>
  <si>
    <t xml:space="preserve"> 91926 </t>
  </si>
  <si>
    <t xml:space="preserve"> 00000998 </t>
  </si>
  <si>
    <t xml:space="preserve"> 92992 </t>
  </si>
  <si>
    <t xml:space="preserve"> 23.3.7 </t>
  </si>
  <si>
    <t xml:space="preserve"> 00000977 </t>
  </si>
  <si>
    <t xml:space="preserve"> 92990 </t>
  </si>
  <si>
    <t xml:space="preserve"> 00001018 </t>
  </si>
  <si>
    <t xml:space="preserve"> 92988 </t>
  </si>
  <si>
    <t xml:space="preserve"> 00001021 </t>
  </si>
  <si>
    <t xml:space="preserve"> 91929 </t>
  </si>
  <si>
    <t xml:space="preserve"> 00001019 </t>
  </si>
  <si>
    <t xml:space="preserve"> 92986 </t>
  </si>
  <si>
    <t xml:space="preserve"> 00000995 </t>
  </si>
  <si>
    <t xml:space="preserve"> 92982 </t>
  </si>
  <si>
    <t xml:space="preserve"> 00001020 </t>
  </si>
  <si>
    <t xml:space="preserve"> 91933 </t>
  </si>
  <si>
    <t xml:space="preserve"> 00000650 </t>
  </si>
  <si>
    <t xml:space="preserve"> 97892 </t>
  </si>
  <si>
    <t xml:space="preserve"> 00001871 </t>
  </si>
  <si>
    <t xml:space="preserve"> 91937 </t>
  </si>
  <si>
    <t xml:space="preserve"> 00002556 </t>
  </si>
  <si>
    <t xml:space="preserve"> 92867 </t>
  </si>
  <si>
    <t xml:space="preserve"> 00001872 </t>
  </si>
  <si>
    <t xml:space="preserve"> 91940 </t>
  </si>
  <si>
    <t xml:space="preserve"> 91941 </t>
  </si>
  <si>
    <t xml:space="preserve"> 00007307 </t>
  </si>
  <si>
    <t xml:space="preserve"> 00003148 </t>
  </si>
  <si>
    <t xml:space="preserve"> 00003456 </t>
  </si>
  <si>
    <t xml:space="preserve"> 92701 </t>
  </si>
  <si>
    <t xml:space="preserve"> 00012406 </t>
  </si>
  <si>
    <t xml:space="preserve"> 92953 </t>
  </si>
  <si>
    <t xml:space="preserve"> 00004177 </t>
  </si>
  <si>
    <t xml:space="preserve"> 92692 </t>
  </si>
  <si>
    <t xml:space="preserve"> 00004178 </t>
  </si>
  <si>
    <t xml:space="preserve"> 92694 </t>
  </si>
  <si>
    <t xml:space="preserve"> 00009885 </t>
  </si>
  <si>
    <t xml:space="preserve"> 92905 </t>
  </si>
  <si>
    <t xml:space="preserve"> 00007700 </t>
  </si>
  <si>
    <t xml:space="preserve"> 92688 </t>
  </si>
  <si>
    <t xml:space="preserve"> 86935 </t>
  </si>
  <si>
    <t xml:space="preserve"> 00011773 </t>
  </si>
  <si>
    <t xml:space="preserve"> 86910 </t>
  </si>
  <si>
    <t xml:space="preserve"> 86921 </t>
  </si>
  <si>
    <t xml:space="preserve"> 00001368 </t>
  </si>
  <si>
    <t xml:space="preserve"> 100860 </t>
  </si>
  <si>
    <t xml:space="preserve"> 86943 </t>
  </si>
  <si>
    <t xml:space="preserve"> 86941 </t>
  </si>
  <si>
    <t xml:space="preserve"> 00007097 </t>
  </si>
  <si>
    <t xml:space="preserve"> 00020078 </t>
  </si>
  <si>
    <t xml:space="preserve"> 00000296 </t>
  </si>
  <si>
    <t xml:space="preserve"> 89784 </t>
  </si>
  <si>
    <t xml:space="preserve"> 00009838 </t>
  </si>
  <si>
    <t xml:space="preserve"> 00020083 </t>
  </si>
  <si>
    <t xml:space="preserve"> 00038383 </t>
  </si>
  <si>
    <t xml:space="preserve"> 00000122 </t>
  </si>
  <si>
    <t xml:space="preserve"> 89712 </t>
  </si>
  <si>
    <t xml:space="preserve"> 00009835 </t>
  </si>
  <si>
    <t xml:space="preserve"> 89711 </t>
  </si>
  <si>
    <t xml:space="preserve"> 00020065 </t>
  </si>
  <si>
    <t xml:space="preserve"> 89849 </t>
  </si>
  <si>
    <t xml:space="preserve"> 00009836 </t>
  </si>
  <si>
    <t xml:space="preserve"> 89714 </t>
  </si>
  <si>
    <t xml:space="preserve"> 00003670 </t>
  </si>
  <si>
    <t xml:space="preserve"> 00000301 </t>
  </si>
  <si>
    <t xml:space="preserve"> 89834 </t>
  </si>
  <si>
    <t xml:space="preserve"> 00003526 </t>
  </si>
  <si>
    <t xml:space="preserve"> 89731 </t>
  </si>
  <si>
    <t xml:space="preserve"> 00003520 </t>
  </si>
  <si>
    <t xml:space="preserve"> 89744 </t>
  </si>
  <si>
    <t xml:space="preserve"> 00003518 </t>
  </si>
  <si>
    <t xml:space="preserve"> 89732 </t>
  </si>
  <si>
    <t xml:space="preserve"> 00003516 </t>
  </si>
  <si>
    <t xml:space="preserve"> 89726 </t>
  </si>
  <si>
    <t xml:space="preserve"> 00003528 </t>
  </si>
  <si>
    <t xml:space="preserve"> 89746 </t>
  </si>
  <si>
    <t xml:space="preserve"> 00001933 </t>
  </si>
  <si>
    <t xml:space="preserve"> 89728 </t>
  </si>
  <si>
    <t xml:space="preserve"> 00011739 </t>
  </si>
  <si>
    <t xml:space="preserve"> 89710 </t>
  </si>
  <si>
    <t xml:space="preserve"> 96995 </t>
  </si>
  <si>
    <t xml:space="preserve"> 93358 </t>
  </si>
  <si>
    <t xml:space="preserve"> 00003524 </t>
  </si>
  <si>
    <t xml:space="preserve"> 89366 </t>
  </si>
  <si>
    <t xml:space="preserve"> 00007141 </t>
  </si>
  <si>
    <t xml:space="preserve"> 89623 </t>
  </si>
  <si>
    <t xml:space="preserve"> 00007139 </t>
  </si>
  <si>
    <t xml:space="preserve"> 89395 </t>
  </si>
  <si>
    <t xml:space="preserve"> 00000812 </t>
  </si>
  <si>
    <t xml:space="preserve"> 90375 </t>
  </si>
  <si>
    <t xml:space="preserve"> 00000109 </t>
  </si>
  <si>
    <t xml:space="preserve"> 89572 </t>
  </si>
  <si>
    <t xml:space="preserve"> 00006024 </t>
  </si>
  <si>
    <t xml:space="preserve"> 89985 </t>
  </si>
  <si>
    <t xml:space="preserve"> 00011753 </t>
  </si>
  <si>
    <t xml:space="preserve"> 89351 </t>
  </si>
  <si>
    <t xml:space="preserve"> 00006017 </t>
  </si>
  <si>
    <t xml:space="preserve"> 94496 </t>
  </si>
  <si>
    <t xml:space="preserve"> 00007131 </t>
  </si>
  <si>
    <t xml:space="preserve"> 00020080 </t>
  </si>
  <si>
    <t xml:space="preserve"> 94695 </t>
  </si>
  <si>
    <t xml:space="preserve"> 89440 </t>
  </si>
  <si>
    <t xml:space="preserve"> 00009873 </t>
  </si>
  <si>
    <t xml:space="preserve"> 89450 </t>
  </si>
  <si>
    <t xml:space="preserve"> 00009875 </t>
  </si>
  <si>
    <t xml:space="preserve"> 89449 </t>
  </si>
  <si>
    <t xml:space="preserve"> 00009874 </t>
  </si>
  <si>
    <t xml:space="preserve"> 89448 </t>
  </si>
  <si>
    <t xml:space="preserve"> 00009869 </t>
  </si>
  <si>
    <t xml:space="preserve"> 89447 </t>
  </si>
  <si>
    <t xml:space="preserve"> 00009868 </t>
  </si>
  <si>
    <t xml:space="preserve"> 89446 </t>
  </si>
  <si>
    <t xml:space="preserve"> 00003539 </t>
  </si>
  <si>
    <t xml:space="preserve"> 89505 </t>
  </si>
  <si>
    <t xml:space="preserve"> 00003540 </t>
  </si>
  <si>
    <t xml:space="preserve"> 89501 </t>
  </si>
  <si>
    <t xml:space="preserve"> 00003535 </t>
  </si>
  <si>
    <t xml:space="preserve"> 89497 </t>
  </si>
  <si>
    <t xml:space="preserve"> 00003536 </t>
  </si>
  <si>
    <t xml:space="preserve"> 89413 </t>
  </si>
  <si>
    <t xml:space="preserve"> 00003529 </t>
  </si>
  <si>
    <t xml:space="preserve"> 89408 </t>
  </si>
  <si>
    <t xml:space="preserve"> 00000112 </t>
  </si>
  <si>
    <t xml:space="preserve"> 94662 </t>
  </si>
  <si>
    <t xml:space="preserve"> 00000065 </t>
  </si>
  <si>
    <t xml:space="preserve"> 89538 </t>
  </si>
  <si>
    <t xml:space="preserve"> 00000090 </t>
  </si>
  <si>
    <t xml:space="preserve"> 94787 </t>
  </si>
  <si>
    <t xml:space="preserve"> 00000087 </t>
  </si>
  <si>
    <t xml:space="preserve"> 95141 </t>
  </si>
  <si>
    <t xml:space="preserve"> 00006032 </t>
  </si>
  <si>
    <t xml:space="preserve"> 90371 </t>
  </si>
  <si>
    <t xml:space="preserve"> 00006015 </t>
  </si>
  <si>
    <t xml:space="preserve"> 94794 </t>
  </si>
  <si>
    <t xml:space="preserve"> 00000735 </t>
  </si>
  <si>
    <t xml:space="preserve"> 83646 </t>
  </si>
  <si>
    <t xml:space="preserve"> 94975 </t>
  </si>
  <si>
    <t xml:space="preserve"> 00007348 </t>
  </si>
  <si>
    <t xml:space="preserve"> 00005318 </t>
  </si>
  <si>
    <t xml:space="preserve"> 00007311 </t>
  </si>
  <si>
    <t xml:space="preserve"> 100757 </t>
  </si>
  <si>
    <t xml:space="preserve"> 00007356 </t>
  </si>
  <si>
    <t xml:space="preserve"> 88489 </t>
  </si>
  <si>
    <t xml:space="preserve"> 00006085 </t>
  </si>
  <si>
    <t xml:space="preserve"> 88485 </t>
  </si>
  <si>
    <t xml:space="preserve"> 00039427 </t>
  </si>
  <si>
    <t xml:space="preserve"> 00039430 </t>
  </si>
  <si>
    <t xml:space="preserve"> 00040552 </t>
  </si>
  <si>
    <t xml:space="preserve"> 00040547 </t>
  </si>
  <si>
    <t xml:space="preserve"> 00036225 </t>
  </si>
  <si>
    <t xml:space="preserve"> 00043131 </t>
  </si>
  <si>
    <t xml:space="preserve"> 96485 </t>
  </si>
  <si>
    <t xml:space="preserve"> 00004824 </t>
  </si>
  <si>
    <t xml:space="preserve"> 00001380 </t>
  </si>
  <si>
    <t xml:space="preserve"> 00043053 </t>
  </si>
  <si>
    <t xml:space="preserve"> 00000536 </t>
  </si>
  <si>
    <t xml:space="preserve"> 00034357 </t>
  </si>
  <si>
    <t xml:space="preserve"> 87273 </t>
  </si>
  <si>
    <t xml:space="preserve"> 87529 </t>
  </si>
  <si>
    <t xml:space="preserve"> 87546 </t>
  </si>
  <si>
    <t xml:space="preserve"> 87905 </t>
  </si>
  <si>
    <t xml:space="preserve"> 00034492 </t>
  </si>
  <si>
    <t xml:space="preserve"> 94267 </t>
  </si>
  <si>
    <t xml:space="preserve"> 00007156 </t>
  </si>
  <si>
    <t xml:space="preserve"> 00003777 </t>
  </si>
  <si>
    <t xml:space="preserve"> 94992 </t>
  </si>
  <si>
    <t xml:space="preserve"> 00001292 </t>
  </si>
  <si>
    <t xml:space="preserve"> 88650 </t>
  </si>
  <si>
    <t xml:space="preserve"> 87257 </t>
  </si>
  <si>
    <t xml:space="preserve"> 00007334 </t>
  </si>
  <si>
    <t xml:space="preserve"> 87640 </t>
  </si>
  <si>
    <t xml:space="preserve"> 95241 </t>
  </si>
  <si>
    <t xml:space="preserve"> 00004786 </t>
  </si>
  <si>
    <t xml:space="preserve"> 00003671 </t>
  </si>
  <si>
    <t xml:space="preserve"> 84191 </t>
  </si>
  <si>
    <t xml:space="preserve"> 00039961 </t>
  </si>
  <si>
    <t xml:space="preserve"> 00004377 </t>
  </si>
  <si>
    <t xml:space="preserve"> 00000601 </t>
  </si>
  <si>
    <t xml:space="preserve"> 94569 </t>
  </si>
  <si>
    <t xml:space="preserve"> 93204 </t>
  </si>
  <si>
    <t xml:space="preserve"> 00011029 </t>
  </si>
  <si>
    <t xml:space="preserve"> 94216 </t>
  </si>
  <si>
    <t xml:space="preserve"> 00011174 </t>
  </si>
  <si>
    <t xml:space="preserve"> 100721 </t>
  </si>
  <si>
    <t xml:space="preserve"> 00043083 </t>
  </si>
  <si>
    <t xml:space="preserve"> 00040549 </t>
  </si>
  <si>
    <t xml:space="preserve"> 92580 </t>
  </si>
  <si>
    <t xml:space="preserve"> 00040598 </t>
  </si>
  <si>
    <t xml:space="preserve"> 00010997 </t>
  </si>
  <si>
    <t xml:space="preserve"> 00004777 </t>
  </si>
  <si>
    <t xml:space="preserve"> 92610 </t>
  </si>
  <si>
    <t xml:space="preserve"> 92618 </t>
  </si>
  <si>
    <t xml:space="preserve"> 92616 </t>
  </si>
  <si>
    <t xml:space="preserve"> 00034557 </t>
  </si>
  <si>
    <t xml:space="preserve"> 00037395 </t>
  </si>
  <si>
    <t xml:space="preserve"> 00037592 </t>
  </si>
  <si>
    <t xml:space="preserve"> 87477 </t>
  </si>
  <si>
    <t xml:space="preserve"> 93197 </t>
  </si>
  <si>
    <t xml:space="preserve"> 93187 </t>
  </si>
  <si>
    <t xml:space="preserve"> 00006193 </t>
  </si>
  <si>
    <t xml:space="preserve"> 00040304 </t>
  </si>
  <si>
    <t xml:space="preserve"> 92448 </t>
  </si>
  <si>
    <t xml:space="preserve"> 92777 </t>
  </si>
  <si>
    <t xml:space="preserve"> 92412 </t>
  </si>
  <si>
    <t xml:space="preserve"> 00005073 </t>
  </si>
  <si>
    <t xml:space="preserve"> 96536 </t>
  </si>
  <si>
    <t xml:space="preserve"> 96545 </t>
  </si>
  <si>
    <t xml:space="preserve"> 96543 </t>
  </si>
  <si>
    <t xml:space="preserve"> 96527 </t>
  </si>
  <si>
    <t xml:space="preserve"> 97916 </t>
  </si>
  <si>
    <t xml:space="preserve"> 93382 </t>
  </si>
  <si>
    <t xml:space="preserve"> 00000626 </t>
  </si>
  <si>
    <t xml:space="preserve"> 98557 </t>
  </si>
  <si>
    <t xml:space="preserve"> 00005074 </t>
  </si>
  <si>
    <t xml:space="preserve"> 96535 </t>
  </si>
  <si>
    <t xml:space="preserve"> 92775 </t>
  </si>
  <si>
    <t xml:space="preserve"> 92779 </t>
  </si>
  <si>
    <t xml:space="preserve"> 92778 </t>
  </si>
  <si>
    <t xml:space="preserve"> 96547 </t>
  </si>
  <si>
    <t xml:space="preserve"> 96546 </t>
  </si>
  <si>
    <t xml:space="preserve"> 92873 </t>
  </si>
  <si>
    <t xml:space="preserve"> 94965 </t>
  </si>
  <si>
    <t xml:space="preserve"> 96617 </t>
  </si>
  <si>
    <t xml:space="preserve"> 96523 </t>
  </si>
  <si>
    <t xml:space="preserve"> 72897 </t>
  </si>
  <si>
    <t xml:space="preserve"> 98526 </t>
  </si>
  <si>
    <t xml:space="preserve"> 97625 </t>
  </si>
  <si>
    <t xml:space="preserve"> 97622 </t>
  </si>
  <si>
    <t xml:space="preserve"> 97644 </t>
  </si>
  <si>
    <t xml:space="preserve"> 97645 </t>
  </si>
  <si>
    <t xml:space="preserve"> 97633 </t>
  </si>
  <si>
    <t xml:space="preserve"> 97652 </t>
  </si>
  <si>
    <t xml:space="preserve"> 97656 </t>
  </si>
  <si>
    <t xml:space="preserve"> 97650 </t>
  </si>
  <si>
    <t xml:space="preserve"> 97655 </t>
  </si>
  <si>
    <t xml:space="preserve"> 97662 </t>
  </si>
  <si>
    <t xml:space="preserve"> 97661 </t>
  </si>
  <si>
    <t xml:space="preserve"> 97647 </t>
  </si>
  <si>
    <t xml:space="preserve"> 00007243 </t>
  </si>
  <si>
    <t xml:space="preserve"> 00003992 </t>
  </si>
  <si>
    <t xml:space="preserve"> 00004433 </t>
  </si>
  <si>
    <t xml:space="preserve"> 98459 </t>
  </si>
  <si>
    <t xml:space="preserve"> 97914 </t>
  </si>
  <si>
    <t xml:space="preserve"> 72898 </t>
  </si>
  <si>
    <t xml:space="preserve"> 98525 </t>
  </si>
  <si>
    <t xml:space="preserve"> 88326 </t>
  </si>
  <si>
    <t xml:space="preserve"> 00040864 </t>
  </si>
  <si>
    <t xml:space="preserve"> 00043475 </t>
  </si>
  <si>
    <t xml:space="preserve"> 00040863 </t>
  </si>
  <si>
    <t xml:space="preserve"> 00043499 </t>
  </si>
  <si>
    <t xml:space="preserve"> 93572 </t>
  </si>
  <si>
    <t xml:space="preserve"> 00043462 </t>
  </si>
  <si>
    <t xml:space="preserve"> 00043486 </t>
  </si>
  <si>
    <t xml:space="preserve"> 90777 </t>
  </si>
  <si>
    <t xml:space="preserve"> 28,24%</t>
  </si>
  <si>
    <t>Total com BDI</t>
  </si>
  <si>
    <t>BDI</t>
  </si>
  <si>
    <t>Total Com LS</t>
  </si>
  <si>
    <t>LS Horista</t>
  </si>
  <si>
    <t>Total Sem LS</t>
  </si>
  <si>
    <t>Totais</t>
  </si>
  <si>
    <t xml:space="preserve"> 0,63</t>
  </si>
  <si>
    <t>Sub-Total -&gt;</t>
  </si>
  <si>
    <t xml:space="preserve"> 2,20</t>
  </si>
  <si>
    <t xml:space="preserve"> 0,35</t>
  </si>
  <si>
    <t>Coeficiente</t>
  </si>
  <si>
    <t>Item</t>
  </si>
  <si>
    <t xml:space="preserve"> 0,02</t>
  </si>
  <si>
    <t xml:space="preserve"> 0,07</t>
  </si>
  <si>
    <t xml:space="preserve"> 0,18</t>
  </si>
  <si>
    <t xml:space="preserve"> 0,71</t>
  </si>
  <si>
    <t xml:space="preserve"> 0,60</t>
  </si>
  <si>
    <t xml:space="preserve"> 1,56</t>
  </si>
  <si>
    <t xml:space="preserve"> 5,10</t>
  </si>
  <si>
    <t xml:space="preserve"> 6,86</t>
  </si>
  <si>
    <t xml:space="preserve"> 0,36</t>
  </si>
  <si>
    <t xml:space="preserve"> 0,38</t>
  </si>
  <si>
    <t xml:space="preserve"> 1,02</t>
  </si>
  <si>
    <t xml:space="preserve"> 0,50</t>
  </si>
  <si>
    <t xml:space="preserve"> 0,96</t>
  </si>
  <si>
    <t xml:space="preserve"> 25,59</t>
  </si>
  <si>
    <t xml:space="preserve"> 0,70</t>
  </si>
  <si>
    <t xml:space="preserve"> 1,65</t>
  </si>
  <si>
    <t xml:space="preserve"> 5,13</t>
  </si>
  <si>
    <t xml:space="preserve"> 14,65</t>
  </si>
  <si>
    <t xml:space="preserve">Composição
 27.4 </t>
  </si>
  <si>
    <t xml:space="preserve"> 17,84</t>
  </si>
  <si>
    <t xml:space="preserve"> 0,49</t>
  </si>
  <si>
    <t xml:space="preserve"> 4,97</t>
  </si>
  <si>
    <t xml:space="preserve"> 7,10</t>
  </si>
  <si>
    <t xml:space="preserve"> 8,64</t>
  </si>
  <si>
    <t xml:space="preserve"> 0,24</t>
  </si>
  <si>
    <t xml:space="preserve"> 0,83</t>
  </si>
  <si>
    <t xml:space="preserve">Composição
 26.6 </t>
  </si>
  <si>
    <t xml:space="preserve"> 2,11</t>
  </si>
  <si>
    <t xml:space="preserve"> 0,06</t>
  </si>
  <si>
    <t xml:space="preserve"> 0,59</t>
  </si>
  <si>
    <t xml:space="preserve"> 5,17</t>
  </si>
  <si>
    <t xml:space="preserve"> 1,77</t>
  </si>
  <si>
    <t xml:space="preserve"> 1,17</t>
  </si>
  <si>
    <t xml:space="preserve"> 1,46</t>
  </si>
  <si>
    <t xml:space="preserve">Composição
 26.5 </t>
  </si>
  <si>
    <t xml:space="preserve"> 1,53</t>
  </si>
  <si>
    <t xml:space="preserve"> 0,04</t>
  </si>
  <si>
    <t xml:space="preserve"> 0,43</t>
  </si>
  <si>
    <t xml:space="preserve"> 0,44</t>
  </si>
  <si>
    <t xml:space="preserve"> 3,70</t>
  </si>
  <si>
    <t xml:space="preserve"> 0,74</t>
  </si>
  <si>
    <t xml:space="preserve">Composição
 26.3 </t>
  </si>
  <si>
    <t xml:space="preserve"> 2,55</t>
  </si>
  <si>
    <t xml:space="preserve"> 1,43</t>
  </si>
  <si>
    <t xml:space="preserve">Composição
 26.2 </t>
  </si>
  <si>
    <t xml:space="preserve">Composição
 26.1 </t>
  </si>
  <si>
    <t xml:space="preserve"> 0,03</t>
  </si>
  <si>
    <t xml:space="preserve"> 0,00</t>
  </si>
  <si>
    <t xml:space="preserve"> 0,01</t>
  </si>
  <si>
    <t xml:space="preserve"> 0,62</t>
  </si>
  <si>
    <t xml:space="preserve"> 33.930,62</t>
  </si>
  <si>
    <t xml:space="preserve"> 5,14</t>
  </si>
  <si>
    <t xml:space="preserve"> 0,66</t>
  </si>
  <si>
    <t xml:space="preserve">Composição
 25.9 </t>
  </si>
  <si>
    <t xml:space="preserve"> 2,42</t>
  </si>
  <si>
    <t xml:space="preserve"> 0,67</t>
  </si>
  <si>
    <t xml:space="preserve">Composição
 25.8 </t>
  </si>
  <si>
    <t xml:space="preserve"> 23,52</t>
  </si>
  <si>
    <t xml:space="preserve"> 0,65</t>
  </si>
  <si>
    <t xml:space="preserve"> 6,55</t>
  </si>
  <si>
    <t xml:space="preserve"> 0,34</t>
  </si>
  <si>
    <t xml:space="preserve"> 1,08</t>
  </si>
  <si>
    <t xml:space="preserve">Composição
 25.6 </t>
  </si>
  <si>
    <t xml:space="preserve"> 25,53</t>
  </si>
  <si>
    <t xml:space="preserve"> 7,11</t>
  </si>
  <si>
    <t xml:space="preserve"> 80,00</t>
  </si>
  <si>
    <t xml:space="preserve"> 0,51</t>
  </si>
  <si>
    <t xml:space="preserve"> 62,50</t>
  </si>
  <si>
    <t xml:space="preserve"> 14,02</t>
  </si>
  <si>
    <t xml:space="preserve">Composição
 25.5 </t>
  </si>
  <si>
    <t xml:space="preserve"> 4,19</t>
  </si>
  <si>
    <t xml:space="preserve"> 0,12</t>
  </si>
  <si>
    <t xml:space="preserve"> 11,39</t>
  </si>
  <si>
    <t xml:space="preserve"> 13,80</t>
  </si>
  <si>
    <t xml:space="preserve"> 4,83</t>
  </si>
  <si>
    <t xml:space="preserve"> 2,31</t>
  </si>
  <si>
    <t xml:space="preserve">Composição
 25.4 </t>
  </si>
  <si>
    <t xml:space="preserve"> 10,81</t>
  </si>
  <si>
    <t xml:space="preserve"> 0,30</t>
  </si>
  <si>
    <t xml:space="preserve"> 3,01</t>
  </si>
  <si>
    <t xml:space="preserve">Composição
 25.3 </t>
  </si>
  <si>
    <t xml:space="preserve"> 10,08</t>
  </si>
  <si>
    <t xml:space="preserve"> 0,28</t>
  </si>
  <si>
    <t xml:space="preserve"> 2,81</t>
  </si>
  <si>
    <t xml:space="preserve"> 5,53</t>
  </si>
  <si>
    <t xml:space="preserve">Composição
 25.2 </t>
  </si>
  <si>
    <t xml:space="preserve"> 1,72</t>
  </si>
  <si>
    <t xml:space="preserve"> 0,05</t>
  </si>
  <si>
    <t xml:space="preserve"> 0,48</t>
  </si>
  <si>
    <t xml:space="preserve"> 10,99</t>
  </si>
  <si>
    <t xml:space="preserve"> 4,77</t>
  </si>
  <si>
    <t xml:space="preserve"> 0,94</t>
  </si>
  <si>
    <t xml:space="preserve"> 4.374,55</t>
  </si>
  <si>
    <t xml:space="preserve">Composição
 25.1 </t>
  </si>
  <si>
    <t xml:space="preserve"> 7,65</t>
  </si>
  <si>
    <t xml:space="preserve"> 0,21</t>
  </si>
  <si>
    <t xml:space="preserve"> 2,13</t>
  </si>
  <si>
    <t xml:space="preserve"> 37,52</t>
  </si>
  <si>
    <t xml:space="preserve"> 22,40</t>
  </si>
  <si>
    <t xml:space="preserve"> 15,12</t>
  </si>
  <si>
    <t xml:space="preserve"> 4,32</t>
  </si>
  <si>
    <t xml:space="preserve"> 0,55</t>
  </si>
  <si>
    <t xml:space="preserve"> 0,93</t>
  </si>
  <si>
    <t xml:space="preserve">Composição
 24.7.1 </t>
  </si>
  <si>
    <t xml:space="preserve"> 0,39</t>
  </si>
  <si>
    <t xml:space="preserve"> 0,11</t>
  </si>
  <si>
    <t xml:space="preserve"> 3,74</t>
  </si>
  <si>
    <t xml:space="preserve"> 0,95</t>
  </si>
  <si>
    <t xml:space="preserve"> 0,23</t>
  </si>
  <si>
    <t xml:space="preserve">Composição
 24.5.1 </t>
  </si>
  <si>
    <t xml:space="preserve"> 49,06</t>
  </si>
  <si>
    <t xml:space="preserve"> 1,35</t>
  </si>
  <si>
    <t xml:space="preserve"> 13,66</t>
  </si>
  <si>
    <t xml:space="preserve"> 102,15</t>
  </si>
  <si>
    <t xml:space="preserve"> 4,88</t>
  </si>
  <si>
    <t xml:space="preserve"> 0,15</t>
  </si>
  <si>
    <t xml:space="preserve"> 12,01</t>
  </si>
  <si>
    <t xml:space="preserve"> 12,38</t>
  </si>
  <si>
    <t xml:space="preserve"> 0,37</t>
  </si>
  <si>
    <t xml:space="preserve"> 4,74</t>
  </si>
  <si>
    <t xml:space="preserve"> 6,63</t>
  </si>
  <si>
    <t xml:space="preserve"> 246.189,00</t>
  </si>
  <si>
    <t xml:space="preserve">Composição
 24.3.37 </t>
  </si>
  <si>
    <t xml:space="preserve"> 0,53</t>
  </si>
  <si>
    <t xml:space="preserve"> 2,75</t>
  </si>
  <si>
    <t xml:space="preserve"> 1,33</t>
  </si>
  <si>
    <t xml:space="preserve"> 1,86</t>
  </si>
  <si>
    <t xml:space="preserve"> 1,34</t>
  </si>
  <si>
    <t xml:space="preserve"> 5,02</t>
  </si>
  <si>
    <t xml:space="preserve"> 0,27</t>
  </si>
  <si>
    <t xml:space="preserve">Composição
 24.3.36 </t>
  </si>
  <si>
    <t xml:space="preserve">Composição
 24.3.35 </t>
  </si>
  <si>
    <t xml:space="preserve"> 1,58</t>
  </si>
  <si>
    <t xml:space="preserve">Composição
 24.3.34 </t>
  </si>
  <si>
    <t xml:space="preserve"> 3,20</t>
  </si>
  <si>
    <t xml:space="preserve"> 0,09</t>
  </si>
  <si>
    <t xml:space="preserve"> 0,89</t>
  </si>
  <si>
    <t xml:space="preserve"> 2,19</t>
  </si>
  <si>
    <t xml:space="preserve">Composição
 24.2.19 </t>
  </si>
  <si>
    <t xml:space="preserve"> 26,62</t>
  </si>
  <si>
    <t xml:space="preserve"> 0,73</t>
  </si>
  <si>
    <t xml:space="preserve"> 7,41</t>
  </si>
  <si>
    <t xml:space="preserve">Composição
 24.2.18 </t>
  </si>
  <si>
    <t xml:space="preserve"> 0,33</t>
  </si>
  <si>
    <t xml:space="preserve"> 11,18</t>
  </si>
  <si>
    <t xml:space="preserve"> 10,17</t>
  </si>
  <si>
    <t xml:space="preserve"> 2,84</t>
  </si>
  <si>
    <t xml:space="preserve"> 0,68</t>
  </si>
  <si>
    <t xml:space="preserve">Composição
 24.2.17 </t>
  </si>
  <si>
    <t xml:space="preserve">Composição
 24.2.16 </t>
  </si>
  <si>
    <t xml:space="preserve">Composição
 24.2.15 </t>
  </si>
  <si>
    <t xml:space="preserve"> 6,11</t>
  </si>
  <si>
    <t xml:space="preserve"> 0,17</t>
  </si>
  <si>
    <t xml:space="preserve"> 1,70</t>
  </si>
  <si>
    <t xml:space="preserve">Composição
 24.2.14 </t>
  </si>
  <si>
    <t xml:space="preserve">Composição
 24.2.13 </t>
  </si>
  <si>
    <t xml:space="preserve"> 15,30</t>
  </si>
  <si>
    <t xml:space="preserve"> 0,42</t>
  </si>
  <si>
    <t xml:space="preserve"> 4,26</t>
  </si>
  <si>
    <t xml:space="preserve"> 8,88</t>
  </si>
  <si>
    <t xml:space="preserve"> 12,75</t>
  </si>
  <si>
    <t xml:space="preserve"> 3,55</t>
  </si>
  <si>
    <t xml:space="preserve"> 7,40</t>
  </si>
  <si>
    <t xml:space="preserve"> 2,63</t>
  </si>
  <si>
    <t xml:space="preserve"> 0,87</t>
  </si>
  <si>
    <t xml:space="preserve"> 9,51</t>
  </si>
  <si>
    <t xml:space="preserve"> 8,65</t>
  </si>
  <si>
    <t xml:space="preserve"> 1,59</t>
  </si>
  <si>
    <t xml:space="preserve">Composição
 23.3.37 </t>
  </si>
  <si>
    <t xml:space="preserve"> 0,57</t>
  </si>
  <si>
    <t xml:space="preserve"> 0,16</t>
  </si>
  <si>
    <t xml:space="preserve"> 1,38</t>
  </si>
  <si>
    <t xml:space="preserve">Composição
 23.3.36 </t>
  </si>
  <si>
    <t xml:space="preserve"> 1,40</t>
  </si>
  <si>
    <t xml:space="preserve"> 0,29</t>
  </si>
  <si>
    <t xml:space="preserve"> 0,20</t>
  </si>
  <si>
    <t xml:space="preserve"> 1,23</t>
  </si>
  <si>
    <t xml:space="preserve"> 1,78</t>
  </si>
  <si>
    <t xml:space="preserve">Composição
 23.3.34 </t>
  </si>
  <si>
    <t xml:space="preserve">Composição
 23.3.33 </t>
  </si>
  <si>
    <t xml:space="preserve"> 2,07</t>
  </si>
  <si>
    <t xml:space="preserve"> 0,58</t>
  </si>
  <si>
    <t xml:space="preserve"> 1,20</t>
  </si>
  <si>
    <t xml:space="preserve"> 1,01</t>
  </si>
  <si>
    <t xml:space="preserve">Composição
 23.3.24 </t>
  </si>
  <si>
    <t xml:space="preserve"> 0,19</t>
  </si>
  <si>
    <t xml:space="preserve"> 1,64</t>
  </si>
  <si>
    <t xml:space="preserve">Composição
 23.3.23 </t>
  </si>
  <si>
    <t xml:space="preserve"> 0,92</t>
  </si>
  <si>
    <t xml:space="preserve"> 0,26</t>
  </si>
  <si>
    <t xml:space="preserve"> 0,99</t>
  </si>
  <si>
    <t xml:space="preserve"> 2,25</t>
  </si>
  <si>
    <t xml:space="preserve"> 0,54</t>
  </si>
  <si>
    <t xml:space="preserve">Composição
 23.3.22 </t>
  </si>
  <si>
    <t xml:space="preserve"> 0,46</t>
  </si>
  <si>
    <t xml:space="preserve"> 0,13</t>
  </si>
  <si>
    <t xml:space="preserve"> 8,63</t>
  </si>
  <si>
    <t xml:space="preserve"> 1,12</t>
  </si>
  <si>
    <t xml:space="preserve">Composição
 23.3.21 </t>
  </si>
  <si>
    <t xml:space="preserve"> 0,64</t>
  </si>
  <si>
    <t xml:space="preserve"> 0,14</t>
  </si>
  <si>
    <t xml:space="preserve">Composição
 23.3.20 </t>
  </si>
  <si>
    <t xml:space="preserve"> 0,10</t>
  </si>
  <si>
    <t xml:space="preserve">Composição
 23.3.19 </t>
  </si>
  <si>
    <t xml:space="preserve"> 2,40</t>
  </si>
  <si>
    <t xml:space="preserve"> 15,79</t>
  </si>
  <si>
    <t xml:space="preserve"> 6,47</t>
  </si>
  <si>
    <t xml:space="preserve"> 1,88</t>
  </si>
  <si>
    <t xml:space="preserve"> 1,39</t>
  </si>
  <si>
    <t xml:space="preserve">Composição
 23.3.18 </t>
  </si>
  <si>
    <t xml:space="preserve"> 5,06</t>
  </si>
  <si>
    <t xml:space="preserve">Composição
 23.3.17 </t>
  </si>
  <si>
    <t xml:space="preserve"> 0,08</t>
  </si>
  <si>
    <t xml:space="preserve"> 0,79</t>
  </si>
  <si>
    <t xml:space="preserve">Composição
 23.3.16 </t>
  </si>
  <si>
    <t xml:space="preserve"> 1,89</t>
  </si>
  <si>
    <t xml:space="preserve"> 0,52</t>
  </si>
  <si>
    <t xml:space="preserve"> 1,09</t>
  </si>
  <si>
    <t xml:space="preserve">Composição
 23.3.15 </t>
  </si>
  <si>
    <t xml:space="preserve">Composição
 23.3.14 </t>
  </si>
  <si>
    <t xml:space="preserve"> 0,88</t>
  </si>
  <si>
    <t xml:space="preserve"> 1,83</t>
  </si>
  <si>
    <t xml:space="preserve">Composição
 23.3.13 </t>
  </si>
  <si>
    <t xml:space="preserve"> 2,30</t>
  </si>
  <si>
    <t xml:space="preserve">Composição
 23.3.12 </t>
  </si>
  <si>
    <t xml:space="preserve"> 0,41</t>
  </si>
  <si>
    <t xml:space="preserve"> 0,85</t>
  </si>
  <si>
    <t xml:space="preserve">Composição
 23.3.11 </t>
  </si>
  <si>
    <t xml:space="preserve">Composição
 23.3.10 </t>
  </si>
  <si>
    <t xml:space="preserve">Composição
 23.3.9 </t>
  </si>
  <si>
    <t xml:space="preserve">Composição
 23.3.8 </t>
  </si>
  <si>
    <t xml:space="preserve">Composição
 23.3.7 </t>
  </si>
  <si>
    <t xml:space="preserve"> 1,29</t>
  </si>
  <si>
    <t xml:space="preserve"> 0,31</t>
  </si>
  <si>
    <t xml:space="preserve">Composição
 23.3.6 </t>
  </si>
  <si>
    <t xml:space="preserve"> 0,25</t>
  </si>
  <si>
    <t xml:space="preserve">Composição
 23.3.5 </t>
  </si>
  <si>
    <t xml:space="preserve">Composição
 23.3.4 </t>
  </si>
  <si>
    <t xml:space="preserve"> 0,90</t>
  </si>
  <si>
    <t xml:space="preserve">Composição
 23.3.3 </t>
  </si>
  <si>
    <t xml:space="preserve">Composição
 23.3.2 </t>
  </si>
  <si>
    <t xml:space="preserve">Composição
 23.3.1 </t>
  </si>
  <si>
    <t xml:space="preserve">Composição
 23.2.5 </t>
  </si>
  <si>
    <t xml:space="preserve">Composição
 23.2.4 </t>
  </si>
  <si>
    <t xml:space="preserve"> 2,66</t>
  </si>
  <si>
    <t xml:space="preserve"> 1,54</t>
  </si>
  <si>
    <t xml:space="preserve"> 1,26</t>
  </si>
  <si>
    <t xml:space="preserve"> 6,46</t>
  </si>
  <si>
    <t xml:space="preserve">Composição
 23.2.3 </t>
  </si>
  <si>
    <t xml:space="preserve"> 1,27</t>
  </si>
  <si>
    <t xml:space="preserve"> 1,66</t>
  </si>
  <si>
    <t xml:space="preserve">Composição
 23.2.2 </t>
  </si>
  <si>
    <t xml:space="preserve"> 0,76</t>
  </si>
  <si>
    <t xml:space="preserve">Composição
 23.2.1 </t>
  </si>
  <si>
    <t xml:space="preserve">Composição
 23.1.7 </t>
  </si>
  <si>
    <t xml:space="preserve">Composição
 23.1.6 </t>
  </si>
  <si>
    <t xml:space="preserve">Composição
 23.1.5 </t>
  </si>
  <si>
    <t xml:space="preserve">Composição
 23.1.3 </t>
  </si>
  <si>
    <t xml:space="preserve">Composição
 23.1.2 </t>
  </si>
  <si>
    <t xml:space="preserve"> 6,50</t>
  </si>
  <si>
    <t xml:space="preserve"> 1,81</t>
  </si>
  <si>
    <t xml:space="preserve"> 13,58</t>
  </si>
  <si>
    <t xml:space="preserve"> 3,58</t>
  </si>
  <si>
    <t xml:space="preserve">Composição
 23.1.1 </t>
  </si>
  <si>
    <t xml:space="preserve"> 2,27</t>
  </si>
  <si>
    <t xml:space="preserve"> 5,20</t>
  </si>
  <si>
    <t xml:space="preserve"> 24,03</t>
  </si>
  <si>
    <t xml:space="preserve">Composição
 22.11 </t>
  </si>
  <si>
    <t xml:space="preserve"> 1,51</t>
  </si>
  <si>
    <t xml:space="preserve"> 4,80</t>
  </si>
  <si>
    <t xml:space="preserve">Composição
 22.10 </t>
  </si>
  <si>
    <t xml:space="preserve"> 3,00</t>
  </si>
  <si>
    <t xml:space="preserve"> 2,83</t>
  </si>
  <si>
    <t xml:space="preserve">Composição
 22.8 </t>
  </si>
  <si>
    <t xml:space="preserve"> 4,18</t>
  </si>
  <si>
    <t xml:space="preserve"> 3,93</t>
  </si>
  <si>
    <t xml:space="preserve">Composição
 22.7 </t>
  </si>
  <si>
    <t xml:space="preserve"> 16,13</t>
  </si>
  <si>
    <t xml:space="preserve">Composição
 22.6 </t>
  </si>
  <si>
    <t xml:space="preserve">Composição
 22.3 </t>
  </si>
  <si>
    <t xml:space="preserve"> 14,35</t>
  </si>
  <si>
    <t xml:space="preserve">Composição
 22.2 </t>
  </si>
  <si>
    <t xml:space="preserve"> 2,47</t>
  </si>
  <si>
    <t xml:space="preserve"> 0,69</t>
  </si>
  <si>
    <t xml:space="preserve"> 8,00</t>
  </si>
  <si>
    <t xml:space="preserve"> 6,41</t>
  </si>
  <si>
    <t xml:space="preserve"> 1,30</t>
  </si>
  <si>
    <t xml:space="preserve">Composição
 21.2.3 </t>
  </si>
  <si>
    <t xml:space="preserve"> 91,41</t>
  </si>
  <si>
    <t xml:space="preserve">Composição
 21.2.2 </t>
  </si>
  <si>
    <t xml:space="preserve"> 7,73</t>
  </si>
  <si>
    <t xml:space="preserve"> 2,15</t>
  </si>
  <si>
    <t xml:space="preserve"> 81,70</t>
  </si>
  <si>
    <t xml:space="preserve"> 11,55</t>
  </si>
  <si>
    <t xml:space="preserve"> 21,46</t>
  </si>
  <si>
    <t xml:space="preserve"> 3,53</t>
  </si>
  <si>
    <t xml:space="preserve">Composição
 21.2.1 </t>
  </si>
  <si>
    <t xml:space="preserve"> 7,53</t>
  </si>
  <si>
    <t xml:space="preserve"> 2,10</t>
  </si>
  <si>
    <t xml:space="preserve"> 26,64</t>
  </si>
  <si>
    <t xml:space="preserve"> 2,88</t>
  </si>
  <si>
    <t xml:space="preserve"> 3,43</t>
  </si>
  <si>
    <t xml:space="preserve">Composição
 21.1.6 </t>
  </si>
  <si>
    <t xml:space="preserve"> 1,49</t>
  </si>
  <si>
    <t xml:space="preserve">Composição
 21.1.5 </t>
  </si>
  <si>
    <t xml:space="preserve"> 47,49</t>
  </si>
  <si>
    <t xml:space="preserve"> 3,60</t>
  </si>
  <si>
    <t xml:space="preserve"> 7,75</t>
  </si>
  <si>
    <t xml:space="preserve"> 1,37</t>
  </si>
  <si>
    <t xml:space="preserve">Composição
 21.1.4 </t>
  </si>
  <si>
    <t xml:space="preserve">Composição
 21.1.3 </t>
  </si>
  <si>
    <t xml:space="preserve">Composição
 20.4.7 </t>
  </si>
  <si>
    <t xml:space="preserve">Composição
 20.4.6 </t>
  </si>
  <si>
    <t xml:space="preserve">Composição
 20.4.2 </t>
  </si>
  <si>
    <t xml:space="preserve">Composição
 20.4.1 </t>
  </si>
  <si>
    <t xml:space="preserve"> 0,86</t>
  </si>
  <si>
    <t xml:space="preserve"> 9,14</t>
  </si>
  <si>
    <t xml:space="preserve">Composição
 20.3.4 </t>
  </si>
  <si>
    <t xml:space="preserve"> 1,93</t>
  </si>
  <si>
    <t xml:space="preserve"> 0,81</t>
  </si>
  <si>
    <t xml:space="preserve">Composição
 20.3.3 </t>
  </si>
  <si>
    <t xml:space="preserve"> 1,61</t>
  </si>
  <si>
    <t xml:space="preserve">Composição
 20.3.2 </t>
  </si>
  <si>
    <t xml:space="preserve">Composição
 20.3.1 </t>
  </si>
  <si>
    <t xml:space="preserve">Composição
 20.2..18 </t>
  </si>
  <si>
    <t xml:space="preserve">Composição
 20.2..17 </t>
  </si>
  <si>
    <t xml:space="preserve"> 3,68</t>
  </si>
  <si>
    <t xml:space="preserve">Composição
 20.2..16 </t>
  </si>
  <si>
    <t xml:space="preserve">Composição
 20.2..15 </t>
  </si>
  <si>
    <t xml:space="preserve"> 3,76</t>
  </si>
  <si>
    <t xml:space="preserve"> 1,05</t>
  </si>
  <si>
    <t xml:space="preserve">Composição
 20.2..14 </t>
  </si>
  <si>
    <t xml:space="preserve">Composição
 20.2..13 </t>
  </si>
  <si>
    <t xml:space="preserve">Composição
 20.2..11 </t>
  </si>
  <si>
    <t xml:space="preserve">Composição
 20.2..10 </t>
  </si>
  <si>
    <t xml:space="preserve">Composição
 20.2..9 </t>
  </si>
  <si>
    <t xml:space="preserve"> 1,22</t>
  </si>
  <si>
    <t xml:space="preserve">Composição
 20.2..8 </t>
  </si>
  <si>
    <t xml:space="preserve">Composição
 20.2..7 </t>
  </si>
  <si>
    <t xml:space="preserve">Composição
 20.2..5 </t>
  </si>
  <si>
    <t xml:space="preserve">Composição
 20.2..4 </t>
  </si>
  <si>
    <t xml:space="preserve">Composição
 20.1.6 </t>
  </si>
  <si>
    <t xml:space="preserve">Composição
 20.1.5 </t>
  </si>
  <si>
    <t xml:space="preserve">Composição
 20.1.4 </t>
  </si>
  <si>
    <t xml:space="preserve">Composição
 20.1.3 </t>
  </si>
  <si>
    <t xml:space="preserve">Composição
 20.1.2 </t>
  </si>
  <si>
    <t xml:space="preserve"> 0,32</t>
  </si>
  <si>
    <t xml:space="preserve">Composição
 19.3.13 </t>
  </si>
  <si>
    <t xml:space="preserve">Composição
 19.3.12 </t>
  </si>
  <si>
    <t xml:space="preserve"> 2,59</t>
  </si>
  <si>
    <t xml:space="preserve">Composição
 19.3.11 </t>
  </si>
  <si>
    <t xml:space="preserve">Composição
 19.3.10 </t>
  </si>
  <si>
    <t xml:space="preserve">Composição
 19.3.9 </t>
  </si>
  <si>
    <t xml:space="preserve">Composição
 19.3.8 </t>
  </si>
  <si>
    <t xml:space="preserve"> 0,45</t>
  </si>
  <si>
    <t xml:space="preserve"> 5,52</t>
  </si>
  <si>
    <t xml:space="preserve">Composição
 19.3.6 </t>
  </si>
  <si>
    <t xml:space="preserve"> 1,60</t>
  </si>
  <si>
    <t xml:space="preserve"> 1,10</t>
  </si>
  <si>
    <t xml:space="preserve">Composição
 19.3.5 </t>
  </si>
  <si>
    <t xml:space="preserve">Composição
 19.3.3 </t>
  </si>
  <si>
    <t xml:space="preserve"> 0,72</t>
  </si>
  <si>
    <t xml:space="preserve">Composição
 19.3.2 </t>
  </si>
  <si>
    <t xml:space="preserve"> 1,67</t>
  </si>
  <si>
    <t xml:space="preserve">Composição
 19.3.1 </t>
  </si>
  <si>
    <t xml:space="preserve">Composição
 19.2.25 </t>
  </si>
  <si>
    <t xml:space="preserve">Composição
 19.2.24 </t>
  </si>
  <si>
    <t xml:space="preserve"> 4,02</t>
  </si>
  <si>
    <t xml:space="preserve"> 1,69</t>
  </si>
  <si>
    <t xml:space="preserve">Composição
 19.2.23 </t>
  </si>
  <si>
    <t xml:space="preserve"> 1,15</t>
  </si>
  <si>
    <t xml:space="preserve">Composição
 19.2.22 </t>
  </si>
  <si>
    <t xml:space="preserve">Composição
 19.2.20 </t>
  </si>
  <si>
    <t xml:space="preserve">Composição
 19.2.19 </t>
  </si>
  <si>
    <t xml:space="preserve">Composição
 19.2.18 </t>
  </si>
  <si>
    <t xml:space="preserve">Composição
 19.2.17 </t>
  </si>
  <si>
    <t xml:space="preserve">Composição
 19.2.16 </t>
  </si>
  <si>
    <t xml:space="preserve">Composição
 19.2.15 </t>
  </si>
  <si>
    <t xml:space="preserve"> 1,57</t>
  </si>
  <si>
    <t xml:space="preserve">Composição
 19.2.13 </t>
  </si>
  <si>
    <t xml:space="preserve"> 4,00</t>
  </si>
  <si>
    <t xml:space="preserve"> 1,32</t>
  </si>
  <si>
    <t xml:space="preserve">Composição
 19.2.12 </t>
  </si>
  <si>
    <t xml:space="preserve">Composição
 19.2.11 </t>
  </si>
  <si>
    <t xml:space="preserve">Composição
 19.2.10 </t>
  </si>
  <si>
    <t xml:space="preserve">Composição
 19.2.9 </t>
  </si>
  <si>
    <t xml:space="preserve"> 6,00</t>
  </si>
  <si>
    <t xml:space="preserve"> 3,15</t>
  </si>
  <si>
    <t xml:space="preserve">Composição
 19.2.8 </t>
  </si>
  <si>
    <t xml:space="preserve">Composição
 19.2.7 </t>
  </si>
  <si>
    <t xml:space="preserve"> 3,77</t>
  </si>
  <si>
    <t xml:space="preserve">Composição
 19.2.6 </t>
  </si>
  <si>
    <t xml:space="preserve">Composição
 19.2.5 </t>
  </si>
  <si>
    <t xml:space="preserve">Composição
 19.2.4 </t>
  </si>
  <si>
    <t xml:space="preserve">Composição
 19.2.3 </t>
  </si>
  <si>
    <t xml:space="preserve"> 31,08</t>
  </si>
  <si>
    <t xml:space="preserve"> 1.754,11</t>
  </si>
  <si>
    <t xml:space="preserve"> 1.736,56</t>
  </si>
  <si>
    <t xml:space="preserve">Composição
 19.2.1 </t>
  </si>
  <si>
    <t xml:space="preserve">Composição
 19.1.4 </t>
  </si>
  <si>
    <t xml:space="preserve">Composição
 19.1.3 </t>
  </si>
  <si>
    <t xml:space="preserve">Composição
 19.1.2 </t>
  </si>
  <si>
    <t xml:space="preserve">Composição
 19.1.1 </t>
  </si>
  <si>
    <t xml:space="preserve"> 2,33</t>
  </si>
  <si>
    <t xml:space="preserve"> 13,72</t>
  </si>
  <si>
    <t xml:space="preserve">Composição
 18.1 </t>
  </si>
  <si>
    <t xml:space="preserve"> 4,58</t>
  </si>
  <si>
    <t xml:space="preserve"> 2,68</t>
  </si>
  <si>
    <t xml:space="preserve"> 0,75</t>
  </si>
  <si>
    <t xml:space="preserve"> 23,83</t>
  </si>
  <si>
    <t xml:space="preserve"> 2.166,49</t>
  </si>
  <si>
    <t xml:space="preserve">Composição
 17.1 </t>
  </si>
  <si>
    <t xml:space="preserve"> 6,78</t>
  </si>
  <si>
    <t xml:space="preserve"> 20,56</t>
  </si>
  <si>
    <t xml:space="preserve">Composição
 16.3.5 </t>
  </si>
  <si>
    <t xml:space="preserve"> 2,06</t>
  </si>
  <si>
    <t xml:space="preserve">Composição
 16.3.3 </t>
  </si>
  <si>
    <t xml:space="preserve"> 1,82</t>
  </si>
  <si>
    <t xml:space="preserve">Composição
 16.3.2 </t>
  </si>
  <si>
    <t xml:space="preserve"> 1,95</t>
  </si>
  <si>
    <t xml:space="preserve"> 23,24</t>
  </si>
  <si>
    <t xml:space="preserve"> 1,85</t>
  </si>
  <si>
    <t xml:space="preserve">Composição
 16.3.1 </t>
  </si>
  <si>
    <t xml:space="preserve"> 7,67</t>
  </si>
  <si>
    <t xml:space="preserve"> 2,14</t>
  </si>
  <si>
    <t xml:space="preserve">Composição
 16.2.1.5 </t>
  </si>
  <si>
    <t xml:space="preserve">Composição
 16.2.1.4 </t>
  </si>
  <si>
    <t xml:space="preserve">Composição
 16.2.1.3 </t>
  </si>
  <si>
    <t xml:space="preserve">Composição
 16.2.1.2 </t>
  </si>
  <si>
    <t xml:space="preserve"> 9,60</t>
  </si>
  <si>
    <t xml:space="preserve"> 2,67</t>
  </si>
  <si>
    <t xml:space="preserve">Composição
 16.2.1.1 </t>
  </si>
  <si>
    <t xml:space="preserve">Composição
 16.1.2.11 </t>
  </si>
  <si>
    <t xml:space="preserve">Composição
 16.1.2.10 </t>
  </si>
  <si>
    <t xml:space="preserve"> 3,67</t>
  </si>
  <si>
    <t xml:space="preserve">Composição
 16.1.2.9 </t>
  </si>
  <si>
    <t xml:space="preserve"> 3,04</t>
  </si>
  <si>
    <t xml:space="preserve">Composição
 16.1.2.8 </t>
  </si>
  <si>
    <t xml:space="preserve">Composição
 16.1.2.7 </t>
  </si>
  <si>
    <t xml:space="preserve"> 0,84</t>
  </si>
  <si>
    <t xml:space="preserve">Composição
 16.1.2.6 </t>
  </si>
  <si>
    <t xml:space="preserve">Composição
 16.1.2.5 </t>
  </si>
  <si>
    <t xml:space="preserve">Composição
 16.1.2.4 </t>
  </si>
  <si>
    <t xml:space="preserve">Composição
 16.1.2.3 </t>
  </si>
  <si>
    <t xml:space="preserve"> 7,05</t>
  </si>
  <si>
    <t xml:space="preserve">Composição
 16.1.2.2 </t>
  </si>
  <si>
    <t xml:space="preserve"> 3,97</t>
  </si>
  <si>
    <t xml:space="preserve"> 7,92</t>
  </si>
  <si>
    <t xml:space="preserve">Composição
 16.1.2.1 </t>
  </si>
  <si>
    <t xml:space="preserve">Composição
 16.1.1.12 </t>
  </si>
  <si>
    <t xml:space="preserve">Composição
 16.1.1.11 </t>
  </si>
  <si>
    <t xml:space="preserve">Composição
 16.1.1.10 </t>
  </si>
  <si>
    <t xml:space="preserve">Composição
 16.1.1.9 </t>
  </si>
  <si>
    <t xml:space="preserve">Composição
 16.1.1.8 </t>
  </si>
  <si>
    <t xml:space="preserve">Composição
 16.1.1.7 </t>
  </si>
  <si>
    <t xml:space="preserve">Composição
 16.1.1.6 </t>
  </si>
  <si>
    <t xml:space="preserve">Composição
 16.1.1.5 </t>
  </si>
  <si>
    <t xml:space="preserve">Composição
 16.1.1.4 </t>
  </si>
  <si>
    <t xml:space="preserve">Composição
 16.1.1.3 </t>
  </si>
  <si>
    <t xml:space="preserve">Composição
 16.1.1.2 </t>
  </si>
  <si>
    <t xml:space="preserve"> 6,01</t>
  </si>
  <si>
    <t xml:space="preserve">Composição
 16.1.1.1 </t>
  </si>
  <si>
    <t xml:space="preserve">Composição
 15.2.3 </t>
  </si>
  <si>
    <t xml:space="preserve"> 4,25</t>
  </si>
  <si>
    <t xml:space="preserve">Composição
 15.2.2 </t>
  </si>
  <si>
    <t xml:space="preserve">Composição
 15.1.3 </t>
  </si>
  <si>
    <t xml:space="preserve">Composição
 15.1.2 </t>
  </si>
  <si>
    <t xml:space="preserve"> 1,44</t>
  </si>
  <si>
    <t xml:space="preserve"> 0,40</t>
  </si>
  <si>
    <t xml:space="preserve"> 32,46</t>
  </si>
  <si>
    <t xml:space="preserve"> 18,93</t>
  </si>
  <si>
    <t xml:space="preserve"> 19,00</t>
  </si>
  <si>
    <t xml:space="preserve">Composição
 14.1 </t>
  </si>
  <si>
    <t xml:space="preserve"> 8,52</t>
  </si>
  <si>
    <t xml:space="preserve"> 17,21</t>
  </si>
  <si>
    <t xml:space="preserve">Composição
 13.1 </t>
  </si>
  <si>
    <t xml:space="preserve"> 2,60</t>
  </si>
  <si>
    <t xml:space="preserve">Composição
 12.5 </t>
  </si>
  <si>
    <t xml:space="preserve">Composição
 12.4 </t>
  </si>
  <si>
    <t xml:space="preserve"> 0,61</t>
  </si>
  <si>
    <t xml:space="preserve">Composição
 12.3 </t>
  </si>
  <si>
    <t xml:space="preserve">Composição
 12.2 </t>
  </si>
  <si>
    <t xml:space="preserve"> 58.739,81</t>
  </si>
  <si>
    <t xml:space="preserve">Composição
 11.7 </t>
  </si>
  <si>
    <t xml:space="preserve"> 2,58</t>
  </si>
  <si>
    <t xml:space="preserve">Composição
 11.6 </t>
  </si>
  <si>
    <t xml:space="preserve">Composição
 11.5 </t>
  </si>
  <si>
    <t xml:space="preserve"> 3,02</t>
  </si>
  <si>
    <t xml:space="preserve">Composição
 11.4 </t>
  </si>
  <si>
    <t xml:space="preserve"> 2,03</t>
  </si>
  <si>
    <t xml:space="preserve"> 1,03</t>
  </si>
  <si>
    <t xml:space="preserve">Composição
 11.3 </t>
  </si>
  <si>
    <t xml:space="preserve"> 3,24</t>
  </si>
  <si>
    <t xml:space="preserve">Composição
 11.2 </t>
  </si>
  <si>
    <t xml:space="preserve">Composição
 11.1 </t>
  </si>
  <si>
    <t xml:space="preserve"> 6,52</t>
  </si>
  <si>
    <t xml:space="preserve">Composição
 10.5 </t>
  </si>
  <si>
    <t xml:space="preserve"> 1,87</t>
  </si>
  <si>
    <t xml:space="preserve"> 3,78</t>
  </si>
  <si>
    <t xml:space="preserve">Composição
 10.4 </t>
  </si>
  <si>
    <t xml:space="preserve">Composição
 10.3 </t>
  </si>
  <si>
    <t xml:space="preserve">Composição
 9.3 </t>
  </si>
  <si>
    <t xml:space="preserve"> 1,14</t>
  </si>
  <si>
    <t xml:space="preserve">Composição
 9.1 </t>
  </si>
  <si>
    <t xml:space="preserve"> 1,47</t>
  </si>
  <si>
    <t xml:space="preserve">Composição
 8.5 </t>
  </si>
  <si>
    <t xml:space="preserve"> 128,51</t>
  </si>
  <si>
    <t xml:space="preserve">Composição
 8.4 </t>
  </si>
  <si>
    <t xml:space="preserve"> 22,23</t>
  </si>
  <si>
    <t xml:space="preserve"> 6,19</t>
  </si>
  <si>
    <t xml:space="preserve"> 34,03</t>
  </si>
  <si>
    <t xml:space="preserve"> 1.270.494,75</t>
  </si>
  <si>
    <t xml:space="preserve">Composição
 8.3 </t>
  </si>
  <si>
    <t xml:space="preserve"> 1,00</t>
  </si>
  <si>
    <t xml:space="preserve"> 10,18</t>
  </si>
  <si>
    <t xml:space="preserve">Composição
 8.2 </t>
  </si>
  <si>
    <t xml:space="preserve">Composição
 8.1 </t>
  </si>
  <si>
    <t xml:space="preserve">Composição
 7.3 </t>
  </si>
  <si>
    <t xml:space="preserve"> 2,26</t>
  </si>
  <si>
    <t xml:space="preserve"> 5,44</t>
  </si>
  <si>
    <t xml:space="preserve"> 5,55</t>
  </si>
  <si>
    <t xml:space="preserve">Composição
 7.2 </t>
  </si>
  <si>
    <t xml:space="preserve">Composição
 7.1 </t>
  </si>
  <si>
    <t xml:space="preserve"> 6,18</t>
  </si>
  <si>
    <t xml:space="preserve"> 6,05</t>
  </si>
  <si>
    <t xml:space="preserve"> 3,39</t>
  </si>
  <si>
    <t xml:space="preserve">Composição
 6.2.6 </t>
  </si>
  <si>
    <t xml:space="preserve">Composição
 6.2.5 </t>
  </si>
  <si>
    <t xml:space="preserve">Composição
 6.2.4 </t>
  </si>
  <si>
    <t xml:space="preserve">Composição
 6.2.3 </t>
  </si>
  <si>
    <t xml:space="preserve">Composição
 6.2.2 </t>
  </si>
  <si>
    <t xml:space="preserve">Composição
 6.2.1 </t>
  </si>
  <si>
    <t xml:space="preserve">Composição
 6.1.6 </t>
  </si>
  <si>
    <t xml:space="preserve">Composição
 6.1.5 </t>
  </si>
  <si>
    <t xml:space="preserve">Composição
 6.1.4 </t>
  </si>
  <si>
    <t xml:space="preserve">Composição
 6.1.3 </t>
  </si>
  <si>
    <t xml:space="preserve">Composição
 6.1.2 </t>
  </si>
  <si>
    <t xml:space="preserve">Composição
 6.1.1 </t>
  </si>
  <si>
    <t xml:space="preserve">Composição
 5.2.13 </t>
  </si>
  <si>
    <t xml:space="preserve">Composição
 5.2.12 </t>
  </si>
  <si>
    <t xml:space="preserve">Composição
 5.2.11 </t>
  </si>
  <si>
    <t xml:space="preserve">Composição
 5.2.10 </t>
  </si>
  <si>
    <t xml:space="preserve">Composição
 5.2.9 </t>
  </si>
  <si>
    <t xml:space="preserve">Composição
 5.2.8 </t>
  </si>
  <si>
    <t xml:space="preserve">Composição
 5.2.7 </t>
  </si>
  <si>
    <t xml:space="preserve"> 1,13</t>
  </si>
  <si>
    <t xml:space="preserve">Composição
 5.2.6 </t>
  </si>
  <si>
    <t xml:space="preserve">Composição
 5.2.5 </t>
  </si>
  <si>
    <t xml:space="preserve">Composição
 5.2.4 </t>
  </si>
  <si>
    <t xml:space="preserve">Composição
 5.2.3 </t>
  </si>
  <si>
    <t xml:space="preserve">Composição
 5.2.2 </t>
  </si>
  <si>
    <t xml:space="preserve">Composição
 5.2.1 </t>
  </si>
  <si>
    <t xml:space="preserve">Composição
 5.1.14 </t>
  </si>
  <si>
    <t xml:space="preserve">Composição
 5.1.13 </t>
  </si>
  <si>
    <t xml:space="preserve">Composição
 5.1.12 </t>
  </si>
  <si>
    <t xml:space="preserve">Composição
 5.1.11 </t>
  </si>
  <si>
    <t xml:space="preserve"> 10,12</t>
  </si>
  <si>
    <t xml:space="preserve"> 2,82</t>
  </si>
  <si>
    <t xml:space="preserve"> 12,52</t>
  </si>
  <si>
    <t xml:space="preserve">Composição
 5.1.10 </t>
  </si>
  <si>
    <t xml:space="preserve">Composição
 5.1.9 </t>
  </si>
  <si>
    <t xml:space="preserve">Composição
 5.1.8 </t>
  </si>
  <si>
    <t xml:space="preserve">Composição
 5.1.7 </t>
  </si>
  <si>
    <t xml:space="preserve">Composição
 5.1.6 </t>
  </si>
  <si>
    <t xml:space="preserve">Composição
 5.1.5 </t>
  </si>
  <si>
    <t xml:space="preserve">Composição
 5.1.4 </t>
  </si>
  <si>
    <t xml:space="preserve">Composição
 5.1.3 </t>
  </si>
  <si>
    <t xml:space="preserve">Composição
 5.1.2 </t>
  </si>
  <si>
    <t xml:space="preserve">Composição
 5.1.1 </t>
  </si>
  <si>
    <t xml:space="preserve"> 384.959,40</t>
  </si>
  <si>
    <t xml:space="preserve">Composição
 3.19 </t>
  </si>
  <si>
    <t xml:space="preserve">Composição
 3.18 </t>
  </si>
  <si>
    <t xml:space="preserve"> 5,18</t>
  </si>
  <si>
    <t xml:space="preserve"> 14,81</t>
  </si>
  <si>
    <t xml:space="preserve"> 218.963,41</t>
  </si>
  <si>
    <t xml:space="preserve">Composição
 3.16 </t>
  </si>
  <si>
    <t xml:space="preserve"> 0,97</t>
  </si>
  <si>
    <t xml:space="preserve"> 2,09</t>
  </si>
  <si>
    <t xml:space="preserve"> 16,00</t>
  </si>
  <si>
    <t xml:space="preserve">Composição
 3.15 </t>
  </si>
  <si>
    <t xml:space="preserve">Composição
 3.14 </t>
  </si>
  <si>
    <t xml:space="preserve"> 2,24</t>
  </si>
  <si>
    <t xml:space="preserve">Composição
 3.12 </t>
  </si>
  <si>
    <t xml:space="preserve">Composição
 3.11 </t>
  </si>
  <si>
    <t xml:space="preserve"> 2,48</t>
  </si>
  <si>
    <t xml:space="preserve">Composição
 3.10 </t>
  </si>
  <si>
    <t xml:space="preserve"> 20,12</t>
  </si>
  <si>
    <t xml:space="preserve"> 5,60</t>
  </si>
  <si>
    <t xml:space="preserve"> 11,10</t>
  </si>
  <si>
    <t xml:space="preserve">Composição
 3.8 </t>
  </si>
  <si>
    <t xml:space="preserve"> 5,34</t>
  </si>
  <si>
    <t xml:space="preserve"> 14,36</t>
  </si>
  <si>
    <t xml:space="preserve"> 65,56</t>
  </si>
  <si>
    <t xml:space="preserve"> 10,58</t>
  </si>
  <si>
    <t xml:space="preserve">Composição
 3.7 </t>
  </si>
  <si>
    <t xml:space="preserve"> 0,80</t>
  </si>
  <si>
    <t xml:space="preserve"> 0,22</t>
  </si>
  <si>
    <t xml:space="preserve">Composição
 3.6 </t>
  </si>
  <si>
    <t xml:space="preserve"> 1,80</t>
  </si>
  <si>
    <t xml:space="preserve"> 5,03</t>
  </si>
  <si>
    <t xml:space="preserve">Composição
 3.5 </t>
  </si>
  <si>
    <t xml:space="preserve">Composição
 3.4 </t>
  </si>
  <si>
    <t xml:space="preserve">Composição
 3.3 </t>
  </si>
  <si>
    <t xml:space="preserve">Composição
 3.1 </t>
  </si>
  <si>
    <t xml:space="preserve"> 0,56</t>
  </si>
  <si>
    <t xml:space="preserve"> 7,03</t>
  </si>
  <si>
    <t xml:space="preserve">Composição
 2.4 </t>
  </si>
  <si>
    <t xml:space="preserve">Composição
 2.3 </t>
  </si>
  <si>
    <t xml:space="preserve">Composição
 2.2 </t>
  </si>
  <si>
    <t xml:space="preserve"> 5,09</t>
  </si>
  <si>
    <t xml:space="preserve">Composição
 2.1 </t>
  </si>
  <si>
    <t xml:space="preserve">Composição
 1.3 </t>
  </si>
  <si>
    <t xml:space="preserve"> 79,01</t>
  </si>
  <si>
    <t xml:space="preserve"> 13,07</t>
  </si>
  <si>
    <t xml:space="preserve"> 65,94</t>
  </si>
  <si>
    <t xml:space="preserve"> 193,70</t>
  </si>
  <si>
    <t xml:space="preserve"> 14,26</t>
  </si>
  <si>
    <t xml:space="preserve"> 179,44</t>
  </si>
  <si>
    <t xml:space="preserve">Composição
 1.2 </t>
  </si>
  <si>
    <t xml:space="preserve">Composição
 1.1 </t>
  </si>
  <si>
    <t>BLOQUETE/PISO DE CONCRETO - MODELO BLOCO PISOGRAMA/CONCREGRAMA 2 FUROS, DIMENSOES APROX. DE 35 CM X 15 CM E ESPESSURA DE 7 CM (+/- 1 CM), COR NATURAL</t>
  </si>
  <si>
    <t>BLOQUETE/PISO DE CONCRETO - MODELO PISOGRAMA/CONCREGRAMA/PAVI-GRADE/GRAMEIRO, DIMENSOES APROXIMADAS DE 60 CM X 45 CM E ESPESSURA DE 8 CM (+/- 1 CM), COR NATURAL</t>
  </si>
  <si>
    <t>BLOQUETE/PISO INTERTRAVADO DE CONCRETO - MODELO SEXTAVADO / HEXAGONAL, 25 CM X 25 CM, E = 10 CM, RESISTENCIA DE 35 MPA (NBR 9781), COR NATURAL</t>
  </si>
  <si>
    <t>BLOQUETE/PISO INTERTRAVADO DE CONCRETO - MODELO SEXTAVADO / HEXAGONAL, 25 CM X 25 CM, E = 6 CM, RESISTENCIA DE 35 MPA (NBR 9781), COR NATURAL</t>
  </si>
  <si>
    <t>BLOQUETE/PISO INTERTRAVADO DE CONCRETO - MODELO SEXTAVADO / HEXAGONAL, 25 CM X 25 CM, E = 8 CM, RESISTENCIA DE 35 MPA (NBR 9781), COR NATURAL</t>
  </si>
  <si>
    <t>TUBULÃO A CÉU ABERTO, DIÂMETRO DO FUSTE DE 70CM, ESCAVAÇÃO MANUAL, SEM ALARGAMENTO DE BASE, CONCRETO FEITO EM OBRA E LANÇADO COM JERICA. AF_05/2020</t>
  </si>
  <si>
    <t>TUBULÃO A CÉU ABERTO, DIÂMETRO DO FUSTE DE 80CM, ESCAVAÇÃO MANUAL, SEM ALARGAMENTO DE BASE, CONCRETO FEITO EM OBRA E LANÇADO COM JERICA. AF_05/2020</t>
  </si>
  <si>
    <t>TUBULÃO A CÉU ABERTO, DIÂMETRO DO FUSTE DE 100CM, ESCAVAÇÃO MANUAL, SEM ALARGAMENTO DE BASE, CONCRETO FEITO EM OBRA E LANÇADO COM JERICA. AF_05/2020</t>
  </si>
  <si>
    <t>TUBULÃO A CÉU ABERTO, DIÂMETRO DO FUSTE DE 120CM, ESCAVAÇÃO MANUAL, SEM ALARGAMENTO DE BASE, CONCRETO FEITO EM OBRA E LANÇADO COM JERICA. AF_05/2020</t>
  </si>
  <si>
    <t>TUBULÃO A CÉU ABERTO, DIÂMETRO DO FUSTE DE 70CM, ESCAVAÇÃO MECÂNICA, SEM ALARGAMENTO DE BASE, CONCRETO FEITO EM OBRA E LANÇADO COM JERICA. AF_05/2020</t>
  </si>
  <si>
    <t>TUBULÃO A CÉU ABERTO, DIÂMETRO DO FUSTE DE 80CM, ESCAVAÇÃO MECÂNICA, SEM ALARGAMENTO DE BASE, CONCRETO FEITO EM OBRA E LANÇADO COM JERICA. AF_05/2020</t>
  </si>
  <si>
    <t>TUBULÃO A CÉU ABERTO, DIÂMETRO DO FUSTE DE 100CM, ESCAVAÇÃO MECÂNICA, SEM ALARGAMENTO DE BASE, CONCRETO FEITO EM OBRA E LANÇADO COM JERICA. AF_05/2020</t>
  </si>
  <si>
    <t>TUBULÃO A CÉU ABERTO, DIÂMETRO DO FUSTE DE 120CM, ESCAVAÇÃO MECÂNICA, SEM ALARGAMENTO DE BASE, CONCRETO FEITO EM OBRA E LANÇADO COM JERICA. AF_05/2020</t>
  </si>
  <si>
    <t>TUBULÃO A CÉU ABERTO, DIÂMETRO DO FUSTE DE 70CM, ESCAVAÇÃO MANUAL, SEM ALARGAMENTO DE BASE, CONCRETO USINADO E LANÇADO COM BOMBA OU DIRETAMENTE DO CAMINHÃO. AF_05/2020</t>
  </si>
  <si>
    <t>TUBULÃO A CÉU ABERTO, DIÂMETRO DO FUSTE DE 80CM, ESCAVAÇÃO MANUAL, SEM ALARGAMENTO DE BASE, CONCRETO USINADO E LANÇADO COM BOMBA OU DIRETAMENTE DO CAMINHÃO. AF_05/2020</t>
  </si>
  <si>
    <t>TUBULÃO A CÉU ABERTO, DIÂMETRO DO FUSTE DE 100CM, ESCAVAÇÃO MANUAL, SEM ALARGAMENTO DE BASE, CONCRETO USINADO E LANÇADO COM BOMBA OU DIRETAMENTE DO CAMINHÃO. AF_05/2020</t>
  </si>
  <si>
    <t>TUBULÃO A CÉU ABERTO, DIÂMETRO DO FUSTE DE 120CM, ESCAVAÇÃO MANUAL, SEM ALARGAMENTO DE BASE, CONCRETO USINADO E LANÇADO COM BOMBA OU DIRETAMENTE DO CAMINHÃO. AF_05/2020</t>
  </si>
  <si>
    <t>TUBULÃO A CÉU ABERTO, DIÂMETRO DO FUSTE DE 70CM, ESCAVAÇÃO MECÂNICA, SEM ALARGAMENTO DE BASE, CONCRETO USINADO E LANÇADO COM BOMBA OU DIRETAMENTE DO CAMINHÃO. AF_05/2020</t>
  </si>
  <si>
    <t>TUBULÃO A CÉU ABERTO, DIÂMETRO DO FUSTE DE 80CM, ESCAVAÇÃO MECÂNICA, SEM ALARGAMENTO DE BASE, CONCRETO USINADO E LANÇADO COM BOMBA OU DIRETAMENTE DO CAMINHÃO. AF_05/2020</t>
  </si>
  <si>
    <t>TUBULÃO A CÉU ABERTO, DIÂMETRO DO FUSTE DE 100CM, ESCAVAÇÃO MECÂNICA, SEM ALARGAMENTO DE BASE, CONCRETO USINADO E LANÇADO COM BOMBA OU DIRETAMENTE DO CAMINHÃO. AF_05/2020</t>
  </si>
  <si>
    <t>TUBULÃO A CÉU ABERTO, DIÂMETRO DO FUSTE DE 120CM, ESCAVAÇÃO MECÂNICA, SEM ALARGAMENTO DE BASE, CONCRETO USINADO E LANÇADO COM BOMBA OU DIRETAMENTE DO CAMINHÃO. AF_05/2020</t>
  </si>
  <si>
    <t>ALARGAMENTO DE BASE DE TUBULÃO A CÉU ABERTO, ESCAVAÇÃO MANUAL, CONCRETO FEITO EM OBRA E LANÇADO COM JERICA. AF_05/2020</t>
  </si>
  <si>
    <t>ALARGAMENTO DE BASE DE TUBULÃO A CÉU ABERTO, ESCAVAÇÃO MANUAL, CONCRETO USINADO E LANÇADO COM BOMBA OU DIRETAMENTE DO CAMINHÃO. AF_05/2020</t>
  </si>
  <si>
    <t>ESTACA BROCA DE CONCRETO, DIÂMETRO DE 20CM, ESCAVAÇÃO MANUAL COM TRADO CONCHA, COM ARMADURA DE ARRANQUE. AF_05/2020</t>
  </si>
  <si>
    <t>ESTACA BROCA DE CONCRETO, DIÂMETRO DE 25CM, ESCAVAÇÃO MANUAL COM TRADO CONCHA, COM ARMADURA DE ARRANQUE. AF_05/2020</t>
  </si>
  <si>
    <t>ESTACA BROCA DE CONCRETO, DIÂMETRO DE 30CM, ESCAVAÇÃO MANUAL COM TRADO CONCHA, COM ARMADURA DE ARRANQUE. AF_05/2020</t>
  </si>
  <si>
    <t>ESTACA BROCA DE CONCRETO, DIÂMETRO DE 30CM, ESCAVAÇÃO MANUAL COM TRADO CONCHA, INTEIRAMENTE ARMADA. AF_05/2020</t>
  </si>
  <si>
    <t>ALVENARIA DE EMBASAMENTO COM BLOCO ESTRUTURAL DE CONCRETO, DE 14X19X29CM E ARGAMASSA DE ASSENTAMENTO COM PREPARO EM BETONEIRA. AF_05/2020</t>
  </si>
  <si>
    <t>ALVENARIA DE EMBASAMENTO COM BLOCO ESTRUTURAL DE CERÂMICA, DE 14X19X29CM E ARGAMASSA DE ASSENTAMENTO COM PREPARO EM BETONEIRA. AF_05/2020</t>
  </si>
  <si>
    <t>SUPORTE PARA ATÉ 3 TUBOS HORIZONTAIS, ESPAÇADO A CADA 1 M, EM PERFILADO DE SEÇÃO 38X76 MM, POR METRO DE TUBULAÇÃO FIXADA. AF_05/2015</t>
  </si>
  <si>
    <t>SUPORTE PARA MAIS DE 3 TUBOS HORIZONTAIS, ESPAÇADO A CADA 1 M, EM PERFILADO DE SEÇÃO 38X76 MM, POR METRO DE TUBULAÇÃO FIXADA. AF_05/2015</t>
  </si>
  <si>
    <t>SUPORTE PARA ATÉ 3 TUBOS VERTICAIS, ESPAÇADO A CADA 3 M, EM PERFILADO DE SEÇÃO 38X38 MM, POR METRO DE TUBULAÇÃO FIXADA. AF_05/2015</t>
  </si>
  <si>
    <t>SUPORTE PARA MAIS DE 3 TUBOS VERTICAIS, ESPAÇADO A CADA 3 M, EM PERFILADO DE SEÇÃO 38X38 MM, POR METRO DE TUBULAÇÃO FIXADA. AF_05/2015</t>
  </si>
  <si>
    <t>SUPORTE PARA DUTO EM CHAPA GALVANIZADA BITOLA 26, ESPAÇADO A CADA 1 M, EM PERFILADO DE SEÇÃO 38X76 MM, POR ÁREA DE DUTO FIXADO. AF_07/2017</t>
  </si>
  <si>
    <t>SUPORTE PARA DUTO EM CHAPA GALVANIZADA BITOLA 24, ESPAÇADO A CADA 1 M, EM PERFILADO DE SEÇÃO 38X76 MM, POR ÁREA DE DUTO FIXADO. AF_07/2017</t>
  </si>
  <si>
    <t>SUPORTE PARA DUTO EM CHAPA GALVANIZADA BITOLA 22, ESPAÇADO A CADA 1 M, EM PERFILADO DE SEÇÃO 38X76 MM, POR ÁREA DE DUTO FIXADO. AF_07/2017</t>
  </si>
  <si>
    <t>SUPORTE PARA ELETROCALHA LISA OU PERFURADA EM AÇO GALVANIZADO, LARGURA 200 OU 400 MM E ALTURA 50 MM, ESPAÇADO A CADA 1,5 M, EM PERFILADO DE SEÇÃO 38X76 MM, POR METRO DE ELETRECOLHA FIXADA. AF_07/2017</t>
  </si>
  <si>
    <t>SUPORTE PARA ELETROCALHA LISA OU PERFURADA EM AÇO GALVANIZADO, LARGURA 500 OU 800 MM E ALTURA 50 MM, ESPAÇADO A CADA 1,5 M, EM PERFILADO DE SEÇÃO 38X76 MM, POR METRO DE ELETRECOLHA FIXADA. AF_07/2017</t>
  </si>
  <si>
    <t>ESCAVAÇÃO VERTICAL A CÉU ABERTO, EM OBRAS DE EDIFICAÇÃO, INCLUINDO CARGA, DESCARGA E TRANSPORTE, EM SOLO DE 1ª CATEGORIA COM ESCAVADEIRA HIDRÁULICA (CAÇAMBA: 0,8 M³ / 111 HP), FROTA DE 3 CAMINHÕES BASCULANTES DE 14 M³, DMT ATÉ 1 KM E VELOCIDADE MÉDIA 14KM/H. AF_05/2020</t>
  </si>
  <si>
    <t>ESCAVAÇÃO VERTICAL A CÉU ABERTO, EMOBRAS DE EDIFICAÇÃO  INCLUINDO CARGA, DESCARGA E TRANSPORTE, EM SOLO DE 1ª CATEGORIA COM ESCAVADEIRA HIDRÁULICA (CAÇAMBA: 0,8 M³ / 111 HP), FROTA DE 2 CAMINHÕES BASCULANTES DE 18 M³, DMT ATÉ 1 KM E VELOCIDADE MÉDIA 14 KM/H. AF_05/2020</t>
  </si>
  <si>
    <t>ESCAVAÇÃO VERTICAL A CÉU ABERTO, EM OBRAS DE EDIFICAÇÃO, INCLUINDO CARGA, DESCARGA E TRANSPORTE, EM SOLO DE 1ª CATEGORIA COM ESCAVADEIRA HIDRÁULICA (CAÇAMBA: 1,2 M³ / 155 HP), FROTA DE 3 CAMINHÕES BASCULANTES DE 14 M³, DMT ATÉ 1 KM E VELOCIDADE MÉDIA 14KM/H. AF_05/2020</t>
  </si>
  <si>
    <t>ESCAVAÇÃO VERTICAL A CÉU ABERTO, EM OBRAS DE EDIFICAÇÃO, INCLUINDO CARGA, DESCARGA E TRANSPORTE, EM SOLO DE 1ª CATEGORIA COM ESCAVADEIRA HIDRÁULICA (CAÇAMBA: 1,2 M³ / 155 HP), FROTA DE 3 CAMINHÕES BASCULANTES DE 18 M³, DMT ATÉ 1 KM E VELOCIDADE MÉDIA 14KM/H. AF_05/2020</t>
  </si>
  <si>
    <t>ESCAVAÇÃO VERTICAL A CÉU ABERTO, EM OBRAS DE EDIFICAÇÃO, INCLUINDO CARGA, DESCARGA E TRANSPORTE, EM SOLO DE 1ª CATEGORIA COM ESCAVADEIRA HIDRÁULICA (CAÇAMBA: 0,8 M³ / 111 HP), FROTA DE 4 CAMINHÕES BASCULANTES DE 14 M³, DMT DE 1,5 KM E VELOCIDADE MÉDIA 18KM/H. AF_05/2020</t>
  </si>
  <si>
    <t>ESCAVAÇÃO VERTICAL A CÉU ABERTO, EM OBRAS DE EDIFICAÇÃO, INCLUINDO CARGA, DESCARGA E TRANSPORTE, EM SOLO DE 1ª CATEGORIA COM ESCAVADEIRA HIDRÁULICA (CAÇAMBA: 0,8 M³ / 111 HP), FROTA DE 4 CAMINHÕES BASCULANTES DE 14 M³, DMT DE 2 KM E VELOCIDADE MÉDIA 19KM/H. AF_05/2020</t>
  </si>
  <si>
    <t>ESCAVAÇÃO VERTICAL A CÉU ABERTO, EM OBRAS DE EDIFICAÇÃO, INCLUINDO CARGA, DESCARGA E TRANSPORTE, EM SOLO DE 1ª CATEGORIA COM ESCAVADEIRA HIDRÁULICA (CAÇAMBA: 0,8 M³ / 111 HP), FROTA DE 5 CAMINHÕES BASCULANTES DE 14 M³, DMT DE 3 KM E VELOCIDADE MÉDIA 20KM/H. AF_05/2020</t>
  </si>
  <si>
    <t>ESCAVAÇÃO VERTICAL A CÉU ABERTO, EM OBRAS DE EDIFICAÇÃO, INCLUINDO CARGA, DESCARGA E TRANSPORTE, EM SOLO DE 1ª CATEGORIA COM ESCAVADEIRA HIDRÁULICA (CAÇAMBA: 0,8 M³ / 111 HP), FROTA DE 6 CAMINHÕES BASCULANTES DE 14 M³, DMT DE 4 KM E VELOCIDADE MÉDIA 22KM/H. AF_05/2020</t>
  </si>
  <si>
    <t>ESCAVAÇÃO VERTICAL A CÉU ABERTO, EM OBRAS DE EDIFICAÇÃO, INCLUINDO CARGA, DESCARGA E TRANSPORTE, EM SOLO DE 1ª CATEGORIA COM ESCAVADEIRA HIDRÁULICA (CAÇAMBA: 0,8 M³ / 111 HP), FROTA DE 7 CAMINHÕES BASCULANTES DE 14 M³, DMT DE 6 KM E VELOCIDADE MÉDIA 22KM/H. AF_05/2020</t>
  </si>
  <si>
    <t>ESCAVAÇÃO VERTICAL A CÉU ABERTO, EM OBRAS DE EDIFICAÇÃO, INCLUINDO CARGA, DESCARGA E TRANSPORTE, EM SOLO DE 1ª CATEGORIA COM ESCAVADEIRA HIDRÁULICA (CAÇAMBA: 0,8 M³ / 111 HP), FROTA DE 4 CAMINHÕES BASCULANTES DE 18 M³, DMT DE 1,5 KM E VELOCIDADE MÉDIA 18KM/H. AF_05/2020</t>
  </si>
  <si>
    <t>ESCAVAÇÃO VERTICAL A CÉU ABERTO, EM OBRAS DE EDIFICAÇÃO, INCLUINDO CARGA, DESCARGA E TRANSPORTE, EM SOLO DE 1ª CATEGORIA COM ESCAVADEIRA HIDRÁULICA (CAÇAMBA: 0,8 M³ / 111 HP), FROTA DE 4 CAMINHÕES BASCULANTES DE 18 M³, DMT DE 2 KM E VELOCIDADE MÉDIA 19KM/H. AF_05/2020</t>
  </si>
  <si>
    <t>ESCAVAÇÃO VERTICAL A CÉU ABERTO, EM OBRAS DE EDIFICAÇÃO, INCLUINDO CARGA, DESCARGA E TRANSPORTE, EM SOLO DE 1ª CATEGORIA COM ESCAVADEIRA HIDRÁULICA (CAÇAMBA: 0,8 M³ / 111 HP), FROTA DE 5 CAMINHÕES BASCULANTES DE 18 M³, DMT DE 3 KM E VELOCIDADE MÉDIA 20KM/H. AF_05/2020</t>
  </si>
  <si>
    <t>ESCAVAÇÃO VERTICAL A CÉU ABERTO, EM OBRAS DE EDIFICAÇÃO, INCLUINDO CARGA, DESCARGA E TRANSPORTE, EM SOLO DE 1ª CATEGORIA COM ESCAVADEIRA HIDRÁULICA (CAÇAMBA: 0,8 M³ / 111 HP), FROTA DE 5 CAMINHÕES BASCULANTES DE 18 M³, DMT DE 4 KM E VELOCIDADE MÉDIA 22KM/H. AF_05/2020</t>
  </si>
  <si>
    <t>ESCAVAÇÃO VERTICAL A CÉU ABERTO, EM OBRAS DE EDIFICAÇÃO, INCLUINDO CARGA, DESCARGA E TRANSPORTE, EM SOLO DE 1ª CATEGORIA COM ESCAVADEIRA HIDRÁULICA (CAÇAMBA: 0,8 M³ / 111 HP), FROTA DE 6 CAMINHÕES BASCULANTES DE 18 M³, DMT DE 6 KM E VELOCIDADE MÉDIA 22KM/H. AF_05/2020</t>
  </si>
  <si>
    <t>ESCAVAÇÃO VERTICAL A CÉU ABERTO, EM OBRAS DE EDIFICAÇÃO, INCLUINDO CARGA, DESCARGA E TRANSPORTE, EM SOLO DE 1ª CATEGORIA COM ESCAVADEIRA HIDRÁULICA (CAÇAMBA: 1,2 M³ / 155 HP), FROTA DE 5 CAMINHÕES BASCULANTES DE 14 M³, DMT DE 1,5 KM E VELOCIDADE MÉDIA 18KM/H. AF_05/2020</t>
  </si>
  <si>
    <t>ESCAVAÇÃO VERTICAL A CÉU ABERTO, EM OBRAS DE EDIFICAÇÃO, INCLUINDO CARGA, DESCARGA E TRANSPORTE, EM SOLO DE 1ª CATEGORIA COM ESCAVADEIRA HIDRÁULICA (CAÇAMBA: 1,2 M³ / 155 HP), FROTA DE 5 CAMINHÕES BASCULANTES DE 14 M³, DMT DE 2 KM E VELOCIDADE MÉDIA 19KM/H. AF_05/2020</t>
  </si>
  <si>
    <t>ESCAVAÇÃO VERTICAL A CÉU ABERTO, EM OBRAS DE EDIFICAÇÃO, INCLUINDO CARGA, DESCARGA E TRANSPORTE, EM SOLO DE 1ª CATEGORIA COM ESCAVADEIRA HIDRÁULICA (CAÇAMBA: 1,2 M³ / 155 HP), FROTA DE 6 CAMINHÕES BASCULANTES DE 14 M³, DMT DE 3 KM E VELOCIDADE MÉDIA 20KM/H. AF_05/2020</t>
  </si>
  <si>
    <t>ESCAVAÇÃO VERTICAL A CÉU ABERTO, EM OBRAS DE EDIFICAÇÃO, INCLUINDO CARGA, DESCARGA E TRANSPORTE, EM SOLO DE 1ª CATEGORIA COM ESCAVADEIRA HIDRÁULICA (CAÇAMBA: 1,2 M³ / 155 HP), FROTA DE 7 CAMINHÕES BASCULANTES DE 14 M³, DMT DE 4 KM E VELOCIDADE MÉDIA 22KM/H. AF_05/2020</t>
  </si>
  <si>
    <t>ESCAVAÇÃO VERTICAL A CÉU ABERTO, EM OBRAS DE EDIFICAÇÃO, INCLUINDO CARGA, DESCARGA E TRANSPORTE, EM SOLO DE 1ª CATEGORIA COM ESCAVADEIRA HIDRÁULICA (CAÇAMBA: 1,2 M³ / 155 HP), FROTA DE 9 CAMINHÕES BASCULANTES DE 14 M³, DMT DE 6 KM E VELOCIDADE MÉDIA 22KM/H. AF_05/2020</t>
  </si>
  <si>
    <t>ESCAVAÇÃO VERTICAL A CÉU ABERTO, EM OBRAS DE EDIFICAÇÃO, INCLUINDO CARGA, DESCARGA E TRANSPORTE, EM SOLO DE 1ª CATEGORIA COM ESCAVADEIRA HIDRÁULICA (CAÇAMBA: 1,2 M³ / 155 HP), FROTA DE 5 CAMINHÕES BASCULANTES DE 18 M³, DMT DE 1,5 KM E VELOCIDADE MÉDIA 18KM/H. AF_05/2020</t>
  </si>
  <si>
    <t>ESCAVAÇÃO VERTICAL A CÉU ABERTO, EM OBRAS DE EDIFICAÇÃO, INCLUINDO CARGA, DESCARGA E TRANSPORTE, EM SOLO DE 1ª CATEGORIA COM ESCAVADEIRA HIDRÁULICA (CAÇAMBA: 1,2 M³ / 155 HP), FROTA DE 5 CAMINHÕES BASCULANTES DE 18 M³, DMT DE 2 KM E VELOCIDADE MÉDIA 19KM/H. AF_05/2020</t>
  </si>
  <si>
    <t>ESCAVAÇÃO VERTICAL A CÉU ABERTO, EM OBRAS DE EDIFICAÇÃO, INCLUINDO CARGA, DESCARGA E TRANSPORTE, EM SOLO DE 1ª CATEGORIA COM ESCAVADEIRA HIDRÁULICA (CAÇAMBA: 1,2 M³ / 155 HP), FROTA DE 6 CAMINHÕES BASCULANTES DE 18 M³, DMT DE 3 KM E VELOCIDADE MÉDIA 20KM/H. AF_05/2020</t>
  </si>
  <si>
    <t>ESCAVAÇÃO VERTICAL A CÉU ABERTO, EM OBRAS DE EDIFICAÇÃO, INCLUINDO CARGA, DESCARGA E TRANSPORTE, EM SOLO DE 1ª CATEGORIA COM ESCAVADEIRA HIDRÁULICA (CAÇAMBA: 1,2 M³ / 155 HP), FROTA DE 6 CAMINHÕES BASCULANTES DE 18 M³, DMT DE 4 KM E VELOCIDADE MÉDIA 22KM/H. AF_05/2020</t>
  </si>
  <si>
    <t>ESCAVAÇÃO VERTICAL A CÉU ABERTO, EM OBRAS DE EDIFICAÇÃO, INCLUINDO CARGA, DESCARGA E TRANSPORTE, EM SOLO DE 1ª CATEGORIA COM ESCAVADEIRA HIDRÁULICA (CAÇAMBA: 1,2 M³ / 155 HP), FROTA DE 8 CAMINHÕES BASCULANTES DE 18 M³, DMT DE 6 KM E VELOCIDADE MÉDIA 22KM/H. AF_05/2020</t>
  </si>
  <si>
    <t>ESCAVAÇÃO VERTICAL A CÉU ABERTO, EM OBRAS DE INFRAESTRUTURA, INCLUINDO CARGA, DESCARGA E TRANSPORTE, EM SOLO DE 1ª CATEGORIA COM ESCAVADEIRA HIDRÁULICA (CAÇAMBA: 0,8 M³ / 111 HP), FROTA DE 3 CAMINHÕES BASCULANTES DE 14 M³, DMT ATÉ 1 KM E VELOCIDADE MÉDIA14KM/H. AF_05/2020</t>
  </si>
  <si>
    <t>ESCAVAÇÃO VERTICAL A CÉU ABERTO, EM OBRAS DE INFRAESTRUTURA, INCLUINDO CARGA, DESCARGA E TRANSPORTE, EM SOLO DE 1ª CATEGORIA COM ESCAVADEIRA HIDRÁULICA (CAÇAMBA: 0,8 M³ / 111 HP), FROTA DE 3 CAMINHÕES BASCULANTES DE 18 M³, DMT ATÉ 1 KM E VELOCIDADE MÉDIA14KM/H. AF_05/2020</t>
  </si>
  <si>
    <t>ESCAVAÇÃO VERTICAL A CÉU ABERTO, EM OBRAS DE INFRAESTRUTURA, INCLUINDO CARGA, DESCARGA E TRANSPORTE, EM SOLO DE 1ª CATEGORIA COM ESCAVADEIRA HIDRÁULICA (CAÇAMBA: 1,2 M³ / 155 HP), FROTA DE 3 CAMINHÕES BASCULANTES DE 14 M³, DMT ATÉ 1 KM E VELOCIDADE MÉDIA14KM/H. AF_05/2020</t>
  </si>
  <si>
    <t>ESCAVAÇÃO VERTICAL A CÉU ABERTO, EM OBRAS DE INFRAESTRUTURA, INCLUINDO CARGA, DESCARGA E TRANSPORTE, EM SOLO DE 1ª CATEGORIA COM ESCAVADEIRA HIDRÁULICA (CAÇAMBA: 1,2 M³ / 155 HP), FROTA DE 3 CAMINHÕES BASCULANTES DE 18 M³, DMT ATÉ 1 KM E VELOCIDADE MÉDIA14KM/H. AF_05/2020</t>
  </si>
  <si>
    <t>ESCAVAÇÃO VERTICAL A CÉU ABERTO, EM OBRAS DE INFRAESTRUTURA, INCLUINDO CARGA, DESCARGA E TRANSPORTE, EM SOLO DE 1ª CATEGORIA COM ESCAVADEIRA HIDRÁULICA (CAÇAMBA: 0,8 M³ / 111HP), FROTA DE 5 CAMINHÕES BASCULANTES DE 14 M³, DMT DE 1,5 KM E VELOCIDADE MÉDIA18KM/H. AF_05/2020</t>
  </si>
  <si>
    <t>ESCAVAÇÃO VERTICAL A CÉU ABERTO, EM OBRAS DE INFRAESTRUTURA, INCLUINDO CARGA, DESCARGA E TRANSPORTE, EM SOLO DE 1ª CATEGORIA COM ESCAVADEIRA HIDRÁULICA (CAÇAMBA: 0,8 M³ / 111HP), FROTA DE 5 CAMINHÕES BASCULANTES DE 14 M³, DMT DE 2 KM E VELOCIDADE MÉDIA 19KM/H. AF_05/2020</t>
  </si>
  <si>
    <t>ESCAVAÇÃO VERTICAL A CÉU ABERTO, EM OBRAS DE INFRAESTRUTURA, INCLUINDO CARGA, DESCARGA E TRANSPORTE, EM SOLO DE 1ª CATEGORIA COM ESCAVADEIRA HIDRÁULICA (CAÇAMBA: 0,8 M³ / 111HP), FROTA DE 6 CAMINHÕES BASCULANTES DE 14 M³, DMT DE 3 KM E VELOCIDADE MÉDIA 20KM/H. AF_05/2020</t>
  </si>
  <si>
    <t>ESCAVAÇÃO VERTICAL A CÉU ABERTO, EM OBRAS DE INFRAESTRUTURA, INCLUINDO CARGA, DESCARGA E TRANSPORTE, EM SOLO DE 1ª CATEGORIA COM ESCAVADEIRA HIDRÁULICA (CAÇAMBA: 0,8 M³ / 111HP), FROTA DE 6 CAMINHÕES BASCULANTES DE 14 M³, DMT DE 4 KM E VELOCIDADE MÉDIA 22KM/H. AF_05/2020</t>
  </si>
  <si>
    <t>ESCAVAÇÃO VERTICAL A CÉU ABERTO, EM OBRAS DE INFRAESTRUTURA, INCLUINDO CARGA, DESCARGA E TRANSPORTE, EM SOLO DE 1ª CATEGORIA COM ESCAVADEIRA HIDRÁULICA (CAÇAMBA: 0,8 M³ / 111HP), FROTA DE 8 CAMINHÕES BASCULANTES DE 14 M³, DMT DE 6 KM E VELOCIDADE MÉDIA 22KM/H. AF_05/2020</t>
  </si>
  <si>
    <t>ESCAVAÇÃO VERTICAL A CÉU ABERTO, EM OBRAS DE INFRAESTRUTURA, INCLUINDO CARGA, DESCARGA E TRANSPORTE, EM SOLO DE 1ª CATEGORIA COM ESCAVADEIRA HIDRÁULICA (CAÇAMBA: 0,8 M³ / 111HP), FROTA DE 4 CAMINHÕES BASCULANTES DE 18 M³, DMT DE 1,5 KM E VELOCIDADE MÉDIA18KM/H. AF_05/2020</t>
  </si>
  <si>
    <t>ESCAVAÇÃO VERTICAL A CÉU ABERTO, EM OBRAS DE INFRAESTRUTURA, INCLUINDO CARGA, DESCARGA E TRANSPORTE, EM SOLO DE 1ª CATEGORIA COM ESCAVADEIRA HIDRÁULICA (CAÇAMBA: 0,8 M³ / 111HP), FROTA DE 4 CAMINHÕES BASCULANTES DE 18 M³, DMT DE 2 KM E VELOCIDADE MÉDIA 19KM/H. AF_05/2020</t>
  </si>
  <si>
    <t>ESCAVAÇÃO VERTICAL A CÉU ABERTO, EM OBRAS DE INFRAESTRUTURA, INCLUINDO CARGA, DESCARGA E TRANSPORTE, EM SOLO DE 1ª CATEGORIA COM ESCAVADEIRA HIDRÁULICA (CAÇAMBA: 0,8 M³ / 111HP), FROTA DE 5 CAMINHÕES BASCULANTES DE 18 M³, DMT DE 3 KM E VELOCIDADE MÉDIA 20KM/H. AF_05/2020</t>
  </si>
  <si>
    <t>ESCAVAÇÃO VERTICAL A CÉU ABERTO, EM OBRAS DE INFRAESTRUTURA, INCLUINDO CARGA, DESCARGA E TRANSPORTE, EM SOLO DE 1ª CATEGORIA COM ESCAVADEIRA HIDRÁULICA (CAÇAMBA: 0,8 M³ / 111HP), FROTA DE 6 CAMINHÕES BASCULANTES DE 18 M³, DMT DE 4 KM E VELOCIDADE MÉDIA 22KM/H. AF_05/2020</t>
  </si>
  <si>
    <t>ESCAVAÇÃO VERTICAL A CÉU ABERTO, EM OBRAS DE INFRAESTRUTURA, INCLUINDO CARGA, DESCARGA E TRANSPORTE, EM SOLO DE 1ª CATEGORIA COM ESCAVADEIRA HIDRÁULICA (CAÇAMBA: 0,8 M³ / 111HP), FROTA DE 7 CAMINHÕES BASCULANTES DE 18 M³, DMT DE 6 KM E VELOCIDADE MÉDIA 22KM/H. AF_05/2020</t>
  </si>
  <si>
    <t>ESCAVAÇÃO VERTICAL A CÉU ABERTO, EM OBRAS DE INFRAESTRUTURA, INCLUINDO CARGA, DESCARGA E TRANSPORTE, EM SOLO DE 1ª CATEGORIA COM ESCAVADEIRA HIDRÁULICA (CAÇAMBA: 1,2M³ / 155HP), FROTA DE 6 CAMINHÕES BASCULANTES DE 14 M³, DMT DE 1,5 KM E VELOCIDADE MÉDIA18KM/H. AF_05/2020</t>
  </si>
  <si>
    <t>ESCAVAÇÃO VERTICAL A CÉU ABERTO, EM OBRAS DE INFRAESTRUTURA, INCLUINDO CARGA, DESCARGA E TRANSPORTE, EM SOLO DE 1ª CATEGORIA COM ESCAVADEIRA HIDRÁULICA (CAÇAMBA: 1,2 M³ / 155HP), FROTA DE 6 CAMINHÕES BASCULANTES DE 14 M³, DMT DE 2 KM E VELOCIDADE MÉDIA 19KM/H. AF_05/2020</t>
  </si>
  <si>
    <t>ESCAVAÇÃO VERTICAL A CÉU ABERTO, EM OBRAS DE INFRAESTRUTURA, INCLUINDO CARGA, DESCARGA E TRANSPORTE, EM SOLO DE 1ª CATEGORIA COM ESCAVADEIRA HIDRÁULICA (CAÇAMBA: 1,2 M³ / 155HP), FROTA DE 7 CAMINHÕES BASCULANTES DE 14 M³, DMT DE 3 KM E VELOCIDADE MÉDIA 20KM/H. AF_05/2020</t>
  </si>
  <si>
    <t>ESCAVAÇÃO VERTICAL A CÉU ABERTO, EM OBRAS DE INFRAESTRUTURA, INCLUINDO CARGA, DESCARGA E TRANSPORTE, EM SOLO DE 1ª CATEGORIA COM ESCAVADEIRA HIDRÁULICA (CAÇAMBA: 1,2 M³ / 155HP), FROTA DE 8 CAMINHÕES BASCULANTES DE 14 M³, DMT DE 4 KM E VELOCIDADE MÉDIA 22KM/H. AF_05/2020</t>
  </si>
  <si>
    <t>ESCAVAÇÃO VERTICAL A CÉU ABERTO, EM OBRAS DE INFRAESTRUTURA, INCLUINDO CARGA, DESCARGA E TRANSPORTE, EM SOLO DE 1ª CATEGORIA COM ESCAVADEIRA HIDRÁULICA (CAÇAMBA: 1,2 M³ / 155HP), FROTA DE 10 CAMINHÕES BASCULANTES DE 14 M³, DMT DE 6 KM E VELOCIDADE MÉDIA22KM/H. AF_05/2020</t>
  </si>
  <si>
    <t>ESCAVAÇÃO VERTICAL A CÉU ABERTO, EM OBRAS DE INFRAESTRUTURA, INCLUINDO CARGA, DESCARGA E TRANSPORTE, EM SOLO DE 1ª CATEGORIA COM ESCAVADEIRA HIDRÁULICA (CAÇAMBA: 1,2 M³ / 155HP), FROTA DE 5 CAMINHÕES BASCULANTES DE 18 M³, DMT DE 1,5 KM E VELOCIDADE MÉDIA18KM/H. AF_05/2020</t>
  </si>
  <si>
    <t>ESCAVAÇÃO VERTICAL A CÉU ABERTO, EM OBRAS DE INFRAESTRUTURA, INCLUINDO CARGA, DESCARGA E TRANSPORTE, EM SOLO DE 1ª CATEGORIA COM ESCAVADEIRA HIDRÁULICA (CAÇAMBA: 1,2 M³ / 155HP), FROTA DE 6 CAMINHÕES BASCULANTES DE 18 M³, DMT DE 2 KM E VELOCIDADE MÉDIA 19KM/H. AF_05/2020</t>
  </si>
  <si>
    <t>ESCAVAÇÃO VERTICAL A CÉU ABERTO, EM OBRAS DE INFRAESTRUTURA, INCLUINDO CARGA, DESCARGA E TRANSPORTE, EM SOLO DE 1ª CATEGORIA COM ESCAVADEIRA HIDRÁULICA (CAÇAMBA: 1,2 M³ / 155HP), FROTA DE 6 CAMINHÕES BASCULANTES DE 18 M³, DMT DE 3 KM E VELOCIDADE MÉDIA 20KM/H. AF_05/2020</t>
  </si>
  <si>
    <t>ESCAVAÇÃO VERTICAL A CÉU ABERTO, EM OBRAS DE INFRAESTRUTURA, INCLUINDO CARGA, DESCARGA E TRANSPORTE, EM SOLO DE 1ª CATEGORIA COM ESCAVADEIRA HIDRÁULICA (CAÇAMBA: 1,2 M³ / 155HP), FROTA DE 7 CAMINHÕES BASCULANTES DE 18 M³, DMT DE 4 KM E VELOCIDADE MÉDIA 22KM/H. AF_05/2020</t>
  </si>
  <si>
    <t>ESCAVAÇÃO VERTICAL A CÉU ABERTO, EM OBRAS DE INFRAESTRUTURA, INCLUINDO CARGA, DESCARGA E TRANSPORTE, EM SOLO DE 1ª CATEGORIA COM ESCAVADEIRA HIDRÁULICA (CAÇAMBA: 1,2 M³ / 155HP), FROTA DE 9 CAMINHÕES BASCULANTES DE 18 M³, DMT DE 6 KM E VELOCIDADE MÉDIA 22KM/H. AF_05/2020</t>
  </si>
  <si>
    <t>ESCAVAÇÃO VERTICAL A CÉU ABERTO, EM OBRAS DE EDIFICAÇÃO, INCLUINDO CARGA, DESCARGA E TRANSPORTE, EM SOLO DE 1ª CATEGORIA COM ESCAVADEIRA HIDRÁULICA (CAÇAMBA: 0,8 M³ / 111HP), FROTA DE 3 CAMINHÕES BASCULANTES DE 10 M³, DMT ATÉ 1 KM E VELOCIDADE MÉDIA 14KM/H. AF_05/2020</t>
  </si>
  <si>
    <t>ESCAVAÇÃO VERTICAL A CÉU ABERTO, EM OBRAS DE EDIFICAÇÃO, INCLUINDO CARGA, DESCARGA E TRANSPORTE, EM SOLO DE 1ª CATEGORIA COM ESCAVADEIRA HIDRÁULICA (CAÇAMBA: 1,2 M³ / 155HP), FROTA DE 3 CAMINHÕES BASCULANTES DE 10 M³, DMT ATÉ 1 KM E VELOCIDADE MÉDIA 14KM/H. AF_05/2020</t>
  </si>
  <si>
    <t>ESCAVAÇÃO VERTICAL A CÉU ABERTO, EM OBRAS DE EDIFICAÇÃO, INCLUINDO CARGA, DESCARGA E TRANSPORTE, EM SOLO DE 1ª CATEGORIA COM ESCAVADEIRA HIDRÁULICA (CAÇAMBA: 0,8 M³ / 111HP), FROTA DE 5 CAMINHÕES BASCULANTES DE 10 M³, DMT DE 1,5 KM E VELOCIDADE MÉDIA 18KM/H. AF_05/2020</t>
  </si>
  <si>
    <t>ESCAVAÇÃO VERTICAL A CÉU ABERTO, EM OBRAS DE EDIFICAÇÃO, INCLUINDO CARGA, DESCARGA E TRANSPORTE, EM SOLO DE 1ª CATEGORIA COM ESCAVADEIRA HIDRÁULICA (CAÇAMBA: 0,8 M³ / 111HP), FROTA DE 5 CAMINHÕES BASCULANTES DE 10 M³, DMT DE 2 KM E VELOCIDADE MÉDIA 19KM/H. AF_05/2020</t>
  </si>
  <si>
    <t>ESCAVAÇÃO VERTICAL A CÉU ABERTO, EM OBRAS DE EDIFICAÇÃO, INCLUINDO CARGA, DESCARGA E TRANSPORTE, EM SOLO DE 1ª CATEGORIA COM ESCAVADEIRA HIDRÁULICA (CAÇAMBA: 0,8 M³ / 111HP), FROTA DE 6 CAMINHÕES BASCULANTES DE 10 M³, DMT DE 3 KM E VELOCIDADE MÉDIA 20KM/H. AF_05/2020</t>
  </si>
  <si>
    <t>ESCAVAÇÃO VERTICAL A CÉU ABERTO, EM OBRAS DE EDIFICAÇÃO, INCLUINDO CARGA, DESCARGA E TRANSPORTE, EM SOLO DE 1ª CATEGORIA COM ESCAVADEIRA HIDRÁULICA (CAÇAMBA: 0,8 M³ / 111HP), FROTA DE 7 CAMINHÕES BASCULANTES DE 10 M³, DMT DE 4 KM E VELOCIDADE MÉDIA 22KM/H. AF_05/2020</t>
  </si>
  <si>
    <t>ESCAVAÇÃO VERTICAL A CÉU ABERTO, EM OBRAS DE EDIFICAÇÃO, INCLUINDO CARGA, DESCARGA E TRANSPORTE, EM SOLO DE 1ª CATEGORIA COM ESCAVADEIRA HIDRÁULICA (CAÇAMBA: 0,8 M³ / 111HP), FROTA DE 9 CAMINHÕES BASCULANTES DE 10 M³, DMT DE 6 KM E VELOCIDADE MÉDIA 22KM/H. AF_05/2020</t>
  </si>
  <si>
    <t>ESCAVAÇÃO VERTICAL A CÉU ABERTO, EM OBRAS DE EDIFICAÇÃO, INCLUINDO CARGA, DESCARGA E TRANSPORTE, EM SOLO DE 1ª CATEGORIA COM ESCAVADEIRA HIDRÁULICA (CAÇAMBA: 1,2 M³ / 155HP), FROTA DE 6 CAMINHÕES BASCULANTES DE 10 M³, DMT DE 1,5 KM E VELOCIDADE MÉDIA 18KM/H. AF_05/2020</t>
  </si>
  <si>
    <t>ESCAVAÇÃO VERTICAL A CÉU ABERTO, EM OBRAS DE EDIFICAÇÃO, INCLUINDO CARGA, DESCARGA E TRANSPORTE, EM SOLO DE 1ª CATEGORIA COM ESCAVADEIRA HIDRÁULICA (CAÇAMBA: 1,2 M³ / 155HP), FROTA DE 6 CAMINHÕES BASCULANTES DE 10 M³, DMT DE 2 KM E VELOCIDADE MÉDIA 19KM/H. AF_05/2020</t>
  </si>
  <si>
    <t>ESCAVAÇÃO VERTICAL A CÉU ABERTO, EM OBRAS DE EDIFICAÇÃO, INCLUINDO CARGA, DESCARGA E TRANSPORTE, EM SOLO DE 1ª CATEGORIA COM ESCAVADEIRA HIDRÁULICA (CAÇAMBA: 1,2 M³ / 155HP), FROTA DE 7 CAMINHÕES BASCULANTES DE 10 M³, DMT DE 3 KM E VELOCIDADE MÉDIA 20KM/H. AF_05/2020</t>
  </si>
  <si>
    <t>ESCAVAÇÃO VERTICAL A CÉU ABERTO, EM OBRAS DE EDIFICAÇÃO, INCLUINDO CARGA, DESCARGA E TRANSPORTE, EM SOLO DE 1ª CATEGORIA COM ESCAVADEIRA HIDRÁULICA (CAÇAMBA: 1,2 M³ / 155HP), FROTA DE 8 CAMINHÕES BASCULANTES DE 10 M³, DMT DE 4 KM E VELOCIDADE MÉDIA 22KM/H. AF_05/2020</t>
  </si>
  <si>
    <t>ESCAVAÇÃO VERTICAL A CÉU ABERTO, EM OBRAS DE EDIFICAÇÃO, INCLUINDO CARGA, DESCARGA E TRANSPORTE, EM SOLO DE 1ª CATEGORIA COM ESCAVADEIRA HIDRÁULICA (CAÇAMBA: 1,2 M³ / 155HP), FROTA DE 10 CAMINHÕES BASCULANTES DE 10 M³, DMT DE 6 KM E VELOCIDADE MÉDIA 22KM/H. AF_05/2020</t>
  </si>
  <si>
    <t>ESCAVAÇÃO VERTICAL A CÉU ABERTO, EM OBRAS DE INFRAESTRUTURA, INCLUINDO CARGA, DESCARGA E TRANSPORTE, EM SOLO DE 1ª CATEGORIA COM ESCAVADEIRA HIDRÁULICA (CAÇAMBA: 0,8 M³ / 111HP), FROTA DE 3 CAMINHÕES BASCULANTES DE 10 M³, DMT ATÉ 1 KM E VELOCIDADE MÉDIA14KM/H. AF_05/2020</t>
  </si>
  <si>
    <t>ESCAVAÇÃO VERTICAL A CÉU ABERTO, EM OBRAS DE INFRAESTRUTURA, INCLUINDO CARGA, DESCARGA E TRANSPORTE, EM SOLO DE 1ª CATEGORIA COM ESCAVADEIRA HIDRÁULICA (CAÇAMBA: 1,2 M³ / 155HP), FROTA DE 4 CAMINHÕES BASCULANTES DE 10 M³, DMT ATÉ 1 KM E VELOCIDADE MÉDIA14KM/H. AF_05/2020</t>
  </si>
  <si>
    <t>ESCAVAÇÃO VERTICAL A CÉU ABERTO, EM OBRAS DE INFRAESTRUTURA, INCLUINDO CARGA, DESCARGA E TRANSPORTE, EM SOLO DE 1ª CATEGORIA COM ESCAVADEIRA HIDRÁULICA (CAÇAMBA: 0,8 M³ / 111HP), FROTA DE 5 CAMINHÕES BASCULANTES DE 10 M³, DMT DE 1,5 KM E VELOCIDADE MÉDIA18KM/H. AF_05/2020</t>
  </si>
  <si>
    <t>ESCAVAÇÃO VERTICAL A CÉU ABERTO, EM OBRAS DE INFRAESTRUTURA, INCLUINDO CARGA, DESCARGA E TRANSPORTE, EM SOLO DE 1ª CATEGORIA COM ESCAVADEIRA HIDRÁULICA (CAÇAMBA: 0,8 M³ / 111HP), FROTA DE 6 CAMINHÕES BASCULANTES DE 10 M³, DMT DE 2 KM E VELOCIDADE MÉDIA 19KM/H. AF_05/2020</t>
  </si>
  <si>
    <t>ESCAVAÇÃO VERTICAL A CÉU ABERTO, EM OBRAS DE INFRAESTRUTURA, INCLUINDO CARGA, DESCARGA E TRANSPORTE, EM SOLO DE 1ª CATEGORIA COM ESCAVADEIRA HIDRÁULICA (CAÇAMBA: 0,8 M³ / 111HP), FROTA DE 7 CAMINHÕES BASCULANTES DE 10 M³, DMT DE 3 KM E VELOCIDADE MÉDIA 20KM/H. AF_05/2020</t>
  </si>
  <si>
    <t>ESCAVAÇÃO VERTICAL A CÉU ABERTO, EM OBRAS DE INFRAESTRUTURA, INCLUINDO CARGA, DESCARGA E TRANSPORTE, EM SOLO DE 1ª CATEGORIA COM ESCAVADEIRA HIDRÁULICA (CAÇAMBA: 0,8 M³ / 111HP), FROTA DE 8 CAMINHÕES BASCULANTES DE 10 M³, DMT DE 4 KM E VELOCIDADE MÉDIA 22KM/H. AF_05/2020</t>
  </si>
  <si>
    <t>ESCAVAÇÃO VERTICAL A CÉU ABERTO, EM OBRAS DE INFRAESTRUTURA, INCLUINDO CARGA, DESCARGA E TRANSPORTE, EM SOLO DE 1ª CATEGORIA COM ESCAVADEIRA HIDRÁULICA (CAÇAMBA: 0,8 M³ / 111HP), FROTA DE 10 CAMINHÕES BASCULANTES DE 10 M³, DMT DE 6 KM E VELOCIDADE MÉDIA22KM/H. AF_05/2020</t>
  </si>
  <si>
    <t>ESCAVAÇÃO VERTICAL A CÉU ABERTO, EM OBRAS DE INFRAESTRUTURA, INCLUINDO CARGA, DESCARGA E TRANSPORTE, EM SOLO DE 1ª CATEGORIA COM ESCAVADEIRA HIDRÁULICA (CAÇAMBA: 1,2 M³ / 155HP), FROTA DE 6 CAMINHÕES BASCULANTES DE 10 M³, DMT DE 1,5 KM E VELOCIDADE MÉDIA18KM/H. AF_05/2020</t>
  </si>
  <si>
    <t>ESCAVAÇÃO VERTICAL A CÉU ABERTO, EM OBRAS DE INFRAESTRUTURA, INCLUINDO CARGA, DESCARGA E TRANSPORTE, EM SOLO DE 1ª CATEGORIA COM ESCAVADEIRA HIDRÁULICA (CAÇAMBA: 1,2 M³ / 155HP), FROTA DE 7 CAMINHÕES BASCULANTES DE 10 M³, DMT DE 2 KM E VELOCIDADE MÉDIA 19KM/H. AF_05/2020</t>
  </si>
  <si>
    <t>ESCAVAÇÃO VERTICAL A CÉU ABERTO, EM OBRAS DE INFRAESTRUTURA, INCLUINDO CARGA, DESCARGA E TRANSPORTE, EM SOLO DE 1ª CATEGORIA COM ESCAVADEIRA HIDRÁULICA (CAÇAMBA: 1,2 M³ / 155HP), FROTA DE 8 CAMINHÕES BASCULANTES DE 10 M³, DMT DE 3 KM E VELOCIDADE MÉDIA 20KM/H. AF_05/2020</t>
  </si>
  <si>
    <t>ESCAVAÇÃO VERTICAL A CÉU ABERTO, EM OBRAS DE INFRAESTRUTURA, INCLUINDO CARGA, DESCARGA E TRANSPORTE, EM SOLO DE 1ª CATEGORIA COM ESCAVADEIRA HIDRÁULICA (CAÇAMBA: 1,2 M³ / 155HP), FROTA DE 9 CAMINHÕES BASCULANTES DE 10 M³, DMT DE 4 KM E VELOCIDADE MÉDIA 22KM/H. AF_05/2020</t>
  </si>
  <si>
    <t>ESCAVAÇÃO VERTICAL A CÉU ABERTO, EM OBRAS DE INFRAESTRUTURA, INCLUINDO CARGA, DESCARGA E TRANSPORTE, EM SOLO DE 1ª CATEGORIA COM ESCAVADEIRA HIDRÁULICA (CAÇAMBA: 1,2 M³ / 155HP), FROTA DE 12 CAMINHÕES BASCULANTES DE 10 M³, DMT DE 6 KM E VELOCIDADE MÉDIA22KM/H. AF_05/2020</t>
  </si>
  <si>
    <t>ALVENARIA DE VEDAÇÃO DE BLOCOS CERÂMICOS MACIÇOS DE 5X10X20CM (ESPESSURA 10CM) E ARGAMASSA DE ASSENTAMENTO COM PREPARO EM BETONEIRA. AF_05/2020</t>
  </si>
  <si>
    <t>ALVENARIA DE VEDAÇÃO COM ELEMENTO VAZADO DE CERÂMICA (COBOGÓ) DE 7X20X20CM E ARGAMASSA DE ASSENTAMENTO COM PREPARO EM BETONEIRA. AF_05/2020</t>
  </si>
  <si>
    <t>ALVENARIA DE VEDAÇÃO COM ELEMENTO VAZADO DE CONCRETO (COBOGÓ) DE 7X50X50CM E ARGAMASSA DE ASSENTAMENTO COM PREPARO EM BETONEIRA. AF_05/2020</t>
  </si>
  <si>
    <t>ALVENARIA DE VEDAÇÃO COM BLOCO DE VIDRO VAZADO, TIPO VENEZIANA, DE 6X20X20CM E ARGAMASSA DE ASSENTAMENTO COM PREPARO EM BETONEIRA. AF_05/2020</t>
  </si>
  <si>
    <t>ALVENARIA DE VEDAÇÃO COM BLOCO DE VIDRO, TIPO CANELADO, DE 8X19X19CM E ARGAMASSA DE ASSENTAMENTO COM PREPARO EM BETONEIRA. AF_05/2020</t>
  </si>
  <si>
    <t>ALVENARIA DE VEDAÇÃO DE BLOCOS DE CONCRETO CELULAR DE 10X30X60CM (ESPESSURA 10CM) E ARGAMASSA DE ASSENTAMENTO COM PREPARO EM BETONEIRA. AF_05/2020</t>
  </si>
  <si>
    <t>ALVENARIA DE VEDAÇÃO DE BLOCOS DE CONCRETO CELULAR DE 15X30X60CM (ESPESSURA 15CM) E ARGAMASSA DE ASSENTAMENTO COM PREPARO EM BETONEIRA. AF_05/2020</t>
  </si>
  <si>
    <t>ALVENARIA DE VEDAÇÃO DE BLOCOS DE CONCRETO CELULAR DE 20X30X60CM (ESPESSURA 20CM) E ARGAMASSA DE ASSENTAMENTO COM PREPARO EM BETONEIRA. AF_05/2020</t>
  </si>
  <si>
    <t>EXECUÇÃO DE PAVIMENTO EM PARALELEPÍPEDOS, REJUNTAMENTO COM PÓ DE PEDRA. AF_05/2020</t>
  </si>
  <si>
    <t>EXECUÇÃO DE PAVIMENTO EM PARALELEPÍPEDOS, REJUNTAMENTO COM PEDRISCO E EMULSÃO ASFÁLTICA. AF_05/2020_P</t>
  </si>
  <si>
    <t>EXECUÇÃO DE PAVIMENTO EM PARALELEPÍPEDOS, REJUNTAMENTO COM ARGAMASSA TRAÇO 1:3 (CIMENTO E AREIA). AF_05/2020</t>
  </si>
  <si>
    <t>EXECUÇÃO DE PAVIMENTO EM PEDRAS POLIÉDRICAS, REJUNTAMENTO COM PÓ DE PEDRA. AF_05/2020</t>
  </si>
  <si>
    <t>EXECUÇÃO DE PAVIMENTO EM PEDRAS POLIÉDRICAS, REJUNTAMENTO COM PEDRISCO E EMULSÃO ASFÁLTICA AF_05/2020_P</t>
  </si>
  <si>
    <t>EXECUÇÃO DE PAVIMENTO EM PEDRAS POLIÉDRICAS, REJUNTAMENTO COM ARGAMASSA TRAÇO 1:3 (CIMENTO E AREIA). AF_05/2020</t>
  </si>
  <si>
    <t>PISO EM PEDRA PORTUGUESA ASSENTADO SOBRE ARGAMASSA SECA DE CIMENTO E AREIA, TRAÇO 1:3, REJUNTADO COM CIMENTO COMUM. AF_05/2020</t>
  </si>
  <si>
    <t>PISO EM LADRILHO HIDRÁULICO APLICADO EM AMBIENTES EXTERNOS. AF_05/2020</t>
  </si>
  <si>
    <t>PISO PODOTÁTIL, DIRECIONAL OU ALERTA, ASSENTADO SOBRE ARGAMASSA. AF_05/2020</t>
  </si>
  <si>
    <t>PISO EM GRANITO APLICADO EM CALÇADAS OU PISOS EXTERNOS. AF_05/2020</t>
  </si>
  <si>
    <t>PISO EM MÁRMORE APLICADO EM CALÇADAS OU PISOS EXTERNOS. AF_05/2020</t>
  </si>
  <si>
    <t>LOCAÇÃO COM CAVALETE COM ALTURA DE 1,00 M - 2 UTILIZAÇÕES. AF_10/2018</t>
  </si>
  <si>
    <t>LOCAÇÃO COM CAVALETE COM ALTURA DE 0,50 M - 2 UTILIZAÇÕES. AF_10/2018</t>
  </si>
  <si>
    <t>RECOMPOSIÇÃO PARCIAL DE ARAME FARPADO Nº 14 CLASSE 250, FIXADO EM CERCA COM MOURÕES DE CONCRETO - FORNECIMENTO E INSTALAÇÃO. AF_05/2020</t>
  </si>
  <si>
    <t>CERCA COM MOURÕES DE CONCRETO, RETO, H=3,00 M, ESPAÇAMENTO DE 2,5 M, CRAVADOS 0,5 M, COM 4 FIOS DE ARAME FARPADO Nº 14 CLASSE 250 - FORNECIMENTO E INSTALAÇÃO. AF_05/2020</t>
  </si>
  <si>
    <t>CERCA COM MOURÕES DE CONCRETO, RETO, H=3,00 M, ESPAÇAMENTO DE 2,5 M, CRAVADOS 0,5 M, COM 4 FIOS DE ARAME DE AÇO OVALADO 15X17 - FORNECIMENTO E INSTALAÇÃO. AF_05/2020</t>
  </si>
  <si>
    <t>CERCA COM MOURÕES DE CONCRETO, RETO, H=3,00 M, ESPAÇAMENTO DE 2,5 M, CRAVADOS 0,5 M, COM 4 FIOS DE ARAME MISTO - FORNECIMENTO E INSTALAÇÃO. AF_05/2020</t>
  </si>
  <si>
    <t>CERCA COM MOURÕES DE CONCRETO, RETO, H=2,30 M, ESPAÇAMENTO DE 2,5 M, CRAVADOS 0,5 M, COM 4 FIOS DE ARAME FARPADO Nº 14 CLASSE 250 - FORNECIMENTO E INSTALAÇÃO. AF_05/2020</t>
  </si>
  <si>
    <t>CERCA COM MOURÕES DE CONCRETO, RETO, H=2,30 M, ESPAÇAMENTO DE 2,5 M, CRAVADOS 0,5 M, COM 4 FIOS DE ARAME DE AÇO OVALADO 15X17 - FORNECIMENTO E INSTALAÇÃO. AF_05/2020</t>
  </si>
  <si>
    <t>CERCA COM MOURÕES DE CONCRETO, RETO, H=2,30 M, ESPAÇAMENTO DE 2,5 M, CRAVADOS 0,5 M, COM 4 FIOS DE ARAME MISTO - FORNECIMENTO E INSTALAÇÃO. AF_05/2020</t>
  </si>
  <si>
    <t>CERCA COM MOURÕES DE CONCRETO, SEÇÃO "T" PONTA INCLINADA, 10X10 CM, ESPAÇAMENTO DE 2,5 M, CRAVADOS 0,5 M, COM 11 FIOS DE ARAME FARPADO Nº 14 - FORNECIMENTO E INSTALAÇÃO. AF_05/2020</t>
  </si>
  <si>
    <t>CERCA COM MOURÕES DE CONCRETO, SEÇÃO "T" PONTA INCLINADA, 10X10 CM, ESPAÇAMENTO DE 2,5 M, CRAVADOS 0,5 M, COM 11 FIOS DE ARAME DE AÇO OVALADO 15X17 - FORNECIMENTO E INSTALAÇÃO. AF_05/2020</t>
  </si>
  <si>
    <t>CERCA COM MOURÕES DE CONCRETO, SEÇÃO "T" PONTA INCLINADA, 10X10CM, ESPAÇAMENTO DE 2,5M, CRAVADOS 0,5M, COM 11 FIOS DE ARAME MISTO - FORNECIMENTO E INSTALAÇÃO. AF_05/2020</t>
  </si>
  <si>
    <t>CERCA COM MOURÕES DE MADEIRA, 7,5X7,5 CM, ESPAÇAMENTO DE 2,5 M, ALTURA LIVRE DE 2 M, CRAVADOS 0,5 M, COM 4 FIOS DE ARAME FARPADO Nº 14 CLASSE 250 - FORNECIMENTO E INSTALAÇÃO. AF_05/2020</t>
  </si>
  <si>
    <t>CERCA COM MOURÕES DE MADEIRA, 7,5X7,5 CM, ESPAÇAMENTO DE 2,5 M, ALTURA LIVRE DE 2 M, CRAVADOS 0,5 M, COM 8 FIOS DE ARAME FARPADO Nº 14 CLASSE 250 - FORNECIMENTO E INSTALAÇÃO. AF_05/2020</t>
  </si>
  <si>
    <t>CERCA COM MOURÕES DE MADEIRA ROLIÇA, DIÂMETRO 11 CM, ESPAÇAMENTO DE 2,5 M, ALTURA LIVRE DE 1,7 M, CRAVADOS 0,5 M, COM 5 FIOS DE ARAME FARPADO Nº 14 CLASSE 250 - FORNECIMENTO E INSTALAÇÃO. AF_05/2020</t>
  </si>
  <si>
    <t>CERCA COM MOURÕES DE MADEIRA ROLIÇA, DIÂMETRO 11 CM, ESPAÇAMENTO DE 2,5 M, ALTURA LIVRE DE 1,7 M, CRAVADOS 0,5 M, COM 5 FIOS DE ARAME DE AÇO OVALADO 15X17 - FORNECIMENTO E INSTALAÇÃO. AF_05/2020</t>
  </si>
  <si>
    <t>CERCA COM MOURÕES DE MADEIRA ROLIÇA, DIÂMETRO 11 CM, ESPAÇAMENTO DE 2,5 M, ALTURA LIVRE DE 1,7 M, CRAVADOS 0,5 M, COM 5 FIOS DE ARAME MISTO - FORNECIMENTO E INSTALAÇÃO. AF_05/2020</t>
  </si>
  <si>
    <t>PORTÃO COM MOURÕES DE MADEIRA ROLIÇA, DIÂMETRO 11 CM, COM 5 FIOS DE ARAME FARPADO Nº 14 CLASSE 250, SEM DOBRADIÇAS - FORNECIMENTO E INSTALAÇÃO. AF_05/2020</t>
  </si>
  <si>
    <t>FIXADOR DE CAL ( SACHE 150ML)</t>
  </si>
  <si>
    <t xml:space="preserve"> 24.2.16 </t>
  </si>
  <si>
    <t xml:space="preserve"> 23.3.32 </t>
  </si>
  <si>
    <t xml:space="preserve"> 23.3.31 </t>
  </si>
  <si>
    <t xml:space="preserve"> 23.3.30 </t>
  </si>
  <si>
    <t xml:space="preserve"> 23.3.29 </t>
  </si>
  <si>
    <t xml:space="preserve"> 00007116 </t>
  </si>
  <si>
    <t xml:space="preserve"> 89782 </t>
  </si>
  <si>
    <t xml:space="preserve"> 20.2..18 </t>
  </si>
  <si>
    <t xml:space="preserve"> 9.4 </t>
  </si>
  <si>
    <t xml:space="preserve"> 00040740 </t>
  </si>
  <si>
    <t xml:space="preserve"> 00041954 </t>
  </si>
  <si>
    <t>Desonerado: 
Horista:  84,98%
Mensalista:  48,94%</t>
  </si>
  <si>
    <t xml:space="preserve">SINAPI - 05/2020 - Mato Grosso
</t>
  </si>
  <si>
    <t xml:space="preserve"> 84,98%</t>
  </si>
  <si>
    <t xml:space="preserve"> 7,13</t>
  </si>
  <si>
    <t xml:space="preserve"> 205,01</t>
  </si>
  <si>
    <t xml:space="preserve"> 31,90</t>
  </si>
  <si>
    <t xml:space="preserve"> 28,87</t>
  </si>
  <si>
    <t xml:space="preserve"> 19,81</t>
  </si>
  <si>
    <t xml:space="preserve"> 14,75</t>
  </si>
  <si>
    <t xml:space="preserve"> 12,00</t>
  </si>
  <si>
    <t xml:space="preserve"> 61,98</t>
  </si>
  <si>
    <t xml:space="preserve"> 6,91</t>
  </si>
  <si>
    <t xml:space="preserve"> 816,31</t>
  </si>
  <si>
    <t xml:space="preserve"> 121,84</t>
  </si>
  <si>
    <t xml:space="preserve"> 87,02</t>
  </si>
  <si>
    <t xml:space="preserve"> 283,48</t>
  </si>
  <si>
    <t xml:space="preserve"> 43,67</t>
  </si>
  <si>
    <t xml:space="preserve"> 226,93</t>
  </si>
  <si>
    <t xml:space="preserve"> 53,37</t>
  </si>
  <si>
    <t xml:space="preserve"> 43,57</t>
  </si>
  <si>
    <t xml:space="preserve"> 7,15</t>
  </si>
  <si>
    <t xml:space="preserve"> 2,12</t>
  </si>
  <si>
    <t xml:space="preserve"> 2,57</t>
  </si>
  <si>
    <t xml:space="preserve"> 7,35</t>
  </si>
  <si>
    <t xml:space="preserve"> 5,21</t>
  </si>
  <si>
    <t xml:space="preserve"> 486,44</t>
  </si>
  <si>
    <t xml:space="preserve"> 486,00</t>
  </si>
  <si>
    <t xml:space="preserve"> 3,73</t>
  </si>
  <si>
    <t xml:space="preserve"> 162,00</t>
  </si>
  <si>
    <t xml:space="preserve"> 141,75</t>
  </si>
  <si>
    <t xml:space="preserve"> 275.179,74</t>
  </si>
  <si>
    <t xml:space="preserve"> 4,94</t>
  </si>
  <si>
    <t xml:space="preserve"> 289.786,21</t>
  </si>
  <si>
    <t xml:space="preserve"> 54,66</t>
  </si>
  <si>
    <t xml:space="preserve"> 13,86</t>
  </si>
  <si>
    <t xml:space="preserve"> 2.422,13</t>
  </si>
  <si>
    <t xml:space="preserve"> 234,32</t>
  </si>
  <si>
    <t xml:space="preserve"> 52,22</t>
  </si>
  <si>
    <t xml:space="preserve"> 14,17</t>
  </si>
  <si>
    <t xml:space="preserve"> 1.248,02</t>
  </si>
  <si>
    <t xml:space="preserve"> 5,56</t>
  </si>
  <si>
    <t xml:space="preserve"> 8,74</t>
  </si>
  <si>
    <t xml:space="preserve"> 2,00</t>
  </si>
  <si>
    <t xml:space="preserve"> 4,84</t>
  </si>
  <si>
    <t xml:space="preserve"> 10,71</t>
  </si>
  <si>
    <t xml:space="preserve"> 68,87</t>
  </si>
  <si>
    <t xml:space="preserve"> 25,10</t>
  </si>
  <si>
    <t xml:space="preserve"> 10.910,54</t>
  </si>
  <si>
    <t xml:space="preserve"> 20,61</t>
  </si>
  <si>
    <t xml:space="preserve"> 48,95</t>
  </si>
  <si>
    <t xml:space="preserve"> 60,83</t>
  </si>
  <si>
    <t xml:space="preserve"> 24,17</t>
  </si>
  <si>
    <t xml:space="preserve"> 46,94</t>
  </si>
  <si>
    <t xml:space="preserve"> 39,31</t>
  </si>
  <si>
    <t xml:space="preserve"> 7,54</t>
  </si>
  <si>
    <t xml:space="preserve"> 4,81</t>
  </si>
  <si>
    <t xml:space="preserve"> 18,82</t>
  </si>
  <si>
    <t xml:space="preserve"> 7,86</t>
  </si>
  <si>
    <t xml:space="preserve"> 6,58</t>
  </si>
  <si>
    <t xml:space="preserve"> 172,02</t>
  </si>
  <si>
    <t xml:space="preserve"> 66,50</t>
  </si>
  <si>
    <t xml:space="preserve"> 4,87</t>
  </si>
  <si>
    <t xml:space="preserve"> 13,60</t>
  </si>
  <si>
    <t xml:space="preserve"> 26,82</t>
  </si>
  <si>
    <t xml:space="preserve"> 117,44</t>
  </si>
  <si>
    <t xml:space="preserve"> 6,68</t>
  </si>
  <si>
    <t xml:space="preserve"> 30,07</t>
  </si>
  <si>
    <t xml:space="preserve"> 3.621,72</t>
  </si>
  <si>
    <t xml:space="preserve"> 14.732,42</t>
  </si>
  <si>
    <t xml:space="preserve"> 111,49</t>
  </si>
  <si>
    <t xml:space="preserve"> 109,82</t>
  </si>
  <si>
    <t xml:space="preserve"> 2,64</t>
  </si>
  <si>
    <t xml:space="preserve"> 56,40</t>
  </si>
  <si>
    <t xml:space="preserve"> 55,54</t>
  </si>
  <si>
    <t xml:space="preserve"> 4,01</t>
  </si>
  <si>
    <t xml:space="preserve"> 24.150,81</t>
  </si>
  <si>
    <t xml:space="preserve"> 98,25</t>
  </si>
  <si>
    <t xml:space="preserve"> 1,98</t>
  </si>
  <si>
    <t xml:space="preserve"> 63,80</t>
  </si>
  <si>
    <t xml:space="preserve"> 17,04</t>
  </si>
  <si>
    <t xml:space="preserve"> 2,87</t>
  </si>
  <si>
    <t xml:space="preserve"> 12,50</t>
  </si>
  <si>
    <t xml:space="preserve"> 3,35</t>
  </si>
  <si>
    <t xml:space="preserve"> 62,02</t>
  </si>
  <si>
    <t xml:space="preserve"> 58,51</t>
  </si>
  <si>
    <t xml:space="preserve">Composição
 24.1.6 </t>
  </si>
  <si>
    <t xml:space="preserve"> 61,21</t>
  </si>
  <si>
    <t xml:space="preserve">Composição
 24.1.5 </t>
  </si>
  <si>
    <t xml:space="preserve"> 428,29</t>
  </si>
  <si>
    <t xml:space="preserve"> 37,45</t>
  </si>
  <si>
    <t xml:space="preserve"> 377,19</t>
  </si>
  <si>
    <t xml:space="preserve"> 31,20</t>
  </si>
  <si>
    <t xml:space="preserve"> 19,85</t>
  </si>
  <si>
    <t xml:space="preserve"> 18,05</t>
  </si>
  <si>
    <t xml:space="preserve"> 10,84</t>
  </si>
  <si>
    <t xml:space="preserve"> 9,86</t>
  </si>
  <si>
    <t xml:space="preserve"> 6,03</t>
  </si>
  <si>
    <t xml:space="preserve">Composição
 23.3.32 </t>
  </si>
  <si>
    <t xml:space="preserve"> 2,36</t>
  </si>
  <si>
    <t xml:space="preserve"> 1,41</t>
  </si>
  <si>
    <t xml:space="preserve">Composição
 23.3.31 </t>
  </si>
  <si>
    <t xml:space="preserve"> 1,79</t>
  </si>
  <si>
    <t xml:space="preserve">Composição
 23.3.30 </t>
  </si>
  <si>
    <t xml:space="preserve"> 3,45</t>
  </si>
  <si>
    <t xml:space="preserve"> 2,37</t>
  </si>
  <si>
    <t xml:space="preserve">Composição
 23.3.29 </t>
  </si>
  <si>
    <t xml:space="preserve"> 49,55</t>
  </si>
  <si>
    <t xml:space="preserve"> 47,75</t>
  </si>
  <si>
    <t xml:space="preserve"> 49,91</t>
  </si>
  <si>
    <t xml:space="preserve"> 9,41</t>
  </si>
  <si>
    <t xml:space="preserve"> 8,33</t>
  </si>
  <si>
    <t xml:space="preserve"> 9,02</t>
  </si>
  <si>
    <t xml:space="preserve"> 14,63</t>
  </si>
  <si>
    <t xml:space="preserve"> 1,74</t>
  </si>
  <si>
    <t xml:space="preserve"> 4,69</t>
  </si>
  <si>
    <t xml:space="preserve"> 7,32</t>
  </si>
  <si>
    <t xml:space="preserve"> 4,75</t>
  </si>
  <si>
    <t xml:space="preserve"> 14,99</t>
  </si>
  <si>
    <t xml:space="preserve"> 4,12</t>
  </si>
  <si>
    <t xml:space="preserve"> 7,83</t>
  </si>
  <si>
    <t xml:space="preserve"> 10,87</t>
  </si>
  <si>
    <t xml:space="preserve"> 5,77</t>
  </si>
  <si>
    <t xml:space="preserve"> 6,75</t>
  </si>
  <si>
    <t xml:space="preserve"> 3,71</t>
  </si>
  <si>
    <t xml:space="preserve"> 4,23</t>
  </si>
  <si>
    <t xml:space="preserve"> 2,52</t>
  </si>
  <si>
    <t xml:space="preserve"> 42,46</t>
  </si>
  <si>
    <t xml:space="preserve"> 41,81</t>
  </si>
  <si>
    <t xml:space="preserve"> 30,66</t>
  </si>
  <si>
    <t xml:space="preserve"> 30,18</t>
  </si>
  <si>
    <t xml:space="preserve"> 21,52</t>
  </si>
  <si>
    <t xml:space="preserve"> 21,18</t>
  </si>
  <si>
    <t xml:space="preserve"> 0,91</t>
  </si>
  <si>
    <t xml:space="preserve"> 10,39</t>
  </si>
  <si>
    <t xml:space="preserve"> 10,09</t>
  </si>
  <si>
    <t xml:space="preserve"> 1,55</t>
  </si>
  <si>
    <t xml:space="preserve"> 1,28</t>
  </si>
  <si>
    <t xml:space="preserve"> 6,51</t>
  </si>
  <si>
    <t xml:space="preserve"> 1,68</t>
  </si>
  <si>
    <t xml:space="preserve"> 3,12</t>
  </si>
  <si>
    <t xml:space="preserve"> 1,84</t>
  </si>
  <si>
    <t xml:space="preserve"> 6,49</t>
  </si>
  <si>
    <t xml:space="preserve"> 13,69</t>
  </si>
  <si>
    <t xml:space="preserve"> 5,43</t>
  </si>
  <si>
    <t xml:space="preserve"> 14,97</t>
  </si>
  <si>
    <t xml:space="preserve"> 5,49</t>
  </si>
  <si>
    <t xml:space="preserve"> 2,98</t>
  </si>
  <si>
    <t xml:space="preserve"> 4,16</t>
  </si>
  <si>
    <t xml:space="preserve"> 16,36</t>
  </si>
  <si>
    <t xml:space="preserve"> 15,26</t>
  </si>
  <si>
    <t xml:space="preserve"> 14,69</t>
  </si>
  <si>
    <t xml:space="preserve"> 202,67</t>
  </si>
  <si>
    <t xml:space="preserve"> 35,63</t>
  </si>
  <si>
    <t xml:space="preserve"> 132,77</t>
  </si>
  <si>
    <t xml:space="preserve"> 51,01</t>
  </si>
  <si>
    <t xml:space="preserve"> 4,06</t>
  </si>
  <si>
    <t xml:space="preserve"> 7,06</t>
  </si>
  <si>
    <t xml:space="preserve"> 91,49</t>
  </si>
  <si>
    <t xml:space="preserve"> 520,86</t>
  </si>
  <si>
    <t xml:space="preserve"> 57,59</t>
  </si>
  <si>
    <t xml:space="preserve"> 156,12</t>
  </si>
  <si>
    <t xml:space="preserve"> 37,49</t>
  </si>
  <si>
    <t xml:space="preserve"> 149,38</t>
  </si>
  <si>
    <t xml:space="preserve"> 20,17</t>
  </si>
  <si>
    <t xml:space="preserve"> 571,85</t>
  </si>
  <si>
    <t xml:space="preserve"> 460,63</t>
  </si>
  <si>
    <t xml:space="preserve"> 19,69</t>
  </si>
  <si>
    <t xml:space="preserve"> 61,28</t>
  </si>
  <si>
    <t xml:space="preserve"> 61,20</t>
  </si>
  <si>
    <t xml:space="preserve"> 3,96</t>
  </si>
  <si>
    <t xml:space="preserve"> 156,06</t>
  </si>
  <si>
    <t xml:space="preserve"> 68,85</t>
  </si>
  <si>
    <t xml:space="preserve"> 7,81</t>
  </si>
  <si>
    <t xml:space="preserve"> 9,77</t>
  </si>
  <si>
    <t xml:space="preserve"> 29,27</t>
  </si>
  <si>
    <t xml:space="preserve"> 8,71</t>
  </si>
  <si>
    <t xml:space="preserve"> 79,94</t>
  </si>
  <si>
    <t xml:space="preserve"> 69,42</t>
  </si>
  <si>
    <t xml:space="preserve"> 4,17</t>
  </si>
  <si>
    <t xml:space="preserve"> 1,73</t>
  </si>
  <si>
    <t xml:space="preserve"> 4,60</t>
  </si>
  <si>
    <t xml:space="preserve"> 2,16</t>
  </si>
  <si>
    <t xml:space="preserve"> 4,64</t>
  </si>
  <si>
    <t xml:space="preserve"> 3,63</t>
  </si>
  <si>
    <t xml:space="preserve"> 30,59</t>
  </si>
  <si>
    <t xml:space="preserve"> 25,76</t>
  </si>
  <si>
    <t xml:space="preserve"> 4,57</t>
  </si>
  <si>
    <t xml:space="preserve"> 10,07</t>
  </si>
  <si>
    <t xml:space="preserve"> 24,18</t>
  </si>
  <si>
    <t xml:space="preserve"> 14,89</t>
  </si>
  <si>
    <t xml:space="preserve"> 3,30</t>
  </si>
  <si>
    <t xml:space="preserve"> 1,97</t>
  </si>
  <si>
    <t xml:space="preserve"> 10,36</t>
  </si>
  <si>
    <t xml:space="preserve"> 5,72</t>
  </si>
  <si>
    <t xml:space="preserve"> 3,08</t>
  </si>
  <si>
    <t xml:space="preserve"> 10,32</t>
  </si>
  <si>
    <t xml:space="preserve"> 5,68</t>
  </si>
  <si>
    <t xml:space="preserve"> 2,96</t>
  </si>
  <si>
    <t xml:space="preserve"> 5,58</t>
  </si>
  <si>
    <t xml:space="preserve"> 6,69</t>
  </si>
  <si>
    <t xml:space="preserve"> 5,50</t>
  </si>
  <si>
    <t xml:space="preserve"> 9,79</t>
  </si>
  <si>
    <t xml:space="preserve"> 2,78</t>
  </si>
  <si>
    <t xml:space="preserve"> 9,22</t>
  </si>
  <si>
    <t xml:space="preserve"> 6,71</t>
  </si>
  <si>
    <t xml:space="preserve"> 6,33</t>
  </si>
  <si>
    <t xml:space="preserve"> 2,99</t>
  </si>
  <si>
    <t xml:space="preserve"> 5,89</t>
  </si>
  <si>
    <t xml:space="preserve"> 3,94</t>
  </si>
  <si>
    <t xml:space="preserve"> 1,11</t>
  </si>
  <si>
    <t xml:space="preserve"> 3,07</t>
  </si>
  <si>
    <t xml:space="preserve"> 46,40</t>
  </si>
  <si>
    <t xml:space="preserve"> 46,21</t>
  </si>
  <si>
    <t xml:space="preserve"> 3,34</t>
  </si>
  <si>
    <t xml:space="preserve"> 16,30</t>
  </si>
  <si>
    <t xml:space="preserve"> 16,11</t>
  </si>
  <si>
    <t xml:space="preserve"> 43,48</t>
  </si>
  <si>
    <t xml:space="preserve"> 43,20</t>
  </si>
  <si>
    <t xml:space="preserve"> 9,75</t>
  </si>
  <si>
    <t xml:space="preserve"> 18,22</t>
  </si>
  <si>
    <t xml:space="preserve"> 25,37</t>
  </si>
  <si>
    <t xml:space="preserve"> 2,79</t>
  </si>
  <si>
    <t xml:space="preserve"> 2,72</t>
  </si>
  <si>
    <t xml:space="preserve"> 1,48</t>
  </si>
  <si>
    <t xml:space="preserve"> 18,91</t>
  </si>
  <si>
    <t xml:space="preserve"> 17,81</t>
  </si>
  <si>
    <t xml:space="preserve"> 11,21</t>
  </si>
  <si>
    <t xml:space="preserve"> 10,56</t>
  </si>
  <si>
    <t xml:space="preserve"> 22,53</t>
  </si>
  <si>
    <t xml:space="preserve"> 18,49</t>
  </si>
  <si>
    <t xml:space="preserve"> 7,25</t>
  </si>
  <si>
    <t xml:space="preserve"> 3,19</t>
  </si>
  <si>
    <t xml:space="preserve"> 33,84</t>
  </si>
  <si>
    <t xml:space="preserve"> 25,27</t>
  </si>
  <si>
    <t xml:space="preserve"> 3,80</t>
  </si>
  <si>
    <t xml:space="preserve"> 15,32</t>
  </si>
  <si>
    <t xml:space="preserve"> 13,36</t>
  </si>
  <si>
    <t xml:space="preserve"> 2,85</t>
  </si>
  <si>
    <t xml:space="preserve"> 9,70</t>
  </si>
  <si>
    <t xml:space="preserve"> 87,50</t>
  </si>
  <si>
    <t xml:space="preserve"> 87,22</t>
  </si>
  <si>
    <t xml:space="preserve"> 89,39</t>
  </si>
  <si>
    <t xml:space="preserve"> 7,78</t>
  </si>
  <si>
    <t xml:space="preserve"> 6,67</t>
  </si>
  <si>
    <t xml:space="preserve"> 3,75</t>
  </si>
  <si>
    <t xml:space="preserve"> 12,12</t>
  </si>
  <si>
    <t xml:space="preserve"> 11,66</t>
  </si>
  <si>
    <t xml:space="preserve"> 2,95</t>
  </si>
  <si>
    <t xml:space="preserve"> 10,42</t>
  </si>
  <si>
    <t xml:space="preserve"> 4,99</t>
  </si>
  <si>
    <t xml:space="preserve"> 22,47</t>
  </si>
  <si>
    <t xml:space="preserve"> 33,25</t>
  </si>
  <si>
    <t xml:space="preserve"> 14,25</t>
  </si>
  <si>
    <t xml:space="preserve"> 20,21</t>
  </si>
  <si>
    <t xml:space="preserve"> 5,15</t>
  </si>
  <si>
    <t xml:space="preserve"> 2,32</t>
  </si>
  <si>
    <t xml:space="preserve"> 271,08</t>
  </si>
  <si>
    <t xml:space="preserve"> 19,04</t>
  </si>
  <si>
    <t xml:space="preserve"> 0,47</t>
  </si>
  <si>
    <t xml:space="preserve"> 9,57</t>
  </si>
  <si>
    <t xml:space="preserve"> 3,05</t>
  </si>
  <si>
    <t xml:space="preserve"> 55.000,00</t>
  </si>
  <si>
    <t xml:space="preserve"> 320.483,24</t>
  </si>
  <si>
    <t xml:space="preserve"> 6,10</t>
  </si>
  <si>
    <t xml:space="preserve"> 5,78</t>
  </si>
  <si>
    <t xml:space="preserve"> 6,92</t>
  </si>
  <si>
    <t xml:space="preserve"> 31,79</t>
  </si>
  <si>
    <t xml:space="preserve"> 24,25</t>
  </si>
  <si>
    <t xml:space="preserve"> 31,29</t>
  </si>
  <si>
    <t xml:space="preserve"> 2,70</t>
  </si>
  <si>
    <t xml:space="preserve"> 3,52</t>
  </si>
  <si>
    <t xml:space="preserve"> 1,42</t>
  </si>
  <si>
    <t xml:space="preserve"> 65,82</t>
  </si>
  <si>
    <t xml:space="preserve"> 2,91</t>
  </si>
  <si>
    <t xml:space="preserve"> 75,61</t>
  </si>
  <si>
    <t xml:space="preserve"> 24,22</t>
  </si>
  <si>
    <t xml:space="preserve"> 17,90</t>
  </si>
  <si>
    <t xml:space="preserve"> 4,13</t>
  </si>
  <si>
    <t xml:space="preserve"> 6,48</t>
  </si>
  <si>
    <t xml:space="preserve"> 5,31</t>
  </si>
  <si>
    <t xml:space="preserve"> 331,82</t>
  </si>
  <si>
    <t xml:space="preserve"> 42,83</t>
  </si>
  <si>
    <t xml:space="preserve"> 20,03</t>
  </si>
  <si>
    <t xml:space="preserve"> 5,87</t>
  </si>
  <si>
    <t xml:space="preserve"> 33,63</t>
  </si>
  <si>
    <t xml:space="preserve"> 42,15</t>
  </si>
  <si>
    <t xml:space="preserve"> 20,11</t>
  </si>
  <si>
    <t xml:space="preserve"> 3,27</t>
  </si>
  <si>
    <t xml:space="preserve"> 78,02</t>
  </si>
  <si>
    <t xml:space="preserve"> 71,00</t>
  </si>
  <si>
    <t xml:space="preserve"> 373,91</t>
  </si>
  <si>
    <t xml:space="preserve"> 15,97</t>
  </si>
  <si>
    <t xml:space="preserve"> 350,84</t>
  </si>
  <si>
    <t xml:space="preserve"> 16,41</t>
  </si>
  <si>
    <t xml:space="preserve"> 30,05</t>
  </si>
  <si>
    <t xml:space="preserve"> 29,97</t>
  </si>
  <si>
    <t xml:space="preserve">Composição
 9.4 </t>
  </si>
  <si>
    <t xml:space="preserve"> 17,70</t>
  </si>
  <si>
    <t xml:space="preserve"> 5,46</t>
  </si>
  <si>
    <t xml:space="preserve"> 4,63</t>
  </si>
  <si>
    <t xml:space="preserve"> 122,74</t>
  </si>
  <si>
    <t xml:space="preserve"> 103,09</t>
  </si>
  <si>
    <t xml:space="preserve"> 486,82</t>
  </si>
  <si>
    <t xml:space="preserve"> 22,81</t>
  </si>
  <si>
    <t xml:space="preserve"> 579,76</t>
  </si>
  <si>
    <t xml:space="preserve"> 42,62</t>
  </si>
  <si>
    <t xml:space="preserve"> 36,55</t>
  </si>
  <si>
    <t xml:space="preserve"> 890,19</t>
  </si>
  <si>
    <t xml:space="preserve"> 69,92</t>
  </si>
  <si>
    <t xml:space="preserve"> 38,56</t>
  </si>
  <si>
    <t xml:space="preserve"> 822,34</t>
  </si>
  <si>
    <t xml:space="preserve"> 26,20</t>
  </si>
  <si>
    <t xml:space="preserve"> 29,36</t>
  </si>
  <si>
    <t xml:space="preserve"> 5,57</t>
  </si>
  <si>
    <t xml:space="preserve"> 35,83</t>
  </si>
  <si>
    <t xml:space="preserve"> 5,98</t>
  </si>
  <si>
    <t xml:space="preserve"> 16,22</t>
  </si>
  <si>
    <t xml:space="preserve"> 4,46</t>
  </si>
  <si>
    <t xml:space="preserve"> 5,30</t>
  </si>
  <si>
    <t xml:space="preserve"> 21,54</t>
  </si>
  <si>
    <t xml:space="preserve"> 25,86</t>
  </si>
  <si>
    <t xml:space="preserve"> 3,56</t>
  </si>
  <si>
    <t xml:space="preserve"> 12,63</t>
  </si>
  <si>
    <t xml:space="preserve"> 0,77</t>
  </si>
  <si>
    <t xml:space="preserve"> 43,02</t>
  </si>
  <si>
    <t xml:space="preserve"> 6,28</t>
  </si>
  <si>
    <t xml:space="preserve"> 19,17</t>
  </si>
  <si>
    <t xml:space="preserve"> 39,76</t>
  </si>
  <si>
    <t xml:space="preserve"> 4.271,16</t>
  </si>
  <si>
    <t xml:space="preserve"> 45,29</t>
  </si>
  <si>
    <t xml:space="preserve"> 5,07</t>
  </si>
  <si>
    <t xml:space="preserve"> 2,02</t>
  </si>
  <si>
    <t xml:space="preserve"> 42,67</t>
  </si>
  <si>
    <t xml:space="preserve"> 30,82</t>
  </si>
  <si>
    <t xml:space="preserve"> 15,40</t>
  </si>
  <si>
    <t xml:space="preserve"> 6,94</t>
  </si>
  <si>
    <t xml:space="preserve"> 1,19</t>
  </si>
  <si>
    <t xml:space="preserve"> 556.157,77</t>
  </si>
  <si>
    <t xml:space="preserve"> 7,36</t>
  </si>
  <si>
    <t xml:space="preserve"> 7,34</t>
  </si>
  <si>
    <t xml:space="preserve"> 1.659,66</t>
  </si>
  <si>
    <t xml:space="preserve"> 1.641,28</t>
  </si>
  <si>
    <t xml:space="preserve"> 42,26</t>
  </si>
  <si>
    <t xml:space="preserve"> 41,84</t>
  </si>
  <si>
    <t>VALOR TOTAL COM BDI</t>
  </si>
  <si>
    <t>INSTALAÇÕES DE AGUA FRIA</t>
  </si>
  <si>
    <t>ALIMENTAÇÃO PREDIAL</t>
  </si>
  <si>
    <t>DISTRIBUIÇÃO PREDIAL</t>
  </si>
  <si>
    <t xml:space="preserve">RESERVATÓRIO METÁLICO TUBULAR 20.000 L COM CISTERNA </t>
  </si>
  <si>
    <t>MOVIMENTO DE TERRAS PARA FUNDAÇÕES</t>
  </si>
  <si>
    <t>FUNDAÇÃO DO CASTELO D'ÁGUA E CISTERNA</t>
  </si>
  <si>
    <t>CORTE E REPARO EM CABEÇA DE ESTACA</t>
  </si>
  <si>
    <t>CISTERNA - 12.000L - METÁLICA - FORNECIMENTO E INSTALAÇÃO</t>
  </si>
  <si>
    <t>CISTERNA CILINDRICA METÁLICA - IÇAMENTO E INSTALAÇÃO - CAP. 12.000Lts</t>
  </si>
  <si>
    <t>CAIXA DÁGUA - 20.000L</t>
  </si>
  <si>
    <t>Alça de içamento</t>
  </si>
  <si>
    <t>un</t>
  </si>
  <si>
    <t>Suporte de luz piloto</t>
  </si>
  <si>
    <t>Suporte para cinto de segurança</t>
  </si>
  <si>
    <t>Suporte para Pára-raio</t>
  </si>
  <si>
    <t>Chapa de aço carbono de alta resistência a corrosão e de qualidade estrutural e solda interna e externa, para confecção do reservatorioconforme projeto</t>
  </si>
  <si>
    <t>Sistema de ancoragem com 6 nichos, conforme projeto</t>
  </si>
  <si>
    <t>Preparo de superfície: jateamento abrasivo ao metal branco (interno e externo), padrão AWWA</t>
  </si>
  <si>
    <t>LIGAÇÃO DO SISTEMA</t>
  </si>
  <si>
    <t>INSTALAÇÕES SANITÁRIAS</t>
  </si>
  <si>
    <r>
      <t>MUNICÍPIO:</t>
    </r>
    <r>
      <rPr>
        <sz val="12"/>
        <rFont val="Arial"/>
        <family val="2"/>
      </rPr>
      <t xml:space="preserve"> VÁRZEA GRANDE - MT</t>
    </r>
  </si>
  <si>
    <r>
      <t xml:space="preserve">DATA BASE: </t>
    </r>
    <r>
      <rPr>
        <sz val="12"/>
        <rFont val="Arial"/>
        <family val="2"/>
      </rPr>
      <t xml:space="preserve">SINAPI MAIO - COM DESONERAÇÃO / 2020 - </t>
    </r>
    <r>
      <rPr>
        <b/>
        <sz val="12"/>
        <rFont val="Arial"/>
        <family val="2"/>
      </rPr>
      <t>BDI - 28,24%</t>
    </r>
  </si>
  <si>
    <t>PORTAO DE FERRO, DE ABRIR, TIPO CHAPA CORRUGADA, COM GUARNICOES E FECHADURA - 1,00 X 2,10 M</t>
  </si>
  <si>
    <t>CAIXA DE GORDURA</t>
  </si>
  <si>
    <t>CAIXA DE INSPEÇÃO</t>
  </si>
  <si>
    <t>21.1.7</t>
  </si>
  <si>
    <t>10.3</t>
  </si>
  <si>
    <t xml:space="preserve"> 4.1 </t>
  </si>
  <si>
    <t xml:space="preserve"> 94319 </t>
  </si>
  <si>
    <t xml:space="preserve"> 00006079 </t>
  </si>
  <si>
    <t xml:space="preserve"> 4.2 </t>
  </si>
  <si>
    <t xml:space="preserve"> 10.1 </t>
  </si>
  <si>
    <t xml:space="preserve"> 91341 </t>
  </si>
  <si>
    <t xml:space="preserve"> 00007568 </t>
  </si>
  <si>
    <t xml:space="preserve"> 00036888 </t>
  </si>
  <si>
    <t xml:space="preserve"> 00039025 </t>
  </si>
  <si>
    <t xml:space="preserve"> 94573 </t>
  </si>
  <si>
    <t xml:space="preserve"> 00034364 </t>
  </si>
  <si>
    <t xml:space="preserve"> 20.2.01 </t>
  </si>
  <si>
    <t xml:space="preserve"> 97906 </t>
  </si>
  <si>
    <t xml:space="preserve"> 94097 </t>
  </si>
  <si>
    <t xml:space="preserve"> 100475 </t>
  </si>
  <si>
    <t xml:space="preserve"> 21.1.1 </t>
  </si>
  <si>
    <t xml:space="preserve"> 95470 </t>
  </si>
  <si>
    <t xml:space="preserve"> 95469 </t>
  </si>
  <si>
    <t xml:space="preserve"> 00006142 </t>
  </si>
  <si>
    <t xml:space="preserve"> 21.1.2 </t>
  </si>
  <si>
    <t xml:space="preserve"> 95472 </t>
  </si>
  <si>
    <t xml:space="preserve"> 95471 </t>
  </si>
  <si>
    <t xml:space="preserve"> 100849 </t>
  </si>
  <si>
    <t xml:space="preserve"> 00000377 </t>
  </si>
  <si>
    <t xml:space="preserve"> 21.1.7 </t>
  </si>
  <si>
    <t xml:space="preserve"> 00000123 </t>
  </si>
  <si>
    <t xml:space="preserve"> 00010420 </t>
  </si>
  <si>
    <t xml:space="preserve"> 00004384 </t>
  </si>
  <si>
    <t xml:space="preserve"> 00006138 </t>
  </si>
  <si>
    <t xml:space="preserve"> 00036520 </t>
  </si>
  <si>
    <t>R$  43,26</t>
  </si>
  <si>
    <t>R$  35,91</t>
  </si>
  <si>
    <t>R$  79,17</t>
  </si>
  <si>
    <t>R$  22,35</t>
  </si>
  <si>
    <t>R$  101,52</t>
  </si>
  <si>
    <t>R$  1.932,37</t>
  </si>
  <si>
    <t>R$  1.410,38</t>
  </si>
  <si>
    <t>R$  3.342,75</t>
  </si>
  <si>
    <t>R$  943,99</t>
  </si>
  <si>
    <t>R$  4.286,74</t>
  </si>
  <si>
    <t>R$  12,09</t>
  </si>
  <si>
    <t>R$  6,26</t>
  </si>
  <si>
    <t>R$  18,35</t>
  </si>
  <si>
    <t>R$  5,18</t>
  </si>
  <si>
    <t>R$  23,53</t>
  </si>
  <si>
    <t>R$  0,16</t>
  </si>
  <si>
    <t>R$  0,03</t>
  </si>
  <si>
    <t>R$  0,22</t>
  </si>
  <si>
    <t>R$  0,06</t>
  </si>
  <si>
    <t>R$  0,28</t>
  </si>
  <si>
    <t>R$  2,78</t>
  </si>
  <si>
    <t>R$  0,19</t>
  </si>
  <si>
    <t>R$  2,97</t>
  </si>
  <si>
    <t>R$  0,83</t>
  </si>
  <si>
    <t>R$  3,80</t>
  </si>
  <si>
    <t>R$  1,01</t>
  </si>
  <si>
    <t>R$  1,07</t>
  </si>
  <si>
    <t>R$  0,30</t>
  </si>
  <si>
    <t>R$  1,37</t>
  </si>
  <si>
    <t>R$  51,59</t>
  </si>
  <si>
    <t>R$  4,40</t>
  </si>
  <si>
    <t>R$  56,00</t>
  </si>
  <si>
    <t>R$  15,81</t>
  </si>
  <si>
    <t>R$  71,81</t>
  </si>
  <si>
    <t>R$  1,56</t>
  </si>
  <si>
    <t>R$  0,74</t>
  </si>
  <si>
    <t>R$  2,31</t>
  </si>
  <si>
    <t>R$  0,65</t>
  </si>
  <si>
    <t>R$  2,96</t>
  </si>
  <si>
    <t>R$  0,14</t>
  </si>
  <si>
    <t>R$  0,44</t>
  </si>
  <si>
    <t>R$  0,12</t>
  </si>
  <si>
    <t>R$  0,56</t>
  </si>
  <si>
    <t>R$  0,21</t>
  </si>
  <si>
    <t>R$  0,10</t>
  </si>
  <si>
    <t>R$  0,32</t>
  </si>
  <si>
    <t>R$  0,09</t>
  </si>
  <si>
    <t>R$  0,41</t>
  </si>
  <si>
    <t>R$  12,66</t>
  </si>
  <si>
    <t>R$  3,62</t>
  </si>
  <si>
    <t>R$  16,28</t>
  </si>
  <si>
    <t>R$  4,59</t>
  </si>
  <si>
    <t>R$  20,87</t>
  </si>
  <si>
    <t>R$  3,38</t>
  </si>
  <si>
    <t>R$  1,61</t>
  </si>
  <si>
    <t>R$  4,98</t>
  </si>
  <si>
    <t>R$  1,40</t>
  </si>
  <si>
    <t>R$  6,38</t>
  </si>
  <si>
    <t>R$  120,66</t>
  </si>
  <si>
    <t>R$  38,48</t>
  </si>
  <si>
    <t>R$  159,14</t>
  </si>
  <si>
    <t>R$  44,94</t>
  </si>
  <si>
    <t>R$  204,08</t>
  </si>
  <si>
    <t>R$  84,85</t>
  </si>
  <si>
    <t>R$  40,35</t>
  </si>
  <si>
    <t>R$  125,22</t>
  </si>
  <si>
    <t>R$  35,36</t>
  </si>
  <si>
    <t>R$  160,58</t>
  </si>
  <si>
    <t>R$  10,14</t>
  </si>
  <si>
    <t>R$  4,70</t>
  </si>
  <si>
    <t>R$  14,85</t>
  </si>
  <si>
    <t>R$  4,19</t>
  </si>
  <si>
    <t>R$  19,04</t>
  </si>
  <si>
    <t>R$  15,63</t>
  </si>
  <si>
    <t>R$  5,33</t>
  </si>
  <si>
    <t>R$  20,97</t>
  </si>
  <si>
    <t>R$  5,92</t>
  </si>
  <si>
    <t>R$  26,89</t>
  </si>
  <si>
    <t>R$  4,11</t>
  </si>
  <si>
    <t>R$  1,92</t>
  </si>
  <si>
    <t>R$  6,04</t>
  </si>
  <si>
    <t>R$  1,70</t>
  </si>
  <si>
    <t>R$  7,74</t>
  </si>
  <si>
    <t>R$  25,75</t>
  </si>
  <si>
    <t>R$  11,63</t>
  </si>
  <si>
    <t>R$  37,39</t>
  </si>
  <si>
    <t>R$  10,55</t>
  </si>
  <si>
    <t>R$  47,94</t>
  </si>
  <si>
    <t>R$  29,76</t>
  </si>
  <si>
    <t>R$  1,79</t>
  </si>
  <si>
    <t>R$  31,56</t>
  </si>
  <si>
    <t>R$  8,91</t>
  </si>
  <si>
    <t>R$  40,47</t>
  </si>
  <si>
    <t>R$  37,76</t>
  </si>
  <si>
    <t>R$  10,73</t>
  </si>
  <si>
    <t>R$  48,51</t>
  </si>
  <si>
    <t>R$  13,69</t>
  </si>
  <si>
    <t>R$  62,20</t>
  </si>
  <si>
    <t>R$  13,32</t>
  </si>
  <si>
    <t>R$  4,20</t>
  </si>
  <si>
    <t>R$  17,51</t>
  </si>
  <si>
    <t>R$  4,94</t>
  </si>
  <si>
    <t>R$  22,45</t>
  </si>
  <si>
    <t xml:space="preserve">Composição
 4.1 </t>
  </si>
  <si>
    <t xml:space="preserve"> 9,24</t>
  </si>
  <si>
    <t xml:space="preserve"> 13,27</t>
  </si>
  <si>
    <t>R$  25,50</t>
  </si>
  <si>
    <t>R$  5,26</t>
  </si>
  <si>
    <t>R$  30,77</t>
  </si>
  <si>
    <t>R$  8,68</t>
  </si>
  <si>
    <t>R$  39,45</t>
  </si>
  <si>
    <t xml:space="preserve">Composição
 4.2 </t>
  </si>
  <si>
    <t>R$  1,20</t>
  </si>
  <si>
    <t>R$  0,08</t>
  </si>
  <si>
    <t>R$  1,30</t>
  </si>
  <si>
    <t>R$  0,36</t>
  </si>
  <si>
    <t>R$  1,66</t>
  </si>
  <si>
    <t>R$  44,37</t>
  </si>
  <si>
    <t>R$  20,60</t>
  </si>
  <si>
    <t>R$  64,98</t>
  </si>
  <si>
    <t>R$  83,33</t>
  </si>
  <si>
    <t>R$  10,78</t>
  </si>
  <si>
    <t>R$  1,82</t>
  </si>
  <si>
    <t>R$  12,63</t>
  </si>
  <si>
    <t>R$  3,56</t>
  </si>
  <si>
    <t>R$  16,19</t>
  </si>
  <si>
    <t>R$  307,40</t>
  </si>
  <si>
    <t>R$  16,18</t>
  </si>
  <si>
    <t>R$  323,58</t>
  </si>
  <si>
    <t>R$  91,37</t>
  </si>
  <si>
    <t>R$  414,95</t>
  </si>
  <si>
    <t>R$  99,92</t>
  </si>
  <si>
    <t>R$  46,45</t>
  </si>
  <si>
    <t>R$  146,37</t>
  </si>
  <si>
    <t>R$  41,33</t>
  </si>
  <si>
    <t>R$  187,70</t>
  </si>
  <si>
    <t>R$  7,58</t>
  </si>
  <si>
    <t>R$  0,72</t>
  </si>
  <si>
    <t>R$  8,31</t>
  </si>
  <si>
    <t>R$  2,34</t>
  </si>
  <si>
    <t>R$  10,65</t>
  </si>
  <si>
    <t>R$  6,39</t>
  </si>
  <si>
    <t>R$  0,53</t>
  </si>
  <si>
    <t>R$  6,95</t>
  </si>
  <si>
    <t>R$  1,96</t>
  </si>
  <si>
    <t>R$  7,54</t>
  </si>
  <si>
    <t>R$  0,70</t>
  </si>
  <si>
    <t>R$  8,26</t>
  </si>
  <si>
    <t>R$  2,33</t>
  </si>
  <si>
    <t>R$  10,59</t>
  </si>
  <si>
    <t>R$  6,32</t>
  </si>
  <si>
    <t>R$  0,50</t>
  </si>
  <si>
    <t>R$  6,84</t>
  </si>
  <si>
    <t>R$  1,93</t>
  </si>
  <si>
    <t>R$  8,77</t>
  </si>
  <si>
    <t>R$  9,66</t>
  </si>
  <si>
    <t>R$  1,97</t>
  </si>
  <si>
    <t>R$  11,65</t>
  </si>
  <si>
    <t>R$  3,28</t>
  </si>
  <si>
    <t>R$  14,93</t>
  </si>
  <si>
    <t>R$  66,16</t>
  </si>
  <si>
    <t>R$  21,97</t>
  </si>
  <si>
    <t>R$  88,14</t>
  </si>
  <si>
    <t>R$  24,89</t>
  </si>
  <si>
    <t>R$  113,03</t>
  </si>
  <si>
    <t>R$  20,46</t>
  </si>
  <si>
    <t>R$  3,14</t>
  </si>
  <si>
    <t>R$  23,61</t>
  </si>
  <si>
    <t>R$  6,66</t>
  </si>
  <si>
    <t>R$  30,27</t>
  </si>
  <si>
    <t>R$  13,95</t>
  </si>
  <si>
    <t>R$  19,22</t>
  </si>
  <si>
    <t>R$  5,42</t>
  </si>
  <si>
    <t>R$  24,64</t>
  </si>
  <si>
    <t>R$  0,94</t>
  </si>
  <si>
    <t>R$  0,05</t>
  </si>
  <si>
    <t>R$  1,00</t>
  </si>
  <si>
    <t>R$  1,28</t>
  </si>
  <si>
    <t>R$  58,34</t>
  </si>
  <si>
    <t>R$  27,02</t>
  </si>
  <si>
    <t>R$  85,37</t>
  </si>
  <si>
    <t>R$  24,10</t>
  </si>
  <si>
    <t>R$  109,47</t>
  </si>
  <si>
    <t>R$  9,67</t>
  </si>
  <si>
    <t>R$  1,90</t>
  </si>
  <si>
    <t>R$  11,59</t>
  </si>
  <si>
    <t>R$  3,27</t>
  </si>
  <si>
    <t>R$  14,86</t>
  </si>
  <si>
    <t>R$  8,47</t>
  </si>
  <si>
    <t>R$  0,97</t>
  </si>
  <si>
    <t>R$  9,47</t>
  </si>
  <si>
    <t>R$  2,67</t>
  </si>
  <si>
    <t>R$  12,14</t>
  </si>
  <si>
    <t>R$  32,66</t>
  </si>
  <si>
    <t>R$  9,11</t>
  </si>
  <si>
    <t>R$  41,79</t>
  </si>
  <si>
    <t>R$  11,80</t>
  </si>
  <si>
    <t>R$  53,59</t>
  </si>
  <si>
    <t>R$  48,73</t>
  </si>
  <si>
    <t>R$  17,17</t>
  </si>
  <si>
    <t>R$  65,91</t>
  </si>
  <si>
    <t>R$  18,61</t>
  </si>
  <si>
    <t>R$  84,52</t>
  </si>
  <si>
    <t>R$  8,44</t>
  </si>
  <si>
    <t>R$  9,45</t>
  </si>
  <si>
    <t>R$  2,66</t>
  </si>
  <si>
    <t>R$  12,11</t>
  </si>
  <si>
    <t>R$  63,51</t>
  </si>
  <si>
    <t>R$  13,78</t>
  </si>
  <si>
    <t>R$  77,32</t>
  </si>
  <si>
    <t>R$  21,83</t>
  </si>
  <si>
    <t>R$  99,15</t>
  </si>
  <si>
    <t>R$  39,13</t>
  </si>
  <si>
    <t>R$  4,73</t>
  </si>
  <si>
    <t>R$  43,91</t>
  </si>
  <si>
    <t>R$  12,40</t>
  </si>
  <si>
    <t>R$  56,31</t>
  </si>
  <si>
    <t>R$  36,02</t>
  </si>
  <si>
    <t>R$  4,75</t>
  </si>
  <si>
    <t>R$  40,81</t>
  </si>
  <si>
    <t>R$  11,52</t>
  </si>
  <si>
    <t>R$  52,33</t>
  </si>
  <si>
    <t>R$  30,93</t>
  </si>
  <si>
    <t>R$  35,05</t>
  </si>
  <si>
    <t>R$  9,89</t>
  </si>
  <si>
    <t>R$  978,55</t>
  </si>
  <si>
    <t>R$  59,41</t>
  </si>
  <si>
    <t>R$  1.038,10</t>
  </si>
  <si>
    <t>R$  293,15</t>
  </si>
  <si>
    <t>R$  1.331,25</t>
  </si>
  <si>
    <t>R$  1.046,40</t>
  </si>
  <si>
    <t>R$  1.105,95</t>
  </si>
  <si>
    <t>R$  312,32</t>
  </si>
  <si>
    <t>R$  1.418,27</t>
  </si>
  <si>
    <t>R$  685,43</t>
  </si>
  <si>
    <t>R$  36,21</t>
  </si>
  <si>
    <t>R$  721,74</t>
  </si>
  <si>
    <t>R$  203,81</t>
  </si>
  <si>
    <t>R$  925,55</t>
  </si>
  <si>
    <t>R$  25,86</t>
  </si>
  <si>
    <t>R$  1,39</t>
  </si>
  <si>
    <t>R$  27,27</t>
  </si>
  <si>
    <t>R$  7,70</t>
  </si>
  <si>
    <t>R$  34,97</t>
  </si>
  <si>
    <t>R$  13,39</t>
  </si>
  <si>
    <t>R$  3,12</t>
  </si>
  <si>
    <t>R$  16,51</t>
  </si>
  <si>
    <t>R$  4,66</t>
  </si>
  <si>
    <t>R$  21,17</t>
  </si>
  <si>
    <t>R$  124,05</t>
  </si>
  <si>
    <t>R$  0,63</t>
  </si>
  <si>
    <t>R$  124,70</t>
  </si>
  <si>
    <t>R$  35,21</t>
  </si>
  <si>
    <t>R$  159,91</t>
  </si>
  <si>
    <t>R$  25,82</t>
  </si>
  <si>
    <t>R$  3,93</t>
  </si>
  <si>
    <t>R$  29,80</t>
  </si>
  <si>
    <t>R$  8,41</t>
  </si>
  <si>
    <t>R$  38,21</t>
  </si>
  <si>
    <t>R$  32,80</t>
  </si>
  <si>
    <t>R$  1,33</t>
  </si>
  <si>
    <t>R$  34,14</t>
  </si>
  <si>
    <t>R$  9,64</t>
  </si>
  <si>
    <t>R$  43,78</t>
  </si>
  <si>
    <t xml:space="preserve">Composição
 10.1 </t>
  </si>
  <si>
    <t xml:space="preserve"> 0,82</t>
  </si>
  <si>
    <t xml:space="preserve"> 7,60</t>
  </si>
  <si>
    <t xml:space="preserve"> 935,99</t>
  </si>
  <si>
    <t xml:space="preserve"> 587,72</t>
  </si>
  <si>
    <t>R$  594,12</t>
  </si>
  <si>
    <t>R$  597,25</t>
  </si>
  <si>
    <t>R$  168,66</t>
  </si>
  <si>
    <t>R$  765,91</t>
  </si>
  <si>
    <t xml:space="preserve"> 9,23</t>
  </si>
  <si>
    <t xml:space="preserve"> 481,41</t>
  </si>
  <si>
    <t xml:space="preserve"> 277,54</t>
  </si>
  <si>
    <t xml:space="preserve"> 3,66</t>
  </si>
  <si>
    <t>R$  293,62</t>
  </si>
  <si>
    <t>R$  7,84</t>
  </si>
  <si>
    <t>R$  301,47</t>
  </si>
  <si>
    <t>R$  85,13</t>
  </si>
  <si>
    <t>R$  386,60</t>
  </si>
  <si>
    <t>R$  402,52</t>
  </si>
  <si>
    <t>R$  13,94</t>
  </si>
  <si>
    <t>R$  416,47</t>
  </si>
  <si>
    <t>R$  117,61</t>
  </si>
  <si>
    <t>R$  534,08</t>
  </si>
  <si>
    <t>R$  90,26</t>
  </si>
  <si>
    <t>R$  5,88</t>
  </si>
  <si>
    <t>R$  96,14</t>
  </si>
  <si>
    <t>R$  27,14</t>
  </si>
  <si>
    <t>R$  123,28</t>
  </si>
  <si>
    <t>R$  17,44</t>
  </si>
  <si>
    <t>R$  2,77</t>
  </si>
  <si>
    <t>R$  20,23</t>
  </si>
  <si>
    <t>R$  5,71</t>
  </si>
  <si>
    <t>R$  25,94</t>
  </si>
  <si>
    <t>R$  28,47</t>
  </si>
  <si>
    <t>R$  3,98</t>
  </si>
  <si>
    <t>R$  32,47</t>
  </si>
  <si>
    <t>R$  9,16</t>
  </si>
  <si>
    <t>R$  41,63</t>
  </si>
  <si>
    <t>R$  47,48</t>
  </si>
  <si>
    <t>R$  2,59</t>
  </si>
  <si>
    <t>R$  50,08</t>
  </si>
  <si>
    <t>R$  14,14</t>
  </si>
  <si>
    <t>R$  64,22</t>
  </si>
  <si>
    <t>R$  8,34</t>
  </si>
  <si>
    <t>R$  8,99</t>
  </si>
  <si>
    <t>R$  2,53</t>
  </si>
  <si>
    <t>R$  53,46</t>
  </si>
  <si>
    <t>R$  58,47</t>
  </si>
  <si>
    <t>R$  74,98</t>
  </si>
  <si>
    <t>R$  32,42</t>
  </si>
  <si>
    <t>R$  4,33</t>
  </si>
  <si>
    <t>R$  36,76</t>
  </si>
  <si>
    <t>R$  10,38</t>
  </si>
  <si>
    <t>R$  47,14</t>
  </si>
  <si>
    <t>R$  4,36</t>
  </si>
  <si>
    <t>R$  5,93</t>
  </si>
  <si>
    <t>R$  1,67</t>
  </si>
  <si>
    <t>R$  7,60</t>
  </si>
  <si>
    <t>R$  15,20</t>
  </si>
  <si>
    <t>R$  4,52</t>
  </si>
  <si>
    <t>R$  19,73</t>
  </si>
  <si>
    <t>R$  5,57</t>
  </si>
  <si>
    <t>R$  25,30</t>
  </si>
  <si>
    <t>R$  19,20</t>
  </si>
  <si>
    <t>R$  4,24</t>
  </si>
  <si>
    <t>R$  23,45</t>
  </si>
  <si>
    <t>R$  6,62</t>
  </si>
  <si>
    <t>R$  30,07</t>
  </si>
  <si>
    <t>R$  35,56</t>
  </si>
  <si>
    <t>R$  5,51</t>
  </si>
  <si>
    <t>R$  41,07</t>
  </si>
  <si>
    <t>R$  52,66</t>
  </si>
  <si>
    <t>R$  198,59</t>
  </si>
  <si>
    <t>R$  64,26</t>
  </si>
  <si>
    <t>R$  262,87</t>
  </si>
  <si>
    <t>R$  74,23</t>
  </si>
  <si>
    <t>R$  337,10</t>
  </si>
  <si>
    <t>R$  39,38</t>
  </si>
  <si>
    <t>R$  2,30</t>
  </si>
  <si>
    <t>R$  41,70</t>
  </si>
  <si>
    <t>R$  11,77</t>
  </si>
  <si>
    <t>R$  53,47</t>
  </si>
  <si>
    <t>R$  1,27</t>
  </si>
  <si>
    <t>R$  0,29</t>
  </si>
  <si>
    <t>R$  1,57</t>
  </si>
  <si>
    <t>R$  2,01</t>
  </si>
  <si>
    <t>R$  9,88</t>
  </si>
  <si>
    <t>R$  1,41</t>
  </si>
  <si>
    <t>R$  11,30</t>
  </si>
  <si>
    <t>R$  3,19</t>
  </si>
  <si>
    <t>R$  14,49</t>
  </si>
  <si>
    <t>R$  25,46</t>
  </si>
  <si>
    <t>R$  6,25</t>
  </si>
  <si>
    <t>R$  31,70</t>
  </si>
  <si>
    <t>R$  8,95</t>
  </si>
  <si>
    <t>R$  40,65</t>
  </si>
  <si>
    <t>R$  9,34</t>
  </si>
  <si>
    <t>R$  3,18</t>
  </si>
  <si>
    <t>R$  12,52</t>
  </si>
  <si>
    <t>R$  3,53</t>
  </si>
  <si>
    <t>R$  16,05</t>
  </si>
  <si>
    <t>R$  333,89</t>
  </si>
  <si>
    <t>R$  378,30</t>
  </si>
  <si>
    <t>R$  106,83</t>
  </si>
  <si>
    <t>R$  485,13</t>
  </si>
  <si>
    <t>R$  1.884,09</t>
  </si>
  <si>
    <t>R$  75,97</t>
  </si>
  <si>
    <t>R$  1.960,12</t>
  </si>
  <si>
    <t>R$  553,53</t>
  </si>
  <si>
    <t>R$  2.513,65</t>
  </si>
  <si>
    <t>R$  104,18</t>
  </si>
  <si>
    <t>R$  8,28</t>
  </si>
  <si>
    <t>R$  112,47</t>
  </si>
  <si>
    <t>R$  31,76</t>
  </si>
  <si>
    <t>R$  144,23</t>
  </si>
  <si>
    <t>R$  13,92</t>
  </si>
  <si>
    <t>R$  2,09</t>
  </si>
  <si>
    <t>R$  16,02</t>
  </si>
  <si>
    <t>R$  20,54</t>
  </si>
  <si>
    <t>R$  20,19</t>
  </si>
  <si>
    <t>R$  2,42</t>
  </si>
  <si>
    <t>R$  22,62</t>
  </si>
  <si>
    <t>R$  29,00</t>
  </si>
  <si>
    <t>R$  40,34</t>
  </si>
  <si>
    <t>R$  3,23</t>
  </si>
  <si>
    <t>R$  43,58</t>
  </si>
  <si>
    <t>R$  12,30</t>
  </si>
  <si>
    <t>R$  55,88</t>
  </si>
  <si>
    <t>R$  2,62</t>
  </si>
  <si>
    <t>R$  3,05</t>
  </si>
  <si>
    <t>R$  0,86</t>
  </si>
  <si>
    <t>R$  3,91</t>
  </si>
  <si>
    <t>R$  8,80</t>
  </si>
  <si>
    <t>R$  1,19</t>
  </si>
  <si>
    <t>R$  10,01</t>
  </si>
  <si>
    <t>R$  2,82</t>
  </si>
  <si>
    <t>R$  12,83</t>
  </si>
  <si>
    <t>R$  3,59</t>
  </si>
  <si>
    <t>R$  4,54</t>
  </si>
  <si>
    <t>R$  5,82</t>
  </si>
  <si>
    <t>R$  5,44</t>
  </si>
  <si>
    <t>R$  1,12</t>
  </si>
  <si>
    <t>R$  6,57</t>
  </si>
  <si>
    <t>R$  1,85</t>
  </si>
  <si>
    <t>R$  8,42</t>
  </si>
  <si>
    <t>R$  7,76</t>
  </si>
  <si>
    <t>R$  0,93</t>
  </si>
  <si>
    <t>R$  8,70</t>
  </si>
  <si>
    <t>R$  2,45</t>
  </si>
  <si>
    <t>R$  11,15</t>
  </si>
  <si>
    <t>R$  9,52</t>
  </si>
  <si>
    <t>R$  1,13</t>
  </si>
  <si>
    <t>R$  10,66</t>
  </si>
  <si>
    <t>R$  3,01</t>
  </si>
  <si>
    <t>R$  13,67</t>
  </si>
  <si>
    <t>R$  25,22</t>
  </si>
  <si>
    <t>R$  1,34</t>
  </si>
  <si>
    <t>R$  26,57</t>
  </si>
  <si>
    <t>R$  7,50</t>
  </si>
  <si>
    <t>R$  34,07</t>
  </si>
  <si>
    <t>R$  3,32</t>
  </si>
  <si>
    <t>R$  0,17</t>
  </si>
  <si>
    <t>R$  3,49</t>
  </si>
  <si>
    <t>R$  0,98</t>
  </si>
  <si>
    <t>R$  4,47</t>
  </si>
  <si>
    <t>R$  7,12</t>
  </si>
  <si>
    <t>R$  0,20</t>
  </si>
  <si>
    <t>R$  7,33</t>
  </si>
  <si>
    <t>R$  2,06</t>
  </si>
  <si>
    <t>R$  9,39</t>
  </si>
  <si>
    <t>R$  10,29</t>
  </si>
  <si>
    <t>R$  0,25</t>
  </si>
  <si>
    <t>R$  10,54</t>
  </si>
  <si>
    <t>R$  13,51</t>
  </si>
  <si>
    <t>R$  11,81</t>
  </si>
  <si>
    <t>R$  12,12</t>
  </si>
  <si>
    <t>R$  3,42</t>
  </si>
  <si>
    <t>R$  15,54</t>
  </si>
  <si>
    <t>R$  19,62</t>
  </si>
  <si>
    <t>R$  0,35</t>
  </si>
  <si>
    <t>R$  19,98</t>
  </si>
  <si>
    <t>R$  5,64</t>
  </si>
  <si>
    <t>R$  25,62</t>
  </si>
  <si>
    <t>R$  5,24</t>
  </si>
  <si>
    <t>R$  1,25</t>
  </si>
  <si>
    <t>R$  6,51</t>
  </si>
  <si>
    <t>R$  1,83</t>
  </si>
  <si>
    <t>R$  23,00</t>
  </si>
  <si>
    <t>R$  2,38</t>
  </si>
  <si>
    <t>R$  25,39</t>
  </si>
  <si>
    <t>R$  7,17</t>
  </si>
  <si>
    <t>R$  32,56</t>
  </si>
  <si>
    <t>R$  60,16</t>
  </si>
  <si>
    <t>R$  68,45</t>
  </si>
  <si>
    <t>R$  19,33</t>
  </si>
  <si>
    <t>R$  87,78</t>
  </si>
  <si>
    <t>R$  20,52</t>
  </si>
  <si>
    <t>R$  52,07</t>
  </si>
  <si>
    <t>R$  2,84</t>
  </si>
  <si>
    <t>R$  54,92</t>
  </si>
  <si>
    <t>R$  15,50</t>
  </si>
  <si>
    <t>R$  70,42</t>
  </si>
  <si>
    <t>R$  5,81</t>
  </si>
  <si>
    <t>R$  0,62</t>
  </si>
  <si>
    <t>R$  6,43</t>
  </si>
  <si>
    <t>R$  1,81</t>
  </si>
  <si>
    <t>R$  8,24</t>
  </si>
  <si>
    <t>R$  1,24</t>
  </si>
  <si>
    <t>R$  6,83</t>
  </si>
  <si>
    <t>R$  8,75</t>
  </si>
  <si>
    <t>R$  6,99</t>
  </si>
  <si>
    <t>R$  9,10</t>
  </si>
  <si>
    <t>R$  2,56</t>
  </si>
  <si>
    <t>R$  11,66</t>
  </si>
  <si>
    <t>R$  12,29</t>
  </si>
  <si>
    <t>R$  13,55</t>
  </si>
  <si>
    <t>R$  3,82</t>
  </si>
  <si>
    <t>R$  17,37</t>
  </si>
  <si>
    <t>R$  9,85</t>
  </si>
  <si>
    <t>R$  11,43</t>
  </si>
  <si>
    <t>R$  3,22</t>
  </si>
  <si>
    <t>R$  14,65</t>
  </si>
  <si>
    <t>R$  39,31</t>
  </si>
  <si>
    <t>R$  17,52</t>
  </si>
  <si>
    <t>R$  56,84</t>
  </si>
  <si>
    <t>R$  72,89</t>
  </si>
  <si>
    <t>R$  23,83</t>
  </si>
  <si>
    <t>R$  10,62</t>
  </si>
  <si>
    <t>R$  34,46</t>
  </si>
  <si>
    <t>R$  9,73</t>
  </si>
  <si>
    <t>R$  44,19</t>
  </si>
  <si>
    <t>R$  7,99</t>
  </si>
  <si>
    <t>R$  0,73</t>
  </si>
  <si>
    <t>R$  8,73</t>
  </si>
  <si>
    <t>R$  2,46</t>
  </si>
  <si>
    <t>R$  11,19</t>
  </si>
  <si>
    <t>R$  6,93</t>
  </si>
  <si>
    <t>R$  1,04</t>
  </si>
  <si>
    <t>R$  7,98</t>
  </si>
  <si>
    <t>R$  2,25</t>
  </si>
  <si>
    <t>R$  10,23</t>
  </si>
  <si>
    <t>R$  15,59</t>
  </si>
  <si>
    <t>R$  18,22</t>
  </si>
  <si>
    <t>R$  5,14</t>
  </si>
  <si>
    <t>R$  23,36</t>
  </si>
  <si>
    <t>R$  4,69</t>
  </si>
  <si>
    <t>R$  5,74</t>
  </si>
  <si>
    <t>R$  1,62</t>
  </si>
  <si>
    <t>R$  7,36</t>
  </si>
  <si>
    <t>R$  7,34</t>
  </si>
  <si>
    <t>R$  1,36</t>
  </si>
  <si>
    <t>R$  8,71</t>
  </si>
  <si>
    <t>R$  11,16</t>
  </si>
  <si>
    <t>R$  18,26</t>
  </si>
  <si>
    <t>R$  5,15</t>
  </si>
  <si>
    <t>R$  23,41</t>
  </si>
  <si>
    <t>R$  6,91</t>
  </si>
  <si>
    <t>R$  10,61</t>
  </si>
  <si>
    <t>R$  27,55</t>
  </si>
  <si>
    <t>R$  1,68</t>
  </si>
  <si>
    <t>R$  29,23</t>
  </si>
  <si>
    <t>R$  8,25</t>
  </si>
  <si>
    <t>R$  37,48</t>
  </si>
  <si>
    <t>R$  33,68</t>
  </si>
  <si>
    <t>R$  41,47</t>
  </si>
  <si>
    <t>R$  11,71</t>
  </si>
  <si>
    <t>R$  53,18</t>
  </si>
  <si>
    <t>R$  38,40</t>
  </si>
  <si>
    <t>R$  3,88</t>
  </si>
  <si>
    <t>R$  42,30</t>
  </si>
  <si>
    <t>R$  11,94</t>
  </si>
  <si>
    <t>R$  54,24</t>
  </si>
  <si>
    <t>R$  10,34</t>
  </si>
  <si>
    <t>R$  3,15</t>
  </si>
  <si>
    <t>R$  13,49</t>
  </si>
  <si>
    <t>R$  17,29</t>
  </si>
  <si>
    <t>R$  16,73</t>
  </si>
  <si>
    <t>R$  20,74</t>
  </si>
  <si>
    <t>R$  5,85</t>
  </si>
  <si>
    <t>R$  26,59</t>
  </si>
  <si>
    <t>R$  7,59</t>
  </si>
  <si>
    <t>R$  1,47</t>
  </si>
  <si>
    <t>R$  9,07</t>
  </si>
  <si>
    <t xml:space="preserve">Composição
 20.2.01 </t>
  </si>
  <si>
    <t xml:space="preserve"> 18,31</t>
  </si>
  <si>
    <t xml:space="preserve"> 73,52</t>
  </si>
  <si>
    <t xml:space="preserve"> 5,04</t>
  </si>
  <si>
    <t xml:space="preserve"> 118,76</t>
  </si>
  <si>
    <t xml:space="preserve"> 8,59</t>
  </si>
  <si>
    <t xml:space="preserve"> 30,84</t>
  </si>
  <si>
    <t>R$  250,87</t>
  </si>
  <si>
    <t>R$  62,48</t>
  </si>
  <si>
    <t>R$  313,43</t>
  </si>
  <si>
    <t>R$  88,51</t>
  </si>
  <si>
    <t>R$  401,94</t>
  </si>
  <si>
    <t>R$  13,35</t>
  </si>
  <si>
    <t>R$  1,78</t>
  </si>
  <si>
    <t>R$  15,14</t>
  </si>
  <si>
    <t>R$  4,27</t>
  </si>
  <si>
    <t>R$  19,41</t>
  </si>
  <si>
    <t xml:space="preserve">Composição
 21.1.1 </t>
  </si>
  <si>
    <t xml:space="preserve"> 5,41</t>
  </si>
  <si>
    <t xml:space="preserve"> 6,32</t>
  </si>
  <si>
    <t xml:space="preserve"> 105,50</t>
  </si>
  <si>
    <t xml:space="preserve"> 15,58</t>
  </si>
  <si>
    <t xml:space="preserve"> 1,76</t>
  </si>
  <si>
    <t xml:space="preserve"> 149,80</t>
  </si>
  <si>
    <t>R$  159,05</t>
  </si>
  <si>
    <t>R$  4,60</t>
  </si>
  <si>
    <t>R$  163,66</t>
  </si>
  <si>
    <t>R$  46,21</t>
  </si>
  <si>
    <t>R$  209,87</t>
  </si>
  <si>
    <t xml:space="preserve">Composição
 21.1.2 </t>
  </si>
  <si>
    <t xml:space="preserve"> 2,01</t>
  </si>
  <si>
    <t xml:space="preserve"> 11,25</t>
  </si>
  <si>
    <t xml:space="preserve"> 525,61</t>
  </si>
  <si>
    <t xml:space="preserve"> 569,90</t>
  </si>
  <si>
    <t xml:space="preserve"> 1,21</t>
  </si>
  <si>
    <t xml:space="preserve"> 4,36</t>
  </si>
  <si>
    <t>R$  588,86</t>
  </si>
  <si>
    <t>R$  9,56</t>
  </si>
  <si>
    <t>R$  598,43</t>
  </si>
  <si>
    <t>R$  168,99</t>
  </si>
  <si>
    <t>R$  767,42</t>
  </si>
  <si>
    <t xml:space="preserve"> 1,36</t>
  </si>
  <si>
    <t xml:space="preserve"> 27,58</t>
  </si>
  <si>
    <t>R$  29,84</t>
  </si>
  <si>
    <t>R$  1,15</t>
  </si>
  <si>
    <t>R$  31,00</t>
  </si>
  <si>
    <t>R$  39,75</t>
  </si>
  <si>
    <t>R$  554,66</t>
  </si>
  <si>
    <t>R$  17,14</t>
  </si>
  <si>
    <t>R$  571,85</t>
  </si>
  <si>
    <t>R$  161,49</t>
  </si>
  <si>
    <t>R$  733,34</t>
  </si>
  <si>
    <t>R$  169,15</t>
  </si>
  <si>
    <t>R$  6,64</t>
  </si>
  <si>
    <t>R$  175,83</t>
  </si>
  <si>
    <t>R$  49,65</t>
  </si>
  <si>
    <t>R$  225,48</t>
  </si>
  <si>
    <t>R$  67,87</t>
  </si>
  <si>
    <t>R$  3,37</t>
  </si>
  <si>
    <t>R$  71,24</t>
  </si>
  <si>
    <t>R$  20,11</t>
  </si>
  <si>
    <t>R$  91,35</t>
  </si>
  <si>
    <t xml:space="preserve">Composição
 21.1.7 </t>
  </si>
  <si>
    <t>R$  604,81</t>
  </si>
  <si>
    <t>R$  621,58</t>
  </si>
  <si>
    <t>R$  175,53</t>
  </si>
  <si>
    <t>R$  797,11</t>
  </si>
  <si>
    <t>R$  93,20</t>
  </si>
  <si>
    <t>R$  0,87</t>
  </si>
  <si>
    <t>R$  94,08</t>
  </si>
  <si>
    <t>R$  26,56</t>
  </si>
  <si>
    <t>R$  120,64</t>
  </si>
  <si>
    <t>R$  213,65</t>
  </si>
  <si>
    <t>R$  5,49</t>
  </si>
  <si>
    <t>R$  219,18</t>
  </si>
  <si>
    <t>R$  61,89</t>
  </si>
  <si>
    <t>R$  281,07</t>
  </si>
  <si>
    <t>R$  21,53</t>
  </si>
  <si>
    <t>R$  3,11</t>
  </si>
  <si>
    <t>R$  24,65</t>
  </si>
  <si>
    <t>R$  6,96</t>
  </si>
  <si>
    <t>R$  31,61</t>
  </si>
  <si>
    <t>R$  22,63</t>
  </si>
  <si>
    <t>R$  7,27</t>
  </si>
  <si>
    <t>R$  33,02</t>
  </si>
  <si>
    <t>R$  10,43</t>
  </si>
  <si>
    <t>R$  10,82</t>
  </si>
  <si>
    <t>R$  14,42</t>
  </si>
  <si>
    <t>R$  4,07</t>
  </si>
  <si>
    <t>R$  18,49</t>
  </si>
  <si>
    <t>R$  14,83</t>
  </si>
  <si>
    <t>R$  4,67</t>
  </si>
  <si>
    <t>R$  19,51</t>
  </si>
  <si>
    <t>R$  5,50</t>
  </si>
  <si>
    <t>R$  25,01</t>
  </si>
  <si>
    <t>R$  5,22</t>
  </si>
  <si>
    <t>R$  6,79</t>
  </si>
  <si>
    <t>R$  1,91</t>
  </si>
  <si>
    <t>R$  7,47</t>
  </si>
  <si>
    <t>R$  2,65</t>
  </si>
  <si>
    <t>R$  10,12</t>
  </si>
  <si>
    <t>R$  2,85</t>
  </si>
  <si>
    <t>R$  12,97</t>
  </si>
  <si>
    <t>R$  13,09</t>
  </si>
  <si>
    <t>R$  5,54</t>
  </si>
  <si>
    <t>R$  18,62</t>
  </si>
  <si>
    <t>R$  5,25</t>
  </si>
  <si>
    <t>R$  23,87</t>
  </si>
  <si>
    <t>R$  6,15</t>
  </si>
  <si>
    <t>R$  1,52</t>
  </si>
  <si>
    <t>R$  7,66</t>
  </si>
  <si>
    <t>R$  2,16</t>
  </si>
  <si>
    <t>R$  9,82</t>
  </si>
  <si>
    <t>R$  213,86</t>
  </si>
  <si>
    <t>R$  54,22</t>
  </si>
  <si>
    <t>R$  268,15</t>
  </si>
  <si>
    <t>R$  75,72</t>
  </si>
  <si>
    <t>R$  343,87</t>
  </si>
  <si>
    <t>R$  9,55</t>
  </si>
  <si>
    <t>R$  0,81</t>
  </si>
  <si>
    <t>R$  10,37</t>
  </si>
  <si>
    <t>R$  2,92</t>
  </si>
  <si>
    <t>R$  13,29</t>
  </si>
  <si>
    <t>R$  0,13</t>
  </si>
  <si>
    <t>R$  10,80</t>
  </si>
  <si>
    <t>R$  3,04</t>
  </si>
  <si>
    <t>R$  13,84</t>
  </si>
  <si>
    <t>R$  23,12</t>
  </si>
  <si>
    <t>R$  0,77</t>
  </si>
  <si>
    <t>R$  23,90</t>
  </si>
  <si>
    <t>R$  6,74</t>
  </si>
  <si>
    <t>R$  30,64</t>
  </si>
  <si>
    <t>R$  4,48</t>
  </si>
  <si>
    <t>R$  0,42</t>
  </si>
  <si>
    <t>R$  4,90</t>
  </si>
  <si>
    <t>R$  1,38</t>
  </si>
  <si>
    <t>R$  6,28</t>
  </si>
  <si>
    <t>R$  32,57</t>
  </si>
  <si>
    <t>R$  0,92</t>
  </si>
  <si>
    <t>R$  33,49</t>
  </si>
  <si>
    <t>R$  42,94</t>
  </si>
  <si>
    <t>R$  44,76</t>
  </si>
  <si>
    <t>R$  1,11</t>
  </si>
  <si>
    <t>R$  45,88</t>
  </si>
  <si>
    <t>R$  12,95</t>
  </si>
  <si>
    <t>R$  58,83</t>
  </si>
  <si>
    <t>R$  2,35</t>
  </si>
  <si>
    <t>R$  0,31</t>
  </si>
  <si>
    <t>R$  0,75</t>
  </si>
  <si>
    <t>R$  3,89</t>
  </si>
  <si>
    <t>R$  4,32</t>
  </si>
  <si>
    <t>R$  1,21</t>
  </si>
  <si>
    <t>R$  5,53</t>
  </si>
  <si>
    <t>R$  5,37</t>
  </si>
  <si>
    <t>R$  0,55</t>
  </si>
  <si>
    <t>R$  13,22</t>
  </si>
  <si>
    <t>R$  3,16</t>
  </si>
  <si>
    <t>R$  16,38</t>
  </si>
  <si>
    <t>R$  4,62</t>
  </si>
  <si>
    <t>R$  21,00</t>
  </si>
  <si>
    <t>R$  20,98</t>
  </si>
  <si>
    <t>R$  4,91</t>
  </si>
  <si>
    <t>R$  25,89</t>
  </si>
  <si>
    <t>R$  7,31</t>
  </si>
  <si>
    <t>R$  33,20</t>
  </si>
  <si>
    <t>R$  28,76</t>
  </si>
  <si>
    <t>R$  35,42</t>
  </si>
  <si>
    <t>R$  10,00</t>
  </si>
  <si>
    <t>R$  45,42</t>
  </si>
  <si>
    <t>R$  19,78</t>
  </si>
  <si>
    <t>R$  6,03</t>
  </si>
  <si>
    <t>R$  25,81</t>
  </si>
  <si>
    <t>R$  7,28</t>
  </si>
  <si>
    <t>R$  33,09</t>
  </si>
  <si>
    <t>R$  4,03</t>
  </si>
  <si>
    <t>R$  19,67</t>
  </si>
  <si>
    <t>R$  5,55</t>
  </si>
  <si>
    <t>R$  21,09</t>
  </si>
  <si>
    <t>R$  27,12</t>
  </si>
  <si>
    <t>R$  7,65</t>
  </si>
  <si>
    <t>R$  34,77</t>
  </si>
  <si>
    <t>R$  22,55</t>
  </si>
  <si>
    <t>R$  5,11</t>
  </si>
  <si>
    <t>R$  27,66</t>
  </si>
  <si>
    <t>R$  7,81</t>
  </si>
  <si>
    <t>R$  35,47</t>
  </si>
  <si>
    <t>R$  25,17</t>
  </si>
  <si>
    <t>R$  30,28</t>
  </si>
  <si>
    <t>R$  8,55</t>
  </si>
  <si>
    <t>R$  38,83</t>
  </si>
  <si>
    <t>R$  9,79</t>
  </si>
  <si>
    <t>R$  0,37</t>
  </si>
  <si>
    <t>R$  10,16</t>
  </si>
  <si>
    <t>R$  2,86</t>
  </si>
  <si>
    <t>R$  13,02</t>
  </si>
  <si>
    <t>R$  10,07</t>
  </si>
  <si>
    <t>R$  0,51</t>
  </si>
  <si>
    <t>R$  10,58</t>
  </si>
  <si>
    <t>R$  2,98</t>
  </si>
  <si>
    <t>R$  13,56</t>
  </si>
  <si>
    <t>R$  11,41</t>
  </si>
  <si>
    <t>R$  0,96</t>
  </si>
  <si>
    <t>R$  12,38</t>
  </si>
  <si>
    <t>R$  15,87</t>
  </si>
  <si>
    <t>R$  53,92</t>
  </si>
  <si>
    <t>R$  55,85</t>
  </si>
  <si>
    <t>R$  15,77</t>
  </si>
  <si>
    <t>R$  71,62</t>
  </si>
  <si>
    <t>R$  52,48</t>
  </si>
  <si>
    <t>R$  53,89</t>
  </si>
  <si>
    <t>R$  15,21</t>
  </si>
  <si>
    <t>R$  69,10</t>
  </si>
  <si>
    <t>R$  65,60</t>
  </si>
  <si>
    <t>R$  2,11</t>
  </si>
  <si>
    <t>R$  67,71</t>
  </si>
  <si>
    <t>R$  19,12</t>
  </si>
  <si>
    <t>R$  86,83</t>
  </si>
  <si>
    <t>R$  70,98</t>
  </si>
  <si>
    <t>R$  4,30</t>
  </si>
  <si>
    <t>R$  75,29</t>
  </si>
  <si>
    <t>R$  21,26</t>
  </si>
  <si>
    <t>R$  96,55</t>
  </si>
  <si>
    <t>R$  2,18</t>
  </si>
  <si>
    <t>R$  9,92</t>
  </si>
  <si>
    <t>R$  4,57</t>
  </si>
  <si>
    <t>R$  1,53</t>
  </si>
  <si>
    <t>R$  6,10</t>
  </si>
  <si>
    <t>R$  1,72</t>
  </si>
  <si>
    <t>R$  7,82</t>
  </si>
  <si>
    <t>R$  4,78</t>
  </si>
  <si>
    <t>R$  6,00</t>
  </si>
  <si>
    <t>R$  1,69</t>
  </si>
  <si>
    <t>R$  7,69</t>
  </si>
  <si>
    <t>R$  9,09</t>
  </si>
  <si>
    <t>R$  1,18</t>
  </si>
  <si>
    <t>R$  10,28</t>
  </si>
  <si>
    <t>R$  2,90</t>
  </si>
  <si>
    <t>R$  13,18</t>
  </si>
  <si>
    <t>R$  13,68</t>
  </si>
  <si>
    <t>R$  15,05</t>
  </si>
  <si>
    <t>R$  4,25</t>
  </si>
  <si>
    <t>R$  19,30</t>
  </si>
  <si>
    <t>R$  23,62</t>
  </si>
  <si>
    <t>R$  25,44</t>
  </si>
  <si>
    <t>R$  7,18</t>
  </si>
  <si>
    <t>R$  32,62</t>
  </si>
  <si>
    <t>R$  432,44</t>
  </si>
  <si>
    <t>R$  26,52</t>
  </si>
  <si>
    <t>R$  458,96</t>
  </si>
  <si>
    <t>R$  129,61</t>
  </si>
  <si>
    <t>R$  588,57</t>
  </si>
  <si>
    <t>R$  494,60</t>
  </si>
  <si>
    <t>R$  31,82</t>
  </si>
  <si>
    <t>R$  526,42</t>
  </si>
  <si>
    <t>R$  148,66</t>
  </si>
  <si>
    <t>R$  675,08</t>
  </si>
  <si>
    <t>R$  116,16</t>
  </si>
  <si>
    <t>R$  2,24</t>
  </si>
  <si>
    <t>R$  118,41</t>
  </si>
  <si>
    <t>R$  33,43</t>
  </si>
  <si>
    <t>R$  151,84</t>
  </si>
  <si>
    <t>R$  59,21</t>
  </si>
  <si>
    <t>R$  1,35</t>
  </si>
  <si>
    <t>R$  60,58</t>
  </si>
  <si>
    <t>R$  17,10</t>
  </si>
  <si>
    <t>R$  77,68</t>
  </si>
  <si>
    <t>R$  16,25</t>
  </si>
  <si>
    <t>R$  2,43</t>
  </si>
  <si>
    <t>R$  18,69</t>
  </si>
  <si>
    <t>R$  5,27</t>
  </si>
  <si>
    <t>R$  23,96</t>
  </si>
  <si>
    <t>R$  5,97</t>
  </si>
  <si>
    <t>R$  5,32</t>
  </si>
  <si>
    <t>R$  6,48</t>
  </si>
  <si>
    <t>R$  8,30</t>
  </si>
  <si>
    <t>R$  383,60</t>
  </si>
  <si>
    <t>R$  99,80</t>
  </si>
  <si>
    <t>R$  483,47</t>
  </si>
  <si>
    <t>R$  136,53</t>
  </si>
  <si>
    <t>R$  620,00</t>
  </si>
  <si>
    <t>R$  70,64</t>
  </si>
  <si>
    <t>R$  15,99</t>
  </si>
  <si>
    <t>R$  86,64</t>
  </si>
  <si>
    <t>R$  24,46</t>
  </si>
  <si>
    <t>R$  111,10</t>
  </si>
  <si>
    <t>R$  56,32</t>
  </si>
  <si>
    <t>R$  3,55</t>
  </si>
  <si>
    <t>R$  59,90</t>
  </si>
  <si>
    <t>R$  16,91</t>
  </si>
  <si>
    <t>R$  76,81</t>
  </si>
  <si>
    <t>R$  114,14</t>
  </si>
  <si>
    <t>R$  21,33</t>
  </si>
  <si>
    <t>R$  135,48</t>
  </si>
  <si>
    <t>R$  38,25</t>
  </si>
  <si>
    <t>R$  173,73</t>
  </si>
  <si>
    <t>R$  152,62</t>
  </si>
  <si>
    <t>R$  5,19</t>
  </si>
  <si>
    <t>R$  157,81</t>
  </si>
  <si>
    <t>R$  44,56</t>
  </si>
  <si>
    <t>R$  202,37</t>
  </si>
  <si>
    <t>R$  172,87</t>
  </si>
  <si>
    <t>R$  178,06</t>
  </si>
  <si>
    <t>R$  50,28</t>
  </si>
  <si>
    <t>R$  228,34</t>
  </si>
  <si>
    <t>R$  492,90</t>
  </si>
  <si>
    <t>R$  3,17</t>
  </si>
  <si>
    <t>R$  496,08</t>
  </si>
  <si>
    <t>R$  140,09</t>
  </si>
  <si>
    <t>R$  636,17</t>
  </si>
  <si>
    <t>R$  12,32</t>
  </si>
  <si>
    <t>R$  4,43</t>
  </si>
  <si>
    <t>R$  16,75</t>
  </si>
  <si>
    <t>R$  21,48</t>
  </si>
  <si>
    <t>R$  891,82</t>
  </si>
  <si>
    <t>R$  37,03</t>
  </si>
  <si>
    <t>R$  928,86</t>
  </si>
  <si>
    <t>R$  262,31</t>
  </si>
  <si>
    <t>R$  1.191,17</t>
  </si>
  <si>
    <t>R$  315,06</t>
  </si>
  <si>
    <t>R$  52,67</t>
  </si>
  <si>
    <t>R$  367,73</t>
  </si>
  <si>
    <t>R$  103,84</t>
  </si>
  <si>
    <t>R$  471,57</t>
  </si>
  <si>
    <t xml:space="preserve">LOCAL: EMEB "PROFESSORA JUVENÍLIA MONTEIRO DE OLIVEIRA </t>
  </si>
  <si>
    <t>VALOR TOTAL ACUMULADO COM BDI</t>
  </si>
</sst>
</file>

<file path=xl/styles.xml><?xml version="1.0" encoding="utf-8"?>
<styleSheet xmlns="http://schemas.openxmlformats.org/spreadsheetml/2006/main">
  <numFmts count="26">
    <numFmt numFmtId="41" formatCode="_-* #,##0_-;\-* #,##0_-;_-* &quot;-&quot;_-;_-@_-"/>
    <numFmt numFmtId="44" formatCode="_-&quot;R$&quot;\ * #,##0.00_-;\-&quot;R$&quot;\ * #,##0.00_-;_-&quot;R$&quot;\ * &quot;-&quot;??_-;_-@_-"/>
    <numFmt numFmtId="43" formatCode="_-* #,##0.00_-;\-* #,##0.00_-;_-* &quot;-&quot;??_-;_-@_-"/>
    <numFmt numFmtId="164" formatCode="_-&quot;R$&quot;* #,##0.00_-;\-&quot;R$&quot;* #,##0.00_-;_-&quot;R$&quot;* &quot;-&quot;??_-;_-@_-"/>
    <numFmt numFmtId="165" formatCode="_(&quot;R$&quot;* #,##0.00_);_(&quot;R$&quot;* \(#,##0.00\);_(&quot;R$&quot;* &quot;-&quot;??_);_(@_)"/>
    <numFmt numFmtId="166" formatCode="_(* #,##0.00_);_(* \(#,##0.00\);_(* &quot;-&quot;??_);_(@_)"/>
    <numFmt numFmtId="167" formatCode="#,##0.00;[Red]#,##0.00"/>
    <numFmt numFmtId="168" formatCode="00"/>
    <numFmt numFmtId="169" formatCode="0.0"/>
    <numFmt numFmtId="170" formatCode="&quot;R$ &quot;#,##0_);\(&quot;R$ &quot;#,##0\)"/>
    <numFmt numFmtId="171" formatCode="_(* #,##0.0000_);_(* \(#,##0.0000\);_(* &quot;-&quot;??_);_(@_)"/>
    <numFmt numFmtId="172" formatCode="_(* #,##0.000_);_(* \(#,##0.000\);_(* &quot;-&quot;??_);_(@_)"/>
    <numFmt numFmtId="173" formatCode="#,##0.00&quot; &quot;;&quot; (&quot;#,##0.00&quot;)&quot;;&quot; -&quot;#&quot; &quot;;@&quot; &quot;"/>
    <numFmt numFmtId="174" formatCode="_(&quot;$&quot;* #,##0_);_(&quot;$&quot;* \(#,##0\);_(&quot;$&quot;* &quot;-&quot;_);_(@_)"/>
    <numFmt numFmtId="175" formatCode="_(&quot;$&quot;* #,##0.00_);_(&quot;$&quot;* \(#,##0.00\);_(&quot;$&quot;* &quot;-&quot;??_);_(@_)"/>
    <numFmt numFmtId="176" formatCode="#,##0.00&quot; &quot;;&quot;-&quot;#,##0.00&quot; &quot;;&quot; -&quot;#&quot; &quot;;@&quot; &quot;"/>
    <numFmt numFmtId="177" formatCode="[$R$-416]&quot; &quot;#,##0.00;[Red]&quot;-&quot;[$R$-416]&quot; &quot;#,##0.00"/>
    <numFmt numFmtId="178" formatCode="_-* #,##0.00\ _€_-;\-* #,##0.00\ _€_-;_-* &quot;-&quot;??\ _€_-;_-@_-"/>
    <numFmt numFmtId="179" formatCode="#\,##0."/>
    <numFmt numFmtId="180" formatCode="\$#."/>
    <numFmt numFmtId="181" formatCode="#.00"/>
    <numFmt numFmtId="182" formatCode="0.00_)"/>
    <numFmt numFmtId="183" formatCode="%#.00"/>
    <numFmt numFmtId="184" formatCode="#\,##0.00"/>
    <numFmt numFmtId="185" formatCode="#,"/>
    <numFmt numFmtId="186" formatCode="#,##0.0000000"/>
  </numFmts>
  <fonts count="129">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sz val="10"/>
      <name val="Arial"/>
      <family val="2"/>
    </font>
    <font>
      <sz val="10"/>
      <color indexed="9"/>
      <name val="Arial"/>
      <family val="2"/>
    </font>
    <font>
      <sz val="10"/>
      <color indexed="17"/>
      <name val="Arial"/>
      <family val="2"/>
    </font>
    <font>
      <b/>
      <sz val="10"/>
      <color indexed="34"/>
      <name val="Arial"/>
      <family val="2"/>
    </font>
    <font>
      <b/>
      <sz val="10"/>
      <color indexed="9"/>
      <name val="Arial"/>
      <family val="2"/>
    </font>
    <font>
      <sz val="10"/>
      <color indexed="34"/>
      <name val="Arial"/>
      <family val="2"/>
    </font>
    <font>
      <sz val="10"/>
      <color indexed="32"/>
      <name val="Arial"/>
      <family val="2"/>
    </font>
    <font>
      <sz val="10"/>
      <color indexed="36"/>
      <name val="Arial"/>
      <family val="2"/>
    </font>
    <font>
      <sz val="10"/>
      <color indexed="37"/>
      <name val="Arial"/>
      <family val="2"/>
    </font>
    <font>
      <b/>
      <sz val="10"/>
      <color indexed="22"/>
      <name val="Arial"/>
      <family val="2"/>
    </font>
    <font>
      <sz val="10"/>
      <color indexed="10"/>
      <name val="Arial"/>
      <family val="2"/>
    </font>
    <font>
      <i/>
      <sz val="10"/>
      <color indexed="23"/>
      <name val="Arial"/>
      <family val="2"/>
    </font>
    <font>
      <b/>
      <sz val="18"/>
      <color indexed="32"/>
      <name val="Cambria"/>
      <family val="1"/>
    </font>
    <font>
      <b/>
      <sz val="15"/>
      <color indexed="32"/>
      <name val="Arial"/>
      <family val="2"/>
    </font>
    <font>
      <b/>
      <sz val="13"/>
      <color indexed="32"/>
      <name val="Arial"/>
      <family val="2"/>
    </font>
    <font>
      <b/>
      <sz val="11"/>
      <color indexed="32"/>
      <name val="Arial"/>
      <family val="2"/>
    </font>
    <font>
      <b/>
      <sz val="10"/>
      <name val="Arial"/>
      <family val="2"/>
    </font>
    <font>
      <b/>
      <sz val="11"/>
      <name val="Arial"/>
      <family val="2"/>
    </font>
    <font>
      <sz val="10"/>
      <name val="Arial"/>
      <family val="2"/>
    </font>
    <font>
      <b/>
      <sz val="12"/>
      <name val="Arial"/>
      <family val="2"/>
    </font>
    <font>
      <b/>
      <sz val="13"/>
      <name val="Arial"/>
      <family val="2"/>
    </font>
    <font>
      <sz val="14"/>
      <name val="Arial"/>
      <family val="2"/>
    </font>
    <font>
      <b/>
      <sz val="14"/>
      <name val="Arial"/>
      <family val="2"/>
    </font>
    <font>
      <sz val="8"/>
      <name val="Arial"/>
      <family val="2"/>
    </font>
    <font>
      <sz val="12"/>
      <name val="Arial"/>
      <family val="2"/>
    </font>
    <font>
      <sz val="11"/>
      <name val="Arial"/>
      <family val="2"/>
    </font>
    <font>
      <sz val="10"/>
      <name val="Arial"/>
      <family val="2"/>
    </font>
    <font>
      <sz val="11"/>
      <color indexed="8"/>
      <name val="Arial"/>
      <family val="2"/>
    </font>
    <font>
      <sz val="10"/>
      <name val="Arial"/>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1"/>
      <color indexed="10"/>
      <name val="Calibri"/>
      <family val="2"/>
    </font>
    <font>
      <sz val="11"/>
      <color indexed="19"/>
      <name val="Calibri"/>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i/>
      <sz val="10"/>
      <color indexed="10"/>
      <name val="Arial"/>
      <family val="2"/>
    </font>
    <font>
      <i/>
      <sz val="10"/>
      <name val="Arial"/>
      <family val="2"/>
    </font>
    <font>
      <sz val="11"/>
      <color rgb="FF000000"/>
      <name val="Arial"/>
      <family val="2"/>
    </font>
    <font>
      <sz val="10"/>
      <color rgb="FFFF0000"/>
      <name val="Arial"/>
      <family val="2"/>
    </font>
    <font>
      <b/>
      <u/>
      <sz val="10"/>
      <name val="Arial"/>
      <family val="2"/>
    </font>
    <font>
      <sz val="11"/>
      <name val="Calibri"/>
      <family val="2"/>
      <scheme val="minor"/>
    </font>
    <font>
      <b/>
      <u/>
      <sz val="11"/>
      <color theme="1"/>
      <name val="Calibri"/>
      <family val="2"/>
      <scheme val="minor"/>
    </font>
    <font>
      <b/>
      <sz val="14"/>
      <name val="Arial Narrow"/>
      <family val="2"/>
    </font>
    <font>
      <b/>
      <sz val="12"/>
      <color rgb="FF000000"/>
      <name val="Arial Narrow"/>
      <family val="2"/>
    </font>
    <font>
      <b/>
      <sz val="11"/>
      <color theme="1"/>
      <name val="Arial Narrow"/>
      <family val="2"/>
    </font>
    <font>
      <sz val="12"/>
      <color theme="1"/>
      <name val="Arial Narrow"/>
      <family val="2"/>
    </font>
    <font>
      <b/>
      <sz val="12"/>
      <color theme="1"/>
      <name val="Arial Narrow"/>
      <family val="2"/>
    </font>
    <font>
      <sz val="12"/>
      <color rgb="FF000000"/>
      <name val="Arial Narrow"/>
      <family val="2"/>
    </font>
    <font>
      <b/>
      <sz val="12"/>
      <color rgb="FFFF0000"/>
      <name val="Arial Narrow"/>
      <family val="2"/>
    </font>
    <font>
      <b/>
      <u/>
      <sz val="12"/>
      <color rgb="FFFF0000"/>
      <name val="Arial Narrow"/>
      <family val="2"/>
    </font>
    <font>
      <b/>
      <sz val="12"/>
      <name val="Arial Narrow"/>
      <family val="2"/>
    </font>
    <font>
      <sz val="12"/>
      <name val="Cambria"/>
      <family val="1"/>
      <scheme val="major"/>
    </font>
    <font>
      <u/>
      <sz val="12"/>
      <name val="Cambria"/>
      <family val="1"/>
      <scheme val="major"/>
    </font>
    <font>
      <sz val="9"/>
      <color indexed="81"/>
      <name val="Segoe UI"/>
      <family val="2"/>
    </font>
    <font>
      <b/>
      <sz val="9"/>
      <color indexed="81"/>
      <name val="Segoe UI"/>
      <family val="2"/>
    </font>
    <font>
      <b/>
      <u val="singleAccounting"/>
      <sz val="10"/>
      <name val="Arial"/>
      <family val="2"/>
    </font>
    <font>
      <b/>
      <sz val="10"/>
      <color rgb="FFFF0000"/>
      <name val="Arial"/>
      <family val="2"/>
    </font>
    <font>
      <u/>
      <sz val="10"/>
      <name val="Arial"/>
      <family val="2"/>
    </font>
    <font>
      <u/>
      <sz val="12"/>
      <name val="Arial"/>
      <family val="2"/>
    </font>
    <font>
      <u/>
      <sz val="11"/>
      <name val="Calibri"/>
      <family val="2"/>
      <scheme val="minor"/>
    </font>
    <font>
      <i/>
      <u/>
      <sz val="10"/>
      <name val="Arial"/>
      <family val="2"/>
    </font>
    <font>
      <sz val="10"/>
      <color theme="1"/>
      <name val="Calibri"/>
      <family val="2"/>
      <scheme val="minor"/>
    </font>
    <font>
      <sz val="10"/>
      <name val="Calibri"/>
      <family val="2"/>
      <scheme val="minor"/>
    </font>
    <font>
      <b/>
      <sz val="9"/>
      <color indexed="81"/>
      <name val="Tahoma"/>
      <family val="2"/>
    </font>
    <font>
      <sz val="10"/>
      <name val="Courier New"/>
      <family val="3"/>
    </font>
    <font>
      <sz val="9"/>
      <color indexed="81"/>
      <name val="Tahoma"/>
      <family val="2"/>
    </font>
    <font>
      <u/>
      <sz val="10"/>
      <color rgb="FFFF0000"/>
      <name val="Arial"/>
      <family val="2"/>
    </font>
    <font>
      <sz val="10"/>
      <name val="Arial"/>
      <family val="2"/>
    </font>
    <font>
      <sz val="10"/>
      <name val="Courier New"/>
      <family val="3"/>
    </font>
    <font>
      <b/>
      <sz val="11"/>
      <color theme="1"/>
      <name val="Calibri"/>
      <family val="2"/>
      <scheme val="minor"/>
    </font>
    <font>
      <b/>
      <u val="singleAccounting"/>
      <sz val="22"/>
      <name val="Arial"/>
      <family val="2"/>
    </font>
    <font>
      <sz val="10"/>
      <color theme="0"/>
      <name val="Arial"/>
      <family val="2"/>
    </font>
    <font>
      <sz val="14"/>
      <color indexed="10"/>
      <name val="Arial"/>
      <family val="2"/>
    </font>
    <font>
      <b/>
      <sz val="10"/>
      <color theme="0"/>
      <name val="Arial"/>
      <family val="2"/>
    </font>
    <font>
      <sz val="10"/>
      <color theme="0"/>
      <name val="Courier New"/>
      <family val="3"/>
    </font>
    <font>
      <sz val="11"/>
      <color theme="0"/>
      <name val="Calibri"/>
      <family val="2"/>
      <scheme val="minor"/>
    </font>
    <font>
      <sz val="14"/>
      <color rgb="FFFF0000"/>
      <name val="Arial"/>
      <family val="2"/>
    </font>
    <font>
      <sz val="12"/>
      <name val="Arial Narrow"/>
      <family val="2"/>
    </font>
    <font>
      <sz val="12"/>
      <color theme="0"/>
      <name val="Arial Narrow"/>
      <family val="2"/>
    </font>
    <font>
      <sz val="10"/>
      <name val="Arial"/>
      <family val="2"/>
    </font>
    <font>
      <sz val="10"/>
      <color rgb="FF000000"/>
      <name val="Arial1"/>
    </font>
    <font>
      <sz val="11"/>
      <color rgb="FF000000"/>
      <name val="Calibri"/>
      <family val="2"/>
    </font>
    <font>
      <b/>
      <i/>
      <sz val="16"/>
      <color rgb="FF000000"/>
      <name val="Arial"/>
      <family val="2"/>
    </font>
    <font>
      <b/>
      <i/>
      <u/>
      <sz val="11"/>
      <color rgb="FF000000"/>
      <name val="Arial"/>
      <family val="2"/>
    </font>
    <font>
      <u/>
      <sz val="11"/>
      <color indexed="12"/>
      <name val="Arial"/>
      <family val="2"/>
    </font>
    <font>
      <sz val="10"/>
      <name val="MS Sans Serif"/>
      <family val="2"/>
    </font>
    <font>
      <sz val="10"/>
      <name val="Times New Roman"/>
      <family val="1"/>
    </font>
    <font>
      <sz val="10"/>
      <color indexed="8"/>
      <name val="MS Sans Serif"/>
      <family val="2"/>
    </font>
    <font>
      <sz val="1"/>
      <color indexed="8"/>
      <name val="Courier"/>
      <family val="3"/>
    </font>
    <font>
      <u/>
      <sz val="6"/>
      <color indexed="36"/>
      <name val="MS Sans Serif"/>
      <family val="2"/>
    </font>
    <font>
      <sz val="10"/>
      <name val="Courier"/>
      <family val="3"/>
    </font>
    <font>
      <sz val="12"/>
      <name val="Times New Roman"/>
      <family val="1"/>
    </font>
    <font>
      <b/>
      <i/>
      <sz val="16"/>
      <name val="Helv"/>
    </font>
    <font>
      <sz val="1"/>
      <color indexed="18"/>
      <name val="Courier"/>
      <family val="3"/>
    </font>
    <font>
      <b/>
      <sz val="1"/>
      <color indexed="8"/>
      <name val="Courier"/>
      <family val="3"/>
    </font>
    <font>
      <sz val="11"/>
      <name val="Arial"/>
      <family val="1"/>
    </font>
    <font>
      <b/>
      <sz val="11"/>
      <name val="Arial"/>
      <family val="1"/>
    </font>
    <font>
      <b/>
      <sz val="10"/>
      <name val="Arial"/>
      <family val="1"/>
    </font>
    <font>
      <sz val="10"/>
      <color rgb="FF000000"/>
      <name val="Arial"/>
      <family val="1"/>
    </font>
    <font>
      <sz val="10"/>
      <name val="Arial"/>
      <family val="1"/>
    </font>
    <font>
      <sz val="10"/>
      <name val="Courier New"/>
    </font>
    <font>
      <sz val="8"/>
      <name val="Arial"/>
    </font>
    <font>
      <sz val="10"/>
      <color theme="1"/>
      <name val="Arial"/>
      <family val="2"/>
    </font>
    <font>
      <b/>
      <sz val="10"/>
      <color theme="1"/>
      <name val="Arial"/>
      <family val="2"/>
    </font>
    <font>
      <sz val="12"/>
      <color theme="1"/>
      <name val="Arial"/>
      <family val="2"/>
    </font>
    <font>
      <b/>
      <sz val="12"/>
      <color theme="1"/>
      <name val="Arial"/>
      <family val="2"/>
    </font>
    <font>
      <sz val="16"/>
      <color rgb="FF000000"/>
      <name val="Arial Narrow"/>
      <family val="2"/>
    </font>
  </fonts>
  <fills count="5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26"/>
      </patternFill>
    </fill>
    <fill>
      <patternFill patternType="solid">
        <fgColor indexed="11"/>
      </patternFill>
    </fill>
    <fill>
      <patternFill patternType="solid">
        <fgColor indexed="51"/>
      </patternFill>
    </fill>
    <fill>
      <patternFill patternType="solid">
        <fgColor indexed="11"/>
        <bgColor indexed="11"/>
      </patternFill>
    </fill>
    <fill>
      <patternFill patternType="solid">
        <fgColor indexed="43"/>
      </patternFill>
    </fill>
    <fill>
      <patternFill patternType="solid">
        <fgColor indexed="34"/>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3"/>
      </patternFill>
    </fill>
    <fill>
      <patternFill patternType="solid">
        <fgColor indexed="36"/>
        <bgColor indexed="36"/>
      </patternFill>
    </fill>
    <fill>
      <patternFill patternType="solid">
        <fgColor indexed="62"/>
      </patternFill>
    </fill>
    <fill>
      <patternFill patternType="solid">
        <fgColor indexed="10"/>
      </patternFill>
    </fill>
    <fill>
      <patternFill patternType="solid">
        <fgColor indexed="57"/>
      </patternFill>
    </fill>
    <fill>
      <patternFill patternType="solid">
        <fgColor indexed="22"/>
      </patternFill>
    </fill>
    <fill>
      <patternFill patternType="solid">
        <fgColor indexed="22"/>
        <bgColor indexed="22"/>
      </patternFill>
    </fill>
    <fill>
      <patternFill patternType="solid">
        <fgColor indexed="9"/>
      </patternFill>
    </fill>
    <fill>
      <patternFill patternType="solid">
        <fgColor indexed="55"/>
      </patternFill>
    </fill>
    <fill>
      <patternFill patternType="solid">
        <fgColor indexed="56"/>
      </patternFill>
    </fill>
    <fill>
      <patternFill patternType="solid">
        <fgColor indexed="10"/>
        <bgColor indexed="10"/>
      </patternFill>
    </fill>
    <fill>
      <patternFill patternType="solid">
        <fgColor indexed="50"/>
      </patternFill>
    </fill>
    <fill>
      <patternFill patternType="solid">
        <fgColor indexed="54"/>
      </patternFill>
    </fill>
    <fill>
      <patternFill patternType="solid">
        <fgColor theme="0" tint="-0.249977111117893"/>
        <bgColor indexed="64"/>
      </patternFill>
    </fill>
    <fill>
      <patternFill patternType="solid">
        <fgColor rgb="FFDDDDDD"/>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FF00"/>
        <bgColor indexed="64"/>
      </patternFill>
    </fill>
    <fill>
      <patternFill patternType="solid">
        <fgColor rgb="FFFF0000"/>
        <bgColor indexed="64"/>
      </patternFill>
    </fill>
    <fill>
      <patternFill patternType="solid">
        <fgColor rgb="FF00B050"/>
        <bgColor indexed="64"/>
      </patternFill>
    </fill>
    <fill>
      <patternFill patternType="solid">
        <fgColor rgb="FF00B050"/>
        <bgColor rgb="FF999933"/>
      </patternFill>
    </fill>
    <fill>
      <patternFill patternType="solid">
        <fgColor theme="0" tint="-0.34998626667073579"/>
        <bgColor indexed="64"/>
      </patternFill>
    </fill>
    <fill>
      <patternFill patternType="solid">
        <fgColor rgb="FF92D050"/>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theme="6" tint="0.39997558519241921"/>
        <bgColor indexed="64"/>
      </patternFill>
    </fill>
    <fill>
      <patternFill patternType="solid">
        <fgColor rgb="FF002060"/>
        <bgColor indexed="64"/>
      </patternFill>
    </fill>
    <fill>
      <patternFill patternType="solid">
        <fgColor rgb="FF002060"/>
        <bgColor rgb="FF999933"/>
      </patternFill>
    </fill>
    <fill>
      <patternFill patternType="solid">
        <fgColor rgb="FF00B0F0"/>
        <bgColor indexed="64"/>
      </patternFill>
    </fill>
    <fill>
      <patternFill patternType="solid">
        <fgColor indexed="22"/>
        <bgColor indexed="64"/>
      </patternFill>
    </fill>
    <fill>
      <patternFill patternType="solid">
        <fgColor indexed="52"/>
        <bgColor indexed="64"/>
      </patternFill>
    </fill>
    <fill>
      <patternFill patternType="solid">
        <fgColor indexed="26"/>
        <bgColor indexed="64"/>
      </patternFill>
    </fill>
    <fill>
      <patternFill patternType="solid">
        <fgColor rgb="FFFFFFFF"/>
      </patternFill>
    </fill>
    <fill>
      <patternFill patternType="solid">
        <fgColor rgb="FFDFF0D8"/>
      </patternFill>
    </fill>
    <fill>
      <patternFill patternType="solid">
        <fgColor rgb="FFD6D6D6"/>
      </patternFill>
    </fill>
    <fill>
      <patternFill patternType="solid">
        <fgColor rgb="FFEFEFEF"/>
      </patternFill>
    </fill>
    <fill>
      <patternFill patternType="solid">
        <fgColor rgb="FFFFC000"/>
        <bgColor indexed="64"/>
      </patternFill>
    </fill>
    <fill>
      <patternFill patternType="solid">
        <fgColor rgb="FFFFFFFF"/>
        <bgColor indexed="64"/>
      </patternFill>
    </fill>
  </fills>
  <borders count="68">
    <border>
      <left/>
      <right/>
      <top/>
      <bottom/>
      <diagonal/>
    </border>
    <border>
      <left style="thin">
        <color indexed="23"/>
      </left>
      <right style="thin">
        <color indexed="23"/>
      </right>
      <top style="thin">
        <color indexed="23"/>
      </top>
      <bottom style="thin">
        <color indexed="23"/>
      </bottom>
      <diagonal/>
    </border>
    <border>
      <left style="double">
        <color indexed="0"/>
      </left>
      <right style="double">
        <color indexed="0"/>
      </right>
      <top style="double">
        <color indexed="0"/>
      </top>
      <bottom style="double">
        <color indexed="0"/>
      </bottom>
      <diagonal/>
    </border>
    <border>
      <left style="double">
        <color indexed="63"/>
      </left>
      <right style="double">
        <color indexed="63"/>
      </right>
      <top style="double">
        <color indexed="63"/>
      </top>
      <bottom style="double">
        <color indexed="63"/>
      </bottom>
      <diagonal/>
    </border>
    <border>
      <left/>
      <right/>
      <top/>
      <bottom style="double">
        <color indexed="34"/>
      </bottom>
      <diagonal/>
    </border>
    <border>
      <left/>
      <right/>
      <top/>
      <bottom style="double">
        <color indexed="10"/>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0"/>
      </left>
      <right style="thin">
        <color indexed="0"/>
      </right>
      <top style="thin">
        <color indexed="0"/>
      </top>
      <bottom style="thin">
        <color indexed="0"/>
      </bottom>
      <diagonal/>
    </border>
    <border>
      <left/>
      <right/>
      <top/>
      <bottom style="thick">
        <color indexed="3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32"/>
      </top>
      <bottom style="double">
        <color indexed="32"/>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medium">
        <color indexed="64"/>
      </top>
      <bottom/>
      <diagonal/>
    </border>
    <border>
      <left style="thin">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top style="medium">
        <color indexed="64"/>
      </top>
      <bottom style="medium">
        <color indexed="64"/>
      </bottom>
      <diagonal/>
    </border>
    <border>
      <left/>
      <right style="medium">
        <color indexed="64"/>
      </right>
      <top style="thin">
        <color indexed="64"/>
      </top>
      <bottom style="thin">
        <color indexed="64"/>
      </bottom>
      <diagonal/>
    </border>
    <border>
      <left style="thin">
        <color rgb="FFCCCCCC"/>
      </left>
      <right style="thin">
        <color rgb="FFCCCCCC"/>
      </right>
      <top style="thin">
        <color rgb="FFCCCCCC"/>
      </top>
      <bottom style="thin">
        <color rgb="FFCCCCCC"/>
      </bottom>
      <diagonal/>
    </border>
    <border>
      <left/>
      <right/>
      <top style="thick">
        <color rgb="FF000000"/>
      </top>
      <bottom/>
      <diagonal/>
    </border>
    <border>
      <left style="thin">
        <color rgb="FFCCCCCC"/>
      </left>
      <right/>
      <top style="thin">
        <color rgb="FFCCCCCC"/>
      </top>
      <bottom style="thin">
        <color rgb="FFCCCCCC"/>
      </bottom>
      <diagonal/>
    </border>
    <border>
      <left/>
      <right style="thin">
        <color rgb="FFCCCCCC"/>
      </right>
      <top style="thin">
        <color rgb="FFCCCCCC"/>
      </top>
      <bottom style="thin">
        <color rgb="FFCCCCCC"/>
      </bottom>
      <diagonal/>
    </border>
    <border>
      <left/>
      <right/>
      <top/>
      <bottom style="thin">
        <color rgb="FFCCCCCC"/>
      </bottom>
      <diagonal/>
    </border>
    <border>
      <left/>
      <right/>
      <top/>
      <bottom style="thick">
        <color rgb="FF000000"/>
      </bottom>
      <diagonal/>
    </border>
  </borders>
  <cellStyleXfs count="323">
    <xf numFmtId="0" fontId="0" fillId="0" borderId="0"/>
    <xf numFmtId="0" fontId="5" fillId="2" borderId="0" applyNumberFormat="0" applyBorder="0" applyAlignment="0" applyProtection="0"/>
    <xf numFmtId="0" fontId="5" fillId="3"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6" fillId="2" borderId="0" applyNumberFormat="0" applyFont="0" applyFill="0" applyProtection="0"/>
    <xf numFmtId="0" fontId="5" fillId="8" borderId="0" applyNumberFormat="0" applyBorder="0" applyAlignment="0" applyProtection="0"/>
    <xf numFmtId="0" fontId="6" fillId="3" borderId="0" applyNumberFormat="0" applyFont="0" applyFill="0" applyProtection="0"/>
    <xf numFmtId="0" fontId="5" fillId="9" borderId="0" applyNumberFormat="0" applyBorder="0" applyAlignment="0" applyProtection="0"/>
    <xf numFmtId="0" fontId="6" fillId="4" borderId="0" applyNumberFormat="0" applyFont="0" applyFill="0" applyProtection="0"/>
    <xf numFmtId="0" fontId="5" fillId="10" borderId="0" applyNumberFormat="0" applyBorder="0" applyAlignment="0" applyProtection="0"/>
    <xf numFmtId="0" fontId="6" fillId="2" borderId="0" applyNumberFormat="0" applyFont="0" applyFill="0" applyProtection="0"/>
    <xf numFmtId="0" fontId="5" fillId="7" borderId="0" applyNumberFormat="0" applyBorder="0" applyAlignment="0" applyProtection="0"/>
    <xf numFmtId="0" fontId="6" fillId="4" borderId="0" applyNumberFormat="0" applyFont="0" applyFill="0" applyProtection="0"/>
    <xf numFmtId="0" fontId="5" fillId="6" borderId="0" applyNumberFormat="0" applyBorder="0" applyAlignment="0" applyProtection="0"/>
    <xf numFmtId="0" fontId="6" fillId="3" borderId="0" applyNumberFormat="0" applyFont="0" applyFill="0" applyProtection="0"/>
    <xf numFmtId="0" fontId="5" fillId="10"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1" borderId="0" applyNumberFormat="0" applyBorder="0" applyAlignment="0" applyProtection="0"/>
    <xf numFmtId="0" fontId="5" fillId="5" borderId="0" applyNumberFormat="0" applyBorder="0" applyAlignment="0" applyProtection="0"/>
    <xf numFmtId="0" fontId="5" fillId="8" borderId="0" applyNumberFormat="0" applyBorder="0" applyAlignment="0" applyProtection="0"/>
    <xf numFmtId="0" fontId="5" fillId="12" borderId="0" applyNumberFormat="0" applyBorder="0" applyAlignment="0" applyProtection="0"/>
    <xf numFmtId="0" fontId="6" fillId="2" borderId="0" applyNumberFormat="0" applyFont="0" applyFill="0" applyProtection="0"/>
    <xf numFmtId="0" fontId="5" fillId="6" borderId="0" applyNumberFormat="0" applyBorder="0" applyAlignment="0" applyProtection="0"/>
    <xf numFmtId="0" fontId="6" fillId="9" borderId="0" applyNumberFormat="0" applyFont="0" applyFill="0" applyProtection="0"/>
    <xf numFmtId="0" fontId="5" fillId="9" borderId="0" applyNumberFormat="0" applyBorder="0" applyAlignment="0" applyProtection="0"/>
    <xf numFmtId="0" fontId="6" fillId="13" borderId="0" applyNumberFormat="0" applyFont="0" applyFill="0" applyProtection="0"/>
    <xf numFmtId="0" fontId="5" fillId="14" borderId="0" applyNumberFormat="0" applyBorder="0" applyAlignment="0" applyProtection="0"/>
    <xf numFmtId="0" fontId="6" fillId="2" borderId="0" applyNumberFormat="0" applyFont="0" applyFill="0" applyProtection="0"/>
    <xf numFmtId="0" fontId="5" fillId="3" borderId="0" applyNumberFormat="0" applyBorder="0" applyAlignment="0" applyProtection="0"/>
    <xf numFmtId="0" fontId="6" fillId="2" borderId="0" applyNumberFormat="0" applyFont="0" applyFill="0" applyProtection="0"/>
    <xf numFmtId="0" fontId="5" fillId="6" borderId="0" applyNumberFormat="0" applyBorder="0" applyAlignment="0" applyProtection="0"/>
    <xf numFmtId="0" fontId="6" fillId="15" borderId="0" applyNumberFormat="0" applyFont="0" applyFill="0" applyProtection="0"/>
    <xf numFmtId="0" fontId="5" fillId="10" borderId="0" applyNumberFormat="0" applyBorder="0" applyAlignment="0" applyProtection="0"/>
    <xf numFmtId="0" fontId="35" fillId="16" borderId="0" applyNumberFormat="0" applyBorder="0" applyAlignment="0" applyProtection="0"/>
    <xf numFmtId="0" fontId="35" fillId="9" borderId="0" applyNumberFormat="0" applyBorder="0" applyAlignment="0" applyProtection="0"/>
    <xf numFmtId="0" fontId="35" fillId="11" borderId="0" applyNumberFormat="0" applyBorder="0" applyAlignment="0" applyProtection="0"/>
    <xf numFmtId="0" fontId="35" fillId="17" borderId="0" applyNumberFormat="0" applyBorder="0" applyAlignment="0" applyProtection="0"/>
    <xf numFmtId="0" fontId="35" fillId="18" borderId="0" applyNumberFormat="0" applyBorder="0" applyAlignment="0" applyProtection="0"/>
    <xf numFmtId="0" fontId="35" fillId="19" borderId="0" applyNumberFormat="0" applyBorder="0" applyAlignment="0" applyProtection="0"/>
    <xf numFmtId="0" fontId="7" fillId="16" borderId="0" applyNumberFormat="0" applyFont="0" applyFill="0" applyProtection="0"/>
    <xf numFmtId="0" fontId="35" fillId="6" borderId="0" applyNumberFormat="0" applyBorder="0" applyAlignment="0" applyProtection="0"/>
    <xf numFmtId="0" fontId="7" fillId="9" borderId="0" applyNumberFormat="0" applyFont="0" applyFill="0" applyProtection="0"/>
    <xf numFmtId="0" fontId="35" fillId="20" borderId="0" applyNumberFormat="0" applyBorder="0" applyAlignment="0" applyProtection="0"/>
    <xf numFmtId="0" fontId="7" fillId="13" borderId="0" applyNumberFormat="0" applyFont="0" applyFill="0" applyProtection="0"/>
    <xf numFmtId="0" fontId="35" fillId="12" borderId="0" applyNumberFormat="0" applyBorder="0" applyAlignment="0" applyProtection="0"/>
    <xf numFmtId="0" fontId="7" fillId="21" borderId="0" applyNumberFormat="0" applyFont="0" applyFill="0" applyProtection="0"/>
    <xf numFmtId="0" fontId="35" fillId="3" borderId="0" applyNumberFormat="0" applyBorder="0" applyAlignment="0" applyProtection="0"/>
    <xf numFmtId="0" fontId="7" fillId="18" borderId="0" applyNumberFormat="0" applyFont="0" applyFill="0" applyProtection="0"/>
    <xf numFmtId="0" fontId="35" fillId="6" borderId="0" applyNumberFormat="0" applyBorder="0" applyAlignment="0" applyProtection="0"/>
    <xf numFmtId="0" fontId="7" fillId="15" borderId="0" applyNumberFormat="0" applyFont="0" applyFill="0" applyProtection="0"/>
    <xf numFmtId="0" fontId="35" fillId="9" borderId="0" applyNumberFormat="0" applyBorder="0" applyAlignment="0" applyProtection="0"/>
    <xf numFmtId="0" fontId="35" fillId="22" borderId="0" applyNumberFormat="0" applyBorder="0" applyAlignment="0" applyProtection="0"/>
    <xf numFmtId="0" fontId="35" fillId="23" borderId="0" applyNumberFormat="0" applyBorder="0" applyAlignment="0" applyProtection="0"/>
    <xf numFmtId="0" fontId="35" fillId="24" borderId="0" applyNumberFormat="0" applyBorder="0" applyAlignment="0" applyProtection="0"/>
    <xf numFmtId="0" fontId="35" fillId="17" borderId="0" applyNumberFormat="0" applyBorder="0" applyAlignment="0" applyProtection="0"/>
    <xf numFmtId="0" fontId="35" fillId="18" borderId="0" applyNumberFormat="0" applyBorder="0" applyAlignment="0" applyProtection="0"/>
    <xf numFmtId="0" fontId="35" fillId="20" borderId="0" applyNumberFormat="0" applyBorder="0" applyAlignment="0" applyProtection="0"/>
    <xf numFmtId="0" fontId="36" fillId="3" borderId="0" applyNumberFormat="0" applyBorder="0" applyAlignment="0" applyProtection="0"/>
    <xf numFmtId="0" fontId="8" fillId="4" borderId="0" applyNumberFormat="0" applyFont="0" applyFill="0" applyProtection="0"/>
    <xf numFmtId="0" fontId="40" fillId="6" borderId="0" applyNumberFormat="0" applyBorder="0" applyAlignment="0" applyProtection="0"/>
    <xf numFmtId="0" fontId="37" fillId="25" borderId="1" applyNumberFormat="0" applyAlignment="0" applyProtection="0"/>
    <xf numFmtId="0" fontId="9" fillId="26" borderId="1" applyNumberFormat="0" applyFont="0" applyProtection="0"/>
    <xf numFmtId="0" fontId="51" fillId="27" borderId="1" applyNumberFormat="0" applyAlignment="0" applyProtection="0"/>
    <xf numFmtId="0" fontId="10" fillId="28" borderId="2" applyNumberFormat="0" applyFont="0" applyProtection="0"/>
    <xf numFmtId="0" fontId="38" fillId="28" borderId="3" applyNumberFormat="0" applyAlignment="0" applyProtection="0"/>
    <xf numFmtId="0" fontId="11" fillId="0" borderId="4" applyNumberFormat="0" applyFont="0" applyAlignment="0" applyProtection="0"/>
    <xf numFmtId="0" fontId="50" fillId="0" borderId="5" applyNumberFormat="0" applyFill="0" applyAlignment="0" applyProtection="0"/>
    <xf numFmtId="0" fontId="38" fillId="28" borderId="3" applyNumberFormat="0" applyAlignment="0" applyProtection="0"/>
    <xf numFmtId="3" fontId="6" fillId="0" borderId="0" applyFont="0" applyFill="0" applyBorder="0" applyAlignment="0" applyProtection="0"/>
    <xf numFmtId="3" fontId="6" fillId="0" borderId="0" applyFont="0" applyFill="0" applyBorder="0" applyAlignment="0" applyProtection="0"/>
    <xf numFmtId="0" fontId="7" fillId="22" borderId="0" applyNumberFormat="0" applyFont="0" applyFill="0" applyProtection="0"/>
    <xf numFmtId="0" fontId="35" fillId="29" borderId="0" applyNumberFormat="0" applyBorder="0" applyAlignment="0" applyProtection="0"/>
    <xf numFmtId="0" fontId="7" fillId="30" borderId="0" applyNumberFormat="0" applyFont="0" applyFill="0" applyProtection="0"/>
    <xf numFmtId="0" fontId="35" fillId="20" borderId="0" applyNumberFormat="0" applyBorder="0" applyAlignment="0" applyProtection="0"/>
    <xf numFmtId="0" fontId="7" fillId="31" borderId="0" applyNumberFormat="0" applyFont="0" applyFill="0" applyProtection="0"/>
    <xf numFmtId="0" fontId="35" fillId="12" borderId="0" applyNumberFormat="0" applyBorder="0" applyAlignment="0" applyProtection="0"/>
    <xf numFmtId="0" fontId="7" fillId="21" borderId="0" applyNumberFormat="0" applyFont="0" applyFill="0" applyProtection="0"/>
    <xf numFmtId="0" fontId="35" fillId="32" borderId="0" applyNumberFormat="0" applyBorder="0" applyAlignment="0" applyProtection="0"/>
    <xf numFmtId="0" fontId="7" fillId="18" borderId="0" applyNumberFormat="0" applyFont="0" applyFill="0" applyProtection="0"/>
    <xf numFmtId="0" fontId="35" fillId="18" borderId="0" applyNumberFormat="0" applyBorder="0" applyAlignment="0" applyProtection="0"/>
    <xf numFmtId="0" fontId="7" fillId="23" borderId="0" applyNumberFormat="0" applyFont="0" applyFill="0" applyProtection="0"/>
    <xf numFmtId="0" fontId="35" fillId="23" borderId="0" applyNumberFormat="0" applyBorder="0" applyAlignment="0" applyProtection="0"/>
    <xf numFmtId="0" fontId="12" fillId="3" borderId="1" applyNumberFormat="0" applyFont="0" applyProtection="0"/>
    <xf numFmtId="0" fontId="44" fillId="14" borderId="1" applyNumberFormat="0" applyAlignment="0" applyProtection="0"/>
    <xf numFmtId="0" fontId="5" fillId="0" borderId="0"/>
    <xf numFmtId="0" fontId="39" fillId="0" borderId="0" applyNumberFormat="0" applyFill="0" applyBorder="0" applyAlignment="0" applyProtection="0"/>
    <xf numFmtId="0" fontId="40" fillId="4" borderId="0" applyNumberFormat="0" applyBorder="0" applyAlignment="0" applyProtection="0"/>
    <xf numFmtId="0" fontId="41" fillId="0" borderId="6" applyNumberFormat="0" applyFill="0" applyAlignment="0" applyProtection="0"/>
    <xf numFmtId="0" fontId="42" fillId="0" borderId="7" applyNumberFormat="0" applyFill="0" applyAlignment="0" applyProtection="0"/>
    <xf numFmtId="0" fontId="43" fillId="0" borderId="8" applyNumberFormat="0" applyFill="0" applyAlignment="0" applyProtection="0"/>
    <xf numFmtId="0" fontId="43" fillId="0" borderId="0" applyNumberFormat="0" applyFill="0" applyBorder="0" applyAlignment="0" applyProtection="0"/>
    <xf numFmtId="0" fontId="13" fillId="3" borderId="0" applyNumberFormat="0" applyFont="0" applyFill="0" applyProtection="0"/>
    <xf numFmtId="0" fontId="36" fillId="5" borderId="0" applyNumberFormat="0" applyBorder="0" applyAlignment="0" applyProtection="0"/>
    <xf numFmtId="0" fontId="44" fillId="7" borderId="1" applyNumberFormat="0" applyAlignment="0" applyProtection="0"/>
    <xf numFmtId="0" fontId="45" fillId="0" borderId="9" applyNumberFormat="0" applyFill="0" applyAlignment="0" applyProtection="0"/>
    <xf numFmtId="165" fontId="3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14" fillId="10" borderId="0" applyNumberFormat="0" applyFont="0" applyFill="0" applyProtection="0"/>
    <xf numFmtId="0" fontId="52" fillId="14" borderId="0" applyNumberFormat="0" applyBorder="0" applyAlignment="0" applyProtection="0"/>
    <xf numFmtId="0" fontId="46" fillId="14" borderId="0" applyNumberFormat="0" applyBorder="0" applyAlignment="0" applyProtection="0"/>
    <xf numFmtId="0" fontId="6" fillId="0" borderId="0"/>
    <xf numFmtId="0" fontId="59" fillId="0" borderId="0"/>
    <xf numFmtId="0" fontId="6" fillId="0" borderId="0"/>
    <xf numFmtId="0" fontId="6" fillId="0" borderId="0"/>
    <xf numFmtId="0" fontId="6" fillId="0" borderId="0"/>
    <xf numFmtId="0" fontId="6" fillId="10" borderId="10" applyNumberFormat="0" applyFont="0" applyBorder="0" applyProtection="0"/>
    <xf numFmtId="0" fontId="34" fillId="10" borderId="10" applyNumberFormat="0" applyFont="0" applyAlignment="0" applyProtection="0"/>
    <xf numFmtId="0" fontId="5" fillId="10" borderId="10" applyNumberFormat="0" applyFont="0" applyAlignment="0" applyProtection="0"/>
    <xf numFmtId="0" fontId="47" fillId="25" borderId="11" applyNumberFormat="0" applyAlignment="0" applyProtection="0"/>
    <xf numFmtId="9" fontId="24"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15" fillId="26" borderId="12" applyNumberFormat="0" applyFont="0" applyProtection="0"/>
    <xf numFmtId="0" fontId="47" fillId="27" borderId="11" applyNumberFormat="0" applyAlignment="0" applyProtection="0"/>
    <xf numFmtId="166" fontId="6" fillId="0" borderId="0" applyFont="0" applyFill="0" applyBorder="0" applyAlignment="0" applyProtection="0"/>
    <xf numFmtId="166" fontId="6" fillId="0" borderId="0" applyFont="0" applyFill="0" applyBorder="0" applyAlignment="0" applyProtection="0"/>
    <xf numFmtId="165" fontId="6" fillId="0" borderId="0" applyFont="0" applyFill="0" applyBorder="0" applyAlignment="0" applyProtection="0"/>
    <xf numFmtId="170" fontId="6" fillId="0" borderId="0" applyFont="0" applyFill="0" applyBorder="0" applyAlignment="0" applyProtection="0"/>
    <xf numFmtId="0" fontId="16" fillId="0" borderId="0" applyNumberFormat="0" applyFont="0" applyFill="0" applyAlignment="0" applyProtection="0"/>
    <xf numFmtId="0" fontId="50" fillId="0" borderId="0" applyNumberFormat="0" applyFill="0" applyBorder="0" applyAlignment="0" applyProtection="0"/>
    <xf numFmtId="0" fontId="17" fillId="0" borderId="0" applyNumberFormat="0" applyFont="0" applyFill="0" applyAlignment="0" applyProtection="0"/>
    <xf numFmtId="0" fontId="39" fillId="0" borderId="0" applyNumberFormat="0" applyFill="0" applyBorder="0" applyAlignment="0" applyProtection="0"/>
    <xf numFmtId="0" fontId="48" fillId="0" borderId="0" applyNumberFormat="0" applyFill="0" applyBorder="0" applyAlignment="0" applyProtection="0"/>
    <xf numFmtId="0" fontId="18" fillId="0" borderId="0" applyNumberFormat="0" applyFont="0" applyFill="0" applyAlignment="0" applyProtection="0"/>
    <xf numFmtId="0" fontId="19" fillId="0" borderId="13" applyNumberFormat="0" applyFont="0" applyAlignment="0" applyProtection="0"/>
    <xf numFmtId="0" fontId="54" fillId="0" borderId="14" applyNumberFormat="0" applyFill="0" applyAlignment="0" applyProtection="0"/>
    <xf numFmtId="0" fontId="20" fillId="0" borderId="7" applyNumberFormat="0" applyFont="0" applyAlignment="0" applyProtection="0"/>
    <xf numFmtId="0" fontId="55" fillId="0" borderId="15" applyNumberFormat="0" applyFill="0" applyAlignment="0" applyProtection="0"/>
    <xf numFmtId="0" fontId="21" fillId="0" borderId="13" applyNumberFormat="0" applyFont="0" applyAlignment="0" applyProtection="0"/>
    <xf numFmtId="0" fontId="56" fillId="0" borderId="16" applyNumberFormat="0" applyFill="0" applyAlignment="0" applyProtection="0"/>
    <xf numFmtId="0" fontId="21" fillId="0" borderId="0" applyNumberFormat="0" applyFont="0" applyFill="0" applyAlignment="0" applyProtection="0"/>
    <xf numFmtId="0" fontId="56" fillId="0" borderId="0" applyNumberFormat="0" applyFill="0" applyBorder="0" applyAlignment="0" applyProtection="0"/>
    <xf numFmtId="0" fontId="53" fillId="0" borderId="0" applyNumberFormat="0" applyFill="0" applyBorder="0" applyAlignment="0" applyProtection="0"/>
    <xf numFmtId="0" fontId="22" fillId="0" borderId="17" applyNumberFormat="0" applyFont="0" applyAlignment="0" applyProtection="0"/>
    <xf numFmtId="0" fontId="49" fillId="0" borderId="18" applyNumberFormat="0" applyFill="0" applyAlignment="0" applyProtection="0"/>
    <xf numFmtId="166" fontId="33" fillId="0" borderId="0" applyFont="0" applyFill="0" applyBorder="0" applyAlignment="0" applyProtection="0"/>
    <xf numFmtId="170" fontId="6" fillId="0" borderId="0" applyFont="0" applyFill="0" applyBorder="0" applyAlignment="0" applyProtection="0"/>
    <xf numFmtId="166" fontId="6" fillId="0" borderId="0" applyFont="0" applyFill="0" applyBorder="0" applyAlignment="0" applyProtection="0"/>
    <xf numFmtId="0" fontId="50" fillId="0" borderId="0" applyNumberFormat="0" applyFill="0" applyBorder="0" applyAlignment="0" applyProtection="0"/>
    <xf numFmtId="0" fontId="4" fillId="0" borderId="0"/>
    <xf numFmtId="0" fontId="89" fillId="0" borderId="0"/>
    <xf numFmtId="0" fontId="3"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165" fontId="6" fillId="0" borderId="0" applyFont="0" applyFill="0" applyBorder="0" applyAlignment="0" applyProtection="0"/>
    <xf numFmtId="0" fontId="6" fillId="0" borderId="0"/>
    <xf numFmtId="168" fontId="6" fillId="0" borderId="0" applyFont="0" applyFill="0" applyBorder="0" applyAlignment="0" applyProtection="0"/>
    <xf numFmtId="166" fontId="6" fillId="0" borderId="0" applyFont="0" applyFill="0" applyBorder="0" applyAlignment="0" applyProtection="0"/>
    <xf numFmtId="0" fontId="6" fillId="0" borderId="0"/>
    <xf numFmtId="0" fontId="6" fillId="0" borderId="0"/>
    <xf numFmtId="173" fontId="6" fillId="0" borderId="0" applyFont="0" applyFill="0" applyBorder="0" applyAlignment="0" applyProtection="0"/>
    <xf numFmtId="166" fontId="6" fillId="0" borderId="0" applyFont="0" applyFill="0" applyBorder="0" applyAlignment="0" applyProtection="0"/>
    <xf numFmtId="0" fontId="102" fillId="0" borderId="0" applyNumberFormat="0" applyBorder="0" applyProtection="0"/>
    <xf numFmtId="0" fontId="102" fillId="0" borderId="0" applyNumberFormat="0" applyBorder="0" applyProtection="0"/>
    <xf numFmtId="173" fontId="102" fillId="0" borderId="0" applyBorder="0" applyProtection="0"/>
    <xf numFmtId="173" fontId="102" fillId="0" borderId="0" applyBorder="0" applyProtection="0"/>
    <xf numFmtId="0" fontId="103" fillId="0" borderId="0" applyNumberFormat="0" applyBorder="0" applyProtection="0"/>
    <xf numFmtId="0" fontId="102" fillId="0" borderId="0" applyNumberFormat="0" applyBorder="0" applyProtection="0"/>
    <xf numFmtId="176" fontId="103" fillId="0" borderId="0" applyBorder="0" applyProtection="0"/>
    <xf numFmtId="0" fontId="104" fillId="0" borderId="0" applyNumberFormat="0" applyBorder="0" applyProtection="0">
      <alignment horizontal="center"/>
    </xf>
    <xf numFmtId="0" fontId="104" fillId="0" borderId="0" applyNumberFormat="0" applyBorder="0" applyProtection="0">
      <alignment horizontal="center" textRotation="90"/>
    </xf>
    <xf numFmtId="0" fontId="59" fillId="0" borderId="0"/>
    <xf numFmtId="0" fontId="105" fillId="0" borderId="0" applyNumberFormat="0" applyBorder="0" applyProtection="0"/>
    <xf numFmtId="177" fontId="105" fillId="0" borderId="0" applyBorder="0" applyProtection="0"/>
    <xf numFmtId="43" fontId="33" fillId="0" borderId="0" applyFont="0" applyFill="0" applyBorder="0" applyAlignment="0" applyProtection="0"/>
    <xf numFmtId="43" fontId="6" fillId="0" borderId="0" applyFont="0" applyFill="0" applyBorder="0" applyAlignment="0" applyProtection="0"/>
    <xf numFmtId="173" fontId="102" fillId="0" borderId="0" applyBorder="0" applyProtection="0"/>
    <xf numFmtId="0" fontId="6" fillId="0" borderId="0"/>
    <xf numFmtId="0" fontId="6" fillId="0" borderId="0"/>
    <xf numFmtId="0" fontId="6" fillId="0" borderId="0"/>
    <xf numFmtId="0" fontId="59" fillId="0" borderId="0"/>
    <xf numFmtId="43" fontId="6" fillId="0" borderId="0" applyFont="0" applyFill="0" applyBorder="0" applyAlignment="0" applyProtection="0"/>
    <xf numFmtId="43" fontId="33" fillId="0" borderId="0" applyFont="0" applyFill="0" applyBorder="0" applyAlignment="0" applyProtection="0"/>
    <xf numFmtId="0" fontId="1" fillId="0" borderId="0"/>
    <xf numFmtId="0" fontId="1" fillId="0" borderId="0"/>
    <xf numFmtId="0" fontId="6" fillId="0" borderId="0"/>
    <xf numFmtId="43" fontId="33" fillId="0" borderId="0" applyFont="0" applyFill="0" applyBorder="0" applyAlignment="0" applyProtection="0"/>
    <xf numFmtId="43" fontId="6" fillId="0" borderId="0" applyFont="0" applyFill="0" applyBorder="0" applyAlignment="0" applyProtection="0"/>
    <xf numFmtId="9" fontId="6" fillId="0" borderId="0" applyFont="0" applyFill="0" applyBorder="0" applyAlignment="0" applyProtection="0"/>
    <xf numFmtId="0" fontId="103" fillId="0" borderId="0" applyNumberFormat="0" applyBorder="0" applyProtection="0"/>
    <xf numFmtId="0" fontId="106" fillId="0" borderId="0" applyNumberFormat="0" applyFill="0" applyBorder="0" applyAlignment="0" applyProtection="0">
      <alignment vertical="top"/>
      <protection locked="0"/>
    </xf>
    <xf numFmtId="44" fontId="33" fillId="0" borderId="0" applyFont="0" applyFill="0" applyBorder="0" applyAlignment="0" applyProtection="0"/>
    <xf numFmtId="9" fontId="33" fillId="0" borderId="0" applyFont="0" applyFill="0" applyBorder="0" applyAlignment="0" applyProtection="0"/>
    <xf numFmtId="9"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33"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5" fillId="0" borderId="0"/>
    <xf numFmtId="0" fontId="1" fillId="0" borderId="0"/>
    <xf numFmtId="9" fontId="5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1" fillId="0" borderId="0"/>
    <xf numFmtId="0" fontId="1" fillId="0" borderId="0"/>
    <xf numFmtId="0" fontId="6" fillId="0" borderId="0"/>
    <xf numFmtId="0" fontId="1" fillId="0" borderId="0"/>
    <xf numFmtId="43" fontId="6" fillId="0" borderId="0" applyFont="0" applyFill="0" applyBorder="0" applyAlignment="0" applyProtection="0"/>
    <xf numFmtId="0" fontId="6"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08" fillId="0" borderId="0" applyFont="0" applyFill="0" applyBorder="0" applyAlignment="0" applyProtection="0"/>
    <xf numFmtId="0" fontId="108" fillId="0" borderId="0"/>
    <xf numFmtId="9" fontId="108" fillId="0" borderId="0" applyFont="0" applyFill="0" applyBorder="0" applyAlignment="0" applyProtection="0"/>
    <xf numFmtId="0" fontId="109" fillId="0" borderId="0"/>
    <xf numFmtId="178" fontId="6" fillId="0" borderId="0" applyFont="0" applyFill="0" applyBorder="0" applyAlignment="0" applyProtection="0"/>
    <xf numFmtId="179" fontId="110" fillId="0" borderId="0">
      <protection locked="0"/>
    </xf>
    <xf numFmtId="0" fontId="22" fillId="51" borderId="58" applyFill="0" applyBorder="0" applyAlignment="0" applyProtection="0">
      <alignment vertical="center"/>
      <protection locked="0"/>
    </xf>
    <xf numFmtId="174" fontId="6" fillId="0" borderId="0" applyFont="0" applyFill="0" applyBorder="0" applyAlignment="0" applyProtection="0"/>
    <xf numFmtId="175" fontId="6" fillId="0" borderId="0" applyFont="0" applyFill="0" applyBorder="0" applyAlignment="0" applyProtection="0"/>
    <xf numFmtId="180" fontId="110" fillId="0" borderId="0">
      <protection locked="0"/>
    </xf>
    <xf numFmtId="0" fontId="110" fillId="0" borderId="0">
      <protection locked="0"/>
    </xf>
    <xf numFmtId="0" fontId="110" fillId="0" borderId="0">
      <protection locked="0"/>
    </xf>
    <xf numFmtId="181" fontId="110" fillId="0" borderId="0">
      <protection locked="0"/>
    </xf>
    <xf numFmtId="181" fontId="110" fillId="0" borderId="0">
      <protection locked="0"/>
    </xf>
    <xf numFmtId="0" fontId="111" fillId="0" borderId="0" applyNumberFormat="0" applyFill="0" applyBorder="0" applyAlignment="0" applyProtection="0">
      <alignment vertical="top"/>
      <protection locked="0"/>
    </xf>
    <xf numFmtId="38" fontId="29" fillId="50" borderId="0" applyNumberFormat="0" applyBorder="0" applyAlignment="0" applyProtection="0"/>
    <xf numFmtId="0" fontId="110" fillId="0" borderId="0">
      <protection locked="0"/>
    </xf>
    <xf numFmtId="0" fontId="110" fillId="0" borderId="0">
      <protection locked="0"/>
    </xf>
    <xf numFmtId="0" fontId="112" fillId="0" borderId="0"/>
    <xf numFmtId="10" fontId="29" fillId="52" borderId="19" applyNumberFormat="0" applyBorder="0" applyAlignment="0" applyProtection="0"/>
    <xf numFmtId="0" fontId="6" fillId="0" borderId="0">
      <alignment horizontal="centerContinuous" vertical="justify"/>
    </xf>
    <xf numFmtId="0" fontId="113" fillId="0" borderId="0" applyAlignment="0">
      <alignment horizontal="center"/>
    </xf>
    <xf numFmtId="182" fontId="114" fillId="0" borderId="0"/>
    <xf numFmtId="0" fontId="28" fillId="0" borderId="0">
      <alignment horizontal="left" vertical="center" indent="12"/>
    </xf>
    <xf numFmtId="0" fontId="29" fillId="0" borderId="58" applyBorder="0">
      <alignment horizontal="left" vertical="center" wrapText="1" indent="2"/>
      <protection locked="0"/>
    </xf>
    <xf numFmtId="0" fontId="29" fillId="0" borderId="58" applyBorder="0">
      <alignment horizontal="left" vertical="center" wrapText="1" indent="3"/>
      <protection locked="0"/>
    </xf>
    <xf numFmtId="10" fontId="6" fillId="0" borderId="0" applyFont="0" applyFill="0" applyBorder="0" applyAlignment="0" applyProtection="0"/>
    <xf numFmtId="183" fontId="110" fillId="0" borderId="0">
      <protection locked="0"/>
    </xf>
    <xf numFmtId="183" fontId="110" fillId="0" borderId="0">
      <protection locked="0"/>
    </xf>
    <xf numFmtId="184" fontId="110" fillId="0" borderId="0">
      <protection locked="0"/>
    </xf>
    <xf numFmtId="38" fontId="107" fillId="0" borderId="0" applyFont="0" applyFill="0" applyBorder="0" applyAlignment="0" applyProtection="0"/>
    <xf numFmtId="185" fontId="115" fillId="0" borderId="0">
      <protection locked="0"/>
    </xf>
    <xf numFmtId="41" fontId="108" fillId="0" borderId="0" applyFont="0" applyFill="0" applyBorder="0" applyAlignment="0" applyProtection="0"/>
    <xf numFmtId="0" fontId="107" fillId="0" borderId="0"/>
    <xf numFmtId="0" fontId="116" fillId="0" borderId="0">
      <protection locked="0"/>
    </xf>
    <xf numFmtId="0" fontId="116" fillId="0" borderId="0">
      <protection locked="0"/>
    </xf>
    <xf numFmtId="0" fontId="1" fillId="0" borderId="0"/>
    <xf numFmtId="43" fontId="1" fillId="0" borderId="0" applyFont="0" applyFill="0" applyBorder="0" applyAlignment="0" applyProtection="0"/>
    <xf numFmtId="9" fontId="1"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75" fontId="6" fillId="0" borderId="0" applyFont="0" applyFill="0" applyBorder="0" applyAlignment="0" applyProtection="0"/>
    <xf numFmtId="0" fontId="1" fillId="0" borderId="0"/>
    <xf numFmtId="0" fontId="6" fillId="0" borderId="0"/>
    <xf numFmtId="44" fontId="59" fillId="0" borderId="0" applyFont="0" applyFill="0" applyBorder="0" applyAlignment="0" applyProtection="0"/>
    <xf numFmtId="0" fontId="6" fillId="0" borderId="0" applyFont="0" applyFill="0" applyBorder="0" applyAlignment="0" applyProtection="0"/>
    <xf numFmtId="174" fontId="6" fillId="0" borderId="0" applyFont="0" applyFill="0" applyBorder="0" applyAlignment="0" applyProtection="0"/>
    <xf numFmtId="0" fontId="6" fillId="0" borderId="0"/>
    <xf numFmtId="0" fontId="101" fillId="0" borderId="0"/>
    <xf numFmtId="9" fontId="59" fillId="0" borderId="0" applyFont="0" applyFill="0" applyBorder="0" applyAlignment="0" applyProtection="0"/>
    <xf numFmtId="0" fontId="6" fillId="2" borderId="0" applyNumberFormat="0" applyFont="0" applyFill="0" applyProtection="0"/>
    <xf numFmtId="0" fontId="6" fillId="3" borderId="0" applyNumberFormat="0" applyFont="0" applyFill="0" applyProtection="0"/>
    <xf numFmtId="0" fontId="6" fillId="4" borderId="0" applyNumberFormat="0" applyFont="0" applyFill="0" applyProtection="0"/>
    <xf numFmtId="0" fontId="6" fillId="2" borderId="0" applyNumberFormat="0" applyFont="0" applyFill="0" applyProtection="0"/>
    <xf numFmtId="0" fontId="6" fillId="4" borderId="0" applyNumberFormat="0" applyFont="0" applyFill="0" applyProtection="0"/>
    <xf numFmtId="0" fontId="6" fillId="3" borderId="0" applyNumberFormat="0" applyFont="0" applyFill="0" applyProtection="0"/>
    <xf numFmtId="0" fontId="6" fillId="2" borderId="0" applyNumberFormat="0" applyFont="0" applyFill="0" applyProtection="0"/>
    <xf numFmtId="0" fontId="6" fillId="9" borderId="0" applyNumberFormat="0" applyFont="0" applyFill="0" applyProtection="0"/>
    <xf numFmtId="0" fontId="6" fillId="13" borderId="0" applyNumberFormat="0" applyFont="0" applyFill="0" applyProtection="0"/>
    <xf numFmtId="0" fontId="6" fillId="2" borderId="0" applyNumberFormat="0" applyFont="0" applyFill="0" applyProtection="0"/>
    <xf numFmtId="0" fontId="6" fillId="2" borderId="0" applyNumberFormat="0" applyFont="0" applyFill="0" applyProtection="0"/>
    <xf numFmtId="0" fontId="6" fillId="15" borderId="0" applyNumberFormat="0" applyFont="0" applyFill="0" applyProtection="0"/>
    <xf numFmtId="0" fontId="7" fillId="16" borderId="0" applyNumberFormat="0" applyFont="0" applyFill="0" applyProtection="0"/>
    <xf numFmtId="0" fontId="7" fillId="9" borderId="0" applyNumberFormat="0" applyFont="0" applyFill="0" applyProtection="0"/>
    <xf numFmtId="0" fontId="7" fillId="13" borderId="0" applyNumberFormat="0" applyFont="0" applyFill="0" applyProtection="0"/>
    <xf numFmtId="0" fontId="7" fillId="21" borderId="0" applyNumberFormat="0" applyFont="0" applyFill="0" applyProtection="0"/>
    <xf numFmtId="0" fontId="7" fillId="18" borderId="0" applyNumberFormat="0" applyFont="0" applyFill="0" applyProtection="0"/>
    <xf numFmtId="0" fontId="7" fillId="15" borderId="0" applyNumberFormat="0" applyFont="0" applyFill="0" applyProtection="0"/>
    <xf numFmtId="0" fontId="7" fillId="22" borderId="0" applyNumberFormat="0" applyFont="0" applyFill="0" applyProtection="0"/>
    <xf numFmtId="0" fontId="7" fillId="30" borderId="0" applyNumberFormat="0" applyFont="0" applyFill="0" applyProtection="0"/>
    <xf numFmtId="0" fontId="7" fillId="31" borderId="0" applyNumberFormat="0" applyFont="0" applyFill="0" applyProtection="0"/>
    <xf numFmtId="0" fontId="7" fillId="21" borderId="0" applyNumberFormat="0" applyFont="0" applyFill="0" applyProtection="0"/>
    <xf numFmtId="0" fontId="7" fillId="18" borderId="0" applyNumberFormat="0" applyFont="0" applyFill="0" applyProtection="0"/>
    <xf numFmtId="0" fontId="7" fillId="23" borderId="0" applyNumberFormat="0" applyFont="0" applyFill="0" applyProtection="0"/>
    <xf numFmtId="0" fontId="13" fillId="3" borderId="0" applyNumberFormat="0" applyFont="0" applyFill="0" applyProtection="0"/>
    <xf numFmtId="0" fontId="9" fillId="26" borderId="1" applyNumberFormat="0" applyFont="0" applyProtection="0"/>
    <xf numFmtId="0" fontId="17" fillId="0" borderId="0" applyNumberFormat="0" applyFont="0" applyFill="0" applyAlignment="0" applyProtection="0"/>
    <xf numFmtId="0" fontId="21" fillId="0" borderId="13" applyNumberFormat="0" applyFont="0" applyAlignment="0" applyProtection="0"/>
    <xf numFmtId="0" fontId="21" fillId="0" borderId="0" applyNumberFormat="0" applyFont="0" applyFill="0" applyAlignment="0" applyProtection="0"/>
    <xf numFmtId="44" fontId="6" fillId="0" borderId="0" applyFont="0" applyFill="0" applyBorder="0" applyAlignment="0" applyProtection="0"/>
    <xf numFmtId="41" fontId="6" fillId="0" borderId="0" applyFont="0" applyFill="0" applyBorder="0" applyAlignment="0" applyProtection="0"/>
    <xf numFmtId="0" fontId="117" fillId="0" borderId="0"/>
    <xf numFmtId="0" fontId="1" fillId="0" borderId="0"/>
    <xf numFmtId="0" fontId="6" fillId="10" borderId="10" applyNumberFormat="0" applyFont="0" applyAlignment="0" applyProtection="0"/>
    <xf numFmtId="0" fontId="15" fillId="26" borderId="12" applyNumberFormat="0" applyFont="0" applyProtection="0"/>
    <xf numFmtId="0" fontId="18" fillId="0" borderId="0" applyNumberFormat="0" applyFont="0" applyFill="0" applyAlignment="0" applyProtection="0"/>
    <xf numFmtId="44" fontId="6" fillId="0" borderId="0" applyFont="0" applyFill="0" applyBorder="0" applyAlignment="0" applyProtection="0"/>
    <xf numFmtId="0" fontId="59" fillId="0" borderId="0"/>
    <xf numFmtId="0" fontId="59" fillId="0" borderId="0"/>
    <xf numFmtId="0" fontId="59" fillId="0" borderId="0"/>
    <xf numFmtId="0" fontId="6" fillId="0" borderId="0"/>
    <xf numFmtId="0" fontId="6" fillId="0" borderId="0"/>
    <xf numFmtId="0" fontId="6" fillId="0" borderId="0"/>
    <xf numFmtId="0" fontId="6" fillId="0" borderId="0"/>
  </cellStyleXfs>
  <cellXfs count="822">
    <xf numFmtId="0" fontId="0" fillId="0" borderId="0" xfId="0"/>
    <xf numFmtId="166" fontId="0" fillId="0" borderId="0" xfId="119" applyFont="1"/>
    <xf numFmtId="4" fontId="0" fillId="0" borderId="0" xfId="0" applyNumberFormat="1"/>
    <xf numFmtId="166" fontId="27" fillId="0" borderId="19" xfId="119" applyFont="1" applyBorder="1" applyAlignment="1">
      <alignment horizontal="center"/>
    </xf>
    <xf numFmtId="10" fontId="0" fillId="0" borderId="0" xfId="0" applyNumberFormat="1"/>
    <xf numFmtId="0" fontId="0" fillId="0" borderId="0" xfId="0" applyAlignment="1">
      <alignment vertical="center"/>
    </xf>
    <xf numFmtId="0" fontId="0" fillId="0" borderId="0" xfId="0" applyAlignment="1">
      <alignment horizontal="center"/>
    </xf>
    <xf numFmtId="0" fontId="0" fillId="0" borderId="0" xfId="0" applyFill="1" applyBorder="1"/>
    <xf numFmtId="0" fontId="0" fillId="0" borderId="0" xfId="0" applyAlignment="1">
      <alignment wrapText="1"/>
    </xf>
    <xf numFmtId="165" fontId="0" fillId="0" borderId="0" xfId="99" applyFont="1"/>
    <xf numFmtId="165" fontId="25" fillId="0" borderId="34" xfId="99" applyFont="1" applyBorder="1" applyAlignment="1">
      <alignment horizontal="center" vertical="justify"/>
    </xf>
    <xf numFmtId="0" fontId="25" fillId="0" borderId="39" xfId="0" applyFont="1" applyBorder="1" applyAlignment="1">
      <alignment horizontal="center" vertical="justify"/>
    </xf>
    <xf numFmtId="0" fontId="23" fillId="0" borderId="39" xfId="0" applyFont="1" applyBorder="1" applyAlignment="1">
      <alignment horizontal="center"/>
    </xf>
    <xf numFmtId="166" fontId="6" fillId="0" borderId="29" xfId="119" applyFont="1" applyFill="1" applyBorder="1" applyAlignment="1">
      <alignment horizontal="center" vertical="center"/>
    </xf>
    <xf numFmtId="0" fontId="0" fillId="0" borderId="31" xfId="0" applyBorder="1"/>
    <xf numFmtId="165" fontId="0" fillId="0" borderId="0" xfId="99" applyFont="1" applyBorder="1"/>
    <xf numFmtId="165" fontId="27" fillId="0" borderId="0" xfId="99" applyFont="1" applyBorder="1"/>
    <xf numFmtId="0" fontId="0" fillId="0" borderId="28" xfId="0" applyFill="1" applyBorder="1"/>
    <xf numFmtId="0" fontId="0" fillId="0" borderId="30" xfId="0" applyFill="1" applyBorder="1"/>
    <xf numFmtId="0" fontId="0" fillId="0" borderId="28" xfId="0" applyBorder="1"/>
    <xf numFmtId="0" fontId="0" fillId="0" borderId="0" xfId="0" applyBorder="1" applyAlignment="1">
      <alignment horizontal="center" vertical="center"/>
    </xf>
    <xf numFmtId="0" fontId="0" fillId="0" borderId="29" xfId="0" applyBorder="1" applyAlignment="1">
      <alignment horizontal="center" vertical="center"/>
    </xf>
    <xf numFmtId="0" fontId="63" fillId="0" borderId="29" xfId="0" applyFont="1" applyBorder="1" applyAlignment="1"/>
    <xf numFmtId="0" fontId="63" fillId="0" borderId="0" xfId="0" applyFont="1" applyBorder="1" applyAlignment="1">
      <alignment vertical="center"/>
    </xf>
    <xf numFmtId="0" fontId="6" fillId="0" borderId="31" xfId="0" applyFont="1" applyFill="1" applyBorder="1" applyAlignment="1">
      <alignment horizontal="center"/>
    </xf>
    <xf numFmtId="0" fontId="66" fillId="37" borderId="19" xfId="0" applyFont="1" applyFill="1" applyBorder="1" applyAlignment="1">
      <alignment horizontal="center" vertical="center"/>
    </xf>
    <xf numFmtId="10" fontId="67" fillId="35" borderId="19" xfId="115" applyNumberFormat="1" applyFont="1" applyFill="1" applyBorder="1" applyAlignment="1">
      <alignment horizontal="center"/>
    </xf>
    <xf numFmtId="0" fontId="68" fillId="35" borderId="19" xfId="0" applyFont="1" applyFill="1" applyBorder="1" applyAlignment="1">
      <alignment horizontal="center" vertical="center"/>
    </xf>
    <xf numFmtId="0" fontId="65" fillId="35" borderId="19" xfId="0" applyFont="1" applyFill="1" applyBorder="1" applyAlignment="1">
      <alignment vertical="center" wrapText="1"/>
    </xf>
    <xf numFmtId="10" fontId="70" fillId="35" borderId="19" xfId="115" applyNumberFormat="1" applyFont="1" applyFill="1" applyBorder="1" applyAlignment="1">
      <alignment horizontal="center" vertical="center"/>
    </xf>
    <xf numFmtId="0" fontId="65" fillId="35" borderId="19" xfId="0" applyFont="1" applyFill="1" applyBorder="1" applyAlignment="1">
      <alignment horizontal="right" vertical="center" wrapText="1"/>
    </xf>
    <xf numFmtId="10" fontId="68" fillId="35" borderId="19" xfId="115" applyNumberFormat="1" applyFont="1" applyFill="1" applyBorder="1" applyAlignment="1">
      <alignment horizontal="center" vertical="center"/>
    </xf>
    <xf numFmtId="0" fontId="68" fillId="35" borderId="19" xfId="0" applyFont="1" applyFill="1" applyBorder="1" applyAlignment="1">
      <alignment vertical="center" wrapText="1"/>
    </xf>
    <xf numFmtId="0" fontId="65" fillId="35" borderId="19" xfId="0" applyFont="1" applyFill="1" applyBorder="1" applyAlignment="1">
      <alignment vertical="center"/>
    </xf>
    <xf numFmtId="0" fontId="65" fillId="38" borderId="19" xfId="0" applyFont="1" applyFill="1" applyBorder="1" applyAlignment="1">
      <alignment vertical="center" wrapText="1"/>
    </xf>
    <xf numFmtId="0" fontId="69" fillId="35" borderId="19" xfId="0" applyFont="1" applyFill="1" applyBorder="1" applyAlignment="1">
      <alignment horizontal="right" vertical="center"/>
    </xf>
    <xf numFmtId="9" fontId="69" fillId="35" borderId="19" xfId="0" applyNumberFormat="1" applyFont="1" applyFill="1" applyBorder="1" applyAlignment="1">
      <alignment horizontal="right" vertical="center"/>
    </xf>
    <xf numFmtId="9" fontId="65" fillId="35" borderId="19" xfId="0" applyNumberFormat="1" applyFont="1" applyFill="1" applyBorder="1" applyAlignment="1">
      <alignment horizontal="right" vertical="center"/>
    </xf>
    <xf numFmtId="10" fontId="67" fillId="35" borderId="19" xfId="115" applyNumberFormat="1" applyFont="1" applyFill="1" applyBorder="1" applyAlignment="1">
      <alignment horizontal="center" vertical="center"/>
    </xf>
    <xf numFmtId="0" fontId="67" fillId="35" borderId="19" xfId="0" applyFont="1" applyFill="1" applyBorder="1" applyAlignment="1"/>
    <xf numFmtId="4" fontId="62" fillId="0" borderId="0" xfId="0" applyNumberFormat="1" applyFont="1" applyFill="1" applyBorder="1" applyAlignment="1">
      <alignment horizontal="center" vertical="center" wrapText="1"/>
    </xf>
    <xf numFmtId="4" fontId="62" fillId="0" borderId="0" xfId="0" applyNumberFormat="1" applyFont="1" applyFill="1" applyBorder="1" applyAlignment="1">
      <alignment horizontal="left" vertical="center" wrapText="1"/>
    </xf>
    <xf numFmtId="166" fontId="0" fillId="0" borderId="0" xfId="119" applyFont="1" applyAlignment="1">
      <alignment horizontal="center" vertical="center"/>
    </xf>
    <xf numFmtId="166" fontId="61" fillId="0" borderId="0" xfId="119" applyFont="1" applyBorder="1" applyAlignment="1">
      <alignment horizontal="center" vertical="center"/>
    </xf>
    <xf numFmtId="166" fontId="77" fillId="0" borderId="0" xfId="119" applyFont="1" applyBorder="1" applyAlignment="1">
      <alignment horizontal="center" vertical="center"/>
    </xf>
    <xf numFmtId="166" fontId="22" fillId="0" borderId="0" xfId="119" applyFont="1" applyBorder="1" applyAlignment="1">
      <alignment horizontal="center" vertical="center"/>
    </xf>
    <xf numFmtId="166" fontId="58" fillId="0" borderId="0" xfId="119" applyFont="1" applyFill="1" applyBorder="1" applyAlignment="1">
      <alignment horizontal="center" vertical="center"/>
    </xf>
    <xf numFmtId="166" fontId="22" fillId="0" borderId="0" xfId="119" applyFont="1" applyFill="1" applyBorder="1" applyAlignment="1">
      <alignment horizontal="center" vertical="center"/>
    </xf>
    <xf numFmtId="166" fontId="58" fillId="0" borderId="0" xfId="119" applyFont="1" applyBorder="1" applyAlignment="1">
      <alignment horizontal="center" vertical="center"/>
    </xf>
    <xf numFmtId="166" fontId="0" fillId="0" borderId="0" xfId="119" applyFont="1" applyFill="1" applyBorder="1" applyAlignment="1">
      <alignment horizontal="center" vertical="center"/>
    </xf>
    <xf numFmtId="166" fontId="6" fillId="0" borderId="0" xfId="119" applyFont="1" applyBorder="1" applyAlignment="1">
      <alignment horizontal="left" vertical="center"/>
    </xf>
    <xf numFmtId="166" fontId="0" fillId="0" borderId="0" xfId="119" applyFont="1" applyFill="1" applyBorder="1" applyAlignment="1">
      <alignment horizontal="left" vertical="center"/>
    </xf>
    <xf numFmtId="166" fontId="62" fillId="0" borderId="0" xfId="119" applyFont="1" applyFill="1" applyBorder="1" applyAlignment="1">
      <alignment horizontal="left" vertical="center" wrapText="1"/>
    </xf>
    <xf numFmtId="166" fontId="0" fillId="0" borderId="0" xfId="119" applyFont="1" applyBorder="1" applyAlignment="1">
      <alignment horizontal="center" vertical="center" wrapText="1"/>
    </xf>
    <xf numFmtId="0" fontId="22" fillId="0" borderId="39" xfId="0" applyFont="1" applyFill="1" applyBorder="1" applyAlignment="1">
      <alignment horizontal="center" vertical="center" wrapText="1"/>
    </xf>
    <xf numFmtId="4" fontId="62" fillId="0" borderId="28" xfId="0" applyNumberFormat="1" applyFont="1" applyFill="1" applyBorder="1" applyAlignment="1">
      <alignment vertical="center" wrapText="1"/>
    </xf>
    <xf numFmtId="166" fontId="6" fillId="0" borderId="0" xfId="119" applyFont="1" applyFill="1" applyBorder="1" applyAlignment="1">
      <alignment horizontal="left" vertical="center"/>
    </xf>
    <xf numFmtId="166" fontId="6" fillId="0" borderId="0" xfId="119" applyFont="1" applyFill="1" applyBorder="1" applyAlignment="1">
      <alignment horizontal="center" vertical="center" wrapText="1"/>
    </xf>
    <xf numFmtId="166" fontId="0" fillId="0" borderId="29" xfId="119" applyFont="1" applyBorder="1" applyAlignment="1">
      <alignment horizontal="center" vertical="center"/>
    </xf>
    <xf numFmtId="166" fontId="6" fillId="0" borderId="28" xfId="119" applyFont="1" applyBorder="1" applyAlignment="1">
      <alignment horizontal="left" vertical="center"/>
    </xf>
    <xf numFmtId="166" fontId="0" fillId="0" borderId="0" xfId="119" applyFont="1" applyFill="1" applyBorder="1" applyAlignment="1">
      <alignment horizontal="center" vertical="center" wrapText="1"/>
    </xf>
    <xf numFmtId="166" fontId="6" fillId="0" borderId="0" xfId="119" applyFont="1" applyFill="1" applyBorder="1" applyAlignment="1">
      <alignment vertical="center"/>
    </xf>
    <xf numFmtId="166" fontId="6" fillId="0" borderId="0" xfId="119" applyFont="1" applyBorder="1" applyAlignment="1">
      <alignment horizontal="right" vertical="center"/>
    </xf>
    <xf numFmtId="166" fontId="0" fillId="43" borderId="0" xfId="119" applyFont="1" applyFill="1" applyBorder="1" applyAlignment="1">
      <alignment horizontal="center" vertical="center"/>
    </xf>
    <xf numFmtId="4" fontId="81" fillId="0" borderId="0" xfId="0" applyNumberFormat="1" applyFont="1" applyFill="1" applyBorder="1" applyAlignment="1">
      <alignment vertical="center" wrapText="1"/>
    </xf>
    <xf numFmtId="166" fontId="62" fillId="43" borderId="0" xfId="119" applyFont="1" applyFill="1" applyBorder="1" applyAlignment="1">
      <alignment horizontal="left" vertical="center" wrapText="1"/>
    </xf>
    <xf numFmtId="166" fontId="6" fillId="43" borderId="0" xfId="119" applyFont="1" applyFill="1" applyBorder="1" applyAlignment="1">
      <alignment horizontal="center" vertical="center"/>
    </xf>
    <xf numFmtId="166" fontId="6" fillId="0" borderId="0" xfId="119" applyFont="1" applyFill="1" applyBorder="1" applyAlignment="1">
      <alignment horizontal="left" vertical="center" wrapText="1"/>
    </xf>
    <xf numFmtId="0" fontId="6" fillId="0" borderId="28" xfId="0" applyFont="1" applyBorder="1" applyAlignment="1">
      <alignment horizontal="left" vertical="center" wrapText="1"/>
    </xf>
    <xf numFmtId="166" fontId="6" fillId="0" borderId="0" xfId="119" applyFont="1" applyBorder="1" applyAlignment="1">
      <alignment vertical="center"/>
    </xf>
    <xf numFmtId="0" fontId="6" fillId="0" borderId="0" xfId="0" applyFont="1" applyBorder="1" applyAlignment="1">
      <alignment horizontal="center" vertical="center"/>
    </xf>
    <xf numFmtId="0" fontId="22" fillId="0" borderId="34" xfId="0" applyFont="1" applyFill="1" applyBorder="1" applyAlignment="1">
      <alignment horizontal="center" vertical="center" wrapText="1"/>
    </xf>
    <xf numFmtId="166" fontId="6" fillId="0" borderId="31" xfId="119" applyFont="1" applyBorder="1" applyAlignment="1">
      <alignment horizontal="center" vertical="center"/>
    </xf>
    <xf numFmtId="166" fontId="0" fillId="43" borderId="31" xfId="119" applyFont="1" applyFill="1" applyBorder="1" applyAlignment="1">
      <alignment horizontal="center" vertical="center"/>
    </xf>
    <xf numFmtId="166" fontId="62" fillId="0" borderId="31" xfId="119" applyFont="1" applyFill="1" applyBorder="1" applyAlignment="1">
      <alignment vertical="center"/>
    </xf>
    <xf numFmtId="166" fontId="6" fillId="0" borderId="31" xfId="119" applyFont="1" applyBorder="1" applyAlignment="1">
      <alignment horizontal="center" vertical="center" wrapText="1"/>
    </xf>
    <xf numFmtId="166" fontId="62" fillId="0" borderId="31" xfId="119" applyFont="1" applyFill="1" applyBorder="1" applyAlignment="1">
      <alignment horizontal="left" vertical="center"/>
    </xf>
    <xf numFmtId="4" fontId="62" fillId="0" borderId="28" xfId="0" applyNumberFormat="1" applyFont="1" applyFill="1" applyBorder="1" applyAlignment="1">
      <alignment horizontal="left" vertical="center" wrapText="1"/>
    </xf>
    <xf numFmtId="166" fontId="62" fillId="0" borderId="31" xfId="119" applyFont="1" applyFill="1" applyBorder="1" applyAlignment="1">
      <alignment horizontal="left" vertical="center" wrapText="1"/>
    </xf>
    <xf numFmtId="166" fontId="62" fillId="43" borderId="31" xfId="119" applyFont="1" applyFill="1" applyBorder="1" applyAlignment="1">
      <alignment horizontal="left" vertical="center" wrapText="1"/>
    </xf>
    <xf numFmtId="166" fontId="62" fillId="43" borderId="31" xfId="119" applyFont="1" applyFill="1" applyBorder="1" applyAlignment="1">
      <alignment vertical="center"/>
    </xf>
    <xf numFmtId="166" fontId="62" fillId="0" borderId="28" xfId="119" applyFont="1" applyFill="1" applyBorder="1" applyAlignment="1">
      <alignment horizontal="left" vertical="center" wrapText="1"/>
    </xf>
    <xf numFmtId="166" fontId="6" fillId="43" borderId="31" xfId="119" applyFont="1" applyFill="1" applyBorder="1" applyAlignment="1">
      <alignment horizontal="center" vertical="center"/>
    </xf>
    <xf numFmtId="166" fontId="6" fillId="0" borderId="31" xfId="119" applyFont="1" applyFill="1" applyBorder="1" applyAlignment="1">
      <alignment horizontal="center" vertical="center"/>
    </xf>
    <xf numFmtId="166" fontId="6" fillId="0" borderId="31" xfId="119" applyFont="1" applyFill="1" applyBorder="1" applyAlignment="1">
      <alignment horizontal="center" vertical="center" wrapText="1"/>
    </xf>
    <xf numFmtId="166" fontId="6" fillId="0" borderId="31" xfId="119" applyFont="1" applyBorder="1" applyAlignment="1">
      <alignment vertical="center"/>
    </xf>
    <xf numFmtId="166" fontId="0" fillId="0" borderId="31" xfId="119" applyFont="1" applyFill="1" applyBorder="1" applyAlignment="1">
      <alignment horizontal="center" vertical="center"/>
    </xf>
    <xf numFmtId="166" fontId="6" fillId="0" borderId="28" xfId="119" applyFont="1" applyFill="1" applyBorder="1" applyAlignment="1">
      <alignment horizontal="left" vertical="center" wrapText="1"/>
    </xf>
    <xf numFmtId="0" fontId="58" fillId="0" borderId="0" xfId="119" applyNumberFormat="1" applyFont="1" applyBorder="1" applyAlignment="1">
      <alignment horizontal="center" vertical="center" wrapText="1"/>
    </xf>
    <xf numFmtId="0" fontId="0" fillId="0" borderId="0" xfId="0" applyAlignment="1">
      <alignment horizontal="center" vertical="center"/>
    </xf>
    <xf numFmtId="0" fontId="16" fillId="0" borderId="0" xfId="0" applyFont="1" applyBorder="1" applyAlignment="1">
      <alignment horizontal="center" vertical="center"/>
    </xf>
    <xf numFmtId="0" fontId="0" fillId="0" borderId="0" xfId="0" applyFill="1" applyBorder="1" applyAlignment="1">
      <alignment horizontal="center" vertical="center"/>
    </xf>
    <xf numFmtId="0" fontId="57" fillId="0" borderId="0" xfId="0" applyFont="1" applyBorder="1" applyAlignment="1">
      <alignment horizontal="center" vertical="center"/>
    </xf>
    <xf numFmtId="0" fontId="16" fillId="0" borderId="0" xfId="0" applyFont="1" applyFill="1" applyBorder="1" applyAlignment="1">
      <alignment horizontal="center" vertical="center"/>
    </xf>
    <xf numFmtId="0" fontId="61" fillId="0" borderId="0" xfId="0" applyFont="1" applyBorder="1" applyAlignment="1">
      <alignment horizontal="center" vertical="center"/>
    </xf>
    <xf numFmtId="0" fontId="83" fillId="0" borderId="0" xfId="0" applyFont="1" applyFill="1" applyBorder="1" applyAlignment="1">
      <alignment horizontal="center" vertical="center" wrapText="1"/>
    </xf>
    <xf numFmtId="166" fontId="22" fillId="0" borderId="39" xfId="119" applyFont="1" applyBorder="1" applyAlignment="1">
      <alignment horizontal="center" vertical="center"/>
    </xf>
    <xf numFmtId="166" fontId="0" fillId="0" borderId="0" xfId="119" applyFont="1" applyAlignment="1">
      <alignment horizontal="left" vertical="center"/>
    </xf>
    <xf numFmtId="166" fontId="61" fillId="0" borderId="0" xfId="119" applyFont="1" applyBorder="1" applyAlignment="1">
      <alignment horizontal="left" vertical="center"/>
    </xf>
    <xf numFmtId="166" fontId="77" fillId="0" borderId="0" xfId="119" applyFont="1" applyBorder="1" applyAlignment="1">
      <alignment horizontal="left" vertical="center"/>
    </xf>
    <xf numFmtId="166" fontId="58" fillId="0" borderId="0" xfId="119" applyFont="1" applyBorder="1" applyAlignment="1">
      <alignment horizontal="left" vertical="center"/>
    </xf>
    <xf numFmtId="166" fontId="0" fillId="0" borderId="29" xfId="119" applyFont="1" applyBorder="1" applyAlignment="1">
      <alignment horizontal="left" vertical="center"/>
    </xf>
    <xf numFmtId="166" fontId="0" fillId="43" borderId="31" xfId="119" applyFont="1" applyFill="1" applyBorder="1" applyAlignment="1">
      <alignment horizontal="left" vertical="center"/>
    </xf>
    <xf numFmtId="166" fontId="0" fillId="0" borderId="28" xfId="119" applyFont="1" applyBorder="1" applyAlignment="1">
      <alignment horizontal="center" vertical="center"/>
    </xf>
    <xf numFmtId="0" fontId="79" fillId="0" borderId="0" xfId="0" applyFont="1" applyBorder="1" applyAlignment="1">
      <alignment vertical="center"/>
    </xf>
    <xf numFmtId="0" fontId="0" fillId="0" borderId="28" xfId="0" applyBorder="1" applyAlignment="1">
      <alignment vertical="center"/>
    </xf>
    <xf numFmtId="166" fontId="6" fillId="43" borderId="0" xfId="119" applyFont="1" applyFill="1" applyBorder="1" applyAlignment="1">
      <alignment horizontal="left" vertical="center"/>
    </xf>
    <xf numFmtId="166" fontId="0" fillId="0" borderId="28" xfId="119" quotePrefix="1" applyFont="1" applyBorder="1" applyAlignment="1">
      <alignment horizontal="center" vertical="center"/>
    </xf>
    <xf numFmtId="0" fontId="79" fillId="0" borderId="0" xfId="0" applyFont="1" applyAlignment="1">
      <alignment vertical="center"/>
    </xf>
    <xf numFmtId="0" fontId="22" fillId="0" borderId="28" xfId="0" applyFont="1" applyBorder="1" applyAlignment="1">
      <alignment horizontal="center" vertical="center"/>
    </xf>
    <xf numFmtId="0" fontId="0" fillId="0" borderId="0" xfId="0" applyBorder="1" applyAlignment="1">
      <alignment vertical="center"/>
    </xf>
    <xf numFmtId="166" fontId="60" fillId="0" borderId="28" xfId="119" applyFont="1" applyBorder="1" applyAlignment="1">
      <alignment horizontal="center" vertical="center"/>
    </xf>
    <xf numFmtId="0" fontId="6" fillId="0" borderId="28" xfId="0" applyFont="1" applyBorder="1" applyAlignment="1">
      <alignment vertical="center"/>
    </xf>
    <xf numFmtId="166" fontId="6" fillId="43" borderId="31" xfId="119" applyFont="1" applyFill="1" applyBorder="1" applyAlignment="1">
      <alignment horizontal="left" vertical="center"/>
    </xf>
    <xf numFmtId="166" fontId="6" fillId="0" borderId="31" xfId="119" applyFont="1" applyBorder="1" applyAlignment="1">
      <alignment horizontal="left" vertical="center"/>
    </xf>
    <xf numFmtId="166" fontId="22" fillId="0" borderId="31" xfId="119" applyFont="1" applyBorder="1" applyAlignment="1">
      <alignment horizontal="left" vertical="center"/>
    </xf>
    <xf numFmtId="166" fontId="16" fillId="0" borderId="28" xfId="119" applyFont="1" applyBorder="1" applyAlignment="1">
      <alignment horizontal="left" vertical="center"/>
    </xf>
    <xf numFmtId="0" fontId="22" fillId="0" borderId="0" xfId="0" applyFont="1" applyAlignment="1">
      <alignment vertical="center"/>
    </xf>
    <xf numFmtId="43" fontId="61" fillId="0" borderId="0" xfId="0" applyNumberFormat="1" applyFont="1" applyBorder="1" applyAlignment="1">
      <alignment horizontal="center" vertical="center"/>
    </xf>
    <xf numFmtId="166" fontId="0" fillId="0" borderId="28" xfId="119" applyFont="1" applyFill="1" applyBorder="1" applyAlignment="1">
      <alignment horizontal="center" vertical="center"/>
    </xf>
    <xf numFmtId="166" fontId="22" fillId="0" borderId="28" xfId="119" applyFont="1" applyBorder="1" applyAlignment="1">
      <alignment horizontal="center" vertical="center"/>
    </xf>
    <xf numFmtId="166" fontId="6" fillId="0" borderId="28" xfId="119" applyFont="1" applyFill="1" applyBorder="1" applyAlignment="1">
      <alignment horizontal="left" vertical="center"/>
    </xf>
    <xf numFmtId="43" fontId="61" fillId="0" borderId="0" xfId="0" applyNumberFormat="1" applyFont="1" applyFill="1" applyBorder="1" applyAlignment="1">
      <alignment horizontal="center" vertical="center"/>
    </xf>
    <xf numFmtId="0" fontId="61" fillId="0" borderId="0" xfId="0" applyFont="1" applyFill="1" applyBorder="1" applyAlignment="1">
      <alignment horizontal="center" vertical="center"/>
    </xf>
    <xf numFmtId="166" fontId="0" fillId="0" borderId="31" xfId="119" applyFont="1" applyFill="1" applyBorder="1" applyAlignment="1">
      <alignment horizontal="left" vertical="center"/>
    </xf>
    <xf numFmtId="166" fontId="0" fillId="0" borderId="28" xfId="119" quotePrefix="1" applyFont="1" applyFill="1" applyBorder="1" applyAlignment="1">
      <alignment horizontal="center" vertical="center"/>
    </xf>
    <xf numFmtId="166" fontId="6" fillId="0" borderId="31" xfId="119" applyFont="1" applyFill="1" applyBorder="1" applyAlignment="1">
      <alignment horizontal="left" vertical="center"/>
    </xf>
    <xf numFmtId="43" fontId="79" fillId="0" borderId="0" xfId="0" applyNumberFormat="1" applyFont="1" applyFill="1" applyBorder="1" applyAlignment="1">
      <alignment horizontal="center" vertical="center"/>
    </xf>
    <xf numFmtId="0" fontId="79" fillId="0" borderId="0" xfId="0" applyFont="1" applyFill="1" applyBorder="1" applyAlignment="1">
      <alignment horizontal="center" vertical="center"/>
    </xf>
    <xf numFmtId="166" fontId="58" fillId="0" borderId="28" xfId="119" applyFont="1" applyFill="1" applyBorder="1" applyAlignment="1">
      <alignment horizontal="center" vertical="center"/>
    </xf>
    <xf numFmtId="166" fontId="58" fillId="0" borderId="28" xfId="119" applyFont="1" applyBorder="1" applyAlignment="1">
      <alignment horizontal="center" vertical="center"/>
    </xf>
    <xf numFmtId="0" fontId="82" fillId="0" borderId="0" xfId="0" applyFont="1" applyFill="1" applyBorder="1" applyAlignment="1">
      <alignment horizontal="left" vertical="center"/>
    </xf>
    <xf numFmtId="166" fontId="78" fillId="0" borderId="0" xfId="119" applyFont="1" applyFill="1" applyBorder="1" applyAlignment="1">
      <alignment horizontal="left" vertical="center"/>
    </xf>
    <xf numFmtId="166" fontId="78" fillId="0" borderId="0" xfId="119" applyFont="1" applyFill="1" applyBorder="1" applyAlignment="1">
      <alignment horizontal="center" vertical="center"/>
    </xf>
    <xf numFmtId="166" fontId="22" fillId="0" borderId="28" xfId="119" applyFont="1" applyFill="1" applyBorder="1" applyAlignment="1">
      <alignment horizontal="center" vertical="center"/>
    </xf>
    <xf numFmtId="0" fontId="16" fillId="0" borderId="28" xfId="0" applyFont="1" applyBorder="1" applyAlignment="1">
      <alignment horizontal="left" vertical="center"/>
    </xf>
    <xf numFmtId="0" fontId="16" fillId="0" borderId="28" xfId="0" applyFont="1" applyBorder="1" applyAlignment="1">
      <alignment horizontal="left" vertical="center" wrapText="1"/>
    </xf>
    <xf numFmtId="0" fontId="61" fillId="0" borderId="0" xfId="0" applyNumberFormat="1" applyFont="1" applyBorder="1" applyAlignment="1">
      <alignment horizontal="center" vertical="center"/>
    </xf>
    <xf numFmtId="166" fontId="0" fillId="43" borderId="0" xfId="119" applyFont="1" applyFill="1" applyBorder="1" applyAlignment="1">
      <alignment horizontal="left" vertical="center"/>
    </xf>
    <xf numFmtId="0" fontId="16" fillId="0" borderId="0" xfId="0" applyFont="1" applyAlignment="1">
      <alignment vertical="center"/>
    </xf>
    <xf numFmtId="0" fontId="16" fillId="0" borderId="0" xfId="0" applyFont="1" applyFill="1" applyAlignment="1">
      <alignment vertical="center"/>
    </xf>
    <xf numFmtId="0" fontId="22" fillId="0" borderId="28" xfId="0" applyFont="1" applyFill="1" applyBorder="1" applyAlignment="1">
      <alignment horizontal="center" vertical="center"/>
    </xf>
    <xf numFmtId="0" fontId="0" fillId="0" borderId="0" xfId="0" applyFill="1" applyAlignment="1">
      <alignment vertical="center"/>
    </xf>
    <xf numFmtId="9" fontId="0" fillId="0" borderId="0" xfId="0" applyNumberFormat="1" applyAlignment="1">
      <alignment vertical="center"/>
    </xf>
    <xf numFmtId="0" fontId="6" fillId="0" borderId="0" xfId="0" applyFont="1" applyAlignment="1">
      <alignment vertical="center"/>
    </xf>
    <xf numFmtId="0" fontId="79" fillId="0" borderId="0" xfId="0" applyFont="1" applyFill="1" applyBorder="1" applyAlignment="1">
      <alignment vertical="center"/>
    </xf>
    <xf numFmtId="0" fontId="0" fillId="0" borderId="28" xfId="0" applyFill="1" applyBorder="1" applyAlignment="1">
      <alignment vertical="center"/>
    </xf>
    <xf numFmtId="166" fontId="0" fillId="0" borderId="32" xfId="119" applyFont="1" applyBorder="1" applyAlignment="1">
      <alignment horizontal="left" vertical="center"/>
    </xf>
    <xf numFmtId="166" fontId="0" fillId="0" borderId="30" xfId="119" applyFont="1" applyBorder="1" applyAlignment="1">
      <alignment horizontal="center" vertical="center"/>
    </xf>
    <xf numFmtId="0" fontId="79" fillId="0" borderId="29" xfId="0" applyFont="1" applyBorder="1" applyAlignment="1">
      <alignment vertical="center"/>
    </xf>
    <xf numFmtId="0" fontId="0" fillId="0" borderId="30" xfId="0" applyBorder="1" applyAlignment="1">
      <alignment vertical="center"/>
    </xf>
    <xf numFmtId="0" fontId="6" fillId="0" borderId="19" xfId="0" applyFont="1" applyBorder="1" applyAlignment="1">
      <alignment horizontal="center" vertical="center"/>
    </xf>
    <xf numFmtId="0" fontId="6" fillId="0" borderId="19" xfId="0" applyFont="1" applyFill="1" applyBorder="1" applyAlignment="1">
      <alignment horizontal="center" vertical="center"/>
    </xf>
    <xf numFmtId="0" fontId="6" fillId="0" borderId="31" xfId="0" applyFont="1" applyBorder="1" applyAlignment="1">
      <alignment horizontal="center" vertical="center"/>
    </xf>
    <xf numFmtId="0" fontId="22" fillId="41" borderId="19" xfId="0" applyFont="1" applyFill="1" applyBorder="1" applyAlignment="1">
      <alignment horizontal="left" vertical="center" wrapText="1"/>
    </xf>
    <xf numFmtId="0" fontId="22" fillId="41" borderId="19" xfId="0" applyFont="1" applyFill="1" applyBorder="1" applyAlignment="1">
      <alignment horizontal="center" vertical="center" wrapText="1"/>
    </xf>
    <xf numFmtId="1" fontId="6" fillId="0" borderId="19" xfId="0" applyNumberFormat="1" applyFont="1" applyFill="1" applyBorder="1" applyAlignment="1">
      <alignment horizontal="center" vertical="center"/>
    </xf>
    <xf numFmtId="43" fontId="0" fillId="0" borderId="0" xfId="0" applyNumberFormat="1" applyAlignment="1">
      <alignment vertical="center"/>
    </xf>
    <xf numFmtId="171" fontId="0" fillId="0" borderId="0" xfId="119" applyNumberFormat="1" applyFont="1"/>
    <xf numFmtId="166" fontId="0" fillId="45" borderId="0" xfId="119" applyFont="1" applyFill="1" applyBorder="1" applyAlignment="1">
      <alignment horizontal="center" vertical="center"/>
    </xf>
    <xf numFmtId="166" fontId="0" fillId="44" borderId="0" xfId="119" applyFont="1" applyFill="1" applyBorder="1" applyAlignment="1">
      <alignment horizontal="center" vertical="center"/>
    </xf>
    <xf numFmtId="166" fontId="6" fillId="44" borderId="28" xfId="119" applyFont="1" applyFill="1" applyBorder="1" applyAlignment="1">
      <alignment horizontal="center" vertical="center"/>
    </xf>
    <xf numFmtId="166" fontId="6" fillId="0" borderId="28" xfId="119" applyFont="1" applyFill="1" applyBorder="1" applyAlignment="1">
      <alignment horizontal="center" vertical="center"/>
    </xf>
    <xf numFmtId="0" fontId="6" fillId="0" borderId="0" xfId="0" applyFont="1" applyAlignment="1">
      <alignment horizontal="right" vertical="center" wrapText="1"/>
    </xf>
    <xf numFmtId="0" fontId="6" fillId="0" borderId="31" xfId="0" applyFont="1" applyBorder="1" applyAlignment="1">
      <alignment horizontal="right" vertical="center" wrapText="1"/>
    </xf>
    <xf numFmtId="0" fontId="16" fillId="0" borderId="31" xfId="0" applyFont="1" applyBorder="1" applyAlignment="1">
      <alignment horizontal="right" vertical="center" wrapText="1"/>
    </xf>
    <xf numFmtId="0" fontId="6" fillId="0" borderId="31" xfId="0" applyFont="1" applyBorder="1" applyAlignment="1">
      <alignment horizontal="left" vertical="center" wrapText="1"/>
    </xf>
    <xf numFmtId="4" fontId="84" fillId="0" borderId="31" xfId="0" applyNumberFormat="1" applyFont="1" applyFill="1" applyBorder="1" applyAlignment="1">
      <alignment horizontal="left" vertical="center" wrapText="1"/>
    </xf>
    <xf numFmtId="0" fontId="6" fillId="0" borderId="31" xfId="0" applyFont="1" applyFill="1" applyBorder="1" applyAlignment="1">
      <alignment horizontal="right" vertical="center" wrapText="1"/>
    </xf>
    <xf numFmtId="0" fontId="22" fillId="0" borderId="31" xfId="0" applyFont="1" applyBorder="1" applyAlignment="1">
      <alignment horizontal="right" vertical="center" wrapText="1"/>
    </xf>
    <xf numFmtId="0" fontId="57" fillId="0" borderId="31" xfId="0" applyFont="1" applyBorder="1" applyAlignment="1">
      <alignment horizontal="right" vertical="center" wrapText="1"/>
    </xf>
    <xf numFmtId="0" fontId="16" fillId="0" borderId="31" xfId="0" applyFont="1" applyFill="1" applyBorder="1" applyAlignment="1">
      <alignment horizontal="right" vertical="center" wrapText="1"/>
    </xf>
    <xf numFmtId="0" fontId="60" fillId="0" borderId="31" xfId="0" applyFont="1" applyFill="1" applyBorder="1" applyAlignment="1">
      <alignment horizontal="right" vertical="center" wrapText="1"/>
    </xf>
    <xf numFmtId="0" fontId="61" fillId="0" borderId="31" xfId="0" applyFont="1" applyFill="1" applyBorder="1" applyAlignment="1">
      <alignment horizontal="right" vertical="center" wrapText="1"/>
    </xf>
    <xf numFmtId="0" fontId="6" fillId="0" borderId="31" xfId="0" applyFont="1" applyBorder="1" applyAlignment="1">
      <alignment vertical="center" wrapText="1"/>
    </xf>
    <xf numFmtId="0" fontId="61" fillId="0" borderId="31" xfId="0" applyFont="1" applyBorder="1" applyAlignment="1">
      <alignment horizontal="right" vertical="center" wrapText="1"/>
    </xf>
    <xf numFmtId="0" fontId="6" fillId="0" borderId="32" xfId="0" applyFont="1" applyBorder="1" applyAlignment="1">
      <alignment horizontal="right" vertical="center" wrapText="1"/>
    </xf>
    <xf numFmtId="0" fontId="6" fillId="0" borderId="54" xfId="0" applyFont="1" applyBorder="1" applyAlignment="1">
      <alignment horizontal="right" vertical="center" wrapText="1"/>
    </xf>
    <xf numFmtId="0" fontId="25" fillId="0" borderId="26" xfId="0" applyFont="1" applyFill="1" applyBorder="1" applyAlignment="1">
      <alignment horizontal="center" vertical="center"/>
    </xf>
    <xf numFmtId="166" fontId="30" fillId="0" borderId="54" xfId="119" applyFont="1" applyFill="1" applyBorder="1" applyAlignment="1">
      <alignment horizontal="center" vertical="center"/>
    </xf>
    <xf numFmtId="166" fontId="30" fillId="0" borderId="26" xfId="119" applyFont="1" applyFill="1" applyBorder="1" applyAlignment="1">
      <alignment horizontal="center" vertical="center"/>
    </xf>
    <xf numFmtId="166" fontId="30" fillId="0" borderId="53" xfId="119" applyFont="1" applyFill="1" applyBorder="1" applyAlignment="1">
      <alignment horizontal="center" vertical="center"/>
    </xf>
    <xf numFmtId="166" fontId="80" fillId="0" borderId="26" xfId="119" applyFont="1" applyFill="1" applyBorder="1" applyAlignment="1">
      <alignment horizontal="center" vertical="center"/>
    </xf>
    <xf numFmtId="0" fontId="58" fillId="0" borderId="28" xfId="0" applyFont="1" applyBorder="1" applyAlignment="1">
      <alignment horizontal="center" vertical="center" wrapText="1"/>
    </xf>
    <xf numFmtId="0" fontId="58" fillId="0" borderId="28" xfId="0" applyFont="1" applyBorder="1" applyAlignment="1">
      <alignment horizontal="center" vertical="center"/>
    </xf>
    <xf numFmtId="0" fontId="31" fillId="0" borderId="0" xfId="0" applyFont="1" applyFill="1" applyAlignment="1">
      <alignment horizontal="center"/>
    </xf>
    <xf numFmtId="1" fontId="31" fillId="0" borderId="0" xfId="0" applyNumberFormat="1" applyFont="1"/>
    <xf numFmtId="0" fontId="31" fillId="0" borderId="0" xfId="0" applyFont="1" applyFill="1"/>
    <xf numFmtId="0" fontId="31" fillId="0" borderId="0" xfId="0" applyFont="1" applyFill="1" applyAlignment="1">
      <alignment horizontal="left" wrapText="1"/>
    </xf>
    <xf numFmtId="0" fontId="31" fillId="0" borderId="0" xfId="0" applyFont="1" applyFill="1" applyAlignment="1">
      <alignment horizontal="center" vertical="center"/>
    </xf>
    <xf numFmtId="166" fontId="31" fillId="0" borderId="0" xfId="119" applyFont="1" applyFill="1" applyAlignment="1">
      <alignment horizontal="center" vertical="center"/>
    </xf>
    <xf numFmtId="165" fontId="31" fillId="0" borderId="0" xfId="99" applyFont="1" applyFill="1" applyAlignment="1">
      <alignment horizontal="center" vertical="center"/>
    </xf>
    <xf numFmtId="165" fontId="31" fillId="0" borderId="0" xfId="99" applyFont="1" applyFill="1" applyAlignment="1">
      <alignment vertical="center"/>
    </xf>
    <xf numFmtId="0" fontId="31" fillId="0" borderId="0" xfId="0" applyFont="1"/>
    <xf numFmtId="1" fontId="31" fillId="0" borderId="0" xfId="0" applyNumberFormat="1" applyFont="1" applyBorder="1"/>
    <xf numFmtId="0" fontId="31" fillId="0" borderId="0" xfId="0" applyFont="1" applyFill="1" applyBorder="1"/>
    <xf numFmtId="0" fontId="31" fillId="0" borderId="0" xfId="0" applyFont="1" applyFill="1" applyBorder="1" applyAlignment="1">
      <alignment horizontal="left" wrapText="1"/>
    </xf>
    <xf numFmtId="0" fontId="31" fillId="0" borderId="0" xfId="0" applyFont="1" applyFill="1" applyBorder="1" applyAlignment="1">
      <alignment horizontal="center" vertical="center"/>
    </xf>
    <xf numFmtId="166" fontId="31" fillId="0" borderId="0" xfId="119" applyFont="1" applyFill="1" applyBorder="1" applyAlignment="1">
      <alignment horizontal="center" vertical="center"/>
    </xf>
    <xf numFmtId="165" fontId="31" fillId="0" borderId="0" xfId="99" applyFont="1" applyFill="1" applyBorder="1" applyAlignment="1">
      <alignment horizontal="center" vertical="center"/>
    </xf>
    <xf numFmtId="0" fontId="31" fillId="37" borderId="0" xfId="0" applyFont="1" applyFill="1"/>
    <xf numFmtId="0" fontId="31" fillId="40" borderId="0" xfId="0" applyFont="1" applyFill="1"/>
    <xf numFmtId="44" fontId="31" fillId="0" borderId="0" xfId="0" applyNumberFormat="1" applyFont="1"/>
    <xf numFmtId="0" fontId="31" fillId="0" borderId="0" xfId="0" applyFont="1" applyFill="1" applyBorder="1" applyAlignment="1">
      <alignment vertical="center" wrapText="1"/>
    </xf>
    <xf numFmtId="165" fontId="31" fillId="0" borderId="0" xfId="0" applyNumberFormat="1" applyFont="1"/>
    <xf numFmtId="1" fontId="22" fillId="41" borderId="24" xfId="0" applyNumberFormat="1" applyFont="1" applyFill="1" applyBorder="1" applyAlignment="1">
      <alignment horizontal="center" vertical="center" wrapText="1"/>
    </xf>
    <xf numFmtId="0" fontId="0" fillId="0" borderId="0" xfId="0" applyBorder="1"/>
    <xf numFmtId="166" fontId="0" fillId="0" borderId="0" xfId="119" applyFont="1" applyAlignment="1">
      <alignment horizontal="right" vertical="center"/>
    </xf>
    <xf numFmtId="166" fontId="22" fillId="0" borderId="36" xfId="119" applyFont="1" applyBorder="1" applyAlignment="1">
      <alignment horizontal="right" vertical="center"/>
    </xf>
    <xf numFmtId="166" fontId="30" fillId="0" borderId="26" xfId="119" applyFont="1" applyFill="1" applyBorder="1" applyAlignment="1">
      <alignment horizontal="right" vertical="center"/>
    </xf>
    <xf numFmtId="166" fontId="22" fillId="0" borderId="0" xfId="119" applyFont="1" applyFill="1" applyBorder="1" applyAlignment="1">
      <alignment horizontal="right" vertical="center"/>
    </xf>
    <xf numFmtId="166" fontId="0" fillId="0" borderId="0" xfId="119" applyFont="1" applyBorder="1" applyAlignment="1">
      <alignment horizontal="right" vertical="center"/>
    </xf>
    <xf numFmtId="166" fontId="77" fillId="0" borderId="0" xfId="119" applyFont="1" applyBorder="1" applyAlignment="1">
      <alignment horizontal="right" vertical="center"/>
    </xf>
    <xf numFmtId="166" fontId="61" fillId="0" borderId="0" xfId="119" applyFont="1" applyBorder="1" applyAlignment="1">
      <alignment horizontal="right" vertical="center"/>
    </xf>
    <xf numFmtId="166" fontId="62" fillId="0" borderId="0" xfId="119" applyFont="1" applyFill="1" applyBorder="1" applyAlignment="1">
      <alignment horizontal="right" vertical="center" wrapText="1"/>
    </xf>
    <xf numFmtId="166" fontId="22" fillId="0" borderId="0" xfId="119" applyFont="1" applyBorder="1" applyAlignment="1">
      <alignment horizontal="right" vertical="center"/>
    </xf>
    <xf numFmtId="166" fontId="6" fillId="0" borderId="0" xfId="119" applyFont="1" applyFill="1" applyBorder="1" applyAlignment="1">
      <alignment horizontal="right" vertical="center"/>
    </xf>
    <xf numFmtId="166" fontId="58" fillId="0" borderId="0" xfId="119" applyFont="1" applyBorder="1" applyAlignment="1">
      <alignment horizontal="right" vertical="center"/>
    </xf>
    <xf numFmtId="166" fontId="58" fillId="0" borderId="0" xfId="119" applyFont="1" applyFill="1" applyBorder="1" applyAlignment="1">
      <alignment horizontal="right" vertical="center"/>
    </xf>
    <xf numFmtId="166" fontId="0" fillId="0" borderId="29" xfId="119" applyFont="1" applyBorder="1" applyAlignment="1">
      <alignment horizontal="right" vertical="center"/>
    </xf>
    <xf numFmtId="165" fontId="31" fillId="0" borderId="0" xfId="99" applyFont="1" applyFill="1" applyBorder="1" applyAlignment="1">
      <alignment vertical="center"/>
    </xf>
    <xf numFmtId="0" fontId="63" fillId="0" borderId="29" xfId="0" applyFont="1" applyBorder="1" applyAlignment="1">
      <alignment horizontal="center" wrapText="1"/>
    </xf>
    <xf numFmtId="0" fontId="0" fillId="0" borderId="53" xfId="0" applyBorder="1"/>
    <xf numFmtId="165" fontId="27" fillId="0" borderId="56" xfId="99" applyFont="1" applyBorder="1" applyAlignment="1">
      <alignment horizontal="center"/>
    </xf>
    <xf numFmtId="165" fontId="27" fillId="0" borderId="27" xfId="99" applyFont="1" applyBorder="1" applyAlignment="1">
      <alignment horizontal="center"/>
    </xf>
    <xf numFmtId="165" fontId="27" fillId="0" borderId="51" xfId="99" applyFont="1" applyBorder="1" applyAlignment="1"/>
    <xf numFmtId="165" fontId="27" fillId="0" borderId="57" xfId="99" applyFont="1" applyBorder="1" applyAlignment="1"/>
    <xf numFmtId="165" fontId="28" fillId="0" borderId="39" xfId="99" applyFont="1" applyBorder="1" applyAlignment="1"/>
    <xf numFmtId="10" fontId="28" fillId="0" borderId="35" xfId="114" applyNumberFormat="1" applyFont="1" applyBorder="1" applyAlignment="1">
      <alignment horizontal="center"/>
    </xf>
    <xf numFmtId="165" fontId="28" fillId="0" borderId="39" xfId="99" applyFont="1" applyFill="1" applyBorder="1" applyAlignment="1">
      <alignment horizontal="center"/>
    </xf>
    <xf numFmtId="10" fontId="28" fillId="37" borderId="39" xfId="114" applyNumberFormat="1" applyFont="1" applyFill="1" applyBorder="1" applyAlignment="1">
      <alignment horizontal="center"/>
    </xf>
    <xf numFmtId="165" fontId="27" fillId="0" borderId="39" xfId="99" applyFont="1" applyBorder="1" applyAlignment="1">
      <alignment horizontal="center"/>
    </xf>
    <xf numFmtId="165" fontId="28" fillId="0" borderId="54" xfId="99" applyFont="1" applyBorder="1" applyAlignment="1">
      <alignment horizontal="center"/>
    </xf>
    <xf numFmtId="10" fontId="28" fillId="37" borderId="34" xfId="114" applyNumberFormat="1" applyFont="1" applyFill="1" applyBorder="1" applyAlignment="1">
      <alignment horizontal="center"/>
    </xf>
    <xf numFmtId="165" fontId="27" fillId="0" borderId="34" xfId="99" applyFont="1" applyBorder="1" applyAlignment="1">
      <alignment horizontal="center"/>
    </xf>
    <xf numFmtId="10" fontId="27" fillId="33" borderId="19" xfId="0" applyNumberFormat="1" applyFont="1" applyFill="1" applyBorder="1" applyAlignment="1">
      <alignment horizontal="center"/>
    </xf>
    <xf numFmtId="0" fontId="6" fillId="0" borderId="32" xfId="0" applyFont="1" applyFill="1" applyBorder="1" applyAlignment="1">
      <alignment horizontal="center"/>
    </xf>
    <xf numFmtId="1" fontId="0" fillId="0" borderId="0" xfId="0" applyNumberFormat="1" applyFill="1" applyBorder="1" applyAlignment="1">
      <alignment horizontal="center" vertical="center"/>
    </xf>
    <xf numFmtId="166" fontId="0" fillId="0" borderId="31" xfId="119" applyFont="1" applyBorder="1" applyAlignment="1">
      <alignment horizontal="left" vertical="center"/>
    </xf>
    <xf numFmtId="166" fontId="0" fillId="0" borderId="0" xfId="119" applyFont="1" applyBorder="1" applyAlignment="1">
      <alignment horizontal="left" vertical="center"/>
    </xf>
    <xf numFmtId="166" fontId="0" fillId="46" borderId="0" xfId="119" applyFont="1" applyFill="1" applyBorder="1" applyAlignment="1">
      <alignment horizontal="center" vertical="center"/>
    </xf>
    <xf numFmtId="0" fontId="0" fillId="0" borderId="31" xfId="0" applyBorder="1" applyAlignment="1">
      <alignment vertical="center"/>
    </xf>
    <xf numFmtId="166" fontId="6" fillId="0" borderId="31" xfId="119" applyFont="1" applyBorder="1" applyAlignment="1">
      <alignment horizontal="left" vertical="center" wrapText="1"/>
    </xf>
    <xf numFmtId="166" fontId="60" fillId="0" borderId="0" xfId="119" applyFont="1" applyFill="1" applyBorder="1" applyAlignment="1">
      <alignment horizontal="center" vertical="center" wrapText="1"/>
    </xf>
    <xf numFmtId="0" fontId="60" fillId="0" borderId="0" xfId="0" applyFont="1" applyFill="1" applyBorder="1" applyAlignment="1">
      <alignment horizontal="center" vertical="center"/>
    </xf>
    <xf numFmtId="0" fontId="60" fillId="0" borderId="28" xfId="0" applyFont="1" applyBorder="1" applyAlignment="1">
      <alignment vertical="center"/>
    </xf>
    <xf numFmtId="166" fontId="88" fillId="0" borderId="0" xfId="0" applyNumberFormat="1" applyFont="1" applyBorder="1" applyAlignment="1">
      <alignment vertical="center"/>
    </xf>
    <xf numFmtId="0" fontId="22" fillId="0" borderId="0" xfId="0" applyFont="1"/>
    <xf numFmtId="0" fontId="22" fillId="0" borderId="0" xfId="0" applyFont="1" applyBorder="1"/>
    <xf numFmtId="0" fontId="6" fillId="0" borderId="0" xfId="0" applyFont="1" applyBorder="1" applyAlignment="1">
      <alignment vertical="center"/>
    </xf>
    <xf numFmtId="0" fontId="90" fillId="0" borderId="0" xfId="105" applyFont="1" applyFill="1" applyBorder="1" applyAlignment="1">
      <alignment horizontal="center"/>
    </xf>
    <xf numFmtId="0" fontId="90" fillId="0" borderId="0" xfId="105" applyFont="1" applyFill="1" applyBorder="1" applyAlignment="1">
      <alignment horizontal="left" wrapText="1"/>
    </xf>
    <xf numFmtId="0" fontId="90" fillId="0" borderId="0" xfId="105" applyFont="1" applyFill="1" applyBorder="1" applyAlignment="1">
      <alignment horizontal="left"/>
    </xf>
    <xf numFmtId="0" fontId="0" fillId="0" borderId="0" xfId="0" applyFill="1" applyBorder="1" applyAlignment="1">
      <alignment wrapText="1"/>
    </xf>
    <xf numFmtId="0" fontId="0" fillId="0" borderId="0" xfId="0" applyFill="1" applyBorder="1" applyAlignment="1">
      <alignment horizontal="center"/>
    </xf>
    <xf numFmtId="0" fontId="90" fillId="0" borderId="0" xfId="105" quotePrefix="1" applyFont="1" applyFill="1" applyBorder="1" applyAlignment="1">
      <alignment horizontal="left" wrapText="1"/>
    </xf>
    <xf numFmtId="0" fontId="90" fillId="0" borderId="0" xfId="105" quotePrefix="1" applyFont="1" applyFill="1" applyBorder="1" applyAlignment="1">
      <alignment horizontal="center"/>
    </xf>
    <xf numFmtId="166" fontId="60" fillId="0" borderId="31" xfId="119" applyFont="1" applyFill="1" applyBorder="1" applyAlignment="1">
      <alignment horizontal="center" vertical="center" wrapText="1"/>
    </xf>
    <xf numFmtId="166" fontId="60" fillId="0" borderId="31" xfId="119" applyFont="1" applyFill="1" applyBorder="1" applyAlignment="1">
      <alignment horizontal="left" vertical="center"/>
    </xf>
    <xf numFmtId="166" fontId="60" fillId="0" borderId="0" xfId="119" applyFont="1" applyFill="1" applyBorder="1" applyAlignment="1">
      <alignment horizontal="center" vertical="center"/>
    </xf>
    <xf numFmtId="0" fontId="31" fillId="0" borderId="0" xfId="0" applyFont="1" applyBorder="1"/>
    <xf numFmtId="43" fontId="6" fillId="0" borderId="0" xfId="119" applyNumberFormat="1" applyFont="1" applyBorder="1" applyAlignment="1">
      <alignment horizontal="right" vertical="center"/>
    </xf>
    <xf numFmtId="0" fontId="88" fillId="0" borderId="0" xfId="0" applyFont="1" applyBorder="1" applyAlignment="1">
      <alignment vertical="center"/>
    </xf>
    <xf numFmtId="166" fontId="60" fillId="0" borderId="28" xfId="119" applyFont="1" applyFill="1" applyBorder="1" applyAlignment="1">
      <alignment horizontal="center" vertical="center"/>
    </xf>
    <xf numFmtId="166" fontId="60" fillId="0" borderId="0" xfId="119" applyFont="1" applyFill="1" applyBorder="1" applyAlignment="1">
      <alignment horizontal="right" vertical="center"/>
    </xf>
    <xf numFmtId="0" fontId="88" fillId="0" borderId="0" xfId="0" applyFont="1" applyFill="1" applyBorder="1" applyAlignment="1">
      <alignment vertical="center"/>
    </xf>
    <xf numFmtId="0" fontId="6" fillId="0" borderId="28" xfId="0" applyFont="1" applyFill="1" applyBorder="1" applyAlignment="1">
      <alignment vertical="center"/>
    </xf>
    <xf numFmtId="0" fontId="6" fillId="0" borderId="0" xfId="0" applyFont="1" applyBorder="1" applyAlignment="1">
      <alignment horizontal="right" vertical="center"/>
    </xf>
    <xf numFmtId="10" fontId="27" fillId="42" borderId="19" xfId="0" applyNumberFormat="1" applyFont="1" applyFill="1" applyBorder="1" applyAlignment="1">
      <alignment horizontal="center"/>
    </xf>
    <xf numFmtId="10" fontId="27" fillId="42" borderId="21" xfId="0" applyNumberFormat="1" applyFont="1" applyFill="1" applyBorder="1" applyAlignment="1">
      <alignment horizontal="center"/>
    </xf>
    <xf numFmtId="0" fontId="0" fillId="0" borderId="0" xfId="0" applyBorder="1" applyAlignment="1">
      <alignment horizontal="center"/>
    </xf>
    <xf numFmtId="0" fontId="22" fillId="41" borderId="19" xfId="147" applyFont="1" applyFill="1" applyBorder="1" applyAlignment="1">
      <alignment horizontal="left" vertical="center" wrapText="1"/>
    </xf>
    <xf numFmtId="0" fontId="22" fillId="41" borderId="19" xfId="147" applyFont="1" applyFill="1" applyBorder="1" applyAlignment="1">
      <alignment horizontal="center" vertical="center" wrapText="1"/>
    </xf>
    <xf numFmtId="0" fontId="6" fillId="0" borderId="19" xfId="147" applyFont="1" applyBorder="1" applyAlignment="1">
      <alignment horizontal="center" vertical="center"/>
    </xf>
    <xf numFmtId="1" fontId="93" fillId="47" borderId="0" xfId="0" applyNumberFormat="1" applyFont="1" applyFill="1" applyBorder="1" applyAlignment="1">
      <alignment horizontal="center" vertical="center"/>
    </xf>
    <xf numFmtId="0" fontId="93" fillId="47" borderId="0" xfId="0" applyFont="1" applyFill="1" applyBorder="1" applyAlignment="1">
      <alignment horizontal="center" vertical="center"/>
    </xf>
    <xf numFmtId="0" fontId="93" fillId="0" borderId="0" xfId="0" applyFont="1" applyBorder="1" applyAlignment="1">
      <alignment horizontal="center" vertical="center"/>
    </xf>
    <xf numFmtId="0" fontId="0" fillId="47" borderId="0" xfId="0" applyFill="1" applyBorder="1" applyAlignment="1">
      <alignment horizontal="center" vertical="center"/>
    </xf>
    <xf numFmtId="166" fontId="6" fillId="46" borderId="0" xfId="119" applyFont="1" applyFill="1" applyBorder="1" applyAlignment="1">
      <alignment horizontal="center" vertical="center"/>
    </xf>
    <xf numFmtId="0" fontId="16" fillId="47" borderId="0" xfId="0" applyFont="1" applyFill="1" applyBorder="1" applyAlignment="1">
      <alignment horizontal="center" vertical="center"/>
    </xf>
    <xf numFmtId="172" fontId="0" fillId="43" borderId="0" xfId="119" applyNumberFormat="1" applyFont="1" applyFill="1" applyBorder="1" applyAlignment="1">
      <alignment horizontal="center" vertical="center"/>
    </xf>
    <xf numFmtId="172" fontId="0" fillId="0" borderId="0" xfId="119" applyNumberFormat="1" applyFont="1" applyBorder="1" applyAlignment="1">
      <alignment horizontal="right" vertical="center"/>
    </xf>
    <xf numFmtId="166" fontId="6" fillId="43" borderId="0" xfId="119" applyFont="1" applyFill="1" applyBorder="1" applyAlignment="1">
      <alignment horizontal="center" vertical="center" wrapText="1"/>
    </xf>
    <xf numFmtId="0" fontId="96" fillId="47" borderId="20" xfId="0" applyFont="1" applyFill="1" applyBorder="1" applyAlignment="1">
      <alignment horizontal="center"/>
    </xf>
    <xf numFmtId="0" fontId="6" fillId="0" borderId="31" xfId="0" applyFont="1" applyBorder="1" applyAlignment="1">
      <alignment horizontal="center" vertical="center" wrapText="1"/>
    </xf>
    <xf numFmtId="166" fontId="22" fillId="0" borderId="31" xfId="119" applyFont="1" applyFill="1" applyBorder="1" applyAlignment="1">
      <alignment horizontal="center" vertical="center" wrapText="1"/>
    </xf>
    <xf numFmtId="1" fontId="97" fillId="47" borderId="19" xfId="0" applyNumberFormat="1" applyFont="1" applyFill="1" applyBorder="1" applyAlignment="1">
      <alignment horizontal="center" vertical="center" wrapText="1"/>
    </xf>
    <xf numFmtId="0" fontId="91" fillId="0" borderId="0" xfId="0" applyFont="1" applyFill="1" applyBorder="1" applyAlignment="1">
      <alignment horizontal="left" wrapText="1"/>
    </xf>
    <xf numFmtId="0" fontId="93" fillId="0" borderId="31" xfId="0" applyFont="1" applyFill="1" applyBorder="1" applyAlignment="1">
      <alignment horizontal="right" vertical="center" wrapText="1"/>
    </xf>
    <xf numFmtId="0" fontId="93" fillId="0" borderId="0" xfId="0" applyFont="1" applyFill="1" applyBorder="1" applyAlignment="1">
      <alignment horizontal="center" vertical="center"/>
    </xf>
    <xf numFmtId="166" fontId="22" fillId="39" borderId="0" xfId="119" applyFont="1" applyFill="1" applyBorder="1" applyAlignment="1">
      <alignment horizontal="right" vertical="center"/>
    </xf>
    <xf numFmtId="0" fontId="22" fillId="0" borderId="0" xfId="0" applyFont="1" applyFill="1" applyBorder="1" applyAlignment="1">
      <alignment vertical="center"/>
    </xf>
    <xf numFmtId="0" fontId="6" fillId="0" borderId="0" xfId="0" applyFont="1" applyFill="1" applyBorder="1"/>
    <xf numFmtId="1" fontId="93" fillId="0" borderId="0" xfId="0" applyNumberFormat="1" applyFont="1" applyFill="1" applyBorder="1" applyAlignment="1">
      <alignment horizontal="center" vertical="center"/>
    </xf>
    <xf numFmtId="0" fontId="0" fillId="0" borderId="0" xfId="0" applyFill="1" applyAlignment="1">
      <alignment horizontal="center" vertical="center"/>
    </xf>
    <xf numFmtId="0" fontId="6" fillId="0" borderId="0" xfId="0" applyFont="1" applyFill="1" applyBorder="1" applyAlignment="1">
      <alignment horizontal="center" vertical="center"/>
    </xf>
    <xf numFmtId="166" fontId="6" fillId="0" borderId="0" xfId="119" applyFont="1" applyFill="1" applyBorder="1" applyAlignment="1">
      <alignment horizontal="center" vertical="center"/>
    </xf>
    <xf numFmtId="0" fontId="23" fillId="0" borderId="26" xfId="105" applyFont="1" applyFill="1" applyBorder="1" applyAlignment="1">
      <alignment horizontal="left" vertical="center" readingOrder="1"/>
    </xf>
    <xf numFmtId="0" fontId="23" fillId="0" borderId="0" xfId="105" applyFont="1" applyFill="1" applyBorder="1" applyAlignment="1">
      <alignment horizontal="left" vertical="center" readingOrder="1"/>
    </xf>
    <xf numFmtId="166" fontId="22" fillId="43" borderId="31" xfId="119" applyFont="1" applyFill="1" applyBorder="1" applyAlignment="1">
      <alignment horizontal="left" vertical="center" wrapText="1"/>
    </xf>
    <xf numFmtId="172" fontId="22" fillId="43" borderId="0" xfId="119" applyNumberFormat="1" applyFont="1" applyFill="1" applyBorder="1" applyAlignment="1">
      <alignment horizontal="left" vertical="center" wrapText="1"/>
    </xf>
    <xf numFmtId="0" fontId="94" fillId="0" borderId="31" xfId="0" applyFont="1" applyFill="1" applyBorder="1" applyAlignment="1">
      <alignment horizontal="right" vertical="center" wrapText="1"/>
    </xf>
    <xf numFmtId="0" fontId="94" fillId="0" borderId="0" xfId="0" applyFont="1" applyFill="1" applyBorder="1" applyAlignment="1">
      <alignment horizontal="center" vertical="center"/>
    </xf>
    <xf numFmtId="0" fontId="98" fillId="47" borderId="0" xfId="0" applyFont="1" applyFill="1" applyBorder="1" applyAlignment="1">
      <alignment horizontal="center" vertical="center"/>
    </xf>
    <xf numFmtId="166" fontId="6" fillId="43" borderId="31" xfId="119" applyFont="1" applyFill="1" applyBorder="1" applyAlignment="1">
      <alignment horizontal="center" vertical="center" wrapText="1"/>
    </xf>
    <xf numFmtId="166" fontId="6" fillId="43" borderId="31" xfId="119" applyFont="1" applyFill="1" applyBorder="1" applyAlignment="1">
      <alignment horizontal="left" vertical="center" wrapText="1"/>
    </xf>
    <xf numFmtId="166" fontId="22" fillId="0" borderId="31" xfId="119" applyFont="1" applyFill="1" applyBorder="1" applyAlignment="1">
      <alignment horizontal="left" vertical="center" wrapText="1"/>
    </xf>
    <xf numFmtId="166" fontId="22" fillId="0" borderId="0" xfId="119" applyFont="1" applyFill="1" applyBorder="1" applyAlignment="1">
      <alignment horizontal="left" vertical="center" wrapText="1"/>
    </xf>
    <xf numFmtId="166" fontId="22" fillId="0" borderId="28" xfId="119" applyFont="1" applyFill="1" applyBorder="1" applyAlignment="1">
      <alignment horizontal="left" vertical="center" wrapText="1"/>
    </xf>
    <xf numFmtId="166" fontId="6" fillId="0" borderId="0" xfId="119" applyFont="1" applyBorder="1" applyAlignment="1">
      <alignment horizontal="center" vertical="center" wrapText="1"/>
    </xf>
    <xf numFmtId="166" fontId="6" fillId="0" borderId="28" xfId="119" applyFont="1" applyBorder="1" applyAlignment="1">
      <alignment horizontal="center" vertical="center" wrapText="1"/>
    </xf>
    <xf numFmtId="166" fontId="6" fillId="0" borderId="0" xfId="119" applyFont="1" applyBorder="1" applyAlignment="1">
      <alignment horizontal="center" vertical="center"/>
    </xf>
    <xf numFmtId="166" fontId="0" fillId="0" borderId="0" xfId="119" applyFont="1" applyBorder="1" applyAlignment="1">
      <alignment horizontal="center" vertical="center"/>
    </xf>
    <xf numFmtId="166" fontId="22" fillId="0" borderId="36" xfId="119" applyFont="1" applyBorder="1" applyAlignment="1">
      <alignment horizontal="center" vertical="center"/>
    </xf>
    <xf numFmtId="166" fontId="22" fillId="0" borderId="31" xfId="119" applyFont="1" applyFill="1" applyBorder="1" applyAlignment="1">
      <alignment horizontal="left" vertical="center"/>
    </xf>
    <xf numFmtId="166" fontId="22" fillId="0" borderId="0" xfId="119" applyFont="1" applyFill="1" applyBorder="1" applyAlignment="1">
      <alignment horizontal="left" vertical="center"/>
    </xf>
    <xf numFmtId="166" fontId="22" fillId="0" borderId="28" xfId="119" applyFont="1" applyFill="1" applyBorder="1" applyAlignment="1">
      <alignment horizontal="left" vertical="center"/>
    </xf>
    <xf numFmtId="166" fontId="22" fillId="0" borderId="0" xfId="119" applyFont="1" applyBorder="1" applyAlignment="1">
      <alignment horizontal="left" vertical="center" wrapText="1"/>
    </xf>
    <xf numFmtId="166" fontId="22" fillId="0" borderId="28" xfId="119" applyFont="1" applyBorder="1" applyAlignment="1">
      <alignment horizontal="left" vertical="center" wrapText="1"/>
    </xf>
    <xf numFmtId="166" fontId="6" fillId="0" borderId="28" xfId="119" applyFont="1" applyBorder="1" applyAlignment="1">
      <alignment horizontal="center" vertical="center"/>
    </xf>
    <xf numFmtId="10" fontId="27" fillId="33" borderId="58" xfId="0" applyNumberFormat="1" applyFont="1" applyFill="1" applyBorder="1" applyAlignment="1">
      <alignment horizontal="center"/>
    </xf>
    <xf numFmtId="10" fontId="27" fillId="42" borderId="58" xfId="0" applyNumberFormat="1" applyFont="1" applyFill="1" applyBorder="1" applyAlignment="1">
      <alignment horizontal="center"/>
    </xf>
    <xf numFmtId="166" fontId="6" fillId="0" borderId="0" xfId="119" applyFont="1" applyBorder="1" applyAlignment="1">
      <alignment horizontal="center" vertical="center"/>
    </xf>
    <xf numFmtId="166" fontId="6" fillId="0" borderId="28" xfId="119" applyFont="1" applyBorder="1" applyAlignment="1">
      <alignment horizontal="center" vertical="center"/>
    </xf>
    <xf numFmtId="166" fontId="0" fillId="0" borderId="0" xfId="119" applyFont="1" applyBorder="1" applyAlignment="1">
      <alignment horizontal="center" vertical="center"/>
    </xf>
    <xf numFmtId="0" fontId="0" fillId="47" borderId="0" xfId="0" applyFill="1" applyBorder="1" applyAlignment="1">
      <alignment vertical="center"/>
    </xf>
    <xf numFmtId="0" fontId="6" fillId="0" borderId="0" xfId="0" applyFont="1" applyFill="1" applyBorder="1" applyAlignment="1">
      <alignment vertical="center"/>
    </xf>
    <xf numFmtId="1" fontId="95" fillId="48" borderId="0" xfId="155" applyNumberFormat="1" applyFont="1" applyFill="1" applyBorder="1" applyAlignment="1">
      <alignment horizontal="center" vertical="center" wrapText="1"/>
    </xf>
    <xf numFmtId="166" fontId="0" fillId="0" borderId="0" xfId="119" applyFont="1" applyBorder="1" applyAlignment="1">
      <alignment horizontal="center" vertical="center"/>
    </xf>
    <xf numFmtId="166" fontId="6" fillId="0" borderId="0" xfId="119" applyFont="1" applyBorder="1" applyAlignment="1">
      <alignment horizontal="center" vertical="center"/>
    </xf>
    <xf numFmtId="166" fontId="22" fillId="0" borderId="39" xfId="119" applyFont="1" applyBorder="1" applyAlignment="1">
      <alignment horizontal="center" wrapText="1"/>
    </xf>
    <xf numFmtId="166" fontId="6" fillId="43" borderId="0" xfId="119" quotePrefix="1" applyFont="1" applyFill="1" applyBorder="1" applyAlignment="1">
      <alignment horizontal="left" vertical="center"/>
    </xf>
    <xf numFmtId="166" fontId="6" fillId="0" borderId="0" xfId="119" applyFont="1" applyBorder="1" applyAlignment="1">
      <alignment horizontal="center" vertical="center" wrapText="1"/>
    </xf>
    <xf numFmtId="166" fontId="0" fillId="0" borderId="0" xfId="119" applyFont="1" applyBorder="1" applyAlignment="1">
      <alignment horizontal="center" vertical="center"/>
    </xf>
    <xf numFmtId="0" fontId="6" fillId="0" borderId="19" xfId="0" applyFont="1" applyFill="1" applyBorder="1" applyAlignment="1">
      <alignment horizontal="left" vertical="center" wrapText="1"/>
    </xf>
    <xf numFmtId="0" fontId="6" fillId="0" borderId="19" xfId="0" applyFont="1" applyFill="1" applyBorder="1" applyAlignment="1">
      <alignment horizontal="center" vertical="center" wrapText="1"/>
    </xf>
    <xf numFmtId="166" fontId="0" fillId="0" borderId="0" xfId="119" applyFont="1" applyFill="1" applyBorder="1" applyAlignment="1">
      <alignment horizontal="right" vertical="center"/>
    </xf>
    <xf numFmtId="166" fontId="77" fillId="0" borderId="0" xfId="119" applyFont="1" applyFill="1" applyBorder="1" applyAlignment="1">
      <alignment horizontal="right" vertical="center"/>
    </xf>
    <xf numFmtId="0" fontId="99" fillId="0" borderId="0" xfId="105" applyFont="1" applyFill="1" applyBorder="1" applyAlignment="1">
      <alignment horizontal="center" vertical="center" wrapText="1"/>
    </xf>
    <xf numFmtId="0" fontId="6" fillId="0" borderId="0" xfId="0" applyFont="1" applyFill="1" applyBorder="1" applyAlignment="1">
      <alignment horizontal="right" vertical="center" wrapText="1"/>
    </xf>
    <xf numFmtId="0" fontId="0" fillId="0" borderId="0" xfId="0" applyFill="1" applyBorder="1" applyAlignment="1">
      <alignment vertical="center"/>
    </xf>
    <xf numFmtId="1" fontId="99" fillId="0" borderId="0" xfId="105" applyNumberFormat="1" applyFont="1" applyFill="1" applyBorder="1" applyAlignment="1">
      <alignment horizontal="center" vertical="center" wrapText="1"/>
    </xf>
    <xf numFmtId="0" fontId="100" fillId="0" borderId="0" xfId="105" applyFont="1" applyFill="1" applyBorder="1" applyAlignment="1">
      <alignment horizontal="center" vertical="center" wrapText="1"/>
    </xf>
    <xf numFmtId="0" fontId="96" fillId="47" borderId="20" xfId="0" applyFont="1" applyFill="1" applyBorder="1" applyAlignment="1">
      <alignment horizontal="center" vertical="center"/>
    </xf>
    <xf numFmtId="0" fontId="6" fillId="0" borderId="19" xfId="317" applyFont="1" applyBorder="1" applyAlignment="1">
      <alignment horizontal="center" vertical="center"/>
    </xf>
    <xf numFmtId="1" fontId="6" fillId="0" borderId="19" xfId="177" applyNumberFormat="1" applyFont="1" applyFill="1" applyBorder="1" applyAlignment="1">
      <alignment horizontal="center" vertical="center"/>
    </xf>
    <xf numFmtId="0" fontId="6" fillId="0" borderId="19" xfId="105" applyFont="1" applyFill="1" applyBorder="1" applyAlignment="1">
      <alignment horizontal="left" vertical="center" wrapText="1"/>
    </xf>
    <xf numFmtId="43" fontId="6" fillId="0" borderId="19" xfId="156" applyNumberFormat="1" applyFont="1" applyFill="1" applyBorder="1" applyAlignment="1">
      <alignment horizontal="center" vertical="center" wrapText="1"/>
    </xf>
    <xf numFmtId="1" fontId="6" fillId="0" borderId="19" xfId="120" applyNumberFormat="1" applyFont="1" applyBorder="1" applyAlignment="1">
      <alignment horizontal="center" vertical="center"/>
    </xf>
    <xf numFmtId="0" fontId="6" fillId="0" borderId="19" xfId="105" applyFont="1" applyBorder="1" applyAlignment="1">
      <alignment horizontal="left" vertical="center" wrapText="1"/>
    </xf>
    <xf numFmtId="166" fontId="6" fillId="0" borderId="19" xfId="156" applyNumberFormat="1" applyFont="1" applyBorder="1" applyAlignment="1">
      <alignment horizontal="center" vertical="center" wrapText="1"/>
    </xf>
    <xf numFmtId="1" fontId="6" fillId="0" borderId="19" xfId="0" applyNumberFormat="1" applyFont="1" applyBorder="1" applyAlignment="1">
      <alignment horizontal="center" vertical="center"/>
    </xf>
    <xf numFmtId="0" fontId="6" fillId="0" borderId="19" xfId="0" applyNumberFormat="1" applyFont="1" applyFill="1" applyBorder="1" applyAlignment="1">
      <alignment horizontal="center" vertical="center"/>
    </xf>
    <xf numFmtId="0" fontId="6" fillId="0" borderId="19" xfId="0" applyNumberFormat="1" applyFont="1" applyBorder="1" applyAlignment="1">
      <alignment horizontal="center" vertical="center"/>
    </xf>
    <xf numFmtId="0" fontId="6" fillId="0" borderId="19" xfId="151" applyFont="1" applyBorder="1" applyAlignment="1">
      <alignment horizontal="center" vertical="center"/>
    </xf>
    <xf numFmtId="0" fontId="6" fillId="0" borderId="19" xfId="154" applyNumberFormat="1" applyFont="1" applyFill="1" applyBorder="1" applyAlignment="1">
      <alignment horizontal="center" vertical="center"/>
    </xf>
    <xf numFmtId="166" fontId="22" fillId="40" borderId="19" xfId="152" applyNumberFormat="1" applyFont="1" applyFill="1" applyBorder="1" applyAlignment="1">
      <alignment horizontal="left" vertical="center" wrapText="1"/>
    </xf>
    <xf numFmtId="0" fontId="6" fillId="0" borderId="19" xfId="152" applyNumberFormat="1" applyFont="1" applyFill="1" applyBorder="1" applyAlignment="1">
      <alignment horizontal="left" vertical="center" wrapText="1"/>
    </xf>
    <xf numFmtId="0" fontId="6" fillId="0" borderId="19" xfId="151" applyFont="1" applyFill="1" applyBorder="1" applyAlignment="1">
      <alignment horizontal="center" vertical="center" wrapText="1"/>
    </xf>
    <xf numFmtId="1" fontId="22" fillId="41" borderId="24" xfId="0" applyNumberFormat="1" applyFont="1" applyFill="1" applyBorder="1" applyAlignment="1">
      <alignment vertical="center" wrapText="1"/>
    </xf>
    <xf numFmtId="172" fontId="6" fillId="0" borderId="19" xfId="119" applyNumberFormat="1" applyFont="1" applyBorder="1" applyAlignment="1">
      <alignment horizontal="center" vertical="center" wrapText="1"/>
    </xf>
    <xf numFmtId="1" fontId="22" fillId="41" borderId="24" xfId="155" applyNumberFormat="1" applyFont="1" applyFill="1" applyBorder="1" applyAlignment="1">
      <alignment horizontal="center" vertical="center" wrapText="1"/>
    </xf>
    <xf numFmtId="0" fontId="22" fillId="41" borderId="19" xfId="155" applyFont="1" applyFill="1" applyBorder="1" applyAlignment="1">
      <alignment horizontal="left" vertical="center" wrapText="1"/>
    </xf>
    <xf numFmtId="0" fontId="22" fillId="41" borderId="19" xfId="155" applyFont="1" applyFill="1" applyBorder="1" applyAlignment="1">
      <alignment horizontal="center" vertical="center" wrapText="1"/>
    </xf>
    <xf numFmtId="0" fontId="6" fillId="0" borderId="19" xfId="155" applyFont="1" applyBorder="1" applyAlignment="1">
      <alignment horizontal="center" vertical="center"/>
    </xf>
    <xf numFmtId="1" fontId="22" fillId="41" borderId="19" xfId="155" applyNumberFormat="1" applyFont="1" applyFill="1" applyBorder="1" applyAlignment="1">
      <alignment horizontal="center" vertical="center" wrapText="1"/>
    </xf>
    <xf numFmtId="172" fontId="6" fillId="0" borderId="19" xfId="156" applyNumberFormat="1" applyFont="1" applyBorder="1" applyAlignment="1">
      <alignment horizontal="center" vertical="center" wrapText="1"/>
    </xf>
    <xf numFmtId="172" fontId="22" fillId="41" borderId="19" xfId="119" applyNumberFormat="1" applyFont="1" applyFill="1" applyBorder="1" applyAlignment="1">
      <alignment horizontal="center" vertical="center" wrapText="1"/>
    </xf>
    <xf numFmtId="0" fontId="6" fillId="0" borderId="19" xfId="119" applyNumberFormat="1" applyFont="1" applyFill="1" applyBorder="1" applyAlignment="1">
      <alignment horizontal="center" vertical="center"/>
    </xf>
    <xf numFmtId="0" fontId="22" fillId="40" borderId="19" xfId="106" applyFont="1" applyFill="1" applyBorder="1" applyAlignment="1">
      <alignment horizontal="center" vertical="center"/>
    </xf>
    <xf numFmtId="0" fontId="22" fillId="40" borderId="19" xfId="106" applyFont="1" applyFill="1" applyBorder="1" applyAlignment="1">
      <alignment horizontal="left" vertical="center" wrapText="1"/>
    </xf>
    <xf numFmtId="172" fontId="6" fillId="40" borderId="19" xfId="273" applyNumberFormat="1" applyFont="1" applyFill="1" applyBorder="1" applyAlignment="1">
      <alignment horizontal="center" vertical="center"/>
    </xf>
    <xf numFmtId="0" fontId="6" fillId="0" borderId="19" xfId="106" applyFont="1" applyBorder="1" applyAlignment="1">
      <alignment horizontal="center" vertical="center"/>
    </xf>
    <xf numFmtId="1" fontId="6" fillId="0" borderId="19" xfId="171" applyNumberFormat="1" applyFont="1" applyFill="1" applyBorder="1" applyAlignment="1">
      <alignment horizontal="center" vertical="center"/>
    </xf>
    <xf numFmtId="0" fontId="6" fillId="0" borderId="19" xfId="155" applyFont="1" applyFill="1" applyBorder="1" applyAlignment="1">
      <alignment horizontal="center" vertical="center"/>
    </xf>
    <xf numFmtId="0" fontId="22" fillId="40" borderId="19" xfId="317" applyFont="1" applyFill="1" applyBorder="1" applyAlignment="1">
      <alignment horizontal="center" vertical="center"/>
    </xf>
    <xf numFmtId="0" fontId="22" fillId="40" borderId="19" xfId="0" applyFont="1" applyFill="1" applyBorder="1" applyAlignment="1">
      <alignment horizontal="center" vertical="center"/>
    </xf>
    <xf numFmtId="0" fontId="22" fillId="40" borderId="19" xfId="0" applyFont="1" applyFill="1" applyBorder="1" applyAlignment="1">
      <alignment horizontal="left" vertical="center" wrapText="1"/>
    </xf>
    <xf numFmtId="172" fontId="6" fillId="40" borderId="19" xfId="99" applyNumberFormat="1" applyFont="1" applyFill="1" applyBorder="1" applyAlignment="1">
      <alignment horizontal="center" vertical="center"/>
    </xf>
    <xf numFmtId="172" fontId="6" fillId="0" borderId="19" xfId="99" applyNumberFormat="1" applyFont="1" applyBorder="1" applyAlignment="1">
      <alignment horizontal="center" vertical="center"/>
    </xf>
    <xf numFmtId="0" fontId="22" fillId="40" borderId="19" xfId="0" applyFont="1" applyFill="1" applyBorder="1" applyAlignment="1">
      <alignment horizontal="left" wrapText="1"/>
    </xf>
    <xf numFmtId="1" fontId="22" fillId="41" borderId="19" xfId="120" applyNumberFormat="1" applyFont="1" applyFill="1" applyBorder="1" applyAlignment="1">
      <alignment horizontal="center" vertical="center" wrapText="1"/>
    </xf>
    <xf numFmtId="1" fontId="22" fillId="41" borderId="19" xfId="155" applyNumberFormat="1" applyFont="1" applyFill="1" applyBorder="1" applyAlignment="1">
      <alignment horizontal="left" vertical="center" wrapText="1"/>
    </xf>
    <xf numFmtId="166" fontId="22" fillId="41" borderId="19" xfId="0" applyNumberFormat="1" applyFont="1" applyFill="1" applyBorder="1" applyAlignment="1">
      <alignment horizontal="center" vertical="center" wrapText="1"/>
    </xf>
    <xf numFmtId="0" fontId="6" fillId="0" borderId="19" xfId="105" applyFont="1" applyBorder="1" applyAlignment="1">
      <alignment horizontal="center" vertical="center" wrapText="1"/>
    </xf>
    <xf numFmtId="0" fontId="6" fillId="0" borderId="19" xfId="151" applyNumberFormat="1" applyFont="1" applyBorder="1" applyAlignment="1">
      <alignment horizontal="center" vertical="center"/>
    </xf>
    <xf numFmtId="0" fontId="6" fillId="40" borderId="19" xfId="0" applyFont="1" applyFill="1" applyBorder="1" applyAlignment="1">
      <alignment horizontal="center" vertical="center" wrapText="1"/>
    </xf>
    <xf numFmtId="166" fontId="6" fillId="0" borderId="0" xfId="119" applyFont="1" applyBorder="1" applyAlignment="1">
      <alignment horizontal="center" vertical="center" wrapText="1"/>
    </xf>
    <xf numFmtId="166" fontId="6" fillId="0" borderId="28" xfId="119" applyFont="1" applyBorder="1" applyAlignment="1">
      <alignment horizontal="center" vertical="center" wrapText="1"/>
    </xf>
    <xf numFmtId="166" fontId="6" fillId="0" borderId="0" xfId="119" applyFont="1" applyBorder="1" applyAlignment="1">
      <alignment horizontal="center" vertical="center"/>
    </xf>
    <xf numFmtId="0" fontId="60" fillId="0" borderId="31" xfId="0" applyFont="1" applyBorder="1" applyAlignment="1">
      <alignment horizontal="right" vertical="center" wrapText="1"/>
    </xf>
    <xf numFmtId="0" fontId="60" fillId="0" borderId="0" xfId="0" applyFont="1" applyAlignment="1">
      <alignment vertical="center"/>
    </xf>
    <xf numFmtId="0" fontId="91" fillId="0" borderId="49" xfId="0" applyFont="1" applyFill="1" applyBorder="1" applyAlignment="1">
      <alignment horizontal="center" wrapText="1"/>
    </xf>
    <xf numFmtId="0" fontId="91" fillId="0" borderId="0" xfId="0" applyFont="1" applyFill="1" applyBorder="1" applyAlignment="1">
      <alignment horizontal="center" wrapText="1"/>
    </xf>
    <xf numFmtId="0" fontId="23" fillId="0" borderId="0" xfId="0" applyFont="1" applyFill="1" applyBorder="1" applyAlignment="1">
      <alignment horizontal="center" vertical="center"/>
    </xf>
    <xf numFmtId="166" fontId="23" fillId="0" borderId="0" xfId="119" applyFont="1" applyFill="1" applyBorder="1" applyAlignment="1">
      <alignment horizontal="center" vertical="center"/>
    </xf>
    <xf numFmtId="165" fontId="23" fillId="0" borderId="0" xfId="99" applyFont="1" applyFill="1" applyBorder="1" applyAlignment="1">
      <alignment horizontal="center" vertical="center"/>
    </xf>
    <xf numFmtId="165" fontId="23" fillId="0" borderId="0" xfId="99" applyFont="1" applyFill="1" applyBorder="1" applyAlignment="1">
      <alignment vertical="center"/>
    </xf>
    <xf numFmtId="43" fontId="31" fillId="0" borderId="0" xfId="0" applyNumberFormat="1" applyFont="1" applyFill="1"/>
    <xf numFmtId="0" fontId="86" fillId="0" borderId="0" xfId="0" applyFont="1" applyFill="1" applyBorder="1" applyAlignment="1">
      <alignment horizontal="center" vertical="center"/>
    </xf>
    <xf numFmtId="0" fontId="86" fillId="0" borderId="0" xfId="0" applyFont="1" applyFill="1" applyBorder="1" applyAlignment="1">
      <alignment horizontal="left" vertical="center" wrapText="1"/>
    </xf>
    <xf numFmtId="0" fontId="0" fillId="43" borderId="19" xfId="0" applyFill="1" applyBorder="1" applyAlignment="1">
      <alignment horizontal="center" vertical="center"/>
    </xf>
    <xf numFmtId="0" fontId="122" fillId="49" borderId="19" xfId="0" applyFont="1" applyFill="1" applyBorder="1" applyAlignment="1">
      <alignment horizontal="center" vertical="center"/>
    </xf>
    <xf numFmtId="0" fontId="122" fillId="49" borderId="19" xfId="0" applyFont="1" applyFill="1" applyBorder="1" applyAlignment="1">
      <alignment horizontal="left" vertical="center" wrapText="1"/>
    </xf>
    <xf numFmtId="166" fontId="22" fillId="0" borderId="31" xfId="119" applyFont="1" applyFill="1" applyBorder="1" applyAlignment="1">
      <alignment horizontal="left" vertical="center" wrapText="1"/>
    </xf>
    <xf numFmtId="166" fontId="22" fillId="0" borderId="0" xfId="119" applyFont="1" applyFill="1" applyBorder="1" applyAlignment="1">
      <alignment horizontal="left" vertical="center" wrapText="1"/>
    </xf>
    <xf numFmtId="166" fontId="0" fillId="0" borderId="0" xfId="119" applyFont="1" applyBorder="1" applyAlignment="1">
      <alignment horizontal="center" vertical="center"/>
    </xf>
    <xf numFmtId="166" fontId="6" fillId="43" borderId="0" xfId="119" applyFont="1" applyFill="1" applyBorder="1" applyAlignment="1">
      <alignment horizontal="left" vertical="center" wrapText="1"/>
    </xf>
    <xf numFmtId="1" fontId="0" fillId="0" borderId="19" xfId="0" applyNumberFormat="1" applyBorder="1" applyAlignment="1">
      <alignment horizontal="center" vertical="center"/>
    </xf>
    <xf numFmtId="0" fontId="117" fillId="0" borderId="0" xfId="310"/>
    <xf numFmtId="0" fontId="91" fillId="0" borderId="0" xfId="0" applyFont="1" applyFill="1" applyBorder="1" applyAlignment="1">
      <alignment horizontal="center" wrapText="1"/>
    </xf>
    <xf numFmtId="0" fontId="0" fillId="43" borderId="19" xfId="0" applyFill="1" applyBorder="1" applyAlignment="1">
      <alignment vertical="center" wrapText="1"/>
    </xf>
    <xf numFmtId="165" fontId="25" fillId="0" borderId="34" xfId="99" applyFont="1" applyBorder="1" applyAlignment="1">
      <alignment horizontal="center" vertical="center"/>
    </xf>
    <xf numFmtId="0" fontId="25" fillId="0" borderId="39" xfId="0" applyFont="1" applyBorder="1" applyAlignment="1">
      <alignment horizontal="center" vertical="center"/>
    </xf>
    <xf numFmtId="165" fontId="28" fillId="0" borderId="39" xfId="99" applyFont="1" applyBorder="1" applyAlignment="1">
      <alignment vertical="center"/>
    </xf>
    <xf numFmtId="10" fontId="28" fillId="0" borderId="36" xfId="114" applyNumberFormat="1" applyFont="1" applyBorder="1" applyAlignment="1">
      <alignment horizontal="center" vertical="center"/>
    </xf>
    <xf numFmtId="0" fontId="22" fillId="0" borderId="19" xfId="0" applyFont="1" applyFill="1" applyBorder="1" applyAlignment="1">
      <alignment horizontal="center" vertical="center" wrapText="1"/>
    </xf>
    <xf numFmtId="0" fontId="6" fillId="0" borderId="19" xfId="0" applyFont="1" applyBorder="1" applyAlignment="1">
      <alignment horizontal="left" wrapText="1"/>
    </xf>
    <xf numFmtId="0" fontId="22" fillId="0" borderId="19" xfId="0" applyFont="1" applyBorder="1" applyAlignment="1">
      <alignment horizontal="left" vertical="center" wrapText="1"/>
    </xf>
    <xf numFmtId="0" fontId="6" fillId="0" borderId="19" xfId="320" applyBorder="1" applyAlignment="1">
      <alignment horizontal="center" vertical="center"/>
    </xf>
    <xf numFmtId="0" fontId="124" fillId="0" borderId="19" xfId="0" applyFont="1" applyBorder="1" applyAlignment="1">
      <alignment horizontal="left" vertical="center" wrapText="1"/>
    </xf>
    <xf numFmtId="0" fontId="124" fillId="0" borderId="19" xfId="0" applyFont="1" applyBorder="1" applyAlignment="1">
      <alignment horizontal="center" vertical="center" wrapText="1"/>
    </xf>
    <xf numFmtId="0" fontId="6" fillId="0" borderId="19" xfId="321" applyBorder="1" applyAlignment="1">
      <alignment horizontal="center" vertical="center" wrapText="1"/>
    </xf>
    <xf numFmtId="1" fontId="31" fillId="0" borderId="19" xfId="105" applyNumberFormat="1" applyFont="1" applyBorder="1" applyAlignment="1">
      <alignment horizontal="center" vertical="center"/>
    </xf>
    <xf numFmtId="0" fontId="125" fillId="0" borderId="19" xfId="0" applyFont="1" applyBorder="1" applyAlignment="1">
      <alignment horizontal="left" vertical="center" wrapText="1"/>
    </xf>
    <xf numFmtId="172" fontId="6" fillId="0" borderId="19" xfId="119" applyNumberFormat="1" applyBorder="1" applyAlignment="1">
      <alignment horizontal="center" vertical="center" wrapText="1"/>
    </xf>
    <xf numFmtId="0" fontId="6" fillId="0" borderId="19" xfId="105" applyBorder="1" applyAlignment="1">
      <alignment horizontal="center" vertical="center"/>
    </xf>
    <xf numFmtId="0" fontId="6" fillId="35" borderId="19" xfId="105" applyFill="1" applyBorder="1" applyAlignment="1">
      <alignment horizontal="left" vertical="center" wrapText="1"/>
    </xf>
    <xf numFmtId="0" fontId="6" fillId="0" borderId="19" xfId="322" applyBorder="1" applyAlignment="1">
      <alignment horizontal="center" vertical="center"/>
    </xf>
    <xf numFmtId="0" fontId="6" fillId="0" borderId="19" xfId="321" applyBorder="1" applyAlignment="1">
      <alignment horizontal="center" vertical="center"/>
    </xf>
    <xf numFmtId="0" fontId="6" fillId="0" borderId="19" xfId="105" applyBorder="1" applyAlignment="1">
      <alignment vertical="center"/>
    </xf>
    <xf numFmtId="0" fontId="6" fillId="0" borderId="19" xfId="105" applyBorder="1" applyAlignment="1">
      <alignment horizontal="center" vertical="center" wrapText="1"/>
    </xf>
    <xf numFmtId="1" fontId="6" fillId="0" borderId="19" xfId="105" applyNumberFormat="1" applyBorder="1" applyAlignment="1">
      <alignment horizontal="center" vertical="center" wrapText="1"/>
    </xf>
    <xf numFmtId="165" fontId="25" fillId="33" borderId="33" xfId="99" applyFont="1" applyFill="1" applyBorder="1" applyAlignment="1">
      <alignment horizontal="center" vertical="center"/>
    </xf>
    <xf numFmtId="1" fontId="25" fillId="33" borderId="22" xfId="99" applyNumberFormat="1" applyFont="1" applyFill="1" applyBorder="1" applyAlignment="1">
      <alignment horizontal="center" vertical="center" wrapText="1"/>
    </xf>
    <xf numFmtId="165" fontId="25" fillId="33" borderId="22" xfId="99" applyFont="1" applyFill="1" applyBorder="1" applyAlignment="1">
      <alignment horizontal="left" vertical="center"/>
    </xf>
    <xf numFmtId="165" fontId="25" fillId="33" borderId="22" xfId="99" applyFont="1" applyFill="1" applyBorder="1" applyAlignment="1">
      <alignment horizontal="center" vertical="center"/>
    </xf>
    <xf numFmtId="166" fontId="25" fillId="33" borderId="22" xfId="119" applyFont="1" applyFill="1" applyBorder="1" applyAlignment="1">
      <alignment horizontal="center" vertical="center"/>
    </xf>
    <xf numFmtId="165" fontId="25" fillId="33" borderId="22" xfId="99" applyFont="1" applyFill="1" applyBorder="1" applyAlignment="1">
      <alignment horizontal="center" vertical="center" wrapText="1"/>
    </xf>
    <xf numFmtId="165" fontId="25" fillId="33" borderId="55" xfId="99" applyFont="1" applyFill="1" applyBorder="1" applyAlignment="1">
      <alignment horizontal="center" vertical="center" wrapText="1"/>
    </xf>
    <xf numFmtId="0" fontId="25" fillId="46" borderId="20" xfId="0" applyNumberFormat="1" applyFont="1" applyFill="1" applyBorder="1" applyAlignment="1">
      <alignment horizontal="center" vertical="center"/>
    </xf>
    <xf numFmtId="1" fontId="25" fillId="46" borderId="19" xfId="0" applyNumberFormat="1" applyFont="1" applyFill="1" applyBorder="1" applyAlignment="1">
      <alignment horizontal="center" vertical="center" wrapText="1"/>
    </xf>
    <xf numFmtId="168" fontId="25" fillId="46" borderId="19" xfId="0" applyNumberFormat="1" applyFont="1" applyFill="1" applyBorder="1" applyAlignment="1">
      <alignment horizontal="center" vertical="center" wrapText="1"/>
    </xf>
    <xf numFmtId="167" fontId="25" fillId="46" borderId="19" xfId="0" applyNumberFormat="1" applyFont="1" applyFill="1" applyBorder="1" applyAlignment="1">
      <alignment horizontal="left" vertical="center"/>
    </xf>
    <xf numFmtId="167" fontId="25" fillId="46" borderId="19" xfId="0" applyNumberFormat="1" applyFont="1" applyFill="1" applyBorder="1" applyAlignment="1">
      <alignment horizontal="center" vertical="center"/>
    </xf>
    <xf numFmtId="166" fontId="25" fillId="46" borderId="19" xfId="119" applyFont="1" applyFill="1" applyBorder="1" applyAlignment="1">
      <alignment horizontal="center" vertical="center"/>
    </xf>
    <xf numFmtId="165" fontId="25" fillId="46" borderId="19" xfId="99" applyFont="1" applyFill="1" applyBorder="1" applyAlignment="1">
      <alignment horizontal="center" vertical="center"/>
    </xf>
    <xf numFmtId="165" fontId="25" fillId="46" borderId="19" xfId="99" applyFont="1" applyFill="1" applyBorder="1" applyAlignment="1">
      <alignment horizontal="right" vertical="center"/>
    </xf>
    <xf numFmtId="165" fontId="25" fillId="46" borderId="21" xfId="99" applyFont="1" applyFill="1" applyBorder="1" applyAlignment="1">
      <alignment horizontal="right" vertical="center"/>
    </xf>
    <xf numFmtId="0" fontId="30" fillId="0" borderId="20" xfId="0" applyFont="1" applyFill="1" applyBorder="1" applyAlignment="1">
      <alignment horizontal="center" vertical="center"/>
    </xf>
    <xf numFmtId="1" fontId="126" fillId="35" borderId="19" xfId="0" applyNumberFormat="1" applyFont="1" applyFill="1" applyBorder="1" applyAlignment="1">
      <alignment horizontal="center" vertical="center" wrapText="1"/>
    </xf>
    <xf numFmtId="1" fontId="126" fillId="35" borderId="58" xfId="0" applyNumberFormat="1" applyFont="1" applyFill="1" applyBorder="1" applyAlignment="1">
      <alignment horizontal="center" vertical="center" wrapText="1"/>
    </xf>
    <xf numFmtId="166" fontId="30" fillId="0" borderId="19" xfId="119" applyFont="1" applyFill="1" applyBorder="1" applyAlignment="1">
      <alignment vertical="center"/>
    </xf>
    <xf numFmtId="165" fontId="30" fillId="0" borderId="19" xfId="99" applyFont="1" applyFill="1" applyBorder="1" applyAlignment="1">
      <alignment vertical="center"/>
    </xf>
    <xf numFmtId="165" fontId="30" fillId="0" borderId="61" xfId="99" applyFont="1" applyFill="1" applyBorder="1" applyAlignment="1">
      <alignment horizontal="right" vertical="center"/>
    </xf>
    <xf numFmtId="166" fontId="126" fillId="0" borderId="19" xfId="119" applyFont="1" applyFill="1" applyBorder="1" applyAlignment="1">
      <alignment horizontal="center" vertical="center"/>
    </xf>
    <xf numFmtId="165" fontId="25" fillId="33" borderId="19" xfId="99" applyFont="1" applyFill="1" applyBorder="1" applyAlignment="1">
      <alignment horizontal="right" vertical="center" wrapText="1"/>
    </xf>
    <xf numFmtId="165" fontId="25" fillId="33" borderId="21" xfId="99" applyFont="1" applyFill="1" applyBorder="1" applyAlignment="1">
      <alignment horizontal="right" vertical="center"/>
    </xf>
    <xf numFmtId="0" fontId="30" fillId="0" borderId="20" xfId="0" applyFont="1" applyFill="1" applyBorder="1" applyAlignment="1">
      <alignment horizontal="center" vertical="center" wrapText="1"/>
    </xf>
    <xf numFmtId="0" fontId="126" fillId="0" borderId="20" xfId="0" applyFont="1" applyFill="1" applyBorder="1" applyAlignment="1">
      <alignment horizontal="center" vertical="center" wrapText="1"/>
    </xf>
    <xf numFmtId="0" fontId="25" fillId="34" borderId="20" xfId="0" applyNumberFormat="1" applyFont="1" applyFill="1" applyBorder="1" applyAlignment="1">
      <alignment horizontal="center" vertical="center"/>
    </xf>
    <xf numFmtId="167" fontId="25" fillId="34" borderId="19" xfId="0" applyNumberFormat="1" applyFont="1" applyFill="1" applyBorder="1" applyAlignment="1">
      <alignment vertical="center" wrapText="1"/>
    </xf>
    <xf numFmtId="166" fontId="25" fillId="34" borderId="19" xfId="0" quotePrefix="1" applyNumberFormat="1" applyFont="1" applyFill="1" applyBorder="1" applyAlignment="1">
      <alignment horizontal="left" vertical="center"/>
    </xf>
    <xf numFmtId="166" fontId="25" fillId="34" borderId="19" xfId="0" quotePrefix="1" applyNumberFormat="1" applyFont="1" applyFill="1" applyBorder="1" applyAlignment="1">
      <alignment horizontal="center" vertical="center"/>
    </xf>
    <xf numFmtId="166" fontId="25" fillId="34" borderId="19" xfId="119" quotePrefix="1" applyFont="1" applyFill="1" applyBorder="1" applyAlignment="1">
      <alignment horizontal="center" vertical="center"/>
    </xf>
    <xf numFmtId="166" fontId="25" fillId="34" borderId="19" xfId="99" quotePrefix="1" applyNumberFormat="1" applyFont="1" applyFill="1" applyBorder="1" applyAlignment="1">
      <alignment horizontal="center" vertical="center"/>
    </xf>
    <xf numFmtId="166" fontId="25" fillId="34" borderId="19" xfId="99" quotePrefix="1" applyNumberFormat="1" applyFont="1" applyFill="1" applyBorder="1" applyAlignment="1">
      <alignment horizontal="right" vertical="center"/>
    </xf>
    <xf numFmtId="165" fontId="25" fillId="34" borderId="21" xfId="99" quotePrefix="1" applyFont="1" applyFill="1" applyBorder="1" applyAlignment="1">
      <alignment horizontal="right" vertical="center"/>
    </xf>
    <xf numFmtId="0" fontId="30" fillId="0" borderId="20" xfId="0" applyNumberFormat="1" applyFont="1" applyFill="1" applyBorder="1" applyAlignment="1">
      <alignment horizontal="center" vertical="center"/>
    </xf>
    <xf numFmtId="167" fontId="25" fillId="46" borderId="19" xfId="0" applyNumberFormat="1" applyFont="1" applyFill="1" applyBorder="1" applyAlignment="1">
      <alignment horizontal="left" vertical="center" wrapText="1"/>
    </xf>
    <xf numFmtId="1" fontId="126" fillId="0" borderId="19" xfId="0" applyNumberFormat="1" applyFont="1" applyFill="1" applyBorder="1" applyAlignment="1">
      <alignment horizontal="center" vertical="center" wrapText="1"/>
    </xf>
    <xf numFmtId="3" fontId="30" fillId="0" borderId="20" xfId="0" applyNumberFormat="1" applyFont="1" applyFill="1" applyBorder="1" applyAlignment="1">
      <alignment horizontal="center" vertical="center" wrapText="1"/>
    </xf>
    <xf numFmtId="0" fontId="30" fillId="35" borderId="20" xfId="0" applyFont="1" applyFill="1" applyBorder="1" applyAlignment="1">
      <alignment horizontal="center" vertical="center" wrapText="1"/>
    </xf>
    <xf numFmtId="0" fontId="25" fillId="37" borderId="20" xfId="0" applyNumberFormat="1" applyFont="1" applyFill="1" applyBorder="1" applyAlignment="1">
      <alignment horizontal="center" vertical="center"/>
    </xf>
    <xf numFmtId="1" fontId="25" fillId="37" borderId="19" xfId="0" applyNumberFormat="1" applyFont="1" applyFill="1" applyBorder="1" applyAlignment="1">
      <alignment horizontal="center" vertical="center" wrapText="1"/>
    </xf>
    <xf numFmtId="168" fontId="25" fillId="37" borderId="19" xfId="0" applyNumberFormat="1" applyFont="1" applyFill="1" applyBorder="1" applyAlignment="1">
      <alignment horizontal="center" vertical="center" wrapText="1"/>
    </xf>
    <xf numFmtId="167" fontId="25" fillId="37" borderId="19" xfId="0" applyNumberFormat="1" applyFont="1" applyFill="1" applyBorder="1" applyAlignment="1">
      <alignment horizontal="left" vertical="center"/>
    </xf>
    <xf numFmtId="167" fontId="25" fillId="37" borderId="19" xfId="0" applyNumberFormat="1" applyFont="1" applyFill="1" applyBorder="1" applyAlignment="1">
      <alignment horizontal="center" vertical="center"/>
    </xf>
    <xf numFmtId="166" fontId="25" fillId="37" borderId="19" xfId="119" applyFont="1" applyFill="1" applyBorder="1" applyAlignment="1">
      <alignment horizontal="center" vertical="center"/>
    </xf>
    <xf numFmtId="165" fontId="25" fillId="37" borderId="19" xfId="99" applyFont="1" applyFill="1" applyBorder="1" applyAlignment="1">
      <alignment horizontal="center" vertical="center"/>
    </xf>
    <xf numFmtId="165" fontId="25" fillId="37" borderId="19" xfId="99" applyFont="1" applyFill="1" applyBorder="1" applyAlignment="1">
      <alignment horizontal="right" vertical="center"/>
    </xf>
    <xf numFmtId="165" fontId="25" fillId="37" borderId="21" xfId="99" applyFont="1" applyFill="1" applyBorder="1" applyAlignment="1">
      <alignment horizontal="right" vertical="center"/>
    </xf>
    <xf numFmtId="0" fontId="25" fillId="33" borderId="20" xfId="0" applyNumberFormat="1" applyFont="1" applyFill="1" applyBorder="1" applyAlignment="1">
      <alignment horizontal="center" vertical="center"/>
    </xf>
    <xf numFmtId="1" fontId="25" fillId="33" borderId="19" xfId="0" applyNumberFormat="1" applyFont="1" applyFill="1" applyBorder="1" applyAlignment="1">
      <alignment horizontal="center" vertical="center" wrapText="1"/>
    </xf>
    <xf numFmtId="168" fontId="25" fillId="33" borderId="19" xfId="0" applyNumberFormat="1" applyFont="1" applyFill="1" applyBorder="1" applyAlignment="1">
      <alignment horizontal="center" vertical="center" wrapText="1"/>
    </xf>
    <xf numFmtId="167" fontId="25" fillId="33" borderId="19" xfId="0" applyNumberFormat="1" applyFont="1" applyFill="1" applyBorder="1" applyAlignment="1">
      <alignment horizontal="left" vertical="center"/>
    </xf>
    <xf numFmtId="167" fontId="25" fillId="33" borderId="19" xfId="0" applyNumberFormat="1" applyFont="1" applyFill="1" applyBorder="1" applyAlignment="1">
      <alignment horizontal="center" vertical="center"/>
    </xf>
    <xf numFmtId="166" fontId="25" fillId="33" borderId="19" xfId="119" applyFont="1" applyFill="1" applyBorder="1" applyAlignment="1">
      <alignment horizontal="center" vertical="center"/>
    </xf>
    <xf numFmtId="165" fontId="25" fillId="33" borderId="19" xfId="99" applyFont="1" applyFill="1" applyBorder="1" applyAlignment="1">
      <alignment horizontal="center" vertical="center"/>
    </xf>
    <xf numFmtId="165" fontId="25" fillId="33" borderId="19" xfId="99" applyFont="1" applyFill="1" applyBorder="1" applyAlignment="1">
      <alignment horizontal="right" vertical="center"/>
    </xf>
    <xf numFmtId="1" fontId="30" fillId="0" borderId="19" xfId="0" applyNumberFormat="1" applyFont="1" applyFill="1" applyBorder="1" applyAlignment="1">
      <alignment horizontal="center" vertical="center" wrapText="1"/>
    </xf>
    <xf numFmtId="1" fontId="30" fillId="35" borderId="19" xfId="0" applyNumberFormat="1" applyFont="1" applyFill="1" applyBorder="1" applyAlignment="1">
      <alignment horizontal="center" vertical="center" wrapText="1"/>
    </xf>
    <xf numFmtId="0" fontId="30" fillId="0" borderId="21" xfId="0" applyFont="1" applyBorder="1"/>
    <xf numFmtId="165" fontId="25" fillId="40" borderId="19" xfId="99" applyFont="1" applyFill="1" applyBorder="1" applyAlignment="1">
      <alignment horizontal="right" vertical="center"/>
    </xf>
    <xf numFmtId="165" fontId="25" fillId="40" borderId="21" xfId="99" applyFont="1" applyFill="1" applyBorder="1" applyAlignment="1">
      <alignment horizontal="right" vertical="center"/>
    </xf>
    <xf numFmtId="165" fontId="25" fillId="46" borderId="41" xfId="99" applyFont="1" applyFill="1" applyBorder="1" applyAlignment="1">
      <alignment horizontal="right" vertical="center"/>
    </xf>
    <xf numFmtId="165" fontId="25" fillId="46" borderId="42" xfId="99" applyNumberFormat="1" applyFont="1" applyFill="1" applyBorder="1" applyAlignment="1">
      <alignment horizontal="right" vertical="center"/>
    </xf>
    <xf numFmtId="0" fontId="127" fillId="0" borderId="0" xfId="0" applyFont="1" applyFill="1" applyBorder="1" applyAlignment="1">
      <alignment horizontal="left" wrapText="1"/>
    </xf>
    <xf numFmtId="0" fontId="30" fillId="0" borderId="0" xfId="0" applyFont="1" applyFill="1" applyBorder="1" applyAlignment="1">
      <alignment horizontal="center" vertical="center"/>
    </xf>
    <xf numFmtId="166" fontId="30" fillId="0" borderId="0" xfId="119" applyFont="1" applyFill="1" applyBorder="1" applyAlignment="1">
      <alignment horizontal="center" vertical="center"/>
    </xf>
    <xf numFmtId="165" fontId="30" fillId="0" borderId="0" xfId="99" applyFont="1" applyFill="1" applyBorder="1" applyAlignment="1">
      <alignment horizontal="center" vertical="center"/>
    </xf>
    <xf numFmtId="165" fontId="30" fillId="0" borderId="0" xfId="99" applyFont="1" applyFill="1" applyBorder="1" applyAlignment="1">
      <alignment vertical="center"/>
    </xf>
    <xf numFmtId="0" fontId="25" fillId="0" borderId="0" xfId="0" applyFont="1" applyFill="1" applyBorder="1" applyAlignment="1">
      <alignment horizontal="center" vertical="center"/>
    </xf>
    <xf numFmtId="0" fontId="30" fillId="0" borderId="0" xfId="0" applyFont="1" applyFill="1" applyAlignment="1">
      <alignment horizontal="left" wrapText="1"/>
    </xf>
    <xf numFmtId="0" fontId="30" fillId="0" borderId="0" xfId="0" applyFont="1" applyFill="1" applyAlignment="1">
      <alignment horizontal="center" vertical="center"/>
    </xf>
    <xf numFmtId="166" fontId="30" fillId="0" borderId="0" xfId="119" applyFont="1" applyFill="1" applyAlignment="1">
      <alignment horizontal="center" vertical="center"/>
    </xf>
    <xf numFmtId="165" fontId="30" fillId="0" borderId="0" xfId="99" applyFont="1" applyFill="1" applyAlignment="1">
      <alignment horizontal="center" vertical="center"/>
    </xf>
    <xf numFmtId="165" fontId="30" fillId="0" borderId="0" xfId="99" applyFont="1" applyFill="1" applyAlignment="1">
      <alignment vertical="center"/>
    </xf>
    <xf numFmtId="0" fontId="6" fillId="0" borderId="19" xfId="0" applyFont="1" applyFill="1" applyBorder="1"/>
    <xf numFmtId="0" fontId="6" fillId="0" borderId="19" xfId="0" applyFont="1" applyFill="1" applyBorder="1" applyAlignment="1">
      <alignment horizontal="left" wrapText="1"/>
    </xf>
    <xf numFmtId="1" fontId="22" fillId="0" borderId="19" xfId="0" applyNumberFormat="1" applyFont="1" applyFill="1" applyBorder="1" applyAlignment="1">
      <alignment horizontal="center" vertical="center" wrapText="1"/>
    </xf>
    <xf numFmtId="0" fontId="6" fillId="0" borderId="19" xfId="0" applyFont="1" applyFill="1" applyBorder="1" applyAlignment="1">
      <alignment vertical="center" wrapText="1"/>
    </xf>
    <xf numFmtId="1" fontId="22" fillId="41" borderId="19" xfId="0" applyNumberFormat="1" applyFont="1" applyFill="1" applyBorder="1" applyAlignment="1">
      <alignment vertical="center" wrapText="1"/>
    </xf>
    <xf numFmtId="1" fontId="22" fillId="41" borderId="19" xfId="0" applyNumberFormat="1" applyFont="1" applyFill="1" applyBorder="1" applyAlignment="1">
      <alignment horizontal="center" vertical="center" wrapText="1"/>
    </xf>
    <xf numFmtId="0" fontId="6" fillId="0" borderId="19" xfId="0" applyFont="1" applyBorder="1"/>
    <xf numFmtId="0" fontId="6" fillId="0" borderId="19" xfId="0" applyFont="1" applyBorder="1" applyAlignment="1">
      <alignment horizontal="left"/>
    </xf>
    <xf numFmtId="1" fontId="22" fillId="40" borderId="19" xfId="0" applyNumberFormat="1" applyFont="1" applyFill="1" applyBorder="1" applyAlignment="1">
      <alignment vertical="center"/>
    </xf>
    <xf numFmtId="166" fontId="22" fillId="40" borderId="19" xfId="0" applyNumberFormat="1" applyFont="1" applyFill="1" applyBorder="1" applyAlignment="1">
      <alignment horizontal="center" vertical="center"/>
    </xf>
    <xf numFmtId="166" fontId="6" fillId="0" borderId="19" xfId="0" applyNumberFormat="1" applyFont="1" applyFill="1" applyBorder="1"/>
    <xf numFmtId="0" fontId="23" fillId="41" borderId="19" xfId="0" applyFont="1" applyFill="1" applyBorder="1" applyAlignment="1">
      <alignment vertical="center" wrapText="1"/>
    </xf>
    <xf numFmtId="0" fontId="6" fillId="0" borderId="19" xfId="105" applyBorder="1" applyAlignment="1">
      <alignment vertical="center" wrapText="1"/>
    </xf>
    <xf numFmtId="1" fontId="22" fillId="41" borderId="19" xfId="155" applyNumberFormat="1" applyFont="1" applyFill="1" applyBorder="1" applyAlignment="1">
      <alignment horizontal="center" vertical="center"/>
    </xf>
    <xf numFmtId="0" fontId="22" fillId="41" borderId="19" xfId="155" applyFont="1" applyFill="1" applyBorder="1" applyAlignment="1">
      <alignment horizontal="left" vertical="center"/>
    </xf>
    <xf numFmtId="0" fontId="22" fillId="41" borderId="19" xfId="155" applyFont="1" applyFill="1" applyBorder="1" applyAlignment="1">
      <alignment horizontal="center" vertical="center"/>
    </xf>
    <xf numFmtId="172" fontId="6" fillId="0" borderId="19" xfId="119" applyNumberFormat="1" applyFont="1" applyBorder="1" applyAlignment="1">
      <alignment horizontal="center" vertical="center"/>
    </xf>
    <xf numFmtId="1" fontId="6" fillId="0" borderId="19" xfId="120" applyNumberFormat="1" applyFont="1" applyFill="1" applyBorder="1" applyAlignment="1">
      <alignment horizontal="center" vertical="center"/>
    </xf>
    <xf numFmtId="172" fontId="6" fillId="0" borderId="19" xfId="99" applyNumberFormat="1" applyFont="1" applyFill="1" applyBorder="1" applyAlignment="1">
      <alignment horizontal="center" vertical="center"/>
    </xf>
    <xf numFmtId="0" fontId="6" fillId="0" borderId="19" xfId="0" applyFont="1" applyFill="1" applyBorder="1" applyAlignment="1">
      <alignment horizontal="left"/>
    </xf>
    <xf numFmtId="43" fontId="6" fillId="0" borderId="19" xfId="119" applyNumberFormat="1" applyFont="1" applyFill="1" applyBorder="1"/>
    <xf numFmtId="0" fontId="22" fillId="0" borderId="19" xfId="0" applyFont="1" applyFill="1" applyBorder="1" applyAlignment="1">
      <alignment horizontal="left" vertical="center" wrapText="1"/>
    </xf>
    <xf numFmtId="0" fontId="22" fillId="41" borderId="19" xfId="151" applyFont="1" applyFill="1" applyBorder="1" applyAlignment="1">
      <alignment horizontal="left" vertical="center" wrapText="1"/>
    </xf>
    <xf numFmtId="0" fontId="22" fillId="41" borderId="19" xfId="151" applyFont="1" applyFill="1" applyBorder="1" applyAlignment="1">
      <alignment horizontal="center" vertical="center" wrapText="1"/>
    </xf>
    <xf numFmtId="0" fontId="6" fillId="0" borderId="19" xfId="151" applyNumberFormat="1" applyFont="1" applyBorder="1" applyAlignment="1">
      <alignment horizontal="left" vertical="center" wrapText="1"/>
    </xf>
    <xf numFmtId="0" fontId="6" fillId="0" borderId="19" xfId="0" applyFont="1" applyFill="1" applyBorder="1" applyAlignment="1">
      <alignment horizontal="center"/>
    </xf>
    <xf numFmtId="0" fontId="6" fillId="0" borderId="19" xfId="0" applyNumberFormat="1" applyFont="1" applyFill="1" applyBorder="1" applyAlignment="1">
      <alignment horizontal="center"/>
    </xf>
    <xf numFmtId="0" fontId="6" fillId="0" borderId="19" xfId="0" applyFont="1" applyFill="1" applyBorder="1" applyAlignment="1">
      <alignment horizontal="left" vertical="justify" wrapText="1"/>
    </xf>
    <xf numFmtId="1" fontId="22" fillId="41" borderId="19" xfId="147" applyNumberFormat="1" applyFont="1" applyFill="1" applyBorder="1" applyAlignment="1">
      <alignment vertical="center" wrapText="1"/>
    </xf>
    <xf numFmtId="1" fontId="22" fillId="41" borderId="19" xfId="147" applyNumberFormat="1" applyFont="1" applyFill="1" applyBorder="1" applyAlignment="1">
      <alignment horizontal="center" vertical="center" wrapText="1"/>
    </xf>
    <xf numFmtId="172" fontId="6" fillId="0" borderId="19" xfId="156" applyNumberFormat="1" applyFont="1" applyFill="1" applyBorder="1" applyAlignment="1">
      <alignment horizontal="center" vertical="center" wrapText="1"/>
    </xf>
    <xf numFmtId="172" fontId="22" fillId="0" borderId="19" xfId="119" applyNumberFormat="1" applyFont="1" applyFill="1" applyBorder="1" applyAlignment="1">
      <alignment horizontal="center" vertical="center" wrapText="1"/>
    </xf>
    <xf numFmtId="172" fontId="6" fillId="0" borderId="19" xfId="119" applyNumberFormat="1" applyFont="1" applyFill="1" applyBorder="1" applyAlignment="1">
      <alignment horizontal="center" vertical="center"/>
    </xf>
    <xf numFmtId="0" fontId="6" fillId="0" borderId="24" xfId="0" applyFont="1" applyFill="1" applyBorder="1" applyAlignment="1">
      <alignment horizontal="center" vertical="center"/>
    </xf>
    <xf numFmtId="0" fontId="22" fillId="0" borderId="24" xfId="0" applyFont="1" applyFill="1" applyBorder="1" applyAlignment="1">
      <alignment horizontal="center" vertical="center" wrapText="1"/>
    </xf>
    <xf numFmtId="0" fontId="6" fillId="0" borderId="24" xfId="0" applyFont="1" applyBorder="1" applyAlignment="1">
      <alignment horizontal="center" vertical="center"/>
    </xf>
    <xf numFmtId="0" fontId="6" fillId="0" borderId="24" xfId="0" applyFont="1" applyBorder="1"/>
    <xf numFmtId="1" fontId="22" fillId="41" borderId="24" xfId="155" applyNumberFormat="1" applyFont="1" applyFill="1" applyBorder="1" applyAlignment="1">
      <alignment vertical="center" wrapText="1"/>
    </xf>
    <xf numFmtId="1" fontId="22" fillId="40" borderId="24" xfId="0" applyNumberFormat="1" applyFont="1" applyFill="1" applyBorder="1" applyAlignment="1">
      <alignment vertical="center"/>
    </xf>
    <xf numFmtId="0" fontId="6" fillId="0" borderId="24" xfId="151" applyFont="1" applyBorder="1" applyAlignment="1">
      <alignment horizontal="center" vertical="center"/>
    </xf>
    <xf numFmtId="0" fontId="6" fillId="0" borderId="24" xfId="155" applyFont="1" applyBorder="1" applyAlignment="1">
      <alignment horizontal="center" vertical="center"/>
    </xf>
    <xf numFmtId="0" fontId="6" fillId="0" borderId="24" xfId="0" applyFont="1" applyBorder="1" applyAlignment="1">
      <alignment horizontal="left" wrapText="1"/>
    </xf>
    <xf numFmtId="0" fontId="31" fillId="0" borderId="24" xfId="0" applyFont="1" applyBorder="1" applyAlignment="1">
      <alignment horizontal="center" vertical="center"/>
    </xf>
    <xf numFmtId="0" fontId="61" fillId="0" borderId="24" xfId="0" applyFont="1" applyBorder="1" applyAlignment="1">
      <alignment horizontal="left" vertical="center"/>
    </xf>
    <xf numFmtId="0" fontId="6" fillId="0" borderId="24" xfId="106" applyFont="1" applyBorder="1" applyAlignment="1">
      <alignment horizontal="center" vertical="center"/>
    </xf>
    <xf numFmtId="0" fontId="6" fillId="0" borderId="24" xfId="317" applyFont="1" applyBorder="1" applyAlignment="1">
      <alignment horizontal="center" vertical="center"/>
    </xf>
    <xf numFmtId="0" fontId="6" fillId="0" borderId="24" xfId="0" applyFont="1" applyFill="1" applyBorder="1"/>
    <xf numFmtId="1" fontId="22" fillId="0" borderId="24" xfId="0" applyNumberFormat="1" applyFont="1" applyFill="1" applyBorder="1" applyAlignment="1">
      <alignment vertical="center" wrapText="1"/>
    </xf>
    <xf numFmtId="1" fontId="22" fillId="41" borderId="24" xfId="147" applyNumberFormat="1" applyFont="1" applyFill="1" applyBorder="1" applyAlignment="1">
      <alignment vertical="center" wrapText="1"/>
    </xf>
    <xf numFmtId="0" fontId="6" fillId="0" borderId="24" xfId="147" applyFont="1" applyBorder="1" applyAlignment="1">
      <alignment horizontal="center" vertical="center"/>
    </xf>
    <xf numFmtId="0" fontId="6" fillId="0" borderId="58" xfId="0" applyFont="1" applyFill="1" applyBorder="1"/>
    <xf numFmtId="172" fontId="6" fillId="0" borderId="19" xfId="119" applyNumberFormat="1" applyFont="1" applyFill="1" applyBorder="1" applyAlignment="1">
      <alignment vertical="center" wrapText="1"/>
    </xf>
    <xf numFmtId="172" fontId="6" fillId="0" borderId="19" xfId="0" applyNumberFormat="1" applyFont="1" applyBorder="1"/>
    <xf numFmtId="172" fontId="22" fillId="40" borderId="19" xfId="119" applyNumberFormat="1" applyFont="1" applyFill="1" applyBorder="1" applyAlignment="1">
      <alignment horizontal="center" vertical="center"/>
    </xf>
    <xf numFmtId="172" fontId="6" fillId="0" borderId="19" xfId="153" applyNumberFormat="1" applyFont="1" applyBorder="1" applyAlignment="1">
      <alignment horizontal="right" vertical="center"/>
    </xf>
    <xf numFmtId="172" fontId="6" fillId="0" borderId="19" xfId="0" applyNumberFormat="1" applyFont="1" applyFill="1" applyBorder="1" applyAlignment="1">
      <alignment horizontal="center" vertical="center"/>
    </xf>
    <xf numFmtId="172" fontId="22" fillId="41" borderId="19" xfId="156" applyNumberFormat="1" applyFont="1" applyFill="1" applyBorder="1" applyAlignment="1">
      <alignment horizontal="center" vertical="center" wrapText="1"/>
    </xf>
    <xf numFmtId="172" fontId="6" fillId="0" borderId="19" xfId="0" applyNumberFormat="1" applyFont="1" applyBorder="1" applyAlignment="1">
      <alignment horizontal="left" wrapText="1"/>
    </xf>
    <xf numFmtId="172" fontId="6" fillId="0" borderId="19" xfId="119" applyNumberFormat="1" applyBorder="1" applyAlignment="1">
      <alignment horizontal="right" vertical="center"/>
    </xf>
    <xf numFmtId="172" fontId="6" fillId="0" borderId="19" xfId="119" applyNumberFormat="1" applyBorder="1" applyAlignment="1">
      <alignment horizontal="center" vertical="center"/>
    </xf>
    <xf numFmtId="172" fontId="22" fillId="41" borderId="19" xfId="156" applyNumberFormat="1" applyFont="1" applyFill="1" applyBorder="1" applyAlignment="1">
      <alignment horizontal="center" vertical="center"/>
    </xf>
    <xf numFmtId="172" fontId="6" fillId="0" borderId="19" xfId="0" applyNumberFormat="1" applyFont="1" applyBorder="1" applyAlignment="1">
      <alignment horizontal="center" vertical="center"/>
    </xf>
    <xf numFmtId="172" fontId="6" fillId="0" borderId="19" xfId="141" applyNumberFormat="1" applyFont="1" applyFill="1" applyBorder="1" applyAlignment="1">
      <alignment horizontal="right" vertical="center" wrapText="1"/>
    </xf>
    <xf numFmtId="172" fontId="6" fillId="0" borderId="19" xfId="119" applyNumberFormat="1" applyFont="1" applyFill="1" applyBorder="1" applyAlignment="1">
      <alignment horizontal="center" vertical="center" wrapText="1"/>
    </xf>
    <xf numFmtId="172" fontId="22" fillId="41" borderId="19" xfId="274" applyNumberFormat="1" applyFont="1" applyFill="1" applyBorder="1" applyAlignment="1">
      <alignment horizontal="center" vertical="center" wrapText="1"/>
    </xf>
    <xf numFmtId="172" fontId="6" fillId="40" borderId="19" xfId="105" applyNumberFormat="1" applyFont="1" applyFill="1" applyBorder="1" applyAlignment="1">
      <alignment horizontal="center" vertical="center" wrapText="1"/>
    </xf>
    <xf numFmtId="172" fontId="6" fillId="0" borderId="19" xfId="0" applyNumberFormat="1" applyFont="1" applyFill="1" applyBorder="1"/>
    <xf numFmtId="172" fontId="6" fillId="0" borderId="19" xfId="150" applyNumberFormat="1" applyBorder="1" applyAlignment="1">
      <alignment horizontal="center" vertical="center"/>
    </xf>
    <xf numFmtId="172" fontId="6" fillId="0" borderId="19" xfId="119" applyNumberFormat="1" applyFont="1" applyFill="1" applyBorder="1" applyAlignment="1">
      <alignment horizontal="center"/>
    </xf>
    <xf numFmtId="172" fontId="22" fillId="41" borderId="19" xfId="148" applyNumberFormat="1" applyFont="1" applyFill="1" applyBorder="1" applyAlignment="1">
      <alignment horizontal="center" vertical="center" wrapText="1"/>
    </xf>
    <xf numFmtId="172" fontId="6" fillId="0" borderId="19" xfId="147" applyNumberFormat="1" applyFont="1" applyBorder="1" applyAlignment="1">
      <alignment horizontal="center" vertical="center"/>
    </xf>
    <xf numFmtId="172" fontId="6" fillId="0" borderId="19" xfId="99" applyNumberFormat="1" applyFont="1" applyFill="1" applyBorder="1"/>
    <xf numFmtId="172" fontId="22" fillId="0" borderId="19" xfId="99" applyNumberFormat="1" applyFont="1" applyFill="1" applyBorder="1" applyAlignment="1">
      <alignment vertical="center" wrapText="1"/>
    </xf>
    <xf numFmtId="172" fontId="22" fillId="41" borderId="19" xfId="99" applyNumberFormat="1" applyFont="1" applyFill="1" applyBorder="1" applyAlignment="1">
      <alignment horizontal="center" vertical="center" wrapText="1"/>
    </xf>
    <xf numFmtId="172" fontId="22" fillId="41" borderId="19" xfId="99" applyNumberFormat="1" applyFont="1" applyFill="1" applyBorder="1" applyAlignment="1">
      <alignment horizontal="center" vertical="center"/>
    </xf>
    <xf numFmtId="172" fontId="6" fillId="0" borderId="19" xfId="99" applyNumberFormat="1" applyFont="1" applyFill="1" applyBorder="1" applyAlignment="1">
      <alignment horizontal="center" vertical="center" wrapText="1"/>
    </xf>
    <xf numFmtId="172" fontId="6" fillId="0" borderId="19" xfId="99" applyNumberFormat="1" applyFont="1" applyBorder="1" applyAlignment="1">
      <alignment horizontal="center" vertical="center" wrapText="1"/>
    </xf>
    <xf numFmtId="172" fontId="6" fillId="0" borderId="19" xfId="99" applyNumberFormat="1" applyFont="1" applyBorder="1"/>
    <xf numFmtId="172" fontId="22" fillId="40" borderId="19" xfId="99" applyNumberFormat="1" applyFont="1" applyFill="1" applyBorder="1"/>
    <xf numFmtId="172" fontId="6" fillId="0" borderId="19" xfId="99" applyNumberFormat="1" applyFont="1" applyFill="1" applyBorder="1" applyAlignment="1" applyProtection="1">
      <alignment horizontal="right" vertical="center" wrapText="1"/>
    </xf>
    <xf numFmtId="172" fontId="6" fillId="0" borderId="19" xfId="99" applyNumberFormat="1" applyFont="1" applyFill="1" applyBorder="1" applyAlignment="1">
      <alignment horizontal="left" vertical="center"/>
    </xf>
    <xf numFmtId="172" fontId="22" fillId="41" borderId="19" xfId="150" applyNumberFormat="1" applyFont="1" applyFill="1" applyBorder="1" applyAlignment="1">
      <alignment horizontal="center" vertical="center" wrapText="1"/>
    </xf>
    <xf numFmtId="172" fontId="22" fillId="41" borderId="19" xfId="150" applyNumberFormat="1" applyFont="1" applyFill="1" applyBorder="1" applyAlignment="1">
      <alignment horizontal="center" vertical="center"/>
    </xf>
    <xf numFmtId="172" fontId="124" fillId="0" borderId="19" xfId="150" applyNumberFormat="1" applyFont="1" applyBorder="1" applyAlignment="1">
      <alignment horizontal="center" vertical="center" wrapText="1"/>
    </xf>
    <xf numFmtId="172" fontId="6" fillId="0" borderId="19" xfId="150" applyNumberFormat="1" applyBorder="1"/>
    <xf numFmtId="172" fontId="6" fillId="35" borderId="19" xfId="150" applyNumberFormat="1" applyFill="1" applyBorder="1" applyAlignment="1">
      <alignment vertical="center"/>
    </xf>
    <xf numFmtId="172" fontId="6" fillId="0" borderId="19" xfId="99" applyNumberFormat="1" applyFont="1" applyBorder="1" applyAlignment="1">
      <alignment vertical="center"/>
    </xf>
    <xf numFmtId="172" fontId="22" fillId="40" borderId="19" xfId="99" applyNumberFormat="1" applyFont="1" applyFill="1" applyBorder="1" applyAlignment="1">
      <alignment vertical="center"/>
    </xf>
    <xf numFmtId="172" fontId="6" fillId="40" borderId="19" xfId="99" applyNumberFormat="1" applyFont="1" applyFill="1" applyBorder="1" applyAlignment="1">
      <alignment horizontal="center" vertical="center" wrapText="1"/>
    </xf>
    <xf numFmtId="172" fontId="6" fillId="0" borderId="19" xfId="99" applyNumberFormat="1" applyFont="1" applyBorder="1" applyAlignment="1">
      <alignment horizontal="left" vertical="center" wrapText="1"/>
    </xf>
    <xf numFmtId="172" fontId="22" fillId="0" borderId="19" xfId="99" applyNumberFormat="1" applyFont="1" applyFill="1" applyBorder="1" applyAlignment="1">
      <alignment horizontal="center" vertical="center" wrapText="1"/>
    </xf>
    <xf numFmtId="172" fontId="22" fillId="0" borderId="19" xfId="99" applyNumberFormat="1" applyFont="1" applyFill="1" applyBorder="1" applyAlignment="1">
      <alignment horizontal="center" vertical="center"/>
    </xf>
    <xf numFmtId="2" fontId="0" fillId="43" borderId="19" xfId="0" applyNumberFormat="1" applyFill="1" applyBorder="1" applyAlignment="1">
      <alignment horizontal="center" vertical="center"/>
    </xf>
    <xf numFmtId="2" fontId="122" fillId="49" borderId="19" xfId="0" applyNumberFormat="1" applyFont="1" applyFill="1" applyBorder="1" applyAlignment="1">
      <alignment horizontal="center" vertical="center"/>
    </xf>
    <xf numFmtId="2" fontId="86" fillId="0" borderId="0" xfId="0" applyNumberFormat="1" applyFont="1" applyFill="1" applyBorder="1" applyAlignment="1">
      <alignment horizontal="center" vertical="center"/>
    </xf>
    <xf numFmtId="2" fontId="0" fillId="0" borderId="0" xfId="0" applyNumberFormat="1" applyFill="1" applyBorder="1" applyAlignment="1">
      <alignment horizontal="center" vertical="center"/>
    </xf>
    <xf numFmtId="2" fontId="0" fillId="0" borderId="0" xfId="0" applyNumberFormat="1" applyFill="1" applyBorder="1" applyAlignment="1">
      <alignment horizontal="center"/>
    </xf>
    <xf numFmtId="2" fontId="90" fillId="0" borderId="0" xfId="105" applyNumberFormat="1" applyFont="1" applyFill="1" applyBorder="1" applyAlignment="1">
      <alignment horizontal="center"/>
    </xf>
    <xf numFmtId="166" fontId="22" fillId="0" borderId="31" xfId="119" applyFont="1" applyFill="1" applyBorder="1" applyAlignment="1">
      <alignment horizontal="left" vertical="center" wrapText="1"/>
    </xf>
    <xf numFmtId="166" fontId="22" fillId="0" borderId="0" xfId="119" applyFont="1" applyFill="1" applyBorder="1" applyAlignment="1">
      <alignment horizontal="left" vertical="center" wrapText="1"/>
    </xf>
    <xf numFmtId="166" fontId="22" fillId="0" borderId="28" xfId="119" applyFont="1" applyFill="1" applyBorder="1" applyAlignment="1">
      <alignment horizontal="left" vertical="center" wrapText="1"/>
    </xf>
    <xf numFmtId="166" fontId="0" fillId="0" borderId="0" xfId="119" applyFont="1" applyBorder="1" applyAlignment="1">
      <alignment horizontal="center" vertical="center"/>
    </xf>
    <xf numFmtId="0" fontId="6" fillId="0" borderId="0" xfId="0" applyFont="1" applyBorder="1" applyAlignment="1">
      <alignment horizontal="center" vertical="center" wrapText="1"/>
    </xf>
    <xf numFmtId="0" fontId="118" fillId="53" borderId="0" xfId="0" applyFont="1" applyFill="1" applyAlignment="1">
      <alignment horizontal="left" vertical="top" wrapText="1"/>
    </xf>
    <xf numFmtId="0" fontId="119" fillId="53" borderId="0" xfId="0" applyFont="1" applyFill="1" applyAlignment="1">
      <alignment horizontal="left" vertical="top" wrapText="1"/>
    </xf>
    <xf numFmtId="0" fontId="118" fillId="53" borderId="62" xfId="0" applyFont="1" applyFill="1" applyBorder="1" applyAlignment="1">
      <alignment horizontal="left" vertical="top" wrapText="1"/>
    </xf>
    <xf numFmtId="0" fontId="118" fillId="53" borderId="62" xfId="0" applyFont="1" applyFill="1" applyBorder="1" applyAlignment="1">
      <alignment horizontal="right" vertical="top" wrapText="1"/>
    </xf>
    <xf numFmtId="0" fontId="118" fillId="53" borderId="62" xfId="0" applyFont="1" applyFill="1" applyBorder="1" applyAlignment="1">
      <alignment horizontal="center" vertical="top" wrapText="1"/>
    </xf>
    <xf numFmtId="0" fontId="120" fillId="54" borderId="62" xfId="0" applyFont="1" applyFill="1" applyBorder="1" applyAlignment="1">
      <alignment horizontal="left" vertical="top" wrapText="1"/>
    </xf>
    <xf numFmtId="0" fontId="120" fillId="54" borderId="62" xfId="0" applyFont="1" applyFill="1" applyBorder="1" applyAlignment="1">
      <alignment horizontal="right" vertical="top" wrapText="1"/>
    </xf>
    <xf numFmtId="0" fontId="120" fillId="54" borderId="62" xfId="0" applyFont="1" applyFill="1" applyBorder="1" applyAlignment="1">
      <alignment horizontal="center" vertical="top" wrapText="1"/>
    </xf>
    <xf numFmtId="186" fontId="120" fillId="54" borderId="62" xfId="0" applyNumberFormat="1" applyFont="1" applyFill="1" applyBorder="1" applyAlignment="1">
      <alignment horizontal="right" vertical="top" wrapText="1"/>
    </xf>
    <xf numFmtId="4" fontId="120" fillId="54" borderId="62" xfId="0" applyNumberFormat="1" applyFont="1" applyFill="1" applyBorder="1" applyAlignment="1">
      <alignment horizontal="right" vertical="top" wrapText="1"/>
    </xf>
    <xf numFmtId="0" fontId="121" fillId="55" borderId="62" xfId="0" applyFont="1" applyFill="1" applyBorder="1" applyAlignment="1">
      <alignment horizontal="left" vertical="top" wrapText="1"/>
    </xf>
    <xf numFmtId="0" fontId="121" fillId="55" borderId="62" xfId="0" applyFont="1" applyFill="1" applyBorder="1" applyAlignment="1">
      <alignment horizontal="right" vertical="top" wrapText="1"/>
    </xf>
    <xf numFmtId="0" fontId="121" fillId="55" borderId="62" xfId="0" applyFont="1" applyFill="1" applyBorder="1" applyAlignment="1">
      <alignment horizontal="center" vertical="top" wrapText="1"/>
    </xf>
    <xf numFmtId="186" fontId="121" fillId="55" borderId="62" xfId="0" applyNumberFormat="1" applyFont="1" applyFill="1" applyBorder="1" applyAlignment="1">
      <alignment horizontal="right" vertical="top" wrapText="1"/>
    </xf>
    <xf numFmtId="4" fontId="121" fillId="55" borderId="62" xfId="0" applyNumberFormat="1" applyFont="1" applyFill="1" applyBorder="1" applyAlignment="1">
      <alignment horizontal="right" vertical="top" wrapText="1"/>
    </xf>
    <xf numFmtId="0" fontId="121" fillId="56" borderId="62" xfId="0" applyFont="1" applyFill="1" applyBorder="1" applyAlignment="1">
      <alignment horizontal="left" vertical="top" wrapText="1"/>
    </xf>
    <xf numFmtId="0" fontId="121" fillId="56" borderId="62" xfId="0" applyFont="1" applyFill="1" applyBorder="1" applyAlignment="1">
      <alignment horizontal="right" vertical="top" wrapText="1"/>
    </xf>
    <xf numFmtId="0" fontId="121" fillId="56" borderId="62" xfId="0" applyFont="1" applyFill="1" applyBorder="1" applyAlignment="1">
      <alignment horizontal="center" vertical="top" wrapText="1"/>
    </xf>
    <xf numFmtId="186" fontId="121" fillId="56" borderId="62" xfId="0" applyNumberFormat="1" applyFont="1" applyFill="1" applyBorder="1" applyAlignment="1">
      <alignment horizontal="right" vertical="top" wrapText="1"/>
    </xf>
    <xf numFmtId="4" fontId="121" fillId="56" borderId="62" xfId="0" applyNumberFormat="1" applyFont="1" applyFill="1" applyBorder="1" applyAlignment="1">
      <alignment horizontal="right" vertical="top" wrapText="1"/>
    </xf>
    <xf numFmtId="0" fontId="121" fillId="53" borderId="0" xfId="0" applyFont="1" applyFill="1" applyAlignment="1">
      <alignment horizontal="right" vertical="top" wrapText="1"/>
    </xf>
    <xf numFmtId="4" fontId="121" fillId="53" borderId="0" xfId="0" applyNumberFormat="1" applyFont="1" applyFill="1" applyAlignment="1">
      <alignment horizontal="right" vertical="top" wrapText="1"/>
    </xf>
    <xf numFmtId="0" fontId="120" fillId="54" borderId="63" xfId="0" applyFont="1" applyFill="1" applyBorder="1" applyAlignment="1">
      <alignment horizontal="left" vertical="top" wrapText="1"/>
    </xf>
    <xf numFmtId="0" fontId="121" fillId="53" borderId="0" xfId="0" applyFont="1" applyFill="1" applyAlignment="1">
      <alignment horizontal="center" vertical="top" wrapText="1"/>
    </xf>
    <xf numFmtId="0" fontId="121" fillId="53" borderId="0" xfId="0" applyFont="1" applyFill="1" applyAlignment="1">
      <alignment horizontal="left" vertical="top" wrapText="1"/>
    </xf>
    <xf numFmtId="0" fontId="119" fillId="53" borderId="0" xfId="0" applyFont="1" applyFill="1" applyAlignment="1">
      <alignment horizontal="right" vertical="top" wrapText="1"/>
    </xf>
    <xf numFmtId="0" fontId="119" fillId="53" borderId="0" xfId="0" applyFont="1" applyFill="1" applyAlignment="1">
      <alignment horizontal="center" vertical="top" wrapText="1"/>
    </xf>
    <xf numFmtId="166" fontId="30" fillId="0" borderId="19" xfId="119" applyFont="1" applyFill="1" applyBorder="1" applyAlignment="1">
      <alignment horizontal="center" vertical="center"/>
    </xf>
    <xf numFmtId="166" fontId="30" fillId="0" borderId="19" xfId="119" applyFont="1" applyFill="1" applyBorder="1" applyAlignment="1">
      <alignment horizontal="left" vertical="center" wrapText="1"/>
    </xf>
    <xf numFmtId="0" fontId="127" fillId="0" borderId="49" xfId="0" applyFont="1" applyFill="1" applyBorder="1" applyAlignment="1">
      <alignment horizontal="left" wrapText="1"/>
    </xf>
    <xf numFmtId="0" fontId="31" fillId="0" borderId="54" xfId="0" applyFont="1" applyFill="1" applyBorder="1" applyAlignment="1">
      <alignment horizontal="center"/>
    </xf>
    <xf numFmtId="1" fontId="31" fillId="0" borderId="26" xfId="0" applyNumberFormat="1" applyFont="1" applyBorder="1"/>
    <xf numFmtId="0" fontId="31" fillId="0" borderId="26" xfId="0" applyFont="1" applyFill="1" applyBorder="1"/>
    <xf numFmtId="0" fontId="31" fillId="0" borderId="26" xfId="0" applyFont="1" applyFill="1" applyBorder="1" applyAlignment="1">
      <alignment horizontal="left" wrapText="1"/>
    </xf>
    <xf numFmtId="0" fontId="31" fillId="0" borderId="26" xfId="0" applyFont="1" applyFill="1" applyBorder="1" applyAlignment="1">
      <alignment horizontal="center" vertical="center"/>
    </xf>
    <xf numFmtId="166" fontId="31" fillId="0" borderId="26" xfId="119" applyFont="1" applyFill="1" applyBorder="1" applyAlignment="1">
      <alignment horizontal="center" vertical="center"/>
    </xf>
    <xf numFmtId="165" fontId="31" fillId="0" borderId="26" xfId="99" applyFont="1" applyFill="1" applyBorder="1" applyAlignment="1">
      <alignment horizontal="center" vertical="center"/>
    </xf>
    <xf numFmtId="165" fontId="31" fillId="0" borderId="26" xfId="99" applyFont="1" applyFill="1" applyBorder="1" applyAlignment="1">
      <alignment vertical="center"/>
    </xf>
    <xf numFmtId="165" fontId="31" fillId="0" borderId="53" xfId="99" applyFont="1" applyFill="1" applyBorder="1" applyAlignment="1">
      <alignment vertical="center"/>
    </xf>
    <xf numFmtId="0" fontId="31" fillId="0" borderId="31" xfId="0" applyFont="1" applyFill="1" applyBorder="1" applyAlignment="1">
      <alignment horizontal="center"/>
    </xf>
    <xf numFmtId="0" fontId="31" fillId="0" borderId="28" xfId="0" applyFont="1" applyBorder="1"/>
    <xf numFmtId="0" fontId="31" fillId="0" borderId="32" xfId="0" applyFont="1" applyFill="1" applyBorder="1" applyAlignment="1">
      <alignment horizontal="center"/>
    </xf>
    <xf numFmtId="1" fontId="31" fillId="0" borderId="29" xfId="0" applyNumberFormat="1" applyFont="1" applyBorder="1"/>
    <xf numFmtId="0" fontId="31" fillId="0" borderId="29" xfId="0" applyFont="1" applyFill="1" applyBorder="1"/>
    <xf numFmtId="0" fontId="127" fillId="0" borderId="29" xfId="0" applyFont="1" applyFill="1" applyBorder="1" applyAlignment="1">
      <alignment horizontal="left" wrapText="1"/>
    </xf>
    <xf numFmtId="0" fontId="30" fillId="0" borderId="29" xfId="0" applyFont="1" applyFill="1" applyBorder="1" applyAlignment="1">
      <alignment horizontal="center" vertical="center"/>
    </xf>
    <xf numFmtId="166" fontId="30" fillId="0" borderId="29" xfId="119" applyFont="1" applyFill="1" applyBorder="1" applyAlignment="1">
      <alignment horizontal="center" vertical="center"/>
    </xf>
    <xf numFmtId="165" fontId="30" fillId="0" borderId="29" xfId="99" applyFont="1" applyFill="1" applyBorder="1" applyAlignment="1">
      <alignment horizontal="center" vertical="center"/>
    </xf>
    <xf numFmtId="165" fontId="30" fillId="0" borderId="29" xfId="99" applyFont="1" applyFill="1" applyBorder="1" applyAlignment="1">
      <alignment vertical="center"/>
    </xf>
    <xf numFmtId="0" fontId="31" fillId="0" borderId="30" xfId="0" applyFont="1" applyBorder="1"/>
    <xf numFmtId="44" fontId="31" fillId="0" borderId="0" xfId="0" applyNumberFormat="1" applyFont="1" applyFill="1" applyBorder="1"/>
    <xf numFmtId="0" fontId="128" fillId="58" borderId="0" xfId="0" applyFont="1" applyFill="1" applyBorder="1"/>
    <xf numFmtId="0" fontId="6" fillId="0" borderId="0" xfId="0" applyFont="1" applyFill="1" applyBorder="1" applyAlignment="1">
      <alignment horizontal="center" wrapText="1"/>
    </xf>
    <xf numFmtId="0" fontId="0" fillId="0" borderId="0" xfId="0" applyBorder="1" applyAlignment="1">
      <alignment horizontal="center" vertical="center"/>
    </xf>
    <xf numFmtId="0" fontId="0" fillId="0" borderId="28" xfId="0" applyBorder="1" applyAlignment="1">
      <alignment horizontal="center" vertical="center"/>
    </xf>
    <xf numFmtId="166" fontId="0" fillId="0" borderId="31" xfId="119" applyFont="1" applyBorder="1" applyAlignment="1">
      <alignment horizontal="center" vertical="center"/>
    </xf>
    <xf numFmtId="166" fontId="0" fillId="0" borderId="0" xfId="119" applyFont="1" applyBorder="1" applyAlignment="1">
      <alignment horizontal="center" vertical="center"/>
    </xf>
    <xf numFmtId="166" fontId="22" fillId="0" borderId="31" xfId="119" applyFont="1" applyFill="1" applyBorder="1" applyAlignment="1">
      <alignment horizontal="left" vertical="center" wrapText="1"/>
    </xf>
    <xf numFmtId="166" fontId="22" fillId="0" borderId="0" xfId="119" applyFont="1" applyFill="1" applyBorder="1" applyAlignment="1">
      <alignment horizontal="left" vertical="center" wrapText="1"/>
    </xf>
    <xf numFmtId="166" fontId="22" fillId="0" borderId="28" xfId="119" applyFont="1" applyFill="1" applyBorder="1" applyAlignment="1">
      <alignment horizontal="left" vertical="center" wrapText="1"/>
    </xf>
    <xf numFmtId="166" fontId="22" fillId="57" borderId="31" xfId="119" applyFont="1" applyFill="1" applyBorder="1" applyAlignment="1">
      <alignment horizontal="center" vertical="center"/>
    </xf>
    <xf numFmtId="166" fontId="22" fillId="57" borderId="0" xfId="119" applyFont="1" applyFill="1" applyBorder="1" applyAlignment="1">
      <alignment horizontal="center" vertical="center"/>
    </xf>
    <xf numFmtId="166" fontId="22" fillId="57" borderId="28" xfId="119" applyFont="1" applyFill="1" applyBorder="1" applyAlignment="1">
      <alignment horizontal="center" vertical="center"/>
    </xf>
    <xf numFmtId="166" fontId="22" fillId="33" borderId="34" xfId="119" applyFont="1" applyFill="1" applyBorder="1" applyAlignment="1">
      <alignment horizontal="left" vertical="center"/>
    </xf>
    <xf numFmtId="166" fontId="22" fillId="33" borderId="35" xfId="119" applyFont="1" applyFill="1" applyBorder="1" applyAlignment="1">
      <alignment horizontal="left" vertical="center"/>
    </xf>
    <xf numFmtId="166" fontId="22" fillId="33" borderId="36" xfId="119" applyFont="1" applyFill="1" applyBorder="1" applyAlignment="1">
      <alignment horizontal="left" vertical="center"/>
    </xf>
    <xf numFmtId="0" fontId="22" fillId="0" borderId="31" xfId="119" applyNumberFormat="1" applyFont="1" applyFill="1" applyBorder="1" applyAlignment="1">
      <alignment horizontal="left" vertical="center" wrapText="1"/>
    </xf>
    <xf numFmtId="0" fontId="22" fillId="0" borderId="0" xfId="119" applyNumberFormat="1" applyFont="1" applyFill="1" applyBorder="1" applyAlignment="1">
      <alignment horizontal="left" vertical="center" wrapText="1"/>
    </xf>
    <xf numFmtId="0" fontId="22" fillId="0" borderId="28" xfId="119" applyNumberFormat="1" applyFont="1" applyFill="1" applyBorder="1" applyAlignment="1">
      <alignment horizontal="left" vertical="center" wrapText="1"/>
    </xf>
    <xf numFmtId="166" fontId="6" fillId="0" borderId="0" xfId="119" applyFont="1" applyBorder="1" applyAlignment="1">
      <alignment horizontal="center" vertical="center" wrapText="1"/>
    </xf>
    <xf numFmtId="166" fontId="6" fillId="0" borderId="28" xfId="119" applyFont="1" applyBorder="1" applyAlignment="1">
      <alignment horizontal="center" vertical="center" wrapText="1"/>
    </xf>
    <xf numFmtId="166" fontId="6" fillId="0" borderId="0" xfId="119" applyFont="1" applyBorder="1" applyAlignment="1">
      <alignment horizontal="center" vertical="center"/>
    </xf>
    <xf numFmtId="166" fontId="22" fillId="0" borderId="31" xfId="119" applyFont="1" applyFill="1" applyBorder="1" applyAlignment="1">
      <alignment horizontal="left" vertical="center"/>
    </xf>
    <xf numFmtId="166" fontId="22" fillId="0" borderId="0" xfId="119" applyFont="1" applyFill="1" applyBorder="1" applyAlignment="1">
      <alignment horizontal="left" vertical="center"/>
    </xf>
    <xf numFmtId="166" fontId="22" fillId="0" borderId="28" xfId="119" applyFont="1" applyFill="1" applyBorder="1" applyAlignment="1">
      <alignment horizontal="left" vertical="center"/>
    </xf>
    <xf numFmtId="166" fontId="6" fillId="0" borderId="28" xfId="119" applyFont="1" applyBorder="1" applyAlignment="1">
      <alignment horizontal="center" vertical="center"/>
    </xf>
    <xf numFmtId="166" fontId="22" fillId="33" borderId="34" xfId="119" applyFont="1" applyFill="1" applyBorder="1" applyAlignment="1">
      <alignment horizontal="left" vertical="center" wrapText="1"/>
    </xf>
    <xf numFmtId="166" fontId="22" fillId="33" borderId="35" xfId="119" applyFont="1" applyFill="1" applyBorder="1" applyAlignment="1">
      <alignment horizontal="left" vertical="center" wrapText="1"/>
    </xf>
    <xf numFmtId="166" fontId="22" fillId="33" borderId="36" xfId="119" applyFont="1" applyFill="1" applyBorder="1" applyAlignment="1">
      <alignment horizontal="left" vertical="center" wrapText="1"/>
    </xf>
    <xf numFmtId="166" fontId="77" fillId="37" borderId="37" xfId="119" applyFont="1" applyFill="1" applyBorder="1" applyAlignment="1">
      <alignment horizontal="left" vertical="center"/>
    </xf>
    <xf numFmtId="166" fontId="77" fillId="37" borderId="25" xfId="119" applyFont="1" applyFill="1" applyBorder="1" applyAlignment="1">
      <alignment horizontal="left" vertical="center"/>
    </xf>
    <xf numFmtId="166" fontId="77" fillId="37" borderId="24" xfId="119" applyFont="1" applyFill="1" applyBorder="1" applyAlignment="1">
      <alignment horizontal="left" vertical="center"/>
    </xf>
    <xf numFmtId="166" fontId="77" fillId="37" borderId="20" xfId="119" applyFont="1" applyFill="1" applyBorder="1" applyAlignment="1">
      <alignment horizontal="left" vertical="center"/>
    </xf>
    <xf numFmtId="166" fontId="77" fillId="37" borderId="19" xfId="119" applyFont="1" applyFill="1" applyBorder="1" applyAlignment="1">
      <alignment horizontal="left" vertical="center"/>
    </xf>
    <xf numFmtId="0" fontId="28" fillId="0" borderId="34" xfId="0" applyFont="1" applyBorder="1" applyAlignment="1">
      <alignment horizontal="left" vertical="center" wrapText="1"/>
    </xf>
    <xf numFmtId="0" fontId="28" fillId="0" borderId="35" xfId="0" applyFont="1" applyBorder="1" applyAlignment="1">
      <alignment horizontal="left" vertical="center" wrapText="1"/>
    </xf>
    <xf numFmtId="0" fontId="28" fillId="0" borderId="36" xfId="0" applyFont="1" applyBorder="1" applyAlignment="1">
      <alignment horizontal="left" vertical="center" wrapText="1"/>
    </xf>
    <xf numFmtId="0" fontId="78" fillId="0" borderId="34" xfId="0" applyFont="1" applyBorder="1" applyAlignment="1">
      <alignment horizontal="left" vertical="center" wrapText="1"/>
    </xf>
    <xf numFmtId="0" fontId="78" fillId="0" borderId="35" xfId="0" applyFont="1" applyBorder="1" applyAlignment="1">
      <alignment horizontal="left" vertical="center" wrapText="1"/>
    </xf>
    <xf numFmtId="0" fontId="78" fillId="0" borderId="36" xfId="0" applyFont="1" applyBorder="1" applyAlignment="1">
      <alignment horizontal="left" vertical="center" wrapText="1"/>
    </xf>
    <xf numFmtId="166" fontId="22" fillId="0" borderId="34" xfId="119" applyFont="1" applyBorder="1" applyAlignment="1">
      <alignment horizontal="center" vertical="center"/>
    </xf>
    <xf numFmtId="166" fontId="22" fillId="0" borderId="35" xfId="119" applyFont="1" applyBorder="1" applyAlignment="1">
      <alignment horizontal="center" vertical="center"/>
    </xf>
    <xf numFmtId="166" fontId="22" fillId="0" borderId="36" xfId="119" applyFont="1" applyBorder="1" applyAlignment="1">
      <alignment horizontal="center" vertical="center"/>
    </xf>
    <xf numFmtId="166" fontId="92" fillId="33" borderId="31" xfId="119" applyFont="1" applyFill="1" applyBorder="1" applyAlignment="1">
      <alignment horizontal="left" vertical="center"/>
    </xf>
    <xf numFmtId="166" fontId="92" fillId="33" borderId="0" xfId="119" applyFont="1" applyFill="1" applyBorder="1" applyAlignment="1">
      <alignment horizontal="left" vertical="center"/>
    </xf>
    <xf numFmtId="166" fontId="92" fillId="33" borderId="28" xfId="119" applyFont="1" applyFill="1" applyBorder="1" applyAlignment="1">
      <alignment horizontal="left" vertical="center"/>
    </xf>
    <xf numFmtId="0" fontId="91" fillId="0" borderId="0" xfId="0" applyFont="1" applyFill="1" applyBorder="1" applyAlignment="1">
      <alignment horizontal="center" wrapText="1"/>
    </xf>
    <xf numFmtId="169" fontId="28" fillId="0" borderId="20" xfId="0" applyNumberFormat="1" applyFont="1" applyFill="1" applyBorder="1" applyAlignment="1">
      <alignment horizontal="center" vertical="center" wrapText="1"/>
    </xf>
    <xf numFmtId="0" fontId="27" fillId="0" borderId="23" xfId="0" applyFont="1" applyFill="1" applyBorder="1" applyAlignment="1">
      <alignment horizontal="left" vertical="center" wrapText="1"/>
    </xf>
    <xf numFmtId="0" fontId="27" fillId="0" borderId="22" xfId="0" applyFont="1" applyFill="1" applyBorder="1" applyAlignment="1">
      <alignment horizontal="left" vertical="center" wrapText="1"/>
    </xf>
    <xf numFmtId="165" fontId="27" fillId="35" borderId="23" xfId="99" applyFont="1" applyFill="1" applyBorder="1" applyAlignment="1">
      <alignment horizontal="center" vertical="center"/>
    </xf>
    <xf numFmtId="165" fontId="27" fillId="35" borderId="22" xfId="99" applyFont="1" applyFill="1" applyBorder="1" applyAlignment="1">
      <alignment horizontal="center" vertical="center"/>
    </xf>
    <xf numFmtId="10" fontId="27" fillId="0" borderId="55" xfId="120" applyNumberFormat="1" applyFont="1" applyBorder="1" applyAlignment="1">
      <alignment horizontal="center" vertical="center"/>
    </xf>
    <xf numFmtId="10" fontId="27" fillId="0" borderId="21" xfId="120" applyNumberFormat="1" applyFont="1" applyBorder="1" applyAlignment="1">
      <alignment horizontal="center" vertical="center"/>
    </xf>
    <xf numFmtId="0" fontId="28" fillId="42" borderId="34" xfId="0" applyFont="1" applyFill="1" applyBorder="1" applyAlignment="1">
      <alignment horizontal="right" vertical="center" wrapText="1"/>
    </xf>
    <xf numFmtId="0" fontId="28" fillId="42" borderId="36" xfId="0" applyFont="1" applyFill="1" applyBorder="1" applyAlignment="1">
      <alignment horizontal="right" vertical="center" wrapText="1"/>
    </xf>
    <xf numFmtId="4" fontId="27" fillId="0" borderId="19" xfId="0" applyNumberFormat="1" applyFont="1" applyFill="1" applyBorder="1" applyAlignment="1">
      <alignment horizontal="left" vertical="center" wrapText="1"/>
    </xf>
    <xf numFmtId="0" fontId="27" fillId="0" borderId="19" xfId="0" applyFont="1" applyFill="1" applyBorder="1" applyAlignment="1">
      <alignment horizontal="left" vertical="center" wrapText="1"/>
    </xf>
    <xf numFmtId="165" fontId="27" fillId="0" borderId="19" xfId="99" applyFont="1" applyFill="1" applyBorder="1" applyAlignment="1">
      <alignment horizontal="center" vertical="center"/>
    </xf>
    <xf numFmtId="169" fontId="28" fillId="0" borderId="59" xfId="0" applyNumberFormat="1" applyFont="1" applyFill="1" applyBorder="1" applyAlignment="1">
      <alignment horizontal="center" vertical="center" wrapText="1"/>
    </xf>
    <xf numFmtId="169" fontId="28" fillId="0" borderId="33" xfId="0" applyNumberFormat="1" applyFont="1" applyFill="1" applyBorder="1" applyAlignment="1">
      <alignment horizontal="center" vertical="center" wrapText="1"/>
    </xf>
    <xf numFmtId="165" fontId="27" fillId="0" borderId="23" xfId="99" applyFont="1" applyFill="1" applyBorder="1" applyAlignment="1">
      <alignment horizontal="center" vertical="center"/>
    </xf>
    <xf numFmtId="165" fontId="27" fillId="0" borderId="22" xfId="99" applyFont="1" applyFill="1" applyBorder="1" applyAlignment="1">
      <alignment horizontal="center" vertical="center"/>
    </xf>
    <xf numFmtId="166" fontId="27" fillId="0" borderId="23" xfId="0" applyNumberFormat="1" applyFont="1" applyFill="1" applyBorder="1" applyAlignment="1">
      <alignment horizontal="left" vertical="center" wrapText="1"/>
    </xf>
    <xf numFmtId="0" fontId="23" fillId="0" borderId="31" xfId="105" applyFont="1" applyFill="1" applyBorder="1" applyAlignment="1">
      <alignment horizontal="left" vertical="center" readingOrder="1"/>
    </xf>
    <xf numFmtId="0" fontId="23" fillId="0" borderId="0" xfId="105" applyFont="1" applyFill="1" applyBorder="1" applyAlignment="1">
      <alignment horizontal="left" vertical="center" readingOrder="1"/>
    </xf>
    <xf numFmtId="0" fontId="23" fillId="0" borderId="28" xfId="105" applyFont="1" applyFill="1" applyBorder="1" applyAlignment="1">
      <alignment horizontal="left" vertical="center" readingOrder="1"/>
    </xf>
    <xf numFmtId="0" fontId="6" fillId="0" borderId="34" xfId="0" applyFont="1" applyFill="1" applyBorder="1" applyAlignment="1">
      <alignment horizontal="center" vertical="center"/>
    </xf>
    <xf numFmtId="0" fontId="6" fillId="0" borderId="35" xfId="0" applyFont="1" applyFill="1" applyBorder="1" applyAlignment="1">
      <alignment horizontal="center" vertical="center"/>
    </xf>
    <xf numFmtId="0" fontId="6" fillId="0" borderId="36" xfId="0" applyFont="1" applyFill="1" applyBorder="1" applyAlignment="1">
      <alignment horizontal="center" vertical="center"/>
    </xf>
    <xf numFmtId="0" fontId="23" fillId="0" borderId="54" xfId="105" applyFont="1" applyFill="1" applyBorder="1" applyAlignment="1">
      <alignment horizontal="left" vertical="center" readingOrder="1"/>
    </xf>
    <xf numFmtId="0" fontId="23" fillId="0" borderId="26" xfId="105" applyFont="1" applyFill="1" applyBorder="1" applyAlignment="1">
      <alignment horizontal="left" vertical="center" readingOrder="1"/>
    </xf>
    <xf numFmtId="0" fontId="23" fillId="0" borderId="53" xfId="105" applyFont="1" applyFill="1" applyBorder="1" applyAlignment="1">
      <alignment horizontal="left" vertical="center" readingOrder="1"/>
    </xf>
    <xf numFmtId="0" fontId="26" fillId="0" borderId="40" xfId="0" applyFont="1" applyBorder="1" applyAlignment="1">
      <alignment horizontal="center" vertical="center" wrapText="1"/>
    </xf>
    <xf numFmtId="0" fontId="26" fillId="0" borderId="41" xfId="0" applyFont="1" applyBorder="1" applyAlignment="1">
      <alignment horizontal="center" vertical="center" wrapText="1"/>
    </xf>
    <xf numFmtId="0" fontId="26" fillId="0" borderId="42" xfId="0" applyFont="1" applyBorder="1" applyAlignment="1">
      <alignment horizontal="center" vertical="center" wrapText="1"/>
    </xf>
    <xf numFmtId="0" fontId="25" fillId="0" borderId="43" xfId="0" applyFont="1" applyBorder="1" applyAlignment="1">
      <alignment horizontal="center" vertical="center"/>
    </xf>
    <xf numFmtId="0" fontId="25" fillId="0" borderId="37" xfId="0" applyFont="1" applyBorder="1" applyAlignment="1">
      <alignment horizontal="center" vertical="center"/>
    </xf>
    <xf numFmtId="0" fontId="25" fillId="0" borderId="45" xfId="0" applyFont="1" applyBorder="1" applyAlignment="1">
      <alignment horizontal="center" vertical="center"/>
    </xf>
    <xf numFmtId="0" fontId="25" fillId="0" borderId="46" xfId="0" applyFont="1" applyBorder="1" applyAlignment="1">
      <alignment horizontal="center" vertical="center"/>
    </xf>
    <xf numFmtId="0" fontId="25" fillId="0" borderId="44" xfId="0" applyFont="1" applyBorder="1" applyAlignment="1">
      <alignment horizontal="center" vertical="center"/>
    </xf>
    <xf numFmtId="0" fontId="25" fillId="0" borderId="42" xfId="0" applyFont="1" applyBorder="1" applyAlignment="1">
      <alignment horizontal="center" vertical="center"/>
    </xf>
    <xf numFmtId="169" fontId="28" fillId="0" borderId="37" xfId="0" applyNumberFormat="1" applyFont="1" applyFill="1" applyBorder="1" applyAlignment="1">
      <alignment horizontal="center" vertical="center" wrapText="1"/>
    </xf>
    <xf numFmtId="169" fontId="27" fillId="0" borderId="23" xfId="0" applyNumberFormat="1" applyFont="1" applyFill="1" applyBorder="1" applyAlignment="1">
      <alignment horizontal="left" vertical="center" wrapText="1"/>
    </xf>
    <xf numFmtId="169" fontId="27" fillId="0" borderId="22" xfId="0" applyNumberFormat="1" applyFont="1" applyFill="1" applyBorder="1" applyAlignment="1">
      <alignment horizontal="left" vertical="center" wrapText="1"/>
    </xf>
    <xf numFmtId="0" fontId="25" fillId="33" borderId="20" xfId="0" applyFont="1" applyFill="1" applyBorder="1" applyAlignment="1">
      <alignment horizontal="right" vertical="center" wrapText="1"/>
    </xf>
    <xf numFmtId="0" fontId="25" fillId="33" borderId="19" xfId="0" applyFont="1" applyFill="1" applyBorder="1" applyAlignment="1">
      <alignment horizontal="right" vertical="center" wrapText="1"/>
    </xf>
    <xf numFmtId="0" fontId="30" fillId="0" borderId="34" xfId="0" applyFont="1" applyFill="1" applyBorder="1" applyAlignment="1">
      <alignment horizontal="center"/>
    </xf>
    <xf numFmtId="0" fontId="30" fillId="0" borderId="35" xfId="0" applyFont="1" applyFill="1" applyBorder="1" applyAlignment="1">
      <alignment horizontal="center"/>
    </xf>
    <xf numFmtId="0" fontId="30" fillId="0" borderId="36" xfId="0" applyFont="1" applyFill="1" applyBorder="1" applyAlignment="1">
      <alignment horizontal="center"/>
    </xf>
    <xf numFmtId="0" fontId="25" fillId="0" borderId="34" xfId="0" applyFont="1" applyFill="1" applyBorder="1" applyAlignment="1">
      <alignment horizontal="center" vertical="center" wrapText="1"/>
    </xf>
    <xf numFmtId="0" fontId="25" fillId="0" borderId="35" xfId="0" applyFont="1" applyFill="1" applyBorder="1" applyAlignment="1">
      <alignment horizontal="center" vertical="center" wrapText="1"/>
    </xf>
    <xf numFmtId="0" fontId="25" fillId="0" borderId="36" xfId="0" applyFont="1" applyFill="1" applyBorder="1" applyAlignment="1">
      <alignment horizontal="center" vertical="center" wrapText="1"/>
    </xf>
    <xf numFmtId="0" fontId="25" fillId="0" borderId="54" xfId="105" applyFont="1" applyFill="1" applyBorder="1" applyAlignment="1">
      <alignment horizontal="left" vertical="center" readingOrder="1"/>
    </xf>
    <xf numFmtId="0" fontId="25" fillId="0" borderId="26" xfId="105" applyFont="1" applyFill="1" applyBorder="1" applyAlignment="1">
      <alignment horizontal="left" vertical="center" readingOrder="1"/>
    </xf>
    <xf numFmtId="0" fontId="25" fillId="0" borderId="53" xfId="105" applyFont="1" applyFill="1" applyBorder="1" applyAlignment="1">
      <alignment horizontal="left" vertical="center" readingOrder="1"/>
    </xf>
    <xf numFmtId="0" fontId="25" fillId="0" borderId="20" xfId="105" applyFont="1" applyFill="1" applyBorder="1" applyAlignment="1">
      <alignment horizontal="left" vertical="center" readingOrder="1"/>
    </xf>
    <xf numFmtId="0" fontId="25" fillId="0" borderId="19" xfId="105" applyFont="1" applyFill="1" applyBorder="1" applyAlignment="1">
      <alignment horizontal="left" vertical="center" readingOrder="1"/>
    </xf>
    <xf numFmtId="0" fontId="25" fillId="0" borderId="21" xfId="105" applyFont="1" applyFill="1" applyBorder="1" applyAlignment="1">
      <alignment horizontal="left" vertical="center" readingOrder="1"/>
    </xf>
    <xf numFmtId="0" fontId="25" fillId="0" borderId="32" xfId="105" applyFont="1" applyFill="1" applyBorder="1" applyAlignment="1">
      <alignment horizontal="left" vertical="center" readingOrder="1"/>
    </xf>
    <xf numFmtId="0" fontId="25" fillId="0" borderId="29" xfId="105" applyFont="1" applyFill="1" applyBorder="1" applyAlignment="1">
      <alignment horizontal="left" vertical="center" readingOrder="1"/>
    </xf>
    <xf numFmtId="0" fontId="25" fillId="0" borderId="30" xfId="105" applyFont="1" applyFill="1" applyBorder="1" applyAlignment="1">
      <alignment horizontal="left" vertical="center" readingOrder="1"/>
    </xf>
    <xf numFmtId="0" fontId="25" fillId="46" borderId="40" xfId="0" applyNumberFormat="1" applyFont="1" applyFill="1" applyBorder="1" applyAlignment="1">
      <alignment horizontal="right" vertical="center"/>
    </xf>
    <xf numFmtId="0" fontId="25" fillId="46" borderId="41" xfId="0" applyNumberFormat="1" applyFont="1" applyFill="1" applyBorder="1" applyAlignment="1">
      <alignment horizontal="right" vertical="center"/>
    </xf>
    <xf numFmtId="0" fontId="25" fillId="36" borderId="20" xfId="0" applyFont="1" applyFill="1" applyBorder="1" applyAlignment="1">
      <alignment horizontal="center" vertical="center" wrapText="1"/>
    </xf>
    <xf numFmtId="0" fontId="25" fillId="36" borderId="19" xfId="0" applyFont="1" applyFill="1" applyBorder="1" applyAlignment="1">
      <alignment horizontal="center" vertical="center" wrapText="1"/>
    </xf>
    <xf numFmtId="0" fontId="25" fillId="40" borderId="20" xfId="0" applyNumberFormat="1" applyFont="1" applyFill="1" applyBorder="1" applyAlignment="1">
      <alignment horizontal="right" vertical="center"/>
    </xf>
    <xf numFmtId="0" fontId="25" fillId="40" borderId="19" xfId="0" applyNumberFormat="1" applyFont="1" applyFill="1" applyBorder="1" applyAlignment="1">
      <alignment horizontal="right" vertical="center"/>
    </xf>
    <xf numFmtId="0" fontId="127" fillId="0" borderId="49" xfId="0" applyFont="1" applyFill="1" applyBorder="1" applyAlignment="1">
      <alignment horizontal="center" wrapText="1"/>
    </xf>
    <xf numFmtId="0" fontId="127" fillId="0" borderId="0" xfId="0" applyFont="1" applyFill="1" applyBorder="1" applyAlignment="1">
      <alignment horizontal="center" wrapText="1"/>
    </xf>
    <xf numFmtId="0" fontId="91" fillId="0" borderId="49" xfId="0" applyFont="1" applyFill="1" applyBorder="1" applyAlignment="1">
      <alignment horizontal="center" wrapText="1"/>
    </xf>
    <xf numFmtId="10" fontId="27" fillId="0" borderId="22" xfId="120" applyNumberFormat="1" applyFont="1" applyBorder="1" applyAlignment="1">
      <alignment horizontal="center" vertical="center"/>
    </xf>
    <xf numFmtId="10" fontId="27" fillId="0" borderId="19" xfId="120" applyNumberFormat="1" applyFont="1" applyBorder="1" applyAlignment="1">
      <alignment horizontal="center" vertical="center"/>
    </xf>
    <xf numFmtId="0" fontId="28" fillId="42" borderId="34" xfId="0" applyFont="1" applyFill="1" applyBorder="1" applyAlignment="1">
      <alignment horizontal="right" wrapText="1"/>
    </xf>
    <xf numFmtId="0" fontId="28" fillId="42" borderId="36" xfId="0" applyFont="1" applyFill="1" applyBorder="1" applyAlignment="1">
      <alignment horizontal="right" wrapText="1"/>
    </xf>
    <xf numFmtId="0" fontId="28" fillId="42" borderId="34" xfId="0" applyFont="1" applyFill="1" applyBorder="1" applyAlignment="1">
      <alignment horizontal="right"/>
    </xf>
    <xf numFmtId="0" fontId="28" fillId="42" borderId="36" xfId="0" applyFont="1" applyFill="1" applyBorder="1" applyAlignment="1">
      <alignment horizontal="right"/>
    </xf>
    <xf numFmtId="0" fontId="6" fillId="0" borderId="34" xfId="0" applyFont="1" applyFill="1" applyBorder="1" applyAlignment="1">
      <alignment horizontal="center"/>
    </xf>
    <xf numFmtId="0" fontId="6" fillId="0" borderId="35" xfId="0" applyFont="1" applyFill="1" applyBorder="1" applyAlignment="1">
      <alignment horizontal="center"/>
    </xf>
    <xf numFmtId="0" fontId="6" fillId="0" borderId="36" xfId="0" applyFont="1" applyFill="1" applyBorder="1" applyAlignment="1">
      <alignment horizontal="center"/>
    </xf>
    <xf numFmtId="0" fontId="26" fillId="0" borderId="60" xfId="0" applyFont="1" applyBorder="1" applyAlignment="1">
      <alignment horizontal="center" vertical="center" wrapText="1"/>
    </xf>
    <xf numFmtId="0" fontId="73" fillId="35" borderId="19" xfId="0" applyFont="1" applyFill="1" applyBorder="1" applyAlignment="1" applyProtection="1">
      <alignment horizontal="left" vertical="center" wrapText="1"/>
    </xf>
    <xf numFmtId="0" fontId="64" fillId="0" borderId="48" xfId="0" applyFont="1" applyBorder="1" applyAlignment="1">
      <alignment horizontal="center" vertical="center"/>
    </xf>
    <xf numFmtId="0" fontId="64" fillId="0" borderId="49" xfId="0" applyFont="1" applyBorder="1" applyAlignment="1">
      <alignment horizontal="center" vertical="center"/>
    </xf>
    <xf numFmtId="0" fontId="64" fillId="0" borderId="50" xfId="0" applyFont="1" applyBorder="1" applyAlignment="1">
      <alignment horizontal="center" vertical="center"/>
    </xf>
    <xf numFmtId="0" fontId="64" fillId="0" borderId="27" xfId="0" applyFont="1" applyBorder="1" applyAlignment="1">
      <alignment horizontal="center" vertical="center"/>
    </xf>
    <xf numFmtId="0" fontId="64" fillId="0" borderId="0" xfId="0" applyFont="1" applyBorder="1" applyAlignment="1">
      <alignment horizontal="center" vertical="center"/>
    </xf>
    <xf numFmtId="0" fontId="64" fillId="0" borderId="51" xfId="0" applyFont="1" applyBorder="1" applyAlignment="1">
      <alignment horizontal="center" vertical="center"/>
    </xf>
    <xf numFmtId="0" fontId="64" fillId="0" borderId="52" xfId="0" applyFont="1" applyBorder="1" applyAlignment="1">
      <alignment horizontal="center" vertical="center"/>
    </xf>
    <xf numFmtId="0" fontId="64" fillId="0" borderId="38" xfId="0" applyFont="1" applyBorder="1" applyAlignment="1">
      <alignment horizontal="center" vertical="center"/>
    </xf>
    <xf numFmtId="0" fontId="64" fillId="0" borderId="47" xfId="0" applyFont="1" applyBorder="1" applyAlignment="1">
      <alignment horizontal="center" vertical="center"/>
    </xf>
    <xf numFmtId="0" fontId="65" fillId="37" borderId="19" xfId="0" applyFont="1" applyFill="1" applyBorder="1" applyAlignment="1">
      <alignment horizontal="center" vertical="center" wrapText="1"/>
    </xf>
    <xf numFmtId="0" fontId="65" fillId="35" borderId="19" xfId="0" applyFont="1" applyFill="1" applyBorder="1" applyAlignment="1">
      <alignment horizontal="center" vertical="center"/>
    </xf>
    <xf numFmtId="166" fontId="22" fillId="0" borderId="19" xfId="119" applyFont="1" applyFill="1" applyBorder="1" applyAlignment="1">
      <alignment horizontal="left" vertical="center"/>
    </xf>
    <xf numFmtId="0" fontId="22" fillId="0" borderId="19" xfId="0" applyFont="1" applyBorder="1" applyAlignment="1">
      <alignment horizontal="left" vertical="center"/>
    </xf>
    <xf numFmtId="166" fontId="22" fillId="0" borderId="19" xfId="0" applyNumberFormat="1" applyFont="1" applyFill="1" applyBorder="1" applyAlignment="1">
      <alignment horizontal="left" vertical="center" wrapText="1"/>
    </xf>
    <xf numFmtId="166" fontId="22" fillId="33" borderId="19" xfId="119" applyFont="1" applyFill="1" applyBorder="1" applyAlignment="1">
      <alignment horizontal="left" vertical="center"/>
    </xf>
    <xf numFmtId="0" fontId="6" fillId="0" borderId="19" xfId="0" applyFont="1" applyFill="1" applyBorder="1" applyAlignment="1">
      <alignment horizontal="center"/>
    </xf>
    <xf numFmtId="0" fontId="22" fillId="0" borderId="19" xfId="105" applyFont="1" applyFill="1" applyBorder="1" applyAlignment="1">
      <alignment horizontal="left" vertical="center" readingOrder="1"/>
    </xf>
    <xf numFmtId="0" fontId="22" fillId="0" borderId="19" xfId="0" applyFont="1" applyFill="1" applyBorder="1" applyAlignment="1">
      <alignment horizontal="center" vertical="center" wrapText="1"/>
    </xf>
    <xf numFmtId="0" fontId="119" fillId="53" borderId="0" xfId="0" applyFont="1" applyFill="1" applyAlignment="1">
      <alignment horizontal="right" vertical="top" wrapText="1"/>
    </xf>
    <xf numFmtId="0" fontId="119" fillId="53" borderId="0" xfId="0" applyFont="1" applyFill="1" applyAlignment="1">
      <alignment horizontal="left" vertical="top" wrapText="1"/>
    </xf>
    <xf numFmtId="4" fontId="119" fillId="53" borderId="0" xfId="0" applyNumberFormat="1" applyFont="1" applyFill="1" applyAlignment="1">
      <alignment horizontal="right" vertical="top" wrapText="1"/>
    </xf>
    <xf numFmtId="0" fontId="121" fillId="56" borderId="64" xfId="0" applyFont="1" applyFill="1" applyBorder="1" applyAlignment="1">
      <alignment horizontal="left" vertical="top" wrapText="1"/>
    </xf>
    <xf numFmtId="0" fontId="121" fillId="56" borderId="65" xfId="0" applyFont="1" applyFill="1" applyBorder="1" applyAlignment="1">
      <alignment horizontal="left" vertical="top" wrapText="1"/>
    </xf>
    <xf numFmtId="0" fontId="121" fillId="53" borderId="67" xfId="0" applyFont="1" applyFill="1" applyBorder="1" applyAlignment="1">
      <alignment horizontal="right" vertical="top" wrapText="1"/>
    </xf>
    <xf numFmtId="0" fontId="118" fillId="53" borderId="64" xfId="0" applyFont="1" applyFill="1" applyBorder="1" applyAlignment="1">
      <alignment horizontal="left" vertical="top" wrapText="1"/>
    </xf>
    <xf numFmtId="0" fontId="118" fillId="53" borderId="65" xfId="0" applyFont="1" applyFill="1" applyBorder="1" applyAlignment="1">
      <alignment horizontal="left" vertical="top" wrapText="1"/>
    </xf>
    <xf numFmtId="0" fontId="120" fillId="54" borderId="64" xfId="0" applyFont="1" applyFill="1" applyBorder="1" applyAlignment="1">
      <alignment horizontal="left" vertical="top" wrapText="1"/>
    </xf>
    <xf numFmtId="0" fontId="120" fillId="54" borderId="65" xfId="0" applyFont="1" applyFill="1" applyBorder="1" applyAlignment="1">
      <alignment horizontal="left" vertical="top" wrapText="1"/>
    </xf>
    <xf numFmtId="0" fontId="121" fillId="55" borderId="64" xfId="0" applyFont="1" applyFill="1" applyBorder="1" applyAlignment="1">
      <alignment horizontal="left" vertical="top" wrapText="1"/>
    </xf>
    <xf numFmtId="0" fontId="121" fillId="55" borderId="65" xfId="0" applyFont="1" applyFill="1" applyBorder="1" applyAlignment="1">
      <alignment horizontal="left" vertical="top" wrapText="1"/>
    </xf>
    <xf numFmtId="0" fontId="118" fillId="53" borderId="0" xfId="0" applyFont="1" applyFill="1" applyAlignment="1">
      <alignment horizontal="center" wrapText="1"/>
    </xf>
    <xf numFmtId="0" fontId="118" fillId="53" borderId="0" xfId="0" applyFont="1" applyFill="1" applyAlignment="1">
      <alignment horizontal="left" vertical="top" wrapText="1"/>
    </xf>
    <xf numFmtId="0" fontId="118" fillId="53" borderId="66" xfId="0" applyFont="1" applyFill="1" applyBorder="1" applyAlignment="1">
      <alignment horizontal="center" wrapText="1"/>
    </xf>
    <xf numFmtId="0" fontId="121" fillId="56" borderId="62" xfId="0" applyFont="1" applyFill="1" applyBorder="1" applyAlignment="1">
      <alignment horizontal="right" vertical="top" wrapText="1"/>
    </xf>
    <xf numFmtId="4" fontId="121" fillId="56" borderId="62" xfId="0" applyNumberFormat="1" applyFont="1" applyFill="1" applyBorder="1" applyAlignment="1">
      <alignment horizontal="right" vertical="top" wrapText="1"/>
    </xf>
    <xf numFmtId="0" fontId="0" fillId="0" borderId="0" xfId="0"/>
    <xf numFmtId="0" fontId="31" fillId="40" borderId="0" xfId="0" applyFont="1" applyFill="1" applyBorder="1"/>
    <xf numFmtId="165" fontId="25" fillId="40" borderId="0" xfId="150" applyFont="1" applyFill="1" applyBorder="1" applyAlignment="1">
      <alignment horizontal="right" vertical="center"/>
    </xf>
    <xf numFmtId="165" fontId="25" fillId="46" borderId="0" xfId="150" applyFont="1" applyFill="1" applyBorder="1" applyAlignment="1">
      <alignment horizontal="right" vertical="center"/>
    </xf>
  </cellXfs>
  <cellStyles count="323">
    <cellStyle name="_x000d__x000a_JournalTemplate=C:\COMFO\CTALK\JOURSTD.TPL_x000d__x000a_LbStateAddress=3 3 0 251 1 89 2 311_x000d__x000a_LbStateJou" xfId="216"/>
    <cellStyle name="20% - Accent1" xfId="1"/>
    <cellStyle name="20% - Accent1 2" xfId="279"/>
    <cellStyle name="20% - Accent2" xfId="2"/>
    <cellStyle name="20% - Accent2 2" xfId="280"/>
    <cellStyle name="20% - Accent3" xfId="3"/>
    <cellStyle name="20% - Accent3 2" xfId="281"/>
    <cellStyle name="20% - Accent4" xfId="4"/>
    <cellStyle name="20% - Accent4 2" xfId="282"/>
    <cellStyle name="20% - Accent5" xfId="5"/>
    <cellStyle name="20% - Accent5 2" xfId="283"/>
    <cellStyle name="20% - Accent6" xfId="6"/>
    <cellStyle name="20% - Accent6 2" xfId="284"/>
    <cellStyle name="20% - Ênfase1" xfId="7" builtinId="30" customBuiltin="1"/>
    <cellStyle name="20% - Ênfase1 100" xfId="158"/>
    <cellStyle name="20% - Ênfase1 2" xfId="8"/>
    <cellStyle name="20% - Ênfase2" xfId="9" builtinId="34" customBuiltin="1"/>
    <cellStyle name="20% - Ênfase2 2" xfId="10"/>
    <cellStyle name="20% - Ênfase3" xfId="11" builtinId="38" customBuiltin="1"/>
    <cellStyle name="20% - Ênfase3 2" xfId="12"/>
    <cellStyle name="20% - Ênfase4" xfId="13" builtinId="42" customBuiltin="1"/>
    <cellStyle name="20% - Ênfase4 2" xfId="14"/>
    <cellStyle name="20% - Ênfase5" xfId="15" builtinId="46" customBuiltin="1"/>
    <cellStyle name="20% - Ênfase5 2" xfId="16"/>
    <cellStyle name="20% - Ênfase6" xfId="17" builtinId="50" customBuiltin="1"/>
    <cellStyle name="20% - Ênfase6 2" xfId="18"/>
    <cellStyle name="40% - Accent1" xfId="19"/>
    <cellStyle name="40% - Accent1 2" xfId="285"/>
    <cellStyle name="40% - Accent2" xfId="20"/>
    <cellStyle name="40% - Accent2 2" xfId="286"/>
    <cellStyle name="40% - Accent3" xfId="21"/>
    <cellStyle name="40% - Accent3 2" xfId="287"/>
    <cellStyle name="40% - Accent4" xfId="22"/>
    <cellStyle name="40% - Accent4 2" xfId="288"/>
    <cellStyle name="40% - Accent5" xfId="23"/>
    <cellStyle name="40% - Accent5 2" xfId="289"/>
    <cellStyle name="40% - Accent6" xfId="24"/>
    <cellStyle name="40% - Accent6 2" xfId="290"/>
    <cellStyle name="40% - Ênfase1" xfId="25" builtinId="31" customBuiltin="1"/>
    <cellStyle name="40% - Ênfase1 2" xfId="26"/>
    <cellStyle name="40% - Ênfase2" xfId="27" builtinId="35" customBuiltin="1"/>
    <cellStyle name="40% - Ênfase2 2" xfId="28"/>
    <cellStyle name="40% - Ênfase3" xfId="29" builtinId="39" customBuiltin="1"/>
    <cellStyle name="40% - Ênfase3 2" xfId="30"/>
    <cellStyle name="40% - Ênfase4" xfId="31" builtinId="43" customBuiltin="1"/>
    <cellStyle name="40% - Ênfase4 2" xfId="32"/>
    <cellStyle name="40% - Ênfase5" xfId="33" builtinId="47" customBuiltin="1"/>
    <cellStyle name="40% - Ênfase5 2" xfId="34"/>
    <cellStyle name="40% - Ênfase6" xfId="35" builtinId="51" customBuiltin="1"/>
    <cellStyle name="40% - Ênfase6 2" xfId="36"/>
    <cellStyle name="60% - Accent1" xfId="37"/>
    <cellStyle name="60% - Accent1 2" xfId="291"/>
    <cellStyle name="60% - Accent2" xfId="38"/>
    <cellStyle name="60% - Accent2 2" xfId="292"/>
    <cellStyle name="60% - Accent3" xfId="39"/>
    <cellStyle name="60% - Accent3 2" xfId="293"/>
    <cellStyle name="60% - Accent4" xfId="40"/>
    <cellStyle name="60% - Accent4 2" xfId="294"/>
    <cellStyle name="60% - Accent5" xfId="41"/>
    <cellStyle name="60% - Accent5 2" xfId="295"/>
    <cellStyle name="60% - Accent6" xfId="42"/>
    <cellStyle name="60% - Accent6 2" xfId="296"/>
    <cellStyle name="60% - Ênfase1" xfId="43" builtinId="32" customBuiltin="1"/>
    <cellStyle name="60% - Ênfase1 2" xfId="44"/>
    <cellStyle name="60% - Ênfase2" xfId="45" builtinId="36" customBuiltin="1"/>
    <cellStyle name="60% - Ênfase2 2" xfId="46"/>
    <cellStyle name="60% - Ênfase3" xfId="47" builtinId="40" customBuiltin="1"/>
    <cellStyle name="60% - Ênfase3 2" xfId="48"/>
    <cellStyle name="60% - Ênfase4" xfId="49" builtinId="44" customBuiltin="1"/>
    <cellStyle name="60% - Ênfase4 2" xfId="50"/>
    <cellStyle name="60% - Ênfase5" xfId="51" builtinId="48" customBuiltin="1"/>
    <cellStyle name="60% - Ênfase5 2" xfId="52"/>
    <cellStyle name="60% - Ênfase6" xfId="53" builtinId="52" customBuiltin="1"/>
    <cellStyle name="60% - Ênfase6 2" xfId="54"/>
    <cellStyle name="60% - Ênfase6 37" xfId="159"/>
    <cellStyle name="Accent1" xfId="55"/>
    <cellStyle name="Accent1 2" xfId="297"/>
    <cellStyle name="Accent2" xfId="56"/>
    <cellStyle name="Accent2 2" xfId="298"/>
    <cellStyle name="Accent3" xfId="57"/>
    <cellStyle name="Accent3 2" xfId="299"/>
    <cellStyle name="Accent4" xfId="58"/>
    <cellStyle name="Accent4 2" xfId="300"/>
    <cellStyle name="Accent5" xfId="59"/>
    <cellStyle name="Accent5 2" xfId="301"/>
    <cellStyle name="Accent6" xfId="60"/>
    <cellStyle name="Accent6 2" xfId="302"/>
    <cellStyle name="Bad" xfId="61"/>
    <cellStyle name="Bad 2" xfId="303"/>
    <cellStyle name="Bom" xfId="62" builtinId="26" customBuiltin="1"/>
    <cellStyle name="Bom 2" xfId="63"/>
    <cellStyle name="Calculation" xfId="64"/>
    <cellStyle name="Calculation 2" xfId="304"/>
    <cellStyle name="Cálculo" xfId="65" builtinId="22" customBuiltin="1"/>
    <cellStyle name="Cálculo 2" xfId="66"/>
    <cellStyle name="Célula de Verificação" xfId="67" builtinId="23" customBuiltin="1"/>
    <cellStyle name="Célula de Verificação 2" xfId="68"/>
    <cellStyle name="Célula Vinculada" xfId="69" builtinId="24" customBuiltin="1"/>
    <cellStyle name="Célula Vinculada 2" xfId="70"/>
    <cellStyle name="Check Cell" xfId="71"/>
    <cellStyle name="Comma_Arauco Piping list" xfId="217"/>
    <cellStyle name="Comma0" xfId="72"/>
    <cellStyle name="Comma0 2" xfId="218"/>
    <cellStyle name="CORES" xfId="219"/>
    <cellStyle name="Currency [0]_Arauco Piping list" xfId="220"/>
    <cellStyle name="Currency_Arauco Piping list" xfId="221"/>
    <cellStyle name="Currency0" xfId="73"/>
    <cellStyle name="Currency0 2" xfId="222"/>
    <cellStyle name="Data" xfId="223"/>
    <cellStyle name="Date" xfId="224"/>
    <cellStyle name="Ênfase1" xfId="74" builtinId="29" customBuiltin="1"/>
    <cellStyle name="Ênfase1 2" xfId="75"/>
    <cellStyle name="Ênfase2" xfId="76" builtinId="33" customBuiltin="1"/>
    <cellStyle name="Ênfase2 2" xfId="77"/>
    <cellStyle name="Ênfase3" xfId="78" builtinId="37" customBuiltin="1"/>
    <cellStyle name="Ênfase3 2" xfId="79"/>
    <cellStyle name="Ênfase4" xfId="80" builtinId="41" customBuiltin="1"/>
    <cellStyle name="Ênfase4 2" xfId="81"/>
    <cellStyle name="Ênfase5" xfId="82" builtinId="45" customBuiltin="1"/>
    <cellStyle name="Ênfase5 2" xfId="83"/>
    <cellStyle name="Ênfase6" xfId="84" builtinId="49" customBuiltin="1"/>
    <cellStyle name="Ênfase6 2" xfId="85"/>
    <cellStyle name="Entrada" xfId="86" builtinId="20" customBuiltin="1"/>
    <cellStyle name="Entrada 2" xfId="87"/>
    <cellStyle name="Excel Built-in Excel Built-in Excel Built-in Excel Built-in Excel Built-in Excel Built-in Excel Built-in Excel Built-in Separador de milhares 4" xfId="160"/>
    <cellStyle name="Excel Built-in Excel Built-in Excel Built-in Excel Built-in Excel Built-in Excel Built-in Excel Built-in Separador de milhares 4" xfId="161"/>
    <cellStyle name="Excel Built-in Normal" xfId="88"/>
    <cellStyle name="Excel Built-in Normal 1" xfId="163"/>
    <cellStyle name="Excel Built-in Normal 2" xfId="185"/>
    <cellStyle name="Excel Built-in Normal 3" xfId="196"/>
    <cellStyle name="Excel Built-in Normal 4" xfId="162"/>
    <cellStyle name="Excel_BuiltIn_Comma" xfId="164"/>
    <cellStyle name="Explanatory Text" xfId="89"/>
    <cellStyle name="Explanatory Text 2" xfId="305"/>
    <cellStyle name="Fixed" xfId="225"/>
    <cellStyle name="Fixo" xfId="226"/>
    <cellStyle name="Followed Hyperlink" xfId="227"/>
    <cellStyle name="Good" xfId="90"/>
    <cellStyle name="Grey" xfId="228"/>
    <cellStyle name="Heading" xfId="165"/>
    <cellStyle name="Heading 1" xfId="91"/>
    <cellStyle name="Heading 1 2" xfId="229"/>
    <cellStyle name="Heading 2" xfId="92"/>
    <cellStyle name="Heading 2 2" xfId="230"/>
    <cellStyle name="Heading 3" xfId="93"/>
    <cellStyle name="Heading 3 2" xfId="306"/>
    <cellStyle name="Heading 4" xfId="94"/>
    <cellStyle name="Heading 4 2" xfId="307"/>
    <cellStyle name="Heading1" xfId="166"/>
    <cellStyle name="Hiperlink 2" xfId="186"/>
    <cellStyle name="Incorreto" xfId="95" builtinId="27" customBuiltin="1"/>
    <cellStyle name="Incorreto 2" xfId="96"/>
    <cellStyle name="Indefinido" xfId="231"/>
    <cellStyle name="Input" xfId="97"/>
    <cellStyle name="Input [yellow]" xfId="232"/>
    <cellStyle name="Linked Cell" xfId="98"/>
    <cellStyle name="material" xfId="233"/>
    <cellStyle name="MINIPG" xfId="234"/>
    <cellStyle name="Moeda" xfId="99" builtinId="4"/>
    <cellStyle name="Moeda 2" xfId="100"/>
    <cellStyle name="Moeda 2 2" xfId="149"/>
    <cellStyle name="Moeda 2 3" xfId="187"/>
    <cellStyle name="Moeda 3" xfId="101"/>
    <cellStyle name="Moeda 3 2" xfId="308"/>
    <cellStyle name="Moeda 4" xfId="152"/>
    <cellStyle name="Moeda 4 2" xfId="309"/>
    <cellStyle name="Moeda 4 3" xfId="274"/>
    <cellStyle name="Moeda 5" xfId="150"/>
    <cellStyle name="Moeda 6" xfId="273"/>
    <cellStyle name="Neutra" xfId="102" builtinId="28" customBuiltin="1"/>
    <cellStyle name="Neutra 2" xfId="103"/>
    <cellStyle name="Neutral" xfId="104"/>
    <cellStyle name="Normal" xfId="0" builtinId="0"/>
    <cellStyle name="Normal - Style1" xfId="235"/>
    <cellStyle name="Normal 10" xfId="201"/>
    <cellStyle name="Normal 11" xfId="151"/>
    <cellStyle name="Normal 11 2" xfId="272"/>
    <cellStyle name="Normal 12" xfId="208"/>
    <cellStyle name="Normal 13" xfId="209"/>
    <cellStyle name="Normal 14" xfId="211"/>
    <cellStyle name="Normal 15" xfId="214"/>
    <cellStyle name="Normal 16" xfId="249"/>
    <cellStyle name="Normal 17" xfId="252"/>
    <cellStyle name="Normal 18" xfId="253"/>
    <cellStyle name="Normal 180" xfId="276"/>
    <cellStyle name="Normal 181" xfId="155"/>
    <cellStyle name="Normal 19" xfId="254"/>
    <cellStyle name="Normal 2" xfId="105"/>
    <cellStyle name="Normal 2 2" xfId="173"/>
    <cellStyle name="Normal 2 2 2" xfId="321"/>
    <cellStyle name="Normal 20" xfId="255"/>
    <cellStyle name="Normal 21" xfId="154"/>
    <cellStyle name="Normal 22" xfId="256"/>
    <cellStyle name="Normal 23" xfId="257"/>
    <cellStyle name="Normal 24" xfId="258"/>
    <cellStyle name="Normal 25" xfId="259"/>
    <cellStyle name="Normal 26" xfId="260"/>
    <cellStyle name="Normal 27" xfId="261"/>
    <cellStyle name="Normal 28" xfId="262"/>
    <cellStyle name="Normal 29" xfId="263"/>
    <cellStyle name="Normal 3" xfId="145"/>
    <cellStyle name="Normal 3 2" xfId="147"/>
    <cellStyle name="Normal 3 2 2" xfId="175"/>
    <cellStyle name="Normal 3 3" xfId="106"/>
    <cellStyle name="Normal 3 4" xfId="174"/>
    <cellStyle name="Normal 30" xfId="107"/>
    <cellStyle name="Normal 31" xfId="264"/>
    <cellStyle name="Normal 32" xfId="265"/>
    <cellStyle name="Normal 33" xfId="266"/>
    <cellStyle name="Normal 34" xfId="267"/>
    <cellStyle name="Normal 35" xfId="268"/>
    <cellStyle name="Normal 36" xfId="269"/>
    <cellStyle name="Normal 37" xfId="271"/>
    <cellStyle name="Normal 38" xfId="277"/>
    <cellStyle name="Normal 38 2" xfId="319"/>
    <cellStyle name="Normal 39" xfId="310"/>
    <cellStyle name="Normal 4" xfId="108"/>
    <cellStyle name="Normal 4 2" xfId="144"/>
    <cellStyle name="Normal 4 2 2" xfId="311"/>
    <cellStyle name="Normal 4 3" xfId="176"/>
    <cellStyle name="Normal 40" xfId="167"/>
    <cellStyle name="Normal 41" xfId="318"/>
    <cellStyle name="Normal 42" xfId="317"/>
    <cellStyle name="Normal 43" xfId="316"/>
    <cellStyle name="Normal 5" xfId="146"/>
    <cellStyle name="Normal 5 2" xfId="203"/>
    <cellStyle name="Normal 5 3" xfId="179"/>
    <cellStyle name="Normal 6" xfId="109"/>
    <cellStyle name="Normal 6 2" xfId="197"/>
    <cellStyle name="Normal 6 2 2" xfId="206"/>
    <cellStyle name="Normal 6 3" xfId="204"/>
    <cellStyle name="Normal 6 4" xfId="180"/>
    <cellStyle name="Normal 7" xfId="181"/>
    <cellStyle name="Normal 7 2" xfId="194"/>
    <cellStyle name="Normal 8" xfId="195"/>
    <cellStyle name="Normal 8 2" xfId="205"/>
    <cellStyle name="Normal 85" xfId="322"/>
    <cellStyle name="Normal 87" xfId="320"/>
    <cellStyle name="Normal 9" xfId="202"/>
    <cellStyle name="Normal1" xfId="236"/>
    <cellStyle name="Normal2" xfId="237"/>
    <cellStyle name="Normal3" xfId="238"/>
    <cellStyle name="Nota" xfId="110" builtinId="10" customBuiltin="1"/>
    <cellStyle name="Nota 2" xfId="111"/>
    <cellStyle name="Nota 2 2" xfId="312"/>
    <cellStyle name="Note" xfId="112"/>
    <cellStyle name="Output" xfId="113"/>
    <cellStyle name="Output 2" xfId="313"/>
    <cellStyle name="Percent [2]" xfId="239"/>
    <cellStyle name="Percent_Sheet1" xfId="240"/>
    <cellStyle name="Percentual" xfId="241"/>
    <cellStyle name="Ponto" xfId="242"/>
    <cellStyle name="Porcentagem" xfId="114" builtinId="5"/>
    <cellStyle name="Porcentagem 2" xfId="115"/>
    <cellStyle name="Porcentagem 3" xfId="116"/>
    <cellStyle name="Porcentagem 3 2" xfId="198"/>
    <cellStyle name="Porcentagem 3 3" xfId="188"/>
    <cellStyle name="Porcentagem 4" xfId="184"/>
    <cellStyle name="Porcentagem 4 2" xfId="189"/>
    <cellStyle name="Porcentagem 5" xfId="215"/>
    <cellStyle name="Porcentagem 6" xfId="251"/>
    <cellStyle name="Porcentagem 7" xfId="278"/>
    <cellStyle name="Result" xfId="168"/>
    <cellStyle name="Result2" xfId="169"/>
    <cellStyle name="Saída" xfId="117" builtinId="21" customBuiltin="1"/>
    <cellStyle name="Saída 2" xfId="118"/>
    <cellStyle name="Sep. milhar [0]" xfId="243"/>
    <cellStyle name="Separador de m" xfId="244"/>
    <cellStyle name="Separador de milhares" xfId="119" builtinId="3"/>
    <cellStyle name="Separador de milhares 2" xfId="120"/>
    <cellStyle name="Separador de milhares 2 10" xfId="275"/>
    <cellStyle name="Separador de milhares 2 2" xfId="177"/>
    <cellStyle name="Separador de milhares 2 3" xfId="171"/>
    <cellStyle name="Separador de milhares 3" xfId="121"/>
    <cellStyle name="Separador de milhares 3 2" xfId="122"/>
    <cellStyle name="Separador de milhares 3 3" xfId="178"/>
    <cellStyle name="Separador de milhares 4" xfId="153"/>
    <cellStyle name="Separador de milhares 4 2" xfId="172"/>
    <cellStyle name="Sepavador de milhares [0]_Pasta2" xfId="245"/>
    <cellStyle name="Standard_RP100_01 (metr.)" xfId="246"/>
    <cellStyle name="Texto de Aviso" xfId="123" builtinId="11" customBuiltin="1"/>
    <cellStyle name="Texto de Aviso 2" xfId="124"/>
    <cellStyle name="Texto Explicativo" xfId="125" builtinId="53" customBuiltin="1"/>
    <cellStyle name="Texto Explicativo 2" xfId="126"/>
    <cellStyle name="Title" xfId="127"/>
    <cellStyle name="Title 2" xfId="314"/>
    <cellStyle name="Título" xfId="128" builtinId="15" customBuiltin="1"/>
    <cellStyle name="Título 1" xfId="129" builtinId="16" customBuiltin="1"/>
    <cellStyle name="Título 1 2" xfId="130"/>
    <cellStyle name="Título 2" xfId="131" builtinId="17" customBuiltin="1"/>
    <cellStyle name="Título 2 2" xfId="132"/>
    <cellStyle name="Título 3" xfId="133" builtinId="18" customBuiltin="1"/>
    <cellStyle name="Título 3 2" xfId="134"/>
    <cellStyle name="Título 4" xfId="135" builtinId="19" customBuiltin="1"/>
    <cellStyle name="Título 4 2" xfId="136"/>
    <cellStyle name="Título 5" xfId="137"/>
    <cellStyle name="Titulo1" xfId="247"/>
    <cellStyle name="Titulo2" xfId="248"/>
    <cellStyle name="Total" xfId="138" builtinId="25" customBuiltin="1"/>
    <cellStyle name="Total 2" xfId="139"/>
    <cellStyle name="Vírgula 10" xfId="250"/>
    <cellStyle name="Vírgula 11" xfId="270"/>
    <cellStyle name="Vírgula 12" xfId="170"/>
    <cellStyle name="Vírgula 13" xfId="156"/>
    <cellStyle name="Vírgula 2" xfId="140"/>
    <cellStyle name="Vírgula 2 2" xfId="148"/>
    <cellStyle name="Vírgula 2 2 2" xfId="315"/>
    <cellStyle name="Vírgula 2 2 3" xfId="200"/>
    <cellStyle name="Vírgula 2 3" xfId="182"/>
    <cellStyle name="Vírgula 3" xfId="141"/>
    <cellStyle name="Vírgula 3 2" xfId="191"/>
    <cellStyle name="Vírgula 3 3" xfId="190"/>
    <cellStyle name="Vírgula 4" xfId="192"/>
    <cellStyle name="Vírgula 5" xfId="142"/>
    <cellStyle name="Vírgula 5 2" xfId="193"/>
    <cellStyle name="Vírgula 5 3" xfId="183"/>
    <cellStyle name="Vírgula 6" xfId="199"/>
    <cellStyle name="Vírgula 6 2" xfId="157"/>
    <cellStyle name="Vírgula 6 2 2" xfId="207"/>
    <cellStyle name="Vírgula 7" xfId="210"/>
    <cellStyle name="Vírgula 8" xfId="212"/>
    <cellStyle name="Vírgula 9" xfId="213"/>
    <cellStyle name="Warning Text" xfId="143"/>
  </cellStyles>
  <dxfs count="260">
    <dxf>
      <border>
        <left style="thin">
          <color rgb="FF000000"/>
        </left>
        <right style="thin">
          <color rgb="FF000000"/>
        </right>
        <top style="thin">
          <color rgb="FF000000"/>
        </top>
        <bottom style="thin">
          <color rgb="FF000000"/>
        </bottom>
      </border>
    </dxf>
    <dxf>
      <font>
        <b/>
        <i val="0"/>
        <condense val="0"/>
        <extend val="0"/>
      </font>
      <fill>
        <patternFill>
          <bgColor rgb="FFC0C0C0"/>
        </patternFill>
      </fill>
      <border>
        <left style="thin">
          <color rgb="FF000000"/>
        </left>
        <right style="thin">
          <color rgb="FF000000"/>
        </right>
        <top style="thin">
          <color rgb="FF000000"/>
        </top>
        <bottom style="thin">
          <color rgb="FF000000"/>
        </bottom>
      </border>
    </dxf>
    <dxf>
      <border>
        <left style="thin">
          <color rgb="FF000000"/>
        </left>
        <right style="thin">
          <color rgb="FF000000"/>
        </right>
        <top style="thin">
          <color rgb="FF000000"/>
        </top>
        <bottom style="thin">
          <color rgb="FF000000"/>
        </bottom>
      </border>
    </dxf>
    <dxf>
      <font>
        <b/>
        <i val="0"/>
        <condense val="0"/>
        <extend val="0"/>
      </font>
      <fill>
        <patternFill>
          <bgColor rgb="FFC0C0C0"/>
        </patternFill>
      </fill>
      <border>
        <left style="thin">
          <color rgb="FF000000"/>
        </left>
        <right style="thin">
          <color rgb="FF000000"/>
        </right>
        <top style="thin">
          <color rgb="FF000000"/>
        </top>
        <bottom style="thin">
          <color rgb="FF000000"/>
        </bottom>
      </border>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onnections" Target="connection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739588</xdr:colOff>
      <xdr:row>1271</xdr:row>
      <xdr:rowOff>134470</xdr:rowOff>
    </xdr:from>
    <xdr:ext cx="184731" cy="264560"/>
    <xdr:sp macro="" textlink="">
      <xdr:nvSpPr>
        <xdr:cNvPr id="3" name="CaixaDeTexto 2">
          <a:extLst>
            <a:ext uri="{FF2B5EF4-FFF2-40B4-BE49-F238E27FC236}">
              <a16:creationId xmlns="" xmlns:a16="http://schemas.microsoft.com/office/drawing/2014/main" id="{CAFB800B-BB1B-4DB6-9C61-B28955373538}"/>
            </a:ext>
          </a:extLst>
        </xdr:cNvPr>
        <xdr:cNvSpPr txBox="1"/>
      </xdr:nvSpPr>
      <xdr:spPr>
        <a:xfrm>
          <a:off x="4090147" y="33848488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2342030</xdr:colOff>
      <xdr:row>1265</xdr:row>
      <xdr:rowOff>89646</xdr:rowOff>
    </xdr:from>
    <xdr:ext cx="184731" cy="264560"/>
    <xdr:sp macro="" textlink="">
      <xdr:nvSpPr>
        <xdr:cNvPr id="4" name="CaixaDeTexto 3">
          <a:extLst>
            <a:ext uri="{FF2B5EF4-FFF2-40B4-BE49-F238E27FC236}">
              <a16:creationId xmlns="" xmlns:a16="http://schemas.microsoft.com/office/drawing/2014/main" id="{DEE9C0CF-C19C-4AFD-9761-E555BA327C39}"/>
            </a:ext>
          </a:extLst>
        </xdr:cNvPr>
        <xdr:cNvSpPr txBox="1"/>
      </xdr:nvSpPr>
      <xdr:spPr>
        <a:xfrm>
          <a:off x="2801471" y="33785735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1274</xdr:row>
      <xdr:rowOff>0</xdr:rowOff>
    </xdr:from>
    <xdr:ext cx="184731" cy="264560"/>
    <xdr:sp macro="" textlink="">
      <xdr:nvSpPr>
        <xdr:cNvPr id="63" name="CaixaDeTexto 62">
          <a:extLst>
            <a:ext uri="{FF2B5EF4-FFF2-40B4-BE49-F238E27FC236}">
              <a16:creationId xmlns="" xmlns:a16="http://schemas.microsoft.com/office/drawing/2014/main" id="{2791B18D-18CF-4EC5-A187-8EA1B959AF87}"/>
            </a:ext>
          </a:extLst>
        </xdr:cNvPr>
        <xdr:cNvSpPr txBox="1"/>
      </xdr:nvSpPr>
      <xdr:spPr>
        <a:xfrm>
          <a:off x="2259106" y="9163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1305</xdr:row>
      <xdr:rowOff>0</xdr:rowOff>
    </xdr:from>
    <xdr:ext cx="184731" cy="264560"/>
    <xdr:sp macro="" textlink="">
      <xdr:nvSpPr>
        <xdr:cNvPr id="64" name="CaixaDeTexto 63">
          <a:extLst>
            <a:ext uri="{FF2B5EF4-FFF2-40B4-BE49-F238E27FC236}">
              <a16:creationId xmlns="" xmlns:a16="http://schemas.microsoft.com/office/drawing/2014/main" id="{DFB0855D-72FA-46B9-9DC5-EC795FE5165B}"/>
            </a:ext>
          </a:extLst>
        </xdr:cNvPr>
        <xdr:cNvSpPr txBox="1"/>
      </xdr:nvSpPr>
      <xdr:spPr>
        <a:xfrm>
          <a:off x="2259106" y="2008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1305</xdr:row>
      <xdr:rowOff>0</xdr:rowOff>
    </xdr:from>
    <xdr:ext cx="184731" cy="264560"/>
    <xdr:sp macro="" textlink="">
      <xdr:nvSpPr>
        <xdr:cNvPr id="65" name="CaixaDeTexto 64">
          <a:extLst>
            <a:ext uri="{FF2B5EF4-FFF2-40B4-BE49-F238E27FC236}">
              <a16:creationId xmlns="" xmlns:a16="http://schemas.microsoft.com/office/drawing/2014/main" id="{DB19EDBA-F56B-44E6-964E-F1A63CBD7B5E}"/>
            </a:ext>
          </a:extLst>
        </xdr:cNvPr>
        <xdr:cNvSpPr txBox="1"/>
      </xdr:nvSpPr>
      <xdr:spPr>
        <a:xfrm>
          <a:off x="2259106" y="2008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1306</xdr:row>
      <xdr:rowOff>0</xdr:rowOff>
    </xdr:from>
    <xdr:ext cx="184731" cy="264560"/>
    <xdr:sp macro="" textlink="">
      <xdr:nvSpPr>
        <xdr:cNvPr id="66" name="CaixaDeTexto 65">
          <a:extLst>
            <a:ext uri="{FF2B5EF4-FFF2-40B4-BE49-F238E27FC236}">
              <a16:creationId xmlns="" xmlns:a16="http://schemas.microsoft.com/office/drawing/2014/main" id="{9C818E92-C0A6-4FDF-9F84-51F18871471C}"/>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1306</xdr:row>
      <xdr:rowOff>0</xdr:rowOff>
    </xdr:from>
    <xdr:ext cx="184731" cy="264560"/>
    <xdr:sp macro="" textlink="">
      <xdr:nvSpPr>
        <xdr:cNvPr id="67" name="CaixaDeTexto 66">
          <a:extLst>
            <a:ext uri="{FF2B5EF4-FFF2-40B4-BE49-F238E27FC236}">
              <a16:creationId xmlns="" xmlns:a16="http://schemas.microsoft.com/office/drawing/2014/main" id="{FE381758-FBB2-46E9-AFC9-5AF860B9F6F1}"/>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1305</xdr:row>
      <xdr:rowOff>0</xdr:rowOff>
    </xdr:from>
    <xdr:ext cx="184731" cy="264560"/>
    <xdr:sp macro="" textlink="">
      <xdr:nvSpPr>
        <xdr:cNvPr id="68" name="CaixaDeTexto 67">
          <a:extLst>
            <a:ext uri="{FF2B5EF4-FFF2-40B4-BE49-F238E27FC236}">
              <a16:creationId xmlns="" xmlns:a16="http://schemas.microsoft.com/office/drawing/2014/main" id="{DF80C780-F445-4FC4-8A7B-615A6FB42CA1}"/>
            </a:ext>
          </a:extLst>
        </xdr:cNvPr>
        <xdr:cNvSpPr txBox="1"/>
      </xdr:nvSpPr>
      <xdr:spPr>
        <a:xfrm>
          <a:off x="2259106" y="2008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1306</xdr:row>
      <xdr:rowOff>0</xdr:rowOff>
    </xdr:from>
    <xdr:ext cx="184731" cy="264560"/>
    <xdr:sp macro="" textlink="">
      <xdr:nvSpPr>
        <xdr:cNvPr id="69" name="CaixaDeTexto 68">
          <a:extLst>
            <a:ext uri="{FF2B5EF4-FFF2-40B4-BE49-F238E27FC236}">
              <a16:creationId xmlns="" xmlns:a16="http://schemas.microsoft.com/office/drawing/2014/main" id="{CA5F100B-EDCD-4B79-9821-D72E3365259C}"/>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1305</xdr:row>
      <xdr:rowOff>0</xdr:rowOff>
    </xdr:from>
    <xdr:ext cx="184731" cy="264560"/>
    <xdr:sp macro="" textlink="">
      <xdr:nvSpPr>
        <xdr:cNvPr id="70" name="CaixaDeTexto 69">
          <a:extLst>
            <a:ext uri="{FF2B5EF4-FFF2-40B4-BE49-F238E27FC236}">
              <a16:creationId xmlns="" xmlns:a16="http://schemas.microsoft.com/office/drawing/2014/main" id="{662808AB-3CF5-4714-A814-90B8C671295D}"/>
            </a:ext>
          </a:extLst>
        </xdr:cNvPr>
        <xdr:cNvSpPr txBox="1"/>
      </xdr:nvSpPr>
      <xdr:spPr>
        <a:xfrm>
          <a:off x="2259106" y="2008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1306</xdr:row>
      <xdr:rowOff>0</xdr:rowOff>
    </xdr:from>
    <xdr:ext cx="184731" cy="264560"/>
    <xdr:sp macro="" textlink="">
      <xdr:nvSpPr>
        <xdr:cNvPr id="71" name="CaixaDeTexto 70">
          <a:extLst>
            <a:ext uri="{FF2B5EF4-FFF2-40B4-BE49-F238E27FC236}">
              <a16:creationId xmlns="" xmlns:a16="http://schemas.microsoft.com/office/drawing/2014/main" id="{B71FA848-BEAB-46DF-8EDA-CABD7D169990}"/>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1306</xdr:row>
      <xdr:rowOff>0</xdr:rowOff>
    </xdr:from>
    <xdr:ext cx="184731" cy="264560"/>
    <xdr:sp macro="" textlink="">
      <xdr:nvSpPr>
        <xdr:cNvPr id="72" name="CaixaDeTexto 71">
          <a:extLst>
            <a:ext uri="{FF2B5EF4-FFF2-40B4-BE49-F238E27FC236}">
              <a16:creationId xmlns="" xmlns:a16="http://schemas.microsoft.com/office/drawing/2014/main" id="{C0A2464C-A7FB-4E65-8299-F7C857120F21}"/>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1306</xdr:row>
      <xdr:rowOff>0</xdr:rowOff>
    </xdr:from>
    <xdr:ext cx="184731" cy="264560"/>
    <xdr:sp macro="" textlink="">
      <xdr:nvSpPr>
        <xdr:cNvPr id="74" name="CaixaDeTexto 73">
          <a:extLst>
            <a:ext uri="{FF2B5EF4-FFF2-40B4-BE49-F238E27FC236}">
              <a16:creationId xmlns="" xmlns:a16="http://schemas.microsoft.com/office/drawing/2014/main" id="{D7ED480B-DF3E-4D46-B7E1-96DB9A6201B5}"/>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1306</xdr:row>
      <xdr:rowOff>0</xdr:rowOff>
    </xdr:from>
    <xdr:ext cx="184731" cy="264560"/>
    <xdr:sp macro="" textlink="">
      <xdr:nvSpPr>
        <xdr:cNvPr id="75" name="CaixaDeTexto 74">
          <a:extLst>
            <a:ext uri="{FF2B5EF4-FFF2-40B4-BE49-F238E27FC236}">
              <a16:creationId xmlns="" xmlns:a16="http://schemas.microsoft.com/office/drawing/2014/main" id="{C1024EC5-17AB-46E0-9C67-7AF657DCF7E8}"/>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1307</xdr:row>
      <xdr:rowOff>0</xdr:rowOff>
    </xdr:from>
    <xdr:ext cx="184731" cy="264560"/>
    <xdr:sp macro="" textlink="">
      <xdr:nvSpPr>
        <xdr:cNvPr id="76" name="CaixaDeTexto 75">
          <a:extLst>
            <a:ext uri="{FF2B5EF4-FFF2-40B4-BE49-F238E27FC236}">
              <a16:creationId xmlns="" xmlns:a16="http://schemas.microsoft.com/office/drawing/2014/main" id="{5402C79A-FF0B-4C0B-A237-E333FF711B8C}"/>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1307</xdr:row>
      <xdr:rowOff>0</xdr:rowOff>
    </xdr:from>
    <xdr:ext cx="184731" cy="264560"/>
    <xdr:sp macro="" textlink="">
      <xdr:nvSpPr>
        <xdr:cNvPr id="77" name="CaixaDeTexto 76">
          <a:extLst>
            <a:ext uri="{FF2B5EF4-FFF2-40B4-BE49-F238E27FC236}">
              <a16:creationId xmlns="" xmlns:a16="http://schemas.microsoft.com/office/drawing/2014/main" id="{D3F5AB93-4796-49FB-90FB-E74893BA6C0A}"/>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1306</xdr:row>
      <xdr:rowOff>0</xdr:rowOff>
    </xdr:from>
    <xdr:ext cx="184731" cy="264560"/>
    <xdr:sp macro="" textlink="">
      <xdr:nvSpPr>
        <xdr:cNvPr id="78" name="CaixaDeTexto 77">
          <a:extLst>
            <a:ext uri="{FF2B5EF4-FFF2-40B4-BE49-F238E27FC236}">
              <a16:creationId xmlns="" xmlns:a16="http://schemas.microsoft.com/office/drawing/2014/main" id="{7F66D5C8-7936-44A6-965F-8D21E922C47C}"/>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1307</xdr:row>
      <xdr:rowOff>0</xdr:rowOff>
    </xdr:from>
    <xdr:ext cx="184731" cy="264560"/>
    <xdr:sp macro="" textlink="">
      <xdr:nvSpPr>
        <xdr:cNvPr id="79" name="CaixaDeTexto 78">
          <a:extLst>
            <a:ext uri="{FF2B5EF4-FFF2-40B4-BE49-F238E27FC236}">
              <a16:creationId xmlns="" xmlns:a16="http://schemas.microsoft.com/office/drawing/2014/main" id="{D3809782-3C22-4C49-B60D-3110C54295DA}"/>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1306</xdr:row>
      <xdr:rowOff>0</xdr:rowOff>
    </xdr:from>
    <xdr:ext cx="184731" cy="264560"/>
    <xdr:sp macro="" textlink="">
      <xdr:nvSpPr>
        <xdr:cNvPr id="80" name="CaixaDeTexto 79">
          <a:extLst>
            <a:ext uri="{FF2B5EF4-FFF2-40B4-BE49-F238E27FC236}">
              <a16:creationId xmlns="" xmlns:a16="http://schemas.microsoft.com/office/drawing/2014/main" id="{51F042F7-036E-4EAE-8C5A-EB0A3A8A9BF6}"/>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1307</xdr:row>
      <xdr:rowOff>0</xdr:rowOff>
    </xdr:from>
    <xdr:ext cx="184731" cy="264560"/>
    <xdr:sp macro="" textlink="">
      <xdr:nvSpPr>
        <xdr:cNvPr id="81" name="CaixaDeTexto 80">
          <a:extLst>
            <a:ext uri="{FF2B5EF4-FFF2-40B4-BE49-F238E27FC236}">
              <a16:creationId xmlns="" xmlns:a16="http://schemas.microsoft.com/office/drawing/2014/main" id="{F16A11F0-EB59-41B3-9A8A-DB5C19CE1006}"/>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1307</xdr:row>
      <xdr:rowOff>0</xdr:rowOff>
    </xdr:from>
    <xdr:ext cx="184731" cy="264560"/>
    <xdr:sp macro="" textlink="">
      <xdr:nvSpPr>
        <xdr:cNvPr id="82" name="CaixaDeTexto 81">
          <a:extLst>
            <a:ext uri="{FF2B5EF4-FFF2-40B4-BE49-F238E27FC236}">
              <a16:creationId xmlns="" xmlns:a16="http://schemas.microsoft.com/office/drawing/2014/main" id="{A839F946-C188-4EF4-9D32-2F69F8139249}"/>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1306</xdr:row>
      <xdr:rowOff>0</xdr:rowOff>
    </xdr:from>
    <xdr:ext cx="184731" cy="264560"/>
    <xdr:sp macro="" textlink="">
      <xdr:nvSpPr>
        <xdr:cNvPr id="84" name="CaixaDeTexto 83">
          <a:extLst>
            <a:ext uri="{FF2B5EF4-FFF2-40B4-BE49-F238E27FC236}">
              <a16:creationId xmlns="" xmlns:a16="http://schemas.microsoft.com/office/drawing/2014/main" id="{3CF801A1-3870-4F83-88B3-D84DF0922D64}"/>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1307</xdr:row>
      <xdr:rowOff>0</xdr:rowOff>
    </xdr:from>
    <xdr:ext cx="184731" cy="264560"/>
    <xdr:sp macro="" textlink="">
      <xdr:nvSpPr>
        <xdr:cNvPr id="85" name="CaixaDeTexto 84">
          <a:extLst>
            <a:ext uri="{FF2B5EF4-FFF2-40B4-BE49-F238E27FC236}">
              <a16:creationId xmlns="" xmlns:a16="http://schemas.microsoft.com/office/drawing/2014/main" id="{D3A946CD-2200-452B-855C-62F7E9514CDD}"/>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1307</xdr:row>
      <xdr:rowOff>0</xdr:rowOff>
    </xdr:from>
    <xdr:ext cx="184731" cy="264560"/>
    <xdr:sp macro="" textlink="">
      <xdr:nvSpPr>
        <xdr:cNvPr id="86" name="CaixaDeTexto 85">
          <a:extLst>
            <a:ext uri="{FF2B5EF4-FFF2-40B4-BE49-F238E27FC236}">
              <a16:creationId xmlns="" xmlns:a16="http://schemas.microsoft.com/office/drawing/2014/main" id="{F2948F5D-DF43-4E77-9902-E03DA91BC5D3}"/>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1307</xdr:row>
      <xdr:rowOff>0</xdr:rowOff>
    </xdr:from>
    <xdr:ext cx="184731" cy="264560"/>
    <xdr:sp macro="" textlink="">
      <xdr:nvSpPr>
        <xdr:cNvPr id="87" name="CaixaDeTexto 86">
          <a:extLst>
            <a:ext uri="{FF2B5EF4-FFF2-40B4-BE49-F238E27FC236}">
              <a16:creationId xmlns="" xmlns:a16="http://schemas.microsoft.com/office/drawing/2014/main" id="{A27D7384-5AB7-41FA-871A-1D78CFFAD172}"/>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1307</xdr:row>
      <xdr:rowOff>0</xdr:rowOff>
    </xdr:from>
    <xdr:ext cx="184731" cy="264560"/>
    <xdr:sp macro="" textlink="">
      <xdr:nvSpPr>
        <xdr:cNvPr id="88" name="CaixaDeTexto 87">
          <a:extLst>
            <a:ext uri="{FF2B5EF4-FFF2-40B4-BE49-F238E27FC236}">
              <a16:creationId xmlns="" xmlns:a16="http://schemas.microsoft.com/office/drawing/2014/main" id="{B9D87ACA-4D5A-414A-9E1C-D88F1F46C780}"/>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1306</xdr:row>
      <xdr:rowOff>0</xdr:rowOff>
    </xdr:from>
    <xdr:ext cx="184731" cy="264560"/>
    <xdr:sp macro="" textlink="">
      <xdr:nvSpPr>
        <xdr:cNvPr id="89" name="CaixaDeTexto 88">
          <a:extLst>
            <a:ext uri="{FF2B5EF4-FFF2-40B4-BE49-F238E27FC236}">
              <a16:creationId xmlns="" xmlns:a16="http://schemas.microsoft.com/office/drawing/2014/main" id="{D55EE2F2-1F2E-4A5F-98B3-D38E310CC61D}"/>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1307</xdr:row>
      <xdr:rowOff>0</xdr:rowOff>
    </xdr:from>
    <xdr:ext cx="184731" cy="264560"/>
    <xdr:sp macro="" textlink="">
      <xdr:nvSpPr>
        <xdr:cNvPr id="90" name="CaixaDeTexto 89">
          <a:extLst>
            <a:ext uri="{FF2B5EF4-FFF2-40B4-BE49-F238E27FC236}">
              <a16:creationId xmlns="" xmlns:a16="http://schemas.microsoft.com/office/drawing/2014/main" id="{481B9F9D-4376-47DA-8D66-FA7D7CBCD299}"/>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1307</xdr:row>
      <xdr:rowOff>0</xdr:rowOff>
    </xdr:from>
    <xdr:ext cx="184731" cy="264560"/>
    <xdr:sp macro="" textlink="">
      <xdr:nvSpPr>
        <xdr:cNvPr id="91" name="CaixaDeTexto 90">
          <a:extLst>
            <a:ext uri="{FF2B5EF4-FFF2-40B4-BE49-F238E27FC236}">
              <a16:creationId xmlns="" xmlns:a16="http://schemas.microsoft.com/office/drawing/2014/main" id="{C7336CF3-CD71-4CE4-AC82-DF4175DD1933}"/>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1358</xdr:row>
      <xdr:rowOff>0</xdr:rowOff>
    </xdr:from>
    <xdr:ext cx="184731" cy="264560"/>
    <xdr:sp macro="" textlink="">
      <xdr:nvSpPr>
        <xdr:cNvPr id="92" name="CaixaDeTexto 91">
          <a:extLst>
            <a:ext uri="{FF2B5EF4-FFF2-40B4-BE49-F238E27FC236}">
              <a16:creationId xmlns="" xmlns:a16="http://schemas.microsoft.com/office/drawing/2014/main" id="{7A4F2572-4A87-41C8-B874-642EF489BB6E}"/>
            </a:ext>
          </a:extLst>
        </xdr:cNvPr>
        <xdr:cNvSpPr txBox="1"/>
      </xdr:nvSpPr>
      <xdr:spPr>
        <a:xfrm>
          <a:off x="2259106" y="4088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1358</xdr:row>
      <xdr:rowOff>0</xdr:rowOff>
    </xdr:from>
    <xdr:ext cx="184731" cy="264560"/>
    <xdr:sp macro="" textlink="">
      <xdr:nvSpPr>
        <xdr:cNvPr id="93" name="CaixaDeTexto 92">
          <a:extLst>
            <a:ext uri="{FF2B5EF4-FFF2-40B4-BE49-F238E27FC236}">
              <a16:creationId xmlns="" xmlns:a16="http://schemas.microsoft.com/office/drawing/2014/main" id="{D2B99560-5543-432B-9DB8-A17E1EA77D26}"/>
            </a:ext>
          </a:extLst>
        </xdr:cNvPr>
        <xdr:cNvSpPr txBox="1"/>
      </xdr:nvSpPr>
      <xdr:spPr>
        <a:xfrm>
          <a:off x="2259106" y="4088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1358</xdr:row>
      <xdr:rowOff>0</xdr:rowOff>
    </xdr:from>
    <xdr:ext cx="184731" cy="264560"/>
    <xdr:sp macro="" textlink="">
      <xdr:nvSpPr>
        <xdr:cNvPr id="94" name="CaixaDeTexto 93">
          <a:extLst>
            <a:ext uri="{FF2B5EF4-FFF2-40B4-BE49-F238E27FC236}">
              <a16:creationId xmlns="" xmlns:a16="http://schemas.microsoft.com/office/drawing/2014/main" id="{75CA13C7-7237-4864-AFC6-54A80C499712}"/>
            </a:ext>
          </a:extLst>
        </xdr:cNvPr>
        <xdr:cNvSpPr txBox="1"/>
      </xdr:nvSpPr>
      <xdr:spPr>
        <a:xfrm>
          <a:off x="2259106" y="4088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1358</xdr:row>
      <xdr:rowOff>0</xdr:rowOff>
    </xdr:from>
    <xdr:ext cx="184731" cy="264560"/>
    <xdr:sp macro="" textlink="">
      <xdr:nvSpPr>
        <xdr:cNvPr id="95" name="CaixaDeTexto 94">
          <a:extLst>
            <a:ext uri="{FF2B5EF4-FFF2-40B4-BE49-F238E27FC236}">
              <a16:creationId xmlns="" xmlns:a16="http://schemas.microsoft.com/office/drawing/2014/main" id="{3FA32D72-0A20-410D-B4F8-853C4E704379}"/>
            </a:ext>
          </a:extLst>
        </xdr:cNvPr>
        <xdr:cNvSpPr txBox="1"/>
      </xdr:nvSpPr>
      <xdr:spPr>
        <a:xfrm>
          <a:off x="2259106" y="4088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1358</xdr:row>
      <xdr:rowOff>0</xdr:rowOff>
    </xdr:from>
    <xdr:ext cx="184731" cy="264560"/>
    <xdr:sp macro="" textlink="">
      <xdr:nvSpPr>
        <xdr:cNvPr id="96" name="CaixaDeTexto 95">
          <a:extLst>
            <a:ext uri="{FF2B5EF4-FFF2-40B4-BE49-F238E27FC236}">
              <a16:creationId xmlns="" xmlns:a16="http://schemas.microsoft.com/office/drawing/2014/main" id="{D0A07768-8753-48AA-9AAB-33CF8A8A1C03}"/>
            </a:ext>
          </a:extLst>
        </xdr:cNvPr>
        <xdr:cNvSpPr txBox="1"/>
      </xdr:nvSpPr>
      <xdr:spPr>
        <a:xfrm>
          <a:off x="2259106" y="4088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1358</xdr:row>
      <xdr:rowOff>0</xdr:rowOff>
    </xdr:from>
    <xdr:ext cx="184731" cy="264560"/>
    <xdr:sp macro="" textlink="">
      <xdr:nvSpPr>
        <xdr:cNvPr id="97" name="CaixaDeTexto 96">
          <a:extLst>
            <a:ext uri="{FF2B5EF4-FFF2-40B4-BE49-F238E27FC236}">
              <a16:creationId xmlns="" xmlns:a16="http://schemas.microsoft.com/office/drawing/2014/main" id="{CA3821A7-853A-429A-B57C-A1BAAC1738FC}"/>
            </a:ext>
          </a:extLst>
        </xdr:cNvPr>
        <xdr:cNvSpPr txBox="1"/>
      </xdr:nvSpPr>
      <xdr:spPr>
        <a:xfrm>
          <a:off x="2259106" y="4088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1358</xdr:row>
      <xdr:rowOff>0</xdr:rowOff>
    </xdr:from>
    <xdr:ext cx="184731" cy="264560"/>
    <xdr:sp macro="" textlink="">
      <xdr:nvSpPr>
        <xdr:cNvPr id="98" name="CaixaDeTexto 97">
          <a:extLst>
            <a:ext uri="{FF2B5EF4-FFF2-40B4-BE49-F238E27FC236}">
              <a16:creationId xmlns="" xmlns:a16="http://schemas.microsoft.com/office/drawing/2014/main" id="{2F33CF6D-D83D-4DDF-81AA-F4E279DEBE68}"/>
            </a:ext>
          </a:extLst>
        </xdr:cNvPr>
        <xdr:cNvSpPr txBox="1"/>
      </xdr:nvSpPr>
      <xdr:spPr>
        <a:xfrm>
          <a:off x="2259106" y="4088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1359</xdr:row>
      <xdr:rowOff>0</xdr:rowOff>
    </xdr:from>
    <xdr:ext cx="184731" cy="264560"/>
    <xdr:sp macro="" textlink="">
      <xdr:nvSpPr>
        <xdr:cNvPr id="99" name="CaixaDeTexto 98">
          <a:extLst>
            <a:ext uri="{FF2B5EF4-FFF2-40B4-BE49-F238E27FC236}">
              <a16:creationId xmlns="" xmlns:a16="http://schemas.microsoft.com/office/drawing/2014/main" id="{096174CE-639E-4B7A-A438-6551B0424B8F}"/>
            </a:ext>
          </a:extLst>
        </xdr:cNvPr>
        <xdr:cNvSpPr txBox="1"/>
      </xdr:nvSpPr>
      <xdr:spPr>
        <a:xfrm>
          <a:off x="2259106" y="4123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1359</xdr:row>
      <xdr:rowOff>0</xdr:rowOff>
    </xdr:from>
    <xdr:ext cx="184731" cy="264560"/>
    <xdr:sp macro="" textlink="">
      <xdr:nvSpPr>
        <xdr:cNvPr id="100" name="CaixaDeTexto 99">
          <a:extLst>
            <a:ext uri="{FF2B5EF4-FFF2-40B4-BE49-F238E27FC236}">
              <a16:creationId xmlns="" xmlns:a16="http://schemas.microsoft.com/office/drawing/2014/main" id="{47176EEF-0756-4BA3-8040-6A1CF33B7D86}"/>
            </a:ext>
          </a:extLst>
        </xdr:cNvPr>
        <xdr:cNvSpPr txBox="1"/>
      </xdr:nvSpPr>
      <xdr:spPr>
        <a:xfrm>
          <a:off x="2259106" y="4123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1358</xdr:row>
      <xdr:rowOff>0</xdr:rowOff>
    </xdr:from>
    <xdr:ext cx="184731" cy="264560"/>
    <xdr:sp macro="" textlink="">
      <xdr:nvSpPr>
        <xdr:cNvPr id="101" name="CaixaDeTexto 100">
          <a:extLst>
            <a:ext uri="{FF2B5EF4-FFF2-40B4-BE49-F238E27FC236}">
              <a16:creationId xmlns="" xmlns:a16="http://schemas.microsoft.com/office/drawing/2014/main" id="{8AED9A37-C78C-4ADD-BE03-6C5F0D4595E7}"/>
            </a:ext>
          </a:extLst>
        </xdr:cNvPr>
        <xdr:cNvSpPr txBox="1"/>
      </xdr:nvSpPr>
      <xdr:spPr>
        <a:xfrm>
          <a:off x="2259106" y="4088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1359</xdr:row>
      <xdr:rowOff>0</xdr:rowOff>
    </xdr:from>
    <xdr:ext cx="184731" cy="264560"/>
    <xdr:sp macro="" textlink="">
      <xdr:nvSpPr>
        <xdr:cNvPr id="102" name="CaixaDeTexto 101">
          <a:extLst>
            <a:ext uri="{FF2B5EF4-FFF2-40B4-BE49-F238E27FC236}">
              <a16:creationId xmlns="" xmlns:a16="http://schemas.microsoft.com/office/drawing/2014/main" id="{271BB0EA-7FEE-439F-B96A-A31AD0AFD043}"/>
            </a:ext>
          </a:extLst>
        </xdr:cNvPr>
        <xdr:cNvSpPr txBox="1"/>
      </xdr:nvSpPr>
      <xdr:spPr>
        <a:xfrm>
          <a:off x="2259106" y="4123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1358</xdr:row>
      <xdr:rowOff>0</xdr:rowOff>
    </xdr:from>
    <xdr:ext cx="184731" cy="264560"/>
    <xdr:sp macro="" textlink="">
      <xdr:nvSpPr>
        <xdr:cNvPr id="103" name="CaixaDeTexto 102">
          <a:extLst>
            <a:ext uri="{FF2B5EF4-FFF2-40B4-BE49-F238E27FC236}">
              <a16:creationId xmlns="" xmlns:a16="http://schemas.microsoft.com/office/drawing/2014/main" id="{8668AB41-D48F-4CA5-85DE-205FF25C68CE}"/>
            </a:ext>
          </a:extLst>
        </xdr:cNvPr>
        <xdr:cNvSpPr txBox="1"/>
      </xdr:nvSpPr>
      <xdr:spPr>
        <a:xfrm>
          <a:off x="2259106" y="4088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1359</xdr:row>
      <xdr:rowOff>0</xdr:rowOff>
    </xdr:from>
    <xdr:ext cx="184731" cy="264560"/>
    <xdr:sp macro="" textlink="">
      <xdr:nvSpPr>
        <xdr:cNvPr id="104" name="CaixaDeTexto 103">
          <a:extLst>
            <a:ext uri="{FF2B5EF4-FFF2-40B4-BE49-F238E27FC236}">
              <a16:creationId xmlns="" xmlns:a16="http://schemas.microsoft.com/office/drawing/2014/main" id="{55A10802-FBCA-47E8-A9C3-124F7C95121A}"/>
            </a:ext>
          </a:extLst>
        </xdr:cNvPr>
        <xdr:cNvSpPr txBox="1"/>
      </xdr:nvSpPr>
      <xdr:spPr>
        <a:xfrm>
          <a:off x="2259106" y="4123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1359</xdr:row>
      <xdr:rowOff>0</xdr:rowOff>
    </xdr:from>
    <xdr:ext cx="184731" cy="264560"/>
    <xdr:sp macro="" textlink="">
      <xdr:nvSpPr>
        <xdr:cNvPr id="105" name="CaixaDeTexto 104">
          <a:extLst>
            <a:ext uri="{FF2B5EF4-FFF2-40B4-BE49-F238E27FC236}">
              <a16:creationId xmlns="" xmlns:a16="http://schemas.microsoft.com/office/drawing/2014/main" id="{7A9715B8-2C51-4637-A12F-111955F769C2}"/>
            </a:ext>
          </a:extLst>
        </xdr:cNvPr>
        <xdr:cNvSpPr txBox="1"/>
      </xdr:nvSpPr>
      <xdr:spPr>
        <a:xfrm>
          <a:off x="2259106" y="4123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1358</xdr:row>
      <xdr:rowOff>0</xdr:rowOff>
    </xdr:from>
    <xdr:ext cx="184731" cy="264560"/>
    <xdr:sp macro="" textlink="">
      <xdr:nvSpPr>
        <xdr:cNvPr id="106" name="CaixaDeTexto 105">
          <a:extLst>
            <a:ext uri="{FF2B5EF4-FFF2-40B4-BE49-F238E27FC236}">
              <a16:creationId xmlns="" xmlns:a16="http://schemas.microsoft.com/office/drawing/2014/main" id="{EC41E8A8-4315-4833-BAAA-C09ADF88F10E}"/>
            </a:ext>
          </a:extLst>
        </xdr:cNvPr>
        <xdr:cNvSpPr txBox="1"/>
      </xdr:nvSpPr>
      <xdr:spPr>
        <a:xfrm>
          <a:off x="2259106" y="4088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1359</xdr:row>
      <xdr:rowOff>0</xdr:rowOff>
    </xdr:from>
    <xdr:ext cx="184731" cy="264560"/>
    <xdr:sp macro="" textlink="">
      <xdr:nvSpPr>
        <xdr:cNvPr id="107" name="CaixaDeTexto 106">
          <a:extLst>
            <a:ext uri="{FF2B5EF4-FFF2-40B4-BE49-F238E27FC236}">
              <a16:creationId xmlns="" xmlns:a16="http://schemas.microsoft.com/office/drawing/2014/main" id="{9219578C-79F4-4EA0-85BC-E9BF5FD30077}"/>
            </a:ext>
          </a:extLst>
        </xdr:cNvPr>
        <xdr:cNvSpPr txBox="1"/>
      </xdr:nvSpPr>
      <xdr:spPr>
        <a:xfrm>
          <a:off x="2259106" y="4123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1360</xdr:row>
      <xdr:rowOff>0</xdr:rowOff>
    </xdr:from>
    <xdr:ext cx="184731" cy="264560"/>
    <xdr:sp macro="" textlink="">
      <xdr:nvSpPr>
        <xdr:cNvPr id="108" name="CaixaDeTexto 107">
          <a:extLst>
            <a:ext uri="{FF2B5EF4-FFF2-40B4-BE49-F238E27FC236}">
              <a16:creationId xmlns="" xmlns:a16="http://schemas.microsoft.com/office/drawing/2014/main" id="{E54209B2-E0B2-4B6B-AA4B-734E0EF10118}"/>
            </a:ext>
          </a:extLst>
        </xdr:cNvPr>
        <xdr:cNvSpPr txBox="1"/>
      </xdr:nvSpPr>
      <xdr:spPr>
        <a:xfrm>
          <a:off x="2259106" y="4158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1360</xdr:row>
      <xdr:rowOff>0</xdr:rowOff>
    </xdr:from>
    <xdr:ext cx="184731" cy="264560"/>
    <xdr:sp macro="" textlink="">
      <xdr:nvSpPr>
        <xdr:cNvPr id="109" name="CaixaDeTexto 108">
          <a:extLst>
            <a:ext uri="{FF2B5EF4-FFF2-40B4-BE49-F238E27FC236}">
              <a16:creationId xmlns="" xmlns:a16="http://schemas.microsoft.com/office/drawing/2014/main" id="{93DF947E-B89C-4F3B-BC5D-AC62108C46B9}"/>
            </a:ext>
          </a:extLst>
        </xdr:cNvPr>
        <xdr:cNvSpPr txBox="1"/>
      </xdr:nvSpPr>
      <xdr:spPr>
        <a:xfrm>
          <a:off x="2259106" y="4158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1361</xdr:row>
      <xdr:rowOff>0</xdr:rowOff>
    </xdr:from>
    <xdr:ext cx="184731" cy="264560"/>
    <xdr:sp macro="" textlink="">
      <xdr:nvSpPr>
        <xdr:cNvPr id="110" name="CaixaDeTexto 109">
          <a:extLst>
            <a:ext uri="{FF2B5EF4-FFF2-40B4-BE49-F238E27FC236}">
              <a16:creationId xmlns="" xmlns:a16="http://schemas.microsoft.com/office/drawing/2014/main" id="{A219F373-F43F-42DC-9F4E-F428B1FA8209}"/>
            </a:ext>
          </a:extLst>
        </xdr:cNvPr>
        <xdr:cNvSpPr txBox="1"/>
      </xdr:nvSpPr>
      <xdr:spPr>
        <a:xfrm>
          <a:off x="2259106" y="41938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1361</xdr:row>
      <xdr:rowOff>0</xdr:rowOff>
    </xdr:from>
    <xdr:ext cx="184731" cy="264560"/>
    <xdr:sp macro="" textlink="">
      <xdr:nvSpPr>
        <xdr:cNvPr id="111" name="CaixaDeTexto 110">
          <a:extLst>
            <a:ext uri="{FF2B5EF4-FFF2-40B4-BE49-F238E27FC236}">
              <a16:creationId xmlns="" xmlns:a16="http://schemas.microsoft.com/office/drawing/2014/main" id="{1EB05232-0E8C-4F02-A399-1321F91B8F68}"/>
            </a:ext>
          </a:extLst>
        </xdr:cNvPr>
        <xdr:cNvSpPr txBox="1"/>
      </xdr:nvSpPr>
      <xdr:spPr>
        <a:xfrm>
          <a:off x="2259106" y="41938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1360</xdr:row>
      <xdr:rowOff>0</xdr:rowOff>
    </xdr:from>
    <xdr:ext cx="184731" cy="264560"/>
    <xdr:sp macro="" textlink="">
      <xdr:nvSpPr>
        <xdr:cNvPr id="112" name="CaixaDeTexto 111">
          <a:extLst>
            <a:ext uri="{FF2B5EF4-FFF2-40B4-BE49-F238E27FC236}">
              <a16:creationId xmlns="" xmlns:a16="http://schemas.microsoft.com/office/drawing/2014/main" id="{48A71692-F8E6-4BCC-94AA-43D6099C5229}"/>
            </a:ext>
          </a:extLst>
        </xdr:cNvPr>
        <xdr:cNvSpPr txBox="1"/>
      </xdr:nvSpPr>
      <xdr:spPr>
        <a:xfrm>
          <a:off x="2259106" y="4158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1361</xdr:row>
      <xdr:rowOff>0</xdr:rowOff>
    </xdr:from>
    <xdr:ext cx="184731" cy="264560"/>
    <xdr:sp macro="" textlink="">
      <xdr:nvSpPr>
        <xdr:cNvPr id="113" name="CaixaDeTexto 112">
          <a:extLst>
            <a:ext uri="{FF2B5EF4-FFF2-40B4-BE49-F238E27FC236}">
              <a16:creationId xmlns="" xmlns:a16="http://schemas.microsoft.com/office/drawing/2014/main" id="{EA89641A-2FAC-4747-B269-719B6E567357}"/>
            </a:ext>
          </a:extLst>
        </xdr:cNvPr>
        <xdr:cNvSpPr txBox="1"/>
      </xdr:nvSpPr>
      <xdr:spPr>
        <a:xfrm>
          <a:off x="2259106" y="41938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1360</xdr:row>
      <xdr:rowOff>0</xdr:rowOff>
    </xdr:from>
    <xdr:ext cx="184731" cy="264560"/>
    <xdr:sp macro="" textlink="">
      <xdr:nvSpPr>
        <xdr:cNvPr id="114" name="CaixaDeTexto 113">
          <a:extLst>
            <a:ext uri="{FF2B5EF4-FFF2-40B4-BE49-F238E27FC236}">
              <a16:creationId xmlns="" xmlns:a16="http://schemas.microsoft.com/office/drawing/2014/main" id="{9A9B787C-DD79-4064-B072-6A132CCD543D}"/>
            </a:ext>
          </a:extLst>
        </xdr:cNvPr>
        <xdr:cNvSpPr txBox="1"/>
      </xdr:nvSpPr>
      <xdr:spPr>
        <a:xfrm>
          <a:off x="2259106" y="4158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1361</xdr:row>
      <xdr:rowOff>0</xdr:rowOff>
    </xdr:from>
    <xdr:ext cx="184731" cy="264560"/>
    <xdr:sp macro="" textlink="">
      <xdr:nvSpPr>
        <xdr:cNvPr id="115" name="CaixaDeTexto 114">
          <a:extLst>
            <a:ext uri="{FF2B5EF4-FFF2-40B4-BE49-F238E27FC236}">
              <a16:creationId xmlns="" xmlns:a16="http://schemas.microsoft.com/office/drawing/2014/main" id="{0854E6BF-F99B-4394-B070-370677C60ED0}"/>
            </a:ext>
          </a:extLst>
        </xdr:cNvPr>
        <xdr:cNvSpPr txBox="1"/>
      </xdr:nvSpPr>
      <xdr:spPr>
        <a:xfrm>
          <a:off x="2259106" y="41938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1361</xdr:row>
      <xdr:rowOff>0</xdr:rowOff>
    </xdr:from>
    <xdr:ext cx="184731" cy="264560"/>
    <xdr:sp macro="" textlink="">
      <xdr:nvSpPr>
        <xdr:cNvPr id="116" name="CaixaDeTexto 115">
          <a:extLst>
            <a:ext uri="{FF2B5EF4-FFF2-40B4-BE49-F238E27FC236}">
              <a16:creationId xmlns="" xmlns:a16="http://schemas.microsoft.com/office/drawing/2014/main" id="{DD647248-C2B3-4E25-898A-28F3174EE6EF}"/>
            </a:ext>
          </a:extLst>
        </xdr:cNvPr>
        <xdr:cNvSpPr txBox="1"/>
      </xdr:nvSpPr>
      <xdr:spPr>
        <a:xfrm>
          <a:off x="2259106" y="41938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1359</xdr:row>
      <xdr:rowOff>0</xdr:rowOff>
    </xdr:from>
    <xdr:ext cx="184731" cy="264560"/>
    <xdr:sp macro="" textlink="">
      <xdr:nvSpPr>
        <xdr:cNvPr id="117" name="CaixaDeTexto 116">
          <a:extLst>
            <a:ext uri="{FF2B5EF4-FFF2-40B4-BE49-F238E27FC236}">
              <a16:creationId xmlns="" xmlns:a16="http://schemas.microsoft.com/office/drawing/2014/main" id="{890D43E3-DDFF-4661-B5CA-01D5572D6509}"/>
            </a:ext>
          </a:extLst>
        </xdr:cNvPr>
        <xdr:cNvSpPr txBox="1"/>
      </xdr:nvSpPr>
      <xdr:spPr>
        <a:xfrm>
          <a:off x="2259106" y="4123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1360</xdr:row>
      <xdr:rowOff>0</xdr:rowOff>
    </xdr:from>
    <xdr:ext cx="184731" cy="264560"/>
    <xdr:sp macro="" textlink="">
      <xdr:nvSpPr>
        <xdr:cNvPr id="118" name="CaixaDeTexto 117">
          <a:extLst>
            <a:ext uri="{FF2B5EF4-FFF2-40B4-BE49-F238E27FC236}">
              <a16:creationId xmlns="" xmlns:a16="http://schemas.microsoft.com/office/drawing/2014/main" id="{E550763B-71C9-4BB6-9E3F-AA0069DD369F}"/>
            </a:ext>
          </a:extLst>
        </xdr:cNvPr>
        <xdr:cNvSpPr txBox="1"/>
      </xdr:nvSpPr>
      <xdr:spPr>
        <a:xfrm>
          <a:off x="2259106" y="4158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1361</xdr:row>
      <xdr:rowOff>0</xdr:rowOff>
    </xdr:from>
    <xdr:ext cx="184731" cy="264560"/>
    <xdr:sp macro="" textlink="">
      <xdr:nvSpPr>
        <xdr:cNvPr id="119" name="CaixaDeTexto 118">
          <a:extLst>
            <a:ext uri="{FF2B5EF4-FFF2-40B4-BE49-F238E27FC236}">
              <a16:creationId xmlns="" xmlns:a16="http://schemas.microsoft.com/office/drawing/2014/main" id="{8D9D702D-CA09-4CE6-AFBC-06E31DF7C66A}"/>
            </a:ext>
          </a:extLst>
        </xdr:cNvPr>
        <xdr:cNvSpPr txBox="1"/>
      </xdr:nvSpPr>
      <xdr:spPr>
        <a:xfrm>
          <a:off x="2259106" y="41938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1361</xdr:row>
      <xdr:rowOff>0</xdr:rowOff>
    </xdr:from>
    <xdr:ext cx="184731" cy="264560"/>
    <xdr:sp macro="" textlink="">
      <xdr:nvSpPr>
        <xdr:cNvPr id="120" name="CaixaDeTexto 119">
          <a:extLst>
            <a:ext uri="{FF2B5EF4-FFF2-40B4-BE49-F238E27FC236}">
              <a16:creationId xmlns="" xmlns:a16="http://schemas.microsoft.com/office/drawing/2014/main" id="{7BDEB1B4-A7B7-4B2B-AD97-84CF74E293CD}"/>
            </a:ext>
          </a:extLst>
        </xdr:cNvPr>
        <xdr:cNvSpPr txBox="1"/>
      </xdr:nvSpPr>
      <xdr:spPr>
        <a:xfrm>
          <a:off x="2259106" y="41938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1362</xdr:row>
      <xdr:rowOff>0</xdr:rowOff>
    </xdr:from>
    <xdr:ext cx="184731" cy="264560"/>
    <xdr:sp macro="" textlink="">
      <xdr:nvSpPr>
        <xdr:cNvPr id="121" name="CaixaDeTexto 120">
          <a:extLst>
            <a:ext uri="{FF2B5EF4-FFF2-40B4-BE49-F238E27FC236}">
              <a16:creationId xmlns="" xmlns:a16="http://schemas.microsoft.com/office/drawing/2014/main" id="{5D75ECA5-24C4-449B-80AD-CDD3A3C34F75}"/>
            </a:ext>
          </a:extLst>
        </xdr:cNvPr>
        <xdr:cNvSpPr txBox="1"/>
      </xdr:nvSpPr>
      <xdr:spPr>
        <a:xfrm>
          <a:off x="2259106" y="4229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1362</xdr:row>
      <xdr:rowOff>0</xdr:rowOff>
    </xdr:from>
    <xdr:ext cx="184731" cy="264560"/>
    <xdr:sp macro="" textlink="">
      <xdr:nvSpPr>
        <xdr:cNvPr id="122" name="CaixaDeTexto 121">
          <a:extLst>
            <a:ext uri="{FF2B5EF4-FFF2-40B4-BE49-F238E27FC236}">
              <a16:creationId xmlns="" xmlns:a16="http://schemas.microsoft.com/office/drawing/2014/main" id="{EA289EAB-0C24-41F6-86AD-AD3171BC4BD3}"/>
            </a:ext>
          </a:extLst>
        </xdr:cNvPr>
        <xdr:cNvSpPr txBox="1"/>
      </xdr:nvSpPr>
      <xdr:spPr>
        <a:xfrm>
          <a:off x="2259106" y="4229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1361</xdr:row>
      <xdr:rowOff>0</xdr:rowOff>
    </xdr:from>
    <xdr:ext cx="184731" cy="264560"/>
    <xdr:sp macro="" textlink="">
      <xdr:nvSpPr>
        <xdr:cNvPr id="123" name="CaixaDeTexto 122">
          <a:extLst>
            <a:ext uri="{FF2B5EF4-FFF2-40B4-BE49-F238E27FC236}">
              <a16:creationId xmlns="" xmlns:a16="http://schemas.microsoft.com/office/drawing/2014/main" id="{E3F9A861-6D5A-4FC4-8E1E-09397EADBDAA}"/>
            </a:ext>
          </a:extLst>
        </xdr:cNvPr>
        <xdr:cNvSpPr txBox="1"/>
      </xdr:nvSpPr>
      <xdr:spPr>
        <a:xfrm>
          <a:off x="2259106" y="41938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1362</xdr:row>
      <xdr:rowOff>0</xdr:rowOff>
    </xdr:from>
    <xdr:ext cx="184731" cy="264560"/>
    <xdr:sp macro="" textlink="">
      <xdr:nvSpPr>
        <xdr:cNvPr id="124" name="CaixaDeTexto 123">
          <a:extLst>
            <a:ext uri="{FF2B5EF4-FFF2-40B4-BE49-F238E27FC236}">
              <a16:creationId xmlns="" xmlns:a16="http://schemas.microsoft.com/office/drawing/2014/main" id="{60C2F385-1A79-40AA-929F-C10068898AE9}"/>
            </a:ext>
          </a:extLst>
        </xdr:cNvPr>
        <xdr:cNvSpPr txBox="1"/>
      </xdr:nvSpPr>
      <xdr:spPr>
        <a:xfrm>
          <a:off x="2259106" y="4229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1361</xdr:row>
      <xdr:rowOff>0</xdr:rowOff>
    </xdr:from>
    <xdr:ext cx="184731" cy="264560"/>
    <xdr:sp macro="" textlink="">
      <xdr:nvSpPr>
        <xdr:cNvPr id="125" name="CaixaDeTexto 124">
          <a:extLst>
            <a:ext uri="{FF2B5EF4-FFF2-40B4-BE49-F238E27FC236}">
              <a16:creationId xmlns="" xmlns:a16="http://schemas.microsoft.com/office/drawing/2014/main" id="{451E3E98-074E-4063-B341-0F346DDC04F4}"/>
            </a:ext>
          </a:extLst>
        </xdr:cNvPr>
        <xdr:cNvSpPr txBox="1"/>
      </xdr:nvSpPr>
      <xdr:spPr>
        <a:xfrm>
          <a:off x="2259106" y="41938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1362</xdr:row>
      <xdr:rowOff>0</xdr:rowOff>
    </xdr:from>
    <xdr:ext cx="184731" cy="264560"/>
    <xdr:sp macro="" textlink="">
      <xdr:nvSpPr>
        <xdr:cNvPr id="126" name="CaixaDeTexto 125">
          <a:extLst>
            <a:ext uri="{FF2B5EF4-FFF2-40B4-BE49-F238E27FC236}">
              <a16:creationId xmlns="" xmlns:a16="http://schemas.microsoft.com/office/drawing/2014/main" id="{157CEEC0-1D8C-440B-9604-FED15184410D}"/>
            </a:ext>
          </a:extLst>
        </xdr:cNvPr>
        <xdr:cNvSpPr txBox="1"/>
      </xdr:nvSpPr>
      <xdr:spPr>
        <a:xfrm>
          <a:off x="2259106" y="4229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1362</xdr:row>
      <xdr:rowOff>0</xdr:rowOff>
    </xdr:from>
    <xdr:ext cx="184731" cy="264560"/>
    <xdr:sp macro="" textlink="">
      <xdr:nvSpPr>
        <xdr:cNvPr id="127" name="CaixaDeTexto 126">
          <a:extLst>
            <a:ext uri="{FF2B5EF4-FFF2-40B4-BE49-F238E27FC236}">
              <a16:creationId xmlns="" xmlns:a16="http://schemas.microsoft.com/office/drawing/2014/main" id="{450D6956-3FE9-4DA1-9D98-58ECFD9210D1}"/>
            </a:ext>
          </a:extLst>
        </xdr:cNvPr>
        <xdr:cNvSpPr txBox="1"/>
      </xdr:nvSpPr>
      <xdr:spPr>
        <a:xfrm>
          <a:off x="2259106" y="4229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1360</xdr:row>
      <xdr:rowOff>0</xdr:rowOff>
    </xdr:from>
    <xdr:ext cx="184731" cy="264560"/>
    <xdr:sp macro="" textlink="">
      <xdr:nvSpPr>
        <xdr:cNvPr id="128" name="CaixaDeTexto 127">
          <a:extLst>
            <a:ext uri="{FF2B5EF4-FFF2-40B4-BE49-F238E27FC236}">
              <a16:creationId xmlns="" xmlns:a16="http://schemas.microsoft.com/office/drawing/2014/main" id="{20B74099-6061-4BF2-9EB9-435FE2998618}"/>
            </a:ext>
          </a:extLst>
        </xdr:cNvPr>
        <xdr:cNvSpPr txBox="1"/>
      </xdr:nvSpPr>
      <xdr:spPr>
        <a:xfrm>
          <a:off x="2259106" y="4158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1361</xdr:row>
      <xdr:rowOff>0</xdr:rowOff>
    </xdr:from>
    <xdr:ext cx="184731" cy="264560"/>
    <xdr:sp macro="" textlink="">
      <xdr:nvSpPr>
        <xdr:cNvPr id="129" name="CaixaDeTexto 128">
          <a:extLst>
            <a:ext uri="{FF2B5EF4-FFF2-40B4-BE49-F238E27FC236}">
              <a16:creationId xmlns="" xmlns:a16="http://schemas.microsoft.com/office/drawing/2014/main" id="{71D07C0A-9F10-476B-A684-051C79DF9FE0}"/>
            </a:ext>
          </a:extLst>
        </xdr:cNvPr>
        <xdr:cNvSpPr txBox="1"/>
      </xdr:nvSpPr>
      <xdr:spPr>
        <a:xfrm>
          <a:off x="2259106" y="41938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1362</xdr:row>
      <xdr:rowOff>0</xdr:rowOff>
    </xdr:from>
    <xdr:ext cx="184731" cy="264560"/>
    <xdr:sp macro="" textlink="">
      <xdr:nvSpPr>
        <xdr:cNvPr id="130" name="CaixaDeTexto 129">
          <a:extLst>
            <a:ext uri="{FF2B5EF4-FFF2-40B4-BE49-F238E27FC236}">
              <a16:creationId xmlns="" xmlns:a16="http://schemas.microsoft.com/office/drawing/2014/main" id="{9E5E2ACA-9FA4-467A-9CF0-62B9A0B5C6C8}"/>
            </a:ext>
          </a:extLst>
        </xdr:cNvPr>
        <xdr:cNvSpPr txBox="1"/>
      </xdr:nvSpPr>
      <xdr:spPr>
        <a:xfrm>
          <a:off x="2259106" y="4229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1362</xdr:row>
      <xdr:rowOff>0</xdr:rowOff>
    </xdr:from>
    <xdr:ext cx="184731" cy="264560"/>
    <xdr:sp macro="" textlink="">
      <xdr:nvSpPr>
        <xdr:cNvPr id="131" name="CaixaDeTexto 130">
          <a:extLst>
            <a:ext uri="{FF2B5EF4-FFF2-40B4-BE49-F238E27FC236}">
              <a16:creationId xmlns="" xmlns:a16="http://schemas.microsoft.com/office/drawing/2014/main" id="{FAB378AD-BD5A-4915-862D-3674FCD9F718}"/>
            </a:ext>
          </a:extLst>
        </xdr:cNvPr>
        <xdr:cNvSpPr txBox="1"/>
      </xdr:nvSpPr>
      <xdr:spPr>
        <a:xfrm>
          <a:off x="2259106" y="4229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1363</xdr:row>
      <xdr:rowOff>0</xdr:rowOff>
    </xdr:from>
    <xdr:ext cx="184731" cy="264560"/>
    <xdr:sp macro="" textlink="">
      <xdr:nvSpPr>
        <xdr:cNvPr id="132" name="CaixaDeTexto 131">
          <a:extLst>
            <a:ext uri="{FF2B5EF4-FFF2-40B4-BE49-F238E27FC236}">
              <a16:creationId xmlns="" xmlns:a16="http://schemas.microsoft.com/office/drawing/2014/main" id="{DF61E1F9-7D71-4342-BD1A-E80D9BD17AB9}"/>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1363</xdr:row>
      <xdr:rowOff>0</xdr:rowOff>
    </xdr:from>
    <xdr:ext cx="184731" cy="264560"/>
    <xdr:sp macro="" textlink="">
      <xdr:nvSpPr>
        <xdr:cNvPr id="133" name="CaixaDeTexto 132">
          <a:extLst>
            <a:ext uri="{FF2B5EF4-FFF2-40B4-BE49-F238E27FC236}">
              <a16:creationId xmlns="" xmlns:a16="http://schemas.microsoft.com/office/drawing/2014/main" id="{B9897B13-A5EC-4AE8-A15D-9E59D8426787}"/>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1362</xdr:row>
      <xdr:rowOff>0</xdr:rowOff>
    </xdr:from>
    <xdr:ext cx="184731" cy="264560"/>
    <xdr:sp macro="" textlink="">
      <xdr:nvSpPr>
        <xdr:cNvPr id="134" name="CaixaDeTexto 133">
          <a:extLst>
            <a:ext uri="{FF2B5EF4-FFF2-40B4-BE49-F238E27FC236}">
              <a16:creationId xmlns="" xmlns:a16="http://schemas.microsoft.com/office/drawing/2014/main" id="{9DC23F19-AE31-4F52-8518-3CD7BA1531DB}"/>
            </a:ext>
          </a:extLst>
        </xdr:cNvPr>
        <xdr:cNvSpPr txBox="1"/>
      </xdr:nvSpPr>
      <xdr:spPr>
        <a:xfrm>
          <a:off x="2259106" y="4229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1363</xdr:row>
      <xdr:rowOff>0</xdr:rowOff>
    </xdr:from>
    <xdr:ext cx="184731" cy="264560"/>
    <xdr:sp macro="" textlink="">
      <xdr:nvSpPr>
        <xdr:cNvPr id="135" name="CaixaDeTexto 134">
          <a:extLst>
            <a:ext uri="{FF2B5EF4-FFF2-40B4-BE49-F238E27FC236}">
              <a16:creationId xmlns="" xmlns:a16="http://schemas.microsoft.com/office/drawing/2014/main" id="{52E49A80-166B-40C6-A9EA-08591ACBC5B9}"/>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1362</xdr:row>
      <xdr:rowOff>0</xdr:rowOff>
    </xdr:from>
    <xdr:ext cx="184731" cy="264560"/>
    <xdr:sp macro="" textlink="">
      <xdr:nvSpPr>
        <xdr:cNvPr id="136" name="CaixaDeTexto 135">
          <a:extLst>
            <a:ext uri="{FF2B5EF4-FFF2-40B4-BE49-F238E27FC236}">
              <a16:creationId xmlns="" xmlns:a16="http://schemas.microsoft.com/office/drawing/2014/main" id="{2B4FAB76-FF15-4663-B841-D167AEAFF187}"/>
            </a:ext>
          </a:extLst>
        </xdr:cNvPr>
        <xdr:cNvSpPr txBox="1"/>
      </xdr:nvSpPr>
      <xdr:spPr>
        <a:xfrm>
          <a:off x="2259106" y="4229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1363</xdr:row>
      <xdr:rowOff>0</xdr:rowOff>
    </xdr:from>
    <xdr:ext cx="184731" cy="264560"/>
    <xdr:sp macro="" textlink="">
      <xdr:nvSpPr>
        <xdr:cNvPr id="137" name="CaixaDeTexto 136">
          <a:extLst>
            <a:ext uri="{FF2B5EF4-FFF2-40B4-BE49-F238E27FC236}">
              <a16:creationId xmlns="" xmlns:a16="http://schemas.microsoft.com/office/drawing/2014/main" id="{D1D6D7E0-D6B7-492C-974E-274FDAFEC3B1}"/>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1363</xdr:row>
      <xdr:rowOff>0</xdr:rowOff>
    </xdr:from>
    <xdr:ext cx="184731" cy="264560"/>
    <xdr:sp macro="" textlink="">
      <xdr:nvSpPr>
        <xdr:cNvPr id="138" name="CaixaDeTexto 137">
          <a:extLst>
            <a:ext uri="{FF2B5EF4-FFF2-40B4-BE49-F238E27FC236}">
              <a16:creationId xmlns="" xmlns:a16="http://schemas.microsoft.com/office/drawing/2014/main" id="{94E2159A-8C5E-4B3E-BED4-1C4D4D4A2A31}"/>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1361</xdr:row>
      <xdr:rowOff>0</xdr:rowOff>
    </xdr:from>
    <xdr:ext cx="184731" cy="264560"/>
    <xdr:sp macro="" textlink="">
      <xdr:nvSpPr>
        <xdr:cNvPr id="139" name="CaixaDeTexto 138">
          <a:extLst>
            <a:ext uri="{FF2B5EF4-FFF2-40B4-BE49-F238E27FC236}">
              <a16:creationId xmlns="" xmlns:a16="http://schemas.microsoft.com/office/drawing/2014/main" id="{026ECEFD-19C2-4500-80A1-83BCD7A35764}"/>
            </a:ext>
          </a:extLst>
        </xdr:cNvPr>
        <xdr:cNvSpPr txBox="1"/>
      </xdr:nvSpPr>
      <xdr:spPr>
        <a:xfrm>
          <a:off x="2259106" y="41938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1362</xdr:row>
      <xdr:rowOff>0</xdr:rowOff>
    </xdr:from>
    <xdr:ext cx="184731" cy="264560"/>
    <xdr:sp macro="" textlink="">
      <xdr:nvSpPr>
        <xdr:cNvPr id="140" name="CaixaDeTexto 139">
          <a:extLst>
            <a:ext uri="{FF2B5EF4-FFF2-40B4-BE49-F238E27FC236}">
              <a16:creationId xmlns="" xmlns:a16="http://schemas.microsoft.com/office/drawing/2014/main" id="{8D8BEBC3-A6DC-4A0F-B2BB-7511E97180CA}"/>
            </a:ext>
          </a:extLst>
        </xdr:cNvPr>
        <xdr:cNvSpPr txBox="1"/>
      </xdr:nvSpPr>
      <xdr:spPr>
        <a:xfrm>
          <a:off x="2259106" y="4229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1363</xdr:row>
      <xdr:rowOff>0</xdr:rowOff>
    </xdr:from>
    <xdr:ext cx="184731" cy="264560"/>
    <xdr:sp macro="" textlink="">
      <xdr:nvSpPr>
        <xdr:cNvPr id="141" name="CaixaDeTexto 140">
          <a:extLst>
            <a:ext uri="{FF2B5EF4-FFF2-40B4-BE49-F238E27FC236}">
              <a16:creationId xmlns="" xmlns:a16="http://schemas.microsoft.com/office/drawing/2014/main" id="{03571EF1-F810-491A-8A76-CEC0CD58E9F1}"/>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1363</xdr:row>
      <xdr:rowOff>0</xdr:rowOff>
    </xdr:from>
    <xdr:ext cx="184731" cy="264560"/>
    <xdr:sp macro="" textlink="">
      <xdr:nvSpPr>
        <xdr:cNvPr id="142" name="CaixaDeTexto 141">
          <a:extLst>
            <a:ext uri="{FF2B5EF4-FFF2-40B4-BE49-F238E27FC236}">
              <a16:creationId xmlns="" xmlns:a16="http://schemas.microsoft.com/office/drawing/2014/main" id="{638EE652-6B8F-4A23-866D-E5E8F516CF29}"/>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1364</xdr:row>
      <xdr:rowOff>0</xdr:rowOff>
    </xdr:from>
    <xdr:ext cx="184731" cy="264560"/>
    <xdr:sp macro="" textlink="">
      <xdr:nvSpPr>
        <xdr:cNvPr id="143" name="CaixaDeTexto 142">
          <a:extLst>
            <a:ext uri="{FF2B5EF4-FFF2-40B4-BE49-F238E27FC236}">
              <a16:creationId xmlns="" xmlns:a16="http://schemas.microsoft.com/office/drawing/2014/main" id="{B703C137-5292-4671-A062-38CBCBE91EE7}"/>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1364</xdr:row>
      <xdr:rowOff>0</xdr:rowOff>
    </xdr:from>
    <xdr:ext cx="184731" cy="264560"/>
    <xdr:sp macro="" textlink="">
      <xdr:nvSpPr>
        <xdr:cNvPr id="144" name="CaixaDeTexto 143">
          <a:extLst>
            <a:ext uri="{FF2B5EF4-FFF2-40B4-BE49-F238E27FC236}">
              <a16:creationId xmlns="" xmlns:a16="http://schemas.microsoft.com/office/drawing/2014/main" id="{99C60F74-3289-4473-AE8F-B3EE2595ED23}"/>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1363</xdr:row>
      <xdr:rowOff>0</xdr:rowOff>
    </xdr:from>
    <xdr:ext cx="184731" cy="264560"/>
    <xdr:sp macro="" textlink="">
      <xdr:nvSpPr>
        <xdr:cNvPr id="145" name="CaixaDeTexto 144">
          <a:extLst>
            <a:ext uri="{FF2B5EF4-FFF2-40B4-BE49-F238E27FC236}">
              <a16:creationId xmlns="" xmlns:a16="http://schemas.microsoft.com/office/drawing/2014/main" id="{730FE423-41F2-461F-A1D1-0847D66286D2}"/>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1364</xdr:row>
      <xdr:rowOff>0</xdr:rowOff>
    </xdr:from>
    <xdr:ext cx="184731" cy="264560"/>
    <xdr:sp macro="" textlink="">
      <xdr:nvSpPr>
        <xdr:cNvPr id="146" name="CaixaDeTexto 145">
          <a:extLst>
            <a:ext uri="{FF2B5EF4-FFF2-40B4-BE49-F238E27FC236}">
              <a16:creationId xmlns="" xmlns:a16="http://schemas.microsoft.com/office/drawing/2014/main" id="{6FBED863-9B42-4D26-BAFA-285EF8CBC784}"/>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1363</xdr:row>
      <xdr:rowOff>0</xdr:rowOff>
    </xdr:from>
    <xdr:ext cx="184731" cy="264560"/>
    <xdr:sp macro="" textlink="">
      <xdr:nvSpPr>
        <xdr:cNvPr id="147" name="CaixaDeTexto 146">
          <a:extLst>
            <a:ext uri="{FF2B5EF4-FFF2-40B4-BE49-F238E27FC236}">
              <a16:creationId xmlns="" xmlns:a16="http://schemas.microsoft.com/office/drawing/2014/main" id="{A5475E67-0426-4840-B62D-714B76530A92}"/>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1364</xdr:row>
      <xdr:rowOff>0</xdr:rowOff>
    </xdr:from>
    <xdr:ext cx="184731" cy="264560"/>
    <xdr:sp macro="" textlink="">
      <xdr:nvSpPr>
        <xdr:cNvPr id="148" name="CaixaDeTexto 147">
          <a:extLst>
            <a:ext uri="{FF2B5EF4-FFF2-40B4-BE49-F238E27FC236}">
              <a16:creationId xmlns="" xmlns:a16="http://schemas.microsoft.com/office/drawing/2014/main" id="{58F43F18-E220-425F-9E70-517C47756B3B}"/>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1364</xdr:row>
      <xdr:rowOff>0</xdr:rowOff>
    </xdr:from>
    <xdr:ext cx="184731" cy="264560"/>
    <xdr:sp macro="" textlink="">
      <xdr:nvSpPr>
        <xdr:cNvPr id="149" name="CaixaDeTexto 148">
          <a:extLst>
            <a:ext uri="{FF2B5EF4-FFF2-40B4-BE49-F238E27FC236}">
              <a16:creationId xmlns="" xmlns:a16="http://schemas.microsoft.com/office/drawing/2014/main" id="{1C053B3B-E06B-40D0-BB7C-C0C45A1C51F5}"/>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1362</xdr:row>
      <xdr:rowOff>0</xdr:rowOff>
    </xdr:from>
    <xdr:ext cx="184731" cy="264560"/>
    <xdr:sp macro="" textlink="">
      <xdr:nvSpPr>
        <xdr:cNvPr id="150" name="CaixaDeTexto 149">
          <a:extLst>
            <a:ext uri="{FF2B5EF4-FFF2-40B4-BE49-F238E27FC236}">
              <a16:creationId xmlns="" xmlns:a16="http://schemas.microsoft.com/office/drawing/2014/main" id="{13B5B808-D6EE-4628-B456-0D5EB7484A5F}"/>
            </a:ext>
          </a:extLst>
        </xdr:cNvPr>
        <xdr:cNvSpPr txBox="1"/>
      </xdr:nvSpPr>
      <xdr:spPr>
        <a:xfrm>
          <a:off x="2259106" y="4229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1363</xdr:row>
      <xdr:rowOff>0</xdr:rowOff>
    </xdr:from>
    <xdr:ext cx="184731" cy="264560"/>
    <xdr:sp macro="" textlink="">
      <xdr:nvSpPr>
        <xdr:cNvPr id="151" name="CaixaDeTexto 150">
          <a:extLst>
            <a:ext uri="{FF2B5EF4-FFF2-40B4-BE49-F238E27FC236}">
              <a16:creationId xmlns="" xmlns:a16="http://schemas.microsoft.com/office/drawing/2014/main" id="{80CE076A-DB0E-4050-A13D-DBA1F839D1D9}"/>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1364</xdr:row>
      <xdr:rowOff>0</xdr:rowOff>
    </xdr:from>
    <xdr:ext cx="184731" cy="264560"/>
    <xdr:sp macro="" textlink="">
      <xdr:nvSpPr>
        <xdr:cNvPr id="152" name="CaixaDeTexto 151">
          <a:extLst>
            <a:ext uri="{FF2B5EF4-FFF2-40B4-BE49-F238E27FC236}">
              <a16:creationId xmlns="" xmlns:a16="http://schemas.microsoft.com/office/drawing/2014/main" id="{EB465B72-3D9C-436B-AA69-43D5369853F4}"/>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1364</xdr:row>
      <xdr:rowOff>0</xdr:rowOff>
    </xdr:from>
    <xdr:ext cx="184731" cy="264560"/>
    <xdr:sp macro="" textlink="">
      <xdr:nvSpPr>
        <xdr:cNvPr id="153" name="CaixaDeTexto 152">
          <a:extLst>
            <a:ext uri="{FF2B5EF4-FFF2-40B4-BE49-F238E27FC236}">
              <a16:creationId xmlns="" xmlns:a16="http://schemas.microsoft.com/office/drawing/2014/main" id="{6FAC0237-2D95-49FB-B5ED-2D723AB2ED3B}"/>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1365</xdr:row>
      <xdr:rowOff>0</xdr:rowOff>
    </xdr:from>
    <xdr:ext cx="184731" cy="264560"/>
    <xdr:sp macro="" textlink="">
      <xdr:nvSpPr>
        <xdr:cNvPr id="154" name="CaixaDeTexto 153">
          <a:extLst>
            <a:ext uri="{FF2B5EF4-FFF2-40B4-BE49-F238E27FC236}">
              <a16:creationId xmlns="" xmlns:a16="http://schemas.microsoft.com/office/drawing/2014/main" id="{5DE3A982-C534-4912-902F-A88BA889F0E2}"/>
            </a:ext>
          </a:extLst>
        </xdr:cNvPr>
        <xdr:cNvSpPr txBox="1"/>
      </xdr:nvSpPr>
      <xdr:spPr>
        <a:xfrm>
          <a:off x="2259106" y="4334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1365</xdr:row>
      <xdr:rowOff>0</xdr:rowOff>
    </xdr:from>
    <xdr:ext cx="184731" cy="264560"/>
    <xdr:sp macro="" textlink="">
      <xdr:nvSpPr>
        <xdr:cNvPr id="155" name="CaixaDeTexto 154">
          <a:extLst>
            <a:ext uri="{FF2B5EF4-FFF2-40B4-BE49-F238E27FC236}">
              <a16:creationId xmlns="" xmlns:a16="http://schemas.microsoft.com/office/drawing/2014/main" id="{11D2B132-3917-4912-982D-6B4D916C6B78}"/>
            </a:ext>
          </a:extLst>
        </xdr:cNvPr>
        <xdr:cNvSpPr txBox="1"/>
      </xdr:nvSpPr>
      <xdr:spPr>
        <a:xfrm>
          <a:off x="2259106" y="4334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1364</xdr:row>
      <xdr:rowOff>0</xdr:rowOff>
    </xdr:from>
    <xdr:ext cx="184731" cy="264560"/>
    <xdr:sp macro="" textlink="">
      <xdr:nvSpPr>
        <xdr:cNvPr id="156" name="CaixaDeTexto 155">
          <a:extLst>
            <a:ext uri="{FF2B5EF4-FFF2-40B4-BE49-F238E27FC236}">
              <a16:creationId xmlns="" xmlns:a16="http://schemas.microsoft.com/office/drawing/2014/main" id="{9F5C68A4-F4A7-4482-9A8C-F9DD57A17151}"/>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1365</xdr:row>
      <xdr:rowOff>0</xdr:rowOff>
    </xdr:from>
    <xdr:ext cx="184731" cy="264560"/>
    <xdr:sp macro="" textlink="">
      <xdr:nvSpPr>
        <xdr:cNvPr id="157" name="CaixaDeTexto 156">
          <a:extLst>
            <a:ext uri="{FF2B5EF4-FFF2-40B4-BE49-F238E27FC236}">
              <a16:creationId xmlns="" xmlns:a16="http://schemas.microsoft.com/office/drawing/2014/main" id="{D5D019AB-3142-47BE-A9F6-DFE1859983CF}"/>
            </a:ext>
          </a:extLst>
        </xdr:cNvPr>
        <xdr:cNvSpPr txBox="1"/>
      </xdr:nvSpPr>
      <xdr:spPr>
        <a:xfrm>
          <a:off x="2259106" y="4334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1364</xdr:row>
      <xdr:rowOff>0</xdr:rowOff>
    </xdr:from>
    <xdr:ext cx="184731" cy="264560"/>
    <xdr:sp macro="" textlink="">
      <xdr:nvSpPr>
        <xdr:cNvPr id="158" name="CaixaDeTexto 157">
          <a:extLst>
            <a:ext uri="{FF2B5EF4-FFF2-40B4-BE49-F238E27FC236}">
              <a16:creationId xmlns="" xmlns:a16="http://schemas.microsoft.com/office/drawing/2014/main" id="{85175E33-4861-4332-B7FA-55AAFB140BF9}"/>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1365</xdr:row>
      <xdr:rowOff>0</xdr:rowOff>
    </xdr:from>
    <xdr:ext cx="184731" cy="264560"/>
    <xdr:sp macro="" textlink="">
      <xdr:nvSpPr>
        <xdr:cNvPr id="159" name="CaixaDeTexto 158">
          <a:extLst>
            <a:ext uri="{FF2B5EF4-FFF2-40B4-BE49-F238E27FC236}">
              <a16:creationId xmlns="" xmlns:a16="http://schemas.microsoft.com/office/drawing/2014/main" id="{72BEE1AB-22CD-4B14-AA61-9321B01CEE41}"/>
            </a:ext>
          </a:extLst>
        </xdr:cNvPr>
        <xdr:cNvSpPr txBox="1"/>
      </xdr:nvSpPr>
      <xdr:spPr>
        <a:xfrm>
          <a:off x="2259106" y="4334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1365</xdr:row>
      <xdr:rowOff>0</xdr:rowOff>
    </xdr:from>
    <xdr:ext cx="184731" cy="264560"/>
    <xdr:sp macro="" textlink="">
      <xdr:nvSpPr>
        <xdr:cNvPr id="160" name="CaixaDeTexto 159">
          <a:extLst>
            <a:ext uri="{FF2B5EF4-FFF2-40B4-BE49-F238E27FC236}">
              <a16:creationId xmlns="" xmlns:a16="http://schemas.microsoft.com/office/drawing/2014/main" id="{17644EBC-638D-49C3-B4C2-3393D020DDF8}"/>
            </a:ext>
          </a:extLst>
        </xdr:cNvPr>
        <xdr:cNvSpPr txBox="1"/>
      </xdr:nvSpPr>
      <xdr:spPr>
        <a:xfrm>
          <a:off x="2259106" y="4334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1363</xdr:row>
      <xdr:rowOff>0</xdr:rowOff>
    </xdr:from>
    <xdr:ext cx="184731" cy="264560"/>
    <xdr:sp macro="" textlink="">
      <xdr:nvSpPr>
        <xdr:cNvPr id="161" name="CaixaDeTexto 160">
          <a:extLst>
            <a:ext uri="{FF2B5EF4-FFF2-40B4-BE49-F238E27FC236}">
              <a16:creationId xmlns="" xmlns:a16="http://schemas.microsoft.com/office/drawing/2014/main" id="{489047F7-7AB8-4551-9741-A229C277BEAB}"/>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1364</xdr:row>
      <xdr:rowOff>0</xdr:rowOff>
    </xdr:from>
    <xdr:ext cx="184731" cy="264560"/>
    <xdr:sp macro="" textlink="">
      <xdr:nvSpPr>
        <xdr:cNvPr id="162" name="CaixaDeTexto 161">
          <a:extLst>
            <a:ext uri="{FF2B5EF4-FFF2-40B4-BE49-F238E27FC236}">
              <a16:creationId xmlns="" xmlns:a16="http://schemas.microsoft.com/office/drawing/2014/main" id="{23CA6F90-6320-4833-8B5E-3C7D5419C6B3}"/>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1365</xdr:row>
      <xdr:rowOff>0</xdr:rowOff>
    </xdr:from>
    <xdr:ext cx="184731" cy="264560"/>
    <xdr:sp macro="" textlink="">
      <xdr:nvSpPr>
        <xdr:cNvPr id="163" name="CaixaDeTexto 162">
          <a:extLst>
            <a:ext uri="{FF2B5EF4-FFF2-40B4-BE49-F238E27FC236}">
              <a16:creationId xmlns="" xmlns:a16="http://schemas.microsoft.com/office/drawing/2014/main" id="{1B8E85D5-42F9-4CD0-A44F-287601C2DD0F}"/>
            </a:ext>
          </a:extLst>
        </xdr:cNvPr>
        <xdr:cNvSpPr txBox="1"/>
      </xdr:nvSpPr>
      <xdr:spPr>
        <a:xfrm>
          <a:off x="2259106" y="4334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1365</xdr:row>
      <xdr:rowOff>0</xdr:rowOff>
    </xdr:from>
    <xdr:ext cx="184731" cy="264560"/>
    <xdr:sp macro="" textlink="">
      <xdr:nvSpPr>
        <xdr:cNvPr id="164" name="CaixaDeTexto 163">
          <a:extLst>
            <a:ext uri="{FF2B5EF4-FFF2-40B4-BE49-F238E27FC236}">
              <a16:creationId xmlns="" xmlns:a16="http://schemas.microsoft.com/office/drawing/2014/main" id="{BDCA2D67-AB62-4895-AC64-0BA03C641B7C}"/>
            </a:ext>
          </a:extLst>
        </xdr:cNvPr>
        <xdr:cNvSpPr txBox="1"/>
      </xdr:nvSpPr>
      <xdr:spPr>
        <a:xfrm>
          <a:off x="2259106" y="4334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1366</xdr:row>
      <xdr:rowOff>0</xdr:rowOff>
    </xdr:from>
    <xdr:ext cx="184731" cy="264560"/>
    <xdr:sp macro="" textlink="">
      <xdr:nvSpPr>
        <xdr:cNvPr id="165" name="CaixaDeTexto 164">
          <a:extLst>
            <a:ext uri="{FF2B5EF4-FFF2-40B4-BE49-F238E27FC236}">
              <a16:creationId xmlns="" xmlns:a16="http://schemas.microsoft.com/office/drawing/2014/main" id="{89D8E8D5-33BA-4D0B-A765-3D7036279406}"/>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1366</xdr:row>
      <xdr:rowOff>0</xdr:rowOff>
    </xdr:from>
    <xdr:ext cx="184731" cy="264560"/>
    <xdr:sp macro="" textlink="">
      <xdr:nvSpPr>
        <xdr:cNvPr id="166" name="CaixaDeTexto 165">
          <a:extLst>
            <a:ext uri="{FF2B5EF4-FFF2-40B4-BE49-F238E27FC236}">
              <a16:creationId xmlns="" xmlns:a16="http://schemas.microsoft.com/office/drawing/2014/main" id="{0851219F-409E-4EF9-8F95-2712DC18836B}"/>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1365</xdr:row>
      <xdr:rowOff>0</xdr:rowOff>
    </xdr:from>
    <xdr:ext cx="184731" cy="264560"/>
    <xdr:sp macro="" textlink="">
      <xdr:nvSpPr>
        <xdr:cNvPr id="167" name="CaixaDeTexto 166">
          <a:extLst>
            <a:ext uri="{FF2B5EF4-FFF2-40B4-BE49-F238E27FC236}">
              <a16:creationId xmlns="" xmlns:a16="http://schemas.microsoft.com/office/drawing/2014/main" id="{E0B739A0-532F-4841-920A-320ED59A645A}"/>
            </a:ext>
          </a:extLst>
        </xdr:cNvPr>
        <xdr:cNvSpPr txBox="1"/>
      </xdr:nvSpPr>
      <xdr:spPr>
        <a:xfrm>
          <a:off x="2259106" y="4334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1366</xdr:row>
      <xdr:rowOff>0</xdr:rowOff>
    </xdr:from>
    <xdr:ext cx="184731" cy="264560"/>
    <xdr:sp macro="" textlink="">
      <xdr:nvSpPr>
        <xdr:cNvPr id="168" name="CaixaDeTexto 167">
          <a:extLst>
            <a:ext uri="{FF2B5EF4-FFF2-40B4-BE49-F238E27FC236}">
              <a16:creationId xmlns="" xmlns:a16="http://schemas.microsoft.com/office/drawing/2014/main" id="{E32C8E73-C2DC-41DB-90EE-DE2ADDBFCFE2}"/>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1365</xdr:row>
      <xdr:rowOff>0</xdr:rowOff>
    </xdr:from>
    <xdr:ext cx="184731" cy="264560"/>
    <xdr:sp macro="" textlink="">
      <xdr:nvSpPr>
        <xdr:cNvPr id="169" name="CaixaDeTexto 168">
          <a:extLst>
            <a:ext uri="{FF2B5EF4-FFF2-40B4-BE49-F238E27FC236}">
              <a16:creationId xmlns="" xmlns:a16="http://schemas.microsoft.com/office/drawing/2014/main" id="{B1F84577-37AF-48EF-81AB-2BE57CBDDEE2}"/>
            </a:ext>
          </a:extLst>
        </xdr:cNvPr>
        <xdr:cNvSpPr txBox="1"/>
      </xdr:nvSpPr>
      <xdr:spPr>
        <a:xfrm>
          <a:off x="2259106" y="4334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1366</xdr:row>
      <xdr:rowOff>0</xdr:rowOff>
    </xdr:from>
    <xdr:ext cx="184731" cy="264560"/>
    <xdr:sp macro="" textlink="">
      <xdr:nvSpPr>
        <xdr:cNvPr id="170" name="CaixaDeTexto 169">
          <a:extLst>
            <a:ext uri="{FF2B5EF4-FFF2-40B4-BE49-F238E27FC236}">
              <a16:creationId xmlns="" xmlns:a16="http://schemas.microsoft.com/office/drawing/2014/main" id="{3860FCF4-90C3-47B2-8894-552499210B2D}"/>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1366</xdr:row>
      <xdr:rowOff>0</xdr:rowOff>
    </xdr:from>
    <xdr:ext cx="184731" cy="264560"/>
    <xdr:sp macro="" textlink="">
      <xdr:nvSpPr>
        <xdr:cNvPr id="171" name="CaixaDeTexto 170">
          <a:extLst>
            <a:ext uri="{FF2B5EF4-FFF2-40B4-BE49-F238E27FC236}">
              <a16:creationId xmlns="" xmlns:a16="http://schemas.microsoft.com/office/drawing/2014/main" id="{C40F3755-425C-4988-A20C-335A79E3FF25}"/>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1364</xdr:row>
      <xdr:rowOff>0</xdr:rowOff>
    </xdr:from>
    <xdr:ext cx="184731" cy="264560"/>
    <xdr:sp macro="" textlink="">
      <xdr:nvSpPr>
        <xdr:cNvPr id="172" name="CaixaDeTexto 171">
          <a:extLst>
            <a:ext uri="{FF2B5EF4-FFF2-40B4-BE49-F238E27FC236}">
              <a16:creationId xmlns="" xmlns:a16="http://schemas.microsoft.com/office/drawing/2014/main" id="{4AD7F626-AD58-48CB-8966-42C5A686DD2B}"/>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1364</xdr:row>
      <xdr:rowOff>0</xdr:rowOff>
    </xdr:from>
    <xdr:ext cx="184731" cy="264560"/>
    <xdr:sp macro="" textlink="">
      <xdr:nvSpPr>
        <xdr:cNvPr id="173" name="CaixaDeTexto 172">
          <a:extLst>
            <a:ext uri="{FF2B5EF4-FFF2-40B4-BE49-F238E27FC236}">
              <a16:creationId xmlns="" xmlns:a16="http://schemas.microsoft.com/office/drawing/2014/main" id="{43979B14-6BD1-4DA5-8D03-734FFAC8ABC4}"/>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1364</xdr:row>
      <xdr:rowOff>0</xdr:rowOff>
    </xdr:from>
    <xdr:ext cx="184731" cy="264560"/>
    <xdr:sp macro="" textlink="">
      <xdr:nvSpPr>
        <xdr:cNvPr id="174" name="CaixaDeTexto 173">
          <a:extLst>
            <a:ext uri="{FF2B5EF4-FFF2-40B4-BE49-F238E27FC236}">
              <a16:creationId xmlns="" xmlns:a16="http://schemas.microsoft.com/office/drawing/2014/main" id="{D4A57F09-E0A7-4AF4-A48E-332721350E31}"/>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1364</xdr:row>
      <xdr:rowOff>0</xdr:rowOff>
    </xdr:from>
    <xdr:ext cx="184731" cy="264560"/>
    <xdr:sp macro="" textlink="">
      <xdr:nvSpPr>
        <xdr:cNvPr id="175" name="CaixaDeTexto 174">
          <a:extLst>
            <a:ext uri="{FF2B5EF4-FFF2-40B4-BE49-F238E27FC236}">
              <a16:creationId xmlns="" xmlns:a16="http://schemas.microsoft.com/office/drawing/2014/main" id="{57FBBF76-FBF2-40C9-BF4E-F958676BE855}"/>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1364</xdr:row>
      <xdr:rowOff>0</xdr:rowOff>
    </xdr:from>
    <xdr:ext cx="184731" cy="264560"/>
    <xdr:sp macro="" textlink="">
      <xdr:nvSpPr>
        <xdr:cNvPr id="176" name="CaixaDeTexto 175">
          <a:extLst>
            <a:ext uri="{FF2B5EF4-FFF2-40B4-BE49-F238E27FC236}">
              <a16:creationId xmlns="" xmlns:a16="http://schemas.microsoft.com/office/drawing/2014/main" id="{FA7C3427-5FF6-4EF9-884F-7BBDFA6CFE7E}"/>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1364</xdr:row>
      <xdr:rowOff>0</xdr:rowOff>
    </xdr:from>
    <xdr:ext cx="184731" cy="264560"/>
    <xdr:sp macro="" textlink="">
      <xdr:nvSpPr>
        <xdr:cNvPr id="177" name="CaixaDeTexto 176">
          <a:extLst>
            <a:ext uri="{FF2B5EF4-FFF2-40B4-BE49-F238E27FC236}">
              <a16:creationId xmlns="" xmlns:a16="http://schemas.microsoft.com/office/drawing/2014/main" id="{6BF73625-D36C-4B83-9F8D-EFA8C8B7B5D5}"/>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1363</xdr:row>
      <xdr:rowOff>0</xdr:rowOff>
    </xdr:from>
    <xdr:ext cx="184731" cy="264560"/>
    <xdr:sp macro="" textlink="">
      <xdr:nvSpPr>
        <xdr:cNvPr id="178" name="CaixaDeTexto 177">
          <a:extLst>
            <a:ext uri="{FF2B5EF4-FFF2-40B4-BE49-F238E27FC236}">
              <a16:creationId xmlns="" xmlns:a16="http://schemas.microsoft.com/office/drawing/2014/main" id="{25FD3D84-DB4E-42FD-B5A8-80E3CD733750}"/>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1363</xdr:row>
      <xdr:rowOff>0</xdr:rowOff>
    </xdr:from>
    <xdr:ext cx="184731" cy="264560"/>
    <xdr:sp macro="" textlink="">
      <xdr:nvSpPr>
        <xdr:cNvPr id="179" name="CaixaDeTexto 178">
          <a:extLst>
            <a:ext uri="{FF2B5EF4-FFF2-40B4-BE49-F238E27FC236}">
              <a16:creationId xmlns="" xmlns:a16="http://schemas.microsoft.com/office/drawing/2014/main" id="{1C689962-725F-42A9-BB0B-07B3BBDADAA5}"/>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1363</xdr:row>
      <xdr:rowOff>0</xdr:rowOff>
    </xdr:from>
    <xdr:ext cx="184731" cy="264560"/>
    <xdr:sp macro="" textlink="">
      <xdr:nvSpPr>
        <xdr:cNvPr id="180" name="CaixaDeTexto 179">
          <a:extLst>
            <a:ext uri="{FF2B5EF4-FFF2-40B4-BE49-F238E27FC236}">
              <a16:creationId xmlns="" xmlns:a16="http://schemas.microsoft.com/office/drawing/2014/main" id="{71680CDC-BD1D-4FF2-A286-FD4E187B829A}"/>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1363</xdr:row>
      <xdr:rowOff>0</xdr:rowOff>
    </xdr:from>
    <xdr:ext cx="184731" cy="264560"/>
    <xdr:sp macro="" textlink="">
      <xdr:nvSpPr>
        <xdr:cNvPr id="181" name="CaixaDeTexto 180">
          <a:extLst>
            <a:ext uri="{FF2B5EF4-FFF2-40B4-BE49-F238E27FC236}">
              <a16:creationId xmlns="" xmlns:a16="http://schemas.microsoft.com/office/drawing/2014/main" id="{63378CF2-DE6E-4FCA-9BA2-3BF278A69CAC}"/>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1363</xdr:row>
      <xdr:rowOff>0</xdr:rowOff>
    </xdr:from>
    <xdr:ext cx="184731" cy="264560"/>
    <xdr:sp macro="" textlink="">
      <xdr:nvSpPr>
        <xdr:cNvPr id="182" name="CaixaDeTexto 181">
          <a:extLst>
            <a:ext uri="{FF2B5EF4-FFF2-40B4-BE49-F238E27FC236}">
              <a16:creationId xmlns="" xmlns:a16="http://schemas.microsoft.com/office/drawing/2014/main" id="{D147C9DC-68C6-43B0-BEF9-781974C20185}"/>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1363</xdr:row>
      <xdr:rowOff>0</xdr:rowOff>
    </xdr:from>
    <xdr:ext cx="184731" cy="264560"/>
    <xdr:sp macro="" textlink="">
      <xdr:nvSpPr>
        <xdr:cNvPr id="183" name="CaixaDeTexto 182">
          <a:extLst>
            <a:ext uri="{FF2B5EF4-FFF2-40B4-BE49-F238E27FC236}">
              <a16:creationId xmlns="" xmlns:a16="http://schemas.microsoft.com/office/drawing/2014/main" id="{9B9E5109-B797-43C6-97DA-4A47B7C0659B}"/>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1363</xdr:row>
      <xdr:rowOff>0</xdr:rowOff>
    </xdr:from>
    <xdr:ext cx="184731" cy="264560"/>
    <xdr:sp macro="" textlink="">
      <xdr:nvSpPr>
        <xdr:cNvPr id="184" name="CaixaDeTexto 183">
          <a:extLst>
            <a:ext uri="{FF2B5EF4-FFF2-40B4-BE49-F238E27FC236}">
              <a16:creationId xmlns="" xmlns:a16="http://schemas.microsoft.com/office/drawing/2014/main" id="{C6BB213F-6792-4C40-819E-479F2369FA1E}"/>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1363</xdr:row>
      <xdr:rowOff>0</xdr:rowOff>
    </xdr:from>
    <xdr:ext cx="184731" cy="264560"/>
    <xdr:sp macro="" textlink="">
      <xdr:nvSpPr>
        <xdr:cNvPr id="185" name="CaixaDeTexto 184">
          <a:extLst>
            <a:ext uri="{FF2B5EF4-FFF2-40B4-BE49-F238E27FC236}">
              <a16:creationId xmlns="" xmlns:a16="http://schemas.microsoft.com/office/drawing/2014/main" id="{D8EF7AED-E5D4-406B-B9D7-A370DF411E47}"/>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1363</xdr:row>
      <xdr:rowOff>0</xdr:rowOff>
    </xdr:from>
    <xdr:ext cx="184731" cy="264560"/>
    <xdr:sp macro="" textlink="">
      <xdr:nvSpPr>
        <xdr:cNvPr id="186" name="CaixaDeTexto 185">
          <a:extLst>
            <a:ext uri="{FF2B5EF4-FFF2-40B4-BE49-F238E27FC236}">
              <a16:creationId xmlns="" xmlns:a16="http://schemas.microsoft.com/office/drawing/2014/main" id="{7A49C896-4A74-4215-97C6-0045A3290BCB}"/>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1363</xdr:row>
      <xdr:rowOff>0</xdr:rowOff>
    </xdr:from>
    <xdr:ext cx="184731" cy="264560"/>
    <xdr:sp macro="" textlink="">
      <xdr:nvSpPr>
        <xdr:cNvPr id="187" name="CaixaDeTexto 186">
          <a:extLst>
            <a:ext uri="{FF2B5EF4-FFF2-40B4-BE49-F238E27FC236}">
              <a16:creationId xmlns="" xmlns:a16="http://schemas.microsoft.com/office/drawing/2014/main" id="{5A2CF2D6-4B86-4070-96FF-7CAC362A9C3E}"/>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1363</xdr:row>
      <xdr:rowOff>0</xdr:rowOff>
    </xdr:from>
    <xdr:ext cx="184731" cy="264560"/>
    <xdr:sp macro="" textlink="">
      <xdr:nvSpPr>
        <xdr:cNvPr id="188" name="CaixaDeTexto 187">
          <a:extLst>
            <a:ext uri="{FF2B5EF4-FFF2-40B4-BE49-F238E27FC236}">
              <a16:creationId xmlns="" xmlns:a16="http://schemas.microsoft.com/office/drawing/2014/main" id="{6806E72D-68EA-4876-8B1F-3BB51EF870D8}"/>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1363</xdr:row>
      <xdr:rowOff>0</xdr:rowOff>
    </xdr:from>
    <xdr:ext cx="184731" cy="264560"/>
    <xdr:sp macro="" textlink="">
      <xdr:nvSpPr>
        <xdr:cNvPr id="189" name="CaixaDeTexto 188">
          <a:extLst>
            <a:ext uri="{FF2B5EF4-FFF2-40B4-BE49-F238E27FC236}">
              <a16:creationId xmlns="" xmlns:a16="http://schemas.microsoft.com/office/drawing/2014/main" id="{43449DCF-386F-46AB-8EC7-B0D9521E7C5F}"/>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1364</xdr:row>
      <xdr:rowOff>0</xdr:rowOff>
    </xdr:from>
    <xdr:ext cx="184731" cy="264560"/>
    <xdr:sp macro="" textlink="">
      <xdr:nvSpPr>
        <xdr:cNvPr id="190" name="CaixaDeTexto 189">
          <a:extLst>
            <a:ext uri="{FF2B5EF4-FFF2-40B4-BE49-F238E27FC236}">
              <a16:creationId xmlns="" xmlns:a16="http://schemas.microsoft.com/office/drawing/2014/main" id="{0004F6AA-F5EA-499F-AC58-5E189429A793}"/>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1364</xdr:row>
      <xdr:rowOff>0</xdr:rowOff>
    </xdr:from>
    <xdr:ext cx="184731" cy="264560"/>
    <xdr:sp macro="" textlink="">
      <xdr:nvSpPr>
        <xdr:cNvPr id="191" name="CaixaDeTexto 190">
          <a:extLst>
            <a:ext uri="{FF2B5EF4-FFF2-40B4-BE49-F238E27FC236}">
              <a16:creationId xmlns="" xmlns:a16="http://schemas.microsoft.com/office/drawing/2014/main" id="{77909D97-4DC9-430F-B954-9C4698D3747A}"/>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1364</xdr:row>
      <xdr:rowOff>0</xdr:rowOff>
    </xdr:from>
    <xdr:ext cx="184731" cy="264560"/>
    <xdr:sp macro="" textlink="">
      <xdr:nvSpPr>
        <xdr:cNvPr id="192" name="CaixaDeTexto 191">
          <a:extLst>
            <a:ext uri="{FF2B5EF4-FFF2-40B4-BE49-F238E27FC236}">
              <a16:creationId xmlns="" xmlns:a16="http://schemas.microsoft.com/office/drawing/2014/main" id="{CED2DAFF-6675-465F-8473-62211895CF74}"/>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1364</xdr:row>
      <xdr:rowOff>0</xdr:rowOff>
    </xdr:from>
    <xdr:ext cx="184731" cy="264560"/>
    <xdr:sp macro="" textlink="">
      <xdr:nvSpPr>
        <xdr:cNvPr id="193" name="CaixaDeTexto 192">
          <a:extLst>
            <a:ext uri="{FF2B5EF4-FFF2-40B4-BE49-F238E27FC236}">
              <a16:creationId xmlns="" xmlns:a16="http://schemas.microsoft.com/office/drawing/2014/main" id="{BF553BF5-B887-4186-B8BE-980574E0F6E9}"/>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1364</xdr:row>
      <xdr:rowOff>0</xdr:rowOff>
    </xdr:from>
    <xdr:ext cx="184731" cy="264560"/>
    <xdr:sp macro="" textlink="">
      <xdr:nvSpPr>
        <xdr:cNvPr id="194" name="CaixaDeTexto 193">
          <a:extLst>
            <a:ext uri="{FF2B5EF4-FFF2-40B4-BE49-F238E27FC236}">
              <a16:creationId xmlns="" xmlns:a16="http://schemas.microsoft.com/office/drawing/2014/main" id="{2B06BDB8-8825-4D3E-96DC-A3AC06D39CDD}"/>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1364</xdr:row>
      <xdr:rowOff>0</xdr:rowOff>
    </xdr:from>
    <xdr:ext cx="184731" cy="264560"/>
    <xdr:sp macro="" textlink="">
      <xdr:nvSpPr>
        <xdr:cNvPr id="195" name="CaixaDeTexto 194">
          <a:extLst>
            <a:ext uri="{FF2B5EF4-FFF2-40B4-BE49-F238E27FC236}">
              <a16:creationId xmlns="" xmlns:a16="http://schemas.microsoft.com/office/drawing/2014/main" id="{34DF3DEE-7833-4D5C-99FF-355DC856DC7A}"/>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1376</xdr:row>
      <xdr:rowOff>0</xdr:rowOff>
    </xdr:from>
    <xdr:ext cx="184731" cy="264560"/>
    <xdr:sp macro="" textlink="">
      <xdr:nvSpPr>
        <xdr:cNvPr id="196" name="CaixaDeTexto 195">
          <a:extLst>
            <a:ext uri="{FF2B5EF4-FFF2-40B4-BE49-F238E27FC236}">
              <a16:creationId xmlns="" xmlns:a16="http://schemas.microsoft.com/office/drawing/2014/main" id="{F16A6A1D-6620-4E62-A992-358AF83B8850}"/>
            </a:ext>
          </a:extLst>
        </xdr:cNvPr>
        <xdr:cNvSpPr txBox="1"/>
      </xdr:nvSpPr>
      <xdr:spPr>
        <a:xfrm>
          <a:off x="2259106" y="4722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1376</xdr:row>
      <xdr:rowOff>0</xdr:rowOff>
    </xdr:from>
    <xdr:ext cx="184731" cy="264560"/>
    <xdr:sp macro="" textlink="">
      <xdr:nvSpPr>
        <xdr:cNvPr id="197" name="CaixaDeTexto 196">
          <a:extLst>
            <a:ext uri="{FF2B5EF4-FFF2-40B4-BE49-F238E27FC236}">
              <a16:creationId xmlns="" xmlns:a16="http://schemas.microsoft.com/office/drawing/2014/main" id="{32C127A8-3F80-4BFB-8F33-0ED03AA6BAEC}"/>
            </a:ext>
          </a:extLst>
        </xdr:cNvPr>
        <xdr:cNvSpPr txBox="1"/>
      </xdr:nvSpPr>
      <xdr:spPr>
        <a:xfrm>
          <a:off x="2259106" y="4722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1376</xdr:row>
      <xdr:rowOff>0</xdr:rowOff>
    </xdr:from>
    <xdr:ext cx="184731" cy="264560"/>
    <xdr:sp macro="" textlink="">
      <xdr:nvSpPr>
        <xdr:cNvPr id="198" name="CaixaDeTexto 197">
          <a:extLst>
            <a:ext uri="{FF2B5EF4-FFF2-40B4-BE49-F238E27FC236}">
              <a16:creationId xmlns="" xmlns:a16="http://schemas.microsoft.com/office/drawing/2014/main" id="{05CDBB6F-AD60-4B14-88B9-5AAB3F06A53A}"/>
            </a:ext>
          </a:extLst>
        </xdr:cNvPr>
        <xdr:cNvSpPr txBox="1"/>
      </xdr:nvSpPr>
      <xdr:spPr>
        <a:xfrm>
          <a:off x="2259106" y="4722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1376</xdr:row>
      <xdr:rowOff>0</xdr:rowOff>
    </xdr:from>
    <xdr:ext cx="184731" cy="264560"/>
    <xdr:sp macro="" textlink="">
      <xdr:nvSpPr>
        <xdr:cNvPr id="199" name="CaixaDeTexto 198">
          <a:extLst>
            <a:ext uri="{FF2B5EF4-FFF2-40B4-BE49-F238E27FC236}">
              <a16:creationId xmlns="" xmlns:a16="http://schemas.microsoft.com/office/drawing/2014/main" id="{05E1910C-0BBD-4EB2-94E0-C23CDBC37722}"/>
            </a:ext>
          </a:extLst>
        </xdr:cNvPr>
        <xdr:cNvSpPr txBox="1"/>
      </xdr:nvSpPr>
      <xdr:spPr>
        <a:xfrm>
          <a:off x="2259106" y="4722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1376</xdr:row>
      <xdr:rowOff>0</xdr:rowOff>
    </xdr:from>
    <xdr:ext cx="184731" cy="264560"/>
    <xdr:sp macro="" textlink="">
      <xdr:nvSpPr>
        <xdr:cNvPr id="200" name="CaixaDeTexto 199">
          <a:extLst>
            <a:ext uri="{FF2B5EF4-FFF2-40B4-BE49-F238E27FC236}">
              <a16:creationId xmlns="" xmlns:a16="http://schemas.microsoft.com/office/drawing/2014/main" id="{F58B93FE-73F3-4743-BC6B-23F873781658}"/>
            </a:ext>
          </a:extLst>
        </xdr:cNvPr>
        <xdr:cNvSpPr txBox="1"/>
      </xdr:nvSpPr>
      <xdr:spPr>
        <a:xfrm>
          <a:off x="2259106" y="4722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1376</xdr:row>
      <xdr:rowOff>0</xdr:rowOff>
    </xdr:from>
    <xdr:ext cx="184731" cy="264560"/>
    <xdr:sp macro="" textlink="">
      <xdr:nvSpPr>
        <xdr:cNvPr id="201" name="CaixaDeTexto 200">
          <a:extLst>
            <a:ext uri="{FF2B5EF4-FFF2-40B4-BE49-F238E27FC236}">
              <a16:creationId xmlns="" xmlns:a16="http://schemas.microsoft.com/office/drawing/2014/main" id="{5539FD9B-8163-49E5-89EE-B674461DD385}"/>
            </a:ext>
          </a:extLst>
        </xdr:cNvPr>
        <xdr:cNvSpPr txBox="1"/>
      </xdr:nvSpPr>
      <xdr:spPr>
        <a:xfrm>
          <a:off x="2259106" y="4722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1376</xdr:row>
      <xdr:rowOff>0</xdr:rowOff>
    </xdr:from>
    <xdr:ext cx="184731" cy="264560"/>
    <xdr:sp macro="" textlink="">
      <xdr:nvSpPr>
        <xdr:cNvPr id="202" name="CaixaDeTexto 201">
          <a:extLst>
            <a:ext uri="{FF2B5EF4-FFF2-40B4-BE49-F238E27FC236}">
              <a16:creationId xmlns="" xmlns:a16="http://schemas.microsoft.com/office/drawing/2014/main" id="{2158AE40-4BD8-47AF-965F-643606E3F3F0}"/>
            </a:ext>
          </a:extLst>
        </xdr:cNvPr>
        <xdr:cNvSpPr txBox="1"/>
      </xdr:nvSpPr>
      <xdr:spPr>
        <a:xfrm>
          <a:off x="2259106" y="4722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1376</xdr:row>
      <xdr:rowOff>0</xdr:rowOff>
    </xdr:from>
    <xdr:ext cx="184731" cy="264560"/>
    <xdr:sp macro="" textlink="">
      <xdr:nvSpPr>
        <xdr:cNvPr id="203" name="CaixaDeTexto 202">
          <a:extLst>
            <a:ext uri="{FF2B5EF4-FFF2-40B4-BE49-F238E27FC236}">
              <a16:creationId xmlns="" xmlns:a16="http://schemas.microsoft.com/office/drawing/2014/main" id="{5B7B65C8-99CC-4142-86E3-C2DDE3C48D64}"/>
            </a:ext>
          </a:extLst>
        </xdr:cNvPr>
        <xdr:cNvSpPr txBox="1"/>
      </xdr:nvSpPr>
      <xdr:spPr>
        <a:xfrm>
          <a:off x="2259106" y="4722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1376</xdr:row>
      <xdr:rowOff>0</xdr:rowOff>
    </xdr:from>
    <xdr:ext cx="184731" cy="264560"/>
    <xdr:sp macro="" textlink="">
      <xdr:nvSpPr>
        <xdr:cNvPr id="204" name="CaixaDeTexto 203">
          <a:extLst>
            <a:ext uri="{FF2B5EF4-FFF2-40B4-BE49-F238E27FC236}">
              <a16:creationId xmlns="" xmlns:a16="http://schemas.microsoft.com/office/drawing/2014/main" id="{024B4E34-678A-4185-B77A-FA97BD17CD01}"/>
            </a:ext>
          </a:extLst>
        </xdr:cNvPr>
        <xdr:cNvSpPr txBox="1"/>
      </xdr:nvSpPr>
      <xdr:spPr>
        <a:xfrm>
          <a:off x="2259106" y="4722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1376</xdr:row>
      <xdr:rowOff>0</xdr:rowOff>
    </xdr:from>
    <xdr:ext cx="184731" cy="264560"/>
    <xdr:sp macro="" textlink="">
      <xdr:nvSpPr>
        <xdr:cNvPr id="205" name="CaixaDeTexto 204">
          <a:extLst>
            <a:ext uri="{FF2B5EF4-FFF2-40B4-BE49-F238E27FC236}">
              <a16:creationId xmlns="" xmlns:a16="http://schemas.microsoft.com/office/drawing/2014/main" id="{8E1C9B35-DF14-411D-A2C2-E9A0898DF796}"/>
            </a:ext>
          </a:extLst>
        </xdr:cNvPr>
        <xdr:cNvSpPr txBox="1"/>
      </xdr:nvSpPr>
      <xdr:spPr>
        <a:xfrm>
          <a:off x="2259106" y="4722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1377</xdr:row>
      <xdr:rowOff>0</xdr:rowOff>
    </xdr:from>
    <xdr:ext cx="184731" cy="264560"/>
    <xdr:sp macro="" textlink="">
      <xdr:nvSpPr>
        <xdr:cNvPr id="206" name="CaixaDeTexto 205">
          <a:extLst>
            <a:ext uri="{FF2B5EF4-FFF2-40B4-BE49-F238E27FC236}">
              <a16:creationId xmlns="" xmlns:a16="http://schemas.microsoft.com/office/drawing/2014/main" id="{DAC5CE74-3D56-4852-B359-B6E06A6ECD86}"/>
            </a:ext>
          </a:extLst>
        </xdr:cNvPr>
        <xdr:cNvSpPr txBox="1"/>
      </xdr:nvSpPr>
      <xdr:spPr>
        <a:xfrm>
          <a:off x="2259106" y="4802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1377</xdr:row>
      <xdr:rowOff>0</xdr:rowOff>
    </xdr:from>
    <xdr:ext cx="184731" cy="264560"/>
    <xdr:sp macro="" textlink="">
      <xdr:nvSpPr>
        <xdr:cNvPr id="207" name="CaixaDeTexto 206">
          <a:extLst>
            <a:ext uri="{FF2B5EF4-FFF2-40B4-BE49-F238E27FC236}">
              <a16:creationId xmlns="" xmlns:a16="http://schemas.microsoft.com/office/drawing/2014/main" id="{F826BAD1-872F-44A3-9BB3-260D3607105F}"/>
            </a:ext>
          </a:extLst>
        </xdr:cNvPr>
        <xdr:cNvSpPr txBox="1"/>
      </xdr:nvSpPr>
      <xdr:spPr>
        <a:xfrm>
          <a:off x="2259106" y="4802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1377</xdr:row>
      <xdr:rowOff>0</xdr:rowOff>
    </xdr:from>
    <xdr:ext cx="184731" cy="264560"/>
    <xdr:sp macro="" textlink="">
      <xdr:nvSpPr>
        <xdr:cNvPr id="208" name="CaixaDeTexto 207">
          <a:extLst>
            <a:ext uri="{FF2B5EF4-FFF2-40B4-BE49-F238E27FC236}">
              <a16:creationId xmlns="" xmlns:a16="http://schemas.microsoft.com/office/drawing/2014/main" id="{4E16B192-4484-43B3-A049-736D05C038F3}"/>
            </a:ext>
          </a:extLst>
        </xdr:cNvPr>
        <xdr:cNvSpPr txBox="1"/>
      </xdr:nvSpPr>
      <xdr:spPr>
        <a:xfrm>
          <a:off x="2259106" y="4802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1377</xdr:row>
      <xdr:rowOff>0</xdr:rowOff>
    </xdr:from>
    <xdr:ext cx="184731" cy="264560"/>
    <xdr:sp macro="" textlink="">
      <xdr:nvSpPr>
        <xdr:cNvPr id="209" name="CaixaDeTexto 208">
          <a:extLst>
            <a:ext uri="{FF2B5EF4-FFF2-40B4-BE49-F238E27FC236}">
              <a16:creationId xmlns="" xmlns:a16="http://schemas.microsoft.com/office/drawing/2014/main" id="{C0ABCF20-AAE5-4172-9C75-FF9202B031C5}"/>
            </a:ext>
          </a:extLst>
        </xdr:cNvPr>
        <xdr:cNvSpPr txBox="1"/>
      </xdr:nvSpPr>
      <xdr:spPr>
        <a:xfrm>
          <a:off x="2259106" y="4802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1377</xdr:row>
      <xdr:rowOff>0</xdr:rowOff>
    </xdr:from>
    <xdr:ext cx="184731" cy="264560"/>
    <xdr:sp macro="" textlink="">
      <xdr:nvSpPr>
        <xdr:cNvPr id="210" name="CaixaDeTexto 209">
          <a:extLst>
            <a:ext uri="{FF2B5EF4-FFF2-40B4-BE49-F238E27FC236}">
              <a16:creationId xmlns="" xmlns:a16="http://schemas.microsoft.com/office/drawing/2014/main" id="{19D39E73-8B71-412E-9A86-9BD5D06977C1}"/>
            </a:ext>
          </a:extLst>
        </xdr:cNvPr>
        <xdr:cNvSpPr txBox="1"/>
      </xdr:nvSpPr>
      <xdr:spPr>
        <a:xfrm>
          <a:off x="2259106" y="4802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1377</xdr:row>
      <xdr:rowOff>0</xdr:rowOff>
    </xdr:from>
    <xdr:ext cx="184731" cy="264560"/>
    <xdr:sp macro="" textlink="">
      <xdr:nvSpPr>
        <xdr:cNvPr id="211" name="CaixaDeTexto 210">
          <a:extLst>
            <a:ext uri="{FF2B5EF4-FFF2-40B4-BE49-F238E27FC236}">
              <a16:creationId xmlns="" xmlns:a16="http://schemas.microsoft.com/office/drawing/2014/main" id="{538D6D22-35B5-4127-BB4F-D990270AE440}"/>
            </a:ext>
          </a:extLst>
        </xdr:cNvPr>
        <xdr:cNvSpPr txBox="1"/>
      </xdr:nvSpPr>
      <xdr:spPr>
        <a:xfrm>
          <a:off x="2259106" y="4802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1377</xdr:row>
      <xdr:rowOff>0</xdr:rowOff>
    </xdr:from>
    <xdr:ext cx="184731" cy="264560"/>
    <xdr:sp macro="" textlink="">
      <xdr:nvSpPr>
        <xdr:cNvPr id="212" name="CaixaDeTexto 211">
          <a:extLst>
            <a:ext uri="{FF2B5EF4-FFF2-40B4-BE49-F238E27FC236}">
              <a16:creationId xmlns="" xmlns:a16="http://schemas.microsoft.com/office/drawing/2014/main" id="{4BB87278-14A1-42BA-87A5-64E34C002BBE}"/>
            </a:ext>
          </a:extLst>
        </xdr:cNvPr>
        <xdr:cNvSpPr txBox="1"/>
      </xdr:nvSpPr>
      <xdr:spPr>
        <a:xfrm>
          <a:off x="2259106" y="4802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1377</xdr:row>
      <xdr:rowOff>0</xdr:rowOff>
    </xdr:from>
    <xdr:ext cx="184731" cy="264560"/>
    <xdr:sp macro="" textlink="">
      <xdr:nvSpPr>
        <xdr:cNvPr id="213" name="CaixaDeTexto 212">
          <a:extLst>
            <a:ext uri="{FF2B5EF4-FFF2-40B4-BE49-F238E27FC236}">
              <a16:creationId xmlns="" xmlns:a16="http://schemas.microsoft.com/office/drawing/2014/main" id="{4CE0B125-B61A-4052-9276-B68E6BCD13A8}"/>
            </a:ext>
          </a:extLst>
        </xdr:cNvPr>
        <xdr:cNvSpPr txBox="1"/>
      </xdr:nvSpPr>
      <xdr:spPr>
        <a:xfrm>
          <a:off x="2259106" y="4802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1377</xdr:row>
      <xdr:rowOff>0</xdr:rowOff>
    </xdr:from>
    <xdr:ext cx="184731" cy="264560"/>
    <xdr:sp macro="" textlink="">
      <xdr:nvSpPr>
        <xdr:cNvPr id="214" name="CaixaDeTexto 213">
          <a:extLst>
            <a:ext uri="{FF2B5EF4-FFF2-40B4-BE49-F238E27FC236}">
              <a16:creationId xmlns="" xmlns:a16="http://schemas.microsoft.com/office/drawing/2014/main" id="{A0CE1178-D093-4CA5-A606-724C8F38467B}"/>
            </a:ext>
          </a:extLst>
        </xdr:cNvPr>
        <xdr:cNvSpPr txBox="1"/>
      </xdr:nvSpPr>
      <xdr:spPr>
        <a:xfrm>
          <a:off x="2259106" y="4802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1377</xdr:row>
      <xdr:rowOff>0</xdr:rowOff>
    </xdr:from>
    <xdr:ext cx="184731" cy="264560"/>
    <xdr:sp macro="" textlink="">
      <xdr:nvSpPr>
        <xdr:cNvPr id="215" name="CaixaDeTexto 214">
          <a:extLst>
            <a:ext uri="{FF2B5EF4-FFF2-40B4-BE49-F238E27FC236}">
              <a16:creationId xmlns="" xmlns:a16="http://schemas.microsoft.com/office/drawing/2014/main" id="{16E81B3A-4D5E-4E76-97A2-18D5F64F06C1}"/>
            </a:ext>
          </a:extLst>
        </xdr:cNvPr>
        <xdr:cNvSpPr txBox="1"/>
      </xdr:nvSpPr>
      <xdr:spPr>
        <a:xfrm>
          <a:off x="2259106" y="4802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1366</xdr:row>
      <xdr:rowOff>0</xdr:rowOff>
    </xdr:from>
    <xdr:ext cx="184731" cy="264560"/>
    <xdr:sp macro="" textlink="">
      <xdr:nvSpPr>
        <xdr:cNvPr id="216" name="CaixaDeTexto 215">
          <a:extLst>
            <a:ext uri="{FF2B5EF4-FFF2-40B4-BE49-F238E27FC236}">
              <a16:creationId xmlns="" xmlns:a16="http://schemas.microsoft.com/office/drawing/2014/main" id="{86968493-C18E-4DC3-99CC-7EA6665BB6B5}"/>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1366</xdr:row>
      <xdr:rowOff>0</xdr:rowOff>
    </xdr:from>
    <xdr:ext cx="184731" cy="264560"/>
    <xdr:sp macro="" textlink="">
      <xdr:nvSpPr>
        <xdr:cNvPr id="217" name="CaixaDeTexto 216">
          <a:extLst>
            <a:ext uri="{FF2B5EF4-FFF2-40B4-BE49-F238E27FC236}">
              <a16:creationId xmlns="" xmlns:a16="http://schemas.microsoft.com/office/drawing/2014/main" id="{C3B94D54-E5D1-46BE-BA4B-274C530A2D00}"/>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1366</xdr:row>
      <xdr:rowOff>0</xdr:rowOff>
    </xdr:from>
    <xdr:ext cx="184731" cy="264560"/>
    <xdr:sp macro="" textlink="">
      <xdr:nvSpPr>
        <xdr:cNvPr id="218" name="CaixaDeTexto 217">
          <a:extLst>
            <a:ext uri="{FF2B5EF4-FFF2-40B4-BE49-F238E27FC236}">
              <a16:creationId xmlns="" xmlns:a16="http://schemas.microsoft.com/office/drawing/2014/main" id="{93D7F65E-DB4B-49B0-AC4D-E4B4040D1076}"/>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1366</xdr:row>
      <xdr:rowOff>0</xdr:rowOff>
    </xdr:from>
    <xdr:ext cx="184731" cy="264560"/>
    <xdr:sp macro="" textlink="">
      <xdr:nvSpPr>
        <xdr:cNvPr id="219" name="CaixaDeTexto 218">
          <a:extLst>
            <a:ext uri="{FF2B5EF4-FFF2-40B4-BE49-F238E27FC236}">
              <a16:creationId xmlns="" xmlns:a16="http://schemas.microsoft.com/office/drawing/2014/main" id="{CA8CB505-4633-445D-9D73-18315AE72F80}"/>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1366</xdr:row>
      <xdr:rowOff>0</xdr:rowOff>
    </xdr:from>
    <xdr:ext cx="184731" cy="264560"/>
    <xdr:sp macro="" textlink="">
      <xdr:nvSpPr>
        <xdr:cNvPr id="220" name="CaixaDeTexto 219">
          <a:extLst>
            <a:ext uri="{FF2B5EF4-FFF2-40B4-BE49-F238E27FC236}">
              <a16:creationId xmlns="" xmlns:a16="http://schemas.microsoft.com/office/drawing/2014/main" id="{1E3EAFC3-7779-4D1A-A31B-C99532E6A93A}"/>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1366</xdr:row>
      <xdr:rowOff>0</xdr:rowOff>
    </xdr:from>
    <xdr:ext cx="184731" cy="264560"/>
    <xdr:sp macro="" textlink="">
      <xdr:nvSpPr>
        <xdr:cNvPr id="221" name="CaixaDeTexto 220">
          <a:extLst>
            <a:ext uri="{FF2B5EF4-FFF2-40B4-BE49-F238E27FC236}">
              <a16:creationId xmlns="" xmlns:a16="http://schemas.microsoft.com/office/drawing/2014/main" id="{3DFC09E6-83B5-4197-AC72-9F0C8B8E442E}"/>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1366</xdr:row>
      <xdr:rowOff>0</xdr:rowOff>
    </xdr:from>
    <xdr:ext cx="184731" cy="264560"/>
    <xdr:sp macro="" textlink="">
      <xdr:nvSpPr>
        <xdr:cNvPr id="222" name="CaixaDeTexto 221">
          <a:extLst>
            <a:ext uri="{FF2B5EF4-FFF2-40B4-BE49-F238E27FC236}">
              <a16:creationId xmlns="" xmlns:a16="http://schemas.microsoft.com/office/drawing/2014/main" id="{0045BEB0-1AB4-4ABD-B966-0BF6DD299764}"/>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1366</xdr:row>
      <xdr:rowOff>0</xdr:rowOff>
    </xdr:from>
    <xdr:ext cx="184731" cy="264560"/>
    <xdr:sp macro="" textlink="">
      <xdr:nvSpPr>
        <xdr:cNvPr id="223" name="CaixaDeTexto 222">
          <a:extLst>
            <a:ext uri="{FF2B5EF4-FFF2-40B4-BE49-F238E27FC236}">
              <a16:creationId xmlns="" xmlns:a16="http://schemas.microsoft.com/office/drawing/2014/main" id="{7CB55327-DE7D-498E-926E-1BB44D6E868F}"/>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1366</xdr:row>
      <xdr:rowOff>0</xdr:rowOff>
    </xdr:from>
    <xdr:ext cx="184731" cy="264560"/>
    <xdr:sp macro="" textlink="">
      <xdr:nvSpPr>
        <xdr:cNvPr id="224" name="CaixaDeTexto 223">
          <a:extLst>
            <a:ext uri="{FF2B5EF4-FFF2-40B4-BE49-F238E27FC236}">
              <a16:creationId xmlns="" xmlns:a16="http://schemas.microsoft.com/office/drawing/2014/main" id="{71AC71C7-76B0-4A47-A1CC-4733DE1BAC9E}"/>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1366</xdr:row>
      <xdr:rowOff>0</xdr:rowOff>
    </xdr:from>
    <xdr:ext cx="184731" cy="264560"/>
    <xdr:sp macro="" textlink="">
      <xdr:nvSpPr>
        <xdr:cNvPr id="225" name="CaixaDeTexto 224">
          <a:extLst>
            <a:ext uri="{FF2B5EF4-FFF2-40B4-BE49-F238E27FC236}">
              <a16:creationId xmlns="" xmlns:a16="http://schemas.microsoft.com/office/drawing/2014/main" id="{B60EE248-DE07-490F-A2AA-005C5C152F5C}"/>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1366</xdr:row>
      <xdr:rowOff>0</xdr:rowOff>
    </xdr:from>
    <xdr:ext cx="184731" cy="264560"/>
    <xdr:sp macro="" textlink="">
      <xdr:nvSpPr>
        <xdr:cNvPr id="226" name="CaixaDeTexto 225">
          <a:extLst>
            <a:ext uri="{FF2B5EF4-FFF2-40B4-BE49-F238E27FC236}">
              <a16:creationId xmlns="" xmlns:a16="http://schemas.microsoft.com/office/drawing/2014/main" id="{29E9CDAE-C8B1-4BA5-86A3-A37263B54F8E}"/>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1366</xdr:row>
      <xdr:rowOff>0</xdr:rowOff>
    </xdr:from>
    <xdr:ext cx="184731" cy="264560"/>
    <xdr:sp macro="" textlink="">
      <xdr:nvSpPr>
        <xdr:cNvPr id="227" name="CaixaDeTexto 226">
          <a:extLst>
            <a:ext uri="{FF2B5EF4-FFF2-40B4-BE49-F238E27FC236}">
              <a16:creationId xmlns="" xmlns:a16="http://schemas.microsoft.com/office/drawing/2014/main" id="{F62A3E00-9ABE-4854-BF18-C98F1191EACE}"/>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1366</xdr:row>
      <xdr:rowOff>0</xdr:rowOff>
    </xdr:from>
    <xdr:ext cx="184731" cy="264560"/>
    <xdr:sp macro="" textlink="">
      <xdr:nvSpPr>
        <xdr:cNvPr id="228" name="CaixaDeTexto 227">
          <a:extLst>
            <a:ext uri="{FF2B5EF4-FFF2-40B4-BE49-F238E27FC236}">
              <a16:creationId xmlns="" xmlns:a16="http://schemas.microsoft.com/office/drawing/2014/main" id="{0E3CDA62-FCF7-4D21-AF90-FB6B545747CC}"/>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1366</xdr:row>
      <xdr:rowOff>0</xdr:rowOff>
    </xdr:from>
    <xdr:ext cx="184731" cy="264560"/>
    <xdr:sp macro="" textlink="">
      <xdr:nvSpPr>
        <xdr:cNvPr id="229" name="CaixaDeTexto 228">
          <a:extLst>
            <a:ext uri="{FF2B5EF4-FFF2-40B4-BE49-F238E27FC236}">
              <a16:creationId xmlns="" xmlns:a16="http://schemas.microsoft.com/office/drawing/2014/main" id="{0BAC9103-459C-434F-89BE-4261B38E79D9}"/>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1366</xdr:row>
      <xdr:rowOff>0</xdr:rowOff>
    </xdr:from>
    <xdr:ext cx="184731" cy="264560"/>
    <xdr:sp macro="" textlink="">
      <xdr:nvSpPr>
        <xdr:cNvPr id="230" name="CaixaDeTexto 229">
          <a:extLst>
            <a:ext uri="{FF2B5EF4-FFF2-40B4-BE49-F238E27FC236}">
              <a16:creationId xmlns="" xmlns:a16="http://schemas.microsoft.com/office/drawing/2014/main" id="{F7D14240-083E-4E23-873E-72D124020686}"/>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1366</xdr:row>
      <xdr:rowOff>0</xdr:rowOff>
    </xdr:from>
    <xdr:ext cx="184731" cy="264560"/>
    <xdr:sp macro="" textlink="">
      <xdr:nvSpPr>
        <xdr:cNvPr id="231" name="CaixaDeTexto 230">
          <a:extLst>
            <a:ext uri="{FF2B5EF4-FFF2-40B4-BE49-F238E27FC236}">
              <a16:creationId xmlns="" xmlns:a16="http://schemas.microsoft.com/office/drawing/2014/main" id="{E6989D27-2FC9-475F-B2C2-7FEE6DA4D426}"/>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1366</xdr:row>
      <xdr:rowOff>0</xdr:rowOff>
    </xdr:from>
    <xdr:ext cx="184731" cy="264560"/>
    <xdr:sp macro="" textlink="">
      <xdr:nvSpPr>
        <xdr:cNvPr id="232" name="CaixaDeTexto 231">
          <a:extLst>
            <a:ext uri="{FF2B5EF4-FFF2-40B4-BE49-F238E27FC236}">
              <a16:creationId xmlns="" xmlns:a16="http://schemas.microsoft.com/office/drawing/2014/main" id="{6E87842C-3374-44F6-A8F0-55B9B2ED89B1}"/>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1366</xdr:row>
      <xdr:rowOff>0</xdr:rowOff>
    </xdr:from>
    <xdr:ext cx="184731" cy="264560"/>
    <xdr:sp macro="" textlink="">
      <xdr:nvSpPr>
        <xdr:cNvPr id="233" name="CaixaDeTexto 232">
          <a:extLst>
            <a:ext uri="{FF2B5EF4-FFF2-40B4-BE49-F238E27FC236}">
              <a16:creationId xmlns="" xmlns:a16="http://schemas.microsoft.com/office/drawing/2014/main" id="{4FD28489-1F4A-4CEE-A4D1-F96608D53A86}"/>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1366</xdr:row>
      <xdr:rowOff>0</xdr:rowOff>
    </xdr:from>
    <xdr:ext cx="184731" cy="264560"/>
    <xdr:sp macro="" textlink="">
      <xdr:nvSpPr>
        <xdr:cNvPr id="234" name="CaixaDeTexto 233">
          <a:extLst>
            <a:ext uri="{FF2B5EF4-FFF2-40B4-BE49-F238E27FC236}">
              <a16:creationId xmlns="" xmlns:a16="http://schemas.microsoft.com/office/drawing/2014/main" id="{744F43DD-6732-48C1-BA8C-B1E308EA7FE5}"/>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1366</xdr:row>
      <xdr:rowOff>0</xdr:rowOff>
    </xdr:from>
    <xdr:ext cx="184731" cy="264560"/>
    <xdr:sp macro="" textlink="">
      <xdr:nvSpPr>
        <xdr:cNvPr id="235" name="CaixaDeTexto 234">
          <a:extLst>
            <a:ext uri="{FF2B5EF4-FFF2-40B4-BE49-F238E27FC236}">
              <a16:creationId xmlns="" xmlns:a16="http://schemas.microsoft.com/office/drawing/2014/main" id="{56A1B63D-3168-4F5B-A8D2-9D1EFAF72FA2}"/>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1366</xdr:row>
      <xdr:rowOff>0</xdr:rowOff>
    </xdr:from>
    <xdr:ext cx="184731" cy="264560"/>
    <xdr:sp macro="" textlink="">
      <xdr:nvSpPr>
        <xdr:cNvPr id="236" name="CaixaDeTexto 235">
          <a:extLst>
            <a:ext uri="{FF2B5EF4-FFF2-40B4-BE49-F238E27FC236}">
              <a16:creationId xmlns="" xmlns:a16="http://schemas.microsoft.com/office/drawing/2014/main" id="{E2453944-D977-4467-8995-39DCCF635B9F}"/>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1366</xdr:row>
      <xdr:rowOff>0</xdr:rowOff>
    </xdr:from>
    <xdr:ext cx="184731" cy="264560"/>
    <xdr:sp macro="" textlink="">
      <xdr:nvSpPr>
        <xdr:cNvPr id="237" name="CaixaDeTexto 236">
          <a:extLst>
            <a:ext uri="{FF2B5EF4-FFF2-40B4-BE49-F238E27FC236}">
              <a16:creationId xmlns="" xmlns:a16="http://schemas.microsoft.com/office/drawing/2014/main" id="{B8BF71E3-742C-49D5-9A44-1B4485681DFD}"/>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1305</xdr:row>
      <xdr:rowOff>0</xdr:rowOff>
    </xdr:from>
    <xdr:ext cx="184731" cy="264560"/>
    <xdr:sp macro="" textlink="">
      <xdr:nvSpPr>
        <xdr:cNvPr id="238" name="CaixaDeTexto 237">
          <a:extLst>
            <a:ext uri="{FF2B5EF4-FFF2-40B4-BE49-F238E27FC236}">
              <a16:creationId xmlns="" xmlns:a16="http://schemas.microsoft.com/office/drawing/2014/main" id="{26CB3C67-8BB4-434E-BC05-E6253D975DEA}"/>
            </a:ext>
          </a:extLst>
        </xdr:cNvPr>
        <xdr:cNvSpPr txBox="1"/>
      </xdr:nvSpPr>
      <xdr:spPr>
        <a:xfrm>
          <a:off x="2259106" y="2008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1305</xdr:row>
      <xdr:rowOff>0</xdr:rowOff>
    </xdr:from>
    <xdr:ext cx="184731" cy="264560"/>
    <xdr:sp macro="" textlink="">
      <xdr:nvSpPr>
        <xdr:cNvPr id="239" name="CaixaDeTexto 238">
          <a:extLst>
            <a:ext uri="{FF2B5EF4-FFF2-40B4-BE49-F238E27FC236}">
              <a16:creationId xmlns="" xmlns:a16="http://schemas.microsoft.com/office/drawing/2014/main" id="{9BF29DE7-795D-4077-8DB1-846DDE01C16A}"/>
            </a:ext>
          </a:extLst>
        </xdr:cNvPr>
        <xdr:cNvSpPr txBox="1"/>
      </xdr:nvSpPr>
      <xdr:spPr>
        <a:xfrm>
          <a:off x="2259106" y="2008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1306</xdr:row>
      <xdr:rowOff>0</xdr:rowOff>
    </xdr:from>
    <xdr:ext cx="184731" cy="264560"/>
    <xdr:sp macro="" textlink="">
      <xdr:nvSpPr>
        <xdr:cNvPr id="240" name="CaixaDeTexto 239">
          <a:extLst>
            <a:ext uri="{FF2B5EF4-FFF2-40B4-BE49-F238E27FC236}">
              <a16:creationId xmlns="" xmlns:a16="http://schemas.microsoft.com/office/drawing/2014/main" id="{FDED2C59-85F7-4794-98EE-6FD9DA5C4497}"/>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1306</xdr:row>
      <xdr:rowOff>0</xdr:rowOff>
    </xdr:from>
    <xdr:ext cx="184731" cy="264560"/>
    <xdr:sp macro="" textlink="">
      <xdr:nvSpPr>
        <xdr:cNvPr id="241" name="CaixaDeTexto 240">
          <a:extLst>
            <a:ext uri="{FF2B5EF4-FFF2-40B4-BE49-F238E27FC236}">
              <a16:creationId xmlns="" xmlns:a16="http://schemas.microsoft.com/office/drawing/2014/main" id="{F3AE9132-BF96-4D02-8E22-0E2D5A9E375B}"/>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1305</xdr:row>
      <xdr:rowOff>0</xdr:rowOff>
    </xdr:from>
    <xdr:ext cx="184731" cy="264560"/>
    <xdr:sp macro="" textlink="">
      <xdr:nvSpPr>
        <xdr:cNvPr id="242" name="CaixaDeTexto 241">
          <a:extLst>
            <a:ext uri="{FF2B5EF4-FFF2-40B4-BE49-F238E27FC236}">
              <a16:creationId xmlns="" xmlns:a16="http://schemas.microsoft.com/office/drawing/2014/main" id="{231256CB-9B91-4B21-87F2-57AC77EA7827}"/>
            </a:ext>
          </a:extLst>
        </xdr:cNvPr>
        <xdr:cNvSpPr txBox="1"/>
      </xdr:nvSpPr>
      <xdr:spPr>
        <a:xfrm>
          <a:off x="2259106" y="2008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1306</xdr:row>
      <xdr:rowOff>0</xdr:rowOff>
    </xdr:from>
    <xdr:ext cx="184731" cy="264560"/>
    <xdr:sp macro="" textlink="">
      <xdr:nvSpPr>
        <xdr:cNvPr id="243" name="CaixaDeTexto 242">
          <a:extLst>
            <a:ext uri="{FF2B5EF4-FFF2-40B4-BE49-F238E27FC236}">
              <a16:creationId xmlns="" xmlns:a16="http://schemas.microsoft.com/office/drawing/2014/main" id="{DB947C51-6217-4959-9943-E34F67E51BA5}"/>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1305</xdr:row>
      <xdr:rowOff>0</xdr:rowOff>
    </xdr:from>
    <xdr:ext cx="184731" cy="264560"/>
    <xdr:sp macro="" textlink="">
      <xdr:nvSpPr>
        <xdr:cNvPr id="244" name="CaixaDeTexto 243">
          <a:extLst>
            <a:ext uri="{FF2B5EF4-FFF2-40B4-BE49-F238E27FC236}">
              <a16:creationId xmlns="" xmlns:a16="http://schemas.microsoft.com/office/drawing/2014/main" id="{13B8E38A-54C2-491C-A1FC-09D42E8631AD}"/>
            </a:ext>
          </a:extLst>
        </xdr:cNvPr>
        <xdr:cNvSpPr txBox="1"/>
      </xdr:nvSpPr>
      <xdr:spPr>
        <a:xfrm>
          <a:off x="2259106" y="2008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1306</xdr:row>
      <xdr:rowOff>0</xdr:rowOff>
    </xdr:from>
    <xdr:ext cx="184731" cy="264560"/>
    <xdr:sp macro="" textlink="">
      <xdr:nvSpPr>
        <xdr:cNvPr id="245" name="CaixaDeTexto 244">
          <a:extLst>
            <a:ext uri="{FF2B5EF4-FFF2-40B4-BE49-F238E27FC236}">
              <a16:creationId xmlns="" xmlns:a16="http://schemas.microsoft.com/office/drawing/2014/main" id="{8D786592-1D0F-48F4-BFDF-7F6B4614720A}"/>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1306</xdr:row>
      <xdr:rowOff>0</xdr:rowOff>
    </xdr:from>
    <xdr:ext cx="184731" cy="264560"/>
    <xdr:sp macro="" textlink="">
      <xdr:nvSpPr>
        <xdr:cNvPr id="246" name="CaixaDeTexto 245">
          <a:extLst>
            <a:ext uri="{FF2B5EF4-FFF2-40B4-BE49-F238E27FC236}">
              <a16:creationId xmlns="" xmlns:a16="http://schemas.microsoft.com/office/drawing/2014/main" id="{94358B56-3E1E-4FC8-959D-C2E5C6510B4D}"/>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1305</xdr:row>
      <xdr:rowOff>0</xdr:rowOff>
    </xdr:from>
    <xdr:ext cx="184731" cy="264560"/>
    <xdr:sp macro="" textlink="">
      <xdr:nvSpPr>
        <xdr:cNvPr id="247" name="CaixaDeTexto 246">
          <a:extLst>
            <a:ext uri="{FF2B5EF4-FFF2-40B4-BE49-F238E27FC236}">
              <a16:creationId xmlns="" xmlns:a16="http://schemas.microsoft.com/office/drawing/2014/main" id="{CAB80797-245A-4E35-9DA6-A3FDC554F6EA}"/>
            </a:ext>
          </a:extLst>
        </xdr:cNvPr>
        <xdr:cNvSpPr txBox="1"/>
      </xdr:nvSpPr>
      <xdr:spPr>
        <a:xfrm>
          <a:off x="2259106" y="2008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1306</xdr:row>
      <xdr:rowOff>0</xdr:rowOff>
    </xdr:from>
    <xdr:ext cx="184731" cy="264560"/>
    <xdr:sp macro="" textlink="">
      <xdr:nvSpPr>
        <xdr:cNvPr id="248" name="CaixaDeTexto 247">
          <a:extLst>
            <a:ext uri="{FF2B5EF4-FFF2-40B4-BE49-F238E27FC236}">
              <a16:creationId xmlns="" xmlns:a16="http://schemas.microsoft.com/office/drawing/2014/main" id="{7E3811E4-24A6-4599-AB86-D1D6EFE080CF}"/>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1306</xdr:row>
      <xdr:rowOff>0</xdr:rowOff>
    </xdr:from>
    <xdr:ext cx="184731" cy="264560"/>
    <xdr:sp macro="" textlink="">
      <xdr:nvSpPr>
        <xdr:cNvPr id="249" name="CaixaDeTexto 248">
          <a:extLst>
            <a:ext uri="{FF2B5EF4-FFF2-40B4-BE49-F238E27FC236}">
              <a16:creationId xmlns="" xmlns:a16="http://schemas.microsoft.com/office/drawing/2014/main" id="{C0DA0E10-C379-40FC-A897-AB82F097AF38}"/>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1307</xdr:row>
      <xdr:rowOff>0</xdr:rowOff>
    </xdr:from>
    <xdr:ext cx="184731" cy="264560"/>
    <xdr:sp macro="" textlink="">
      <xdr:nvSpPr>
        <xdr:cNvPr id="250" name="CaixaDeTexto 249">
          <a:extLst>
            <a:ext uri="{FF2B5EF4-FFF2-40B4-BE49-F238E27FC236}">
              <a16:creationId xmlns="" xmlns:a16="http://schemas.microsoft.com/office/drawing/2014/main" id="{2ACFC2C7-8603-40E4-875E-B8AC67DE5CA2}"/>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1307</xdr:row>
      <xdr:rowOff>0</xdr:rowOff>
    </xdr:from>
    <xdr:ext cx="184731" cy="264560"/>
    <xdr:sp macro="" textlink="">
      <xdr:nvSpPr>
        <xdr:cNvPr id="251" name="CaixaDeTexto 250">
          <a:extLst>
            <a:ext uri="{FF2B5EF4-FFF2-40B4-BE49-F238E27FC236}">
              <a16:creationId xmlns="" xmlns:a16="http://schemas.microsoft.com/office/drawing/2014/main" id="{71F07205-0D59-4548-A464-C55AB684D186}"/>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1306</xdr:row>
      <xdr:rowOff>0</xdr:rowOff>
    </xdr:from>
    <xdr:ext cx="184731" cy="264560"/>
    <xdr:sp macro="" textlink="">
      <xdr:nvSpPr>
        <xdr:cNvPr id="252" name="CaixaDeTexto 251">
          <a:extLst>
            <a:ext uri="{FF2B5EF4-FFF2-40B4-BE49-F238E27FC236}">
              <a16:creationId xmlns="" xmlns:a16="http://schemas.microsoft.com/office/drawing/2014/main" id="{908A4FFA-7C83-4FC8-8BC6-6946E668A50B}"/>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1307</xdr:row>
      <xdr:rowOff>0</xdr:rowOff>
    </xdr:from>
    <xdr:ext cx="184731" cy="264560"/>
    <xdr:sp macro="" textlink="">
      <xdr:nvSpPr>
        <xdr:cNvPr id="253" name="CaixaDeTexto 252">
          <a:extLst>
            <a:ext uri="{FF2B5EF4-FFF2-40B4-BE49-F238E27FC236}">
              <a16:creationId xmlns="" xmlns:a16="http://schemas.microsoft.com/office/drawing/2014/main" id="{2EFEE901-A384-4702-B246-7D9961B734B2}"/>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1306</xdr:row>
      <xdr:rowOff>0</xdr:rowOff>
    </xdr:from>
    <xdr:ext cx="184731" cy="264560"/>
    <xdr:sp macro="" textlink="">
      <xdr:nvSpPr>
        <xdr:cNvPr id="254" name="CaixaDeTexto 253">
          <a:extLst>
            <a:ext uri="{FF2B5EF4-FFF2-40B4-BE49-F238E27FC236}">
              <a16:creationId xmlns="" xmlns:a16="http://schemas.microsoft.com/office/drawing/2014/main" id="{7A7C2102-8139-4234-98CF-DCB734F3437F}"/>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1307</xdr:row>
      <xdr:rowOff>0</xdr:rowOff>
    </xdr:from>
    <xdr:ext cx="184731" cy="264560"/>
    <xdr:sp macro="" textlink="">
      <xdr:nvSpPr>
        <xdr:cNvPr id="255" name="CaixaDeTexto 254">
          <a:extLst>
            <a:ext uri="{FF2B5EF4-FFF2-40B4-BE49-F238E27FC236}">
              <a16:creationId xmlns="" xmlns:a16="http://schemas.microsoft.com/office/drawing/2014/main" id="{607EA57D-58D8-4E47-A67B-B110F9350AC0}"/>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1307</xdr:row>
      <xdr:rowOff>0</xdr:rowOff>
    </xdr:from>
    <xdr:ext cx="184731" cy="264560"/>
    <xdr:sp macro="" textlink="">
      <xdr:nvSpPr>
        <xdr:cNvPr id="256" name="CaixaDeTexto 255">
          <a:extLst>
            <a:ext uri="{FF2B5EF4-FFF2-40B4-BE49-F238E27FC236}">
              <a16:creationId xmlns="" xmlns:a16="http://schemas.microsoft.com/office/drawing/2014/main" id="{6D784DA4-1828-451A-BC10-F06C0DEE0013}"/>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1305</xdr:row>
      <xdr:rowOff>0</xdr:rowOff>
    </xdr:from>
    <xdr:ext cx="184731" cy="264560"/>
    <xdr:sp macro="" textlink="">
      <xdr:nvSpPr>
        <xdr:cNvPr id="257" name="CaixaDeTexto 256">
          <a:extLst>
            <a:ext uri="{FF2B5EF4-FFF2-40B4-BE49-F238E27FC236}">
              <a16:creationId xmlns="" xmlns:a16="http://schemas.microsoft.com/office/drawing/2014/main" id="{16658025-F98C-40CD-9F1A-588DA5C29B77}"/>
            </a:ext>
          </a:extLst>
        </xdr:cNvPr>
        <xdr:cNvSpPr txBox="1"/>
      </xdr:nvSpPr>
      <xdr:spPr>
        <a:xfrm>
          <a:off x="2259106" y="2008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1306</xdr:row>
      <xdr:rowOff>0</xdr:rowOff>
    </xdr:from>
    <xdr:ext cx="184731" cy="264560"/>
    <xdr:sp macro="" textlink="">
      <xdr:nvSpPr>
        <xdr:cNvPr id="258" name="CaixaDeTexto 257">
          <a:extLst>
            <a:ext uri="{FF2B5EF4-FFF2-40B4-BE49-F238E27FC236}">
              <a16:creationId xmlns="" xmlns:a16="http://schemas.microsoft.com/office/drawing/2014/main" id="{32C5D8D9-E8BD-41D4-BA25-42EAFA348D5F}"/>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1307</xdr:row>
      <xdr:rowOff>0</xdr:rowOff>
    </xdr:from>
    <xdr:ext cx="184731" cy="264560"/>
    <xdr:sp macro="" textlink="">
      <xdr:nvSpPr>
        <xdr:cNvPr id="259" name="CaixaDeTexto 258">
          <a:extLst>
            <a:ext uri="{FF2B5EF4-FFF2-40B4-BE49-F238E27FC236}">
              <a16:creationId xmlns="" xmlns:a16="http://schemas.microsoft.com/office/drawing/2014/main" id="{52C9C942-C50A-4FE6-BFAD-F28C368C3ECD}"/>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1307</xdr:row>
      <xdr:rowOff>0</xdr:rowOff>
    </xdr:from>
    <xdr:ext cx="184731" cy="264560"/>
    <xdr:sp macro="" textlink="">
      <xdr:nvSpPr>
        <xdr:cNvPr id="260" name="CaixaDeTexto 259">
          <a:extLst>
            <a:ext uri="{FF2B5EF4-FFF2-40B4-BE49-F238E27FC236}">
              <a16:creationId xmlns="" xmlns:a16="http://schemas.microsoft.com/office/drawing/2014/main" id="{8F3A7DF0-6EE5-4D4D-B32E-A1B461B85D4F}"/>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1307</xdr:row>
      <xdr:rowOff>0</xdr:rowOff>
    </xdr:from>
    <xdr:ext cx="184731" cy="264560"/>
    <xdr:sp macro="" textlink="">
      <xdr:nvSpPr>
        <xdr:cNvPr id="261" name="CaixaDeTexto 260">
          <a:extLst>
            <a:ext uri="{FF2B5EF4-FFF2-40B4-BE49-F238E27FC236}">
              <a16:creationId xmlns="" xmlns:a16="http://schemas.microsoft.com/office/drawing/2014/main" id="{0963C428-C8A7-46BE-B942-1B4D39BEE10D}"/>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1307</xdr:row>
      <xdr:rowOff>0</xdr:rowOff>
    </xdr:from>
    <xdr:ext cx="184731" cy="264560"/>
    <xdr:sp macro="" textlink="">
      <xdr:nvSpPr>
        <xdr:cNvPr id="262" name="CaixaDeTexto 261">
          <a:extLst>
            <a:ext uri="{FF2B5EF4-FFF2-40B4-BE49-F238E27FC236}">
              <a16:creationId xmlns="" xmlns:a16="http://schemas.microsoft.com/office/drawing/2014/main" id="{516B48DA-FAE4-42B6-9B98-E7D9960081B0}"/>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1306</xdr:row>
      <xdr:rowOff>0</xdr:rowOff>
    </xdr:from>
    <xdr:ext cx="184731" cy="264560"/>
    <xdr:sp macro="" textlink="">
      <xdr:nvSpPr>
        <xdr:cNvPr id="263" name="CaixaDeTexto 262">
          <a:extLst>
            <a:ext uri="{FF2B5EF4-FFF2-40B4-BE49-F238E27FC236}">
              <a16:creationId xmlns="" xmlns:a16="http://schemas.microsoft.com/office/drawing/2014/main" id="{1F9D38E5-9842-4DCB-8CD9-167316FD059D}"/>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1307</xdr:row>
      <xdr:rowOff>0</xdr:rowOff>
    </xdr:from>
    <xdr:ext cx="184731" cy="264560"/>
    <xdr:sp macro="" textlink="">
      <xdr:nvSpPr>
        <xdr:cNvPr id="264" name="CaixaDeTexto 263">
          <a:extLst>
            <a:ext uri="{FF2B5EF4-FFF2-40B4-BE49-F238E27FC236}">
              <a16:creationId xmlns="" xmlns:a16="http://schemas.microsoft.com/office/drawing/2014/main" id="{91CEA8FA-449E-4C07-88B0-25F5BBAF92D0}"/>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1307</xdr:row>
      <xdr:rowOff>0</xdr:rowOff>
    </xdr:from>
    <xdr:ext cx="184731" cy="264560"/>
    <xdr:sp macro="" textlink="">
      <xdr:nvSpPr>
        <xdr:cNvPr id="265" name="CaixaDeTexto 264">
          <a:extLst>
            <a:ext uri="{FF2B5EF4-FFF2-40B4-BE49-F238E27FC236}">
              <a16:creationId xmlns="" xmlns:a16="http://schemas.microsoft.com/office/drawing/2014/main" id="{1DD64684-E809-4F17-B67D-75C514C6FF97}"/>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1285</xdr:row>
      <xdr:rowOff>0</xdr:rowOff>
    </xdr:from>
    <xdr:ext cx="184731" cy="264560"/>
    <xdr:sp macro="" textlink="">
      <xdr:nvSpPr>
        <xdr:cNvPr id="266" name="CaixaDeTexto 265">
          <a:extLst>
            <a:ext uri="{FF2B5EF4-FFF2-40B4-BE49-F238E27FC236}">
              <a16:creationId xmlns="" xmlns:a16="http://schemas.microsoft.com/office/drawing/2014/main" id="{1A651A15-9A81-4BFE-B3E9-427FFA72207A}"/>
            </a:ext>
          </a:extLst>
        </xdr:cNvPr>
        <xdr:cNvSpPr txBox="1"/>
      </xdr:nvSpPr>
      <xdr:spPr>
        <a:xfrm>
          <a:off x="2259106" y="1309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1285</xdr:row>
      <xdr:rowOff>0</xdr:rowOff>
    </xdr:from>
    <xdr:ext cx="184731" cy="264560"/>
    <xdr:sp macro="" textlink="">
      <xdr:nvSpPr>
        <xdr:cNvPr id="267" name="CaixaDeTexto 266">
          <a:extLst>
            <a:ext uri="{FF2B5EF4-FFF2-40B4-BE49-F238E27FC236}">
              <a16:creationId xmlns="" xmlns:a16="http://schemas.microsoft.com/office/drawing/2014/main" id="{8B4CE260-CBF2-4E89-87A2-427A74860EDC}"/>
            </a:ext>
          </a:extLst>
        </xdr:cNvPr>
        <xdr:cNvSpPr txBox="1"/>
      </xdr:nvSpPr>
      <xdr:spPr>
        <a:xfrm>
          <a:off x="2259106" y="1309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1285</xdr:row>
      <xdr:rowOff>0</xdr:rowOff>
    </xdr:from>
    <xdr:ext cx="184731" cy="264560"/>
    <xdr:sp macro="" textlink="">
      <xdr:nvSpPr>
        <xdr:cNvPr id="268" name="CaixaDeTexto 267">
          <a:extLst>
            <a:ext uri="{FF2B5EF4-FFF2-40B4-BE49-F238E27FC236}">
              <a16:creationId xmlns="" xmlns:a16="http://schemas.microsoft.com/office/drawing/2014/main" id="{47BC4808-E16E-4BD7-A73D-90935A912254}"/>
            </a:ext>
          </a:extLst>
        </xdr:cNvPr>
        <xdr:cNvSpPr txBox="1"/>
      </xdr:nvSpPr>
      <xdr:spPr>
        <a:xfrm>
          <a:off x="2259106" y="1309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1285</xdr:row>
      <xdr:rowOff>0</xdr:rowOff>
    </xdr:from>
    <xdr:ext cx="184731" cy="264560"/>
    <xdr:sp macro="" textlink="">
      <xdr:nvSpPr>
        <xdr:cNvPr id="269" name="CaixaDeTexto 268">
          <a:extLst>
            <a:ext uri="{FF2B5EF4-FFF2-40B4-BE49-F238E27FC236}">
              <a16:creationId xmlns="" xmlns:a16="http://schemas.microsoft.com/office/drawing/2014/main" id="{CA45F8C8-93E1-4AD1-A702-EF2C58D093A4}"/>
            </a:ext>
          </a:extLst>
        </xdr:cNvPr>
        <xdr:cNvSpPr txBox="1"/>
      </xdr:nvSpPr>
      <xdr:spPr>
        <a:xfrm>
          <a:off x="2259106" y="1309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1285</xdr:row>
      <xdr:rowOff>0</xdr:rowOff>
    </xdr:from>
    <xdr:ext cx="184731" cy="264560"/>
    <xdr:sp macro="" textlink="">
      <xdr:nvSpPr>
        <xdr:cNvPr id="270" name="CaixaDeTexto 269">
          <a:extLst>
            <a:ext uri="{FF2B5EF4-FFF2-40B4-BE49-F238E27FC236}">
              <a16:creationId xmlns="" xmlns:a16="http://schemas.microsoft.com/office/drawing/2014/main" id="{3EF226F1-E593-4704-93F7-3405D0704429}"/>
            </a:ext>
          </a:extLst>
        </xdr:cNvPr>
        <xdr:cNvSpPr txBox="1"/>
      </xdr:nvSpPr>
      <xdr:spPr>
        <a:xfrm>
          <a:off x="2259106" y="1309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1285</xdr:row>
      <xdr:rowOff>0</xdr:rowOff>
    </xdr:from>
    <xdr:ext cx="184731" cy="264560"/>
    <xdr:sp macro="" textlink="">
      <xdr:nvSpPr>
        <xdr:cNvPr id="271" name="CaixaDeTexto 270">
          <a:extLst>
            <a:ext uri="{FF2B5EF4-FFF2-40B4-BE49-F238E27FC236}">
              <a16:creationId xmlns="" xmlns:a16="http://schemas.microsoft.com/office/drawing/2014/main" id="{BA7433A6-90C1-422B-BC4C-375A1E646246}"/>
            </a:ext>
          </a:extLst>
        </xdr:cNvPr>
        <xdr:cNvSpPr txBox="1"/>
      </xdr:nvSpPr>
      <xdr:spPr>
        <a:xfrm>
          <a:off x="2259106" y="1309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1285</xdr:row>
      <xdr:rowOff>0</xdr:rowOff>
    </xdr:from>
    <xdr:ext cx="184731" cy="264560"/>
    <xdr:sp macro="" textlink="">
      <xdr:nvSpPr>
        <xdr:cNvPr id="272" name="CaixaDeTexto 271">
          <a:extLst>
            <a:ext uri="{FF2B5EF4-FFF2-40B4-BE49-F238E27FC236}">
              <a16:creationId xmlns="" xmlns:a16="http://schemas.microsoft.com/office/drawing/2014/main" id="{7935F39B-59EB-4BC9-8B99-5FD0033FF890}"/>
            </a:ext>
          </a:extLst>
        </xdr:cNvPr>
        <xdr:cNvSpPr txBox="1"/>
      </xdr:nvSpPr>
      <xdr:spPr>
        <a:xfrm>
          <a:off x="2259106" y="1309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1286</xdr:row>
      <xdr:rowOff>0</xdr:rowOff>
    </xdr:from>
    <xdr:ext cx="184731" cy="264560"/>
    <xdr:sp macro="" textlink="">
      <xdr:nvSpPr>
        <xdr:cNvPr id="273" name="CaixaDeTexto 272">
          <a:extLst>
            <a:ext uri="{FF2B5EF4-FFF2-40B4-BE49-F238E27FC236}">
              <a16:creationId xmlns="" xmlns:a16="http://schemas.microsoft.com/office/drawing/2014/main" id="{9FF9FBC2-9379-4CEA-A47F-A22B621F9AF0}"/>
            </a:ext>
          </a:extLst>
        </xdr:cNvPr>
        <xdr:cNvSpPr txBox="1"/>
      </xdr:nvSpPr>
      <xdr:spPr>
        <a:xfrm>
          <a:off x="2259106" y="1344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1286</xdr:row>
      <xdr:rowOff>0</xdr:rowOff>
    </xdr:from>
    <xdr:ext cx="184731" cy="264560"/>
    <xdr:sp macro="" textlink="">
      <xdr:nvSpPr>
        <xdr:cNvPr id="274" name="CaixaDeTexto 273">
          <a:extLst>
            <a:ext uri="{FF2B5EF4-FFF2-40B4-BE49-F238E27FC236}">
              <a16:creationId xmlns="" xmlns:a16="http://schemas.microsoft.com/office/drawing/2014/main" id="{803B8A62-6852-410C-B122-C51CFEFB3A0C}"/>
            </a:ext>
          </a:extLst>
        </xdr:cNvPr>
        <xdr:cNvSpPr txBox="1"/>
      </xdr:nvSpPr>
      <xdr:spPr>
        <a:xfrm>
          <a:off x="2259106" y="1344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1285</xdr:row>
      <xdr:rowOff>0</xdr:rowOff>
    </xdr:from>
    <xdr:ext cx="184731" cy="264560"/>
    <xdr:sp macro="" textlink="">
      <xdr:nvSpPr>
        <xdr:cNvPr id="275" name="CaixaDeTexto 274">
          <a:extLst>
            <a:ext uri="{FF2B5EF4-FFF2-40B4-BE49-F238E27FC236}">
              <a16:creationId xmlns="" xmlns:a16="http://schemas.microsoft.com/office/drawing/2014/main" id="{BE023873-F887-4184-81EC-5D214224838C}"/>
            </a:ext>
          </a:extLst>
        </xdr:cNvPr>
        <xdr:cNvSpPr txBox="1"/>
      </xdr:nvSpPr>
      <xdr:spPr>
        <a:xfrm>
          <a:off x="2259106" y="1309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1286</xdr:row>
      <xdr:rowOff>0</xdr:rowOff>
    </xdr:from>
    <xdr:ext cx="184731" cy="264560"/>
    <xdr:sp macro="" textlink="">
      <xdr:nvSpPr>
        <xdr:cNvPr id="276" name="CaixaDeTexto 275">
          <a:extLst>
            <a:ext uri="{FF2B5EF4-FFF2-40B4-BE49-F238E27FC236}">
              <a16:creationId xmlns="" xmlns:a16="http://schemas.microsoft.com/office/drawing/2014/main" id="{54C4AE6C-FFAC-47F8-B0D0-6F83FE45C45F}"/>
            </a:ext>
          </a:extLst>
        </xdr:cNvPr>
        <xdr:cNvSpPr txBox="1"/>
      </xdr:nvSpPr>
      <xdr:spPr>
        <a:xfrm>
          <a:off x="2259106" y="1344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1285</xdr:row>
      <xdr:rowOff>0</xdr:rowOff>
    </xdr:from>
    <xdr:ext cx="184731" cy="264560"/>
    <xdr:sp macro="" textlink="">
      <xdr:nvSpPr>
        <xdr:cNvPr id="277" name="CaixaDeTexto 276">
          <a:extLst>
            <a:ext uri="{FF2B5EF4-FFF2-40B4-BE49-F238E27FC236}">
              <a16:creationId xmlns="" xmlns:a16="http://schemas.microsoft.com/office/drawing/2014/main" id="{9EBFDA78-A0E8-48FE-A57F-0AA1CB1B9D48}"/>
            </a:ext>
          </a:extLst>
        </xdr:cNvPr>
        <xdr:cNvSpPr txBox="1"/>
      </xdr:nvSpPr>
      <xdr:spPr>
        <a:xfrm>
          <a:off x="2259106" y="1309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1286</xdr:row>
      <xdr:rowOff>0</xdr:rowOff>
    </xdr:from>
    <xdr:ext cx="184731" cy="264560"/>
    <xdr:sp macro="" textlink="">
      <xdr:nvSpPr>
        <xdr:cNvPr id="278" name="CaixaDeTexto 277">
          <a:extLst>
            <a:ext uri="{FF2B5EF4-FFF2-40B4-BE49-F238E27FC236}">
              <a16:creationId xmlns="" xmlns:a16="http://schemas.microsoft.com/office/drawing/2014/main" id="{B2958FE8-F980-42B8-BB0D-8E25FF76095B}"/>
            </a:ext>
          </a:extLst>
        </xdr:cNvPr>
        <xdr:cNvSpPr txBox="1"/>
      </xdr:nvSpPr>
      <xdr:spPr>
        <a:xfrm>
          <a:off x="2259106" y="1344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1286</xdr:row>
      <xdr:rowOff>0</xdr:rowOff>
    </xdr:from>
    <xdr:ext cx="184731" cy="264560"/>
    <xdr:sp macro="" textlink="">
      <xdr:nvSpPr>
        <xdr:cNvPr id="279" name="CaixaDeTexto 278">
          <a:extLst>
            <a:ext uri="{FF2B5EF4-FFF2-40B4-BE49-F238E27FC236}">
              <a16:creationId xmlns="" xmlns:a16="http://schemas.microsoft.com/office/drawing/2014/main" id="{739683C1-963D-4D14-8120-CA1AF02AFCCE}"/>
            </a:ext>
          </a:extLst>
        </xdr:cNvPr>
        <xdr:cNvSpPr txBox="1"/>
      </xdr:nvSpPr>
      <xdr:spPr>
        <a:xfrm>
          <a:off x="2259106" y="1344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1285</xdr:row>
      <xdr:rowOff>0</xdr:rowOff>
    </xdr:from>
    <xdr:ext cx="184731" cy="264560"/>
    <xdr:sp macro="" textlink="">
      <xdr:nvSpPr>
        <xdr:cNvPr id="280" name="CaixaDeTexto 279">
          <a:extLst>
            <a:ext uri="{FF2B5EF4-FFF2-40B4-BE49-F238E27FC236}">
              <a16:creationId xmlns="" xmlns:a16="http://schemas.microsoft.com/office/drawing/2014/main" id="{E071118A-3A75-4363-89C7-C90CB714E95D}"/>
            </a:ext>
          </a:extLst>
        </xdr:cNvPr>
        <xdr:cNvSpPr txBox="1"/>
      </xdr:nvSpPr>
      <xdr:spPr>
        <a:xfrm>
          <a:off x="2259106" y="1309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1286</xdr:row>
      <xdr:rowOff>0</xdr:rowOff>
    </xdr:from>
    <xdr:ext cx="184731" cy="264560"/>
    <xdr:sp macro="" textlink="">
      <xdr:nvSpPr>
        <xdr:cNvPr id="281" name="CaixaDeTexto 280">
          <a:extLst>
            <a:ext uri="{FF2B5EF4-FFF2-40B4-BE49-F238E27FC236}">
              <a16:creationId xmlns="" xmlns:a16="http://schemas.microsoft.com/office/drawing/2014/main" id="{6353A6AC-0AFE-4514-A4B2-DE91FCBDD8C7}"/>
            </a:ext>
          </a:extLst>
        </xdr:cNvPr>
        <xdr:cNvSpPr txBox="1"/>
      </xdr:nvSpPr>
      <xdr:spPr>
        <a:xfrm>
          <a:off x="2259106" y="1344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1273</xdr:row>
      <xdr:rowOff>0</xdr:rowOff>
    </xdr:from>
    <xdr:ext cx="184731" cy="264560"/>
    <xdr:sp macro="" textlink="">
      <xdr:nvSpPr>
        <xdr:cNvPr id="282" name="CaixaDeTexto 281">
          <a:extLst>
            <a:ext uri="{FF2B5EF4-FFF2-40B4-BE49-F238E27FC236}">
              <a16:creationId xmlns="" xmlns:a16="http://schemas.microsoft.com/office/drawing/2014/main" id="{A634B809-9516-4016-BE1C-244A72CD0977}"/>
            </a:ext>
          </a:extLst>
        </xdr:cNvPr>
        <xdr:cNvSpPr txBox="1"/>
      </xdr:nvSpPr>
      <xdr:spPr>
        <a:xfrm>
          <a:off x="2259106" y="8867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1273</xdr:row>
      <xdr:rowOff>0</xdr:rowOff>
    </xdr:from>
    <xdr:ext cx="184731" cy="264560"/>
    <xdr:sp macro="" textlink="">
      <xdr:nvSpPr>
        <xdr:cNvPr id="283" name="CaixaDeTexto 282">
          <a:extLst>
            <a:ext uri="{FF2B5EF4-FFF2-40B4-BE49-F238E27FC236}">
              <a16:creationId xmlns="" xmlns:a16="http://schemas.microsoft.com/office/drawing/2014/main" id="{247C9112-D675-45DA-87D5-9163AC754FAF}"/>
            </a:ext>
          </a:extLst>
        </xdr:cNvPr>
        <xdr:cNvSpPr txBox="1"/>
      </xdr:nvSpPr>
      <xdr:spPr>
        <a:xfrm>
          <a:off x="2259106" y="8867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1287</xdr:row>
      <xdr:rowOff>0</xdr:rowOff>
    </xdr:from>
    <xdr:ext cx="184731" cy="264560"/>
    <xdr:sp macro="" textlink="">
      <xdr:nvSpPr>
        <xdr:cNvPr id="284" name="CaixaDeTexto 283">
          <a:extLst>
            <a:ext uri="{FF2B5EF4-FFF2-40B4-BE49-F238E27FC236}">
              <a16:creationId xmlns="" xmlns:a16="http://schemas.microsoft.com/office/drawing/2014/main" id="{12DB4827-83C6-4DFE-8921-38DF80620BA3}"/>
            </a:ext>
          </a:extLst>
        </xdr:cNvPr>
        <xdr:cNvSpPr txBox="1"/>
      </xdr:nvSpPr>
      <xdr:spPr>
        <a:xfrm>
          <a:off x="2259106" y="1383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1287</xdr:row>
      <xdr:rowOff>0</xdr:rowOff>
    </xdr:from>
    <xdr:ext cx="184731" cy="264560"/>
    <xdr:sp macro="" textlink="">
      <xdr:nvSpPr>
        <xdr:cNvPr id="285" name="CaixaDeTexto 284">
          <a:extLst>
            <a:ext uri="{FF2B5EF4-FFF2-40B4-BE49-F238E27FC236}">
              <a16:creationId xmlns="" xmlns:a16="http://schemas.microsoft.com/office/drawing/2014/main" id="{42C9A592-8E1F-4A78-AD0B-5B91D01C33CB}"/>
            </a:ext>
          </a:extLst>
        </xdr:cNvPr>
        <xdr:cNvSpPr txBox="1"/>
      </xdr:nvSpPr>
      <xdr:spPr>
        <a:xfrm>
          <a:off x="2259106" y="1383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1273</xdr:row>
      <xdr:rowOff>0</xdr:rowOff>
    </xdr:from>
    <xdr:ext cx="184731" cy="264560"/>
    <xdr:sp macro="" textlink="">
      <xdr:nvSpPr>
        <xdr:cNvPr id="286" name="CaixaDeTexto 285">
          <a:extLst>
            <a:ext uri="{FF2B5EF4-FFF2-40B4-BE49-F238E27FC236}">
              <a16:creationId xmlns="" xmlns:a16="http://schemas.microsoft.com/office/drawing/2014/main" id="{029F7D78-278A-4ED7-9AEF-7AF393E808C8}"/>
            </a:ext>
          </a:extLst>
        </xdr:cNvPr>
        <xdr:cNvSpPr txBox="1"/>
      </xdr:nvSpPr>
      <xdr:spPr>
        <a:xfrm>
          <a:off x="2259106" y="8867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1287</xdr:row>
      <xdr:rowOff>0</xdr:rowOff>
    </xdr:from>
    <xdr:ext cx="184731" cy="264560"/>
    <xdr:sp macro="" textlink="">
      <xdr:nvSpPr>
        <xdr:cNvPr id="287" name="CaixaDeTexto 286">
          <a:extLst>
            <a:ext uri="{FF2B5EF4-FFF2-40B4-BE49-F238E27FC236}">
              <a16:creationId xmlns="" xmlns:a16="http://schemas.microsoft.com/office/drawing/2014/main" id="{7B0E777F-C5EC-40EC-A9C2-131CB9573736}"/>
            </a:ext>
          </a:extLst>
        </xdr:cNvPr>
        <xdr:cNvSpPr txBox="1"/>
      </xdr:nvSpPr>
      <xdr:spPr>
        <a:xfrm>
          <a:off x="2259106" y="1383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1273</xdr:row>
      <xdr:rowOff>0</xdr:rowOff>
    </xdr:from>
    <xdr:ext cx="184731" cy="264560"/>
    <xdr:sp macro="" textlink="">
      <xdr:nvSpPr>
        <xdr:cNvPr id="288" name="CaixaDeTexto 287">
          <a:extLst>
            <a:ext uri="{FF2B5EF4-FFF2-40B4-BE49-F238E27FC236}">
              <a16:creationId xmlns="" xmlns:a16="http://schemas.microsoft.com/office/drawing/2014/main" id="{F0821573-E400-4A30-9FB7-F93A2077F1B1}"/>
            </a:ext>
          </a:extLst>
        </xdr:cNvPr>
        <xdr:cNvSpPr txBox="1"/>
      </xdr:nvSpPr>
      <xdr:spPr>
        <a:xfrm>
          <a:off x="2259106" y="8867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1287</xdr:row>
      <xdr:rowOff>0</xdr:rowOff>
    </xdr:from>
    <xdr:ext cx="184731" cy="264560"/>
    <xdr:sp macro="" textlink="">
      <xdr:nvSpPr>
        <xdr:cNvPr id="289" name="CaixaDeTexto 288">
          <a:extLst>
            <a:ext uri="{FF2B5EF4-FFF2-40B4-BE49-F238E27FC236}">
              <a16:creationId xmlns="" xmlns:a16="http://schemas.microsoft.com/office/drawing/2014/main" id="{54FAA8A3-F7A3-4EB0-9EC3-2B4F69F83746}"/>
            </a:ext>
          </a:extLst>
        </xdr:cNvPr>
        <xdr:cNvSpPr txBox="1"/>
      </xdr:nvSpPr>
      <xdr:spPr>
        <a:xfrm>
          <a:off x="2259106" y="1383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1287</xdr:row>
      <xdr:rowOff>0</xdr:rowOff>
    </xdr:from>
    <xdr:ext cx="184731" cy="264560"/>
    <xdr:sp macro="" textlink="">
      <xdr:nvSpPr>
        <xdr:cNvPr id="290" name="CaixaDeTexto 289">
          <a:extLst>
            <a:ext uri="{FF2B5EF4-FFF2-40B4-BE49-F238E27FC236}">
              <a16:creationId xmlns="" xmlns:a16="http://schemas.microsoft.com/office/drawing/2014/main" id="{8E773F12-ECDC-40A4-AFFF-A84ED319C952}"/>
            </a:ext>
          </a:extLst>
        </xdr:cNvPr>
        <xdr:cNvSpPr txBox="1"/>
      </xdr:nvSpPr>
      <xdr:spPr>
        <a:xfrm>
          <a:off x="2259106" y="1383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1286</xdr:row>
      <xdr:rowOff>0</xdr:rowOff>
    </xdr:from>
    <xdr:ext cx="184731" cy="264560"/>
    <xdr:sp macro="" textlink="">
      <xdr:nvSpPr>
        <xdr:cNvPr id="291" name="CaixaDeTexto 290">
          <a:extLst>
            <a:ext uri="{FF2B5EF4-FFF2-40B4-BE49-F238E27FC236}">
              <a16:creationId xmlns="" xmlns:a16="http://schemas.microsoft.com/office/drawing/2014/main" id="{73894057-8F2B-4D0C-AB6C-5493665929DB}"/>
            </a:ext>
          </a:extLst>
        </xdr:cNvPr>
        <xdr:cNvSpPr txBox="1"/>
      </xdr:nvSpPr>
      <xdr:spPr>
        <a:xfrm>
          <a:off x="2259106" y="1344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1273</xdr:row>
      <xdr:rowOff>0</xdr:rowOff>
    </xdr:from>
    <xdr:ext cx="184731" cy="264560"/>
    <xdr:sp macro="" textlink="">
      <xdr:nvSpPr>
        <xdr:cNvPr id="292" name="CaixaDeTexto 291">
          <a:extLst>
            <a:ext uri="{FF2B5EF4-FFF2-40B4-BE49-F238E27FC236}">
              <a16:creationId xmlns="" xmlns:a16="http://schemas.microsoft.com/office/drawing/2014/main" id="{22849E81-8909-43D9-8B2E-5A3E5FA8C5EB}"/>
            </a:ext>
          </a:extLst>
        </xdr:cNvPr>
        <xdr:cNvSpPr txBox="1"/>
      </xdr:nvSpPr>
      <xdr:spPr>
        <a:xfrm>
          <a:off x="2259106" y="8867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1287</xdr:row>
      <xdr:rowOff>0</xdr:rowOff>
    </xdr:from>
    <xdr:ext cx="184731" cy="264560"/>
    <xdr:sp macro="" textlink="">
      <xdr:nvSpPr>
        <xdr:cNvPr id="293" name="CaixaDeTexto 292">
          <a:extLst>
            <a:ext uri="{FF2B5EF4-FFF2-40B4-BE49-F238E27FC236}">
              <a16:creationId xmlns="" xmlns:a16="http://schemas.microsoft.com/office/drawing/2014/main" id="{F30D7953-D3CA-4613-8370-BFB423641FA6}"/>
            </a:ext>
          </a:extLst>
        </xdr:cNvPr>
        <xdr:cNvSpPr txBox="1"/>
      </xdr:nvSpPr>
      <xdr:spPr>
        <a:xfrm>
          <a:off x="2259106" y="1383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1287</xdr:row>
      <xdr:rowOff>0</xdr:rowOff>
    </xdr:from>
    <xdr:ext cx="184731" cy="264560"/>
    <xdr:sp macro="" textlink="">
      <xdr:nvSpPr>
        <xdr:cNvPr id="294" name="CaixaDeTexto 293">
          <a:extLst>
            <a:ext uri="{FF2B5EF4-FFF2-40B4-BE49-F238E27FC236}">
              <a16:creationId xmlns="" xmlns:a16="http://schemas.microsoft.com/office/drawing/2014/main" id="{2C3A4676-6E3B-492D-872C-3026AA996D94}"/>
            </a:ext>
          </a:extLst>
        </xdr:cNvPr>
        <xdr:cNvSpPr txBox="1"/>
      </xdr:nvSpPr>
      <xdr:spPr>
        <a:xfrm>
          <a:off x="2259106" y="1383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1288</xdr:row>
      <xdr:rowOff>0</xdr:rowOff>
    </xdr:from>
    <xdr:ext cx="184731" cy="264560"/>
    <xdr:sp macro="" textlink="">
      <xdr:nvSpPr>
        <xdr:cNvPr id="295" name="CaixaDeTexto 294">
          <a:extLst>
            <a:ext uri="{FF2B5EF4-FFF2-40B4-BE49-F238E27FC236}">
              <a16:creationId xmlns="" xmlns:a16="http://schemas.microsoft.com/office/drawing/2014/main" id="{2A9D5311-B6D8-4340-B94E-482110ADE539}"/>
            </a:ext>
          </a:extLst>
        </xdr:cNvPr>
        <xdr:cNvSpPr txBox="1"/>
      </xdr:nvSpPr>
      <xdr:spPr>
        <a:xfrm>
          <a:off x="2259106" y="1440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1288</xdr:row>
      <xdr:rowOff>0</xdr:rowOff>
    </xdr:from>
    <xdr:ext cx="184731" cy="264560"/>
    <xdr:sp macro="" textlink="">
      <xdr:nvSpPr>
        <xdr:cNvPr id="296" name="CaixaDeTexto 295">
          <a:extLst>
            <a:ext uri="{FF2B5EF4-FFF2-40B4-BE49-F238E27FC236}">
              <a16:creationId xmlns="" xmlns:a16="http://schemas.microsoft.com/office/drawing/2014/main" id="{58C55C43-DED9-442B-8EC6-3C5F13065193}"/>
            </a:ext>
          </a:extLst>
        </xdr:cNvPr>
        <xdr:cNvSpPr txBox="1"/>
      </xdr:nvSpPr>
      <xdr:spPr>
        <a:xfrm>
          <a:off x="2259106" y="1440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1287</xdr:row>
      <xdr:rowOff>0</xdr:rowOff>
    </xdr:from>
    <xdr:ext cx="184731" cy="264560"/>
    <xdr:sp macro="" textlink="">
      <xdr:nvSpPr>
        <xdr:cNvPr id="297" name="CaixaDeTexto 296">
          <a:extLst>
            <a:ext uri="{FF2B5EF4-FFF2-40B4-BE49-F238E27FC236}">
              <a16:creationId xmlns="" xmlns:a16="http://schemas.microsoft.com/office/drawing/2014/main" id="{C41FACE0-4411-4DD9-8A96-0BD6409DBB63}"/>
            </a:ext>
          </a:extLst>
        </xdr:cNvPr>
        <xdr:cNvSpPr txBox="1"/>
      </xdr:nvSpPr>
      <xdr:spPr>
        <a:xfrm>
          <a:off x="2259106" y="1383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1288</xdr:row>
      <xdr:rowOff>0</xdr:rowOff>
    </xdr:from>
    <xdr:ext cx="184731" cy="264560"/>
    <xdr:sp macro="" textlink="">
      <xdr:nvSpPr>
        <xdr:cNvPr id="298" name="CaixaDeTexto 297">
          <a:extLst>
            <a:ext uri="{FF2B5EF4-FFF2-40B4-BE49-F238E27FC236}">
              <a16:creationId xmlns="" xmlns:a16="http://schemas.microsoft.com/office/drawing/2014/main" id="{12CBCFA0-4185-4A85-9CDB-6407CBF3974C}"/>
            </a:ext>
          </a:extLst>
        </xdr:cNvPr>
        <xdr:cNvSpPr txBox="1"/>
      </xdr:nvSpPr>
      <xdr:spPr>
        <a:xfrm>
          <a:off x="2259106" y="1440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1287</xdr:row>
      <xdr:rowOff>0</xdr:rowOff>
    </xdr:from>
    <xdr:ext cx="184731" cy="264560"/>
    <xdr:sp macro="" textlink="">
      <xdr:nvSpPr>
        <xdr:cNvPr id="299" name="CaixaDeTexto 298">
          <a:extLst>
            <a:ext uri="{FF2B5EF4-FFF2-40B4-BE49-F238E27FC236}">
              <a16:creationId xmlns="" xmlns:a16="http://schemas.microsoft.com/office/drawing/2014/main" id="{F610653C-10B5-486E-9776-41E92CDFF7CA}"/>
            </a:ext>
          </a:extLst>
        </xdr:cNvPr>
        <xdr:cNvSpPr txBox="1"/>
      </xdr:nvSpPr>
      <xdr:spPr>
        <a:xfrm>
          <a:off x="2259106" y="1383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1288</xdr:row>
      <xdr:rowOff>0</xdr:rowOff>
    </xdr:from>
    <xdr:ext cx="184731" cy="264560"/>
    <xdr:sp macro="" textlink="">
      <xdr:nvSpPr>
        <xdr:cNvPr id="300" name="CaixaDeTexto 299">
          <a:extLst>
            <a:ext uri="{FF2B5EF4-FFF2-40B4-BE49-F238E27FC236}">
              <a16:creationId xmlns="" xmlns:a16="http://schemas.microsoft.com/office/drawing/2014/main" id="{FE2B8575-6C7A-42EB-ABED-E39667E42605}"/>
            </a:ext>
          </a:extLst>
        </xdr:cNvPr>
        <xdr:cNvSpPr txBox="1"/>
      </xdr:nvSpPr>
      <xdr:spPr>
        <a:xfrm>
          <a:off x="2259106" y="1440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1288</xdr:row>
      <xdr:rowOff>0</xdr:rowOff>
    </xdr:from>
    <xdr:ext cx="184731" cy="264560"/>
    <xdr:sp macro="" textlink="">
      <xdr:nvSpPr>
        <xdr:cNvPr id="301" name="CaixaDeTexto 300">
          <a:extLst>
            <a:ext uri="{FF2B5EF4-FFF2-40B4-BE49-F238E27FC236}">
              <a16:creationId xmlns="" xmlns:a16="http://schemas.microsoft.com/office/drawing/2014/main" id="{F9445C94-E827-4D33-A9AD-58C1F67403BD}"/>
            </a:ext>
          </a:extLst>
        </xdr:cNvPr>
        <xdr:cNvSpPr txBox="1"/>
      </xdr:nvSpPr>
      <xdr:spPr>
        <a:xfrm>
          <a:off x="2259106" y="1440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1273</xdr:row>
      <xdr:rowOff>0</xdr:rowOff>
    </xdr:from>
    <xdr:ext cx="184731" cy="264560"/>
    <xdr:sp macro="" textlink="">
      <xdr:nvSpPr>
        <xdr:cNvPr id="302" name="CaixaDeTexto 301">
          <a:extLst>
            <a:ext uri="{FF2B5EF4-FFF2-40B4-BE49-F238E27FC236}">
              <a16:creationId xmlns="" xmlns:a16="http://schemas.microsoft.com/office/drawing/2014/main" id="{F0FF2A5B-CFE1-453C-9339-7BAA2F871A4C}"/>
            </a:ext>
          </a:extLst>
        </xdr:cNvPr>
        <xdr:cNvSpPr txBox="1"/>
      </xdr:nvSpPr>
      <xdr:spPr>
        <a:xfrm>
          <a:off x="2259106" y="8867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1287</xdr:row>
      <xdr:rowOff>0</xdr:rowOff>
    </xdr:from>
    <xdr:ext cx="184731" cy="264560"/>
    <xdr:sp macro="" textlink="">
      <xdr:nvSpPr>
        <xdr:cNvPr id="303" name="CaixaDeTexto 302">
          <a:extLst>
            <a:ext uri="{FF2B5EF4-FFF2-40B4-BE49-F238E27FC236}">
              <a16:creationId xmlns="" xmlns:a16="http://schemas.microsoft.com/office/drawing/2014/main" id="{7F95E782-BFA3-4213-9B42-9E34A399B6E9}"/>
            </a:ext>
          </a:extLst>
        </xdr:cNvPr>
        <xdr:cNvSpPr txBox="1"/>
      </xdr:nvSpPr>
      <xdr:spPr>
        <a:xfrm>
          <a:off x="2259106" y="1383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1288</xdr:row>
      <xdr:rowOff>0</xdr:rowOff>
    </xdr:from>
    <xdr:ext cx="184731" cy="264560"/>
    <xdr:sp macro="" textlink="">
      <xdr:nvSpPr>
        <xdr:cNvPr id="304" name="CaixaDeTexto 303">
          <a:extLst>
            <a:ext uri="{FF2B5EF4-FFF2-40B4-BE49-F238E27FC236}">
              <a16:creationId xmlns="" xmlns:a16="http://schemas.microsoft.com/office/drawing/2014/main" id="{C8428341-2AEB-4957-A7A8-FFF2D9FD4DAD}"/>
            </a:ext>
          </a:extLst>
        </xdr:cNvPr>
        <xdr:cNvSpPr txBox="1"/>
      </xdr:nvSpPr>
      <xdr:spPr>
        <a:xfrm>
          <a:off x="2259106" y="1440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1288</xdr:row>
      <xdr:rowOff>0</xdr:rowOff>
    </xdr:from>
    <xdr:ext cx="184731" cy="264560"/>
    <xdr:sp macro="" textlink="">
      <xdr:nvSpPr>
        <xdr:cNvPr id="305" name="CaixaDeTexto 304">
          <a:extLst>
            <a:ext uri="{FF2B5EF4-FFF2-40B4-BE49-F238E27FC236}">
              <a16:creationId xmlns="" xmlns:a16="http://schemas.microsoft.com/office/drawing/2014/main" id="{B452DD47-DE13-4027-A7E7-04A19C0CC9DB}"/>
            </a:ext>
          </a:extLst>
        </xdr:cNvPr>
        <xdr:cNvSpPr txBox="1"/>
      </xdr:nvSpPr>
      <xdr:spPr>
        <a:xfrm>
          <a:off x="2259106" y="1440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1282</xdr:row>
      <xdr:rowOff>0</xdr:rowOff>
    </xdr:from>
    <xdr:ext cx="184731" cy="264560"/>
    <xdr:sp macro="" textlink="">
      <xdr:nvSpPr>
        <xdr:cNvPr id="306" name="CaixaDeTexto 305">
          <a:extLst>
            <a:ext uri="{FF2B5EF4-FFF2-40B4-BE49-F238E27FC236}">
              <a16:creationId xmlns="" xmlns:a16="http://schemas.microsoft.com/office/drawing/2014/main" id="{826A085B-3921-40B6-9DE7-525B5F6CC246}"/>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1282</xdr:row>
      <xdr:rowOff>0</xdr:rowOff>
    </xdr:from>
    <xdr:ext cx="184731" cy="264560"/>
    <xdr:sp macro="" textlink="">
      <xdr:nvSpPr>
        <xdr:cNvPr id="307" name="CaixaDeTexto 306">
          <a:extLst>
            <a:ext uri="{FF2B5EF4-FFF2-40B4-BE49-F238E27FC236}">
              <a16:creationId xmlns="" xmlns:a16="http://schemas.microsoft.com/office/drawing/2014/main" id="{BB7E63F5-A69E-4D88-93FF-7B916D94476F}"/>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1288</xdr:row>
      <xdr:rowOff>0</xdr:rowOff>
    </xdr:from>
    <xdr:ext cx="184731" cy="264560"/>
    <xdr:sp macro="" textlink="">
      <xdr:nvSpPr>
        <xdr:cNvPr id="308" name="CaixaDeTexto 307">
          <a:extLst>
            <a:ext uri="{FF2B5EF4-FFF2-40B4-BE49-F238E27FC236}">
              <a16:creationId xmlns="" xmlns:a16="http://schemas.microsoft.com/office/drawing/2014/main" id="{903D071C-7BAE-42BF-8D4F-7C447DBD7ADA}"/>
            </a:ext>
          </a:extLst>
        </xdr:cNvPr>
        <xdr:cNvSpPr txBox="1"/>
      </xdr:nvSpPr>
      <xdr:spPr>
        <a:xfrm>
          <a:off x="2259106" y="1440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1282</xdr:row>
      <xdr:rowOff>0</xdr:rowOff>
    </xdr:from>
    <xdr:ext cx="184731" cy="264560"/>
    <xdr:sp macro="" textlink="">
      <xdr:nvSpPr>
        <xdr:cNvPr id="309" name="CaixaDeTexto 308">
          <a:extLst>
            <a:ext uri="{FF2B5EF4-FFF2-40B4-BE49-F238E27FC236}">
              <a16:creationId xmlns="" xmlns:a16="http://schemas.microsoft.com/office/drawing/2014/main" id="{DF09F6BF-7311-4331-932E-BD6CC3FF0864}"/>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1288</xdr:row>
      <xdr:rowOff>0</xdr:rowOff>
    </xdr:from>
    <xdr:ext cx="184731" cy="264560"/>
    <xdr:sp macro="" textlink="">
      <xdr:nvSpPr>
        <xdr:cNvPr id="310" name="CaixaDeTexto 309">
          <a:extLst>
            <a:ext uri="{FF2B5EF4-FFF2-40B4-BE49-F238E27FC236}">
              <a16:creationId xmlns="" xmlns:a16="http://schemas.microsoft.com/office/drawing/2014/main" id="{83A0E392-5E26-4001-B9B6-B4AA7E81DD21}"/>
            </a:ext>
          </a:extLst>
        </xdr:cNvPr>
        <xdr:cNvSpPr txBox="1"/>
      </xdr:nvSpPr>
      <xdr:spPr>
        <a:xfrm>
          <a:off x="2259106" y="1440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1282</xdr:row>
      <xdr:rowOff>0</xdr:rowOff>
    </xdr:from>
    <xdr:ext cx="184731" cy="264560"/>
    <xdr:sp macro="" textlink="">
      <xdr:nvSpPr>
        <xdr:cNvPr id="311" name="CaixaDeTexto 310">
          <a:extLst>
            <a:ext uri="{FF2B5EF4-FFF2-40B4-BE49-F238E27FC236}">
              <a16:creationId xmlns="" xmlns:a16="http://schemas.microsoft.com/office/drawing/2014/main" id="{0437E570-F60A-4803-B223-8AF4004EB3C9}"/>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1282</xdr:row>
      <xdr:rowOff>0</xdr:rowOff>
    </xdr:from>
    <xdr:ext cx="184731" cy="264560"/>
    <xdr:sp macro="" textlink="">
      <xdr:nvSpPr>
        <xdr:cNvPr id="312" name="CaixaDeTexto 311">
          <a:extLst>
            <a:ext uri="{FF2B5EF4-FFF2-40B4-BE49-F238E27FC236}">
              <a16:creationId xmlns="" xmlns:a16="http://schemas.microsoft.com/office/drawing/2014/main" id="{1D177D35-946A-4C7F-89D9-660B389A41B9}"/>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1287</xdr:row>
      <xdr:rowOff>0</xdr:rowOff>
    </xdr:from>
    <xdr:ext cx="184731" cy="264560"/>
    <xdr:sp macro="" textlink="">
      <xdr:nvSpPr>
        <xdr:cNvPr id="313" name="CaixaDeTexto 312">
          <a:extLst>
            <a:ext uri="{FF2B5EF4-FFF2-40B4-BE49-F238E27FC236}">
              <a16:creationId xmlns="" xmlns:a16="http://schemas.microsoft.com/office/drawing/2014/main" id="{CFE6E933-282E-4286-BE8B-55FDB1423E38}"/>
            </a:ext>
          </a:extLst>
        </xdr:cNvPr>
        <xdr:cNvSpPr txBox="1"/>
      </xdr:nvSpPr>
      <xdr:spPr>
        <a:xfrm>
          <a:off x="2259106" y="1383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1288</xdr:row>
      <xdr:rowOff>0</xdr:rowOff>
    </xdr:from>
    <xdr:ext cx="184731" cy="264560"/>
    <xdr:sp macro="" textlink="">
      <xdr:nvSpPr>
        <xdr:cNvPr id="314" name="CaixaDeTexto 313">
          <a:extLst>
            <a:ext uri="{FF2B5EF4-FFF2-40B4-BE49-F238E27FC236}">
              <a16:creationId xmlns="" xmlns:a16="http://schemas.microsoft.com/office/drawing/2014/main" id="{95D57B08-224C-4FFD-93CF-51C2648C205E}"/>
            </a:ext>
          </a:extLst>
        </xdr:cNvPr>
        <xdr:cNvSpPr txBox="1"/>
      </xdr:nvSpPr>
      <xdr:spPr>
        <a:xfrm>
          <a:off x="2259106" y="1440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1282</xdr:row>
      <xdr:rowOff>0</xdr:rowOff>
    </xdr:from>
    <xdr:ext cx="184731" cy="264560"/>
    <xdr:sp macro="" textlink="">
      <xdr:nvSpPr>
        <xdr:cNvPr id="315" name="CaixaDeTexto 314">
          <a:extLst>
            <a:ext uri="{FF2B5EF4-FFF2-40B4-BE49-F238E27FC236}">
              <a16:creationId xmlns="" xmlns:a16="http://schemas.microsoft.com/office/drawing/2014/main" id="{D3ADC6D2-FD1B-48DE-A533-9D1AD50520AA}"/>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1282</xdr:row>
      <xdr:rowOff>0</xdr:rowOff>
    </xdr:from>
    <xdr:ext cx="184731" cy="264560"/>
    <xdr:sp macro="" textlink="">
      <xdr:nvSpPr>
        <xdr:cNvPr id="316" name="CaixaDeTexto 315">
          <a:extLst>
            <a:ext uri="{FF2B5EF4-FFF2-40B4-BE49-F238E27FC236}">
              <a16:creationId xmlns="" xmlns:a16="http://schemas.microsoft.com/office/drawing/2014/main" id="{9962BE43-F5D7-4B9C-8127-6EC9686D2063}"/>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1283</xdr:row>
      <xdr:rowOff>0</xdr:rowOff>
    </xdr:from>
    <xdr:ext cx="184731" cy="264560"/>
    <xdr:sp macro="" textlink="">
      <xdr:nvSpPr>
        <xdr:cNvPr id="317" name="CaixaDeTexto 316">
          <a:extLst>
            <a:ext uri="{FF2B5EF4-FFF2-40B4-BE49-F238E27FC236}">
              <a16:creationId xmlns="" xmlns:a16="http://schemas.microsoft.com/office/drawing/2014/main" id="{DFC58EB1-0BDF-44AA-91FE-23812CA568AC}"/>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1283</xdr:row>
      <xdr:rowOff>0</xdr:rowOff>
    </xdr:from>
    <xdr:ext cx="184731" cy="264560"/>
    <xdr:sp macro="" textlink="">
      <xdr:nvSpPr>
        <xdr:cNvPr id="318" name="CaixaDeTexto 317">
          <a:extLst>
            <a:ext uri="{FF2B5EF4-FFF2-40B4-BE49-F238E27FC236}">
              <a16:creationId xmlns="" xmlns:a16="http://schemas.microsoft.com/office/drawing/2014/main" id="{1F1E8761-302F-4FDA-9D02-4400EBD2C4D9}"/>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1282</xdr:row>
      <xdr:rowOff>0</xdr:rowOff>
    </xdr:from>
    <xdr:ext cx="184731" cy="264560"/>
    <xdr:sp macro="" textlink="">
      <xdr:nvSpPr>
        <xdr:cNvPr id="319" name="CaixaDeTexto 318">
          <a:extLst>
            <a:ext uri="{FF2B5EF4-FFF2-40B4-BE49-F238E27FC236}">
              <a16:creationId xmlns="" xmlns:a16="http://schemas.microsoft.com/office/drawing/2014/main" id="{474B19FC-E591-43A2-8D17-FE72BEB2E4D3}"/>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1283</xdr:row>
      <xdr:rowOff>0</xdr:rowOff>
    </xdr:from>
    <xdr:ext cx="184731" cy="264560"/>
    <xdr:sp macro="" textlink="">
      <xdr:nvSpPr>
        <xdr:cNvPr id="320" name="CaixaDeTexto 319">
          <a:extLst>
            <a:ext uri="{FF2B5EF4-FFF2-40B4-BE49-F238E27FC236}">
              <a16:creationId xmlns="" xmlns:a16="http://schemas.microsoft.com/office/drawing/2014/main" id="{4678BEF0-926E-45B9-8973-286A2F543543}"/>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1282</xdr:row>
      <xdr:rowOff>0</xdr:rowOff>
    </xdr:from>
    <xdr:ext cx="184731" cy="264560"/>
    <xdr:sp macro="" textlink="">
      <xdr:nvSpPr>
        <xdr:cNvPr id="321" name="CaixaDeTexto 320">
          <a:extLst>
            <a:ext uri="{FF2B5EF4-FFF2-40B4-BE49-F238E27FC236}">
              <a16:creationId xmlns="" xmlns:a16="http://schemas.microsoft.com/office/drawing/2014/main" id="{3FAB29C9-FB25-4139-AF2D-3DCB20F3CF49}"/>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1283</xdr:row>
      <xdr:rowOff>0</xdr:rowOff>
    </xdr:from>
    <xdr:ext cx="184731" cy="264560"/>
    <xdr:sp macro="" textlink="">
      <xdr:nvSpPr>
        <xdr:cNvPr id="322" name="CaixaDeTexto 321">
          <a:extLst>
            <a:ext uri="{FF2B5EF4-FFF2-40B4-BE49-F238E27FC236}">
              <a16:creationId xmlns="" xmlns:a16="http://schemas.microsoft.com/office/drawing/2014/main" id="{1372C65F-2767-4C60-B045-90396BA666D1}"/>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1283</xdr:row>
      <xdr:rowOff>0</xdr:rowOff>
    </xdr:from>
    <xdr:ext cx="184731" cy="264560"/>
    <xdr:sp macro="" textlink="">
      <xdr:nvSpPr>
        <xdr:cNvPr id="323" name="CaixaDeTexto 322">
          <a:extLst>
            <a:ext uri="{FF2B5EF4-FFF2-40B4-BE49-F238E27FC236}">
              <a16:creationId xmlns="" xmlns:a16="http://schemas.microsoft.com/office/drawing/2014/main" id="{56744F97-4CA5-4712-80CC-7F970ADEA030}"/>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1288</xdr:row>
      <xdr:rowOff>0</xdr:rowOff>
    </xdr:from>
    <xdr:ext cx="184731" cy="264560"/>
    <xdr:sp macro="" textlink="">
      <xdr:nvSpPr>
        <xdr:cNvPr id="324" name="CaixaDeTexto 323">
          <a:extLst>
            <a:ext uri="{FF2B5EF4-FFF2-40B4-BE49-F238E27FC236}">
              <a16:creationId xmlns="" xmlns:a16="http://schemas.microsoft.com/office/drawing/2014/main" id="{8703E53E-6157-4071-A8C6-FECE3CC91CAA}"/>
            </a:ext>
          </a:extLst>
        </xdr:cNvPr>
        <xdr:cNvSpPr txBox="1"/>
      </xdr:nvSpPr>
      <xdr:spPr>
        <a:xfrm>
          <a:off x="2259106" y="1440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1282</xdr:row>
      <xdr:rowOff>0</xdr:rowOff>
    </xdr:from>
    <xdr:ext cx="184731" cy="264560"/>
    <xdr:sp macro="" textlink="">
      <xdr:nvSpPr>
        <xdr:cNvPr id="325" name="CaixaDeTexto 324">
          <a:extLst>
            <a:ext uri="{FF2B5EF4-FFF2-40B4-BE49-F238E27FC236}">
              <a16:creationId xmlns="" xmlns:a16="http://schemas.microsoft.com/office/drawing/2014/main" id="{FD33C5C4-3894-4FDD-9F88-DC1DCE678560}"/>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1283</xdr:row>
      <xdr:rowOff>0</xdr:rowOff>
    </xdr:from>
    <xdr:ext cx="184731" cy="264560"/>
    <xdr:sp macro="" textlink="">
      <xdr:nvSpPr>
        <xdr:cNvPr id="326" name="CaixaDeTexto 325">
          <a:extLst>
            <a:ext uri="{FF2B5EF4-FFF2-40B4-BE49-F238E27FC236}">
              <a16:creationId xmlns="" xmlns:a16="http://schemas.microsoft.com/office/drawing/2014/main" id="{0C31BD31-8208-4254-88E9-C281EC853725}"/>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1283</xdr:row>
      <xdr:rowOff>0</xdr:rowOff>
    </xdr:from>
    <xdr:ext cx="184731" cy="264560"/>
    <xdr:sp macro="" textlink="">
      <xdr:nvSpPr>
        <xdr:cNvPr id="327" name="CaixaDeTexto 326">
          <a:extLst>
            <a:ext uri="{FF2B5EF4-FFF2-40B4-BE49-F238E27FC236}">
              <a16:creationId xmlns="" xmlns:a16="http://schemas.microsoft.com/office/drawing/2014/main" id="{7447CBBA-C7B1-403F-B944-A9CF52D2AE85}"/>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1289</xdr:row>
      <xdr:rowOff>0</xdr:rowOff>
    </xdr:from>
    <xdr:ext cx="184731" cy="264560"/>
    <xdr:sp macro="" textlink="">
      <xdr:nvSpPr>
        <xdr:cNvPr id="328" name="CaixaDeTexto 327">
          <a:extLst>
            <a:ext uri="{FF2B5EF4-FFF2-40B4-BE49-F238E27FC236}">
              <a16:creationId xmlns="" xmlns:a16="http://schemas.microsoft.com/office/drawing/2014/main" id="{1DEB5B1D-1781-4396-B02B-CBF3E83246BA}"/>
            </a:ext>
          </a:extLst>
        </xdr:cNvPr>
        <xdr:cNvSpPr txBox="1"/>
      </xdr:nvSpPr>
      <xdr:spPr>
        <a:xfrm>
          <a:off x="2259106" y="1497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1289</xdr:row>
      <xdr:rowOff>0</xdr:rowOff>
    </xdr:from>
    <xdr:ext cx="184731" cy="264560"/>
    <xdr:sp macro="" textlink="">
      <xdr:nvSpPr>
        <xdr:cNvPr id="329" name="CaixaDeTexto 328">
          <a:extLst>
            <a:ext uri="{FF2B5EF4-FFF2-40B4-BE49-F238E27FC236}">
              <a16:creationId xmlns="" xmlns:a16="http://schemas.microsoft.com/office/drawing/2014/main" id="{72C83AE4-EE4A-49C6-BC4B-C71320E2D5B9}"/>
            </a:ext>
          </a:extLst>
        </xdr:cNvPr>
        <xdr:cNvSpPr txBox="1"/>
      </xdr:nvSpPr>
      <xdr:spPr>
        <a:xfrm>
          <a:off x="2259106" y="1497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1283</xdr:row>
      <xdr:rowOff>0</xdr:rowOff>
    </xdr:from>
    <xdr:ext cx="184731" cy="264560"/>
    <xdr:sp macro="" textlink="">
      <xdr:nvSpPr>
        <xdr:cNvPr id="330" name="CaixaDeTexto 329">
          <a:extLst>
            <a:ext uri="{FF2B5EF4-FFF2-40B4-BE49-F238E27FC236}">
              <a16:creationId xmlns="" xmlns:a16="http://schemas.microsoft.com/office/drawing/2014/main" id="{08C9125B-9D91-4C4D-9E5C-C2260E50326F}"/>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1289</xdr:row>
      <xdr:rowOff>0</xdr:rowOff>
    </xdr:from>
    <xdr:ext cx="184731" cy="264560"/>
    <xdr:sp macro="" textlink="">
      <xdr:nvSpPr>
        <xdr:cNvPr id="331" name="CaixaDeTexto 330">
          <a:extLst>
            <a:ext uri="{FF2B5EF4-FFF2-40B4-BE49-F238E27FC236}">
              <a16:creationId xmlns="" xmlns:a16="http://schemas.microsoft.com/office/drawing/2014/main" id="{38096872-D987-44DE-8F66-F810641703D2}"/>
            </a:ext>
          </a:extLst>
        </xdr:cNvPr>
        <xdr:cNvSpPr txBox="1"/>
      </xdr:nvSpPr>
      <xdr:spPr>
        <a:xfrm>
          <a:off x="2259106" y="1497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1283</xdr:row>
      <xdr:rowOff>0</xdr:rowOff>
    </xdr:from>
    <xdr:ext cx="184731" cy="264560"/>
    <xdr:sp macro="" textlink="">
      <xdr:nvSpPr>
        <xdr:cNvPr id="332" name="CaixaDeTexto 331">
          <a:extLst>
            <a:ext uri="{FF2B5EF4-FFF2-40B4-BE49-F238E27FC236}">
              <a16:creationId xmlns="" xmlns:a16="http://schemas.microsoft.com/office/drawing/2014/main" id="{54628625-925B-4118-837C-CAEC7713D358}"/>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1289</xdr:row>
      <xdr:rowOff>0</xdr:rowOff>
    </xdr:from>
    <xdr:ext cx="184731" cy="264560"/>
    <xdr:sp macro="" textlink="">
      <xdr:nvSpPr>
        <xdr:cNvPr id="333" name="CaixaDeTexto 332">
          <a:extLst>
            <a:ext uri="{FF2B5EF4-FFF2-40B4-BE49-F238E27FC236}">
              <a16:creationId xmlns="" xmlns:a16="http://schemas.microsoft.com/office/drawing/2014/main" id="{20A5B10D-277C-40E4-B499-073CBE3A48CB}"/>
            </a:ext>
          </a:extLst>
        </xdr:cNvPr>
        <xdr:cNvSpPr txBox="1"/>
      </xdr:nvSpPr>
      <xdr:spPr>
        <a:xfrm>
          <a:off x="2259106" y="1497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1289</xdr:row>
      <xdr:rowOff>0</xdr:rowOff>
    </xdr:from>
    <xdr:ext cx="184731" cy="264560"/>
    <xdr:sp macro="" textlink="">
      <xdr:nvSpPr>
        <xdr:cNvPr id="334" name="CaixaDeTexto 333">
          <a:extLst>
            <a:ext uri="{FF2B5EF4-FFF2-40B4-BE49-F238E27FC236}">
              <a16:creationId xmlns="" xmlns:a16="http://schemas.microsoft.com/office/drawing/2014/main" id="{5735A100-864F-43D5-B016-2C61204EC550}"/>
            </a:ext>
          </a:extLst>
        </xdr:cNvPr>
        <xdr:cNvSpPr txBox="1"/>
      </xdr:nvSpPr>
      <xdr:spPr>
        <a:xfrm>
          <a:off x="2259106" y="1497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1282</xdr:row>
      <xdr:rowOff>0</xdr:rowOff>
    </xdr:from>
    <xdr:ext cx="184731" cy="264560"/>
    <xdr:sp macro="" textlink="">
      <xdr:nvSpPr>
        <xdr:cNvPr id="335" name="CaixaDeTexto 334">
          <a:extLst>
            <a:ext uri="{FF2B5EF4-FFF2-40B4-BE49-F238E27FC236}">
              <a16:creationId xmlns="" xmlns:a16="http://schemas.microsoft.com/office/drawing/2014/main" id="{21E01242-B7E5-4CEF-BC2E-D3786B5715B0}"/>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1283</xdr:row>
      <xdr:rowOff>0</xdr:rowOff>
    </xdr:from>
    <xdr:ext cx="184731" cy="264560"/>
    <xdr:sp macro="" textlink="">
      <xdr:nvSpPr>
        <xdr:cNvPr id="336" name="CaixaDeTexto 335">
          <a:extLst>
            <a:ext uri="{FF2B5EF4-FFF2-40B4-BE49-F238E27FC236}">
              <a16:creationId xmlns="" xmlns:a16="http://schemas.microsoft.com/office/drawing/2014/main" id="{B1C8C369-0E50-4338-870B-17E6EFF4CEF5}"/>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1289</xdr:row>
      <xdr:rowOff>0</xdr:rowOff>
    </xdr:from>
    <xdr:ext cx="184731" cy="264560"/>
    <xdr:sp macro="" textlink="">
      <xdr:nvSpPr>
        <xdr:cNvPr id="337" name="CaixaDeTexto 336">
          <a:extLst>
            <a:ext uri="{FF2B5EF4-FFF2-40B4-BE49-F238E27FC236}">
              <a16:creationId xmlns="" xmlns:a16="http://schemas.microsoft.com/office/drawing/2014/main" id="{26D490FA-02BC-43B8-9A31-E3746B56128E}"/>
            </a:ext>
          </a:extLst>
        </xdr:cNvPr>
        <xdr:cNvSpPr txBox="1"/>
      </xdr:nvSpPr>
      <xdr:spPr>
        <a:xfrm>
          <a:off x="2259106" y="1497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1289</xdr:row>
      <xdr:rowOff>0</xdr:rowOff>
    </xdr:from>
    <xdr:ext cx="184731" cy="264560"/>
    <xdr:sp macro="" textlink="">
      <xdr:nvSpPr>
        <xdr:cNvPr id="338" name="CaixaDeTexto 337">
          <a:extLst>
            <a:ext uri="{FF2B5EF4-FFF2-40B4-BE49-F238E27FC236}">
              <a16:creationId xmlns="" xmlns:a16="http://schemas.microsoft.com/office/drawing/2014/main" id="{ED744B8A-5F52-400C-A39C-A70F23A09DB9}"/>
            </a:ext>
          </a:extLst>
        </xdr:cNvPr>
        <xdr:cNvSpPr txBox="1"/>
      </xdr:nvSpPr>
      <xdr:spPr>
        <a:xfrm>
          <a:off x="2259106" y="1497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1284</xdr:row>
      <xdr:rowOff>0</xdr:rowOff>
    </xdr:from>
    <xdr:ext cx="184731" cy="264560"/>
    <xdr:sp macro="" textlink="">
      <xdr:nvSpPr>
        <xdr:cNvPr id="339" name="CaixaDeTexto 338">
          <a:extLst>
            <a:ext uri="{FF2B5EF4-FFF2-40B4-BE49-F238E27FC236}">
              <a16:creationId xmlns="" xmlns:a16="http://schemas.microsoft.com/office/drawing/2014/main" id="{6D898A14-AC67-45CB-BAEA-353760ACCB35}"/>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1284</xdr:row>
      <xdr:rowOff>0</xdr:rowOff>
    </xdr:from>
    <xdr:ext cx="184731" cy="264560"/>
    <xdr:sp macro="" textlink="">
      <xdr:nvSpPr>
        <xdr:cNvPr id="340" name="CaixaDeTexto 339">
          <a:extLst>
            <a:ext uri="{FF2B5EF4-FFF2-40B4-BE49-F238E27FC236}">
              <a16:creationId xmlns="" xmlns:a16="http://schemas.microsoft.com/office/drawing/2014/main" id="{2ADE6BAE-00B7-4750-8E77-B313359CEE6F}"/>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1289</xdr:row>
      <xdr:rowOff>0</xdr:rowOff>
    </xdr:from>
    <xdr:ext cx="184731" cy="264560"/>
    <xdr:sp macro="" textlink="">
      <xdr:nvSpPr>
        <xdr:cNvPr id="341" name="CaixaDeTexto 340">
          <a:extLst>
            <a:ext uri="{FF2B5EF4-FFF2-40B4-BE49-F238E27FC236}">
              <a16:creationId xmlns="" xmlns:a16="http://schemas.microsoft.com/office/drawing/2014/main" id="{E438C56D-0B52-4B86-AA0E-0071A0BD6E03}"/>
            </a:ext>
          </a:extLst>
        </xdr:cNvPr>
        <xdr:cNvSpPr txBox="1"/>
      </xdr:nvSpPr>
      <xdr:spPr>
        <a:xfrm>
          <a:off x="2259106" y="1497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1284</xdr:row>
      <xdr:rowOff>0</xdr:rowOff>
    </xdr:from>
    <xdr:ext cx="184731" cy="264560"/>
    <xdr:sp macro="" textlink="">
      <xdr:nvSpPr>
        <xdr:cNvPr id="342" name="CaixaDeTexto 341">
          <a:extLst>
            <a:ext uri="{FF2B5EF4-FFF2-40B4-BE49-F238E27FC236}">
              <a16:creationId xmlns="" xmlns:a16="http://schemas.microsoft.com/office/drawing/2014/main" id="{55D1BFFC-9A5A-49D7-9152-B3283B77197E}"/>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1289</xdr:row>
      <xdr:rowOff>0</xdr:rowOff>
    </xdr:from>
    <xdr:ext cx="184731" cy="264560"/>
    <xdr:sp macro="" textlink="">
      <xdr:nvSpPr>
        <xdr:cNvPr id="343" name="CaixaDeTexto 342">
          <a:extLst>
            <a:ext uri="{FF2B5EF4-FFF2-40B4-BE49-F238E27FC236}">
              <a16:creationId xmlns="" xmlns:a16="http://schemas.microsoft.com/office/drawing/2014/main" id="{38548EEC-306E-4448-ACC1-F466B5A37AE5}"/>
            </a:ext>
          </a:extLst>
        </xdr:cNvPr>
        <xdr:cNvSpPr txBox="1"/>
      </xdr:nvSpPr>
      <xdr:spPr>
        <a:xfrm>
          <a:off x="2259106" y="1497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1284</xdr:row>
      <xdr:rowOff>0</xdr:rowOff>
    </xdr:from>
    <xdr:ext cx="184731" cy="264560"/>
    <xdr:sp macro="" textlink="">
      <xdr:nvSpPr>
        <xdr:cNvPr id="344" name="CaixaDeTexto 343">
          <a:extLst>
            <a:ext uri="{FF2B5EF4-FFF2-40B4-BE49-F238E27FC236}">
              <a16:creationId xmlns="" xmlns:a16="http://schemas.microsoft.com/office/drawing/2014/main" id="{A13CB943-7550-4036-A731-370415FCDEBC}"/>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1284</xdr:row>
      <xdr:rowOff>0</xdr:rowOff>
    </xdr:from>
    <xdr:ext cx="184731" cy="264560"/>
    <xdr:sp macro="" textlink="">
      <xdr:nvSpPr>
        <xdr:cNvPr id="345" name="CaixaDeTexto 344">
          <a:extLst>
            <a:ext uri="{FF2B5EF4-FFF2-40B4-BE49-F238E27FC236}">
              <a16:creationId xmlns="" xmlns:a16="http://schemas.microsoft.com/office/drawing/2014/main" id="{63D54E6A-CF5D-48D2-A8DC-5110B4F072D0}"/>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1283</xdr:row>
      <xdr:rowOff>0</xdr:rowOff>
    </xdr:from>
    <xdr:ext cx="184731" cy="264560"/>
    <xdr:sp macro="" textlink="">
      <xdr:nvSpPr>
        <xdr:cNvPr id="346" name="CaixaDeTexto 345">
          <a:extLst>
            <a:ext uri="{FF2B5EF4-FFF2-40B4-BE49-F238E27FC236}">
              <a16:creationId xmlns="" xmlns:a16="http://schemas.microsoft.com/office/drawing/2014/main" id="{98C37448-BA67-42D7-B8BA-106C0B64A388}"/>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1283</xdr:row>
      <xdr:rowOff>0</xdr:rowOff>
    </xdr:from>
    <xdr:ext cx="184731" cy="264560"/>
    <xdr:sp macro="" textlink="">
      <xdr:nvSpPr>
        <xdr:cNvPr id="347" name="CaixaDeTexto 346">
          <a:extLst>
            <a:ext uri="{FF2B5EF4-FFF2-40B4-BE49-F238E27FC236}">
              <a16:creationId xmlns="" xmlns:a16="http://schemas.microsoft.com/office/drawing/2014/main" id="{B44E23C1-2545-4C77-8E90-C4F6E505109F}"/>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1283</xdr:row>
      <xdr:rowOff>0</xdr:rowOff>
    </xdr:from>
    <xdr:ext cx="184731" cy="264560"/>
    <xdr:sp macro="" textlink="">
      <xdr:nvSpPr>
        <xdr:cNvPr id="348" name="CaixaDeTexto 347">
          <a:extLst>
            <a:ext uri="{FF2B5EF4-FFF2-40B4-BE49-F238E27FC236}">
              <a16:creationId xmlns="" xmlns:a16="http://schemas.microsoft.com/office/drawing/2014/main" id="{CF2361E0-47EE-4F4D-A02D-E7CBF63A1CB0}"/>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1283</xdr:row>
      <xdr:rowOff>0</xdr:rowOff>
    </xdr:from>
    <xdr:ext cx="184731" cy="264560"/>
    <xdr:sp macro="" textlink="">
      <xdr:nvSpPr>
        <xdr:cNvPr id="349" name="CaixaDeTexto 348">
          <a:extLst>
            <a:ext uri="{FF2B5EF4-FFF2-40B4-BE49-F238E27FC236}">
              <a16:creationId xmlns="" xmlns:a16="http://schemas.microsoft.com/office/drawing/2014/main" id="{D77A406B-092C-4487-A70A-B9A5D4051799}"/>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1283</xdr:row>
      <xdr:rowOff>0</xdr:rowOff>
    </xdr:from>
    <xdr:ext cx="184731" cy="264560"/>
    <xdr:sp macro="" textlink="">
      <xdr:nvSpPr>
        <xdr:cNvPr id="350" name="CaixaDeTexto 349">
          <a:extLst>
            <a:ext uri="{FF2B5EF4-FFF2-40B4-BE49-F238E27FC236}">
              <a16:creationId xmlns="" xmlns:a16="http://schemas.microsoft.com/office/drawing/2014/main" id="{E688B00D-6C38-42D4-97CB-65215882CD2E}"/>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1283</xdr:row>
      <xdr:rowOff>0</xdr:rowOff>
    </xdr:from>
    <xdr:ext cx="184731" cy="264560"/>
    <xdr:sp macro="" textlink="">
      <xdr:nvSpPr>
        <xdr:cNvPr id="351" name="CaixaDeTexto 350">
          <a:extLst>
            <a:ext uri="{FF2B5EF4-FFF2-40B4-BE49-F238E27FC236}">
              <a16:creationId xmlns="" xmlns:a16="http://schemas.microsoft.com/office/drawing/2014/main" id="{8188ECDC-1752-4784-A669-4EC374DC9636}"/>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1282</xdr:row>
      <xdr:rowOff>0</xdr:rowOff>
    </xdr:from>
    <xdr:ext cx="184731" cy="264560"/>
    <xdr:sp macro="" textlink="">
      <xdr:nvSpPr>
        <xdr:cNvPr id="352" name="CaixaDeTexto 351">
          <a:extLst>
            <a:ext uri="{FF2B5EF4-FFF2-40B4-BE49-F238E27FC236}">
              <a16:creationId xmlns="" xmlns:a16="http://schemas.microsoft.com/office/drawing/2014/main" id="{D36C4B76-311A-490F-90BC-AFD75517CC9C}"/>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1282</xdr:row>
      <xdr:rowOff>0</xdr:rowOff>
    </xdr:from>
    <xdr:ext cx="184731" cy="264560"/>
    <xdr:sp macro="" textlink="">
      <xdr:nvSpPr>
        <xdr:cNvPr id="353" name="CaixaDeTexto 352">
          <a:extLst>
            <a:ext uri="{FF2B5EF4-FFF2-40B4-BE49-F238E27FC236}">
              <a16:creationId xmlns="" xmlns:a16="http://schemas.microsoft.com/office/drawing/2014/main" id="{D2D14C05-4902-4BDC-8E8C-27D9515F642E}"/>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1282</xdr:row>
      <xdr:rowOff>0</xdr:rowOff>
    </xdr:from>
    <xdr:ext cx="184731" cy="264560"/>
    <xdr:sp macro="" textlink="">
      <xdr:nvSpPr>
        <xdr:cNvPr id="354" name="CaixaDeTexto 353">
          <a:extLst>
            <a:ext uri="{FF2B5EF4-FFF2-40B4-BE49-F238E27FC236}">
              <a16:creationId xmlns="" xmlns:a16="http://schemas.microsoft.com/office/drawing/2014/main" id="{E83A4688-5A8E-44B8-B728-E36AEC425938}"/>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1282</xdr:row>
      <xdr:rowOff>0</xdr:rowOff>
    </xdr:from>
    <xdr:ext cx="184731" cy="264560"/>
    <xdr:sp macro="" textlink="">
      <xdr:nvSpPr>
        <xdr:cNvPr id="355" name="CaixaDeTexto 354">
          <a:extLst>
            <a:ext uri="{FF2B5EF4-FFF2-40B4-BE49-F238E27FC236}">
              <a16:creationId xmlns="" xmlns:a16="http://schemas.microsoft.com/office/drawing/2014/main" id="{EF4E51FB-9B21-47AB-9062-46A5A59CE364}"/>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1282</xdr:row>
      <xdr:rowOff>0</xdr:rowOff>
    </xdr:from>
    <xdr:ext cx="184731" cy="264560"/>
    <xdr:sp macro="" textlink="">
      <xdr:nvSpPr>
        <xdr:cNvPr id="356" name="CaixaDeTexto 355">
          <a:extLst>
            <a:ext uri="{FF2B5EF4-FFF2-40B4-BE49-F238E27FC236}">
              <a16:creationId xmlns="" xmlns:a16="http://schemas.microsoft.com/office/drawing/2014/main" id="{FFB5DB1E-6BE8-4B43-B973-F0CF6B130CCB}"/>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1282</xdr:row>
      <xdr:rowOff>0</xdr:rowOff>
    </xdr:from>
    <xdr:ext cx="184731" cy="264560"/>
    <xdr:sp macro="" textlink="">
      <xdr:nvSpPr>
        <xdr:cNvPr id="357" name="CaixaDeTexto 356">
          <a:extLst>
            <a:ext uri="{FF2B5EF4-FFF2-40B4-BE49-F238E27FC236}">
              <a16:creationId xmlns="" xmlns:a16="http://schemas.microsoft.com/office/drawing/2014/main" id="{F5E244BC-F34F-481D-A5B0-7968DA9EE9E6}"/>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1282</xdr:row>
      <xdr:rowOff>0</xdr:rowOff>
    </xdr:from>
    <xdr:ext cx="184731" cy="264560"/>
    <xdr:sp macro="" textlink="">
      <xdr:nvSpPr>
        <xdr:cNvPr id="358" name="CaixaDeTexto 357">
          <a:extLst>
            <a:ext uri="{FF2B5EF4-FFF2-40B4-BE49-F238E27FC236}">
              <a16:creationId xmlns="" xmlns:a16="http://schemas.microsoft.com/office/drawing/2014/main" id="{3FEA6579-FEA7-4041-81F0-C89E99D11C0D}"/>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1282</xdr:row>
      <xdr:rowOff>0</xdr:rowOff>
    </xdr:from>
    <xdr:ext cx="184731" cy="264560"/>
    <xdr:sp macro="" textlink="">
      <xdr:nvSpPr>
        <xdr:cNvPr id="359" name="CaixaDeTexto 358">
          <a:extLst>
            <a:ext uri="{FF2B5EF4-FFF2-40B4-BE49-F238E27FC236}">
              <a16:creationId xmlns="" xmlns:a16="http://schemas.microsoft.com/office/drawing/2014/main" id="{4E0605F5-D664-4516-B6A3-8893AF3D31FF}"/>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1282</xdr:row>
      <xdr:rowOff>0</xdr:rowOff>
    </xdr:from>
    <xdr:ext cx="184731" cy="264560"/>
    <xdr:sp macro="" textlink="">
      <xdr:nvSpPr>
        <xdr:cNvPr id="360" name="CaixaDeTexto 359">
          <a:extLst>
            <a:ext uri="{FF2B5EF4-FFF2-40B4-BE49-F238E27FC236}">
              <a16:creationId xmlns="" xmlns:a16="http://schemas.microsoft.com/office/drawing/2014/main" id="{AD906769-76BF-4EEB-8F34-CC196B79B0FD}"/>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1282</xdr:row>
      <xdr:rowOff>0</xdr:rowOff>
    </xdr:from>
    <xdr:ext cx="184731" cy="264560"/>
    <xdr:sp macro="" textlink="">
      <xdr:nvSpPr>
        <xdr:cNvPr id="361" name="CaixaDeTexto 360">
          <a:extLst>
            <a:ext uri="{FF2B5EF4-FFF2-40B4-BE49-F238E27FC236}">
              <a16:creationId xmlns="" xmlns:a16="http://schemas.microsoft.com/office/drawing/2014/main" id="{F96E3CB5-0B53-4EA5-835A-C70621B13008}"/>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1282</xdr:row>
      <xdr:rowOff>0</xdr:rowOff>
    </xdr:from>
    <xdr:ext cx="184731" cy="264560"/>
    <xdr:sp macro="" textlink="">
      <xdr:nvSpPr>
        <xdr:cNvPr id="362" name="CaixaDeTexto 361">
          <a:extLst>
            <a:ext uri="{FF2B5EF4-FFF2-40B4-BE49-F238E27FC236}">
              <a16:creationId xmlns="" xmlns:a16="http://schemas.microsoft.com/office/drawing/2014/main" id="{92C5BAED-2A6E-4F32-9D70-ECCAD467768A}"/>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1282</xdr:row>
      <xdr:rowOff>0</xdr:rowOff>
    </xdr:from>
    <xdr:ext cx="184731" cy="264560"/>
    <xdr:sp macro="" textlink="">
      <xdr:nvSpPr>
        <xdr:cNvPr id="363" name="CaixaDeTexto 362">
          <a:extLst>
            <a:ext uri="{FF2B5EF4-FFF2-40B4-BE49-F238E27FC236}">
              <a16:creationId xmlns="" xmlns:a16="http://schemas.microsoft.com/office/drawing/2014/main" id="{BC66B1FB-959A-4400-87C2-7F78E9DF2BED}"/>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1283</xdr:row>
      <xdr:rowOff>0</xdr:rowOff>
    </xdr:from>
    <xdr:ext cx="184731" cy="264560"/>
    <xdr:sp macro="" textlink="">
      <xdr:nvSpPr>
        <xdr:cNvPr id="364" name="CaixaDeTexto 363">
          <a:extLst>
            <a:ext uri="{FF2B5EF4-FFF2-40B4-BE49-F238E27FC236}">
              <a16:creationId xmlns="" xmlns:a16="http://schemas.microsoft.com/office/drawing/2014/main" id="{709417C0-03C6-47E0-8F39-7FD5B4247B80}"/>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1283</xdr:row>
      <xdr:rowOff>0</xdr:rowOff>
    </xdr:from>
    <xdr:ext cx="184731" cy="264560"/>
    <xdr:sp macro="" textlink="">
      <xdr:nvSpPr>
        <xdr:cNvPr id="365" name="CaixaDeTexto 364">
          <a:extLst>
            <a:ext uri="{FF2B5EF4-FFF2-40B4-BE49-F238E27FC236}">
              <a16:creationId xmlns="" xmlns:a16="http://schemas.microsoft.com/office/drawing/2014/main" id="{FAFD0615-0DAD-4710-BE88-B8C84B079D2D}"/>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1283</xdr:row>
      <xdr:rowOff>0</xdr:rowOff>
    </xdr:from>
    <xdr:ext cx="184731" cy="264560"/>
    <xdr:sp macro="" textlink="">
      <xdr:nvSpPr>
        <xdr:cNvPr id="366" name="CaixaDeTexto 365">
          <a:extLst>
            <a:ext uri="{FF2B5EF4-FFF2-40B4-BE49-F238E27FC236}">
              <a16:creationId xmlns="" xmlns:a16="http://schemas.microsoft.com/office/drawing/2014/main" id="{AE9E82EC-6695-4B2C-B95C-B87260FB24C3}"/>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1283</xdr:row>
      <xdr:rowOff>0</xdr:rowOff>
    </xdr:from>
    <xdr:ext cx="184731" cy="264560"/>
    <xdr:sp macro="" textlink="">
      <xdr:nvSpPr>
        <xdr:cNvPr id="367" name="CaixaDeTexto 366">
          <a:extLst>
            <a:ext uri="{FF2B5EF4-FFF2-40B4-BE49-F238E27FC236}">
              <a16:creationId xmlns="" xmlns:a16="http://schemas.microsoft.com/office/drawing/2014/main" id="{BDE12C45-6E36-434D-913C-610547C4C21F}"/>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1283</xdr:row>
      <xdr:rowOff>0</xdr:rowOff>
    </xdr:from>
    <xdr:ext cx="184731" cy="264560"/>
    <xdr:sp macro="" textlink="">
      <xdr:nvSpPr>
        <xdr:cNvPr id="368" name="CaixaDeTexto 367">
          <a:extLst>
            <a:ext uri="{FF2B5EF4-FFF2-40B4-BE49-F238E27FC236}">
              <a16:creationId xmlns="" xmlns:a16="http://schemas.microsoft.com/office/drawing/2014/main" id="{86C00602-4116-4E0C-BC58-588E11B8135F}"/>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1283</xdr:row>
      <xdr:rowOff>0</xdr:rowOff>
    </xdr:from>
    <xdr:ext cx="184731" cy="264560"/>
    <xdr:sp macro="" textlink="">
      <xdr:nvSpPr>
        <xdr:cNvPr id="369" name="CaixaDeTexto 368">
          <a:extLst>
            <a:ext uri="{FF2B5EF4-FFF2-40B4-BE49-F238E27FC236}">
              <a16:creationId xmlns="" xmlns:a16="http://schemas.microsoft.com/office/drawing/2014/main" id="{06EC13E0-1F51-4CAC-8A15-A6DC8B0E1115}"/>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1290</xdr:row>
      <xdr:rowOff>0</xdr:rowOff>
    </xdr:from>
    <xdr:ext cx="184731" cy="264560"/>
    <xdr:sp macro="" textlink="">
      <xdr:nvSpPr>
        <xdr:cNvPr id="370" name="CaixaDeTexto 369">
          <a:extLst>
            <a:ext uri="{FF2B5EF4-FFF2-40B4-BE49-F238E27FC236}">
              <a16:creationId xmlns="" xmlns:a16="http://schemas.microsoft.com/office/drawing/2014/main" id="{2E3B844F-2DFF-43FC-9EDD-C90393B503AB}"/>
            </a:ext>
          </a:extLst>
        </xdr:cNvPr>
        <xdr:cNvSpPr txBox="1"/>
      </xdr:nvSpPr>
      <xdr:spPr>
        <a:xfrm>
          <a:off x="2259106" y="15354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1290</xdr:row>
      <xdr:rowOff>0</xdr:rowOff>
    </xdr:from>
    <xdr:ext cx="184731" cy="264560"/>
    <xdr:sp macro="" textlink="">
      <xdr:nvSpPr>
        <xdr:cNvPr id="371" name="CaixaDeTexto 370">
          <a:extLst>
            <a:ext uri="{FF2B5EF4-FFF2-40B4-BE49-F238E27FC236}">
              <a16:creationId xmlns="" xmlns:a16="http://schemas.microsoft.com/office/drawing/2014/main" id="{8956780B-8C26-4B84-AAF1-BFC0F266C106}"/>
            </a:ext>
          </a:extLst>
        </xdr:cNvPr>
        <xdr:cNvSpPr txBox="1"/>
      </xdr:nvSpPr>
      <xdr:spPr>
        <a:xfrm>
          <a:off x="2259106" y="15354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1290</xdr:row>
      <xdr:rowOff>0</xdr:rowOff>
    </xdr:from>
    <xdr:ext cx="184731" cy="264560"/>
    <xdr:sp macro="" textlink="">
      <xdr:nvSpPr>
        <xdr:cNvPr id="372" name="CaixaDeTexto 371">
          <a:extLst>
            <a:ext uri="{FF2B5EF4-FFF2-40B4-BE49-F238E27FC236}">
              <a16:creationId xmlns="" xmlns:a16="http://schemas.microsoft.com/office/drawing/2014/main" id="{63B3516C-C971-426E-93B8-F91E091B3E0A}"/>
            </a:ext>
          </a:extLst>
        </xdr:cNvPr>
        <xdr:cNvSpPr txBox="1"/>
      </xdr:nvSpPr>
      <xdr:spPr>
        <a:xfrm>
          <a:off x="2259106" y="15354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1290</xdr:row>
      <xdr:rowOff>0</xdr:rowOff>
    </xdr:from>
    <xdr:ext cx="184731" cy="264560"/>
    <xdr:sp macro="" textlink="">
      <xdr:nvSpPr>
        <xdr:cNvPr id="373" name="CaixaDeTexto 372">
          <a:extLst>
            <a:ext uri="{FF2B5EF4-FFF2-40B4-BE49-F238E27FC236}">
              <a16:creationId xmlns="" xmlns:a16="http://schemas.microsoft.com/office/drawing/2014/main" id="{FE6792C1-3E19-4F74-B327-D9A2EAE1D5AD}"/>
            </a:ext>
          </a:extLst>
        </xdr:cNvPr>
        <xdr:cNvSpPr txBox="1"/>
      </xdr:nvSpPr>
      <xdr:spPr>
        <a:xfrm>
          <a:off x="2259106" y="15354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1290</xdr:row>
      <xdr:rowOff>0</xdr:rowOff>
    </xdr:from>
    <xdr:ext cx="184731" cy="264560"/>
    <xdr:sp macro="" textlink="">
      <xdr:nvSpPr>
        <xdr:cNvPr id="374" name="CaixaDeTexto 373">
          <a:extLst>
            <a:ext uri="{FF2B5EF4-FFF2-40B4-BE49-F238E27FC236}">
              <a16:creationId xmlns="" xmlns:a16="http://schemas.microsoft.com/office/drawing/2014/main" id="{CFCE7C99-4E62-4EEF-90AD-FA6B8D96112F}"/>
            </a:ext>
          </a:extLst>
        </xdr:cNvPr>
        <xdr:cNvSpPr txBox="1"/>
      </xdr:nvSpPr>
      <xdr:spPr>
        <a:xfrm>
          <a:off x="2259106" y="15354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1290</xdr:row>
      <xdr:rowOff>0</xdr:rowOff>
    </xdr:from>
    <xdr:ext cx="184731" cy="264560"/>
    <xdr:sp macro="" textlink="">
      <xdr:nvSpPr>
        <xdr:cNvPr id="375" name="CaixaDeTexto 374">
          <a:extLst>
            <a:ext uri="{FF2B5EF4-FFF2-40B4-BE49-F238E27FC236}">
              <a16:creationId xmlns="" xmlns:a16="http://schemas.microsoft.com/office/drawing/2014/main" id="{82E5AFBC-6DA8-4F71-87F1-FFD2F57B87B9}"/>
            </a:ext>
          </a:extLst>
        </xdr:cNvPr>
        <xdr:cNvSpPr txBox="1"/>
      </xdr:nvSpPr>
      <xdr:spPr>
        <a:xfrm>
          <a:off x="2259106" y="15354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1290</xdr:row>
      <xdr:rowOff>0</xdr:rowOff>
    </xdr:from>
    <xdr:ext cx="184731" cy="264560"/>
    <xdr:sp macro="" textlink="">
      <xdr:nvSpPr>
        <xdr:cNvPr id="376" name="CaixaDeTexto 375">
          <a:extLst>
            <a:ext uri="{FF2B5EF4-FFF2-40B4-BE49-F238E27FC236}">
              <a16:creationId xmlns="" xmlns:a16="http://schemas.microsoft.com/office/drawing/2014/main" id="{BC548EF6-D8D7-42D9-B266-65458D6188AC}"/>
            </a:ext>
          </a:extLst>
        </xdr:cNvPr>
        <xdr:cNvSpPr txBox="1"/>
      </xdr:nvSpPr>
      <xdr:spPr>
        <a:xfrm>
          <a:off x="2259106" y="15354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1290</xdr:row>
      <xdr:rowOff>0</xdr:rowOff>
    </xdr:from>
    <xdr:ext cx="184731" cy="264560"/>
    <xdr:sp macro="" textlink="">
      <xdr:nvSpPr>
        <xdr:cNvPr id="377" name="CaixaDeTexto 376">
          <a:extLst>
            <a:ext uri="{FF2B5EF4-FFF2-40B4-BE49-F238E27FC236}">
              <a16:creationId xmlns="" xmlns:a16="http://schemas.microsoft.com/office/drawing/2014/main" id="{87D757CA-9F33-42D7-9DAB-19E518A4B0D3}"/>
            </a:ext>
          </a:extLst>
        </xdr:cNvPr>
        <xdr:cNvSpPr txBox="1"/>
      </xdr:nvSpPr>
      <xdr:spPr>
        <a:xfrm>
          <a:off x="2259106" y="15354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1290</xdr:row>
      <xdr:rowOff>0</xdr:rowOff>
    </xdr:from>
    <xdr:ext cx="184731" cy="264560"/>
    <xdr:sp macro="" textlink="">
      <xdr:nvSpPr>
        <xdr:cNvPr id="378" name="CaixaDeTexto 377">
          <a:extLst>
            <a:ext uri="{FF2B5EF4-FFF2-40B4-BE49-F238E27FC236}">
              <a16:creationId xmlns="" xmlns:a16="http://schemas.microsoft.com/office/drawing/2014/main" id="{5E19E084-7E77-4DB0-AD6F-DE057E8CE2B8}"/>
            </a:ext>
          </a:extLst>
        </xdr:cNvPr>
        <xdr:cNvSpPr txBox="1"/>
      </xdr:nvSpPr>
      <xdr:spPr>
        <a:xfrm>
          <a:off x="2259106" y="15354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1290</xdr:row>
      <xdr:rowOff>0</xdr:rowOff>
    </xdr:from>
    <xdr:ext cx="184731" cy="264560"/>
    <xdr:sp macro="" textlink="">
      <xdr:nvSpPr>
        <xdr:cNvPr id="379" name="CaixaDeTexto 378">
          <a:extLst>
            <a:ext uri="{FF2B5EF4-FFF2-40B4-BE49-F238E27FC236}">
              <a16:creationId xmlns="" xmlns:a16="http://schemas.microsoft.com/office/drawing/2014/main" id="{BC4900D8-9FAE-4CB9-8A97-E0C7D62FFD9A}"/>
            </a:ext>
          </a:extLst>
        </xdr:cNvPr>
        <xdr:cNvSpPr txBox="1"/>
      </xdr:nvSpPr>
      <xdr:spPr>
        <a:xfrm>
          <a:off x="2259106" y="15354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1291</xdr:row>
      <xdr:rowOff>0</xdr:rowOff>
    </xdr:from>
    <xdr:ext cx="184731" cy="264560"/>
    <xdr:sp macro="" textlink="">
      <xdr:nvSpPr>
        <xdr:cNvPr id="380" name="CaixaDeTexto 379">
          <a:extLst>
            <a:ext uri="{FF2B5EF4-FFF2-40B4-BE49-F238E27FC236}">
              <a16:creationId xmlns="" xmlns:a16="http://schemas.microsoft.com/office/drawing/2014/main" id="{58129F82-508A-4AFC-B26C-0405F30A094F}"/>
            </a:ext>
          </a:extLst>
        </xdr:cNvPr>
        <xdr:cNvSpPr txBox="1"/>
      </xdr:nvSpPr>
      <xdr:spPr>
        <a:xfrm>
          <a:off x="2259106" y="1611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1291</xdr:row>
      <xdr:rowOff>0</xdr:rowOff>
    </xdr:from>
    <xdr:ext cx="184731" cy="264560"/>
    <xdr:sp macro="" textlink="">
      <xdr:nvSpPr>
        <xdr:cNvPr id="381" name="CaixaDeTexto 380">
          <a:extLst>
            <a:ext uri="{FF2B5EF4-FFF2-40B4-BE49-F238E27FC236}">
              <a16:creationId xmlns="" xmlns:a16="http://schemas.microsoft.com/office/drawing/2014/main" id="{6D19FBA1-48D9-4CC3-9B58-AA0B91D917BA}"/>
            </a:ext>
          </a:extLst>
        </xdr:cNvPr>
        <xdr:cNvSpPr txBox="1"/>
      </xdr:nvSpPr>
      <xdr:spPr>
        <a:xfrm>
          <a:off x="2259106" y="1611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1291</xdr:row>
      <xdr:rowOff>0</xdr:rowOff>
    </xdr:from>
    <xdr:ext cx="184731" cy="264560"/>
    <xdr:sp macro="" textlink="">
      <xdr:nvSpPr>
        <xdr:cNvPr id="382" name="CaixaDeTexto 381">
          <a:extLst>
            <a:ext uri="{FF2B5EF4-FFF2-40B4-BE49-F238E27FC236}">
              <a16:creationId xmlns="" xmlns:a16="http://schemas.microsoft.com/office/drawing/2014/main" id="{06A8D0E5-3051-454A-BA14-AB0EB030D820}"/>
            </a:ext>
          </a:extLst>
        </xdr:cNvPr>
        <xdr:cNvSpPr txBox="1"/>
      </xdr:nvSpPr>
      <xdr:spPr>
        <a:xfrm>
          <a:off x="2259106" y="1611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1291</xdr:row>
      <xdr:rowOff>0</xdr:rowOff>
    </xdr:from>
    <xdr:ext cx="184731" cy="264560"/>
    <xdr:sp macro="" textlink="">
      <xdr:nvSpPr>
        <xdr:cNvPr id="383" name="CaixaDeTexto 382">
          <a:extLst>
            <a:ext uri="{FF2B5EF4-FFF2-40B4-BE49-F238E27FC236}">
              <a16:creationId xmlns="" xmlns:a16="http://schemas.microsoft.com/office/drawing/2014/main" id="{4E3E531A-A013-4874-A924-B2B338FA4BBD}"/>
            </a:ext>
          </a:extLst>
        </xdr:cNvPr>
        <xdr:cNvSpPr txBox="1"/>
      </xdr:nvSpPr>
      <xdr:spPr>
        <a:xfrm>
          <a:off x="2259106" y="1611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1291</xdr:row>
      <xdr:rowOff>0</xdr:rowOff>
    </xdr:from>
    <xdr:ext cx="184731" cy="264560"/>
    <xdr:sp macro="" textlink="">
      <xdr:nvSpPr>
        <xdr:cNvPr id="384" name="CaixaDeTexto 383">
          <a:extLst>
            <a:ext uri="{FF2B5EF4-FFF2-40B4-BE49-F238E27FC236}">
              <a16:creationId xmlns="" xmlns:a16="http://schemas.microsoft.com/office/drawing/2014/main" id="{D4FCA009-5DCC-47BD-89A1-22D4AAA7A0FB}"/>
            </a:ext>
          </a:extLst>
        </xdr:cNvPr>
        <xdr:cNvSpPr txBox="1"/>
      </xdr:nvSpPr>
      <xdr:spPr>
        <a:xfrm>
          <a:off x="2259106" y="1611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1291</xdr:row>
      <xdr:rowOff>0</xdr:rowOff>
    </xdr:from>
    <xdr:ext cx="184731" cy="264560"/>
    <xdr:sp macro="" textlink="">
      <xdr:nvSpPr>
        <xdr:cNvPr id="385" name="CaixaDeTexto 384">
          <a:extLst>
            <a:ext uri="{FF2B5EF4-FFF2-40B4-BE49-F238E27FC236}">
              <a16:creationId xmlns="" xmlns:a16="http://schemas.microsoft.com/office/drawing/2014/main" id="{FE272443-5337-43B6-AB7F-B230FD756D53}"/>
            </a:ext>
          </a:extLst>
        </xdr:cNvPr>
        <xdr:cNvSpPr txBox="1"/>
      </xdr:nvSpPr>
      <xdr:spPr>
        <a:xfrm>
          <a:off x="2259106" y="1611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1291</xdr:row>
      <xdr:rowOff>0</xdr:rowOff>
    </xdr:from>
    <xdr:ext cx="184731" cy="264560"/>
    <xdr:sp macro="" textlink="">
      <xdr:nvSpPr>
        <xdr:cNvPr id="386" name="CaixaDeTexto 385">
          <a:extLst>
            <a:ext uri="{FF2B5EF4-FFF2-40B4-BE49-F238E27FC236}">
              <a16:creationId xmlns="" xmlns:a16="http://schemas.microsoft.com/office/drawing/2014/main" id="{C61AE134-5EAB-4361-A3E2-B9CF43A0A44A}"/>
            </a:ext>
          </a:extLst>
        </xdr:cNvPr>
        <xdr:cNvSpPr txBox="1"/>
      </xdr:nvSpPr>
      <xdr:spPr>
        <a:xfrm>
          <a:off x="2259106" y="1611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1291</xdr:row>
      <xdr:rowOff>0</xdr:rowOff>
    </xdr:from>
    <xdr:ext cx="184731" cy="264560"/>
    <xdr:sp macro="" textlink="">
      <xdr:nvSpPr>
        <xdr:cNvPr id="387" name="CaixaDeTexto 386">
          <a:extLst>
            <a:ext uri="{FF2B5EF4-FFF2-40B4-BE49-F238E27FC236}">
              <a16:creationId xmlns="" xmlns:a16="http://schemas.microsoft.com/office/drawing/2014/main" id="{3A347DDA-C880-4E95-B105-7C80CB1DBEFC}"/>
            </a:ext>
          </a:extLst>
        </xdr:cNvPr>
        <xdr:cNvSpPr txBox="1"/>
      </xdr:nvSpPr>
      <xdr:spPr>
        <a:xfrm>
          <a:off x="2259106" y="1611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1291</xdr:row>
      <xdr:rowOff>0</xdr:rowOff>
    </xdr:from>
    <xdr:ext cx="184731" cy="264560"/>
    <xdr:sp macro="" textlink="">
      <xdr:nvSpPr>
        <xdr:cNvPr id="388" name="CaixaDeTexto 387">
          <a:extLst>
            <a:ext uri="{FF2B5EF4-FFF2-40B4-BE49-F238E27FC236}">
              <a16:creationId xmlns="" xmlns:a16="http://schemas.microsoft.com/office/drawing/2014/main" id="{AE9CB030-5050-46F9-8021-A3512124CDEA}"/>
            </a:ext>
          </a:extLst>
        </xdr:cNvPr>
        <xdr:cNvSpPr txBox="1"/>
      </xdr:nvSpPr>
      <xdr:spPr>
        <a:xfrm>
          <a:off x="2259106" y="1611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1291</xdr:row>
      <xdr:rowOff>0</xdr:rowOff>
    </xdr:from>
    <xdr:ext cx="184731" cy="264560"/>
    <xdr:sp macro="" textlink="">
      <xdr:nvSpPr>
        <xdr:cNvPr id="389" name="CaixaDeTexto 388">
          <a:extLst>
            <a:ext uri="{FF2B5EF4-FFF2-40B4-BE49-F238E27FC236}">
              <a16:creationId xmlns="" xmlns:a16="http://schemas.microsoft.com/office/drawing/2014/main" id="{A0DB3097-6A04-45A4-A19E-4160F98B3FEB}"/>
            </a:ext>
          </a:extLst>
        </xdr:cNvPr>
        <xdr:cNvSpPr txBox="1"/>
      </xdr:nvSpPr>
      <xdr:spPr>
        <a:xfrm>
          <a:off x="2259106" y="1611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1284</xdr:row>
      <xdr:rowOff>0</xdr:rowOff>
    </xdr:from>
    <xdr:ext cx="184731" cy="264560"/>
    <xdr:sp macro="" textlink="">
      <xdr:nvSpPr>
        <xdr:cNvPr id="390" name="CaixaDeTexto 389">
          <a:extLst>
            <a:ext uri="{FF2B5EF4-FFF2-40B4-BE49-F238E27FC236}">
              <a16:creationId xmlns="" xmlns:a16="http://schemas.microsoft.com/office/drawing/2014/main" id="{FA43FD1F-50F8-4FBA-9E87-6B9D8D4B379E}"/>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1284</xdr:row>
      <xdr:rowOff>0</xdr:rowOff>
    </xdr:from>
    <xdr:ext cx="184731" cy="264560"/>
    <xdr:sp macro="" textlink="">
      <xdr:nvSpPr>
        <xdr:cNvPr id="391" name="CaixaDeTexto 390">
          <a:extLst>
            <a:ext uri="{FF2B5EF4-FFF2-40B4-BE49-F238E27FC236}">
              <a16:creationId xmlns="" xmlns:a16="http://schemas.microsoft.com/office/drawing/2014/main" id="{CCF16E1D-3078-4287-AB16-1F01F8192DE9}"/>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1284</xdr:row>
      <xdr:rowOff>0</xdr:rowOff>
    </xdr:from>
    <xdr:ext cx="184731" cy="264560"/>
    <xdr:sp macro="" textlink="">
      <xdr:nvSpPr>
        <xdr:cNvPr id="392" name="CaixaDeTexto 391">
          <a:extLst>
            <a:ext uri="{FF2B5EF4-FFF2-40B4-BE49-F238E27FC236}">
              <a16:creationId xmlns="" xmlns:a16="http://schemas.microsoft.com/office/drawing/2014/main" id="{20659057-C56D-4262-BDE7-71A29EFE9DAD}"/>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1284</xdr:row>
      <xdr:rowOff>0</xdr:rowOff>
    </xdr:from>
    <xdr:ext cx="184731" cy="264560"/>
    <xdr:sp macro="" textlink="">
      <xdr:nvSpPr>
        <xdr:cNvPr id="393" name="CaixaDeTexto 392">
          <a:extLst>
            <a:ext uri="{FF2B5EF4-FFF2-40B4-BE49-F238E27FC236}">
              <a16:creationId xmlns="" xmlns:a16="http://schemas.microsoft.com/office/drawing/2014/main" id="{C012226A-B3F8-4C7E-BF11-EDFD7D324F6A}"/>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1284</xdr:row>
      <xdr:rowOff>0</xdr:rowOff>
    </xdr:from>
    <xdr:ext cx="184731" cy="264560"/>
    <xdr:sp macro="" textlink="">
      <xdr:nvSpPr>
        <xdr:cNvPr id="394" name="CaixaDeTexto 393">
          <a:extLst>
            <a:ext uri="{FF2B5EF4-FFF2-40B4-BE49-F238E27FC236}">
              <a16:creationId xmlns="" xmlns:a16="http://schemas.microsoft.com/office/drawing/2014/main" id="{CF719D68-15A3-4B9F-8D38-0B872EB94B46}"/>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1284</xdr:row>
      <xdr:rowOff>0</xdr:rowOff>
    </xdr:from>
    <xdr:ext cx="184731" cy="264560"/>
    <xdr:sp macro="" textlink="">
      <xdr:nvSpPr>
        <xdr:cNvPr id="395" name="CaixaDeTexto 394">
          <a:extLst>
            <a:ext uri="{FF2B5EF4-FFF2-40B4-BE49-F238E27FC236}">
              <a16:creationId xmlns="" xmlns:a16="http://schemas.microsoft.com/office/drawing/2014/main" id="{662DF36F-2545-495A-BD8E-05C934CCA24E}"/>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1284</xdr:row>
      <xdr:rowOff>0</xdr:rowOff>
    </xdr:from>
    <xdr:ext cx="184731" cy="264560"/>
    <xdr:sp macro="" textlink="">
      <xdr:nvSpPr>
        <xdr:cNvPr id="396" name="CaixaDeTexto 395">
          <a:extLst>
            <a:ext uri="{FF2B5EF4-FFF2-40B4-BE49-F238E27FC236}">
              <a16:creationId xmlns="" xmlns:a16="http://schemas.microsoft.com/office/drawing/2014/main" id="{780A6DEE-83FD-4874-8911-B15A2AA7C509}"/>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1284</xdr:row>
      <xdr:rowOff>0</xdr:rowOff>
    </xdr:from>
    <xdr:ext cx="184731" cy="264560"/>
    <xdr:sp macro="" textlink="">
      <xdr:nvSpPr>
        <xdr:cNvPr id="397" name="CaixaDeTexto 396">
          <a:extLst>
            <a:ext uri="{FF2B5EF4-FFF2-40B4-BE49-F238E27FC236}">
              <a16:creationId xmlns="" xmlns:a16="http://schemas.microsoft.com/office/drawing/2014/main" id="{6B928967-7F44-486F-9C99-F1E8513F8540}"/>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1284</xdr:row>
      <xdr:rowOff>0</xdr:rowOff>
    </xdr:from>
    <xdr:ext cx="184731" cy="264560"/>
    <xdr:sp macro="" textlink="">
      <xdr:nvSpPr>
        <xdr:cNvPr id="398" name="CaixaDeTexto 397">
          <a:extLst>
            <a:ext uri="{FF2B5EF4-FFF2-40B4-BE49-F238E27FC236}">
              <a16:creationId xmlns="" xmlns:a16="http://schemas.microsoft.com/office/drawing/2014/main" id="{754A0703-8239-479C-95BE-7B945F67DBFA}"/>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1284</xdr:row>
      <xdr:rowOff>0</xdr:rowOff>
    </xdr:from>
    <xdr:ext cx="184731" cy="264560"/>
    <xdr:sp macro="" textlink="">
      <xdr:nvSpPr>
        <xdr:cNvPr id="399" name="CaixaDeTexto 398">
          <a:extLst>
            <a:ext uri="{FF2B5EF4-FFF2-40B4-BE49-F238E27FC236}">
              <a16:creationId xmlns="" xmlns:a16="http://schemas.microsoft.com/office/drawing/2014/main" id="{F5DAF672-A8F3-4048-84BE-CE73519E4E57}"/>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1284</xdr:row>
      <xdr:rowOff>0</xdr:rowOff>
    </xdr:from>
    <xdr:ext cx="184731" cy="264560"/>
    <xdr:sp macro="" textlink="">
      <xdr:nvSpPr>
        <xdr:cNvPr id="400" name="CaixaDeTexto 399">
          <a:extLst>
            <a:ext uri="{FF2B5EF4-FFF2-40B4-BE49-F238E27FC236}">
              <a16:creationId xmlns="" xmlns:a16="http://schemas.microsoft.com/office/drawing/2014/main" id="{C0DD50B0-3883-4F45-94AE-E5B0AABB1CE7}"/>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1284</xdr:row>
      <xdr:rowOff>0</xdr:rowOff>
    </xdr:from>
    <xdr:ext cx="184731" cy="264560"/>
    <xdr:sp macro="" textlink="">
      <xdr:nvSpPr>
        <xdr:cNvPr id="401" name="CaixaDeTexto 400">
          <a:extLst>
            <a:ext uri="{FF2B5EF4-FFF2-40B4-BE49-F238E27FC236}">
              <a16:creationId xmlns="" xmlns:a16="http://schemas.microsoft.com/office/drawing/2014/main" id="{BD06AF5E-CF4F-4BFB-A2D0-FBEFDEC0E529}"/>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1284</xdr:row>
      <xdr:rowOff>0</xdr:rowOff>
    </xdr:from>
    <xdr:ext cx="184731" cy="264560"/>
    <xdr:sp macro="" textlink="">
      <xdr:nvSpPr>
        <xdr:cNvPr id="402" name="CaixaDeTexto 401">
          <a:extLst>
            <a:ext uri="{FF2B5EF4-FFF2-40B4-BE49-F238E27FC236}">
              <a16:creationId xmlns="" xmlns:a16="http://schemas.microsoft.com/office/drawing/2014/main" id="{0E2A582A-CC1C-46B4-8750-0EA65A5334F3}"/>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1284</xdr:row>
      <xdr:rowOff>0</xdr:rowOff>
    </xdr:from>
    <xdr:ext cx="184731" cy="264560"/>
    <xdr:sp macro="" textlink="">
      <xdr:nvSpPr>
        <xdr:cNvPr id="403" name="CaixaDeTexto 402">
          <a:extLst>
            <a:ext uri="{FF2B5EF4-FFF2-40B4-BE49-F238E27FC236}">
              <a16:creationId xmlns="" xmlns:a16="http://schemas.microsoft.com/office/drawing/2014/main" id="{29B90D8C-8CDA-4146-B791-505D4599A543}"/>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1284</xdr:row>
      <xdr:rowOff>0</xdr:rowOff>
    </xdr:from>
    <xdr:ext cx="184731" cy="264560"/>
    <xdr:sp macro="" textlink="">
      <xdr:nvSpPr>
        <xdr:cNvPr id="404" name="CaixaDeTexto 403">
          <a:extLst>
            <a:ext uri="{FF2B5EF4-FFF2-40B4-BE49-F238E27FC236}">
              <a16:creationId xmlns="" xmlns:a16="http://schemas.microsoft.com/office/drawing/2014/main" id="{F1C882CE-02F7-49A1-BA19-9AC547238C49}"/>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1284</xdr:row>
      <xdr:rowOff>0</xdr:rowOff>
    </xdr:from>
    <xdr:ext cx="184731" cy="264560"/>
    <xdr:sp macro="" textlink="">
      <xdr:nvSpPr>
        <xdr:cNvPr id="405" name="CaixaDeTexto 404">
          <a:extLst>
            <a:ext uri="{FF2B5EF4-FFF2-40B4-BE49-F238E27FC236}">
              <a16:creationId xmlns="" xmlns:a16="http://schemas.microsoft.com/office/drawing/2014/main" id="{D89FD430-278A-481F-9A6B-89AA3CC9CFE6}"/>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1284</xdr:row>
      <xdr:rowOff>0</xdr:rowOff>
    </xdr:from>
    <xdr:ext cx="184731" cy="264560"/>
    <xdr:sp macro="" textlink="">
      <xdr:nvSpPr>
        <xdr:cNvPr id="406" name="CaixaDeTexto 405">
          <a:extLst>
            <a:ext uri="{FF2B5EF4-FFF2-40B4-BE49-F238E27FC236}">
              <a16:creationId xmlns="" xmlns:a16="http://schemas.microsoft.com/office/drawing/2014/main" id="{162A20E0-5B82-4330-B4A8-61385824F3B1}"/>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1284</xdr:row>
      <xdr:rowOff>0</xdr:rowOff>
    </xdr:from>
    <xdr:ext cx="184731" cy="264560"/>
    <xdr:sp macro="" textlink="">
      <xdr:nvSpPr>
        <xdr:cNvPr id="407" name="CaixaDeTexto 406">
          <a:extLst>
            <a:ext uri="{FF2B5EF4-FFF2-40B4-BE49-F238E27FC236}">
              <a16:creationId xmlns="" xmlns:a16="http://schemas.microsoft.com/office/drawing/2014/main" id="{909B4B64-264D-42D9-B3F9-1ABA5439A587}"/>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1284</xdr:row>
      <xdr:rowOff>0</xdr:rowOff>
    </xdr:from>
    <xdr:ext cx="184731" cy="264560"/>
    <xdr:sp macro="" textlink="">
      <xdr:nvSpPr>
        <xdr:cNvPr id="408" name="CaixaDeTexto 407">
          <a:extLst>
            <a:ext uri="{FF2B5EF4-FFF2-40B4-BE49-F238E27FC236}">
              <a16:creationId xmlns="" xmlns:a16="http://schemas.microsoft.com/office/drawing/2014/main" id="{D28D19C6-FC9B-4839-B9F3-1E0D35280E28}"/>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1284</xdr:row>
      <xdr:rowOff>0</xdr:rowOff>
    </xdr:from>
    <xdr:ext cx="184731" cy="264560"/>
    <xdr:sp macro="" textlink="">
      <xdr:nvSpPr>
        <xdr:cNvPr id="409" name="CaixaDeTexto 408">
          <a:extLst>
            <a:ext uri="{FF2B5EF4-FFF2-40B4-BE49-F238E27FC236}">
              <a16:creationId xmlns="" xmlns:a16="http://schemas.microsoft.com/office/drawing/2014/main" id="{0CE7151C-3F8D-4106-B338-BB084ED30C01}"/>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1284</xdr:row>
      <xdr:rowOff>0</xdr:rowOff>
    </xdr:from>
    <xdr:ext cx="184731" cy="264560"/>
    <xdr:sp macro="" textlink="">
      <xdr:nvSpPr>
        <xdr:cNvPr id="410" name="CaixaDeTexto 409">
          <a:extLst>
            <a:ext uri="{FF2B5EF4-FFF2-40B4-BE49-F238E27FC236}">
              <a16:creationId xmlns="" xmlns:a16="http://schemas.microsoft.com/office/drawing/2014/main" id="{F5CAF189-EEBC-4468-9BC1-8C47C22A2435}"/>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1284</xdr:row>
      <xdr:rowOff>0</xdr:rowOff>
    </xdr:from>
    <xdr:ext cx="184731" cy="264560"/>
    <xdr:sp macro="" textlink="">
      <xdr:nvSpPr>
        <xdr:cNvPr id="411" name="CaixaDeTexto 410">
          <a:extLst>
            <a:ext uri="{FF2B5EF4-FFF2-40B4-BE49-F238E27FC236}">
              <a16:creationId xmlns="" xmlns:a16="http://schemas.microsoft.com/office/drawing/2014/main" id="{52476DDC-6B01-4B6D-BC2B-3BD2C10D7F59}"/>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1295</xdr:row>
      <xdr:rowOff>0</xdr:rowOff>
    </xdr:from>
    <xdr:ext cx="184731" cy="264560"/>
    <xdr:sp macro="" textlink="">
      <xdr:nvSpPr>
        <xdr:cNvPr id="412" name="CaixaDeTexto 411">
          <a:extLst>
            <a:ext uri="{FF2B5EF4-FFF2-40B4-BE49-F238E27FC236}">
              <a16:creationId xmlns="" xmlns:a16="http://schemas.microsoft.com/office/drawing/2014/main" id="{0A2E1671-9C46-49DE-A59F-6C8122ACF3B4}"/>
            </a:ext>
          </a:extLst>
        </xdr:cNvPr>
        <xdr:cNvSpPr txBox="1"/>
      </xdr:nvSpPr>
      <xdr:spPr>
        <a:xfrm>
          <a:off x="225910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1324</xdr:row>
      <xdr:rowOff>0</xdr:rowOff>
    </xdr:from>
    <xdr:ext cx="184731" cy="264560"/>
    <xdr:sp macro="" textlink="">
      <xdr:nvSpPr>
        <xdr:cNvPr id="413" name="CaixaDeTexto 412">
          <a:extLst>
            <a:ext uri="{FF2B5EF4-FFF2-40B4-BE49-F238E27FC236}">
              <a16:creationId xmlns="" xmlns:a16="http://schemas.microsoft.com/office/drawing/2014/main" id="{D499D4C6-0CE6-4684-BED7-4B409082E5C0}"/>
            </a:ext>
          </a:extLst>
        </xdr:cNvPr>
        <xdr:cNvSpPr txBox="1"/>
      </xdr:nvSpPr>
      <xdr:spPr>
        <a:xfrm>
          <a:off x="2259106" y="2751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1324</xdr:row>
      <xdr:rowOff>0</xdr:rowOff>
    </xdr:from>
    <xdr:ext cx="184731" cy="264560"/>
    <xdr:sp macro="" textlink="">
      <xdr:nvSpPr>
        <xdr:cNvPr id="414" name="CaixaDeTexto 413">
          <a:extLst>
            <a:ext uri="{FF2B5EF4-FFF2-40B4-BE49-F238E27FC236}">
              <a16:creationId xmlns="" xmlns:a16="http://schemas.microsoft.com/office/drawing/2014/main" id="{E68D90E9-701B-458F-99A6-6C00CCD3DB97}"/>
            </a:ext>
          </a:extLst>
        </xdr:cNvPr>
        <xdr:cNvSpPr txBox="1"/>
      </xdr:nvSpPr>
      <xdr:spPr>
        <a:xfrm>
          <a:off x="2259106" y="2751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1328</xdr:row>
      <xdr:rowOff>0</xdr:rowOff>
    </xdr:from>
    <xdr:ext cx="184731" cy="264560"/>
    <xdr:sp macro="" textlink="">
      <xdr:nvSpPr>
        <xdr:cNvPr id="415" name="CaixaDeTexto 414">
          <a:extLst>
            <a:ext uri="{FF2B5EF4-FFF2-40B4-BE49-F238E27FC236}">
              <a16:creationId xmlns="" xmlns:a16="http://schemas.microsoft.com/office/drawing/2014/main" id="{233536C8-1C87-481B-8430-46AE4ACDA7DF}"/>
            </a:ext>
          </a:extLst>
        </xdr:cNvPr>
        <xdr:cNvSpPr txBox="1"/>
      </xdr:nvSpPr>
      <xdr:spPr>
        <a:xfrm>
          <a:off x="2259106" y="2892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1328</xdr:row>
      <xdr:rowOff>0</xdr:rowOff>
    </xdr:from>
    <xdr:ext cx="184731" cy="264560"/>
    <xdr:sp macro="" textlink="">
      <xdr:nvSpPr>
        <xdr:cNvPr id="416" name="CaixaDeTexto 415">
          <a:extLst>
            <a:ext uri="{FF2B5EF4-FFF2-40B4-BE49-F238E27FC236}">
              <a16:creationId xmlns="" xmlns:a16="http://schemas.microsoft.com/office/drawing/2014/main" id="{3E583FE9-D3FD-4C62-9641-0E4DB92A3113}"/>
            </a:ext>
          </a:extLst>
        </xdr:cNvPr>
        <xdr:cNvSpPr txBox="1"/>
      </xdr:nvSpPr>
      <xdr:spPr>
        <a:xfrm>
          <a:off x="2259106" y="2892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1324</xdr:row>
      <xdr:rowOff>0</xdr:rowOff>
    </xdr:from>
    <xdr:ext cx="184731" cy="264560"/>
    <xdr:sp macro="" textlink="">
      <xdr:nvSpPr>
        <xdr:cNvPr id="417" name="CaixaDeTexto 416">
          <a:extLst>
            <a:ext uri="{FF2B5EF4-FFF2-40B4-BE49-F238E27FC236}">
              <a16:creationId xmlns="" xmlns:a16="http://schemas.microsoft.com/office/drawing/2014/main" id="{59D6F445-D6A0-4401-A350-79656C0ECE11}"/>
            </a:ext>
          </a:extLst>
        </xdr:cNvPr>
        <xdr:cNvSpPr txBox="1"/>
      </xdr:nvSpPr>
      <xdr:spPr>
        <a:xfrm>
          <a:off x="2259106" y="2751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1328</xdr:row>
      <xdr:rowOff>0</xdr:rowOff>
    </xdr:from>
    <xdr:ext cx="184731" cy="264560"/>
    <xdr:sp macro="" textlink="">
      <xdr:nvSpPr>
        <xdr:cNvPr id="418" name="CaixaDeTexto 417">
          <a:extLst>
            <a:ext uri="{FF2B5EF4-FFF2-40B4-BE49-F238E27FC236}">
              <a16:creationId xmlns="" xmlns:a16="http://schemas.microsoft.com/office/drawing/2014/main" id="{C3ACDFB3-BA9A-4F27-AE6F-E1AE2648ABD8}"/>
            </a:ext>
          </a:extLst>
        </xdr:cNvPr>
        <xdr:cNvSpPr txBox="1"/>
      </xdr:nvSpPr>
      <xdr:spPr>
        <a:xfrm>
          <a:off x="2259106" y="2892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1324</xdr:row>
      <xdr:rowOff>0</xdr:rowOff>
    </xdr:from>
    <xdr:ext cx="184731" cy="264560"/>
    <xdr:sp macro="" textlink="">
      <xdr:nvSpPr>
        <xdr:cNvPr id="419" name="CaixaDeTexto 418">
          <a:extLst>
            <a:ext uri="{FF2B5EF4-FFF2-40B4-BE49-F238E27FC236}">
              <a16:creationId xmlns="" xmlns:a16="http://schemas.microsoft.com/office/drawing/2014/main" id="{AC95D06F-67A8-444A-9B88-06D18FD40CDB}"/>
            </a:ext>
          </a:extLst>
        </xdr:cNvPr>
        <xdr:cNvSpPr txBox="1"/>
      </xdr:nvSpPr>
      <xdr:spPr>
        <a:xfrm>
          <a:off x="2259106" y="2751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1328</xdr:row>
      <xdr:rowOff>0</xdr:rowOff>
    </xdr:from>
    <xdr:ext cx="184731" cy="264560"/>
    <xdr:sp macro="" textlink="">
      <xdr:nvSpPr>
        <xdr:cNvPr id="420" name="CaixaDeTexto 419">
          <a:extLst>
            <a:ext uri="{FF2B5EF4-FFF2-40B4-BE49-F238E27FC236}">
              <a16:creationId xmlns="" xmlns:a16="http://schemas.microsoft.com/office/drawing/2014/main" id="{DB1D44C8-8E06-4F91-BB50-13B6A737FD4E}"/>
            </a:ext>
          </a:extLst>
        </xdr:cNvPr>
        <xdr:cNvSpPr txBox="1"/>
      </xdr:nvSpPr>
      <xdr:spPr>
        <a:xfrm>
          <a:off x="2259106" y="2892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1328</xdr:row>
      <xdr:rowOff>0</xdr:rowOff>
    </xdr:from>
    <xdr:ext cx="184731" cy="264560"/>
    <xdr:sp macro="" textlink="">
      <xdr:nvSpPr>
        <xdr:cNvPr id="421" name="CaixaDeTexto 420">
          <a:extLst>
            <a:ext uri="{FF2B5EF4-FFF2-40B4-BE49-F238E27FC236}">
              <a16:creationId xmlns="" xmlns:a16="http://schemas.microsoft.com/office/drawing/2014/main" id="{3532AC26-7A66-4E63-9B5C-D1D57FAC6EA1}"/>
            </a:ext>
          </a:extLst>
        </xdr:cNvPr>
        <xdr:cNvSpPr txBox="1"/>
      </xdr:nvSpPr>
      <xdr:spPr>
        <a:xfrm>
          <a:off x="2259106" y="2892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1324</xdr:row>
      <xdr:rowOff>0</xdr:rowOff>
    </xdr:from>
    <xdr:ext cx="184731" cy="264560"/>
    <xdr:sp macro="" textlink="">
      <xdr:nvSpPr>
        <xdr:cNvPr id="422" name="CaixaDeTexto 421">
          <a:extLst>
            <a:ext uri="{FF2B5EF4-FFF2-40B4-BE49-F238E27FC236}">
              <a16:creationId xmlns="" xmlns:a16="http://schemas.microsoft.com/office/drawing/2014/main" id="{B47DB0A3-45F4-4D38-B6B7-977173287744}"/>
            </a:ext>
          </a:extLst>
        </xdr:cNvPr>
        <xdr:cNvSpPr txBox="1"/>
      </xdr:nvSpPr>
      <xdr:spPr>
        <a:xfrm>
          <a:off x="2259106" y="2751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1328</xdr:row>
      <xdr:rowOff>0</xdr:rowOff>
    </xdr:from>
    <xdr:ext cx="184731" cy="264560"/>
    <xdr:sp macro="" textlink="">
      <xdr:nvSpPr>
        <xdr:cNvPr id="423" name="CaixaDeTexto 422">
          <a:extLst>
            <a:ext uri="{FF2B5EF4-FFF2-40B4-BE49-F238E27FC236}">
              <a16:creationId xmlns="" xmlns:a16="http://schemas.microsoft.com/office/drawing/2014/main" id="{CE09A0C8-D2DF-4E8B-AFE4-4902A3AB4931}"/>
            </a:ext>
          </a:extLst>
        </xdr:cNvPr>
        <xdr:cNvSpPr txBox="1"/>
      </xdr:nvSpPr>
      <xdr:spPr>
        <a:xfrm>
          <a:off x="2259106" y="2892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1328</xdr:row>
      <xdr:rowOff>0</xdr:rowOff>
    </xdr:from>
    <xdr:ext cx="184731" cy="264560"/>
    <xdr:sp macro="" textlink="">
      <xdr:nvSpPr>
        <xdr:cNvPr id="424" name="CaixaDeTexto 423">
          <a:extLst>
            <a:ext uri="{FF2B5EF4-FFF2-40B4-BE49-F238E27FC236}">
              <a16:creationId xmlns="" xmlns:a16="http://schemas.microsoft.com/office/drawing/2014/main" id="{7AF77617-962C-4F08-B124-76E39F8E779A}"/>
            </a:ext>
          </a:extLst>
        </xdr:cNvPr>
        <xdr:cNvSpPr txBox="1"/>
      </xdr:nvSpPr>
      <xdr:spPr>
        <a:xfrm>
          <a:off x="2259106" y="2892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1327</xdr:row>
      <xdr:rowOff>0</xdr:rowOff>
    </xdr:from>
    <xdr:ext cx="184731" cy="264560"/>
    <xdr:sp macro="" textlink="">
      <xdr:nvSpPr>
        <xdr:cNvPr id="425" name="CaixaDeTexto 424">
          <a:extLst>
            <a:ext uri="{FF2B5EF4-FFF2-40B4-BE49-F238E27FC236}">
              <a16:creationId xmlns="" xmlns:a16="http://schemas.microsoft.com/office/drawing/2014/main" id="{8412AB5E-653C-4566-92CC-9FB62C760D6B}"/>
            </a:ext>
          </a:extLst>
        </xdr:cNvPr>
        <xdr:cNvSpPr txBox="1"/>
      </xdr:nvSpPr>
      <xdr:spPr>
        <a:xfrm>
          <a:off x="2259106" y="2857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1327</xdr:row>
      <xdr:rowOff>0</xdr:rowOff>
    </xdr:from>
    <xdr:ext cx="184731" cy="264560"/>
    <xdr:sp macro="" textlink="">
      <xdr:nvSpPr>
        <xdr:cNvPr id="426" name="CaixaDeTexto 425">
          <a:extLst>
            <a:ext uri="{FF2B5EF4-FFF2-40B4-BE49-F238E27FC236}">
              <a16:creationId xmlns="" xmlns:a16="http://schemas.microsoft.com/office/drawing/2014/main" id="{F54099A4-24FA-41F4-B35C-8B8AB547485D}"/>
            </a:ext>
          </a:extLst>
        </xdr:cNvPr>
        <xdr:cNvSpPr txBox="1"/>
      </xdr:nvSpPr>
      <xdr:spPr>
        <a:xfrm>
          <a:off x="2259106" y="2857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1328</xdr:row>
      <xdr:rowOff>0</xdr:rowOff>
    </xdr:from>
    <xdr:ext cx="184731" cy="264560"/>
    <xdr:sp macro="" textlink="">
      <xdr:nvSpPr>
        <xdr:cNvPr id="427" name="CaixaDeTexto 426">
          <a:extLst>
            <a:ext uri="{FF2B5EF4-FFF2-40B4-BE49-F238E27FC236}">
              <a16:creationId xmlns="" xmlns:a16="http://schemas.microsoft.com/office/drawing/2014/main" id="{82348580-F5C5-4356-8F03-3981B3A24C4E}"/>
            </a:ext>
          </a:extLst>
        </xdr:cNvPr>
        <xdr:cNvSpPr txBox="1"/>
      </xdr:nvSpPr>
      <xdr:spPr>
        <a:xfrm>
          <a:off x="2259106" y="2892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1327</xdr:row>
      <xdr:rowOff>0</xdr:rowOff>
    </xdr:from>
    <xdr:ext cx="184731" cy="264560"/>
    <xdr:sp macro="" textlink="">
      <xdr:nvSpPr>
        <xdr:cNvPr id="428" name="CaixaDeTexto 427">
          <a:extLst>
            <a:ext uri="{FF2B5EF4-FFF2-40B4-BE49-F238E27FC236}">
              <a16:creationId xmlns="" xmlns:a16="http://schemas.microsoft.com/office/drawing/2014/main" id="{4031FC1D-CD0B-4CAE-B3B4-C522BE559A0E}"/>
            </a:ext>
          </a:extLst>
        </xdr:cNvPr>
        <xdr:cNvSpPr txBox="1"/>
      </xdr:nvSpPr>
      <xdr:spPr>
        <a:xfrm>
          <a:off x="2259106" y="2857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1328</xdr:row>
      <xdr:rowOff>0</xdr:rowOff>
    </xdr:from>
    <xdr:ext cx="184731" cy="264560"/>
    <xdr:sp macro="" textlink="">
      <xdr:nvSpPr>
        <xdr:cNvPr id="429" name="CaixaDeTexto 428">
          <a:extLst>
            <a:ext uri="{FF2B5EF4-FFF2-40B4-BE49-F238E27FC236}">
              <a16:creationId xmlns="" xmlns:a16="http://schemas.microsoft.com/office/drawing/2014/main" id="{0370CF32-7682-4800-A72A-A338E91E6F24}"/>
            </a:ext>
          </a:extLst>
        </xdr:cNvPr>
        <xdr:cNvSpPr txBox="1"/>
      </xdr:nvSpPr>
      <xdr:spPr>
        <a:xfrm>
          <a:off x="2259106" y="2892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1327</xdr:row>
      <xdr:rowOff>0</xdr:rowOff>
    </xdr:from>
    <xdr:ext cx="184731" cy="264560"/>
    <xdr:sp macro="" textlink="">
      <xdr:nvSpPr>
        <xdr:cNvPr id="430" name="CaixaDeTexto 429">
          <a:extLst>
            <a:ext uri="{FF2B5EF4-FFF2-40B4-BE49-F238E27FC236}">
              <a16:creationId xmlns="" xmlns:a16="http://schemas.microsoft.com/office/drawing/2014/main" id="{EE1D3E33-0EE2-4DEC-94DF-32E325C16E14}"/>
            </a:ext>
          </a:extLst>
        </xdr:cNvPr>
        <xdr:cNvSpPr txBox="1"/>
      </xdr:nvSpPr>
      <xdr:spPr>
        <a:xfrm>
          <a:off x="2259106" y="2857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1327</xdr:row>
      <xdr:rowOff>0</xdr:rowOff>
    </xdr:from>
    <xdr:ext cx="184731" cy="264560"/>
    <xdr:sp macro="" textlink="">
      <xdr:nvSpPr>
        <xdr:cNvPr id="431" name="CaixaDeTexto 430">
          <a:extLst>
            <a:ext uri="{FF2B5EF4-FFF2-40B4-BE49-F238E27FC236}">
              <a16:creationId xmlns="" xmlns:a16="http://schemas.microsoft.com/office/drawing/2014/main" id="{BA5628B2-18DC-4376-BC17-B52CB29C804E}"/>
            </a:ext>
          </a:extLst>
        </xdr:cNvPr>
        <xdr:cNvSpPr txBox="1"/>
      </xdr:nvSpPr>
      <xdr:spPr>
        <a:xfrm>
          <a:off x="2259106" y="2857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1324</xdr:row>
      <xdr:rowOff>0</xdr:rowOff>
    </xdr:from>
    <xdr:ext cx="184731" cy="264560"/>
    <xdr:sp macro="" textlink="">
      <xdr:nvSpPr>
        <xdr:cNvPr id="432" name="CaixaDeTexto 431">
          <a:extLst>
            <a:ext uri="{FF2B5EF4-FFF2-40B4-BE49-F238E27FC236}">
              <a16:creationId xmlns="" xmlns:a16="http://schemas.microsoft.com/office/drawing/2014/main" id="{8ECAB024-7ACD-40CF-9462-450C413EABA0}"/>
            </a:ext>
          </a:extLst>
        </xdr:cNvPr>
        <xdr:cNvSpPr txBox="1"/>
      </xdr:nvSpPr>
      <xdr:spPr>
        <a:xfrm>
          <a:off x="2259106" y="2751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1328</xdr:row>
      <xdr:rowOff>0</xdr:rowOff>
    </xdr:from>
    <xdr:ext cx="184731" cy="264560"/>
    <xdr:sp macro="" textlink="">
      <xdr:nvSpPr>
        <xdr:cNvPr id="433" name="CaixaDeTexto 432">
          <a:extLst>
            <a:ext uri="{FF2B5EF4-FFF2-40B4-BE49-F238E27FC236}">
              <a16:creationId xmlns="" xmlns:a16="http://schemas.microsoft.com/office/drawing/2014/main" id="{DE7F900D-97A6-4D06-AC5D-448E8788D155}"/>
            </a:ext>
          </a:extLst>
        </xdr:cNvPr>
        <xdr:cNvSpPr txBox="1"/>
      </xdr:nvSpPr>
      <xdr:spPr>
        <a:xfrm>
          <a:off x="2259106" y="2892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1327</xdr:row>
      <xdr:rowOff>0</xdr:rowOff>
    </xdr:from>
    <xdr:ext cx="184731" cy="264560"/>
    <xdr:sp macro="" textlink="">
      <xdr:nvSpPr>
        <xdr:cNvPr id="434" name="CaixaDeTexto 433">
          <a:extLst>
            <a:ext uri="{FF2B5EF4-FFF2-40B4-BE49-F238E27FC236}">
              <a16:creationId xmlns="" xmlns:a16="http://schemas.microsoft.com/office/drawing/2014/main" id="{4F758A88-B64C-45CC-8198-B2CCB0552E9D}"/>
            </a:ext>
          </a:extLst>
        </xdr:cNvPr>
        <xdr:cNvSpPr txBox="1"/>
      </xdr:nvSpPr>
      <xdr:spPr>
        <a:xfrm>
          <a:off x="2259106" y="2857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1327</xdr:row>
      <xdr:rowOff>0</xdr:rowOff>
    </xdr:from>
    <xdr:ext cx="184731" cy="264560"/>
    <xdr:sp macro="" textlink="">
      <xdr:nvSpPr>
        <xdr:cNvPr id="435" name="CaixaDeTexto 434">
          <a:extLst>
            <a:ext uri="{FF2B5EF4-FFF2-40B4-BE49-F238E27FC236}">
              <a16:creationId xmlns="" xmlns:a16="http://schemas.microsoft.com/office/drawing/2014/main" id="{67B72E2B-B134-4724-BF54-CE2525EA6323}"/>
            </a:ext>
          </a:extLst>
        </xdr:cNvPr>
        <xdr:cNvSpPr txBox="1"/>
      </xdr:nvSpPr>
      <xdr:spPr>
        <a:xfrm>
          <a:off x="2259106" y="2857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1327</xdr:row>
      <xdr:rowOff>0</xdr:rowOff>
    </xdr:from>
    <xdr:ext cx="184731" cy="264560"/>
    <xdr:sp macro="" textlink="">
      <xdr:nvSpPr>
        <xdr:cNvPr id="436" name="CaixaDeTexto 435">
          <a:extLst>
            <a:ext uri="{FF2B5EF4-FFF2-40B4-BE49-F238E27FC236}">
              <a16:creationId xmlns="" xmlns:a16="http://schemas.microsoft.com/office/drawing/2014/main" id="{806D375C-E48B-4EC5-8D29-3C7C92438502}"/>
            </a:ext>
          </a:extLst>
        </xdr:cNvPr>
        <xdr:cNvSpPr txBox="1"/>
      </xdr:nvSpPr>
      <xdr:spPr>
        <a:xfrm>
          <a:off x="2259106" y="2857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1327</xdr:row>
      <xdr:rowOff>0</xdr:rowOff>
    </xdr:from>
    <xdr:ext cx="184731" cy="264560"/>
    <xdr:sp macro="" textlink="">
      <xdr:nvSpPr>
        <xdr:cNvPr id="437" name="CaixaDeTexto 436">
          <a:extLst>
            <a:ext uri="{FF2B5EF4-FFF2-40B4-BE49-F238E27FC236}">
              <a16:creationId xmlns="" xmlns:a16="http://schemas.microsoft.com/office/drawing/2014/main" id="{7A3BBFDA-FC80-49F0-8312-99838329A3C8}"/>
            </a:ext>
          </a:extLst>
        </xdr:cNvPr>
        <xdr:cNvSpPr txBox="1"/>
      </xdr:nvSpPr>
      <xdr:spPr>
        <a:xfrm>
          <a:off x="2259106" y="2857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1328</xdr:row>
      <xdr:rowOff>0</xdr:rowOff>
    </xdr:from>
    <xdr:ext cx="184731" cy="264560"/>
    <xdr:sp macro="" textlink="">
      <xdr:nvSpPr>
        <xdr:cNvPr id="438" name="CaixaDeTexto 437">
          <a:extLst>
            <a:ext uri="{FF2B5EF4-FFF2-40B4-BE49-F238E27FC236}">
              <a16:creationId xmlns="" xmlns:a16="http://schemas.microsoft.com/office/drawing/2014/main" id="{34364683-A52C-42FF-BF9C-33F0BA09ECF3}"/>
            </a:ext>
          </a:extLst>
        </xdr:cNvPr>
        <xdr:cNvSpPr txBox="1"/>
      </xdr:nvSpPr>
      <xdr:spPr>
        <a:xfrm>
          <a:off x="2259106" y="2892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1327</xdr:row>
      <xdr:rowOff>0</xdr:rowOff>
    </xdr:from>
    <xdr:ext cx="184731" cy="264560"/>
    <xdr:sp macro="" textlink="">
      <xdr:nvSpPr>
        <xdr:cNvPr id="439" name="CaixaDeTexto 438">
          <a:extLst>
            <a:ext uri="{FF2B5EF4-FFF2-40B4-BE49-F238E27FC236}">
              <a16:creationId xmlns="" xmlns:a16="http://schemas.microsoft.com/office/drawing/2014/main" id="{6C6A2F6F-EEA9-4CBA-9265-372765863E7D}"/>
            </a:ext>
          </a:extLst>
        </xdr:cNvPr>
        <xdr:cNvSpPr txBox="1"/>
      </xdr:nvSpPr>
      <xdr:spPr>
        <a:xfrm>
          <a:off x="2259106" y="2857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1327</xdr:row>
      <xdr:rowOff>0</xdr:rowOff>
    </xdr:from>
    <xdr:ext cx="184731" cy="264560"/>
    <xdr:sp macro="" textlink="">
      <xdr:nvSpPr>
        <xdr:cNvPr id="440" name="CaixaDeTexto 439">
          <a:extLst>
            <a:ext uri="{FF2B5EF4-FFF2-40B4-BE49-F238E27FC236}">
              <a16:creationId xmlns="" xmlns:a16="http://schemas.microsoft.com/office/drawing/2014/main" id="{683C1670-7434-442C-8110-08F9A454F808}"/>
            </a:ext>
          </a:extLst>
        </xdr:cNvPr>
        <xdr:cNvSpPr txBox="1"/>
      </xdr:nvSpPr>
      <xdr:spPr>
        <a:xfrm>
          <a:off x="2259106" y="2857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1330</xdr:row>
      <xdr:rowOff>0</xdr:rowOff>
    </xdr:from>
    <xdr:ext cx="184731" cy="264560"/>
    <xdr:sp macro="" textlink="">
      <xdr:nvSpPr>
        <xdr:cNvPr id="441" name="CaixaDeTexto 440">
          <a:extLst>
            <a:ext uri="{FF2B5EF4-FFF2-40B4-BE49-F238E27FC236}">
              <a16:creationId xmlns="" xmlns:a16="http://schemas.microsoft.com/office/drawing/2014/main" id="{C1617DE4-5F95-4649-8329-229B3A2A07BA}"/>
            </a:ext>
          </a:extLst>
        </xdr:cNvPr>
        <xdr:cNvSpPr txBox="1"/>
      </xdr:nvSpPr>
      <xdr:spPr>
        <a:xfrm>
          <a:off x="2259106" y="2963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1330</xdr:row>
      <xdr:rowOff>0</xdr:rowOff>
    </xdr:from>
    <xdr:ext cx="184731" cy="264560"/>
    <xdr:sp macro="" textlink="">
      <xdr:nvSpPr>
        <xdr:cNvPr id="442" name="CaixaDeTexto 441">
          <a:extLst>
            <a:ext uri="{FF2B5EF4-FFF2-40B4-BE49-F238E27FC236}">
              <a16:creationId xmlns="" xmlns:a16="http://schemas.microsoft.com/office/drawing/2014/main" id="{8697A1B9-B6FC-4D7D-AE74-05FB94C0E21C}"/>
            </a:ext>
          </a:extLst>
        </xdr:cNvPr>
        <xdr:cNvSpPr txBox="1"/>
      </xdr:nvSpPr>
      <xdr:spPr>
        <a:xfrm>
          <a:off x="2259106" y="2963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1330</xdr:row>
      <xdr:rowOff>0</xdr:rowOff>
    </xdr:from>
    <xdr:ext cx="184731" cy="264560"/>
    <xdr:sp macro="" textlink="">
      <xdr:nvSpPr>
        <xdr:cNvPr id="443" name="CaixaDeTexto 442">
          <a:extLst>
            <a:ext uri="{FF2B5EF4-FFF2-40B4-BE49-F238E27FC236}">
              <a16:creationId xmlns="" xmlns:a16="http://schemas.microsoft.com/office/drawing/2014/main" id="{7F964E8D-DBE7-4EA5-A5A6-3A55B26D5AD5}"/>
            </a:ext>
          </a:extLst>
        </xdr:cNvPr>
        <xdr:cNvSpPr txBox="1"/>
      </xdr:nvSpPr>
      <xdr:spPr>
        <a:xfrm>
          <a:off x="2259106" y="2963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1330</xdr:row>
      <xdr:rowOff>0</xdr:rowOff>
    </xdr:from>
    <xdr:ext cx="184731" cy="264560"/>
    <xdr:sp macro="" textlink="">
      <xdr:nvSpPr>
        <xdr:cNvPr id="444" name="CaixaDeTexto 443">
          <a:extLst>
            <a:ext uri="{FF2B5EF4-FFF2-40B4-BE49-F238E27FC236}">
              <a16:creationId xmlns="" xmlns:a16="http://schemas.microsoft.com/office/drawing/2014/main" id="{B832D7CA-F4CB-44D2-A77C-FDE8062487FD}"/>
            </a:ext>
          </a:extLst>
        </xdr:cNvPr>
        <xdr:cNvSpPr txBox="1"/>
      </xdr:nvSpPr>
      <xdr:spPr>
        <a:xfrm>
          <a:off x="2259106" y="2963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1330</xdr:row>
      <xdr:rowOff>0</xdr:rowOff>
    </xdr:from>
    <xdr:ext cx="184731" cy="264560"/>
    <xdr:sp macro="" textlink="">
      <xdr:nvSpPr>
        <xdr:cNvPr id="445" name="CaixaDeTexto 444">
          <a:extLst>
            <a:ext uri="{FF2B5EF4-FFF2-40B4-BE49-F238E27FC236}">
              <a16:creationId xmlns="" xmlns:a16="http://schemas.microsoft.com/office/drawing/2014/main" id="{9C29DA1D-5E98-4641-98EE-3EE3D2C4B199}"/>
            </a:ext>
          </a:extLst>
        </xdr:cNvPr>
        <xdr:cNvSpPr txBox="1"/>
      </xdr:nvSpPr>
      <xdr:spPr>
        <a:xfrm>
          <a:off x="2259106" y="2963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1330</xdr:row>
      <xdr:rowOff>0</xdr:rowOff>
    </xdr:from>
    <xdr:ext cx="184731" cy="264560"/>
    <xdr:sp macro="" textlink="">
      <xdr:nvSpPr>
        <xdr:cNvPr id="446" name="CaixaDeTexto 445">
          <a:extLst>
            <a:ext uri="{FF2B5EF4-FFF2-40B4-BE49-F238E27FC236}">
              <a16:creationId xmlns="" xmlns:a16="http://schemas.microsoft.com/office/drawing/2014/main" id="{4B2B8354-E6FD-4826-A2BA-EA89F79E9820}"/>
            </a:ext>
          </a:extLst>
        </xdr:cNvPr>
        <xdr:cNvSpPr txBox="1"/>
      </xdr:nvSpPr>
      <xdr:spPr>
        <a:xfrm>
          <a:off x="2259106" y="2963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1330</xdr:row>
      <xdr:rowOff>0</xdr:rowOff>
    </xdr:from>
    <xdr:ext cx="184731" cy="264560"/>
    <xdr:sp macro="" textlink="">
      <xdr:nvSpPr>
        <xdr:cNvPr id="447" name="CaixaDeTexto 446">
          <a:extLst>
            <a:ext uri="{FF2B5EF4-FFF2-40B4-BE49-F238E27FC236}">
              <a16:creationId xmlns="" xmlns:a16="http://schemas.microsoft.com/office/drawing/2014/main" id="{0B834C42-C6F4-4858-8CF6-A73255BCB1DA}"/>
            </a:ext>
          </a:extLst>
        </xdr:cNvPr>
        <xdr:cNvSpPr txBox="1"/>
      </xdr:nvSpPr>
      <xdr:spPr>
        <a:xfrm>
          <a:off x="2259106" y="2963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1330</xdr:row>
      <xdr:rowOff>0</xdr:rowOff>
    </xdr:from>
    <xdr:ext cx="184731" cy="264560"/>
    <xdr:sp macro="" textlink="">
      <xdr:nvSpPr>
        <xdr:cNvPr id="448" name="CaixaDeTexto 447">
          <a:extLst>
            <a:ext uri="{FF2B5EF4-FFF2-40B4-BE49-F238E27FC236}">
              <a16:creationId xmlns="" xmlns:a16="http://schemas.microsoft.com/office/drawing/2014/main" id="{B6C010F5-EB66-4B47-ADE4-4D60905C78A8}"/>
            </a:ext>
          </a:extLst>
        </xdr:cNvPr>
        <xdr:cNvSpPr txBox="1"/>
      </xdr:nvSpPr>
      <xdr:spPr>
        <a:xfrm>
          <a:off x="2259106" y="2963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1330</xdr:row>
      <xdr:rowOff>0</xdr:rowOff>
    </xdr:from>
    <xdr:ext cx="184731" cy="264560"/>
    <xdr:sp macro="" textlink="">
      <xdr:nvSpPr>
        <xdr:cNvPr id="449" name="CaixaDeTexto 448">
          <a:extLst>
            <a:ext uri="{FF2B5EF4-FFF2-40B4-BE49-F238E27FC236}">
              <a16:creationId xmlns="" xmlns:a16="http://schemas.microsoft.com/office/drawing/2014/main" id="{EC0BE51C-FA3C-43FD-AAA8-3D1EF609AC19}"/>
            </a:ext>
          </a:extLst>
        </xdr:cNvPr>
        <xdr:cNvSpPr txBox="1"/>
      </xdr:nvSpPr>
      <xdr:spPr>
        <a:xfrm>
          <a:off x="2259106" y="2963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1330</xdr:row>
      <xdr:rowOff>0</xdr:rowOff>
    </xdr:from>
    <xdr:ext cx="184731" cy="264560"/>
    <xdr:sp macro="" textlink="">
      <xdr:nvSpPr>
        <xdr:cNvPr id="450" name="CaixaDeTexto 449">
          <a:extLst>
            <a:ext uri="{FF2B5EF4-FFF2-40B4-BE49-F238E27FC236}">
              <a16:creationId xmlns="" xmlns:a16="http://schemas.microsoft.com/office/drawing/2014/main" id="{8C99C960-0E88-457B-BECE-558A323AB200}"/>
            </a:ext>
          </a:extLst>
        </xdr:cNvPr>
        <xdr:cNvSpPr txBox="1"/>
      </xdr:nvSpPr>
      <xdr:spPr>
        <a:xfrm>
          <a:off x="2259106" y="2963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1330</xdr:row>
      <xdr:rowOff>0</xdr:rowOff>
    </xdr:from>
    <xdr:ext cx="184731" cy="264560"/>
    <xdr:sp macro="" textlink="">
      <xdr:nvSpPr>
        <xdr:cNvPr id="451" name="CaixaDeTexto 450">
          <a:extLst>
            <a:ext uri="{FF2B5EF4-FFF2-40B4-BE49-F238E27FC236}">
              <a16:creationId xmlns="" xmlns:a16="http://schemas.microsoft.com/office/drawing/2014/main" id="{52923D5C-4FC0-4DBA-821E-FCF36FD773C9}"/>
            </a:ext>
          </a:extLst>
        </xdr:cNvPr>
        <xdr:cNvSpPr txBox="1"/>
      </xdr:nvSpPr>
      <xdr:spPr>
        <a:xfrm>
          <a:off x="2259106" y="2963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2</xdr:col>
      <xdr:colOff>2893787</xdr:colOff>
      <xdr:row>1</xdr:row>
      <xdr:rowOff>47625</xdr:rowOff>
    </xdr:from>
    <xdr:to>
      <xdr:col>4</xdr:col>
      <xdr:colOff>523875</xdr:colOff>
      <xdr:row>1</xdr:row>
      <xdr:rowOff>841375</xdr:rowOff>
    </xdr:to>
    <xdr:pic>
      <xdr:nvPicPr>
        <xdr:cNvPr id="2" name="Imagem 1" descr="PREFEITURA DE VÁRZEA GRANDE.PNG">
          <a:extLst>
            <a:ext uri="{FF2B5EF4-FFF2-40B4-BE49-F238E27FC236}">
              <a16:creationId xmlns="" xmlns:a16="http://schemas.microsoft.com/office/drawing/2014/main" id="{00000000-0008-0000-0700-000002000000}"/>
            </a:ext>
          </a:extLst>
        </xdr:cNvPr>
        <xdr:cNvPicPr>
          <a:picLocks noChangeAspect="1"/>
        </xdr:cNvPicPr>
      </xdr:nvPicPr>
      <xdr:blipFill>
        <a:blip xmlns:r="http://schemas.openxmlformats.org/officeDocument/2006/relationships" r:embed="rId1" cstate="print"/>
        <a:stretch>
          <a:fillRect/>
        </a:stretch>
      </xdr:blipFill>
      <xdr:spPr>
        <a:xfrm>
          <a:off x="4227287" y="222250"/>
          <a:ext cx="3345088" cy="793750"/>
        </a:xfrm>
        <a:prstGeom prst="rect">
          <a:avLst/>
        </a:prstGeom>
      </xdr:spPr>
    </xdr:pic>
    <xdr:clientData/>
  </xdr:twoCellAnchor>
  <xdr:twoCellAnchor editAs="oneCell">
    <xdr:from>
      <xdr:col>1</xdr:col>
      <xdr:colOff>122463</xdr:colOff>
      <xdr:row>1</xdr:row>
      <xdr:rowOff>29483</xdr:rowOff>
    </xdr:from>
    <xdr:to>
      <xdr:col>2</xdr:col>
      <xdr:colOff>1222374</xdr:colOff>
      <xdr:row>1</xdr:row>
      <xdr:rowOff>848733</xdr:rowOff>
    </xdr:to>
    <xdr:pic>
      <xdr:nvPicPr>
        <xdr:cNvPr id="3" name="Imagem 1">
          <a:extLst>
            <a:ext uri="{FF2B5EF4-FFF2-40B4-BE49-F238E27FC236}">
              <a16:creationId xmlns="" xmlns:a16="http://schemas.microsoft.com/office/drawing/2014/main" id="{00000000-0008-0000-0700-000003000000}"/>
            </a:ext>
          </a:extLst>
        </xdr:cNvPr>
        <xdr:cNvPicPr>
          <a:picLocks noChangeAspect="1"/>
        </xdr:cNvPicPr>
      </xdr:nvPicPr>
      <xdr:blipFill>
        <a:blip xmlns:r="http://schemas.openxmlformats.org/officeDocument/2006/relationships" r:embed="rId2" cstate="print"/>
        <a:srcRect/>
        <a:stretch>
          <a:fillRect/>
        </a:stretch>
      </xdr:blipFill>
      <xdr:spPr bwMode="auto">
        <a:xfrm>
          <a:off x="725713" y="204108"/>
          <a:ext cx="1830161" cy="819250"/>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311727</xdr:colOff>
      <xdr:row>1</xdr:row>
      <xdr:rowOff>149679</xdr:rowOff>
    </xdr:from>
    <xdr:to>
      <xdr:col>10</xdr:col>
      <xdr:colOff>902272</xdr:colOff>
      <xdr:row>1</xdr:row>
      <xdr:rowOff>1308155</xdr:rowOff>
    </xdr:to>
    <xdr:pic>
      <xdr:nvPicPr>
        <xdr:cNvPr id="4" name="Imagem 3" descr="PREFEITURA DE VÁRZEA GRANDE.PNG">
          <a:extLst>
            <a:ext uri="{FF2B5EF4-FFF2-40B4-BE49-F238E27FC236}">
              <a16:creationId xmlns="" xmlns:a16="http://schemas.microsoft.com/office/drawing/2014/main" id="{A6C4D985-E1DD-405B-A9D4-BD3CFCE5A573}"/>
            </a:ext>
          </a:extLst>
        </xdr:cNvPr>
        <xdr:cNvPicPr>
          <a:picLocks noChangeAspect="1"/>
        </xdr:cNvPicPr>
      </xdr:nvPicPr>
      <xdr:blipFill>
        <a:blip xmlns:r="http://schemas.openxmlformats.org/officeDocument/2006/relationships" r:embed="rId1" cstate="print"/>
        <a:stretch>
          <a:fillRect/>
        </a:stretch>
      </xdr:blipFill>
      <xdr:spPr>
        <a:xfrm>
          <a:off x="10079182" y="340179"/>
          <a:ext cx="6115045" cy="1158476"/>
        </a:xfrm>
        <a:prstGeom prst="rect">
          <a:avLst/>
        </a:prstGeom>
      </xdr:spPr>
    </xdr:pic>
    <xdr:clientData/>
  </xdr:twoCellAnchor>
  <xdr:twoCellAnchor editAs="oneCell">
    <xdr:from>
      <xdr:col>1</xdr:col>
      <xdr:colOff>126467</xdr:colOff>
      <xdr:row>1</xdr:row>
      <xdr:rowOff>68036</xdr:rowOff>
    </xdr:from>
    <xdr:to>
      <xdr:col>4</xdr:col>
      <xdr:colOff>1524000</xdr:colOff>
      <xdr:row>1</xdr:row>
      <xdr:rowOff>1373583</xdr:rowOff>
    </xdr:to>
    <xdr:pic>
      <xdr:nvPicPr>
        <xdr:cNvPr id="5" name="Imagem 1">
          <a:extLst>
            <a:ext uri="{FF2B5EF4-FFF2-40B4-BE49-F238E27FC236}">
              <a16:creationId xmlns="" xmlns:a16="http://schemas.microsoft.com/office/drawing/2014/main" id="{BA506172-83B4-4B7D-A164-1550CC7B4384}"/>
            </a:ext>
          </a:extLst>
        </xdr:cNvPr>
        <xdr:cNvPicPr>
          <a:picLocks noChangeAspect="1"/>
        </xdr:cNvPicPr>
      </xdr:nvPicPr>
      <xdr:blipFill>
        <a:blip xmlns:r="http://schemas.openxmlformats.org/officeDocument/2006/relationships" r:embed="rId2" cstate="print"/>
        <a:srcRect/>
        <a:stretch>
          <a:fillRect/>
        </a:stretch>
      </xdr:blipFill>
      <xdr:spPr bwMode="auto">
        <a:xfrm>
          <a:off x="1390694" y="258536"/>
          <a:ext cx="4324306" cy="1305547"/>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571502</xdr:colOff>
      <xdr:row>1</xdr:row>
      <xdr:rowOff>95250</xdr:rowOff>
    </xdr:from>
    <xdr:to>
      <xdr:col>7</xdr:col>
      <xdr:colOff>968739</xdr:colOff>
      <xdr:row>1</xdr:row>
      <xdr:rowOff>1170198</xdr:rowOff>
    </xdr:to>
    <xdr:pic>
      <xdr:nvPicPr>
        <xdr:cNvPr id="2" name="Imagem 1" descr="PREFEITURA DE VÁRZEA GRANDE.PNG">
          <a:extLst>
            <a:ext uri="{FF2B5EF4-FFF2-40B4-BE49-F238E27FC236}">
              <a16:creationId xmlns="" xmlns:a16="http://schemas.microsoft.com/office/drawing/2014/main" id="{00000000-0008-0000-0400-000002000000}"/>
            </a:ext>
          </a:extLst>
        </xdr:cNvPr>
        <xdr:cNvPicPr>
          <a:picLocks noChangeAspect="1"/>
        </xdr:cNvPicPr>
      </xdr:nvPicPr>
      <xdr:blipFill>
        <a:blip xmlns:r="http://schemas.openxmlformats.org/officeDocument/2006/relationships" r:embed="rId1" cstate="print"/>
        <a:stretch>
          <a:fillRect/>
        </a:stretch>
      </xdr:blipFill>
      <xdr:spPr>
        <a:xfrm>
          <a:off x="7347859" y="693964"/>
          <a:ext cx="4794818" cy="1074948"/>
        </a:xfrm>
        <a:prstGeom prst="rect">
          <a:avLst/>
        </a:prstGeom>
      </xdr:spPr>
    </xdr:pic>
    <xdr:clientData/>
  </xdr:twoCellAnchor>
  <xdr:twoCellAnchor editAs="oneCell">
    <xdr:from>
      <xdr:col>1</xdr:col>
      <xdr:colOff>122464</xdr:colOff>
      <xdr:row>1</xdr:row>
      <xdr:rowOff>108858</xdr:rowOff>
    </xdr:from>
    <xdr:to>
      <xdr:col>2</xdr:col>
      <xdr:colOff>3116035</xdr:colOff>
      <xdr:row>1</xdr:row>
      <xdr:rowOff>1183641</xdr:rowOff>
    </xdr:to>
    <xdr:pic>
      <xdr:nvPicPr>
        <xdr:cNvPr id="3" name="Imagem 1">
          <a:extLst>
            <a:ext uri="{FF2B5EF4-FFF2-40B4-BE49-F238E27FC236}">
              <a16:creationId xmlns="" xmlns:a16="http://schemas.microsoft.com/office/drawing/2014/main" id="{00000000-0008-0000-0400-000003000000}"/>
            </a:ext>
          </a:extLst>
        </xdr:cNvPr>
        <xdr:cNvPicPr>
          <a:picLocks noChangeAspect="1"/>
        </xdr:cNvPicPr>
      </xdr:nvPicPr>
      <xdr:blipFill>
        <a:blip xmlns:r="http://schemas.openxmlformats.org/officeDocument/2006/relationships" r:embed="rId2" cstate="print"/>
        <a:srcRect/>
        <a:stretch>
          <a:fillRect/>
        </a:stretch>
      </xdr:blipFill>
      <xdr:spPr bwMode="auto">
        <a:xfrm>
          <a:off x="734785" y="707572"/>
          <a:ext cx="3714750" cy="1074783"/>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4</xdr:col>
      <xdr:colOff>2425810</xdr:colOff>
      <xdr:row>1</xdr:row>
      <xdr:rowOff>62963</xdr:rowOff>
    </xdr:from>
    <xdr:to>
      <xdr:col>6</xdr:col>
      <xdr:colOff>584426</xdr:colOff>
      <xdr:row>1</xdr:row>
      <xdr:rowOff>1221439</xdr:rowOff>
    </xdr:to>
    <xdr:pic>
      <xdr:nvPicPr>
        <xdr:cNvPr id="4" name="Imagem 3" descr="PREFEITURA DE VÁRZEA GRANDE.PNG">
          <a:extLst>
            <a:ext uri="{FF2B5EF4-FFF2-40B4-BE49-F238E27FC236}">
              <a16:creationId xmlns="" xmlns:a16="http://schemas.microsoft.com/office/drawing/2014/main" id="{37307F57-C302-43FB-A693-6A704BCDB7F1}"/>
            </a:ext>
          </a:extLst>
        </xdr:cNvPr>
        <xdr:cNvPicPr>
          <a:picLocks noChangeAspect="1"/>
        </xdr:cNvPicPr>
      </xdr:nvPicPr>
      <xdr:blipFill>
        <a:blip xmlns:r="http://schemas.openxmlformats.org/officeDocument/2006/relationships" r:embed="rId1" cstate="print"/>
        <a:stretch>
          <a:fillRect/>
        </a:stretch>
      </xdr:blipFill>
      <xdr:spPr>
        <a:xfrm>
          <a:off x="6011692" y="219845"/>
          <a:ext cx="4882147" cy="1158476"/>
        </a:xfrm>
        <a:prstGeom prst="rect">
          <a:avLst/>
        </a:prstGeom>
      </xdr:spPr>
    </xdr:pic>
    <xdr:clientData/>
  </xdr:twoCellAnchor>
  <xdr:twoCellAnchor editAs="oneCell">
    <xdr:from>
      <xdr:col>1</xdr:col>
      <xdr:colOff>212913</xdr:colOff>
      <xdr:row>1</xdr:row>
      <xdr:rowOff>177169</xdr:rowOff>
    </xdr:from>
    <xdr:to>
      <xdr:col>4</xdr:col>
      <xdr:colOff>1106403</xdr:colOff>
      <xdr:row>1</xdr:row>
      <xdr:rowOff>1176618</xdr:rowOff>
    </xdr:to>
    <xdr:pic>
      <xdr:nvPicPr>
        <xdr:cNvPr id="5" name="Imagem 1">
          <a:extLst>
            <a:ext uri="{FF2B5EF4-FFF2-40B4-BE49-F238E27FC236}">
              <a16:creationId xmlns="" xmlns:a16="http://schemas.microsoft.com/office/drawing/2014/main" id="{C78036F3-9923-4D70-85EC-DF6E3C3A920A}"/>
            </a:ext>
          </a:extLst>
        </xdr:cNvPr>
        <xdr:cNvPicPr>
          <a:picLocks noChangeAspect="1"/>
        </xdr:cNvPicPr>
      </xdr:nvPicPr>
      <xdr:blipFill>
        <a:blip xmlns:r="http://schemas.openxmlformats.org/officeDocument/2006/relationships" r:embed="rId2" cstate="print"/>
        <a:srcRect/>
        <a:stretch>
          <a:fillRect/>
        </a:stretch>
      </xdr:blipFill>
      <xdr:spPr bwMode="auto">
        <a:xfrm>
          <a:off x="918884" y="334051"/>
          <a:ext cx="3773401" cy="999449"/>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dimension ref="A1:G11814"/>
  <sheetViews>
    <sheetView zoomScale="85" zoomScaleNormal="85" workbookViewId="0">
      <selection activeCell="B18" sqref="B18"/>
    </sheetView>
  </sheetViews>
  <sheetFormatPr defaultRowHeight="12.75"/>
  <cols>
    <col min="1" max="1" width="10.7109375" style="254" customWidth="1"/>
    <col min="2" max="2" width="91.5703125" style="253" customWidth="1"/>
    <col min="3" max="3" width="10.7109375" style="254" customWidth="1"/>
    <col min="4" max="4" width="12.85546875" style="604" bestFit="1" customWidth="1"/>
    <col min="5" max="6" width="9.140625" style="7"/>
    <col min="7" max="7" width="11.85546875" style="7" customWidth="1"/>
    <col min="8" max="16384" width="9.140625" style="7"/>
  </cols>
  <sheetData>
    <row r="1" spans="1:4" ht="25.5">
      <c r="A1" s="401">
        <v>41758</v>
      </c>
      <c r="B1" s="411" t="s">
        <v>7156</v>
      </c>
      <c r="C1" s="401" t="s">
        <v>998</v>
      </c>
      <c r="D1" s="600">
        <v>147.96</v>
      </c>
    </row>
    <row r="2" spans="1:4" ht="25.5">
      <c r="A2" s="401">
        <v>1363</v>
      </c>
      <c r="B2" s="411" t="s">
        <v>7157</v>
      </c>
      <c r="C2" s="401" t="s">
        <v>1003</v>
      </c>
      <c r="D2" s="600">
        <v>18.13</v>
      </c>
    </row>
    <row r="3" spans="1:4" ht="25.5">
      <c r="A3" s="401">
        <v>1344</v>
      </c>
      <c r="B3" s="411" t="s">
        <v>7158</v>
      </c>
      <c r="C3" s="401" t="s">
        <v>998</v>
      </c>
      <c r="D3" s="600">
        <v>45.79</v>
      </c>
    </row>
    <row r="4" spans="1:4" ht="25.5">
      <c r="A4" s="401">
        <v>1342</v>
      </c>
      <c r="B4" s="411" t="s">
        <v>7159</v>
      </c>
      <c r="C4" s="401" t="s">
        <v>998</v>
      </c>
      <c r="D4" s="600">
        <v>80.94</v>
      </c>
    </row>
    <row r="5" spans="1:4" ht="25.5">
      <c r="A5" s="401">
        <v>1349</v>
      </c>
      <c r="B5" s="411" t="s">
        <v>7160</v>
      </c>
      <c r="C5" s="401" t="s">
        <v>998</v>
      </c>
      <c r="D5" s="600">
        <v>115.43</v>
      </c>
    </row>
    <row r="6" spans="1:4" ht="25.5">
      <c r="A6" s="401">
        <v>1350</v>
      </c>
      <c r="B6" s="411" t="s">
        <v>7161</v>
      </c>
      <c r="C6" s="401" t="s">
        <v>998</v>
      </c>
      <c r="D6" s="600">
        <v>39.5</v>
      </c>
    </row>
    <row r="7" spans="1:4" ht="25.5">
      <c r="A7" s="401">
        <v>1357</v>
      </c>
      <c r="B7" s="411" t="s">
        <v>7162</v>
      </c>
      <c r="C7" s="401" t="s">
        <v>998</v>
      </c>
      <c r="D7" s="600">
        <v>50.32</v>
      </c>
    </row>
    <row r="8" spans="1:4" ht="25.5">
      <c r="A8" s="401">
        <v>1359</v>
      </c>
      <c r="B8" s="411" t="s">
        <v>7163</v>
      </c>
      <c r="C8" s="401" t="s">
        <v>998</v>
      </c>
      <c r="D8" s="600">
        <v>77.73</v>
      </c>
    </row>
    <row r="9" spans="1:4" ht="25.5">
      <c r="A9" s="401">
        <v>1351</v>
      </c>
      <c r="B9" s="411" t="s">
        <v>7164</v>
      </c>
      <c r="C9" s="401" t="s">
        <v>998</v>
      </c>
      <c r="D9" s="600">
        <v>25.05</v>
      </c>
    </row>
    <row r="10" spans="1:4" ht="25.5">
      <c r="A10" s="401">
        <v>3113</v>
      </c>
      <c r="B10" s="411" t="s">
        <v>7165</v>
      </c>
      <c r="C10" s="401" t="s">
        <v>1006</v>
      </c>
      <c r="D10" s="600">
        <v>64.55</v>
      </c>
    </row>
    <row r="11" spans="1:4" ht="25.5">
      <c r="A11" s="401">
        <v>2404</v>
      </c>
      <c r="B11" s="411" t="s">
        <v>7166</v>
      </c>
      <c r="C11" s="401" t="s">
        <v>1003</v>
      </c>
      <c r="D11" s="600">
        <v>93</v>
      </c>
    </row>
    <row r="12" spans="1:4" ht="25.5">
      <c r="A12" s="401">
        <v>2418</v>
      </c>
      <c r="B12" s="411" t="s">
        <v>7167</v>
      </c>
      <c r="C12" s="401" t="s">
        <v>998</v>
      </c>
      <c r="D12" s="600">
        <v>7.25</v>
      </c>
    </row>
    <row r="13" spans="1:4" ht="25.5">
      <c r="A13" s="401">
        <v>2720</v>
      </c>
      <c r="B13" s="411" t="s">
        <v>7168</v>
      </c>
      <c r="C13" s="401" t="s">
        <v>1001</v>
      </c>
      <c r="D13" s="600">
        <v>171.31</v>
      </c>
    </row>
    <row r="14" spans="1:4" ht="38.25">
      <c r="A14" s="401">
        <v>2719</v>
      </c>
      <c r="B14" s="411" t="s">
        <v>7169</v>
      </c>
      <c r="C14" s="401" t="s">
        <v>1001</v>
      </c>
      <c r="D14" s="600">
        <v>145.15</v>
      </c>
    </row>
    <row r="15" spans="1:4" ht="25.5">
      <c r="A15" s="401">
        <v>6086</v>
      </c>
      <c r="B15" s="411" t="s">
        <v>7170</v>
      </c>
      <c r="C15" s="401" t="s">
        <v>1008</v>
      </c>
      <c r="D15" s="600">
        <v>70.569999999999993</v>
      </c>
    </row>
    <row r="16" spans="1:4" ht="38.25">
      <c r="A16" s="401">
        <v>38968</v>
      </c>
      <c r="B16" s="411" t="s">
        <v>7171</v>
      </c>
      <c r="C16" s="401" t="s">
        <v>1003</v>
      </c>
      <c r="D16" s="600">
        <v>336.94</v>
      </c>
    </row>
    <row r="17" spans="1:4" ht="25.5">
      <c r="A17" s="401">
        <v>3378</v>
      </c>
      <c r="B17" s="411" t="s">
        <v>7172</v>
      </c>
      <c r="C17" s="401" t="s">
        <v>998</v>
      </c>
      <c r="D17" s="600">
        <v>51.61</v>
      </c>
    </row>
    <row r="18" spans="1:4" ht="38.25">
      <c r="A18" s="401">
        <v>3380</v>
      </c>
      <c r="B18" s="411" t="s">
        <v>7173</v>
      </c>
      <c r="C18" s="401" t="s">
        <v>998</v>
      </c>
      <c r="D18" s="600">
        <v>36.130000000000003</v>
      </c>
    </row>
    <row r="19" spans="1:4" ht="25.5">
      <c r="A19" s="401">
        <v>3379</v>
      </c>
      <c r="B19" s="411" t="s">
        <v>7174</v>
      </c>
      <c r="C19" s="401" t="s">
        <v>998</v>
      </c>
      <c r="D19" s="600">
        <v>34.880000000000003</v>
      </c>
    </row>
    <row r="20" spans="1:4" ht="25.5">
      <c r="A20" s="401">
        <v>615</v>
      </c>
      <c r="B20" s="411" t="s">
        <v>7175</v>
      </c>
      <c r="C20" s="401" t="s">
        <v>1003</v>
      </c>
      <c r="D20" s="600">
        <v>398.39</v>
      </c>
    </row>
    <row r="21" spans="1:4" ht="38.25">
      <c r="A21" s="401">
        <v>606</v>
      </c>
      <c r="B21" s="411" t="s">
        <v>7176</v>
      </c>
      <c r="C21" s="401" t="s">
        <v>1003</v>
      </c>
      <c r="D21" s="600">
        <v>625.83000000000004</v>
      </c>
    </row>
    <row r="22" spans="1:4" ht="38.25">
      <c r="A22" s="401">
        <v>11193</v>
      </c>
      <c r="B22" s="411" t="s">
        <v>7177</v>
      </c>
      <c r="C22" s="401" t="s">
        <v>1003</v>
      </c>
      <c r="D22" s="600">
        <v>634.53</v>
      </c>
    </row>
    <row r="23" spans="1:4" ht="38.25">
      <c r="A23" s="401">
        <v>11197</v>
      </c>
      <c r="B23" s="411" t="s">
        <v>7178</v>
      </c>
      <c r="C23" s="401" t="s">
        <v>998</v>
      </c>
      <c r="D23" s="600">
        <v>868.99</v>
      </c>
    </row>
    <row r="24" spans="1:4" ht="25.5">
      <c r="A24" s="401">
        <v>3346</v>
      </c>
      <c r="B24" s="411" t="s">
        <v>7179</v>
      </c>
      <c r="C24" s="401" t="s">
        <v>1001</v>
      </c>
      <c r="D24" s="600">
        <v>13.5</v>
      </c>
    </row>
    <row r="25" spans="1:4" ht="25.5">
      <c r="A25" s="401">
        <v>3348</v>
      </c>
      <c r="B25" s="411" t="s">
        <v>7180</v>
      </c>
      <c r="C25" s="401" t="s">
        <v>1001</v>
      </c>
      <c r="D25" s="600">
        <v>16.149999999999999</v>
      </c>
    </row>
    <row r="26" spans="1:4" ht="25.5">
      <c r="A26" s="401">
        <v>3345</v>
      </c>
      <c r="B26" s="411" t="s">
        <v>7181</v>
      </c>
      <c r="C26" s="401" t="s">
        <v>1001</v>
      </c>
      <c r="D26" s="600">
        <v>10.43</v>
      </c>
    </row>
    <row r="27" spans="1:4" ht="25.5">
      <c r="A27" s="401">
        <v>39833</v>
      </c>
      <c r="B27" s="411" t="s">
        <v>7182</v>
      </c>
      <c r="C27" s="401" t="s">
        <v>1001</v>
      </c>
      <c r="D27" s="600">
        <v>22.12</v>
      </c>
    </row>
    <row r="28" spans="1:4" ht="25.5">
      <c r="A28" s="401">
        <v>39834</v>
      </c>
      <c r="B28" s="411" t="s">
        <v>7183</v>
      </c>
      <c r="C28" s="401" t="s">
        <v>1001</v>
      </c>
      <c r="D28" s="600">
        <v>37.96</v>
      </c>
    </row>
    <row r="29" spans="1:4" ht="25.5">
      <c r="A29" s="401">
        <v>39835</v>
      </c>
      <c r="B29" s="411" t="s">
        <v>7184</v>
      </c>
      <c r="C29" s="401" t="s">
        <v>1001</v>
      </c>
      <c r="D29" s="600">
        <v>46.28</v>
      </c>
    </row>
    <row r="30" spans="1:4">
      <c r="A30" s="401">
        <v>3779</v>
      </c>
      <c r="B30" s="411" t="s">
        <v>7185</v>
      </c>
      <c r="C30" s="401" t="s">
        <v>1002</v>
      </c>
      <c r="D30" s="600">
        <v>7.66</v>
      </c>
    </row>
    <row r="31" spans="1:4" ht="25.5">
      <c r="A31" s="401">
        <v>13382</v>
      </c>
      <c r="B31" s="411" t="s">
        <v>7186</v>
      </c>
      <c r="C31" s="401" t="s">
        <v>998</v>
      </c>
      <c r="D31" s="600">
        <v>188.86</v>
      </c>
    </row>
    <row r="32" spans="1:4">
      <c r="A32" s="401">
        <v>4051</v>
      </c>
      <c r="B32" s="411" t="s">
        <v>7187</v>
      </c>
      <c r="C32" s="401" t="s">
        <v>1009</v>
      </c>
      <c r="D32" s="600">
        <v>71.400000000000006</v>
      </c>
    </row>
    <row r="33" spans="1:4">
      <c r="A33" s="401">
        <v>4047</v>
      </c>
      <c r="B33" s="411" t="s">
        <v>7187</v>
      </c>
      <c r="C33" s="401" t="s">
        <v>1008</v>
      </c>
      <c r="D33" s="600">
        <v>14.28</v>
      </c>
    </row>
    <row r="34" spans="1:4" ht="25.5">
      <c r="A34" s="401">
        <v>11367</v>
      </c>
      <c r="B34" s="411" t="s">
        <v>7188</v>
      </c>
      <c r="C34" s="401" t="s">
        <v>1003</v>
      </c>
      <c r="D34" s="600">
        <v>112.36</v>
      </c>
    </row>
    <row r="35" spans="1:4" ht="38.25">
      <c r="A35" s="401">
        <v>11523</v>
      </c>
      <c r="B35" s="411" t="s">
        <v>7189</v>
      </c>
      <c r="C35" s="401" t="s">
        <v>998</v>
      </c>
      <c r="D35" s="600">
        <v>13.95</v>
      </c>
    </row>
    <row r="36" spans="1:4" ht="25.5">
      <c r="A36" s="401">
        <v>6204</v>
      </c>
      <c r="B36" s="411" t="s">
        <v>7190</v>
      </c>
      <c r="C36" s="401" t="s">
        <v>1002</v>
      </c>
      <c r="D36" s="600">
        <v>7.85</v>
      </c>
    </row>
    <row r="37" spans="1:4" ht="25.5">
      <c r="A37" s="401">
        <v>6188</v>
      </c>
      <c r="B37" s="411" t="s">
        <v>7191</v>
      </c>
      <c r="C37" s="401" t="s">
        <v>1003</v>
      </c>
      <c r="D37" s="600">
        <v>37.49</v>
      </c>
    </row>
    <row r="38" spans="1:4" ht="25.5">
      <c r="A38" s="401">
        <v>4126</v>
      </c>
      <c r="B38" s="411" t="s">
        <v>7192</v>
      </c>
      <c r="C38" s="401" t="s">
        <v>998</v>
      </c>
      <c r="D38" s="600">
        <v>201.22</v>
      </c>
    </row>
    <row r="39" spans="1:4">
      <c r="A39" s="401">
        <v>7287</v>
      </c>
      <c r="B39" s="411" t="s">
        <v>7193</v>
      </c>
      <c r="C39" s="401" t="s">
        <v>1008</v>
      </c>
      <c r="D39" s="600">
        <v>73.64</v>
      </c>
    </row>
    <row r="40" spans="1:4">
      <c r="A40" s="401">
        <v>7347</v>
      </c>
      <c r="B40" s="411" t="s">
        <v>7194</v>
      </c>
      <c r="C40" s="401" t="s">
        <v>1008</v>
      </c>
      <c r="D40" s="600">
        <v>49.38</v>
      </c>
    </row>
    <row r="41" spans="1:4">
      <c r="A41" s="401">
        <v>7345</v>
      </c>
      <c r="B41" s="411" t="s">
        <v>7195</v>
      </c>
      <c r="C41" s="401" t="s">
        <v>997</v>
      </c>
      <c r="D41" s="600">
        <v>17.77</v>
      </c>
    </row>
    <row r="42" spans="1:4">
      <c r="A42" s="401">
        <v>7344</v>
      </c>
      <c r="B42" s="411" t="s">
        <v>7195</v>
      </c>
      <c r="C42" s="401" t="s">
        <v>1008</v>
      </c>
      <c r="D42" s="600">
        <v>63.98</v>
      </c>
    </row>
    <row r="43" spans="1:4" ht="25.5">
      <c r="A43" s="401">
        <v>40514</v>
      </c>
      <c r="B43" s="411" t="s">
        <v>7196</v>
      </c>
      <c r="C43" s="401" t="s">
        <v>997</v>
      </c>
      <c r="D43" s="600">
        <v>21.8</v>
      </c>
    </row>
    <row r="44" spans="1:4" ht="25.5">
      <c r="A44" s="401">
        <v>4487</v>
      </c>
      <c r="B44" s="411" t="s">
        <v>7197</v>
      </c>
      <c r="C44" s="401" t="s">
        <v>1002</v>
      </c>
      <c r="D44" s="600">
        <v>9.93</v>
      </c>
    </row>
    <row r="45" spans="1:4" ht="38.25">
      <c r="A45" s="401">
        <v>11199</v>
      </c>
      <c r="B45" s="411" t="s">
        <v>7198</v>
      </c>
      <c r="C45" s="401" t="s">
        <v>998</v>
      </c>
      <c r="D45" s="600">
        <v>898.01</v>
      </c>
    </row>
    <row r="46" spans="1:4">
      <c r="A46" s="401">
        <v>4053</v>
      </c>
      <c r="B46" s="411" t="s">
        <v>7199</v>
      </c>
      <c r="C46" s="401" t="s">
        <v>1008</v>
      </c>
      <c r="D46" s="600">
        <v>54.39</v>
      </c>
    </row>
    <row r="47" spans="1:4">
      <c r="A47" s="401">
        <v>4056</v>
      </c>
      <c r="B47" s="411" t="s">
        <v>7200</v>
      </c>
      <c r="C47" s="401" t="s">
        <v>1008</v>
      </c>
      <c r="D47" s="600">
        <v>28.6</v>
      </c>
    </row>
    <row r="48" spans="1:4" ht="25.5">
      <c r="A48" s="401">
        <v>21136</v>
      </c>
      <c r="B48" s="411" t="s">
        <v>7201</v>
      </c>
      <c r="C48" s="401" t="s">
        <v>1002</v>
      </c>
      <c r="D48" s="600">
        <v>11.95</v>
      </c>
    </row>
    <row r="49" spans="1:4" ht="25.5">
      <c r="A49" s="401">
        <v>21128</v>
      </c>
      <c r="B49" s="411" t="s">
        <v>7202</v>
      </c>
      <c r="C49" s="401" t="s">
        <v>1002</v>
      </c>
      <c r="D49" s="600">
        <v>9.25</v>
      </c>
    </row>
    <row r="50" spans="1:4" ht="25.5">
      <c r="A50" s="401">
        <v>21130</v>
      </c>
      <c r="B50" s="411" t="s">
        <v>7203</v>
      </c>
      <c r="C50" s="401" t="s">
        <v>1002</v>
      </c>
      <c r="D50" s="600">
        <v>23.36</v>
      </c>
    </row>
    <row r="51" spans="1:4" ht="25.5">
      <c r="A51" s="401">
        <v>21135</v>
      </c>
      <c r="B51" s="411" t="s">
        <v>7204</v>
      </c>
      <c r="C51" s="401" t="s">
        <v>1002</v>
      </c>
      <c r="D51" s="600">
        <v>23</v>
      </c>
    </row>
    <row r="52" spans="1:4" ht="25.5">
      <c r="A52" s="401">
        <v>38605</v>
      </c>
      <c r="B52" s="411" t="s">
        <v>7205</v>
      </c>
      <c r="C52" s="401" t="s">
        <v>998</v>
      </c>
      <c r="D52" s="600">
        <v>109.46</v>
      </c>
    </row>
    <row r="53" spans="1:4">
      <c r="A53" s="401">
        <v>11270</v>
      </c>
      <c r="B53" s="411" t="s">
        <v>7206</v>
      </c>
      <c r="C53" s="401" t="s">
        <v>998</v>
      </c>
      <c r="D53" s="600">
        <v>1.8</v>
      </c>
    </row>
    <row r="54" spans="1:4">
      <c r="A54" s="401">
        <v>412</v>
      </c>
      <c r="B54" s="411" t="s">
        <v>7207</v>
      </c>
      <c r="C54" s="401" t="s">
        <v>998</v>
      </c>
      <c r="D54" s="600">
        <v>1.02</v>
      </c>
    </row>
    <row r="55" spans="1:4">
      <c r="A55" s="401">
        <v>414</v>
      </c>
      <c r="B55" s="411" t="s">
        <v>7208</v>
      </c>
      <c r="C55" s="401" t="s">
        <v>998</v>
      </c>
      <c r="D55" s="600">
        <v>0.06</v>
      </c>
    </row>
    <row r="56" spans="1:4">
      <c r="A56" s="401">
        <v>410</v>
      </c>
      <c r="B56" s="411" t="s">
        <v>7209</v>
      </c>
      <c r="C56" s="401" t="s">
        <v>998</v>
      </c>
      <c r="D56" s="600">
        <v>0.15</v>
      </c>
    </row>
    <row r="57" spans="1:4">
      <c r="A57" s="401">
        <v>411</v>
      </c>
      <c r="B57" s="411" t="s">
        <v>7210</v>
      </c>
      <c r="C57" s="401" t="s">
        <v>998</v>
      </c>
      <c r="D57" s="600">
        <v>0.2</v>
      </c>
    </row>
    <row r="58" spans="1:4">
      <c r="A58" s="401">
        <v>408</v>
      </c>
      <c r="B58" s="411" t="s">
        <v>7211</v>
      </c>
      <c r="C58" s="401" t="s">
        <v>998</v>
      </c>
      <c r="D58" s="600">
        <v>0.99</v>
      </c>
    </row>
    <row r="59" spans="1:4" ht="25.5">
      <c r="A59" s="401">
        <v>39131</v>
      </c>
      <c r="B59" s="411" t="s">
        <v>7212</v>
      </c>
      <c r="C59" s="401" t="s">
        <v>998</v>
      </c>
      <c r="D59" s="600">
        <v>2.7</v>
      </c>
    </row>
    <row r="60" spans="1:4" ht="25.5">
      <c r="A60" s="401">
        <v>394</v>
      </c>
      <c r="B60" s="411" t="s">
        <v>7213</v>
      </c>
      <c r="C60" s="401" t="s">
        <v>998</v>
      </c>
      <c r="D60" s="600">
        <v>2.74</v>
      </c>
    </row>
    <row r="61" spans="1:4" ht="25.5">
      <c r="A61" s="401">
        <v>39130</v>
      </c>
      <c r="B61" s="411" t="s">
        <v>7214</v>
      </c>
      <c r="C61" s="401" t="s">
        <v>998</v>
      </c>
      <c r="D61" s="600">
        <v>2.46</v>
      </c>
    </row>
    <row r="62" spans="1:4" ht="25.5">
      <c r="A62" s="401">
        <v>395</v>
      </c>
      <c r="B62" s="411" t="s">
        <v>7215</v>
      </c>
      <c r="C62" s="401" t="s">
        <v>998</v>
      </c>
      <c r="D62" s="600">
        <v>2.63</v>
      </c>
    </row>
    <row r="63" spans="1:4" ht="25.5">
      <c r="A63" s="401">
        <v>39127</v>
      </c>
      <c r="B63" s="411" t="s">
        <v>7216</v>
      </c>
      <c r="C63" s="401" t="s">
        <v>998</v>
      </c>
      <c r="D63" s="600">
        <v>1.3</v>
      </c>
    </row>
    <row r="64" spans="1:4" ht="25.5">
      <c r="A64" s="401">
        <v>392</v>
      </c>
      <c r="B64" s="411" t="s">
        <v>7217</v>
      </c>
      <c r="C64" s="401" t="s">
        <v>998</v>
      </c>
      <c r="D64" s="600">
        <v>1.33</v>
      </c>
    </row>
    <row r="65" spans="1:4" ht="25.5">
      <c r="A65" s="401">
        <v>39129</v>
      </c>
      <c r="B65" s="411" t="s">
        <v>7218</v>
      </c>
      <c r="C65" s="401" t="s">
        <v>998</v>
      </c>
      <c r="D65" s="600">
        <v>1.52</v>
      </c>
    </row>
    <row r="66" spans="1:4" ht="25.5">
      <c r="A66" s="401">
        <v>393</v>
      </c>
      <c r="B66" s="411" t="s">
        <v>7219</v>
      </c>
      <c r="C66" s="401" t="s">
        <v>998</v>
      </c>
      <c r="D66" s="600">
        <v>1.59</v>
      </c>
    </row>
    <row r="67" spans="1:4" ht="25.5">
      <c r="A67" s="401">
        <v>39133</v>
      </c>
      <c r="B67" s="411" t="s">
        <v>7220</v>
      </c>
      <c r="C67" s="401" t="s">
        <v>998</v>
      </c>
      <c r="D67" s="600">
        <v>3.55</v>
      </c>
    </row>
    <row r="68" spans="1:4" ht="25.5">
      <c r="A68" s="401">
        <v>397</v>
      </c>
      <c r="B68" s="411" t="s">
        <v>7221</v>
      </c>
      <c r="C68" s="401" t="s">
        <v>998</v>
      </c>
      <c r="D68" s="600">
        <v>3.92</v>
      </c>
    </row>
    <row r="69" spans="1:4" ht="25.5">
      <c r="A69" s="401">
        <v>39132</v>
      </c>
      <c r="B69" s="411" t="s">
        <v>7222</v>
      </c>
      <c r="C69" s="401" t="s">
        <v>998</v>
      </c>
      <c r="D69" s="600">
        <v>2.84</v>
      </c>
    </row>
    <row r="70" spans="1:4" ht="25.5">
      <c r="A70" s="401">
        <v>396</v>
      </c>
      <c r="B70" s="411" t="s">
        <v>7223</v>
      </c>
      <c r="C70" s="401" t="s">
        <v>998</v>
      </c>
      <c r="D70" s="600">
        <v>3.04</v>
      </c>
    </row>
    <row r="71" spans="1:4" ht="25.5">
      <c r="A71" s="401">
        <v>39135</v>
      </c>
      <c r="B71" s="411" t="s">
        <v>7224</v>
      </c>
      <c r="C71" s="401" t="s">
        <v>998</v>
      </c>
      <c r="D71" s="600">
        <v>5.68</v>
      </c>
    </row>
    <row r="72" spans="1:4" ht="25.5">
      <c r="A72" s="401">
        <v>39128</v>
      </c>
      <c r="B72" s="411" t="s">
        <v>7225</v>
      </c>
      <c r="C72" s="401" t="s">
        <v>998</v>
      </c>
      <c r="D72" s="600">
        <v>1.42</v>
      </c>
    </row>
    <row r="73" spans="1:4" ht="25.5">
      <c r="A73" s="401">
        <v>400</v>
      </c>
      <c r="B73" s="411" t="s">
        <v>7226</v>
      </c>
      <c r="C73" s="401" t="s">
        <v>998</v>
      </c>
      <c r="D73" s="600">
        <v>1.38</v>
      </c>
    </row>
    <row r="74" spans="1:4" ht="25.5">
      <c r="A74" s="401">
        <v>39125</v>
      </c>
      <c r="B74" s="411" t="s">
        <v>7227</v>
      </c>
      <c r="C74" s="401" t="s">
        <v>998</v>
      </c>
      <c r="D74" s="600">
        <v>1.42</v>
      </c>
    </row>
    <row r="75" spans="1:4" ht="25.5">
      <c r="A75" s="401">
        <v>39134</v>
      </c>
      <c r="B75" s="411" t="s">
        <v>7228</v>
      </c>
      <c r="C75" s="401" t="s">
        <v>998</v>
      </c>
      <c r="D75" s="600">
        <v>4.7300000000000004</v>
      </c>
    </row>
    <row r="76" spans="1:4" ht="25.5">
      <c r="A76" s="401">
        <v>398</v>
      </c>
      <c r="B76" s="411" t="s">
        <v>7229</v>
      </c>
      <c r="C76" s="401" t="s">
        <v>998</v>
      </c>
      <c r="D76" s="600">
        <v>4.3600000000000003</v>
      </c>
    </row>
    <row r="77" spans="1:4" ht="25.5">
      <c r="A77" s="401">
        <v>39126</v>
      </c>
      <c r="B77" s="411" t="s">
        <v>7230</v>
      </c>
      <c r="C77" s="401" t="s">
        <v>998</v>
      </c>
      <c r="D77" s="600">
        <v>6.39</v>
      </c>
    </row>
    <row r="78" spans="1:4" ht="25.5">
      <c r="A78" s="401">
        <v>399</v>
      </c>
      <c r="B78" s="411" t="s">
        <v>7231</v>
      </c>
      <c r="C78" s="401" t="s">
        <v>998</v>
      </c>
      <c r="D78" s="600">
        <v>5.63</v>
      </c>
    </row>
    <row r="79" spans="1:4" ht="25.5">
      <c r="A79" s="401">
        <v>39158</v>
      </c>
      <c r="B79" s="411" t="s">
        <v>7232</v>
      </c>
      <c r="C79" s="401" t="s">
        <v>998</v>
      </c>
      <c r="D79" s="600">
        <v>15.12</v>
      </c>
    </row>
    <row r="80" spans="1:4">
      <c r="A80" s="401">
        <v>39141</v>
      </c>
      <c r="B80" s="411" t="s">
        <v>7233</v>
      </c>
      <c r="C80" s="401" t="s">
        <v>998</v>
      </c>
      <c r="D80" s="600">
        <v>1.0900000000000001</v>
      </c>
    </row>
    <row r="81" spans="1:4">
      <c r="A81" s="401">
        <v>39140</v>
      </c>
      <c r="B81" s="411" t="s">
        <v>7234</v>
      </c>
      <c r="C81" s="401" t="s">
        <v>998</v>
      </c>
      <c r="D81" s="600">
        <v>0.99</v>
      </c>
    </row>
    <row r="82" spans="1:4">
      <c r="A82" s="401">
        <v>39137</v>
      </c>
      <c r="B82" s="411" t="s">
        <v>7235</v>
      </c>
      <c r="C82" s="401" t="s">
        <v>998</v>
      </c>
      <c r="D82" s="600">
        <v>0.56999999999999995</v>
      </c>
    </row>
    <row r="83" spans="1:4">
      <c r="A83" s="401">
        <v>39139</v>
      </c>
      <c r="B83" s="411" t="s">
        <v>7236</v>
      </c>
      <c r="C83" s="401" t="s">
        <v>998</v>
      </c>
      <c r="D83" s="600">
        <v>0.82</v>
      </c>
    </row>
    <row r="84" spans="1:4">
      <c r="A84" s="401">
        <v>39143</v>
      </c>
      <c r="B84" s="411" t="s">
        <v>7237</v>
      </c>
      <c r="C84" s="401" t="s">
        <v>998</v>
      </c>
      <c r="D84" s="600">
        <v>2.2599999999999998</v>
      </c>
    </row>
    <row r="85" spans="1:4">
      <c r="A85" s="401">
        <v>39142</v>
      </c>
      <c r="B85" s="411" t="s">
        <v>7238</v>
      </c>
      <c r="C85" s="401" t="s">
        <v>998</v>
      </c>
      <c r="D85" s="600">
        <v>1.62</v>
      </c>
    </row>
    <row r="86" spans="1:4">
      <c r="A86" s="401">
        <v>39138</v>
      </c>
      <c r="B86" s="411" t="s">
        <v>7239</v>
      </c>
      <c r="C86" s="401" t="s">
        <v>998</v>
      </c>
      <c r="D86" s="600">
        <v>0.6</v>
      </c>
    </row>
    <row r="87" spans="1:4">
      <c r="A87" s="401">
        <v>39136</v>
      </c>
      <c r="B87" s="411" t="s">
        <v>7240</v>
      </c>
      <c r="C87" s="401" t="s">
        <v>998</v>
      </c>
      <c r="D87" s="600">
        <v>0.4</v>
      </c>
    </row>
    <row r="88" spans="1:4">
      <c r="A88" s="401">
        <v>39144</v>
      </c>
      <c r="B88" s="411" t="s">
        <v>7241</v>
      </c>
      <c r="C88" s="401" t="s">
        <v>998</v>
      </c>
      <c r="D88" s="600">
        <v>2.63</v>
      </c>
    </row>
    <row r="89" spans="1:4">
      <c r="A89" s="401">
        <v>39145</v>
      </c>
      <c r="B89" s="411" t="s">
        <v>7242</v>
      </c>
      <c r="C89" s="401" t="s">
        <v>998</v>
      </c>
      <c r="D89" s="600">
        <v>4.34</v>
      </c>
    </row>
    <row r="90" spans="1:4" ht="25.5">
      <c r="A90" s="401">
        <v>12615</v>
      </c>
      <c r="B90" s="411" t="s">
        <v>7243</v>
      </c>
      <c r="C90" s="401" t="s">
        <v>998</v>
      </c>
      <c r="D90" s="600">
        <v>3.32</v>
      </c>
    </row>
    <row r="91" spans="1:4" ht="25.5">
      <c r="A91" s="401">
        <v>11927</v>
      </c>
      <c r="B91" s="411" t="s">
        <v>7244</v>
      </c>
      <c r="C91" s="401" t="s">
        <v>998</v>
      </c>
      <c r="D91" s="600">
        <v>5.37</v>
      </c>
    </row>
    <row r="92" spans="1:4" ht="25.5">
      <c r="A92" s="401">
        <v>11928</v>
      </c>
      <c r="B92" s="411" t="s">
        <v>7245</v>
      </c>
      <c r="C92" s="401" t="s">
        <v>998</v>
      </c>
      <c r="D92" s="600">
        <v>6.15</v>
      </c>
    </row>
    <row r="93" spans="1:4" ht="25.5">
      <c r="A93" s="401">
        <v>11929</v>
      </c>
      <c r="B93" s="411" t="s">
        <v>7246</v>
      </c>
      <c r="C93" s="401" t="s">
        <v>998</v>
      </c>
      <c r="D93" s="600">
        <v>9.52</v>
      </c>
    </row>
    <row r="94" spans="1:4">
      <c r="A94" s="401">
        <v>36801</v>
      </c>
      <c r="B94" s="411" t="s">
        <v>7247</v>
      </c>
      <c r="C94" s="401" t="s">
        <v>998</v>
      </c>
      <c r="D94" s="600">
        <v>21.44</v>
      </c>
    </row>
    <row r="95" spans="1:4" ht="25.5">
      <c r="A95" s="401">
        <v>36246</v>
      </c>
      <c r="B95" s="411" t="s">
        <v>7248</v>
      </c>
      <c r="C95" s="401" t="s">
        <v>1002</v>
      </c>
      <c r="D95" s="600">
        <v>2.2799999999999998</v>
      </c>
    </row>
    <row r="96" spans="1:4">
      <c r="A96" s="401">
        <v>37600</v>
      </c>
      <c r="B96" s="411" t="s">
        <v>7249</v>
      </c>
      <c r="C96" s="401" t="s">
        <v>998</v>
      </c>
      <c r="D96" s="600">
        <v>62.83</v>
      </c>
    </row>
    <row r="97" spans="1:4">
      <c r="A97" s="401">
        <v>37599</v>
      </c>
      <c r="B97" s="411" t="s">
        <v>7250</v>
      </c>
      <c r="C97" s="401" t="s">
        <v>998</v>
      </c>
      <c r="D97" s="600">
        <v>58.48</v>
      </c>
    </row>
    <row r="98" spans="1:4">
      <c r="A98" s="401">
        <v>1</v>
      </c>
      <c r="B98" s="411" t="s">
        <v>7251</v>
      </c>
      <c r="C98" s="401" t="s">
        <v>995</v>
      </c>
      <c r="D98" s="600">
        <v>65.56</v>
      </c>
    </row>
    <row r="99" spans="1:4">
      <c r="A99" s="401">
        <v>3</v>
      </c>
      <c r="B99" s="411" t="s">
        <v>7252</v>
      </c>
      <c r="C99" s="401" t="s">
        <v>997</v>
      </c>
      <c r="D99" s="600">
        <v>4.88</v>
      </c>
    </row>
    <row r="100" spans="1:4">
      <c r="A100" s="401">
        <v>43054</v>
      </c>
      <c r="B100" s="411" t="s">
        <v>7253</v>
      </c>
      <c r="C100" s="401" t="s">
        <v>995</v>
      </c>
      <c r="D100" s="600">
        <v>5.53</v>
      </c>
    </row>
    <row r="101" spans="1:4">
      <c r="A101" s="401">
        <v>42402</v>
      </c>
      <c r="B101" s="411" t="s">
        <v>12939</v>
      </c>
      <c r="C101" s="401" t="s">
        <v>995</v>
      </c>
      <c r="D101" s="600">
        <v>5.28</v>
      </c>
    </row>
    <row r="102" spans="1:4">
      <c r="A102" s="401">
        <v>42403</v>
      </c>
      <c r="B102" s="411" t="s">
        <v>7254</v>
      </c>
      <c r="C102" s="401" t="s">
        <v>995</v>
      </c>
      <c r="D102" s="600">
        <v>6.78</v>
      </c>
    </row>
    <row r="103" spans="1:4">
      <c r="A103" s="401">
        <v>42404</v>
      </c>
      <c r="B103" s="411" t="s">
        <v>7255</v>
      </c>
      <c r="C103" s="401" t="s">
        <v>995</v>
      </c>
      <c r="D103" s="600">
        <v>6.74</v>
      </c>
    </row>
    <row r="104" spans="1:4">
      <c r="A104" s="401">
        <v>42405</v>
      </c>
      <c r="B104" s="411" t="s">
        <v>7256</v>
      </c>
      <c r="C104" s="401" t="s">
        <v>995</v>
      </c>
      <c r="D104" s="600">
        <v>7.18</v>
      </c>
    </row>
    <row r="105" spans="1:4">
      <c r="A105" s="401">
        <v>34341</v>
      </c>
      <c r="B105" s="411" t="s">
        <v>7257</v>
      </c>
      <c r="C105" s="401" t="s">
        <v>995</v>
      </c>
      <c r="D105" s="600">
        <v>6.23</v>
      </c>
    </row>
    <row r="106" spans="1:4">
      <c r="A106" s="401">
        <v>43053</v>
      </c>
      <c r="B106" s="411" t="s">
        <v>7258</v>
      </c>
      <c r="C106" s="401" t="s">
        <v>995</v>
      </c>
      <c r="D106" s="600">
        <v>4.9400000000000004</v>
      </c>
    </row>
    <row r="107" spans="1:4">
      <c r="A107" s="401">
        <v>43058</v>
      </c>
      <c r="B107" s="411" t="s">
        <v>7259</v>
      </c>
      <c r="C107" s="401" t="s">
        <v>995</v>
      </c>
      <c r="D107" s="600">
        <v>5.12</v>
      </c>
    </row>
    <row r="108" spans="1:4">
      <c r="A108" s="401">
        <v>34</v>
      </c>
      <c r="B108" s="411" t="s">
        <v>7260</v>
      </c>
      <c r="C108" s="401" t="s">
        <v>995</v>
      </c>
      <c r="D108" s="600">
        <v>5.15</v>
      </c>
    </row>
    <row r="109" spans="1:4">
      <c r="A109" s="401">
        <v>43055</v>
      </c>
      <c r="B109" s="411" t="s">
        <v>7261</v>
      </c>
      <c r="C109" s="401" t="s">
        <v>995</v>
      </c>
      <c r="D109" s="600">
        <v>4.46</v>
      </c>
    </row>
    <row r="110" spans="1:4">
      <c r="A110" s="401">
        <v>43056</v>
      </c>
      <c r="B110" s="411" t="s">
        <v>7262</v>
      </c>
      <c r="C110" s="401" t="s">
        <v>995</v>
      </c>
      <c r="D110" s="600">
        <v>5.14</v>
      </c>
    </row>
    <row r="111" spans="1:4">
      <c r="A111" s="401">
        <v>43057</v>
      </c>
      <c r="B111" s="411" t="s">
        <v>7263</v>
      </c>
      <c r="C111" s="401" t="s">
        <v>995</v>
      </c>
      <c r="D111" s="600">
        <v>5.65</v>
      </c>
    </row>
    <row r="112" spans="1:4">
      <c r="A112" s="401">
        <v>34449</v>
      </c>
      <c r="B112" s="411" t="s">
        <v>7264</v>
      </c>
      <c r="C112" s="401" t="s">
        <v>995</v>
      </c>
      <c r="D112" s="600">
        <v>6.04</v>
      </c>
    </row>
    <row r="113" spans="1:4">
      <c r="A113" s="401">
        <v>32</v>
      </c>
      <c r="B113" s="411" t="s">
        <v>7265</v>
      </c>
      <c r="C113" s="401" t="s">
        <v>995</v>
      </c>
      <c r="D113" s="600">
        <v>5.43</v>
      </c>
    </row>
    <row r="114" spans="1:4">
      <c r="A114" s="401">
        <v>33</v>
      </c>
      <c r="B114" s="411" t="s">
        <v>7266</v>
      </c>
      <c r="C114" s="401" t="s">
        <v>995</v>
      </c>
      <c r="D114" s="600">
        <v>5.46</v>
      </c>
    </row>
    <row r="115" spans="1:4">
      <c r="A115" s="401">
        <v>43061</v>
      </c>
      <c r="B115" s="411" t="s">
        <v>7267</v>
      </c>
      <c r="C115" s="401" t="s">
        <v>995</v>
      </c>
      <c r="D115" s="600">
        <v>5.0999999999999996</v>
      </c>
    </row>
    <row r="116" spans="1:4">
      <c r="A116" s="401">
        <v>43059</v>
      </c>
      <c r="B116" s="411" t="s">
        <v>7268</v>
      </c>
      <c r="C116" s="401" t="s">
        <v>995</v>
      </c>
      <c r="D116" s="600">
        <v>4.87</v>
      </c>
    </row>
    <row r="117" spans="1:4">
      <c r="A117" s="401">
        <v>43062</v>
      </c>
      <c r="B117" s="411" t="s">
        <v>7269</v>
      </c>
      <c r="C117" s="401" t="s">
        <v>995</v>
      </c>
      <c r="D117" s="600">
        <v>5.4</v>
      </c>
    </row>
    <row r="118" spans="1:4">
      <c r="A118" s="401">
        <v>43060</v>
      </c>
      <c r="B118" s="411" t="s">
        <v>7270</v>
      </c>
      <c r="C118" s="401" t="s">
        <v>995</v>
      </c>
      <c r="D118" s="600">
        <v>4.24</v>
      </c>
    </row>
    <row r="119" spans="1:4" ht="25.5">
      <c r="A119" s="401">
        <v>20063</v>
      </c>
      <c r="B119" s="411" t="s">
        <v>7271</v>
      </c>
      <c r="C119" s="401" t="s">
        <v>998</v>
      </c>
      <c r="D119" s="600">
        <v>3.3</v>
      </c>
    </row>
    <row r="120" spans="1:4" ht="25.5">
      <c r="A120" s="401">
        <v>40410</v>
      </c>
      <c r="B120" s="411" t="s">
        <v>7272</v>
      </c>
      <c r="C120" s="401" t="s">
        <v>998</v>
      </c>
      <c r="D120" s="600">
        <v>19.27</v>
      </c>
    </row>
    <row r="121" spans="1:4" ht="25.5">
      <c r="A121" s="401">
        <v>40411</v>
      </c>
      <c r="B121" s="411" t="s">
        <v>7273</v>
      </c>
      <c r="C121" s="401" t="s">
        <v>998</v>
      </c>
      <c r="D121" s="600">
        <v>20.91</v>
      </c>
    </row>
    <row r="122" spans="1:4" ht="25.5">
      <c r="A122" s="401">
        <v>40412</v>
      </c>
      <c r="B122" s="411" t="s">
        <v>7274</v>
      </c>
      <c r="C122" s="401" t="s">
        <v>998</v>
      </c>
      <c r="D122" s="600">
        <v>23.47</v>
      </c>
    </row>
    <row r="123" spans="1:4">
      <c r="A123" s="401">
        <v>38838</v>
      </c>
      <c r="B123" s="411" t="s">
        <v>7275</v>
      </c>
      <c r="C123" s="401" t="s">
        <v>998</v>
      </c>
      <c r="D123" s="600">
        <v>7.48</v>
      </c>
    </row>
    <row r="124" spans="1:4">
      <c r="A124" s="401">
        <v>38839</v>
      </c>
      <c r="B124" s="411" t="s">
        <v>7276</v>
      </c>
      <c r="C124" s="401" t="s">
        <v>998</v>
      </c>
      <c r="D124" s="600">
        <v>8.8000000000000007</v>
      </c>
    </row>
    <row r="125" spans="1:4" ht="25.5">
      <c r="A125" s="401">
        <v>55</v>
      </c>
      <c r="B125" s="411" t="s">
        <v>7277</v>
      </c>
      <c r="C125" s="401" t="s">
        <v>998</v>
      </c>
      <c r="D125" s="600">
        <v>3.8</v>
      </c>
    </row>
    <row r="126" spans="1:4" ht="25.5">
      <c r="A126" s="401">
        <v>61</v>
      </c>
      <c r="B126" s="411" t="s">
        <v>7278</v>
      </c>
      <c r="C126" s="401" t="s">
        <v>998</v>
      </c>
      <c r="D126" s="600">
        <v>3.59</v>
      </c>
    </row>
    <row r="127" spans="1:4" ht="25.5">
      <c r="A127" s="401">
        <v>62</v>
      </c>
      <c r="B127" s="411" t="s">
        <v>7279</v>
      </c>
      <c r="C127" s="401" t="s">
        <v>998</v>
      </c>
      <c r="D127" s="600">
        <v>7.45</v>
      </c>
    </row>
    <row r="128" spans="1:4" ht="25.5">
      <c r="A128" s="401">
        <v>77</v>
      </c>
      <c r="B128" s="411" t="s">
        <v>7280</v>
      </c>
      <c r="C128" s="401" t="s">
        <v>998</v>
      </c>
      <c r="D128" s="600">
        <v>0.86</v>
      </c>
    </row>
    <row r="129" spans="1:4">
      <c r="A129" s="401">
        <v>76</v>
      </c>
      <c r="B129" s="411" t="s">
        <v>7281</v>
      </c>
      <c r="C129" s="401" t="s">
        <v>998</v>
      </c>
      <c r="D129" s="600">
        <v>0.88</v>
      </c>
    </row>
    <row r="130" spans="1:4">
      <c r="A130" s="401">
        <v>67</v>
      </c>
      <c r="B130" s="411" t="s">
        <v>7282</v>
      </c>
      <c r="C130" s="401" t="s">
        <v>998</v>
      </c>
      <c r="D130" s="600">
        <v>8.48</v>
      </c>
    </row>
    <row r="131" spans="1:4">
      <c r="A131" s="401">
        <v>71</v>
      </c>
      <c r="B131" s="411" t="s">
        <v>7283</v>
      </c>
      <c r="C131" s="401" t="s">
        <v>998</v>
      </c>
      <c r="D131" s="600">
        <v>15.59</v>
      </c>
    </row>
    <row r="132" spans="1:4">
      <c r="A132" s="401">
        <v>73</v>
      </c>
      <c r="B132" s="411" t="s">
        <v>7284</v>
      </c>
      <c r="C132" s="401" t="s">
        <v>998</v>
      </c>
      <c r="D132" s="600">
        <v>11.64</v>
      </c>
    </row>
    <row r="133" spans="1:4">
      <c r="A133" s="401">
        <v>103</v>
      </c>
      <c r="B133" s="411" t="s">
        <v>7285</v>
      </c>
      <c r="C133" s="401" t="s">
        <v>998</v>
      </c>
      <c r="D133" s="600">
        <v>34.619999999999997</v>
      </c>
    </row>
    <row r="134" spans="1:4">
      <c r="A134" s="401">
        <v>107</v>
      </c>
      <c r="B134" s="411" t="s">
        <v>7286</v>
      </c>
      <c r="C134" s="401" t="s">
        <v>998</v>
      </c>
      <c r="D134" s="600">
        <v>0.54</v>
      </c>
    </row>
    <row r="135" spans="1:4">
      <c r="A135" s="401">
        <v>65</v>
      </c>
      <c r="B135" s="411" t="s">
        <v>7287</v>
      </c>
      <c r="C135" s="401" t="s">
        <v>998</v>
      </c>
      <c r="D135" s="600">
        <v>0.67</v>
      </c>
    </row>
    <row r="136" spans="1:4">
      <c r="A136" s="401">
        <v>108</v>
      </c>
      <c r="B136" s="411" t="s">
        <v>7288</v>
      </c>
      <c r="C136" s="401" t="s">
        <v>998</v>
      </c>
      <c r="D136" s="600">
        <v>1.38</v>
      </c>
    </row>
    <row r="137" spans="1:4">
      <c r="A137" s="401">
        <v>110</v>
      </c>
      <c r="B137" s="411" t="s">
        <v>7289</v>
      </c>
      <c r="C137" s="401" t="s">
        <v>998</v>
      </c>
      <c r="D137" s="600">
        <v>5.34</v>
      </c>
    </row>
    <row r="138" spans="1:4">
      <c r="A138" s="401">
        <v>109</v>
      </c>
      <c r="B138" s="411" t="s">
        <v>7290</v>
      </c>
      <c r="C138" s="401" t="s">
        <v>998</v>
      </c>
      <c r="D138" s="600">
        <v>2.63</v>
      </c>
    </row>
    <row r="139" spans="1:4">
      <c r="A139" s="401">
        <v>111</v>
      </c>
      <c r="B139" s="411" t="s">
        <v>7291</v>
      </c>
      <c r="C139" s="401" t="s">
        <v>998</v>
      </c>
      <c r="D139" s="600">
        <v>6.16</v>
      </c>
    </row>
    <row r="140" spans="1:4">
      <c r="A140" s="401">
        <v>112</v>
      </c>
      <c r="B140" s="411" t="s">
        <v>7292</v>
      </c>
      <c r="C140" s="401" t="s">
        <v>998</v>
      </c>
      <c r="D140" s="600">
        <v>3.35</v>
      </c>
    </row>
    <row r="141" spans="1:4">
      <c r="A141" s="401">
        <v>113</v>
      </c>
      <c r="B141" s="411" t="s">
        <v>7293</v>
      </c>
      <c r="C141" s="401" t="s">
        <v>998</v>
      </c>
      <c r="D141" s="600">
        <v>9.1</v>
      </c>
    </row>
    <row r="142" spans="1:4">
      <c r="A142" s="401">
        <v>104</v>
      </c>
      <c r="B142" s="411" t="s">
        <v>7294</v>
      </c>
      <c r="C142" s="401" t="s">
        <v>998</v>
      </c>
      <c r="D142" s="600">
        <v>13.24</v>
      </c>
    </row>
    <row r="143" spans="1:4">
      <c r="A143" s="401">
        <v>102</v>
      </c>
      <c r="B143" s="411" t="s">
        <v>7295</v>
      </c>
      <c r="C143" s="401" t="s">
        <v>998</v>
      </c>
      <c r="D143" s="600">
        <v>21.74</v>
      </c>
    </row>
    <row r="144" spans="1:4" ht="25.5">
      <c r="A144" s="401">
        <v>95</v>
      </c>
      <c r="B144" s="411" t="s">
        <v>7296</v>
      </c>
      <c r="C144" s="401" t="s">
        <v>998</v>
      </c>
      <c r="D144" s="600">
        <v>7.36</v>
      </c>
    </row>
    <row r="145" spans="1:4" ht="25.5">
      <c r="A145" s="401">
        <v>96</v>
      </c>
      <c r="B145" s="411" t="s">
        <v>7297</v>
      </c>
      <c r="C145" s="401" t="s">
        <v>998</v>
      </c>
      <c r="D145" s="600">
        <v>8.4600000000000009</v>
      </c>
    </row>
    <row r="146" spans="1:4" ht="25.5">
      <c r="A146" s="401">
        <v>97</v>
      </c>
      <c r="B146" s="411" t="s">
        <v>7298</v>
      </c>
      <c r="C146" s="401" t="s">
        <v>998</v>
      </c>
      <c r="D146" s="600">
        <v>10.99</v>
      </c>
    </row>
    <row r="147" spans="1:4" ht="25.5">
      <c r="A147" s="401">
        <v>98</v>
      </c>
      <c r="B147" s="411" t="s">
        <v>7299</v>
      </c>
      <c r="C147" s="401" t="s">
        <v>998</v>
      </c>
      <c r="D147" s="600">
        <v>14.81</v>
      </c>
    </row>
    <row r="148" spans="1:4" ht="25.5">
      <c r="A148" s="401">
        <v>99</v>
      </c>
      <c r="B148" s="411" t="s">
        <v>7300</v>
      </c>
      <c r="C148" s="401" t="s">
        <v>998</v>
      </c>
      <c r="D148" s="600">
        <v>17.97</v>
      </c>
    </row>
    <row r="149" spans="1:4" ht="25.5">
      <c r="A149" s="401">
        <v>100</v>
      </c>
      <c r="B149" s="411" t="s">
        <v>7301</v>
      </c>
      <c r="C149" s="401" t="s">
        <v>998</v>
      </c>
      <c r="D149" s="600">
        <v>25.07</v>
      </c>
    </row>
    <row r="150" spans="1:4">
      <c r="A150" s="401">
        <v>75</v>
      </c>
      <c r="B150" s="411" t="s">
        <v>7302</v>
      </c>
      <c r="C150" s="401" t="s">
        <v>998</v>
      </c>
      <c r="D150" s="600">
        <v>261.26</v>
      </c>
    </row>
    <row r="151" spans="1:4">
      <c r="A151" s="401">
        <v>114</v>
      </c>
      <c r="B151" s="411" t="s">
        <v>7303</v>
      </c>
      <c r="C151" s="401" t="s">
        <v>998</v>
      </c>
      <c r="D151" s="600">
        <v>9.52</v>
      </c>
    </row>
    <row r="152" spans="1:4">
      <c r="A152" s="401">
        <v>68</v>
      </c>
      <c r="B152" s="411" t="s">
        <v>7304</v>
      </c>
      <c r="C152" s="401" t="s">
        <v>998</v>
      </c>
      <c r="D152" s="600">
        <v>14.56</v>
      </c>
    </row>
    <row r="153" spans="1:4">
      <c r="A153" s="401">
        <v>86</v>
      </c>
      <c r="B153" s="411" t="s">
        <v>7305</v>
      </c>
      <c r="C153" s="401" t="s">
        <v>998</v>
      </c>
      <c r="D153" s="600">
        <v>27.06</v>
      </c>
    </row>
    <row r="154" spans="1:4">
      <c r="A154" s="401">
        <v>66</v>
      </c>
      <c r="B154" s="411" t="s">
        <v>7306</v>
      </c>
      <c r="C154" s="401" t="s">
        <v>998</v>
      </c>
      <c r="D154" s="600">
        <v>27.16</v>
      </c>
    </row>
    <row r="155" spans="1:4">
      <c r="A155" s="401">
        <v>69</v>
      </c>
      <c r="B155" s="411" t="s">
        <v>7307</v>
      </c>
      <c r="C155" s="401" t="s">
        <v>998</v>
      </c>
      <c r="D155" s="600">
        <v>41.51</v>
      </c>
    </row>
    <row r="156" spans="1:4">
      <c r="A156" s="401">
        <v>83</v>
      </c>
      <c r="B156" s="411" t="s">
        <v>7308</v>
      </c>
      <c r="C156" s="401" t="s">
        <v>998</v>
      </c>
      <c r="D156" s="600">
        <v>132.59</v>
      </c>
    </row>
    <row r="157" spans="1:4">
      <c r="A157" s="401">
        <v>74</v>
      </c>
      <c r="B157" s="411" t="s">
        <v>7309</v>
      </c>
      <c r="C157" s="401" t="s">
        <v>998</v>
      </c>
      <c r="D157" s="600">
        <v>185.11</v>
      </c>
    </row>
    <row r="158" spans="1:4">
      <c r="A158" s="401">
        <v>106</v>
      </c>
      <c r="B158" s="411" t="s">
        <v>7310</v>
      </c>
      <c r="C158" s="401" t="s">
        <v>998</v>
      </c>
      <c r="D158" s="600">
        <v>281.20999999999998</v>
      </c>
    </row>
    <row r="159" spans="1:4">
      <c r="A159" s="401">
        <v>87</v>
      </c>
      <c r="B159" s="411" t="s">
        <v>7311</v>
      </c>
      <c r="C159" s="401" t="s">
        <v>998</v>
      </c>
      <c r="D159" s="600">
        <v>13.36</v>
      </c>
    </row>
    <row r="160" spans="1:4">
      <c r="A160" s="401">
        <v>88</v>
      </c>
      <c r="B160" s="411" t="s">
        <v>7312</v>
      </c>
      <c r="C160" s="401" t="s">
        <v>998</v>
      </c>
      <c r="D160" s="600">
        <v>14.91</v>
      </c>
    </row>
    <row r="161" spans="1:4">
      <c r="A161" s="401">
        <v>89</v>
      </c>
      <c r="B161" s="411" t="s">
        <v>7313</v>
      </c>
      <c r="C161" s="401" t="s">
        <v>998</v>
      </c>
      <c r="D161" s="600">
        <v>22.05</v>
      </c>
    </row>
    <row r="162" spans="1:4">
      <c r="A162" s="401">
        <v>90</v>
      </c>
      <c r="B162" s="411" t="s">
        <v>7314</v>
      </c>
      <c r="C162" s="401" t="s">
        <v>998</v>
      </c>
      <c r="D162" s="600">
        <v>25.27</v>
      </c>
    </row>
    <row r="163" spans="1:4">
      <c r="A163" s="401">
        <v>81</v>
      </c>
      <c r="B163" s="411" t="s">
        <v>7315</v>
      </c>
      <c r="C163" s="401" t="s">
        <v>998</v>
      </c>
      <c r="D163" s="600">
        <v>43.22</v>
      </c>
    </row>
    <row r="164" spans="1:4">
      <c r="A164" s="401">
        <v>82</v>
      </c>
      <c r="B164" s="411" t="s">
        <v>7316</v>
      </c>
      <c r="C164" s="401" t="s">
        <v>998</v>
      </c>
      <c r="D164" s="600">
        <v>167.79</v>
      </c>
    </row>
    <row r="165" spans="1:4">
      <c r="A165" s="401">
        <v>105</v>
      </c>
      <c r="B165" s="411" t="s">
        <v>7317</v>
      </c>
      <c r="C165" s="401" t="s">
        <v>998</v>
      </c>
      <c r="D165" s="600">
        <v>196.44</v>
      </c>
    </row>
    <row r="166" spans="1:4" ht="25.5">
      <c r="A166" s="401">
        <v>60</v>
      </c>
      <c r="B166" s="411" t="s">
        <v>7318</v>
      </c>
      <c r="C166" s="401" t="s">
        <v>998</v>
      </c>
      <c r="D166" s="600">
        <v>4.93</v>
      </c>
    </row>
    <row r="167" spans="1:4">
      <c r="A167" s="401">
        <v>72</v>
      </c>
      <c r="B167" s="411" t="s">
        <v>7319</v>
      </c>
      <c r="C167" s="401" t="s">
        <v>998</v>
      </c>
      <c r="D167" s="600">
        <v>26.42</v>
      </c>
    </row>
    <row r="168" spans="1:4" ht="25.5">
      <c r="A168" s="401">
        <v>70</v>
      </c>
      <c r="B168" s="411" t="s">
        <v>7320</v>
      </c>
      <c r="C168" s="401" t="s">
        <v>998</v>
      </c>
      <c r="D168" s="600">
        <v>22.09</v>
      </c>
    </row>
    <row r="169" spans="1:4">
      <c r="A169" s="401">
        <v>85</v>
      </c>
      <c r="B169" s="411" t="s">
        <v>7321</v>
      </c>
      <c r="C169" s="401" t="s">
        <v>998</v>
      </c>
      <c r="D169" s="600">
        <v>32.07</v>
      </c>
    </row>
    <row r="170" spans="1:4">
      <c r="A170" s="401">
        <v>84</v>
      </c>
      <c r="B170" s="411" t="s">
        <v>7322</v>
      </c>
      <c r="C170" s="401" t="s">
        <v>998</v>
      </c>
      <c r="D170" s="600">
        <v>0.37</v>
      </c>
    </row>
    <row r="171" spans="1:4">
      <c r="A171" s="401">
        <v>37997</v>
      </c>
      <c r="B171" s="411" t="s">
        <v>7323</v>
      </c>
      <c r="C171" s="401" t="s">
        <v>998</v>
      </c>
      <c r="D171" s="600">
        <v>7.76</v>
      </c>
    </row>
    <row r="172" spans="1:4">
      <c r="A172" s="401">
        <v>37998</v>
      </c>
      <c r="B172" s="411" t="s">
        <v>7324</v>
      </c>
      <c r="C172" s="401" t="s">
        <v>998</v>
      </c>
      <c r="D172" s="600">
        <v>8.0399999999999991</v>
      </c>
    </row>
    <row r="173" spans="1:4" ht="25.5">
      <c r="A173" s="401">
        <v>10899</v>
      </c>
      <c r="B173" s="411" t="s">
        <v>7325</v>
      </c>
      <c r="C173" s="401" t="s">
        <v>998</v>
      </c>
      <c r="D173" s="600">
        <v>53.37</v>
      </c>
    </row>
    <row r="174" spans="1:4" ht="25.5">
      <c r="A174" s="401">
        <v>10900</v>
      </c>
      <c r="B174" s="411" t="s">
        <v>7326</v>
      </c>
      <c r="C174" s="401" t="s">
        <v>998</v>
      </c>
      <c r="D174" s="600">
        <v>41.77</v>
      </c>
    </row>
    <row r="175" spans="1:4">
      <c r="A175" s="401">
        <v>46</v>
      </c>
      <c r="B175" s="411" t="s">
        <v>7327</v>
      </c>
      <c r="C175" s="401" t="s">
        <v>998</v>
      </c>
      <c r="D175" s="600">
        <v>35.159999999999997</v>
      </c>
    </row>
    <row r="176" spans="1:4">
      <c r="A176" s="401">
        <v>51</v>
      </c>
      <c r="B176" s="411" t="s">
        <v>7328</v>
      </c>
      <c r="C176" s="401" t="s">
        <v>998</v>
      </c>
      <c r="D176" s="600">
        <v>96.99</v>
      </c>
    </row>
    <row r="177" spans="1:4">
      <c r="A177" s="401">
        <v>12863</v>
      </c>
      <c r="B177" s="411" t="s">
        <v>7329</v>
      </c>
      <c r="C177" s="401" t="s">
        <v>998</v>
      </c>
      <c r="D177" s="600">
        <v>22.34</v>
      </c>
    </row>
    <row r="178" spans="1:4">
      <c r="A178" s="401">
        <v>50</v>
      </c>
      <c r="B178" s="411" t="s">
        <v>7330</v>
      </c>
      <c r="C178" s="401" t="s">
        <v>998</v>
      </c>
      <c r="D178" s="600">
        <v>50.64</v>
      </c>
    </row>
    <row r="179" spans="1:4">
      <c r="A179" s="401">
        <v>47</v>
      </c>
      <c r="B179" s="411" t="s">
        <v>7331</v>
      </c>
      <c r="C179" s="401" t="s">
        <v>998</v>
      </c>
      <c r="D179" s="600">
        <v>60.11</v>
      </c>
    </row>
    <row r="180" spans="1:4">
      <c r="A180" s="401">
        <v>48</v>
      </c>
      <c r="B180" s="411" t="s">
        <v>7332</v>
      </c>
      <c r="C180" s="401" t="s">
        <v>998</v>
      </c>
      <c r="D180" s="600">
        <v>15.68</v>
      </c>
    </row>
    <row r="181" spans="1:4">
      <c r="A181" s="401">
        <v>52</v>
      </c>
      <c r="B181" s="411" t="s">
        <v>7333</v>
      </c>
      <c r="C181" s="401" t="s">
        <v>998</v>
      </c>
      <c r="D181" s="600">
        <v>11.91</v>
      </c>
    </row>
    <row r="182" spans="1:4">
      <c r="A182" s="401">
        <v>43</v>
      </c>
      <c r="B182" s="411" t="s">
        <v>7334</v>
      </c>
      <c r="C182" s="401" t="s">
        <v>998</v>
      </c>
      <c r="D182" s="600">
        <v>40.200000000000003</v>
      </c>
    </row>
    <row r="183" spans="1:4">
      <c r="A183" s="401">
        <v>4791</v>
      </c>
      <c r="B183" s="411" t="s">
        <v>7335</v>
      </c>
      <c r="C183" s="401" t="s">
        <v>995</v>
      </c>
      <c r="D183" s="600">
        <v>12.94</v>
      </c>
    </row>
    <row r="184" spans="1:4" ht="25.5">
      <c r="A184" s="401">
        <v>157</v>
      </c>
      <c r="B184" s="411" t="s">
        <v>7336</v>
      </c>
      <c r="C184" s="401" t="s">
        <v>995</v>
      </c>
      <c r="D184" s="600">
        <v>104.91</v>
      </c>
    </row>
    <row r="185" spans="1:4">
      <c r="A185" s="401">
        <v>156</v>
      </c>
      <c r="B185" s="411" t="s">
        <v>7337</v>
      </c>
      <c r="C185" s="401" t="s">
        <v>995</v>
      </c>
      <c r="D185" s="600">
        <v>37.35</v>
      </c>
    </row>
    <row r="186" spans="1:4">
      <c r="A186" s="401">
        <v>131</v>
      </c>
      <c r="B186" s="411" t="s">
        <v>7338</v>
      </c>
      <c r="C186" s="401" t="s">
        <v>995</v>
      </c>
      <c r="D186" s="600">
        <v>31.94</v>
      </c>
    </row>
    <row r="187" spans="1:4" ht="25.5">
      <c r="A187" s="401">
        <v>39719</v>
      </c>
      <c r="B187" s="411" t="s">
        <v>7339</v>
      </c>
      <c r="C187" s="401" t="s">
        <v>997</v>
      </c>
      <c r="D187" s="600">
        <v>104.69</v>
      </c>
    </row>
    <row r="188" spans="1:4">
      <c r="A188" s="401">
        <v>21114</v>
      </c>
      <c r="B188" s="411" t="s">
        <v>7340</v>
      </c>
      <c r="C188" s="401" t="s">
        <v>998</v>
      </c>
      <c r="D188" s="600">
        <v>22.43</v>
      </c>
    </row>
    <row r="189" spans="1:4">
      <c r="A189" s="401">
        <v>119</v>
      </c>
      <c r="B189" s="411" t="s">
        <v>7341</v>
      </c>
      <c r="C189" s="401" t="s">
        <v>998</v>
      </c>
      <c r="D189" s="600">
        <v>8.85</v>
      </c>
    </row>
    <row r="190" spans="1:4">
      <c r="A190" s="401">
        <v>20080</v>
      </c>
      <c r="B190" s="411" t="s">
        <v>7342</v>
      </c>
      <c r="C190" s="401" t="s">
        <v>998</v>
      </c>
      <c r="D190" s="600">
        <v>25.37</v>
      </c>
    </row>
    <row r="191" spans="1:4">
      <c r="A191" s="401">
        <v>122</v>
      </c>
      <c r="B191" s="411" t="s">
        <v>7343</v>
      </c>
      <c r="C191" s="401" t="s">
        <v>998</v>
      </c>
      <c r="D191" s="600">
        <v>79.94</v>
      </c>
    </row>
    <row r="192" spans="1:4">
      <c r="A192" s="401">
        <v>3410</v>
      </c>
      <c r="B192" s="411" t="s">
        <v>7344</v>
      </c>
      <c r="C192" s="401" t="s">
        <v>995</v>
      </c>
      <c r="D192" s="600">
        <v>19.72</v>
      </c>
    </row>
    <row r="193" spans="1:4" ht="25.5">
      <c r="A193" s="401">
        <v>124</v>
      </c>
      <c r="B193" s="411" t="s">
        <v>7345</v>
      </c>
      <c r="C193" s="401" t="s">
        <v>997</v>
      </c>
      <c r="D193" s="600">
        <v>12.32</v>
      </c>
    </row>
    <row r="194" spans="1:4">
      <c r="A194" s="401">
        <v>7334</v>
      </c>
      <c r="B194" s="411" t="s">
        <v>7346</v>
      </c>
      <c r="C194" s="401" t="s">
        <v>997</v>
      </c>
      <c r="D194" s="600">
        <v>7.75</v>
      </c>
    </row>
    <row r="195" spans="1:4" ht="25.5">
      <c r="A195" s="401">
        <v>123</v>
      </c>
      <c r="B195" s="411" t="s">
        <v>7347</v>
      </c>
      <c r="C195" s="401" t="s">
        <v>997</v>
      </c>
      <c r="D195" s="600">
        <v>5.04</v>
      </c>
    </row>
    <row r="196" spans="1:4">
      <c r="A196" s="401">
        <v>127</v>
      </c>
      <c r="B196" s="411" t="s">
        <v>7348</v>
      </c>
      <c r="C196" s="401" t="s">
        <v>997</v>
      </c>
      <c r="D196" s="600">
        <v>12.03</v>
      </c>
    </row>
    <row r="197" spans="1:4">
      <c r="A197" s="401">
        <v>41373</v>
      </c>
      <c r="B197" s="411" t="s">
        <v>7349</v>
      </c>
      <c r="C197" s="401" t="s">
        <v>997</v>
      </c>
      <c r="D197" s="600">
        <v>16.760000000000002</v>
      </c>
    </row>
    <row r="198" spans="1:4" ht="25.5">
      <c r="A198" s="401">
        <v>133</v>
      </c>
      <c r="B198" s="411" t="s">
        <v>7350</v>
      </c>
      <c r="C198" s="401" t="s">
        <v>997</v>
      </c>
      <c r="D198" s="600">
        <v>4.99</v>
      </c>
    </row>
    <row r="199" spans="1:4" ht="25.5">
      <c r="A199" s="401">
        <v>43617</v>
      </c>
      <c r="B199" s="411" t="s">
        <v>7351</v>
      </c>
      <c r="C199" s="401" t="s">
        <v>997</v>
      </c>
      <c r="D199" s="600">
        <v>5.58</v>
      </c>
    </row>
    <row r="200" spans="1:4" ht="25.5">
      <c r="A200" s="401">
        <v>132</v>
      </c>
      <c r="B200" s="411" t="s">
        <v>7352</v>
      </c>
      <c r="C200" s="401" t="s">
        <v>997</v>
      </c>
      <c r="D200" s="600">
        <v>5.18</v>
      </c>
    </row>
    <row r="201" spans="1:4" ht="25.5">
      <c r="A201" s="401">
        <v>43618</v>
      </c>
      <c r="B201" s="411" t="s">
        <v>7353</v>
      </c>
      <c r="C201" s="401" t="s">
        <v>995</v>
      </c>
      <c r="D201" s="600">
        <v>13.04</v>
      </c>
    </row>
    <row r="202" spans="1:4" ht="25.5">
      <c r="A202" s="401">
        <v>37476</v>
      </c>
      <c r="B202" s="411" t="s">
        <v>7354</v>
      </c>
      <c r="C202" s="401" t="s">
        <v>998</v>
      </c>
      <c r="D202" s="600">
        <v>1889.9</v>
      </c>
    </row>
    <row r="203" spans="1:4" ht="25.5">
      <c r="A203" s="401">
        <v>37478</v>
      </c>
      <c r="B203" s="411" t="s">
        <v>7355</v>
      </c>
      <c r="C203" s="401" t="s">
        <v>998</v>
      </c>
      <c r="D203" s="600">
        <v>2673.71</v>
      </c>
    </row>
    <row r="204" spans="1:4" ht="25.5">
      <c r="A204" s="401">
        <v>37477</v>
      </c>
      <c r="B204" s="411" t="s">
        <v>7356</v>
      </c>
      <c r="C204" s="401" t="s">
        <v>998</v>
      </c>
      <c r="D204" s="600">
        <v>3271.67</v>
      </c>
    </row>
    <row r="205" spans="1:4" ht="25.5">
      <c r="A205" s="401">
        <v>37479</v>
      </c>
      <c r="B205" s="411" t="s">
        <v>7357</v>
      </c>
      <c r="C205" s="401" t="s">
        <v>998</v>
      </c>
      <c r="D205" s="600">
        <v>4090.85</v>
      </c>
    </row>
    <row r="206" spans="1:4">
      <c r="A206" s="401">
        <v>4319</v>
      </c>
      <c r="B206" s="411" t="s">
        <v>7358</v>
      </c>
      <c r="C206" s="401" t="s">
        <v>998</v>
      </c>
      <c r="D206" s="600">
        <v>1.01</v>
      </c>
    </row>
    <row r="207" spans="1:4">
      <c r="A207" s="401">
        <v>42409</v>
      </c>
      <c r="B207" s="411" t="s">
        <v>7359</v>
      </c>
      <c r="C207" s="401" t="s">
        <v>995</v>
      </c>
      <c r="D207" s="600">
        <v>8.2100000000000009</v>
      </c>
    </row>
    <row r="208" spans="1:4">
      <c r="A208" s="401">
        <v>40553</v>
      </c>
      <c r="B208" s="411" t="s">
        <v>7360</v>
      </c>
      <c r="C208" s="401" t="s">
        <v>996</v>
      </c>
      <c r="D208" s="600">
        <v>34.08</v>
      </c>
    </row>
    <row r="209" spans="1:4">
      <c r="A209" s="401">
        <v>13003</v>
      </c>
      <c r="B209" s="411" t="s">
        <v>7361</v>
      </c>
      <c r="C209" s="401" t="s">
        <v>997</v>
      </c>
      <c r="D209" s="600">
        <v>2.4</v>
      </c>
    </row>
    <row r="210" spans="1:4">
      <c r="A210" s="401">
        <v>6114</v>
      </c>
      <c r="B210" s="411" t="s">
        <v>7362</v>
      </c>
      <c r="C210" s="401" t="s">
        <v>1001</v>
      </c>
      <c r="D210" s="600">
        <v>8.9</v>
      </c>
    </row>
    <row r="211" spans="1:4">
      <c r="A211" s="401">
        <v>40912</v>
      </c>
      <c r="B211" s="411" t="s">
        <v>7363</v>
      </c>
      <c r="C211" s="401" t="s">
        <v>1118</v>
      </c>
      <c r="D211" s="600">
        <v>1581</v>
      </c>
    </row>
    <row r="212" spans="1:4">
      <c r="A212" s="401">
        <v>247</v>
      </c>
      <c r="B212" s="411" t="s">
        <v>7364</v>
      </c>
      <c r="C212" s="401" t="s">
        <v>1001</v>
      </c>
      <c r="D212" s="600">
        <v>9.2899999999999991</v>
      </c>
    </row>
    <row r="213" spans="1:4">
      <c r="A213" s="401">
        <v>40919</v>
      </c>
      <c r="B213" s="411" t="s">
        <v>7365</v>
      </c>
      <c r="C213" s="401" t="s">
        <v>1118</v>
      </c>
      <c r="D213" s="600">
        <v>1649.37</v>
      </c>
    </row>
    <row r="214" spans="1:4">
      <c r="A214" s="401">
        <v>25958</v>
      </c>
      <c r="B214" s="411" t="s">
        <v>7366</v>
      </c>
      <c r="C214" s="401" t="s">
        <v>1001</v>
      </c>
      <c r="D214" s="600">
        <v>6.6</v>
      </c>
    </row>
    <row r="215" spans="1:4">
      <c r="A215" s="401">
        <v>40984</v>
      </c>
      <c r="B215" s="411" t="s">
        <v>7367</v>
      </c>
      <c r="C215" s="401" t="s">
        <v>1118</v>
      </c>
      <c r="D215" s="600">
        <v>1171.25</v>
      </c>
    </row>
    <row r="216" spans="1:4">
      <c r="A216" s="401">
        <v>248</v>
      </c>
      <c r="B216" s="411" t="s">
        <v>7368</v>
      </c>
      <c r="C216" s="401" t="s">
        <v>1001</v>
      </c>
      <c r="D216" s="600">
        <v>9.2200000000000006</v>
      </c>
    </row>
    <row r="217" spans="1:4">
      <c r="A217" s="401">
        <v>41086</v>
      </c>
      <c r="B217" s="411" t="s">
        <v>7369</v>
      </c>
      <c r="C217" s="401" t="s">
        <v>1118</v>
      </c>
      <c r="D217" s="600">
        <v>1635.97</v>
      </c>
    </row>
    <row r="218" spans="1:4">
      <c r="A218" s="401">
        <v>34466</v>
      </c>
      <c r="B218" s="411" t="s">
        <v>7370</v>
      </c>
      <c r="C218" s="401" t="s">
        <v>1001</v>
      </c>
      <c r="D218" s="600">
        <v>9.2200000000000006</v>
      </c>
    </row>
    <row r="219" spans="1:4">
      <c r="A219" s="401">
        <v>41083</v>
      </c>
      <c r="B219" s="411" t="s">
        <v>7371</v>
      </c>
      <c r="C219" s="401" t="s">
        <v>1118</v>
      </c>
      <c r="D219" s="600">
        <v>1635.97</v>
      </c>
    </row>
    <row r="220" spans="1:4">
      <c r="A220" s="401">
        <v>252</v>
      </c>
      <c r="B220" s="411" t="s">
        <v>7372</v>
      </c>
      <c r="C220" s="401" t="s">
        <v>1001</v>
      </c>
      <c r="D220" s="600">
        <v>9.57</v>
      </c>
    </row>
    <row r="221" spans="1:4">
      <c r="A221" s="401">
        <v>40909</v>
      </c>
      <c r="B221" s="411" t="s">
        <v>7373</v>
      </c>
      <c r="C221" s="401" t="s">
        <v>1118</v>
      </c>
      <c r="D221" s="600">
        <v>1695.78</v>
      </c>
    </row>
    <row r="222" spans="1:4">
      <c r="A222" s="401">
        <v>242</v>
      </c>
      <c r="B222" s="411" t="s">
        <v>7374</v>
      </c>
      <c r="C222" s="401" t="s">
        <v>1001</v>
      </c>
      <c r="D222" s="600">
        <v>12.33</v>
      </c>
    </row>
    <row r="223" spans="1:4">
      <c r="A223" s="401">
        <v>41085</v>
      </c>
      <c r="B223" s="411" t="s">
        <v>7375</v>
      </c>
      <c r="C223" s="401" t="s">
        <v>1118</v>
      </c>
      <c r="D223" s="600">
        <v>2188.15</v>
      </c>
    </row>
    <row r="224" spans="1:4" ht="25.5">
      <c r="A224" s="401">
        <v>427</v>
      </c>
      <c r="B224" s="411" t="s">
        <v>7376</v>
      </c>
      <c r="C224" s="401" t="s">
        <v>998</v>
      </c>
      <c r="D224" s="600">
        <v>4.8899999999999997</v>
      </c>
    </row>
    <row r="225" spans="1:4" ht="25.5">
      <c r="A225" s="401">
        <v>417</v>
      </c>
      <c r="B225" s="411" t="s">
        <v>7377</v>
      </c>
      <c r="C225" s="401" t="s">
        <v>998</v>
      </c>
      <c r="D225" s="600">
        <v>2.2999999999999998</v>
      </c>
    </row>
    <row r="226" spans="1:4" ht="25.5">
      <c r="A226" s="401">
        <v>11273</v>
      </c>
      <c r="B226" s="411" t="s">
        <v>7378</v>
      </c>
      <c r="C226" s="401" t="s">
        <v>998</v>
      </c>
      <c r="D226" s="600">
        <v>7.15</v>
      </c>
    </row>
    <row r="227" spans="1:4" ht="25.5">
      <c r="A227" s="401">
        <v>11272</v>
      </c>
      <c r="B227" s="411" t="s">
        <v>7379</v>
      </c>
      <c r="C227" s="401" t="s">
        <v>998</v>
      </c>
      <c r="D227" s="600">
        <v>4.3099999999999996</v>
      </c>
    </row>
    <row r="228" spans="1:4" ht="25.5">
      <c r="A228" s="401">
        <v>11275</v>
      </c>
      <c r="B228" s="411" t="s">
        <v>7380</v>
      </c>
      <c r="C228" s="401" t="s">
        <v>998</v>
      </c>
      <c r="D228" s="600">
        <v>1.73</v>
      </c>
    </row>
    <row r="229" spans="1:4" ht="25.5">
      <c r="A229" s="401">
        <v>11274</v>
      </c>
      <c r="B229" s="411" t="s">
        <v>7381</v>
      </c>
      <c r="C229" s="401" t="s">
        <v>998</v>
      </c>
      <c r="D229" s="600">
        <v>1.32</v>
      </c>
    </row>
    <row r="230" spans="1:4">
      <c r="A230" s="401">
        <v>38470</v>
      </c>
      <c r="B230" s="411" t="s">
        <v>7382</v>
      </c>
      <c r="C230" s="401" t="s">
        <v>998</v>
      </c>
      <c r="D230" s="600">
        <v>42.34</v>
      </c>
    </row>
    <row r="231" spans="1:4">
      <c r="A231" s="401">
        <v>38547</v>
      </c>
      <c r="B231" s="411" t="s">
        <v>7383</v>
      </c>
      <c r="C231" s="401" t="s">
        <v>998</v>
      </c>
      <c r="D231" s="600">
        <v>115.54</v>
      </c>
    </row>
    <row r="232" spans="1:4">
      <c r="A232" s="401">
        <v>38469</v>
      </c>
      <c r="B232" s="411" t="s">
        <v>7384</v>
      </c>
      <c r="C232" s="401" t="s">
        <v>998</v>
      </c>
      <c r="D232" s="600">
        <v>124.23</v>
      </c>
    </row>
    <row r="233" spans="1:4">
      <c r="A233" s="401">
        <v>38467</v>
      </c>
      <c r="B233" s="411" t="s">
        <v>7385</v>
      </c>
      <c r="C233" s="401" t="s">
        <v>998</v>
      </c>
      <c r="D233" s="600">
        <v>69.900000000000006</v>
      </c>
    </row>
    <row r="234" spans="1:4">
      <c r="A234" s="401">
        <v>38468</v>
      </c>
      <c r="B234" s="411" t="s">
        <v>7386</v>
      </c>
      <c r="C234" s="401" t="s">
        <v>998</v>
      </c>
      <c r="D234" s="600">
        <v>76.92</v>
      </c>
    </row>
    <row r="235" spans="1:4">
      <c r="A235" s="401">
        <v>38471</v>
      </c>
      <c r="B235" s="411" t="s">
        <v>7387</v>
      </c>
      <c r="C235" s="401" t="s">
        <v>998</v>
      </c>
      <c r="D235" s="600">
        <v>99.89</v>
      </c>
    </row>
    <row r="236" spans="1:4">
      <c r="A236" s="401">
        <v>37370</v>
      </c>
      <c r="B236" s="411" t="s">
        <v>7388</v>
      </c>
      <c r="C236" s="401" t="s">
        <v>1001</v>
      </c>
      <c r="D236" s="600">
        <v>2.2000000000000002</v>
      </c>
    </row>
    <row r="237" spans="1:4">
      <c r="A237" s="401">
        <v>40862</v>
      </c>
      <c r="B237" s="411" t="s">
        <v>7389</v>
      </c>
      <c r="C237" s="401" t="s">
        <v>1118</v>
      </c>
      <c r="D237" s="600">
        <v>415.08</v>
      </c>
    </row>
    <row r="238" spans="1:4" ht="25.5">
      <c r="A238" s="401">
        <v>10658</v>
      </c>
      <c r="B238" s="411" t="s">
        <v>7390</v>
      </c>
      <c r="C238" s="401" t="s">
        <v>998</v>
      </c>
      <c r="D238" s="600">
        <v>7075</v>
      </c>
    </row>
    <row r="239" spans="1:4">
      <c r="A239" s="401">
        <v>253</v>
      </c>
      <c r="B239" s="411" t="s">
        <v>7391</v>
      </c>
      <c r="C239" s="401" t="s">
        <v>1001</v>
      </c>
      <c r="D239" s="600">
        <v>12.79</v>
      </c>
    </row>
    <row r="240" spans="1:4">
      <c r="A240" s="401">
        <v>40809</v>
      </c>
      <c r="B240" s="411" t="s">
        <v>7392</v>
      </c>
      <c r="C240" s="401" t="s">
        <v>1118</v>
      </c>
      <c r="D240" s="600">
        <v>2266.4299999999998</v>
      </c>
    </row>
    <row r="241" spans="1:4" ht="38.25">
      <c r="A241" s="401">
        <v>42428</v>
      </c>
      <c r="B241" s="411" t="s">
        <v>7393</v>
      </c>
      <c r="C241" s="401" t="s">
        <v>998</v>
      </c>
      <c r="D241" s="600">
        <v>1264</v>
      </c>
    </row>
    <row r="242" spans="1:4">
      <c r="A242" s="401">
        <v>583</v>
      </c>
      <c r="B242" s="411" t="s">
        <v>7394</v>
      </c>
      <c r="C242" s="401" t="s">
        <v>995</v>
      </c>
      <c r="D242" s="600">
        <v>28.38</v>
      </c>
    </row>
    <row r="243" spans="1:4">
      <c r="A243" s="401">
        <v>299</v>
      </c>
      <c r="B243" s="411" t="s">
        <v>7395</v>
      </c>
      <c r="C243" s="401" t="s">
        <v>998</v>
      </c>
      <c r="D243" s="600">
        <v>2.99</v>
      </c>
    </row>
    <row r="244" spans="1:4">
      <c r="A244" s="401">
        <v>298</v>
      </c>
      <c r="B244" s="411" t="s">
        <v>7396</v>
      </c>
      <c r="C244" s="401" t="s">
        <v>998</v>
      </c>
      <c r="D244" s="600">
        <v>3.01</v>
      </c>
    </row>
    <row r="245" spans="1:4">
      <c r="A245" s="401">
        <v>295</v>
      </c>
      <c r="B245" s="411" t="s">
        <v>7397</v>
      </c>
      <c r="C245" s="401" t="s">
        <v>998</v>
      </c>
      <c r="D245" s="600">
        <v>1.79</v>
      </c>
    </row>
    <row r="246" spans="1:4">
      <c r="A246" s="401">
        <v>296</v>
      </c>
      <c r="B246" s="411" t="s">
        <v>7398</v>
      </c>
      <c r="C246" s="401" t="s">
        <v>998</v>
      </c>
      <c r="D246" s="600">
        <v>1.86</v>
      </c>
    </row>
    <row r="247" spans="1:4">
      <c r="A247" s="401">
        <v>297</v>
      </c>
      <c r="B247" s="411" t="s">
        <v>7399</v>
      </c>
      <c r="C247" s="401" t="s">
        <v>998</v>
      </c>
      <c r="D247" s="600">
        <v>2.63</v>
      </c>
    </row>
    <row r="248" spans="1:4">
      <c r="A248" s="401">
        <v>301</v>
      </c>
      <c r="B248" s="411" t="s">
        <v>7400</v>
      </c>
      <c r="C248" s="401" t="s">
        <v>998</v>
      </c>
      <c r="D248" s="600">
        <v>3.3</v>
      </c>
    </row>
    <row r="249" spans="1:4">
      <c r="A249" s="401">
        <v>300</v>
      </c>
      <c r="B249" s="411" t="s">
        <v>7401</v>
      </c>
      <c r="C249" s="401" t="s">
        <v>998</v>
      </c>
      <c r="D249" s="600">
        <v>13.86</v>
      </c>
    </row>
    <row r="250" spans="1:4">
      <c r="A250" s="401">
        <v>20084</v>
      </c>
      <c r="B250" s="411" t="s">
        <v>7402</v>
      </c>
      <c r="C250" s="401" t="s">
        <v>998</v>
      </c>
      <c r="D250" s="600">
        <v>1.79</v>
      </c>
    </row>
    <row r="251" spans="1:4">
      <c r="A251" s="401">
        <v>20085</v>
      </c>
      <c r="B251" s="411" t="s">
        <v>7403</v>
      </c>
      <c r="C251" s="401" t="s">
        <v>998</v>
      </c>
      <c r="D251" s="600">
        <v>1.66</v>
      </c>
    </row>
    <row r="252" spans="1:4">
      <c r="A252" s="401">
        <v>311</v>
      </c>
      <c r="B252" s="411" t="s">
        <v>7404</v>
      </c>
      <c r="C252" s="401" t="s">
        <v>998</v>
      </c>
      <c r="D252" s="600">
        <v>10.73</v>
      </c>
    </row>
    <row r="253" spans="1:4">
      <c r="A253" s="401">
        <v>318</v>
      </c>
      <c r="B253" s="411" t="s">
        <v>7405</v>
      </c>
      <c r="C253" s="401" t="s">
        <v>998</v>
      </c>
      <c r="D253" s="600">
        <v>18.79</v>
      </c>
    </row>
    <row r="254" spans="1:4">
      <c r="A254" s="401">
        <v>319</v>
      </c>
      <c r="B254" s="411" t="s">
        <v>7406</v>
      </c>
      <c r="C254" s="401" t="s">
        <v>998</v>
      </c>
      <c r="D254" s="600">
        <v>35.49</v>
      </c>
    </row>
    <row r="255" spans="1:4">
      <c r="A255" s="401">
        <v>320</v>
      </c>
      <c r="B255" s="411" t="s">
        <v>7407</v>
      </c>
      <c r="C255" s="401" t="s">
        <v>998</v>
      </c>
      <c r="D255" s="600">
        <v>112.84</v>
      </c>
    </row>
    <row r="256" spans="1:4">
      <c r="A256" s="401">
        <v>314</v>
      </c>
      <c r="B256" s="411" t="s">
        <v>7408</v>
      </c>
      <c r="C256" s="401" t="s">
        <v>998</v>
      </c>
      <c r="D256" s="600">
        <v>173.33</v>
      </c>
    </row>
    <row r="257" spans="1:4">
      <c r="A257" s="401">
        <v>303</v>
      </c>
      <c r="B257" s="411" t="s">
        <v>7409</v>
      </c>
      <c r="C257" s="401" t="s">
        <v>998</v>
      </c>
      <c r="D257" s="600">
        <v>4.49</v>
      </c>
    </row>
    <row r="258" spans="1:4">
      <c r="A258" s="401">
        <v>304</v>
      </c>
      <c r="B258" s="411" t="s">
        <v>7410</v>
      </c>
      <c r="C258" s="401" t="s">
        <v>998</v>
      </c>
      <c r="D258" s="600">
        <v>6.86</v>
      </c>
    </row>
    <row r="259" spans="1:4">
      <c r="A259" s="401">
        <v>305</v>
      </c>
      <c r="B259" s="411" t="s">
        <v>7411</v>
      </c>
      <c r="C259" s="401" t="s">
        <v>998</v>
      </c>
      <c r="D259" s="600">
        <v>11.73</v>
      </c>
    </row>
    <row r="260" spans="1:4">
      <c r="A260" s="401">
        <v>306</v>
      </c>
      <c r="B260" s="411" t="s">
        <v>7412</v>
      </c>
      <c r="C260" s="401" t="s">
        <v>998</v>
      </c>
      <c r="D260" s="600">
        <v>14.09</v>
      </c>
    </row>
    <row r="261" spans="1:4">
      <c r="A261" s="401">
        <v>307</v>
      </c>
      <c r="B261" s="411" t="s">
        <v>7413</v>
      </c>
      <c r="C261" s="401" t="s">
        <v>998</v>
      </c>
      <c r="D261" s="600">
        <v>27.83</v>
      </c>
    </row>
    <row r="262" spans="1:4">
      <c r="A262" s="401">
        <v>309</v>
      </c>
      <c r="B262" s="411" t="s">
        <v>7414</v>
      </c>
      <c r="C262" s="401" t="s">
        <v>998</v>
      </c>
      <c r="D262" s="600">
        <v>57.03</v>
      </c>
    </row>
    <row r="263" spans="1:4">
      <c r="A263" s="401">
        <v>310</v>
      </c>
      <c r="B263" s="411" t="s">
        <v>7415</v>
      </c>
      <c r="C263" s="401" t="s">
        <v>998</v>
      </c>
      <c r="D263" s="600">
        <v>72.33</v>
      </c>
    </row>
    <row r="264" spans="1:4">
      <c r="A264" s="401">
        <v>328</v>
      </c>
      <c r="B264" s="411" t="s">
        <v>7416</v>
      </c>
      <c r="C264" s="401" t="s">
        <v>998</v>
      </c>
      <c r="D264" s="600">
        <v>8.6300000000000008</v>
      </c>
    </row>
    <row r="265" spans="1:4">
      <c r="A265" s="401">
        <v>325</v>
      </c>
      <c r="B265" s="411" t="s">
        <v>7417</v>
      </c>
      <c r="C265" s="401" t="s">
        <v>998</v>
      </c>
      <c r="D265" s="600">
        <v>3.34</v>
      </c>
    </row>
    <row r="266" spans="1:4">
      <c r="A266" s="401">
        <v>20326</v>
      </c>
      <c r="B266" s="411" t="s">
        <v>7418</v>
      </c>
      <c r="C266" s="401" t="s">
        <v>998</v>
      </c>
      <c r="D266" s="600">
        <v>8.9600000000000009</v>
      </c>
    </row>
    <row r="267" spans="1:4">
      <c r="A267" s="401">
        <v>329</v>
      </c>
      <c r="B267" s="411" t="s">
        <v>7419</v>
      </c>
      <c r="C267" s="401" t="s">
        <v>998</v>
      </c>
      <c r="D267" s="600">
        <v>11.03</v>
      </c>
    </row>
    <row r="268" spans="1:4">
      <c r="A268" s="401">
        <v>308</v>
      </c>
      <c r="B268" s="411" t="s">
        <v>7420</v>
      </c>
      <c r="C268" s="401" t="s">
        <v>998</v>
      </c>
      <c r="D268" s="600">
        <v>37.159999999999997</v>
      </c>
    </row>
    <row r="269" spans="1:4">
      <c r="A269" s="401">
        <v>39642</v>
      </c>
      <c r="B269" s="411" t="s">
        <v>7421</v>
      </c>
      <c r="C269" s="401" t="s">
        <v>998</v>
      </c>
      <c r="D269" s="600">
        <v>2.25</v>
      </c>
    </row>
    <row r="270" spans="1:4">
      <c r="A270" s="401">
        <v>39641</v>
      </c>
      <c r="B270" s="411" t="s">
        <v>7422</v>
      </c>
      <c r="C270" s="401" t="s">
        <v>998</v>
      </c>
      <c r="D270" s="600">
        <v>1.57</v>
      </c>
    </row>
    <row r="271" spans="1:4">
      <c r="A271" s="401">
        <v>39643</v>
      </c>
      <c r="B271" s="411" t="s">
        <v>7423</v>
      </c>
      <c r="C271" s="401" t="s">
        <v>998</v>
      </c>
      <c r="D271" s="600">
        <v>6.27</v>
      </c>
    </row>
    <row r="272" spans="1:4">
      <c r="A272" s="401">
        <v>39644</v>
      </c>
      <c r="B272" s="411" t="s">
        <v>7424</v>
      </c>
      <c r="C272" s="401" t="s">
        <v>998</v>
      </c>
      <c r="D272" s="600">
        <v>8.09</v>
      </c>
    </row>
    <row r="273" spans="1:4">
      <c r="A273" s="401">
        <v>39645</v>
      </c>
      <c r="B273" s="411" t="s">
        <v>7425</v>
      </c>
      <c r="C273" s="401" t="s">
        <v>998</v>
      </c>
      <c r="D273" s="600">
        <v>10.45</v>
      </c>
    </row>
    <row r="274" spans="1:4">
      <c r="A274" s="401">
        <v>12548</v>
      </c>
      <c r="B274" s="411" t="s">
        <v>7426</v>
      </c>
      <c r="C274" s="401" t="s">
        <v>998</v>
      </c>
      <c r="D274" s="600">
        <v>94.52</v>
      </c>
    </row>
    <row r="275" spans="1:4">
      <c r="A275" s="401">
        <v>13113</v>
      </c>
      <c r="B275" s="411" t="s">
        <v>7427</v>
      </c>
      <c r="C275" s="401" t="s">
        <v>998</v>
      </c>
      <c r="D275" s="600">
        <v>38.74</v>
      </c>
    </row>
    <row r="276" spans="1:4">
      <c r="A276" s="401">
        <v>13114</v>
      </c>
      <c r="B276" s="411" t="s">
        <v>7428</v>
      </c>
      <c r="C276" s="401" t="s">
        <v>998</v>
      </c>
      <c r="D276" s="600">
        <v>47.16</v>
      </c>
    </row>
    <row r="277" spans="1:4">
      <c r="A277" s="401">
        <v>12530</v>
      </c>
      <c r="B277" s="411" t="s">
        <v>7429</v>
      </c>
      <c r="C277" s="401" t="s">
        <v>998</v>
      </c>
      <c r="D277" s="600">
        <v>57.46</v>
      </c>
    </row>
    <row r="278" spans="1:4">
      <c r="A278" s="401">
        <v>12531</v>
      </c>
      <c r="B278" s="411" t="s">
        <v>7430</v>
      </c>
      <c r="C278" s="401" t="s">
        <v>998</v>
      </c>
      <c r="D278" s="600">
        <v>64.27</v>
      </c>
    </row>
    <row r="279" spans="1:4">
      <c r="A279" s="401">
        <v>12532</v>
      </c>
      <c r="B279" s="411" t="s">
        <v>7431</v>
      </c>
      <c r="C279" s="401" t="s">
        <v>998</v>
      </c>
      <c r="D279" s="600">
        <v>78.599999999999994</v>
      </c>
    </row>
    <row r="280" spans="1:4">
      <c r="A280" s="401">
        <v>12533</v>
      </c>
      <c r="B280" s="411" t="s">
        <v>7432</v>
      </c>
      <c r="C280" s="401" t="s">
        <v>998</v>
      </c>
      <c r="D280" s="600">
        <v>93.76</v>
      </c>
    </row>
    <row r="281" spans="1:4">
      <c r="A281" s="401">
        <v>12544</v>
      </c>
      <c r="B281" s="411" t="s">
        <v>7433</v>
      </c>
      <c r="C281" s="401" t="s">
        <v>998</v>
      </c>
      <c r="D281" s="600">
        <v>114.53</v>
      </c>
    </row>
    <row r="282" spans="1:4">
      <c r="A282" s="401">
        <v>12546</v>
      </c>
      <c r="B282" s="411" t="s">
        <v>7434</v>
      </c>
      <c r="C282" s="401" t="s">
        <v>998</v>
      </c>
      <c r="D282" s="600">
        <v>118.56</v>
      </c>
    </row>
    <row r="283" spans="1:4">
      <c r="A283" s="401">
        <v>12547</v>
      </c>
      <c r="B283" s="411" t="s">
        <v>7435</v>
      </c>
      <c r="C283" s="401" t="s">
        <v>998</v>
      </c>
      <c r="D283" s="600">
        <v>137.87</v>
      </c>
    </row>
    <row r="284" spans="1:4">
      <c r="A284" s="401">
        <v>12551</v>
      </c>
      <c r="B284" s="411" t="s">
        <v>7436</v>
      </c>
      <c r="C284" s="401" t="s">
        <v>998</v>
      </c>
      <c r="D284" s="600">
        <v>150.13</v>
      </c>
    </row>
    <row r="285" spans="1:4">
      <c r="A285" s="401">
        <v>12563</v>
      </c>
      <c r="B285" s="411" t="s">
        <v>7437</v>
      </c>
      <c r="C285" s="401" t="s">
        <v>998</v>
      </c>
      <c r="D285" s="600">
        <v>235.81</v>
      </c>
    </row>
    <row r="286" spans="1:4">
      <c r="A286" s="401">
        <v>12565</v>
      </c>
      <c r="B286" s="411" t="s">
        <v>7438</v>
      </c>
      <c r="C286" s="401" t="s">
        <v>998</v>
      </c>
      <c r="D286" s="600">
        <v>371.08</v>
      </c>
    </row>
    <row r="287" spans="1:4">
      <c r="A287" s="401">
        <v>12567</v>
      </c>
      <c r="B287" s="411" t="s">
        <v>7439</v>
      </c>
      <c r="C287" s="401" t="s">
        <v>998</v>
      </c>
      <c r="D287" s="600">
        <v>482.86</v>
      </c>
    </row>
    <row r="288" spans="1:4">
      <c r="A288" s="401">
        <v>12568</v>
      </c>
      <c r="B288" s="411" t="s">
        <v>7440</v>
      </c>
      <c r="C288" s="401" t="s">
        <v>998</v>
      </c>
      <c r="D288" s="600">
        <v>797.28</v>
      </c>
    </row>
    <row r="289" spans="1:4">
      <c r="A289" s="401">
        <v>11789</v>
      </c>
      <c r="B289" s="411" t="s">
        <v>7441</v>
      </c>
      <c r="C289" s="401" t="s">
        <v>998</v>
      </c>
      <c r="D289" s="600">
        <v>0.65</v>
      </c>
    </row>
    <row r="290" spans="1:4" ht="25.5">
      <c r="A290" s="401">
        <v>20975</v>
      </c>
      <c r="B290" s="411" t="s">
        <v>7442</v>
      </c>
      <c r="C290" s="401" t="s">
        <v>998</v>
      </c>
      <c r="D290" s="600">
        <v>8.3699999999999992</v>
      </c>
    </row>
    <row r="291" spans="1:4" ht="25.5">
      <c r="A291" s="401">
        <v>20976</v>
      </c>
      <c r="B291" s="411" t="s">
        <v>7443</v>
      </c>
      <c r="C291" s="401" t="s">
        <v>998</v>
      </c>
      <c r="D291" s="600">
        <v>12.64</v>
      </c>
    </row>
    <row r="292" spans="1:4">
      <c r="A292" s="401">
        <v>40340</v>
      </c>
      <c r="B292" s="411" t="s">
        <v>7444</v>
      </c>
      <c r="C292" s="401" t="s">
        <v>998</v>
      </c>
      <c r="D292" s="600">
        <v>87.39</v>
      </c>
    </row>
    <row r="293" spans="1:4">
      <c r="A293" s="401">
        <v>40341</v>
      </c>
      <c r="B293" s="411" t="s">
        <v>7445</v>
      </c>
      <c r="C293" s="401" t="s">
        <v>998</v>
      </c>
      <c r="D293" s="600">
        <v>103.48</v>
      </c>
    </row>
    <row r="294" spans="1:4">
      <c r="A294" s="401">
        <v>40342</v>
      </c>
      <c r="B294" s="411" t="s">
        <v>7446</v>
      </c>
      <c r="C294" s="401" t="s">
        <v>998</v>
      </c>
      <c r="D294" s="600">
        <v>131.18</v>
      </c>
    </row>
    <row r="295" spans="1:4">
      <c r="A295" s="401">
        <v>40343</v>
      </c>
      <c r="B295" s="411" t="s">
        <v>7447</v>
      </c>
      <c r="C295" s="401" t="s">
        <v>998</v>
      </c>
      <c r="D295" s="600">
        <v>160.94</v>
      </c>
    </row>
    <row r="296" spans="1:4">
      <c r="A296" s="401">
        <v>40344</v>
      </c>
      <c r="B296" s="411" t="s">
        <v>7448</v>
      </c>
      <c r="C296" s="401" t="s">
        <v>998</v>
      </c>
      <c r="D296" s="600">
        <v>170.17</v>
      </c>
    </row>
    <row r="297" spans="1:4">
      <c r="A297" s="401">
        <v>40345</v>
      </c>
      <c r="B297" s="411" t="s">
        <v>7449</v>
      </c>
      <c r="C297" s="401" t="s">
        <v>998</v>
      </c>
      <c r="D297" s="600">
        <v>212.46</v>
      </c>
    </row>
    <row r="298" spans="1:4">
      <c r="A298" s="401">
        <v>40346</v>
      </c>
      <c r="B298" s="411" t="s">
        <v>7450</v>
      </c>
      <c r="C298" s="401" t="s">
        <v>998</v>
      </c>
      <c r="D298" s="600">
        <v>199.87</v>
      </c>
    </row>
    <row r="299" spans="1:4">
      <c r="A299" s="401">
        <v>40347</v>
      </c>
      <c r="B299" s="411" t="s">
        <v>7451</v>
      </c>
      <c r="C299" s="401" t="s">
        <v>998</v>
      </c>
      <c r="D299" s="600">
        <v>247.12</v>
      </c>
    </row>
    <row r="300" spans="1:4">
      <c r="A300" s="401">
        <v>38840</v>
      </c>
      <c r="B300" s="411" t="s">
        <v>7452</v>
      </c>
      <c r="C300" s="401" t="s">
        <v>998</v>
      </c>
      <c r="D300" s="600">
        <v>2.09</v>
      </c>
    </row>
    <row r="301" spans="1:4">
      <c r="A301" s="401">
        <v>38841</v>
      </c>
      <c r="B301" s="411" t="s">
        <v>7453</v>
      </c>
      <c r="C301" s="401" t="s">
        <v>998</v>
      </c>
      <c r="D301" s="600">
        <v>2.3199999999999998</v>
      </c>
    </row>
    <row r="302" spans="1:4">
      <c r="A302" s="401">
        <v>38842</v>
      </c>
      <c r="B302" s="411" t="s">
        <v>7454</v>
      </c>
      <c r="C302" s="401" t="s">
        <v>998</v>
      </c>
      <c r="D302" s="600">
        <v>4.59</v>
      </c>
    </row>
    <row r="303" spans="1:4">
      <c r="A303" s="401">
        <v>38843</v>
      </c>
      <c r="B303" s="411" t="s">
        <v>7455</v>
      </c>
      <c r="C303" s="401" t="s">
        <v>998</v>
      </c>
      <c r="D303" s="600">
        <v>7.17</v>
      </c>
    </row>
    <row r="304" spans="1:4" ht="25.5">
      <c r="A304" s="401">
        <v>13761</v>
      </c>
      <c r="B304" s="411" t="s">
        <v>7456</v>
      </c>
      <c r="C304" s="401" t="s">
        <v>998</v>
      </c>
      <c r="D304" s="600">
        <v>4271.16</v>
      </c>
    </row>
    <row r="305" spans="1:4" ht="38.25">
      <c r="A305" s="401">
        <v>12888</v>
      </c>
      <c r="B305" s="411" t="s">
        <v>7457</v>
      </c>
      <c r="C305" s="401" t="s">
        <v>1119</v>
      </c>
      <c r="D305" s="600">
        <v>91.88</v>
      </c>
    </row>
    <row r="306" spans="1:4" ht="25.5">
      <c r="A306" s="401">
        <v>12889</v>
      </c>
      <c r="B306" s="411" t="s">
        <v>7458</v>
      </c>
      <c r="C306" s="401" t="s">
        <v>1119</v>
      </c>
      <c r="D306" s="600">
        <v>60</v>
      </c>
    </row>
    <row r="307" spans="1:4" ht="25.5">
      <c r="A307" s="401">
        <v>4814</v>
      </c>
      <c r="B307" s="411" t="s">
        <v>7459</v>
      </c>
      <c r="C307" s="401" t="s">
        <v>998</v>
      </c>
      <c r="D307" s="600">
        <v>77.27</v>
      </c>
    </row>
    <row r="308" spans="1:4">
      <c r="A308" s="401">
        <v>25967</v>
      </c>
      <c r="B308" s="411" t="s">
        <v>7460</v>
      </c>
      <c r="C308" s="401" t="s">
        <v>998</v>
      </c>
      <c r="D308" s="600">
        <v>1855.39</v>
      </c>
    </row>
    <row r="309" spans="1:4">
      <c r="A309" s="401">
        <v>6122</v>
      </c>
      <c r="B309" s="411" t="s">
        <v>7461</v>
      </c>
      <c r="C309" s="401" t="s">
        <v>1001</v>
      </c>
      <c r="D309" s="600">
        <v>12.29</v>
      </c>
    </row>
    <row r="310" spans="1:4">
      <c r="A310" s="401">
        <v>40810</v>
      </c>
      <c r="B310" s="411" t="s">
        <v>7462</v>
      </c>
      <c r="C310" s="401" t="s">
        <v>1118</v>
      </c>
      <c r="D310" s="600">
        <v>2180.6799999999998</v>
      </c>
    </row>
    <row r="311" spans="1:4">
      <c r="A311" s="401">
        <v>21100</v>
      </c>
      <c r="B311" s="411" t="s">
        <v>7463</v>
      </c>
      <c r="C311" s="401" t="s">
        <v>998</v>
      </c>
      <c r="D311" s="600">
        <v>2378.8000000000002</v>
      </c>
    </row>
    <row r="312" spans="1:4" ht="25.5">
      <c r="A312" s="401">
        <v>11816</v>
      </c>
      <c r="B312" s="411" t="s">
        <v>7464</v>
      </c>
      <c r="C312" s="401" t="s">
        <v>998</v>
      </c>
      <c r="D312" s="600">
        <v>2536.5</v>
      </c>
    </row>
    <row r="313" spans="1:4" ht="25.5">
      <c r="A313" s="401">
        <v>11814</v>
      </c>
      <c r="B313" s="411" t="s">
        <v>7465</v>
      </c>
      <c r="C313" s="401" t="s">
        <v>998</v>
      </c>
      <c r="D313" s="600">
        <v>5521.32</v>
      </c>
    </row>
    <row r="314" spans="1:4" ht="38.25">
      <c r="A314" s="401">
        <v>14186</v>
      </c>
      <c r="B314" s="411" t="s">
        <v>7466</v>
      </c>
      <c r="C314" s="401" t="s">
        <v>998</v>
      </c>
      <c r="D314" s="600">
        <v>6932.76</v>
      </c>
    </row>
    <row r="315" spans="1:4" ht="25.5">
      <c r="A315" s="401">
        <v>14185</v>
      </c>
      <c r="B315" s="411" t="s">
        <v>7467</v>
      </c>
      <c r="C315" s="401" t="s">
        <v>998</v>
      </c>
      <c r="D315" s="600">
        <v>8980.6299999999992</v>
      </c>
    </row>
    <row r="316" spans="1:4" ht="25.5">
      <c r="A316" s="401">
        <v>11811</v>
      </c>
      <c r="B316" s="411" t="s">
        <v>7468</v>
      </c>
      <c r="C316" s="401" t="s">
        <v>998</v>
      </c>
      <c r="D316" s="600">
        <v>3433.85</v>
      </c>
    </row>
    <row r="317" spans="1:4">
      <c r="A317" s="401">
        <v>26038</v>
      </c>
      <c r="B317" s="411" t="s">
        <v>7469</v>
      </c>
      <c r="C317" s="401" t="s">
        <v>998</v>
      </c>
      <c r="D317" s="600">
        <v>202992.51</v>
      </c>
    </row>
    <row r="318" spans="1:4" ht="25.5">
      <c r="A318" s="401">
        <v>34482</v>
      </c>
      <c r="B318" s="411" t="s">
        <v>7470</v>
      </c>
      <c r="C318" s="401" t="s">
        <v>998</v>
      </c>
      <c r="D318" s="600">
        <v>5042.8100000000004</v>
      </c>
    </row>
    <row r="319" spans="1:4" ht="25.5">
      <c r="A319" s="401">
        <v>34469</v>
      </c>
      <c r="B319" s="411" t="s">
        <v>7471</v>
      </c>
      <c r="C319" s="401" t="s">
        <v>998</v>
      </c>
      <c r="D319" s="600">
        <v>7800.6</v>
      </c>
    </row>
    <row r="320" spans="1:4" ht="25.5">
      <c r="A320" s="401">
        <v>34472</v>
      </c>
      <c r="B320" s="411" t="s">
        <v>7472</v>
      </c>
      <c r="C320" s="401" t="s">
        <v>998</v>
      </c>
      <c r="D320" s="600">
        <v>2400</v>
      </c>
    </row>
    <row r="321" spans="1:4" ht="25.5">
      <c r="A321" s="401">
        <v>34476</v>
      </c>
      <c r="B321" s="411" t="s">
        <v>7473</v>
      </c>
      <c r="C321" s="401" t="s">
        <v>998</v>
      </c>
      <c r="D321" s="600">
        <v>4068.34</v>
      </c>
    </row>
    <row r="322" spans="1:4" ht="25.5">
      <c r="A322" s="401">
        <v>34477</v>
      </c>
      <c r="B322" s="411" t="s">
        <v>7474</v>
      </c>
      <c r="C322" s="401" t="s">
        <v>998</v>
      </c>
      <c r="D322" s="600">
        <v>5399.47</v>
      </c>
    </row>
    <row r="323" spans="1:4" ht="25.5">
      <c r="A323" s="401">
        <v>42425</v>
      </c>
      <c r="B323" s="411" t="s">
        <v>7475</v>
      </c>
      <c r="C323" s="401" t="s">
        <v>998</v>
      </c>
      <c r="D323" s="600">
        <v>1953.47</v>
      </c>
    </row>
    <row r="324" spans="1:4" ht="25.5">
      <c r="A324" s="401">
        <v>42422</v>
      </c>
      <c r="B324" s="411" t="s">
        <v>7476</v>
      </c>
      <c r="C324" s="401" t="s">
        <v>998</v>
      </c>
      <c r="D324" s="600">
        <v>2900</v>
      </c>
    </row>
    <row r="325" spans="1:4" ht="25.5">
      <c r="A325" s="401">
        <v>43184</v>
      </c>
      <c r="B325" s="411" t="s">
        <v>7477</v>
      </c>
      <c r="C325" s="401" t="s">
        <v>998</v>
      </c>
      <c r="D325" s="600">
        <v>4008.08</v>
      </c>
    </row>
    <row r="326" spans="1:4" ht="25.5">
      <c r="A326" s="401">
        <v>42424</v>
      </c>
      <c r="B326" s="411" t="s">
        <v>7478</v>
      </c>
      <c r="C326" s="401" t="s">
        <v>998</v>
      </c>
      <c r="D326" s="600">
        <v>1744.62</v>
      </c>
    </row>
    <row r="327" spans="1:4" ht="38.25">
      <c r="A327" s="401">
        <v>42421</v>
      </c>
      <c r="B327" s="411" t="s">
        <v>7479</v>
      </c>
      <c r="C327" s="401" t="s">
        <v>998</v>
      </c>
      <c r="D327" s="600">
        <v>15884.61</v>
      </c>
    </row>
    <row r="328" spans="1:4" ht="25.5">
      <c r="A328" s="401">
        <v>42416</v>
      </c>
      <c r="B328" s="411" t="s">
        <v>7480</v>
      </c>
      <c r="C328" s="401" t="s">
        <v>998</v>
      </c>
      <c r="D328" s="600">
        <v>7520.87</v>
      </c>
    </row>
    <row r="329" spans="1:4" ht="25.5">
      <c r="A329" s="401">
        <v>42417</v>
      </c>
      <c r="B329" s="411" t="s">
        <v>7481</v>
      </c>
      <c r="C329" s="401" t="s">
        <v>998</v>
      </c>
      <c r="D329" s="600">
        <v>8431.51</v>
      </c>
    </row>
    <row r="330" spans="1:4" ht="25.5">
      <c r="A330" s="401">
        <v>42419</v>
      </c>
      <c r="B330" s="411" t="s">
        <v>7482</v>
      </c>
      <c r="C330" s="401" t="s">
        <v>998</v>
      </c>
      <c r="D330" s="600">
        <v>9525.82</v>
      </c>
    </row>
    <row r="331" spans="1:4" ht="25.5">
      <c r="A331" s="401">
        <v>42420</v>
      </c>
      <c r="B331" s="411" t="s">
        <v>7483</v>
      </c>
      <c r="C331" s="401" t="s">
        <v>998</v>
      </c>
      <c r="D331" s="600">
        <v>13092.53</v>
      </c>
    </row>
    <row r="332" spans="1:4" ht="25.5">
      <c r="A332" s="401">
        <v>43195</v>
      </c>
      <c r="B332" s="411" t="s">
        <v>7484</v>
      </c>
      <c r="C332" s="401" t="s">
        <v>998</v>
      </c>
      <c r="D332" s="600">
        <v>4610.07</v>
      </c>
    </row>
    <row r="333" spans="1:4" ht="25.5">
      <c r="A333" s="401">
        <v>43196</v>
      </c>
      <c r="B333" s="411" t="s">
        <v>7485</v>
      </c>
      <c r="C333" s="401" t="s">
        <v>998</v>
      </c>
      <c r="D333" s="600">
        <v>5713.51</v>
      </c>
    </row>
    <row r="334" spans="1:4" ht="25.5">
      <c r="A334" s="401">
        <v>43198</v>
      </c>
      <c r="B334" s="411" t="s">
        <v>7486</v>
      </c>
      <c r="C334" s="401" t="s">
        <v>998</v>
      </c>
      <c r="D334" s="600">
        <v>8490.15</v>
      </c>
    </row>
    <row r="335" spans="1:4" ht="25.5">
      <c r="A335" s="401">
        <v>43199</v>
      </c>
      <c r="B335" s="411" t="s">
        <v>7487</v>
      </c>
      <c r="C335" s="401" t="s">
        <v>998</v>
      </c>
      <c r="D335" s="600">
        <v>8801.26</v>
      </c>
    </row>
    <row r="336" spans="1:4" ht="25.5">
      <c r="A336" s="401">
        <v>43200</v>
      </c>
      <c r="B336" s="411" t="s">
        <v>7488</v>
      </c>
      <c r="C336" s="401" t="s">
        <v>998</v>
      </c>
      <c r="D336" s="600">
        <v>10100.08</v>
      </c>
    </row>
    <row r="337" spans="1:4" ht="25.5">
      <c r="A337" s="401">
        <v>39556</v>
      </c>
      <c r="B337" s="411" t="s">
        <v>7489</v>
      </c>
      <c r="C337" s="401" t="s">
        <v>998</v>
      </c>
      <c r="D337" s="600">
        <v>5516.37</v>
      </c>
    </row>
    <row r="338" spans="1:4" ht="25.5">
      <c r="A338" s="401">
        <v>39557</v>
      </c>
      <c r="B338" s="411" t="s">
        <v>7490</v>
      </c>
      <c r="C338" s="401" t="s">
        <v>998</v>
      </c>
      <c r="D338" s="600">
        <v>5939.92</v>
      </c>
    </row>
    <row r="339" spans="1:4" ht="25.5">
      <c r="A339" s="401">
        <v>39559</v>
      </c>
      <c r="B339" s="411" t="s">
        <v>7491</v>
      </c>
      <c r="C339" s="401" t="s">
        <v>998</v>
      </c>
      <c r="D339" s="600">
        <v>8778.06</v>
      </c>
    </row>
    <row r="340" spans="1:4" ht="25.5">
      <c r="A340" s="401">
        <v>39560</v>
      </c>
      <c r="B340" s="411" t="s">
        <v>7492</v>
      </c>
      <c r="C340" s="401" t="s">
        <v>998</v>
      </c>
      <c r="D340" s="600">
        <v>10155.36</v>
      </c>
    </row>
    <row r="341" spans="1:4" ht="25.5">
      <c r="A341" s="401">
        <v>39561</v>
      </c>
      <c r="B341" s="411" t="s">
        <v>7493</v>
      </c>
      <c r="C341" s="401" t="s">
        <v>998</v>
      </c>
      <c r="D341" s="600">
        <v>10623.81</v>
      </c>
    </row>
    <row r="342" spans="1:4" ht="25.5">
      <c r="A342" s="401">
        <v>43190</v>
      </c>
      <c r="B342" s="411" t="s">
        <v>7494</v>
      </c>
      <c r="C342" s="401" t="s">
        <v>998</v>
      </c>
      <c r="D342" s="600">
        <v>1567.79</v>
      </c>
    </row>
    <row r="343" spans="1:4" ht="25.5">
      <c r="A343" s="401">
        <v>39555</v>
      </c>
      <c r="B343" s="411" t="s">
        <v>7495</v>
      </c>
      <c r="C343" s="401" t="s">
        <v>998</v>
      </c>
      <c r="D343" s="600">
        <v>1695.95</v>
      </c>
    </row>
    <row r="344" spans="1:4" ht="25.5">
      <c r="A344" s="401">
        <v>43191</v>
      </c>
      <c r="B344" s="411" t="s">
        <v>7496</v>
      </c>
      <c r="C344" s="401" t="s">
        <v>998</v>
      </c>
      <c r="D344" s="600">
        <v>2255.84</v>
      </c>
    </row>
    <row r="345" spans="1:4" ht="25.5">
      <c r="A345" s="401">
        <v>39548</v>
      </c>
      <c r="B345" s="411" t="s">
        <v>7497</v>
      </c>
      <c r="C345" s="401" t="s">
        <v>998</v>
      </c>
      <c r="D345" s="600">
        <v>2515.61</v>
      </c>
    </row>
    <row r="346" spans="1:4" ht="25.5">
      <c r="A346" s="401">
        <v>43192</v>
      </c>
      <c r="B346" s="411" t="s">
        <v>7498</v>
      </c>
      <c r="C346" s="401" t="s">
        <v>998</v>
      </c>
      <c r="D346" s="600">
        <v>2954.95</v>
      </c>
    </row>
    <row r="347" spans="1:4" ht="25.5">
      <c r="A347" s="401">
        <v>39554</v>
      </c>
      <c r="B347" s="411" t="s">
        <v>7499</v>
      </c>
      <c r="C347" s="401" t="s">
        <v>998</v>
      </c>
      <c r="D347" s="600">
        <v>3326.52</v>
      </c>
    </row>
    <row r="348" spans="1:4" ht="25.5">
      <c r="A348" s="401">
        <v>43194</v>
      </c>
      <c r="B348" s="411" t="s">
        <v>7500</v>
      </c>
      <c r="C348" s="401" t="s">
        <v>998</v>
      </c>
      <c r="D348" s="600">
        <v>1343.08</v>
      </c>
    </row>
    <row r="349" spans="1:4" ht="25.5">
      <c r="A349" s="401">
        <v>39551</v>
      </c>
      <c r="B349" s="411" t="s">
        <v>7501</v>
      </c>
      <c r="C349" s="401" t="s">
        <v>998</v>
      </c>
      <c r="D349" s="600">
        <v>1478.87</v>
      </c>
    </row>
    <row r="350" spans="1:4" ht="25.5">
      <c r="A350" s="401">
        <v>43185</v>
      </c>
      <c r="B350" s="411" t="s">
        <v>7502</v>
      </c>
      <c r="C350" s="401" t="s">
        <v>998</v>
      </c>
      <c r="D350" s="600">
        <v>4202.7</v>
      </c>
    </row>
    <row r="351" spans="1:4" ht="25.5">
      <c r="A351" s="401">
        <v>43186</v>
      </c>
      <c r="B351" s="411" t="s">
        <v>7503</v>
      </c>
      <c r="C351" s="401" t="s">
        <v>998</v>
      </c>
      <c r="D351" s="600">
        <v>4433</v>
      </c>
    </row>
    <row r="352" spans="1:4" ht="25.5">
      <c r="A352" s="401">
        <v>43187</v>
      </c>
      <c r="B352" s="411" t="s">
        <v>7504</v>
      </c>
      <c r="C352" s="401" t="s">
        <v>998</v>
      </c>
      <c r="D352" s="600">
        <v>5882.63</v>
      </c>
    </row>
    <row r="353" spans="1:4" ht="25.5">
      <c r="A353" s="401">
        <v>43188</v>
      </c>
      <c r="B353" s="411" t="s">
        <v>7505</v>
      </c>
      <c r="C353" s="401" t="s">
        <v>998</v>
      </c>
      <c r="D353" s="600">
        <v>7127.59</v>
      </c>
    </row>
    <row r="354" spans="1:4" ht="25.5">
      <c r="A354" s="401">
        <v>43189</v>
      </c>
      <c r="B354" s="411" t="s">
        <v>7506</v>
      </c>
      <c r="C354" s="401" t="s">
        <v>998</v>
      </c>
      <c r="D354" s="600">
        <v>8017.35</v>
      </c>
    </row>
    <row r="355" spans="1:4">
      <c r="A355" s="401">
        <v>39580</v>
      </c>
      <c r="B355" s="411" t="s">
        <v>7507</v>
      </c>
      <c r="C355" s="401" t="s">
        <v>998</v>
      </c>
      <c r="D355" s="600">
        <v>63180.03</v>
      </c>
    </row>
    <row r="356" spans="1:4">
      <c r="A356" s="401">
        <v>39577</v>
      </c>
      <c r="B356" s="411" t="s">
        <v>7508</v>
      </c>
      <c r="C356" s="401" t="s">
        <v>998</v>
      </c>
      <c r="D356" s="600">
        <v>19775.22</v>
      </c>
    </row>
    <row r="357" spans="1:4">
      <c r="A357" s="401">
        <v>39578</v>
      </c>
      <c r="B357" s="411" t="s">
        <v>7509</v>
      </c>
      <c r="C357" s="401" t="s">
        <v>998</v>
      </c>
      <c r="D357" s="600">
        <v>25520.31</v>
      </c>
    </row>
    <row r="358" spans="1:4">
      <c r="A358" s="401">
        <v>39579</v>
      </c>
      <c r="B358" s="411" t="s">
        <v>7510</v>
      </c>
      <c r="C358" s="401" t="s">
        <v>998</v>
      </c>
      <c r="D358" s="600">
        <v>37130.050000000003</v>
      </c>
    </row>
    <row r="359" spans="1:4" ht="25.5">
      <c r="A359" s="401">
        <v>39826</v>
      </c>
      <c r="B359" s="411" t="s">
        <v>7511</v>
      </c>
      <c r="C359" s="401" t="s">
        <v>998</v>
      </c>
      <c r="D359" s="600">
        <v>4560.24</v>
      </c>
    </row>
    <row r="360" spans="1:4">
      <c r="A360" s="401">
        <v>10700</v>
      </c>
      <c r="B360" s="411" t="s">
        <v>7512</v>
      </c>
      <c r="C360" s="401" t="s">
        <v>998</v>
      </c>
      <c r="D360" s="600">
        <v>12304.58</v>
      </c>
    </row>
    <row r="361" spans="1:4">
      <c r="A361" s="401">
        <v>346</v>
      </c>
      <c r="B361" s="411" t="s">
        <v>7513</v>
      </c>
      <c r="C361" s="401" t="s">
        <v>995</v>
      </c>
      <c r="D361" s="600">
        <v>16.11</v>
      </c>
    </row>
    <row r="362" spans="1:4">
      <c r="A362" s="401">
        <v>3312</v>
      </c>
      <c r="B362" s="411" t="s">
        <v>7514</v>
      </c>
      <c r="C362" s="401" t="s">
        <v>995</v>
      </c>
      <c r="D362" s="600">
        <v>21.12</v>
      </c>
    </row>
    <row r="363" spans="1:4">
      <c r="A363" s="401">
        <v>339</v>
      </c>
      <c r="B363" s="411" t="s">
        <v>7515</v>
      </c>
      <c r="C363" s="401" t="s">
        <v>1002</v>
      </c>
      <c r="D363" s="600">
        <v>0.83</v>
      </c>
    </row>
    <row r="364" spans="1:4">
      <c r="A364" s="401">
        <v>340</v>
      </c>
      <c r="B364" s="411" t="s">
        <v>7516</v>
      </c>
      <c r="C364" s="401" t="s">
        <v>1002</v>
      </c>
      <c r="D364" s="600">
        <v>0.75</v>
      </c>
    </row>
    <row r="365" spans="1:4">
      <c r="A365" s="401">
        <v>43130</v>
      </c>
      <c r="B365" s="411" t="s">
        <v>7517</v>
      </c>
      <c r="C365" s="401" t="s">
        <v>995</v>
      </c>
      <c r="D365" s="600">
        <v>13.6</v>
      </c>
    </row>
    <row r="366" spans="1:4">
      <c r="A366" s="401">
        <v>344</v>
      </c>
      <c r="B366" s="411" t="s">
        <v>7518</v>
      </c>
      <c r="C366" s="401" t="s">
        <v>995</v>
      </c>
      <c r="D366" s="600">
        <v>17.88</v>
      </c>
    </row>
    <row r="367" spans="1:4">
      <c r="A367" s="401">
        <v>345</v>
      </c>
      <c r="B367" s="411" t="s">
        <v>7519</v>
      </c>
      <c r="C367" s="401" t="s">
        <v>995</v>
      </c>
      <c r="D367" s="600">
        <v>19.399999999999999</v>
      </c>
    </row>
    <row r="368" spans="1:4" ht="25.5">
      <c r="A368" s="401">
        <v>43131</v>
      </c>
      <c r="B368" s="411" t="s">
        <v>7520</v>
      </c>
      <c r="C368" s="401" t="s">
        <v>995</v>
      </c>
      <c r="D368" s="600">
        <v>15.79</v>
      </c>
    </row>
    <row r="369" spans="1:4">
      <c r="A369" s="401">
        <v>3313</v>
      </c>
      <c r="B369" s="411" t="s">
        <v>7521</v>
      </c>
      <c r="C369" s="401" t="s">
        <v>995</v>
      </c>
      <c r="D369" s="600">
        <v>27.18</v>
      </c>
    </row>
    <row r="370" spans="1:4">
      <c r="A370" s="401">
        <v>43132</v>
      </c>
      <c r="B370" s="411" t="s">
        <v>7522</v>
      </c>
      <c r="C370" s="401" t="s">
        <v>995</v>
      </c>
      <c r="D370" s="600">
        <v>13.6</v>
      </c>
    </row>
    <row r="371" spans="1:4">
      <c r="A371" s="401">
        <v>369</v>
      </c>
      <c r="B371" s="411" t="s">
        <v>7523</v>
      </c>
      <c r="C371" s="401" t="s">
        <v>996</v>
      </c>
      <c r="D371" s="600">
        <v>66.03</v>
      </c>
    </row>
    <row r="372" spans="1:4">
      <c r="A372" s="401">
        <v>366</v>
      </c>
      <c r="B372" s="411" t="s">
        <v>7524</v>
      </c>
      <c r="C372" s="401" t="s">
        <v>996</v>
      </c>
      <c r="D372" s="600">
        <v>66.5</v>
      </c>
    </row>
    <row r="373" spans="1:4">
      <c r="A373" s="401">
        <v>367</v>
      </c>
      <c r="B373" s="411" t="s">
        <v>7525</v>
      </c>
      <c r="C373" s="401" t="s">
        <v>996</v>
      </c>
      <c r="D373" s="600">
        <v>66.5</v>
      </c>
    </row>
    <row r="374" spans="1:4">
      <c r="A374" s="401">
        <v>370</v>
      </c>
      <c r="B374" s="411" t="s">
        <v>7526</v>
      </c>
      <c r="C374" s="401" t="s">
        <v>996</v>
      </c>
      <c r="D374" s="600">
        <v>62.5</v>
      </c>
    </row>
    <row r="375" spans="1:4">
      <c r="A375" s="401">
        <v>368</v>
      </c>
      <c r="B375" s="411" t="s">
        <v>7527</v>
      </c>
      <c r="C375" s="401" t="s">
        <v>996</v>
      </c>
      <c r="D375" s="600">
        <v>49.87</v>
      </c>
    </row>
    <row r="376" spans="1:4" ht="25.5">
      <c r="A376" s="401">
        <v>11075</v>
      </c>
      <c r="B376" s="411" t="s">
        <v>7528</v>
      </c>
      <c r="C376" s="401" t="s">
        <v>996</v>
      </c>
      <c r="D376" s="600">
        <v>1088.93</v>
      </c>
    </row>
    <row r="377" spans="1:4" ht="25.5">
      <c r="A377" s="401">
        <v>11076</v>
      </c>
      <c r="B377" s="411" t="s">
        <v>7529</v>
      </c>
      <c r="C377" s="401" t="s">
        <v>996</v>
      </c>
      <c r="D377" s="600">
        <v>83.12</v>
      </c>
    </row>
    <row r="378" spans="1:4">
      <c r="A378" s="401">
        <v>1381</v>
      </c>
      <c r="B378" s="411" t="s">
        <v>7530</v>
      </c>
      <c r="C378" s="401" t="s">
        <v>995</v>
      </c>
      <c r="D378" s="600">
        <v>0.65</v>
      </c>
    </row>
    <row r="379" spans="1:4">
      <c r="A379" s="401">
        <v>34353</v>
      </c>
      <c r="B379" s="411" t="s">
        <v>7531</v>
      </c>
      <c r="C379" s="401" t="s">
        <v>995</v>
      </c>
      <c r="D379" s="600">
        <v>1.3</v>
      </c>
    </row>
    <row r="380" spans="1:4">
      <c r="A380" s="401">
        <v>37595</v>
      </c>
      <c r="B380" s="411" t="s">
        <v>7532</v>
      </c>
      <c r="C380" s="401" t="s">
        <v>995</v>
      </c>
      <c r="D380" s="600">
        <v>1.98</v>
      </c>
    </row>
    <row r="381" spans="1:4">
      <c r="A381" s="401">
        <v>37596</v>
      </c>
      <c r="B381" s="411" t="s">
        <v>7533</v>
      </c>
      <c r="C381" s="401" t="s">
        <v>995</v>
      </c>
      <c r="D381" s="600">
        <v>2.95</v>
      </c>
    </row>
    <row r="382" spans="1:4" ht="25.5">
      <c r="A382" s="401">
        <v>371</v>
      </c>
      <c r="B382" s="411" t="s">
        <v>7534</v>
      </c>
      <c r="C382" s="401" t="s">
        <v>995</v>
      </c>
      <c r="D382" s="600">
        <v>0.57999999999999996</v>
      </c>
    </row>
    <row r="383" spans="1:4">
      <c r="A383" s="401">
        <v>37553</v>
      </c>
      <c r="B383" s="411" t="s">
        <v>7535</v>
      </c>
      <c r="C383" s="401" t="s">
        <v>995</v>
      </c>
      <c r="D383" s="600">
        <v>2.2000000000000002</v>
      </c>
    </row>
    <row r="384" spans="1:4">
      <c r="A384" s="401">
        <v>37552</v>
      </c>
      <c r="B384" s="411" t="s">
        <v>7536</v>
      </c>
      <c r="C384" s="401" t="s">
        <v>995</v>
      </c>
      <c r="D384" s="600">
        <v>2.82</v>
      </c>
    </row>
    <row r="385" spans="1:4">
      <c r="A385" s="401">
        <v>36880</v>
      </c>
      <c r="B385" s="411" t="s">
        <v>7537</v>
      </c>
      <c r="C385" s="401" t="s">
        <v>995</v>
      </c>
      <c r="D385" s="600">
        <v>2.19</v>
      </c>
    </row>
    <row r="386" spans="1:4">
      <c r="A386" s="401">
        <v>34355</v>
      </c>
      <c r="B386" s="411" t="s">
        <v>7538</v>
      </c>
      <c r="C386" s="401" t="s">
        <v>995</v>
      </c>
      <c r="D386" s="600">
        <v>1.8</v>
      </c>
    </row>
    <row r="387" spans="1:4">
      <c r="A387" s="401">
        <v>130</v>
      </c>
      <c r="B387" s="411" t="s">
        <v>7539</v>
      </c>
      <c r="C387" s="401" t="s">
        <v>995</v>
      </c>
      <c r="D387" s="600">
        <v>2.87</v>
      </c>
    </row>
    <row r="388" spans="1:4" ht="25.5">
      <c r="A388" s="401">
        <v>135</v>
      </c>
      <c r="B388" s="411" t="s">
        <v>7540</v>
      </c>
      <c r="C388" s="401" t="s">
        <v>995</v>
      </c>
      <c r="D388" s="600">
        <v>2.31</v>
      </c>
    </row>
    <row r="389" spans="1:4">
      <c r="A389" s="401">
        <v>36886</v>
      </c>
      <c r="B389" s="411" t="s">
        <v>7541</v>
      </c>
      <c r="C389" s="401" t="s">
        <v>995</v>
      </c>
      <c r="D389" s="600">
        <v>0.69</v>
      </c>
    </row>
    <row r="390" spans="1:4">
      <c r="A390" s="401">
        <v>374</v>
      </c>
      <c r="B390" s="411" t="s">
        <v>7542</v>
      </c>
      <c r="C390" s="401" t="s">
        <v>995</v>
      </c>
      <c r="D390" s="600">
        <v>0.5</v>
      </c>
    </row>
    <row r="391" spans="1:4" ht="25.5">
      <c r="A391" s="401">
        <v>38546</v>
      </c>
      <c r="B391" s="411" t="s">
        <v>7543</v>
      </c>
      <c r="C391" s="401" t="s">
        <v>996</v>
      </c>
      <c r="D391" s="600">
        <v>456.3</v>
      </c>
    </row>
    <row r="392" spans="1:4">
      <c r="A392" s="401">
        <v>34549</v>
      </c>
      <c r="B392" s="411" t="s">
        <v>7544</v>
      </c>
      <c r="C392" s="401" t="s">
        <v>996</v>
      </c>
      <c r="D392" s="600">
        <v>198.11</v>
      </c>
    </row>
    <row r="393" spans="1:4">
      <c r="A393" s="401">
        <v>6081</v>
      </c>
      <c r="B393" s="411" t="s">
        <v>7545</v>
      </c>
      <c r="C393" s="401" t="s">
        <v>996</v>
      </c>
      <c r="D393" s="600">
        <v>28.06</v>
      </c>
    </row>
    <row r="394" spans="1:4">
      <c r="A394" s="401">
        <v>6077</v>
      </c>
      <c r="B394" s="411" t="s">
        <v>7546</v>
      </c>
      <c r="C394" s="401" t="s">
        <v>996</v>
      </c>
      <c r="D394" s="600">
        <v>16.170000000000002</v>
      </c>
    </row>
    <row r="395" spans="1:4">
      <c r="A395" s="401">
        <v>6079</v>
      </c>
      <c r="B395" s="411" t="s">
        <v>7547</v>
      </c>
      <c r="C395" s="401" t="s">
        <v>996</v>
      </c>
      <c r="D395" s="600">
        <v>9.24</v>
      </c>
    </row>
    <row r="396" spans="1:4" ht="25.5">
      <c r="A396" s="401">
        <v>1091</v>
      </c>
      <c r="B396" s="411" t="s">
        <v>7548</v>
      </c>
      <c r="C396" s="401" t="s">
        <v>998</v>
      </c>
      <c r="D396" s="600">
        <v>19.47</v>
      </c>
    </row>
    <row r="397" spans="1:4" ht="25.5">
      <c r="A397" s="401">
        <v>1094</v>
      </c>
      <c r="B397" s="411" t="s">
        <v>7549</v>
      </c>
      <c r="C397" s="401" t="s">
        <v>998</v>
      </c>
      <c r="D397" s="600">
        <v>13.62</v>
      </c>
    </row>
    <row r="398" spans="1:4" ht="25.5">
      <c r="A398" s="401">
        <v>1095</v>
      </c>
      <c r="B398" s="411" t="s">
        <v>7550</v>
      </c>
      <c r="C398" s="401" t="s">
        <v>998</v>
      </c>
      <c r="D398" s="600">
        <v>28.95</v>
      </c>
    </row>
    <row r="399" spans="1:4" ht="25.5">
      <c r="A399" s="401">
        <v>1092</v>
      </c>
      <c r="B399" s="411" t="s">
        <v>7551</v>
      </c>
      <c r="C399" s="401" t="s">
        <v>998</v>
      </c>
      <c r="D399" s="600">
        <v>22.4</v>
      </c>
    </row>
    <row r="400" spans="1:4" ht="25.5">
      <c r="A400" s="401">
        <v>1093</v>
      </c>
      <c r="B400" s="411" t="s">
        <v>7552</v>
      </c>
      <c r="C400" s="401" t="s">
        <v>998</v>
      </c>
      <c r="D400" s="600">
        <v>52.31</v>
      </c>
    </row>
    <row r="401" spans="1:4" ht="25.5">
      <c r="A401" s="401">
        <v>1090</v>
      </c>
      <c r="B401" s="411" t="s">
        <v>7553</v>
      </c>
      <c r="C401" s="401" t="s">
        <v>998</v>
      </c>
      <c r="D401" s="600">
        <v>37.450000000000003</v>
      </c>
    </row>
    <row r="402" spans="1:4" ht="25.5">
      <c r="A402" s="401">
        <v>1096</v>
      </c>
      <c r="B402" s="411" t="s">
        <v>7554</v>
      </c>
      <c r="C402" s="401" t="s">
        <v>998</v>
      </c>
      <c r="D402" s="600">
        <v>67.400000000000006</v>
      </c>
    </row>
    <row r="403" spans="1:4" ht="25.5">
      <c r="A403" s="401">
        <v>1097</v>
      </c>
      <c r="B403" s="411" t="s">
        <v>7555</v>
      </c>
      <c r="C403" s="401" t="s">
        <v>998</v>
      </c>
      <c r="D403" s="600">
        <v>57.21</v>
      </c>
    </row>
    <row r="404" spans="1:4">
      <c r="A404" s="401">
        <v>378</v>
      </c>
      <c r="B404" s="411" t="s">
        <v>7556</v>
      </c>
      <c r="C404" s="401" t="s">
        <v>1001</v>
      </c>
      <c r="D404" s="600">
        <v>12.79</v>
      </c>
    </row>
    <row r="405" spans="1:4">
      <c r="A405" s="401">
        <v>40911</v>
      </c>
      <c r="B405" s="411" t="s">
        <v>7557</v>
      </c>
      <c r="C405" s="401" t="s">
        <v>1118</v>
      </c>
      <c r="D405" s="600">
        <v>2266.4299999999998</v>
      </c>
    </row>
    <row r="406" spans="1:4">
      <c r="A406" s="401">
        <v>33939</v>
      </c>
      <c r="B406" s="411" t="s">
        <v>7558</v>
      </c>
      <c r="C406" s="401" t="s">
        <v>1001</v>
      </c>
      <c r="D406" s="600">
        <v>57.04</v>
      </c>
    </row>
    <row r="407" spans="1:4">
      <c r="A407" s="401">
        <v>40815</v>
      </c>
      <c r="B407" s="411" t="s">
        <v>7559</v>
      </c>
      <c r="C407" s="401" t="s">
        <v>1118</v>
      </c>
      <c r="D407" s="600">
        <v>10107.67</v>
      </c>
    </row>
    <row r="408" spans="1:4">
      <c r="A408" s="401">
        <v>34760</v>
      </c>
      <c r="B408" s="411" t="s">
        <v>7560</v>
      </c>
      <c r="C408" s="401" t="s">
        <v>1001</v>
      </c>
      <c r="D408" s="600">
        <v>53.85</v>
      </c>
    </row>
    <row r="409" spans="1:4">
      <c r="A409" s="401">
        <v>40935</v>
      </c>
      <c r="B409" s="411" t="s">
        <v>7561</v>
      </c>
      <c r="C409" s="401" t="s">
        <v>1118</v>
      </c>
      <c r="D409" s="600">
        <v>9544.09</v>
      </c>
    </row>
    <row r="410" spans="1:4">
      <c r="A410" s="401">
        <v>33952</v>
      </c>
      <c r="B410" s="411" t="s">
        <v>7562</v>
      </c>
      <c r="C410" s="401" t="s">
        <v>1001</v>
      </c>
      <c r="D410" s="600">
        <v>81.02</v>
      </c>
    </row>
    <row r="411" spans="1:4">
      <c r="A411" s="401">
        <v>40816</v>
      </c>
      <c r="B411" s="411" t="s">
        <v>7563</v>
      </c>
      <c r="C411" s="401" t="s">
        <v>1118</v>
      </c>
      <c r="D411" s="600">
        <v>14357.11</v>
      </c>
    </row>
    <row r="412" spans="1:4">
      <c r="A412" s="401">
        <v>33953</v>
      </c>
      <c r="B412" s="411" t="s">
        <v>7564</v>
      </c>
      <c r="C412" s="401" t="s">
        <v>1001</v>
      </c>
      <c r="D412" s="600">
        <v>107.12</v>
      </c>
    </row>
    <row r="413" spans="1:4">
      <c r="A413" s="401">
        <v>40817</v>
      </c>
      <c r="B413" s="411" t="s">
        <v>7565</v>
      </c>
      <c r="C413" s="401" t="s">
        <v>1118</v>
      </c>
      <c r="D413" s="600">
        <v>18981.38</v>
      </c>
    </row>
    <row r="414" spans="1:4" ht="25.5">
      <c r="A414" s="401">
        <v>13348</v>
      </c>
      <c r="B414" s="411" t="s">
        <v>7566</v>
      </c>
      <c r="C414" s="401" t="s">
        <v>998</v>
      </c>
      <c r="D414" s="600">
        <v>0.6</v>
      </c>
    </row>
    <row r="415" spans="1:4">
      <c r="A415" s="401">
        <v>39211</v>
      </c>
      <c r="B415" s="411" t="s">
        <v>7567</v>
      </c>
      <c r="C415" s="401" t="s">
        <v>998</v>
      </c>
      <c r="D415" s="600">
        <v>0.96</v>
      </c>
    </row>
    <row r="416" spans="1:4">
      <c r="A416" s="401">
        <v>39212</v>
      </c>
      <c r="B416" s="411" t="s">
        <v>7568</v>
      </c>
      <c r="C416" s="401" t="s">
        <v>998</v>
      </c>
      <c r="D416" s="600">
        <v>1.07</v>
      </c>
    </row>
    <row r="417" spans="1:4">
      <c r="A417" s="401">
        <v>39208</v>
      </c>
      <c r="B417" s="411" t="s">
        <v>7569</v>
      </c>
      <c r="C417" s="401" t="s">
        <v>998</v>
      </c>
      <c r="D417" s="600">
        <v>0.28999999999999998</v>
      </c>
    </row>
    <row r="418" spans="1:4">
      <c r="A418" s="401">
        <v>39210</v>
      </c>
      <c r="B418" s="411" t="s">
        <v>7570</v>
      </c>
      <c r="C418" s="401" t="s">
        <v>998</v>
      </c>
      <c r="D418" s="600">
        <v>0.54</v>
      </c>
    </row>
    <row r="419" spans="1:4">
      <c r="A419" s="401">
        <v>39214</v>
      </c>
      <c r="B419" s="411" t="s">
        <v>7571</v>
      </c>
      <c r="C419" s="401" t="s">
        <v>998</v>
      </c>
      <c r="D419" s="600">
        <v>1.99</v>
      </c>
    </row>
    <row r="420" spans="1:4">
      <c r="A420" s="401">
        <v>39213</v>
      </c>
      <c r="B420" s="411" t="s">
        <v>7572</v>
      </c>
      <c r="C420" s="401" t="s">
        <v>998</v>
      </c>
      <c r="D420" s="600">
        <v>1.41</v>
      </c>
    </row>
    <row r="421" spans="1:4">
      <c r="A421" s="401">
        <v>39209</v>
      </c>
      <c r="B421" s="411" t="s">
        <v>7573</v>
      </c>
      <c r="C421" s="401" t="s">
        <v>998</v>
      </c>
      <c r="D421" s="600">
        <v>0.35</v>
      </c>
    </row>
    <row r="422" spans="1:4">
      <c r="A422" s="401">
        <v>39207</v>
      </c>
      <c r="B422" s="411" t="s">
        <v>7574</v>
      </c>
      <c r="C422" s="401" t="s">
        <v>998</v>
      </c>
      <c r="D422" s="600">
        <v>0.54</v>
      </c>
    </row>
    <row r="423" spans="1:4">
      <c r="A423" s="401">
        <v>39215</v>
      </c>
      <c r="B423" s="411" t="s">
        <v>7575</v>
      </c>
      <c r="C423" s="401" t="s">
        <v>998</v>
      </c>
      <c r="D423" s="600">
        <v>3.63</v>
      </c>
    </row>
    <row r="424" spans="1:4">
      <c r="A424" s="401">
        <v>39216</v>
      </c>
      <c r="B424" s="411" t="s">
        <v>7576</v>
      </c>
      <c r="C424" s="401" t="s">
        <v>998</v>
      </c>
      <c r="D424" s="600">
        <v>5.07</v>
      </c>
    </row>
    <row r="425" spans="1:4" ht="25.5">
      <c r="A425" s="401">
        <v>379</v>
      </c>
      <c r="B425" s="411" t="s">
        <v>7577</v>
      </c>
      <c r="C425" s="401" t="s">
        <v>998</v>
      </c>
      <c r="D425" s="600">
        <v>0.52</v>
      </c>
    </row>
    <row r="426" spans="1:4" ht="25.5">
      <c r="A426" s="401">
        <v>11267</v>
      </c>
      <c r="B426" s="411" t="s">
        <v>7578</v>
      </c>
      <c r="C426" s="401" t="s">
        <v>998</v>
      </c>
      <c r="D426" s="600">
        <v>5.26</v>
      </c>
    </row>
    <row r="427" spans="1:4">
      <c r="A427" s="401">
        <v>41901</v>
      </c>
      <c r="B427" s="411" t="s">
        <v>7579</v>
      </c>
      <c r="C427" s="401" t="s">
        <v>995</v>
      </c>
      <c r="D427" s="600">
        <v>5.75</v>
      </c>
    </row>
    <row r="428" spans="1:4" ht="25.5">
      <c r="A428" s="401">
        <v>510</v>
      </c>
      <c r="B428" s="411" t="s">
        <v>7580</v>
      </c>
      <c r="C428" s="401" t="s">
        <v>995</v>
      </c>
      <c r="D428" s="600">
        <v>8.48</v>
      </c>
    </row>
    <row r="429" spans="1:4" ht="25.5">
      <c r="A429" s="401">
        <v>516</v>
      </c>
      <c r="B429" s="411" t="s">
        <v>7581</v>
      </c>
      <c r="C429" s="401" t="s">
        <v>995</v>
      </c>
      <c r="D429" s="600">
        <v>9.0399999999999991</v>
      </c>
    </row>
    <row r="430" spans="1:4" ht="25.5">
      <c r="A430" s="401">
        <v>509</v>
      </c>
      <c r="B430" s="411" t="s">
        <v>7582</v>
      </c>
      <c r="C430" s="401" t="s">
        <v>995</v>
      </c>
      <c r="D430" s="600">
        <v>9.23</v>
      </c>
    </row>
    <row r="431" spans="1:4">
      <c r="A431" s="401">
        <v>40331</v>
      </c>
      <c r="B431" s="411" t="s">
        <v>7583</v>
      </c>
      <c r="C431" s="401" t="s">
        <v>1001</v>
      </c>
      <c r="D431" s="600">
        <v>10.73</v>
      </c>
    </row>
    <row r="432" spans="1:4">
      <c r="A432" s="401">
        <v>40930</v>
      </c>
      <c r="B432" s="411" t="s">
        <v>7584</v>
      </c>
      <c r="C432" s="401" t="s">
        <v>1118</v>
      </c>
      <c r="D432" s="600">
        <v>1903.28</v>
      </c>
    </row>
    <row r="433" spans="1:4">
      <c r="A433" s="401">
        <v>11761</v>
      </c>
      <c r="B433" s="411" t="s">
        <v>7585</v>
      </c>
      <c r="C433" s="401" t="s">
        <v>998</v>
      </c>
      <c r="D433" s="600">
        <v>58.69</v>
      </c>
    </row>
    <row r="434" spans="1:4">
      <c r="A434" s="401">
        <v>377</v>
      </c>
      <c r="B434" s="411" t="s">
        <v>7586</v>
      </c>
      <c r="C434" s="401" t="s">
        <v>998</v>
      </c>
      <c r="D434" s="600">
        <v>27.58</v>
      </c>
    </row>
    <row r="435" spans="1:4">
      <c r="A435" s="401">
        <v>7588</v>
      </c>
      <c r="B435" s="411" t="s">
        <v>7587</v>
      </c>
      <c r="C435" s="401" t="s">
        <v>998</v>
      </c>
      <c r="D435" s="600">
        <v>33.19</v>
      </c>
    </row>
    <row r="436" spans="1:4">
      <c r="A436" s="401">
        <v>34392</v>
      </c>
      <c r="B436" s="411" t="s">
        <v>7588</v>
      </c>
      <c r="C436" s="401" t="s">
        <v>1001</v>
      </c>
      <c r="D436" s="600">
        <v>9.7899999999999991</v>
      </c>
    </row>
    <row r="437" spans="1:4">
      <c r="A437" s="401">
        <v>40908</v>
      </c>
      <c r="B437" s="411" t="s">
        <v>7589</v>
      </c>
      <c r="C437" s="401" t="s">
        <v>1118</v>
      </c>
      <c r="D437" s="600">
        <v>1736.64</v>
      </c>
    </row>
    <row r="438" spans="1:4">
      <c r="A438" s="401">
        <v>34551</v>
      </c>
      <c r="B438" s="411" t="s">
        <v>7590</v>
      </c>
      <c r="C438" s="401" t="s">
        <v>1001</v>
      </c>
      <c r="D438" s="600">
        <v>9.31</v>
      </c>
    </row>
    <row r="439" spans="1:4">
      <c r="A439" s="401">
        <v>41078</v>
      </c>
      <c r="B439" s="411" t="s">
        <v>7591</v>
      </c>
      <c r="C439" s="401" t="s">
        <v>1118</v>
      </c>
      <c r="D439" s="600">
        <v>1652.12</v>
      </c>
    </row>
    <row r="440" spans="1:4">
      <c r="A440" s="401">
        <v>246</v>
      </c>
      <c r="B440" s="411" t="s">
        <v>7592</v>
      </c>
      <c r="C440" s="401" t="s">
        <v>1001</v>
      </c>
      <c r="D440" s="600">
        <v>9.36</v>
      </c>
    </row>
    <row r="441" spans="1:4">
      <c r="A441" s="401">
        <v>40927</v>
      </c>
      <c r="B441" s="411" t="s">
        <v>7593</v>
      </c>
      <c r="C441" s="401" t="s">
        <v>1118</v>
      </c>
      <c r="D441" s="600">
        <v>1662.35</v>
      </c>
    </row>
    <row r="442" spans="1:4">
      <c r="A442" s="401">
        <v>2350</v>
      </c>
      <c r="B442" s="411" t="s">
        <v>7594</v>
      </c>
      <c r="C442" s="401" t="s">
        <v>1001</v>
      </c>
      <c r="D442" s="600">
        <v>10.3</v>
      </c>
    </row>
    <row r="443" spans="1:4">
      <c r="A443" s="401">
        <v>40812</v>
      </c>
      <c r="B443" s="411" t="s">
        <v>7595</v>
      </c>
      <c r="C443" s="401" t="s">
        <v>1118</v>
      </c>
      <c r="D443" s="600">
        <v>1827.34</v>
      </c>
    </row>
    <row r="444" spans="1:4">
      <c r="A444" s="401">
        <v>245</v>
      </c>
      <c r="B444" s="411" t="s">
        <v>7596</v>
      </c>
      <c r="C444" s="401" t="s">
        <v>1001</v>
      </c>
      <c r="D444" s="600">
        <v>17.54</v>
      </c>
    </row>
    <row r="445" spans="1:4">
      <c r="A445" s="401">
        <v>41090</v>
      </c>
      <c r="B445" s="411" t="s">
        <v>7597</v>
      </c>
      <c r="C445" s="401" t="s">
        <v>1118</v>
      </c>
      <c r="D445" s="600">
        <v>3109.73</v>
      </c>
    </row>
    <row r="446" spans="1:4">
      <c r="A446" s="401">
        <v>251</v>
      </c>
      <c r="B446" s="411" t="s">
        <v>7598</v>
      </c>
      <c r="C446" s="401" t="s">
        <v>1001</v>
      </c>
      <c r="D446" s="600">
        <v>8</v>
      </c>
    </row>
    <row r="447" spans="1:4">
      <c r="A447" s="401">
        <v>40975</v>
      </c>
      <c r="B447" s="411" t="s">
        <v>7599</v>
      </c>
      <c r="C447" s="401" t="s">
        <v>1118</v>
      </c>
      <c r="D447" s="600">
        <v>1420.78</v>
      </c>
    </row>
    <row r="448" spans="1:4">
      <c r="A448" s="401">
        <v>6127</v>
      </c>
      <c r="B448" s="411" t="s">
        <v>7600</v>
      </c>
      <c r="C448" s="401" t="s">
        <v>1001</v>
      </c>
      <c r="D448" s="600">
        <v>9.49</v>
      </c>
    </row>
    <row r="449" spans="1:4">
      <c r="A449" s="401">
        <v>41072</v>
      </c>
      <c r="B449" s="411" t="s">
        <v>7601</v>
      </c>
      <c r="C449" s="401" t="s">
        <v>1118</v>
      </c>
      <c r="D449" s="600">
        <v>1684.02</v>
      </c>
    </row>
    <row r="450" spans="1:4">
      <c r="A450" s="401">
        <v>6121</v>
      </c>
      <c r="B450" s="411" t="s">
        <v>7602</v>
      </c>
      <c r="C450" s="401" t="s">
        <v>1001</v>
      </c>
      <c r="D450" s="600">
        <v>10.23</v>
      </c>
    </row>
    <row r="451" spans="1:4">
      <c r="A451" s="401">
        <v>41071</v>
      </c>
      <c r="B451" s="411" t="s">
        <v>7603</v>
      </c>
      <c r="C451" s="401" t="s">
        <v>1118</v>
      </c>
      <c r="D451" s="600">
        <v>1815.09</v>
      </c>
    </row>
    <row r="452" spans="1:4">
      <c r="A452" s="401">
        <v>244</v>
      </c>
      <c r="B452" s="411" t="s">
        <v>7604</v>
      </c>
      <c r="C452" s="401" t="s">
        <v>1001</v>
      </c>
      <c r="D452" s="600">
        <v>5.04</v>
      </c>
    </row>
    <row r="453" spans="1:4">
      <c r="A453" s="401">
        <v>41093</v>
      </c>
      <c r="B453" s="411" t="s">
        <v>7605</v>
      </c>
      <c r="C453" s="401" t="s">
        <v>1118</v>
      </c>
      <c r="D453" s="600">
        <v>895.16</v>
      </c>
    </row>
    <row r="454" spans="1:4">
      <c r="A454" s="401">
        <v>532</v>
      </c>
      <c r="B454" s="411" t="s">
        <v>7606</v>
      </c>
      <c r="C454" s="401" t="s">
        <v>1001</v>
      </c>
      <c r="D454" s="600">
        <v>19.98</v>
      </c>
    </row>
    <row r="455" spans="1:4">
      <c r="A455" s="401">
        <v>40931</v>
      </c>
      <c r="B455" s="411" t="s">
        <v>7607</v>
      </c>
      <c r="C455" s="401" t="s">
        <v>1118</v>
      </c>
      <c r="D455" s="600">
        <v>3542.68</v>
      </c>
    </row>
    <row r="456" spans="1:4">
      <c r="A456" s="401">
        <v>36150</v>
      </c>
      <c r="B456" s="411" t="s">
        <v>7608</v>
      </c>
      <c r="C456" s="401" t="s">
        <v>998</v>
      </c>
      <c r="D456" s="600">
        <v>35.49</v>
      </c>
    </row>
    <row r="457" spans="1:4">
      <c r="A457" s="401">
        <v>4760</v>
      </c>
      <c r="B457" s="411" t="s">
        <v>7609</v>
      </c>
      <c r="C457" s="401" t="s">
        <v>1001</v>
      </c>
      <c r="D457" s="600">
        <v>12.79</v>
      </c>
    </row>
    <row r="458" spans="1:4">
      <c r="A458" s="401">
        <v>41069</v>
      </c>
      <c r="B458" s="411" t="s">
        <v>7610</v>
      </c>
      <c r="C458" s="401" t="s">
        <v>1118</v>
      </c>
      <c r="D458" s="600">
        <v>2266.4299999999998</v>
      </c>
    </row>
    <row r="459" spans="1:4">
      <c r="A459" s="401">
        <v>10422</v>
      </c>
      <c r="B459" s="411" t="s">
        <v>7611</v>
      </c>
      <c r="C459" s="401" t="s">
        <v>998</v>
      </c>
      <c r="D459" s="600">
        <v>281.29000000000002</v>
      </c>
    </row>
    <row r="460" spans="1:4">
      <c r="A460" s="401">
        <v>10420</v>
      </c>
      <c r="B460" s="411" t="s">
        <v>7612</v>
      </c>
      <c r="C460" s="401" t="s">
        <v>998</v>
      </c>
      <c r="D460" s="600">
        <v>105.5</v>
      </c>
    </row>
    <row r="461" spans="1:4">
      <c r="A461" s="401">
        <v>10421</v>
      </c>
      <c r="B461" s="411" t="s">
        <v>7613</v>
      </c>
      <c r="C461" s="401" t="s">
        <v>998</v>
      </c>
      <c r="D461" s="600">
        <v>141.19</v>
      </c>
    </row>
    <row r="462" spans="1:4" ht="25.5">
      <c r="A462" s="401">
        <v>36520</v>
      </c>
      <c r="B462" s="411" t="s">
        <v>7614</v>
      </c>
      <c r="C462" s="401" t="s">
        <v>998</v>
      </c>
      <c r="D462" s="600">
        <v>525.61</v>
      </c>
    </row>
    <row r="463" spans="1:4">
      <c r="A463" s="401">
        <v>11784</v>
      </c>
      <c r="B463" s="411" t="s">
        <v>7615</v>
      </c>
      <c r="C463" s="401" t="s">
        <v>998</v>
      </c>
      <c r="D463" s="600">
        <v>394.76</v>
      </c>
    </row>
    <row r="464" spans="1:4">
      <c r="A464" s="401">
        <v>10</v>
      </c>
      <c r="B464" s="411" t="s">
        <v>7616</v>
      </c>
      <c r="C464" s="401" t="s">
        <v>998</v>
      </c>
      <c r="D464" s="600">
        <v>10.72</v>
      </c>
    </row>
    <row r="465" spans="1:4">
      <c r="A465" s="401">
        <v>4815</v>
      </c>
      <c r="B465" s="411" t="s">
        <v>7617</v>
      </c>
      <c r="C465" s="401" t="s">
        <v>998</v>
      </c>
      <c r="D465" s="600">
        <v>5.01</v>
      </c>
    </row>
    <row r="466" spans="1:4">
      <c r="A466" s="401">
        <v>541</v>
      </c>
      <c r="B466" s="411" t="s">
        <v>7618</v>
      </c>
      <c r="C466" s="401" t="s">
        <v>998</v>
      </c>
      <c r="D466" s="600">
        <v>124.63</v>
      </c>
    </row>
    <row r="467" spans="1:4">
      <c r="A467" s="401">
        <v>542</v>
      </c>
      <c r="B467" s="411" t="s">
        <v>7619</v>
      </c>
      <c r="C467" s="401" t="s">
        <v>998</v>
      </c>
      <c r="D467" s="600">
        <v>156.22</v>
      </c>
    </row>
    <row r="468" spans="1:4">
      <c r="A468" s="401">
        <v>540</v>
      </c>
      <c r="B468" s="411" t="s">
        <v>7620</v>
      </c>
      <c r="C468" s="401" t="s">
        <v>998</v>
      </c>
      <c r="D468" s="600">
        <v>352.05</v>
      </c>
    </row>
    <row r="469" spans="1:4" ht="25.5">
      <c r="A469" s="401">
        <v>38364</v>
      </c>
      <c r="B469" s="411" t="s">
        <v>7621</v>
      </c>
      <c r="C469" s="401" t="s">
        <v>998</v>
      </c>
      <c r="D469" s="600">
        <v>686.58</v>
      </c>
    </row>
    <row r="470" spans="1:4">
      <c r="A470" s="401">
        <v>11692</v>
      </c>
      <c r="B470" s="411" t="s">
        <v>7622</v>
      </c>
      <c r="C470" s="401" t="s">
        <v>1003</v>
      </c>
      <c r="D470" s="600">
        <v>370.47</v>
      </c>
    </row>
    <row r="471" spans="1:4" ht="25.5">
      <c r="A471" s="401">
        <v>1746</v>
      </c>
      <c r="B471" s="411" t="s">
        <v>7623</v>
      </c>
      <c r="C471" s="401" t="s">
        <v>998</v>
      </c>
      <c r="D471" s="600">
        <v>183</v>
      </c>
    </row>
    <row r="472" spans="1:4" ht="25.5">
      <c r="A472" s="401">
        <v>1748</v>
      </c>
      <c r="B472" s="411" t="s">
        <v>7624</v>
      </c>
      <c r="C472" s="401" t="s">
        <v>998</v>
      </c>
      <c r="D472" s="600">
        <v>243.34</v>
      </c>
    </row>
    <row r="473" spans="1:4" ht="25.5">
      <c r="A473" s="401">
        <v>1749</v>
      </c>
      <c r="B473" s="411" t="s">
        <v>7625</v>
      </c>
      <c r="C473" s="401" t="s">
        <v>998</v>
      </c>
      <c r="D473" s="600">
        <v>352.56</v>
      </c>
    </row>
    <row r="474" spans="1:4" ht="25.5">
      <c r="A474" s="401">
        <v>37412</v>
      </c>
      <c r="B474" s="411" t="s">
        <v>7626</v>
      </c>
      <c r="C474" s="401" t="s">
        <v>998</v>
      </c>
      <c r="D474" s="600">
        <v>178.88</v>
      </c>
    </row>
    <row r="475" spans="1:4" ht="25.5">
      <c r="A475" s="401">
        <v>1745</v>
      </c>
      <c r="B475" s="411" t="s">
        <v>7627</v>
      </c>
      <c r="C475" s="401" t="s">
        <v>998</v>
      </c>
      <c r="D475" s="600">
        <v>212.71</v>
      </c>
    </row>
    <row r="476" spans="1:4" ht="25.5">
      <c r="A476" s="401">
        <v>1750</v>
      </c>
      <c r="B476" s="411" t="s">
        <v>7628</v>
      </c>
      <c r="C476" s="401" t="s">
        <v>998</v>
      </c>
      <c r="D476" s="600">
        <v>497.08</v>
      </c>
    </row>
    <row r="477" spans="1:4" ht="25.5">
      <c r="A477" s="401">
        <v>11687</v>
      </c>
      <c r="B477" s="411" t="s">
        <v>7629</v>
      </c>
      <c r="C477" s="401" t="s">
        <v>1002</v>
      </c>
      <c r="D477" s="600">
        <v>792</v>
      </c>
    </row>
    <row r="478" spans="1:4" ht="25.5">
      <c r="A478" s="401">
        <v>11689</v>
      </c>
      <c r="B478" s="411" t="s">
        <v>7630</v>
      </c>
      <c r="C478" s="401" t="s">
        <v>1002</v>
      </c>
      <c r="D478" s="600">
        <v>992.33</v>
      </c>
    </row>
    <row r="479" spans="1:4">
      <c r="A479" s="401">
        <v>11693</v>
      </c>
      <c r="B479" s="411" t="s">
        <v>7631</v>
      </c>
      <c r="C479" s="401" t="s">
        <v>1003</v>
      </c>
      <c r="D479" s="600">
        <v>138.19</v>
      </c>
    </row>
    <row r="480" spans="1:4">
      <c r="A480" s="401">
        <v>36215</v>
      </c>
      <c r="B480" s="411" t="s">
        <v>7632</v>
      </c>
      <c r="C480" s="401" t="s">
        <v>998</v>
      </c>
      <c r="D480" s="600">
        <v>1052.25</v>
      </c>
    </row>
    <row r="481" spans="1:4" ht="38.25">
      <c r="A481" s="401">
        <v>42439</v>
      </c>
      <c r="B481" s="411" t="s">
        <v>7633</v>
      </c>
      <c r="C481" s="401" t="s">
        <v>998</v>
      </c>
      <c r="D481" s="600">
        <v>672.26</v>
      </c>
    </row>
    <row r="482" spans="1:4">
      <c r="A482" s="401">
        <v>38381</v>
      </c>
      <c r="B482" s="411" t="s">
        <v>7634</v>
      </c>
      <c r="C482" s="401" t="s">
        <v>998</v>
      </c>
      <c r="D482" s="600">
        <v>8.7899999999999991</v>
      </c>
    </row>
    <row r="483" spans="1:4">
      <c r="A483" s="401">
        <v>39621</v>
      </c>
      <c r="B483" s="411" t="s">
        <v>7635</v>
      </c>
      <c r="C483" s="401" t="s">
        <v>1011</v>
      </c>
      <c r="D483" s="600">
        <v>1229.54</v>
      </c>
    </row>
    <row r="484" spans="1:4">
      <c r="A484" s="401">
        <v>39624</v>
      </c>
      <c r="B484" s="411" t="s">
        <v>7636</v>
      </c>
      <c r="C484" s="401" t="s">
        <v>1011</v>
      </c>
      <c r="D484" s="600">
        <v>1244.22</v>
      </c>
    </row>
    <row r="485" spans="1:4">
      <c r="A485" s="401">
        <v>39615</v>
      </c>
      <c r="B485" s="411" t="s">
        <v>7637</v>
      </c>
      <c r="C485" s="401" t="s">
        <v>998</v>
      </c>
      <c r="D485" s="600">
        <v>428.95</v>
      </c>
    </row>
    <row r="486" spans="1:4">
      <c r="A486" s="401">
        <v>39620</v>
      </c>
      <c r="B486" s="411" t="s">
        <v>7638</v>
      </c>
      <c r="C486" s="401" t="s">
        <v>998</v>
      </c>
      <c r="D486" s="600">
        <v>655.75</v>
      </c>
    </row>
    <row r="487" spans="1:4">
      <c r="A487" s="401">
        <v>39623</v>
      </c>
      <c r="B487" s="411" t="s">
        <v>7639</v>
      </c>
      <c r="C487" s="401" t="s">
        <v>998</v>
      </c>
      <c r="D487" s="600">
        <v>634.99</v>
      </c>
    </row>
    <row r="488" spans="1:4">
      <c r="A488" s="401">
        <v>36207</v>
      </c>
      <c r="B488" s="411" t="s">
        <v>7640</v>
      </c>
      <c r="C488" s="401" t="s">
        <v>998</v>
      </c>
      <c r="D488" s="600">
        <v>466.08</v>
      </c>
    </row>
    <row r="489" spans="1:4">
      <c r="A489" s="401">
        <v>36209</v>
      </c>
      <c r="B489" s="411" t="s">
        <v>7641</v>
      </c>
      <c r="C489" s="401" t="s">
        <v>998</v>
      </c>
      <c r="D489" s="600">
        <v>534.89</v>
      </c>
    </row>
    <row r="490" spans="1:4" ht="25.5">
      <c r="A490" s="401">
        <v>36210</v>
      </c>
      <c r="B490" s="411" t="s">
        <v>7642</v>
      </c>
      <c r="C490" s="401" t="s">
        <v>998</v>
      </c>
      <c r="D490" s="600">
        <v>578.74</v>
      </c>
    </row>
    <row r="491" spans="1:4">
      <c r="A491" s="401">
        <v>36204</v>
      </c>
      <c r="B491" s="411" t="s">
        <v>7643</v>
      </c>
      <c r="C491" s="401" t="s">
        <v>998</v>
      </c>
      <c r="D491" s="600">
        <v>205.2</v>
      </c>
    </row>
    <row r="492" spans="1:4">
      <c r="A492" s="401">
        <v>36205</v>
      </c>
      <c r="B492" s="411" t="s">
        <v>7644</v>
      </c>
      <c r="C492" s="401" t="s">
        <v>998</v>
      </c>
      <c r="D492" s="600">
        <v>227.89</v>
      </c>
    </row>
    <row r="493" spans="1:4">
      <c r="A493" s="401">
        <v>36081</v>
      </c>
      <c r="B493" s="411" t="s">
        <v>7645</v>
      </c>
      <c r="C493" s="401" t="s">
        <v>998</v>
      </c>
      <c r="D493" s="600">
        <v>242.99</v>
      </c>
    </row>
    <row r="494" spans="1:4">
      <c r="A494" s="401">
        <v>36206</v>
      </c>
      <c r="B494" s="411" t="s">
        <v>7646</v>
      </c>
      <c r="C494" s="401" t="s">
        <v>998</v>
      </c>
      <c r="D494" s="600">
        <v>254.57</v>
      </c>
    </row>
    <row r="495" spans="1:4">
      <c r="A495" s="401">
        <v>36218</v>
      </c>
      <c r="B495" s="411" t="s">
        <v>7647</v>
      </c>
      <c r="C495" s="401" t="s">
        <v>998</v>
      </c>
      <c r="D495" s="600">
        <v>99.97</v>
      </c>
    </row>
    <row r="496" spans="1:4">
      <c r="A496" s="401">
        <v>36220</v>
      </c>
      <c r="B496" s="411" t="s">
        <v>7648</v>
      </c>
      <c r="C496" s="401" t="s">
        <v>998</v>
      </c>
      <c r="D496" s="600">
        <v>114.64</v>
      </c>
    </row>
    <row r="497" spans="1:4">
      <c r="A497" s="401">
        <v>36080</v>
      </c>
      <c r="B497" s="411" t="s">
        <v>7649</v>
      </c>
      <c r="C497" s="401" t="s">
        <v>998</v>
      </c>
      <c r="D497" s="600">
        <v>124</v>
      </c>
    </row>
    <row r="498" spans="1:4">
      <c r="A498" s="401">
        <v>36223</v>
      </c>
      <c r="B498" s="411" t="s">
        <v>7650</v>
      </c>
      <c r="C498" s="401" t="s">
        <v>998</v>
      </c>
      <c r="D498" s="600">
        <v>129.84</v>
      </c>
    </row>
    <row r="499" spans="1:4">
      <c r="A499" s="401">
        <v>546</v>
      </c>
      <c r="B499" s="411" t="s">
        <v>7651</v>
      </c>
      <c r="C499" s="401" t="s">
        <v>995</v>
      </c>
      <c r="D499" s="600">
        <v>6.66</v>
      </c>
    </row>
    <row r="500" spans="1:4">
      <c r="A500" s="401">
        <v>557</v>
      </c>
      <c r="B500" s="411" t="s">
        <v>7652</v>
      </c>
      <c r="C500" s="401" t="s">
        <v>1002</v>
      </c>
      <c r="D500" s="600">
        <v>25.56</v>
      </c>
    </row>
    <row r="501" spans="1:4">
      <c r="A501" s="401">
        <v>552</v>
      </c>
      <c r="B501" s="411" t="s">
        <v>7653</v>
      </c>
      <c r="C501" s="401" t="s">
        <v>1002</v>
      </c>
      <c r="D501" s="600">
        <v>12.58</v>
      </c>
    </row>
    <row r="502" spans="1:4">
      <c r="A502" s="401">
        <v>555</v>
      </c>
      <c r="B502" s="411" t="s">
        <v>7654</v>
      </c>
      <c r="C502" s="401" t="s">
        <v>1002</v>
      </c>
      <c r="D502" s="600">
        <v>7.71</v>
      </c>
    </row>
    <row r="503" spans="1:4">
      <c r="A503" s="401">
        <v>565</v>
      </c>
      <c r="B503" s="411" t="s">
        <v>7655</v>
      </c>
      <c r="C503" s="401" t="s">
        <v>1002</v>
      </c>
      <c r="D503" s="600">
        <v>11.78</v>
      </c>
    </row>
    <row r="504" spans="1:4">
      <c r="A504" s="401">
        <v>549</v>
      </c>
      <c r="B504" s="411" t="s">
        <v>7656</v>
      </c>
      <c r="C504" s="401" t="s">
        <v>1002</v>
      </c>
      <c r="D504" s="600">
        <v>33.69</v>
      </c>
    </row>
    <row r="505" spans="1:4">
      <c r="A505" s="401">
        <v>559</v>
      </c>
      <c r="B505" s="411" t="s">
        <v>7657</v>
      </c>
      <c r="C505" s="401" t="s">
        <v>1002</v>
      </c>
      <c r="D505" s="600">
        <v>16.84</v>
      </c>
    </row>
    <row r="506" spans="1:4">
      <c r="A506" s="401">
        <v>551</v>
      </c>
      <c r="B506" s="411" t="s">
        <v>7658</v>
      </c>
      <c r="C506" s="401" t="s">
        <v>1002</v>
      </c>
      <c r="D506" s="600">
        <v>65.84</v>
      </c>
    </row>
    <row r="507" spans="1:4">
      <c r="A507" s="401">
        <v>547</v>
      </c>
      <c r="B507" s="411" t="s">
        <v>7659</v>
      </c>
      <c r="C507" s="401" t="s">
        <v>1002</v>
      </c>
      <c r="D507" s="600">
        <v>25.24</v>
      </c>
    </row>
    <row r="508" spans="1:4">
      <c r="A508" s="401">
        <v>560</v>
      </c>
      <c r="B508" s="411" t="s">
        <v>7660</v>
      </c>
      <c r="C508" s="401" t="s">
        <v>1002</v>
      </c>
      <c r="D508" s="600">
        <v>21.32</v>
      </c>
    </row>
    <row r="509" spans="1:4">
      <c r="A509" s="401">
        <v>566</v>
      </c>
      <c r="B509" s="411" t="s">
        <v>7661</v>
      </c>
      <c r="C509" s="401" t="s">
        <v>1002</v>
      </c>
      <c r="D509" s="600">
        <v>3.42</v>
      </c>
    </row>
    <row r="510" spans="1:4">
      <c r="A510" s="401">
        <v>563</v>
      </c>
      <c r="B510" s="411" t="s">
        <v>7662</v>
      </c>
      <c r="C510" s="401" t="s">
        <v>1002</v>
      </c>
      <c r="D510" s="600">
        <v>19.149999999999999</v>
      </c>
    </row>
    <row r="511" spans="1:4">
      <c r="A511" s="401">
        <v>38127</v>
      </c>
      <c r="B511" s="411" t="s">
        <v>7663</v>
      </c>
      <c r="C511" s="401" t="s">
        <v>998</v>
      </c>
      <c r="D511" s="600">
        <v>375.63</v>
      </c>
    </row>
    <row r="512" spans="1:4">
      <c r="A512" s="401">
        <v>38060</v>
      </c>
      <c r="B512" s="411" t="s">
        <v>7664</v>
      </c>
      <c r="C512" s="401" t="s">
        <v>998</v>
      </c>
      <c r="D512" s="600">
        <v>66.349999999999994</v>
      </c>
    </row>
    <row r="513" spans="1:4">
      <c r="A513" s="401">
        <v>10956</v>
      </c>
      <c r="B513" s="411" t="s">
        <v>7665</v>
      </c>
      <c r="C513" s="401" t="s">
        <v>998</v>
      </c>
      <c r="D513" s="600">
        <v>68.930000000000007</v>
      </c>
    </row>
    <row r="514" spans="1:4">
      <c r="A514" s="401">
        <v>39380</v>
      </c>
      <c r="B514" s="411" t="s">
        <v>7666</v>
      </c>
      <c r="C514" s="401" t="s">
        <v>998</v>
      </c>
      <c r="D514" s="600">
        <v>9.82</v>
      </c>
    </row>
    <row r="515" spans="1:4">
      <c r="A515" s="401">
        <v>13374</v>
      </c>
      <c r="B515" s="411" t="s">
        <v>7667</v>
      </c>
      <c r="C515" s="401" t="s">
        <v>998</v>
      </c>
      <c r="D515" s="600">
        <v>89.96</v>
      </c>
    </row>
    <row r="516" spans="1:4">
      <c r="A516" s="401">
        <v>37597</v>
      </c>
      <c r="B516" s="411" t="s">
        <v>7668</v>
      </c>
      <c r="C516" s="401" t="s">
        <v>998</v>
      </c>
      <c r="D516" s="600">
        <v>332215.39</v>
      </c>
    </row>
    <row r="517" spans="1:4" ht="38.25">
      <c r="A517" s="401">
        <v>183</v>
      </c>
      <c r="B517" s="411" t="s">
        <v>7669</v>
      </c>
      <c r="C517" s="401" t="s">
        <v>1000</v>
      </c>
      <c r="D517" s="600">
        <v>112.66</v>
      </c>
    </row>
    <row r="518" spans="1:4" ht="25.5">
      <c r="A518" s="401">
        <v>184</v>
      </c>
      <c r="B518" s="411" t="s">
        <v>7670</v>
      </c>
      <c r="C518" s="401" t="s">
        <v>1000</v>
      </c>
      <c r="D518" s="600">
        <v>74.459999999999994</v>
      </c>
    </row>
    <row r="519" spans="1:4" ht="38.25">
      <c r="A519" s="401">
        <v>195</v>
      </c>
      <c r="B519" s="411" t="s">
        <v>7671</v>
      </c>
      <c r="C519" s="401" t="s">
        <v>1000</v>
      </c>
      <c r="D519" s="600">
        <v>91.52</v>
      </c>
    </row>
    <row r="520" spans="1:4" ht="25.5">
      <c r="A520" s="401">
        <v>194</v>
      </c>
      <c r="B520" s="411" t="s">
        <v>7672</v>
      </c>
      <c r="C520" s="401" t="s">
        <v>1000</v>
      </c>
      <c r="D520" s="600">
        <v>49.75</v>
      </c>
    </row>
    <row r="521" spans="1:4" ht="25.5">
      <c r="A521" s="401">
        <v>20001</v>
      </c>
      <c r="B521" s="411" t="s">
        <v>7673</v>
      </c>
      <c r="C521" s="401" t="s">
        <v>1000</v>
      </c>
      <c r="D521" s="600">
        <v>91.2</v>
      </c>
    </row>
    <row r="522" spans="1:4" ht="38.25">
      <c r="A522" s="401">
        <v>181</v>
      </c>
      <c r="B522" s="411" t="s">
        <v>7674</v>
      </c>
      <c r="C522" s="401" t="s">
        <v>1000</v>
      </c>
      <c r="D522" s="600">
        <v>123.38</v>
      </c>
    </row>
    <row r="523" spans="1:4" ht="25.5">
      <c r="A523" s="401">
        <v>39837</v>
      </c>
      <c r="B523" s="411" t="s">
        <v>7675</v>
      </c>
      <c r="C523" s="401" t="s">
        <v>1000</v>
      </c>
      <c r="D523" s="600">
        <v>211.71</v>
      </c>
    </row>
    <row r="524" spans="1:4" ht="25.5">
      <c r="A524" s="401">
        <v>10535</v>
      </c>
      <c r="B524" s="411" t="s">
        <v>7676</v>
      </c>
      <c r="C524" s="401" t="s">
        <v>998</v>
      </c>
      <c r="D524" s="600">
        <v>3621.72</v>
      </c>
    </row>
    <row r="525" spans="1:4" ht="25.5">
      <c r="A525" s="401">
        <v>10537</v>
      </c>
      <c r="B525" s="411" t="s">
        <v>7677</v>
      </c>
      <c r="C525" s="401" t="s">
        <v>998</v>
      </c>
      <c r="D525" s="600">
        <v>4939.04</v>
      </c>
    </row>
    <row r="526" spans="1:4" ht="25.5">
      <c r="A526" s="401">
        <v>13891</v>
      </c>
      <c r="B526" s="411" t="s">
        <v>7678</v>
      </c>
      <c r="C526" s="401" t="s">
        <v>998</v>
      </c>
      <c r="D526" s="600">
        <v>4530.21</v>
      </c>
    </row>
    <row r="527" spans="1:4" ht="25.5">
      <c r="A527" s="401">
        <v>25975</v>
      </c>
      <c r="B527" s="411" t="s">
        <v>7679</v>
      </c>
      <c r="C527" s="401" t="s">
        <v>998</v>
      </c>
      <c r="D527" s="600">
        <v>19704.61</v>
      </c>
    </row>
    <row r="528" spans="1:4" ht="25.5">
      <c r="A528" s="401">
        <v>36396</v>
      </c>
      <c r="B528" s="411" t="s">
        <v>7680</v>
      </c>
      <c r="C528" s="401" t="s">
        <v>998</v>
      </c>
      <c r="D528" s="600">
        <v>4143.49</v>
      </c>
    </row>
    <row r="529" spans="1:4" ht="25.5">
      <c r="A529" s="401">
        <v>36397</v>
      </c>
      <c r="B529" s="411" t="s">
        <v>7681</v>
      </c>
      <c r="C529" s="401" t="s">
        <v>998</v>
      </c>
      <c r="D529" s="600">
        <v>14732.42</v>
      </c>
    </row>
    <row r="530" spans="1:4" ht="25.5">
      <c r="A530" s="401">
        <v>36398</v>
      </c>
      <c r="B530" s="411" t="s">
        <v>7682</v>
      </c>
      <c r="C530" s="401" t="s">
        <v>998</v>
      </c>
      <c r="D530" s="600">
        <v>17906.02</v>
      </c>
    </row>
    <row r="531" spans="1:4">
      <c r="A531" s="401">
        <v>647</v>
      </c>
      <c r="B531" s="411" t="s">
        <v>7683</v>
      </c>
      <c r="C531" s="401" t="s">
        <v>1001</v>
      </c>
      <c r="D531" s="600">
        <v>8.7899999999999991</v>
      </c>
    </row>
    <row r="532" spans="1:4">
      <c r="A532" s="401">
        <v>40920</v>
      </c>
      <c r="B532" s="411" t="s">
        <v>7684</v>
      </c>
      <c r="C532" s="401" t="s">
        <v>1118</v>
      </c>
      <c r="D532" s="600">
        <v>1558.81</v>
      </c>
    </row>
    <row r="533" spans="1:4">
      <c r="A533" s="401">
        <v>7266</v>
      </c>
      <c r="B533" s="411" t="s">
        <v>7685</v>
      </c>
      <c r="C533" s="401" t="s">
        <v>1010</v>
      </c>
      <c r="D533" s="600">
        <v>572</v>
      </c>
    </row>
    <row r="534" spans="1:4">
      <c r="A534" s="401">
        <v>7270</v>
      </c>
      <c r="B534" s="411" t="s">
        <v>7686</v>
      </c>
      <c r="C534" s="401" t="s">
        <v>998</v>
      </c>
      <c r="D534" s="600">
        <v>0.54</v>
      </c>
    </row>
    <row r="535" spans="1:4">
      <c r="A535" s="401">
        <v>7269</v>
      </c>
      <c r="B535" s="411" t="s">
        <v>7687</v>
      </c>
      <c r="C535" s="401" t="s">
        <v>998</v>
      </c>
      <c r="D535" s="600">
        <v>0.38</v>
      </c>
    </row>
    <row r="536" spans="1:4">
      <c r="A536" s="401">
        <v>7271</v>
      </c>
      <c r="B536" s="411" t="s">
        <v>7688</v>
      </c>
      <c r="C536" s="401" t="s">
        <v>998</v>
      </c>
      <c r="D536" s="600">
        <v>0.56999999999999995</v>
      </c>
    </row>
    <row r="537" spans="1:4">
      <c r="A537" s="401">
        <v>7268</v>
      </c>
      <c r="B537" s="411" t="s">
        <v>7689</v>
      </c>
      <c r="C537" s="401" t="s">
        <v>998</v>
      </c>
      <c r="D537" s="600">
        <v>0.81</v>
      </c>
    </row>
    <row r="538" spans="1:4">
      <c r="A538" s="401">
        <v>7267</v>
      </c>
      <c r="B538" s="411" t="s">
        <v>7690</v>
      </c>
      <c r="C538" s="401" t="s">
        <v>998</v>
      </c>
      <c r="D538" s="600">
        <v>0.39</v>
      </c>
    </row>
    <row r="539" spans="1:4" ht="25.5">
      <c r="A539" s="401">
        <v>38783</v>
      </c>
      <c r="B539" s="411" t="s">
        <v>7691</v>
      </c>
      <c r="C539" s="401" t="s">
        <v>998</v>
      </c>
      <c r="D539" s="600">
        <v>0.71</v>
      </c>
    </row>
    <row r="540" spans="1:4" ht="25.5">
      <c r="A540" s="401">
        <v>37593</v>
      </c>
      <c r="B540" s="411" t="s">
        <v>7692</v>
      </c>
      <c r="C540" s="401" t="s">
        <v>998</v>
      </c>
      <c r="D540" s="600">
        <v>1.87</v>
      </c>
    </row>
    <row r="541" spans="1:4" ht="25.5">
      <c r="A541" s="401">
        <v>37594</v>
      </c>
      <c r="B541" s="411" t="s">
        <v>7693</v>
      </c>
      <c r="C541" s="401" t="s">
        <v>998</v>
      </c>
      <c r="D541" s="600">
        <v>2.2799999999999998</v>
      </c>
    </row>
    <row r="542" spans="1:4" ht="25.5">
      <c r="A542" s="401">
        <v>37592</v>
      </c>
      <c r="B542" s="411" t="s">
        <v>7694</v>
      </c>
      <c r="C542" s="401" t="s">
        <v>998</v>
      </c>
      <c r="D542" s="600">
        <v>1.4</v>
      </c>
    </row>
    <row r="543" spans="1:4">
      <c r="A543" s="401">
        <v>34556</v>
      </c>
      <c r="B543" s="411" t="s">
        <v>7695</v>
      </c>
      <c r="C543" s="401" t="s">
        <v>998</v>
      </c>
      <c r="D543" s="600">
        <v>2.92</v>
      </c>
    </row>
    <row r="544" spans="1:4">
      <c r="A544" s="401">
        <v>37873</v>
      </c>
      <c r="B544" s="411" t="s">
        <v>7696</v>
      </c>
      <c r="C544" s="401" t="s">
        <v>998</v>
      </c>
      <c r="D544" s="600">
        <v>3.19</v>
      </c>
    </row>
    <row r="545" spans="1:4">
      <c r="A545" s="401">
        <v>34564</v>
      </c>
      <c r="B545" s="411" t="s">
        <v>7697</v>
      </c>
      <c r="C545" s="401" t="s">
        <v>998</v>
      </c>
      <c r="D545" s="600">
        <v>3.65</v>
      </c>
    </row>
    <row r="546" spans="1:4">
      <c r="A546" s="401">
        <v>34565</v>
      </c>
      <c r="B546" s="411" t="s">
        <v>7698</v>
      </c>
      <c r="C546" s="401" t="s">
        <v>998</v>
      </c>
      <c r="D546" s="600">
        <v>4.21</v>
      </c>
    </row>
    <row r="547" spans="1:4">
      <c r="A547" s="401">
        <v>38590</v>
      </c>
      <c r="B547" s="411" t="s">
        <v>7699</v>
      </c>
      <c r="C547" s="401" t="s">
        <v>998</v>
      </c>
      <c r="D547" s="600">
        <v>2.4500000000000002</v>
      </c>
    </row>
    <row r="548" spans="1:4">
      <c r="A548" s="401">
        <v>34566</v>
      </c>
      <c r="B548" s="411" t="s">
        <v>7700</v>
      </c>
      <c r="C548" s="401" t="s">
        <v>998</v>
      </c>
      <c r="D548" s="600">
        <v>2.29</v>
      </c>
    </row>
    <row r="549" spans="1:4">
      <c r="A549" s="401">
        <v>34567</v>
      </c>
      <c r="B549" s="411" t="s">
        <v>7701</v>
      </c>
      <c r="C549" s="401" t="s">
        <v>998</v>
      </c>
      <c r="D549" s="600">
        <v>2.56</v>
      </c>
    </row>
    <row r="550" spans="1:4">
      <c r="A550" s="401">
        <v>38591</v>
      </c>
      <c r="B550" s="411" t="s">
        <v>7702</v>
      </c>
      <c r="C550" s="401" t="s">
        <v>998</v>
      </c>
      <c r="D550" s="600">
        <v>2.77</v>
      </c>
    </row>
    <row r="551" spans="1:4">
      <c r="A551" s="401">
        <v>34568</v>
      </c>
      <c r="B551" s="411" t="s">
        <v>7703</v>
      </c>
      <c r="C551" s="401" t="s">
        <v>998</v>
      </c>
      <c r="D551" s="600">
        <v>3.35</v>
      </c>
    </row>
    <row r="552" spans="1:4">
      <c r="A552" s="401">
        <v>34569</v>
      </c>
      <c r="B552" s="411" t="s">
        <v>7704</v>
      </c>
      <c r="C552" s="401" t="s">
        <v>998</v>
      </c>
      <c r="D552" s="600">
        <v>3.43</v>
      </c>
    </row>
    <row r="553" spans="1:4">
      <c r="A553" s="401">
        <v>34570</v>
      </c>
      <c r="B553" s="411" t="s">
        <v>7705</v>
      </c>
      <c r="C553" s="401" t="s">
        <v>998</v>
      </c>
      <c r="D553" s="600">
        <v>3.66</v>
      </c>
    </row>
    <row r="554" spans="1:4">
      <c r="A554" s="401">
        <v>25070</v>
      </c>
      <c r="B554" s="411" t="s">
        <v>7706</v>
      </c>
      <c r="C554" s="401" t="s">
        <v>998</v>
      </c>
      <c r="D554" s="600">
        <v>2.8</v>
      </c>
    </row>
    <row r="555" spans="1:4">
      <c r="A555" s="401">
        <v>34571</v>
      </c>
      <c r="B555" s="411" t="s">
        <v>7707</v>
      </c>
      <c r="C555" s="401" t="s">
        <v>998</v>
      </c>
      <c r="D555" s="600">
        <v>2.86</v>
      </c>
    </row>
    <row r="556" spans="1:4">
      <c r="A556" s="401">
        <v>34573</v>
      </c>
      <c r="B556" s="411" t="s">
        <v>7708</v>
      </c>
      <c r="C556" s="401" t="s">
        <v>998</v>
      </c>
      <c r="D556" s="600">
        <v>3.01</v>
      </c>
    </row>
    <row r="557" spans="1:4">
      <c r="A557" s="401">
        <v>37107</v>
      </c>
      <c r="B557" s="411" t="s">
        <v>7709</v>
      </c>
      <c r="C557" s="401" t="s">
        <v>998</v>
      </c>
      <c r="D557" s="600">
        <v>4.45</v>
      </c>
    </row>
    <row r="558" spans="1:4">
      <c r="A558" s="401">
        <v>34576</v>
      </c>
      <c r="B558" s="411" t="s">
        <v>7710</v>
      </c>
      <c r="C558" s="401" t="s">
        <v>998</v>
      </c>
      <c r="D558" s="600">
        <v>4.17</v>
      </c>
    </row>
    <row r="559" spans="1:4">
      <c r="A559" s="401">
        <v>34577</v>
      </c>
      <c r="B559" s="411" t="s">
        <v>7711</v>
      </c>
      <c r="C559" s="401" t="s">
        <v>998</v>
      </c>
      <c r="D559" s="600">
        <v>4.45</v>
      </c>
    </row>
    <row r="560" spans="1:4">
      <c r="A560" s="401">
        <v>34578</v>
      </c>
      <c r="B560" s="411" t="s">
        <v>7712</v>
      </c>
      <c r="C560" s="401" t="s">
        <v>998</v>
      </c>
      <c r="D560" s="600">
        <v>4.9400000000000004</v>
      </c>
    </row>
    <row r="561" spans="1:4">
      <c r="A561" s="401">
        <v>34579</v>
      </c>
      <c r="B561" s="411" t="s">
        <v>7713</v>
      </c>
      <c r="C561" s="401" t="s">
        <v>998</v>
      </c>
      <c r="D561" s="600">
        <v>6.32</v>
      </c>
    </row>
    <row r="562" spans="1:4">
      <c r="A562" s="401">
        <v>25067</v>
      </c>
      <c r="B562" s="411" t="s">
        <v>7714</v>
      </c>
      <c r="C562" s="401" t="s">
        <v>998</v>
      </c>
      <c r="D562" s="600">
        <v>3.65</v>
      </c>
    </row>
    <row r="563" spans="1:4">
      <c r="A563" s="401">
        <v>34580</v>
      </c>
      <c r="B563" s="411" t="s">
        <v>7715</v>
      </c>
      <c r="C563" s="401" t="s">
        <v>998</v>
      </c>
      <c r="D563" s="600">
        <v>3.97</v>
      </c>
    </row>
    <row r="564" spans="1:4">
      <c r="A564" s="401">
        <v>25071</v>
      </c>
      <c r="B564" s="411" t="s">
        <v>7716</v>
      </c>
      <c r="C564" s="401" t="s">
        <v>998</v>
      </c>
      <c r="D564" s="600">
        <v>1.92</v>
      </c>
    </row>
    <row r="565" spans="1:4">
      <c r="A565" s="401">
        <v>38395</v>
      </c>
      <c r="B565" s="411" t="s">
        <v>7717</v>
      </c>
      <c r="C565" s="401" t="s">
        <v>998</v>
      </c>
      <c r="D565" s="600">
        <v>7.34</v>
      </c>
    </row>
    <row r="566" spans="1:4">
      <c r="A566" s="401">
        <v>34583</v>
      </c>
      <c r="B566" s="411" t="s">
        <v>7718</v>
      </c>
      <c r="C566" s="401" t="s">
        <v>1003</v>
      </c>
      <c r="D566" s="600">
        <v>65.84</v>
      </c>
    </row>
    <row r="567" spans="1:4">
      <c r="A567" s="401">
        <v>34584</v>
      </c>
      <c r="B567" s="411" t="s">
        <v>7719</v>
      </c>
      <c r="C567" s="401" t="s">
        <v>1003</v>
      </c>
      <c r="D567" s="600">
        <v>36.86</v>
      </c>
    </row>
    <row r="568" spans="1:4" ht="25.5">
      <c r="A568" s="401">
        <v>709</v>
      </c>
      <c r="B568" s="411" t="s">
        <v>7720</v>
      </c>
      <c r="C568" s="401" t="s">
        <v>1003</v>
      </c>
      <c r="D568" s="600">
        <v>539.88</v>
      </c>
    </row>
    <row r="569" spans="1:4">
      <c r="A569" s="401">
        <v>716</v>
      </c>
      <c r="B569" s="411" t="s">
        <v>7721</v>
      </c>
      <c r="C569" s="401" t="s">
        <v>998</v>
      </c>
      <c r="D569" s="600">
        <v>15.92</v>
      </c>
    </row>
    <row r="570" spans="1:4">
      <c r="A570" s="401">
        <v>715</v>
      </c>
      <c r="B570" s="411" t="s">
        <v>7722</v>
      </c>
      <c r="C570" s="401" t="s">
        <v>998</v>
      </c>
      <c r="D570" s="600">
        <v>15.75</v>
      </c>
    </row>
    <row r="571" spans="1:4">
      <c r="A571" s="401">
        <v>718</v>
      </c>
      <c r="B571" s="411" t="s">
        <v>7723</v>
      </c>
      <c r="C571" s="401" t="s">
        <v>998</v>
      </c>
      <c r="D571" s="600">
        <v>23.46</v>
      </c>
    </row>
    <row r="572" spans="1:4">
      <c r="A572" s="401">
        <v>11981</v>
      </c>
      <c r="B572" s="411" t="s">
        <v>7724</v>
      </c>
      <c r="C572" s="401" t="s">
        <v>998</v>
      </c>
      <c r="D572" s="600">
        <v>16.09</v>
      </c>
    </row>
    <row r="573" spans="1:4">
      <c r="A573" s="401">
        <v>10610</v>
      </c>
      <c r="B573" s="411" t="s">
        <v>7725</v>
      </c>
      <c r="C573" s="401" t="s">
        <v>998</v>
      </c>
      <c r="D573" s="600">
        <v>1.54</v>
      </c>
    </row>
    <row r="574" spans="1:4">
      <c r="A574" s="401">
        <v>34585</v>
      </c>
      <c r="B574" s="411" t="s">
        <v>7726</v>
      </c>
      <c r="C574" s="401" t="s">
        <v>998</v>
      </c>
      <c r="D574" s="600">
        <v>1.57</v>
      </c>
    </row>
    <row r="575" spans="1:4">
      <c r="A575" s="401">
        <v>34586</v>
      </c>
      <c r="B575" s="411" t="s">
        <v>7727</v>
      </c>
      <c r="C575" s="401" t="s">
        <v>998</v>
      </c>
      <c r="D575" s="600">
        <v>1.59</v>
      </c>
    </row>
    <row r="576" spans="1:4">
      <c r="A576" s="401">
        <v>38603</v>
      </c>
      <c r="B576" s="411" t="s">
        <v>7728</v>
      </c>
      <c r="C576" s="401" t="s">
        <v>998</v>
      </c>
      <c r="D576" s="600">
        <v>1.84</v>
      </c>
    </row>
    <row r="577" spans="1:4">
      <c r="A577" s="401">
        <v>34588</v>
      </c>
      <c r="B577" s="411" t="s">
        <v>7729</v>
      </c>
      <c r="C577" s="401" t="s">
        <v>998</v>
      </c>
      <c r="D577" s="600">
        <v>2.04</v>
      </c>
    </row>
    <row r="578" spans="1:4">
      <c r="A578" s="401">
        <v>34590</v>
      </c>
      <c r="B578" s="411" t="s">
        <v>7730</v>
      </c>
      <c r="C578" s="401" t="s">
        <v>998</v>
      </c>
      <c r="D578" s="600">
        <v>2.2000000000000002</v>
      </c>
    </row>
    <row r="579" spans="1:4">
      <c r="A579" s="401">
        <v>34591</v>
      </c>
      <c r="B579" s="411" t="s">
        <v>7731</v>
      </c>
      <c r="C579" s="401" t="s">
        <v>998</v>
      </c>
      <c r="D579" s="600">
        <v>2.75</v>
      </c>
    </row>
    <row r="580" spans="1:4">
      <c r="A580" s="401">
        <v>37103</v>
      </c>
      <c r="B580" s="411" t="s">
        <v>7732</v>
      </c>
      <c r="C580" s="401" t="s">
        <v>998</v>
      </c>
      <c r="D580" s="600">
        <v>2.39</v>
      </c>
    </row>
    <row r="581" spans="1:4">
      <c r="A581" s="401">
        <v>34555</v>
      </c>
      <c r="B581" s="411" t="s">
        <v>7733</v>
      </c>
      <c r="C581" s="401" t="s">
        <v>998</v>
      </c>
      <c r="D581" s="600">
        <v>2.99</v>
      </c>
    </row>
    <row r="582" spans="1:4">
      <c r="A582" s="401">
        <v>34599</v>
      </c>
      <c r="B582" s="411" t="s">
        <v>7734</v>
      </c>
      <c r="C582" s="401" t="s">
        <v>998</v>
      </c>
      <c r="D582" s="600">
        <v>2.14</v>
      </c>
    </row>
    <row r="583" spans="1:4">
      <c r="A583" s="401">
        <v>674</v>
      </c>
      <c r="B583" s="411" t="s">
        <v>7735</v>
      </c>
      <c r="C583" s="401" t="s">
        <v>1003</v>
      </c>
      <c r="D583" s="600">
        <v>45.76</v>
      </c>
    </row>
    <row r="584" spans="1:4">
      <c r="A584" s="401">
        <v>34600</v>
      </c>
      <c r="B584" s="411" t="s">
        <v>7736</v>
      </c>
      <c r="C584" s="401" t="s">
        <v>1003</v>
      </c>
      <c r="D584" s="600">
        <v>74.36</v>
      </c>
    </row>
    <row r="585" spans="1:4">
      <c r="A585" s="401">
        <v>652</v>
      </c>
      <c r="B585" s="411" t="s">
        <v>7737</v>
      </c>
      <c r="C585" s="401" t="s">
        <v>1003</v>
      </c>
      <c r="D585" s="600">
        <v>94.7</v>
      </c>
    </row>
    <row r="586" spans="1:4">
      <c r="A586" s="401">
        <v>34592</v>
      </c>
      <c r="B586" s="411" t="s">
        <v>7738</v>
      </c>
      <c r="C586" s="401" t="s">
        <v>998</v>
      </c>
      <c r="D586" s="600">
        <v>2.0299999999999998</v>
      </c>
    </row>
    <row r="587" spans="1:4">
      <c r="A587" s="401">
        <v>651</v>
      </c>
      <c r="B587" s="411" t="s">
        <v>7739</v>
      </c>
      <c r="C587" s="401" t="s">
        <v>998</v>
      </c>
      <c r="D587" s="600">
        <v>2.33</v>
      </c>
    </row>
    <row r="588" spans="1:4">
      <c r="A588" s="401">
        <v>654</v>
      </c>
      <c r="B588" s="411" t="s">
        <v>7740</v>
      </c>
      <c r="C588" s="401" t="s">
        <v>998</v>
      </c>
      <c r="D588" s="600">
        <v>3</v>
      </c>
    </row>
    <row r="589" spans="1:4">
      <c r="A589" s="401">
        <v>650</v>
      </c>
      <c r="B589" s="411" t="s">
        <v>7741</v>
      </c>
      <c r="C589" s="401" t="s">
        <v>998</v>
      </c>
      <c r="D589" s="600">
        <v>1.98</v>
      </c>
    </row>
    <row r="590" spans="1:4" ht="25.5">
      <c r="A590" s="401">
        <v>40517</v>
      </c>
      <c r="B590" s="411" t="s">
        <v>14300</v>
      </c>
      <c r="C590" s="401" t="s">
        <v>1003</v>
      </c>
      <c r="D590" s="600">
        <v>38.9</v>
      </c>
    </row>
    <row r="591" spans="1:4" ht="38.25">
      <c r="A591" s="401">
        <v>40515</v>
      </c>
      <c r="B591" s="411" t="s">
        <v>14301</v>
      </c>
      <c r="C591" s="401" t="s">
        <v>1003</v>
      </c>
      <c r="D591" s="600">
        <v>87.53</v>
      </c>
    </row>
    <row r="592" spans="1:4" ht="38.25">
      <c r="A592" s="401">
        <v>40529</v>
      </c>
      <c r="B592" s="411" t="s">
        <v>7742</v>
      </c>
      <c r="C592" s="401" t="s">
        <v>1003</v>
      </c>
      <c r="D592" s="600">
        <v>55.92</v>
      </c>
    </row>
    <row r="593" spans="1:4" ht="38.25">
      <c r="A593" s="401">
        <v>36170</v>
      </c>
      <c r="B593" s="411" t="s">
        <v>7743</v>
      </c>
      <c r="C593" s="401" t="s">
        <v>1003</v>
      </c>
      <c r="D593" s="600">
        <v>46.4</v>
      </c>
    </row>
    <row r="594" spans="1:4" ht="38.25">
      <c r="A594" s="401">
        <v>40524</v>
      </c>
      <c r="B594" s="411" t="s">
        <v>7744</v>
      </c>
      <c r="C594" s="401" t="s">
        <v>1003</v>
      </c>
      <c r="D594" s="600">
        <v>54.7</v>
      </c>
    </row>
    <row r="595" spans="1:4" ht="38.25">
      <c r="A595" s="401">
        <v>36156</v>
      </c>
      <c r="B595" s="411" t="s">
        <v>7745</v>
      </c>
      <c r="C595" s="401" t="s">
        <v>1003</v>
      </c>
      <c r="D595" s="600">
        <v>42.55</v>
      </c>
    </row>
    <row r="596" spans="1:4" ht="38.25">
      <c r="A596" s="401">
        <v>36155</v>
      </c>
      <c r="B596" s="411" t="s">
        <v>7746</v>
      </c>
      <c r="C596" s="401" t="s">
        <v>1003</v>
      </c>
      <c r="D596" s="600">
        <v>36.729999999999997</v>
      </c>
    </row>
    <row r="597" spans="1:4" ht="38.25">
      <c r="A597" s="401">
        <v>36154</v>
      </c>
      <c r="B597" s="411" t="s">
        <v>7747</v>
      </c>
      <c r="C597" s="401" t="s">
        <v>1003</v>
      </c>
      <c r="D597" s="600">
        <v>51.06</v>
      </c>
    </row>
    <row r="598" spans="1:4" ht="25.5">
      <c r="A598" s="401">
        <v>695</v>
      </c>
      <c r="B598" s="411" t="s">
        <v>7748</v>
      </c>
      <c r="C598" s="401" t="s">
        <v>1003</v>
      </c>
      <c r="D598" s="600">
        <v>37.5</v>
      </c>
    </row>
    <row r="599" spans="1:4" ht="25.5">
      <c r="A599" s="401">
        <v>679</v>
      </c>
      <c r="B599" s="411" t="s">
        <v>14302</v>
      </c>
      <c r="C599" s="401" t="s">
        <v>1003</v>
      </c>
      <c r="D599" s="600">
        <v>55.92</v>
      </c>
    </row>
    <row r="600" spans="1:4" ht="25.5">
      <c r="A600" s="401">
        <v>711</v>
      </c>
      <c r="B600" s="411" t="s">
        <v>14303</v>
      </c>
      <c r="C600" s="401" t="s">
        <v>1003</v>
      </c>
      <c r="D600" s="600">
        <v>36.99</v>
      </c>
    </row>
    <row r="601" spans="1:4" ht="25.5">
      <c r="A601" s="401">
        <v>712</v>
      </c>
      <c r="B601" s="411" t="s">
        <v>14304</v>
      </c>
      <c r="C601" s="401" t="s">
        <v>1003</v>
      </c>
      <c r="D601" s="600">
        <v>46.6</v>
      </c>
    </row>
    <row r="602" spans="1:4" ht="25.5">
      <c r="A602" s="401">
        <v>12614</v>
      </c>
      <c r="B602" s="411" t="s">
        <v>7749</v>
      </c>
      <c r="C602" s="401" t="s">
        <v>998</v>
      </c>
      <c r="D602" s="600">
        <v>15.42</v>
      </c>
    </row>
    <row r="603" spans="1:4">
      <c r="A603" s="401">
        <v>6140</v>
      </c>
      <c r="B603" s="411" t="s">
        <v>7750</v>
      </c>
      <c r="C603" s="401" t="s">
        <v>998</v>
      </c>
      <c r="D603" s="600">
        <v>2.91</v>
      </c>
    </row>
    <row r="604" spans="1:4">
      <c r="A604" s="401">
        <v>38399</v>
      </c>
      <c r="B604" s="411" t="s">
        <v>7751</v>
      </c>
      <c r="C604" s="401" t="s">
        <v>998</v>
      </c>
      <c r="D604" s="600">
        <v>143.22</v>
      </c>
    </row>
    <row r="605" spans="1:4" ht="38.25">
      <c r="A605" s="401">
        <v>735</v>
      </c>
      <c r="B605" s="411" t="s">
        <v>7752</v>
      </c>
      <c r="C605" s="401" t="s">
        <v>998</v>
      </c>
      <c r="D605" s="600">
        <v>1736.56</v>
      </c>
    </row>
    <row r="606" spans="1:4" ht="38.25">
      <c r="A606" s="401">
        <v>736</v>
      </c>
      <c r="B606" s="411" t="s">
        <v>7753</v>
      </c>
      <c r="C606" s="401" t="s">
        <v>998</v>
      </c>
      <c r="D606" s="600">
        <v>1460.13</v>
      </c>
    </row>
    <row r="607" spans="1:4" ht="25.5">
      <c r="A607" s="401">
        <v>729</v>
      </c>
      <c r="B607" s="411" t="s">
        <v>7754</v>
      </c>
      <c r="C607" s="401" t="s">
        <v>998</v>
      </c>
      <c r="D607" s="600">
        <v>595.02</v>
      </c>
    </row>
    <row r="608" spans="1:4" ht="25.5">
      <c r="A608" s="401">
        <v>39925</v>
      </c>
      <c r="B608" s="411" t="s">
        <v>7755</v>
      </c>
      <c r="C608" s="401" t="s">
        <v>998</v>
      </c>
      <c r="D608" s="600">
        <v>8597.98</v>
      </c>
    </row>
    <row r="609" spans="1:4" ht="25.5">
      <c r="A609" s="401">
        <v>731</v>
      </c>
      <c r="B609" s="411" t="s">
        <v>7756</v>
      </c>
      <c r="C609" s="401" t="s">
        <v>998</v>
      </c>
      <c r="D609" s="600">
        <v>579.1</v>
      </c>
    </row>
    <row r="610" spans="1:4" ht="38.25">
      <c r="A610" s="401">
        <v>10575</v>
      </c>
      <c r="B610" s="411" t="s">
        <v>7757</v>
      </c>
      <c r="C610" s="401" t="s">
        <v>998</v>
      </c>
      <c r="D610" s="600">
        <v>903.73</v>
      </c>
    </row>
    <row r="611" spans="1:4" ht="25.5">
      <c r="A611" s="401">
        <v>733</v>
      </c>
      <c r="B611" s="411" t="s">
        <v>7758</v>
      </c>
      <c r="C611" s="401" t="s">
        <v>998</v>
      </c>
      <c r="D611" s="600">
        <v>989.47</v>
      </c>
    </row>
    <row r="612" spans="1:4" ht="25.5">
      <c r="A612" s="401">
        <v>732</v>
      </c>
      <c r="B612" s="411" t="s">
        <v>7759</v>
      </c>
      <c r="C612" s="401" t="s">
        <v>998</v>
      </c>
      <c r="D612" s="600">
        <v>976.17</v>
      </c>
    </row>
    <row r="613" spans="1:4" ht="25.5">
      <c r="A613" s="401">
        <v>737</v>
      </c>
      <c r="B613" s="411" t="s">
        <v>7760</v>
      </c>
      <c r="C613" s="401" t="s">
        <v>998</v>
      </c>
      <c r="D613" s="600">
        <v>5474.08</v>
      </c>
    </row>
    <row r="614" spans="1:4" ht="25.5">
      <c r="A614" s="401">
        <v>738</v>
      </c>
      <c r="B614" s="411" t="s">
        <v>7761</v>
      </c>
      <c r="C614" s="401" t="s">
        <v>998</v>
      </c>
      <c r="D614" s="600">
        <v>2538.29</v>
      </c>
    </row>
    <row r="615" spans="1:4" ht="38.25">
      <c r="A615" s="401">
        <v>740</v>
      </c>
      <c r="B615" s="411" t="s">
        <v>7762</v>
      </c>
      <c r="C615" s="401" t="s">
        <v>998</v>
      </c>
      <c r="D615" s="600">
        <v>5149.67</v>
      </c>
    </row>
    <row r="616" spans="1:4" ht="25.5">
      <c r="A616" s="401">
        <v>734</v>
      </c>
      <c r="B616" s="411" t="s">
        <v>7763</v>
      </c>
      <c r="C616" s="401" t="s">
        <v>998</v>
      </c>
      <c r="D616" s="600">
        <v>1046.45</v>
      </c>
    </row>
    <row r="617" spans="1:4">
      <c r="A617" s="401">
        <v>39008</v>
      </c>
      <c r="B617" s="411" t="s">
        <v>7764</v>
      </c>
      <c r="C617" s="401" t="s">
        <v>998</v>
      </c>
      <c r="D617" s="600">
        <v>44149.87</v>
      </c>
    </row>
    <row r="618" spans="1:4">
      <c r="A618" s="401">
        <v>39009</v>
      </c>
      <c r="B618" s="411" t="s">
        <v>7765</v>
      </c>
      <c r="C618" s="401" t="s">
        <v>998</v>
      </c>
      <c r="D618" s="600">
        <v>47301.11</v>
      </c>
    </row>
    <row r="619" spans="1:4" ht="38.25">
      <c r="A619" s="401">
        <v>10587</v>
      </c>
      <c r="B619" s="411" t="s">
        <v>7766</v>
      </c>
      <c r="C619" s="401" t="s">
        <v>998</v>
      </c>
      <c r="D619" s="600">
        <v>2805.6</v>
      </c>
    </row>
    <row r="620" spans="1:4" ht="38.25">
      <c r="A620" s="401">
        <v>759</v>
      </c>
      <c r="B620" s="411" t="s">
        <v>7767</v>
      </c>
      <c r="C620" s="401" t="s">
        <v>998</v>
      </c>
      <c r="D620" s="600">
        <v>4033.9</v>
      </c>
    </row>
    <row r="621" spans="1:4" ht="38.25">
      <c r="A621" s="401">
        <v>761</v>
      </c>
      <c r="B621" s="411" t="s">
        <v>7768</v>
      </c>
      <c r="C621" s="401" t="s">
        <v>998</v>
      </c>
      <c r="D621" s="600">
        <v>6837.8</v>
      </c>
    </row>
    <row r="622" spans="1:4" ht="38.25">
      <c r="A622" s="401">
        <v>750</v>
      </c>
      <c r="B622" s="411" t="s">
        <v>7769</v>
      </c>
      <c r="C622" s="401" t="s">
        <v>998</v>
      </c>
      <c r="D622" s="600">
        <v>6491.95</v>
      </c>
    </row>
    <row r="623" spans="1:4" ht="38.25">
      <c r="A623" s="401">
        <v>755</v>
      </c>
      <c r="B623" s="411" t="s">
        <v>7770</v>
      </c>
      <c r="C623" s="401" t="s">
        <v>998</v>
      </c>
      <c r="D623" s="600">
        <v>26639.81</v>
      </c>
    </row>
    <row r="624" spans="1:4" ht="38.25">
      <c r="A624" s="401">
        <v>749</v>
      </c>
      <c r="B624" s="411" t="s">
        <v>7771</v>
      </c>
      <c r="C624" s="401" t="s">
        <v>998</v>
      </c>
      <c r="D624" s="600">
        <v>9797.6299999999992</v>
      </c>
    </row>
    <row r="625" spans="1:4" ht="38.25">
      <c r="A625" s="401">
        <v>756</v>
      </c>
      <c r="B625" s="411" t="s">
        <v>7772</v>
      </c>
      <c r="C625" s="401" t="s">
        <v>998</v>
      </c>
      <c r="D625" s="600">
        <v>29054.28</v>
      </c>
    </row>
    <row r="626" spans="1:4" ht="25.5">
      <c r="A626" s="401">
        <v>757</v>
      </c>
      <c r="B626" s="411" t="s">
        <v>7773</v>
      </c>
      <c r="C626" s="401" t="s">
        <v>998</v>
      </c>
      <c r="D626" s="600">
        <v>13192.5</v>
      </c>
    </row>
    <row r="627" spans="1:4" ht="38.25">
      <c r="A627" s="401">
        <v>10588</v>
      </c>
      <c r="B627" s="411" t="s">
        <v>7774</v>
      </c>
      <c r="C627" s="401" t="s">
        <v>998</v>
      </c>
      <c r="D627" s="600">
        <v>2912.57</v>
      </c>
    </row>
    <row r="628" spans="1:4" ht="38.25">
      <c r="A628" s="401">
        <v>10592</v>
      </c>
      <c r="B628" s="411" t="s">
        <v>7775</v>
      </c>
      <c r="C628" s="401" t="s">
        <v>998</v>
      </c>
      <c r="D628" s="600">
        <v>3518</v>
      </c>
    </row>
    <row r="629" spans="1:4" ht="38.25">
      <c r="A629" s="401">
        <v>10589</v>
      </c>
      <c r="B629" s="411" t="s">
        <v>7776</v>
      </c>
      <c r="C629" s="401" t="s">
        <v>998</v>
      </c>
      <c r="D629" s="600">
        <v>4726.21</v>
      </c>
    </row>
    <row r="630" spans="1:4" ht="25.5">
      <c r="A630" s="401">
        <v>760</v>
      </c>
      <c r="B630" s="411" t="s">
        <v>7777</v>
      </c>
      <c r="C630" s="401" t="s">
        <v>998</v>
      </c>
      <c r="D630" s="600">
        <v>26385</v>
      </c>
    </row>
    <row r="631" spans="1:4" ht="38.25">
      <c r="A631" s="401">
        <v>751</v>
      </c>
      <c r="B631" s="411" t="s">
        <v>7778</v>
      </c>
      <c r="C631" s="401" t="s">
        <v>998</v>
      </c>
      <c r="D631" s="600">
        <v>4155.63</v>
      </c>
    </row>
    <row r="632" spans="1:4" ht="38.25">
      <c r="A632" s="401">
        <v>754</v>
      </c>
      <c r="B632" s="411" t="s">
        <v>7779</v>
      </c>
      <c r="C632" s="401" t="s">
        <v>998</v>
      </c>
      <c r="D632" s="600">
        <v>6596.25</v>
      </c>
    </row>
    <row r="633" spans="1:4">
      <c r="A633" s="401">
        <v>14013</v>
      </c>
      <c r="B633" s="411" t="s">
        <v>7780</v>
      </c>
      <c r="C633" s="401" t="s">
        <v>998</v>
      </c>
      <c r="D633" s="600">
        <v>147921.70000000001</v>
      </c>
    </row>
    <row r="634" spans="1:4" ht="25.5">
      <c r="A634" s="401">
        <v>39917</v>
      </c>
      <c r="B634" s="411" t="s">
        <v>7781</v>
      </c>
      <c r="C634" s="401" t="s">
        <v>998</v>
      </c>
      <c r="D634" s="600">
        <v>67817.39</v>
      </c>
    </row>
    <row r="635" spans="1:4">
      <c r="A635" s="401">
        <v>5081</v>
      </c>
      <c r="B635" s="411" t="s">
        <v>7782</v>
      </c>
      <c r="C635" s="401" t="s">
        <v>1011</v>
      </c>
      <c r="D635" s="600">
        <v>21.31</v>
      </c>
    </row>
    <row r="636" spans="1:4">
      <c r="A636" s="401">
        <v>38167</v>
      </c>
      <c r="B636" s="411" t="s">
        <v>7783</v>
      </c>
      <c r="C636" s="401" t="s">
        <v>1011</v>
      </c>
      <c r="D636" s="600">
        <v>18.36</v>
      </c>
    </row>
    <row r="637" spans="1:4">
      <c r="A637" s="401">
        <v>36145</v>
      </c>
      <c r="B637" s="411" t="s">
        <v>7784</v>
      </c>
      <c r="C637" s="401" t="s">
        <v>1011</v>
      </c>
      <c r="D637" s="600">
        <v>34.409999999999997</v>
      </c>
    </row>
    <row r="638" spans="1:4">
      <c r="A638" s="401">
        <v>12893</v>
      </c>
      <c r="B638" s="411" t="s">
        <v>7785</v>
      </c>
      <c r="C638" s="401" t="s">
        <v>1011</v>
      </c>
      <c r="D638" s="600">
        <v>57.36</v>
      </c>
    </row>
    <row r="639" spans="1:4">
      <c r="A639" s="401">
        <v>11685</v>
      </c>
      <c r="B639" s="411" t="s">
        <v>7786</v>
      </c>
      <c r="C639" s="401" t="s">
        <v>998</v>
      </c>
      <c r="D639" s="600">
        <v>24.15</v>
      </c>
    </row>
    <row r="640" spans="1:4">
      <c r="A640" s="401">
        <v>11679</v>
      </c>
      <c r="B640" s="411" t="s">
        <v>7787</v>
      </c>
      <c r="C640" s="401" t="s">
        <v>998</v>
      </c>
      <c r="D640" s="600">
        <v>6.31</v>
      </c>
    </row>
    <row r="641" spans="1:4">
      <c r="A641" s="401">
        <v>11680</v>
      </c>
      <c r="B641" s="411" t="s">
        <v>7788</v>
      </c>
      <c r="C641" s="401" t="s">
        <v>998</v>
      </c>
      <c r="D641" s="600">
        <v>5.2</v>
      </c>
    </row>
    <row r="642" spans="1:4">
      <c r="A642" s="401">
        <v>2512</v>
      </c>
      <c r="B642" s="411" t="s">
        <v>7789</v>
      </c>
      <c r="C642" s="401" t="s">
        <v>998</v>
      </c>
      <c r="D642" s="600">
        <v>18.88</v>
      </c>
    </row>
    <row r="643" spans="1:4">
      <c r="A643" s="401">
        <v>4374</v>
      </c>
      <c r="B643" s="411" t="s">
        <v>7790</v>
      </c>
      <c r="C643" s="401" t="s">
        <v>998</v>
      </c>
      <c r="D643" s="600">
        <v>0.25</v>
      </c>
    </row>
    <row r="644" spans="1:4" ht="25.5">
      <c r="A644" s="401">
        <v>7568</v>
      </c>
      <c r="B644" s="411" t="s">
        <v>7791</v>
      </c>
      <c r="C644" s="401" t="s">
        <v>998</v>
      </c>
      <c r="D644" s="600">
        <v>0.43</v>
      </c>
    </row>
    <row r="645" spans="1:4" ht="25.5">
      <c r="A645" s="401">
        <v>7584</v>
      </c>
      <c r="B645" s="411" t="s">
        <v>7792</v>
      </c>
      <c r="C645" s="401" t="s">
        <v>998</v>
      </c>
      <c r="D645" s="600">
        <v>0.65</v>
      </c>
    </row>
    <row r="646" spans="1:4">
      <c r="A646" s="401">
        <v>11945</v>
      </c>
      <c r="B646" s="411" t="s">
        <v>7793</v>
      </c>
      <c r="C646" s="401" t="s">
        <v>998</v>
      </c>
      <c r="D646" s="600">
        <v>0.04</v>
      </c>
    </row>
    <row r="647" spans="1:4">
      <c r="A647" s="401">
        <v>11946</v>
      </c>
      <c r="B647" s="411" t="s">
        <v>7794</v>
      </c>
      <c r="C647" s="401" t="s">
        <v>998</v>
      </c>
      <c r="D647" s="600">
        <v>0.04</v>
      </c>
    </row>
    <row r="648" spans="1:4">
      <c r="A648" s="401">
        <v>4375</v>
      </c>
      <c r="B648" s="411" t="s">
        <v>7795</v>
      </c>
      <c r="C648" s="401" t="s">
        <v>998</v>
      </c>
      <c r="D648" s="600">
        <v>7.0000000000000007E-2</v>
      </c>
    </row>
    <row r="649" spans="1:4" ht="25.5">
      <c r="A649" s="401">
        <v>11950</v>
      </c>
      <c r="B649" s="411" t="s">
        <v>7796</v>
      </c>
      <c r="C649" s="401" t="s">
        <v>998</v>
      </c>
      <c r="D649" s="600">
        <v>0.14000000000000001</v>
      </c>
    </row>
    <row r="650" spans="1:4">
      <c r="A650" s="401">
        <v>4376</v>
      </c>
      <c r="B650" s="411" t="s">
        <v>7797</v>
      </c>
      <c r="C650" s="401" t="s">
        <v>998</v>
      </c>
      <c r="D650" s="600">
        <v>0.13</v>
      </c>
    </row>
    <row r="651" spans="1:4" ht="25.5">
      <c r="A651" s="401">
        <v>7583</v>
      </c>
      <c r="B651" s="411" t="s">
        <v>7798</v>
      </c>
      <c r="C651" s="401" t="s">
        <v>998</v>
      </c>
      <c r="D651" s="600">
        <v>0.28999999999999998</v>
      </c>
    </row>
    <row r="652" spans="1:4" ht="25.5">
      <c r="A652" s="401">
        <v>4350</v>
      </c>
      <c r="B652" s="411" t="s">
        <v>7799</v>
      </c>
      <c r="C652" s="401" t="s">
        <v>998</v>
      </c>
      <c r="D652" s="600">
        <v>0.44</v>
      </c>
    </row>
    <row r="653" spans="1:4">
      <c r="A653" s="401">
        <v>39886</v>
      </c>
      <c r="B653" s="411" t="s">
        <v>7800</v>
      </c>
      <c r="C653" s="401" t="s">
        <v>998</v>
      </c>
      <c r="D653" s="600">
        <v>3.81</v>
      </c>
    </row>
    <row r="654" spans="1:4">
      <c r="A654" s="401">
        <v>39887</v>
      </c>
      <c r="B654" s="411" t="s">
        <v>7801</v>
      </c>
      <c r="C654" s="401" t="s">
        <v>998</v>
      </c>
      <c r="D654" s="600">
        <v>5.72</v>
      </c>
    </row>
    <row r="655" spans="1:4">
      <c r="A655" s="401">
        <v>39888</v>
      </c>
      <c r="B655" s="411" t="s">
        <v>7802</v>
      </c>
      <c r="C655" s="401" t="s">
        <v>998</v>
      </c>
      <c r="D655" s="600">
        <v>13.09</v>
      </c>
    </row>
    <row r="656" spans="1:4">
      <c r="A656" s="401">
        <v>39890</v>
      </c>
      <c r="B656" s="411" t="s">
        <v>7803</v>
      </c>
      <c r="C656" s="401" t="s">
        <v>998</v>
      </c>
      <c r="D656" s="600">
        <v>22.34</v>
      </c>
    </row>
    <row r="657" spans="1:4">
      <c r="A657" s="401">
        <v>39891</v>
      </c>
      <c r="B657" s="411" t="s">
        <v>7804</v>
      </c>
      <c r="C657" s="401" t="s">
        <v>998</v>
      </c>
      <c r="D657" s="600">
        <v>31.5</v>
      </c>
    </row>
    <row r="658" spans="1:4">
      <c r="A658" s="401">
        <v>39892</v>
      </c>
      <c r="B658" s="411" t="s">
        <v>7805</v>
      </c>
      <c r="C658" s="401" t="s">
        <v>998</v>
      </c>
      <c r="D658" s="600">
        <v>98.2</v>
      </c>
    </row>
    <row r="659" spans="1:4">
      <c r="A659" s="401">
        <v>790</v>
      </c>
      <c r="B659" s="411" t="s">
        <v>7806</v>
      </c>
      <c r="C659" s="401" t="s">
        <v>998</v>
      </c>
      <c r="D659" s="600">
        <v>10.38</v>
      </c>
    </row>
    <row r="660" spans="1:4">
      <c r="A660" s="401">
        <v>766</v>
      </c>
      <c r="B660" s="411" t="s">
        <v>7807</v>
      </c>
      <c r="C660" s="401" t="s">
        <v>998</v>
      </c>
      <c r="D660" s="600">
        <v>10.38</v>
      </c>
    </row>
    <row r="661" spans="1:4">
      <c r="A661" s="401">
        <v>791</v>
      </c>
      <c r="B661" s="411" t="s">
        <v>7808</v>
      </c>
      <c r="C661" s="401" t="s">
        <v>998</v>
      </c>
      <c r="D661" s="600">
        <v>10.38</v>
      </c>
    </row>
    <row r="662" spans="1:4">
      <c r="A662" s="401">
        <v>767</v>
      </c>
      <c r="B662" s="411" t="s">
        <v>7809</v>
      </c>
      <c r="C662" s="401" t="s">
        <v>998</v>
      </c>
      <c r="D662" s="600">
        <v>10.38</v>
      </c>
    </row>
    <row r="663" spans="1:4">
      <c r="A663" s="401">
        <v>768</v>
      </c>
      <c r="B663" s="411" t="s">
        <v>7810</v>
      </c>
      <c r="C663" s="401" t="s">
        <v>998</v>
      </c>
      <c r="D663" s="600">
        <v>8.15</v>
      </c>
    </row>
    <row r="664" spans="1:4">
      <c r="A664" s="401">
        <v>789</v>
      </c>
      <c r="B664" s="411" t="s">
        <v>7811</v>
      </c>
      <c r="C664" s="401" t="s">
        <v>998</v>
      </c>
      <c r="D664" s="600">
        <v>7.98</v>
      </c>
    </row>
    <row r="665" spans="1:4">
      <c r="A665" s="401">
        <v>769</v>
      </c>
      <c r="B665" s="411" t="s">
        <v>7812</v>
      </c>
      <c r="C665" s="401" t="s">
        <v>998</v>
      </c>
      <c r="D665" s="600">
        <v>8.15</v>
      </c>
    </row>
    <row r="666" spans="1:4">
      <c r="A666" s="401">
        <v>770</v>
      </c>
      <c r="B666" s="411" t="s">
        <v>7813</v>
      </c>
      <c r="C666" s="401" t="s">
        <v>998</v>
      </c>
      <c r="D666" s="600">
        <v>2.88</v>
      </c>
    </row>
    <row r="667" spans="1:4">
      <c r="A667" s="401">
        <v>12394</v>
      </c>
      <c r="B667" s="411" t="s">
        <v>7814</v>
      </c>
      <c r="C667" s="401" t="s">
        <v>998</v>
      </c>
      <c r="D667" s="600">
        <v>2.88</v>
      </c>
    </row>
    <row r="668" spans="1:4">
      <c r="A668" s="401">
        <v>764</v>
      </c>
      <c r="B668" s="411" t="s">
        <v>7815</v>
      </c>
      <c r="C668" s="401" t="s">
        <v>998</v>
      </c>
      <c r="D668" s="600">
        <v>5.0199999999999996</v>
      </c>
    </row>
    <row r="669" spans="1:4">
      <c r="A669" s="401">
        <v>765</v>
      </c>
      <c r="B669" s="411" t="s">
        <v>7816</v>
      </c>
      <c r="C669" s="401" t="s">
        <v>998</v>
      </c>
      <c r="D669" s="600">
        <v>5.0199999999999996</v>
      </c>
    </row>
    <row r="670" spans="1:4">
      <c r="A670" s="401">
        <v>787</v>
      </c>
      <c r="B670" s="411" t="s">
        <v>7817</v>
      </c>
      <c r="C670" s="401" t="s">
        <v>998</v>
      </c>
      <c r="D670" s="600">
        <v>22.42</v>
      </c>
    </row>
    <row r="671" spans="1:4">
      <c r="A671" s="401">
        <v>774</v>
      </c>
      <c r="B671" s="411" t="s">
        <v>7818</v>
      </c>
      <c r="C671" s="401" t="s">
        <v>998</v>
      </c>
      <c r="D671" s="600">
        <v>22.42</v>
      </c>
    </row>
    <row r="672" spans="1:4">
      <c r="A672" s="401">
        <v>773</v>
      </c>
      <c r="B672" s="411" t="s">
        <v>7819</v>
      </c>
      <c r="C672" s="401" t="s">
        <v>998</v>
      </c>
      <c r="D672" s="600">
        <v>22.42</v>
      </c>
    </row>
    <row r="673" spans="1:4">
      <c r="A673" s="401">
        <v>775</v>
      </c>
      <c r="B673" s="411" t="s">
        <v>7820</v>
      </c>
      <c r="C673" s="401" t="s">
        <v>998</v>
      </c>
      <c r="D673" s="600">
        <v>22.42</v>
      </c>
    </row>
    <row r="674" spans="1:4">
      <c r="A674" s="401">
        <v>788</v>
      </c>
      <c r="B674" s="411" t="s">
        <v>7821</v>
      </c>
      <c r="C674" s="401" t="s">
        <v>998</v>
      </c>
      <c r="D674" s="600">
        <v>13.93</v>
      </c>
    </row>
    <row r="675" spans="1:4">
      <c r="A675" s="401">
        <v>772</v>
      </c>
      <c r="B675" s="411" t="s">
        <v>7822</v>
      </c>
      <c r="C675" s="401" t="s">
        <v>998</v>
      </c>
      <c r="D675" s="600">
        <v>13.93</v>
      </c>
    </row>
    <row r="676" spans="1:4">
      <c r="A676" s="401">
        <v>771</v>
      </c>
      <c r="B676" s="411" t="s">
        <v>7823</v>
      </c>
      <c r="C676" s="401" t="s">
        <v>998</v>
      </c>
      <c r="D676" s="600">
        <v>13.93</v>
      </c>
    </row>
    <row r="677" spans="1:4">
      <c r="A677" s="401">
        <v>779</v>
      </c>
      <c r="B677" s="411" t="s">
        <v>7824</v>
      </c>
      <c r="C677" s="401" t="s">
        <v>998</v>
      </c>
      <c r="D677" s="600">
        <v>3.46</v>
      </c>
    </row>
    <row r="678" spans="1:4">
      <c r="A678" s="401">
        <v>776</v>
      </c>
      <c r="B678" s="411" t="s">
        <v>7825</v>
      </c>
      <c r="C678" s="401" t="s">
        <v>998</v>
      </c>
      <c r="D678" s="600">
        <v>33.049999999999997</v>
      </c>
    </row>
    <row r="679" spans="1:4">
      <c r="A679" s="401">
        <v>777</v>
      </c>
      <c r="B679" s="411" t="s">
        <v>7826</v>
      </c>
      <c r="C679" s="401" t="s">
        <v>998</v>
      </c>
      <c r="D679" s="600">
        <v>32.130000000000003</v>
      </c>
    </row>
    <row r="680" spans="1:4">
      <c r="A680" s="401">
        <v>780</v>
      </c>
      <c r="B680" s="411" t="s">
        <v>7827</v>
      </c>
      <c r="C680" s="401" t="s">
        <v>998</v>
      </c>
      <c r="D680" s="600">
        <v>32.29</v>
      </c>
    </row>
    <row r="681" spans="1:4">
      <c r="A681" s="401">
        <v>778</v>
      </c>
      <c r="B681" s="411" t="s">
        <v>7828</v>
      </c>
      <c r="C681" s="401" t="s">
        <v>998</v>
      </c>
      <c r="D681" s="600">
        <v>33.049999999999997</v>
      </c>
    </row>
    <row r="682" spans="1:4">
      <c r="A682" s="401">
        <v>781</v>
      </c>
      <c r="B682" s="411" t="s">
        <v>7829</v>
      </c>
      <c r="C682" s="401" t="s">
        <v>998</v>
      </c>
      <c r="D682" s="600">
        <v>61.07</v>
      </c>
    </row>
    <row r="683" spans="1:4">
      <c r="A683" s="401">
        <v>786</v>
      </c>
      <c r="B683" s="411" t="s">
        <v>7830</v>
      </c>
      <c r="C683" s="401" t="s">
        <v>998</v>
      </c>
      <c r="D683" s="600">
        <v>61.07</v>
      </c>
    </row>
    <row r="684" spans="1:4">
      <c r="A684" s="401">
        <v>782</v>
      </c>
      <c r="B684" s="411" t="s">
        <v>7831</v>
      </c>
      <c r="C684" s="401" t="s">
        <v>998</v>
      </c>
      <c r="D684" s="600">
        <v>61.07</v>
      </c>
    </row>
    <row r="685" spans="1:4">
      <c r="A685" s="401">
        <v>783</v>
      </c>
      <c r="B685" s="411" t="s">
        <v>7832</v>
      </c>
      <c r="C685" s="401" t="s">
        <v>998</v>
      </c>
      <c r="D685" s="600">
        <v>167.16</v>
      </c>
    </row>
    <row r="686" spans="1:4">
      <c r="A686" s="401">
        <v>785</v>
      </c>
      <c r="B686" s="411" t="s">
        <v>7833</v>
      </c>
      <c r="C686" s="401" t="s">
        <v>998</v>
      </c>
      <c r="D686" s="600">
        <v>176.62</v>
      </c>
    </row>
    <row r="687" spans="1:4">
      <c r="A687" s="401">
        <v>784</v>
      </c>
      <c r="B687" s="411" t="s">
        <v>7834</v>
      </c>
      <c r="C687" s="401" t="s">
        <v>998</v>
      </c>
      <c r="D687" s="600">
        <v>189.47</v>
      </c>
    </row>
    <row r="688" spans="1:4">
      <c r="A688" s="401">
        <v>831</v>
      </c>
      <c r="B688" s="411" t="s">
        <v>7835</v>
      </c>
      <c r="C688" s="401" t="s">
        <v>998</v>
      </c>
      <c r="D688" s="600">
        <v>56.66</v>
      </c>
    </row>
    <row r="689" spans="1:4">
      <c r="A689" s="401">
        <v>828</v>
      </c>
      <c r="B689" s="411" t="s">
        <v>7836</v>
      </c>
      <c r="C689" s="401" t="s">
        <v>998</v>
      </c>
      <c r="D689" s="600">
        <v>0.32</v>
      </c>
    </row>
    <row r="690" spans="1:4">
      <c r="A690" s="401">
        <v>829</v>
      </c>
      <c r="B690" s="411" t="s">
        <v>7837</v>
      </c>
      <c r="C690" s="401" t="s">
        <v>998</v>
      </c>
      <c r="D690" s="600">
        <v>0.68</v>
      </c>
    </row>
    <row r="691" spans="1:4">
      <c r="A691" s="401">
        <v>812</v>
      </c>
      <c r="B691" s="411" t="s">
        <v>7838</v>
      </c>
      <c r="C691" s="401" t="s">
        <v>998</v>
      </c>
      <c r="D691" s="600">
        <v>1.49</v>
      </c>
    </row>
    <row r="692" spans="1:4">
      <c r="A692" s="401">
        <v>819</v>
      </c>
      <c r="B692" s="411" t="s">
        <v>7839</v>
      </c>
      <c r="C692" s="401" t="s">
        <v>998</v>
      </c>
      <c r="D692" s="600">
        <v>2.44</v>
      </c>
    </row>
    <row r="693" spans="1:4">
      <c r="A693" s="401">
        <v>818</v>
      </c>
      <c r="B693" s="411" t="s">
        <v>7840</v>
      </c>
      <c r="C693" s="401" t="s">
        <v>998</v>
      </c>
      <c r="D693" s="600">
        <v>4.1100000000000003</v>
      </c>
    </row>
    <row r="694" spans="1:4">
      <c r="A694" s="401">
        <v>823</v>
      </c>
      <c r="B694" s="411" t="s">
        <v>7841</v>
      </c>
      <c r="C694" s="401" t="s">
        <v>998</v>
      </c>
      <c r="D694" s="600">
        <v>12.39</v>
      </c>
    </row>
    <row r="695" spans="1:4">
      <c r="A695" s="401">
        <v>830</v>
      </c>
      <c r="B695" s="411" t="s">
        <v>7842</v>
      </c>
      <c r="C695" s="401" t="s">
        <v>998</v>
      </c>
      <c r="D695" s="600">
        <v>10.210000000000001</v>
      </c>
    </row>
    <row r="696" spans="1:4">
      <c r="A696" s="401">
        <v>826</v>
      </c>
      <c r="B696" s="411" t="s">
        <v>7843</v>
      </c>
      <c r="C696" s="401" t="s">
        <v>998</v>
      </c>
      <c r="D696" s="600">
        <v>31.78</v>
      </c>
    </row>
    <row r="697" spans="1:4">
      <c r="A697" s="401">
        <v>827</v>
      </c>
      <c r="B697" s="411" t="s">
        <v>7844</v>
      </c>
      <c r="C697" s="401" t="s">
        <v>998</v>
      </c>
      <c r="D697" s="600">
        <v>26.85</v>
      </c>
    </row>
    <row r="698" spans="1:4">
      <c r="A698" s="401">
        <v>832</v>
      </c>
      <c r="B698" s="411" t="s">
        <v>7845</v>
      </c>
      <c r="C698" s="401" t="s">
        <v>998</v>
      </c>
      <c r="D698" s="600">
        <v>1.85</v>
      </c>
    </row>
    <row r="699" spans="1:4">
      <c r="A699" s="401">
        <v>833</v>
      </c>
      <c r="B699" s="411" t="s">
        <v>7846</v>
      </c>
      <c r="C699" s="401" t="s">
        <v>998</v>
      </c>
      <c r="D699" s="600">
        <v>2.63</v>
      </c>
    </row>
    <row r="700" spans="1:4">
      <c r="A700" s="401">
        <v>834</v>
      </c>
      <c r="B700" s="411" t="s">
        <v>7847</v>
      </c>
      <c r="C700" s="401" t="s">
        <v>998</v>
      </c>
      <c r="D700" s="600">
        <v>2.89</v>
      </c>
    </row>
    <row r="701" spans="1:4">
      <c r="A701" s="401">
        <v>825</v>
      </c>
      <c r="B701" s="411" t="s">
        <v>7848</v>
      </c>
      <c r="C701" s="401" t="s">
        <v>998</v>
      </c>
      <c r="D701" s="600">
        <v>3.22</v>
      </c>
    </row>
    <row r="702" spans="1:4">
      <c r="A702" s="401">
        <v>813</v>
      </c>
      <c r="B702" s="411" t="s">
        <v>7849</v>
      </c>
      <c r="C702" s="401" t="s">
        <v>998</v>
      </c>
      <c r="D702" s="600">
        <v>3.16</v>
      </c>
    </row>
    <row r="703" spans="1:4">
      <c r="A703" s="401">
        <v>820</v>
      </c>
      <c r="B703" s="411" t="s">
        <v>7850</v>
      </c>
      <c r="C703" s="401" t="s">
        <v>998</v>
      </c>
      <c r="D703" s="600">
        <v>4.0199999999999996</v>
      </c>
    </row>
    <row r="704" spans="1:4">
      <c r="A704" s="401">
        <v>816</v>
      </c>
      <c r="B704" s="411" t="s">
        <v>7851</v>
      </c>
      <c r="C704" s="401" t="s">
        <v>998</v>
      </c>
      <c r="D704" s="600">
        <v>6.84</v>
      </c>
    </row>
    <row r="705" spans="1:4">
      <c r="A705" s="401">
        <v>814</v>
      </c>
      <c r="B705" s="411" t="s">
        <v>7852</v>
      </c>
      <c r="C705" s="401" t="s">
        <v>998</v>
      </c>
      <c r="D705" s="600">
        <v>8.26</v>
      </c>
    </row>
    <row r="706" spans="1:4">
      <c r="A706" s="401">
        <v>815</v>
      </c>
      <c r="B706" s="411" t="s">
        <v>7853</v>
      </c>
      <c r="C706" s="401" t="s">
        <v>998</v>
      </c>
      <c r="D706" s="600">
        <v>8.93</v>
      </c>
    </row>
    <row r="707" spans="1:4">
      <c r="A707" s="401">
        <v>822</v>
      </c>
      <c r="B707" s="411" t="s">
        <v>7854</v>
      </c>
      <c r="C707" s="401" t="s">
        <v>998</v>
      </c>
      <c r="D707" s="600">
        <v>10.88</v>
      </c>
    </row>
    <row r="708" spans="1:4">
      <c r="A708" s="401">
        <v>821</v>
      </c>
      <c r="B708" s="411" t="s">
        <v>7855</v>
      </c>
      <c r="C708" s="401" t="s">
        <v>998</v>
      </c>
      <c r="D708" s="600">
        <v>12.71</v>
      </c>
    </row>
    <row r="709" spans="1:4">
      <c r="A709" s="401">
        <v>817</v>
      </c>
      <c r="B709" s="411" t="s">
        <v>7856</v>
      </c>
      <c r="C709" s="401" t="s">
        <v>998</v>
      </c>
      <c r="D709" s="600">
        <v>15.12</v>
      </c>
    </row>
    <row r="710" spans="1:4">
      <c r="A710" s="401">
        <v>20086</v>
      </c>
      <c r="B710" s="411" t="s">
        <v>7857</v>
      </c>
      <c r="C710" s="401" t="s">
        <v>998</v>
      </c>
      <c r="D710" s="600">
        <v>1.59</v>
      </c>
    </row>
    <row r="711" spans="1:4">
      <c r="A711" s="401">
        <v>39191</v>
      </c>
      <c r="B711" s="411" t="s">
        <v>7858</v>
      </c>
      <c r="C711" s="401" t="s">
        <v>998</v>
      </c>
      <c r="D711" s="600">
        <v>11.32</v>
      </c>
    </row>
    <row r="712" spans="1:4">
      <c r="A712" s="401">
        <v>39190</v>
      </c>
      <c r="B712" s="411" t="s">
        <v>7859</v>
      </c>
      <c r="C712" s="401" t="s">
        <v>998</v>
      </c>
      <c r="D712" s="600">
        <v>11.82</v>
      </c>
    </row>
    <row r="713" spans="1:4">
      <c r="A713" s="401">
        <v>39189</v>
      </c>
      <c r="B713" s="411" t="s">
        <v>7860</v>
      </c>
      <c r="C713" s="401" t="s">
        <v>998</v>
      </c>
      <c r="D713" s="600">
        <v>12.51</v>
      </c>
    </row>
    <row r="714" spans="1:4">
      <c r="A714" s="401">
        <v>39186</v>
      </c>
      <c r="B714" s="411" t="s">
        <v>7861</v>
      </c>
      <c r="C714" s="401" t="s">
        <v>998</v>
      </c>
      <c r="D714" s="600">
        <v>11.2</v>
      </c>
    </row>
    <row r="715" spans="1:4">
      <c r="A715" s="401">
        <v>39188</v>
      </c>
      <c r="B715" s="411" t="s">
        <v>7862</v>
      </c>
      <c r="C715" s="401" t="s">
        <v>998</v>
      </c>
      <c r="D715" s="600">
        <v>9.2100000000000009</v>
      </c>
    </row>
    <row r="716" spans="1:4">
      <c r="A716" s="401">
        <v>39187</v>
      </c>
      <c r="B716" s="411" t="s">
        <v>7863</v>
      </c>
      <c r="C716" s="401" t="s">
        <v>998</v>
      </c>
      <c r="D716" s="600">
        <v>9.66</v>
      </c>
    </row>
    <row r="717" spans="1:4">
      <c r="A717" s="401">
        <v>39184</v>
      </c>
      <c r="B717" s="411" t="s">
        <v>7864</v>
      </c>
      <c r="C717" s="401" t="s">
        <v>998</v>
      </c>
      <c r="D717" s="600">
        <v>3.63</v>
      </c>
    </row>
    <row r="718" spans="1:4">
      <c r="A718" s="401">
        <v>39185</v>
      </c>
      <c r="B718" s="411" t="s">
        <v>7865</v>
      </c>
      <c r="C718" s="401" t="s">
        <v>998</v>
      </c>
      <c r="D718" s="600">
        <v>3.31</v>
      </c>
    </row>
    <row r="719" spans="1:4">
      <c r="A719" s="401">
        <v>39198</v>
      </c>
      <c r="B719" s="411" t="s">
        <v>7866</v>
      </c>
      <c r="C719" s="401" t="s">
        <v>998</v>
      </c>
      <c r="D719" s="600">
        <v>37.14</v>
      </c>
    </row>
    <row r="720" spans="1:4">
      <c r="A720" s="401">
        <v>39197</v>
      </c>
      <c r="B720" s="411" t="s">
        <v>7867</v>
      </c>
      <c r="C720" s="401" t="s">
        <v>998</v>
      </c>
      <c r="D720" s="600">
        <v>38.799999999999997</v>
      </c>
    </row>
    <row r="721" spans="1:4">
      <c r="A721" s="401">
        <v>39196</v>
      </c>
      <c r="B721" s="411" t="s">
        <v>7868</v>
      </c>
      <c r="C721" s="401" t="s">
        <v>998</v>
      </c>
      <c r="D721" s="600">
        <v>40.01</v>
      </c>
    </row>
    <row r="722" spans="1:4">
      <c r="A722" s="401">
        <v>39199</v>
      </c>
      <c r="B722" s="411" t="s">
        <v>7869</v>
      </c>
      <c r="C722" s="401" t="s">
        <v>998</v>
      </c>
      <c r="D722" s="600">
        <v>35.74</v>
      </c>
    </row>
    <row r="723" spans="1:4">
      <c r="A723" s="401">
        <v>39195</v>
      </c>
      <c r="B723" s="411" t="s">
        <v>7870</v>
      </c>
      <c r="C723" s="401" t="s">
        <v>998</v>
      </c>
      <c r="D723" s="600">
        <v>20.63</v>
      </c>
    </row>
    <row r="724" spans="1:4">
      <c r="A724" s="401">
        <v>39194</v>
      </c>
      <c r="B724" s="411" t="s">
        <v>7871</v>
      </c>
      <c r="C724" s="401" t="s">
        <v>998</v>
      </c>
      <c r="D724" s="600">
        <v>22.08</v>
      </c>
    </row>
    <row r="725" spans="1:4">
      <c r="A725" s="401">
        <v>39193</v>
      </c>
      <c r="B725" s="411" t="s">
        <v>7872</v>
      </c>
      <c r="C725" s="401" t="s">
        <v>998</v>
      </c>
      <c r="D725" s="600">
        <v>24.2</v>
      </c>
    </row>
    <row r="726" spans="1:4">
      <c r="A726" s="401">
        <v>39192</v>
      </c>
      <c r="B726" s="411" t="s">
        <v>7873</v>
      </c>
      <c r="C726" s="401" t="s">
        <v>998</v>
      </c>
      <c r="D726" s="600">
        <v>25.17</v>
      </c>
    </row>
    <row r="727" spans="1:4">
      <c r="A727" s="401">
        <v>39920</v>
      </c>
      <c r="B727" s="411" t="s">
        <v>7874</v>
      </c>
      <c r="C727" s="401" t="s">
        <v>998</v>
      </c>
      <c r="D727" s="600">
        <v>3.04</v>
      </c>
    </row>
    <row r="728" spans="1:4">
      <c r="A728" s="401">
        <v>39201</v>
      </c>
      <c r="B728" s="411" t="s">
        <v>7875</v>
      </c>
      <c r="C728" s="401" t="s">
        <v>998</v>
      </c>
      <c r="D728" s="600">
        <v>44.4</v>
      </c>
    </row>
    <row r="729" spans="1:4">
      <c r="A729" s="401">
        <v>39200</v>
      </c>
      <c r="B729" s="411" t="s">
        <v>7876</v>
      </c>
      <c r="C729" s="401" t="s">
        <v>998</v>
      </c>
      <c r="D729" s="600">
        <v>44.76</v>
      </c>
    </row>
    <row r="730" spans="1:4">
      <c r="A730" s="401">
        <v>39203</v>
      </c>
      <c r="B730" s="411" t="s">
        <v>7877</v>
      </c>
      <c r="C730" s="401" t="s">
        <v>998</v>
      </c>
      <c r="D730" s="600">
        <v>36.14</v>
      </c>
    </row>
    <row r="731" spans="1:4">
      <c r="A731" s="401">
        <v>39202</v>
      </c>
      <c r="B731" s="411" t="s">
        <v>7878</v>
      </c>
      <c r="C731" s="401" t="s">
        <v>998</v>
      </c>
      <c r="D731" s="600">
        <v>42.46</v>
      </c>
    </row>
    <row r="732" spans="1:4">
      <c r="A732" s="401">
        <v>39205</v>
      </c>
      <c r="B732" s="411" t="s">
        <v>7879</v>
      </c>
      <c r="C732" s="401" t="s">
        <v>998</v>
      </c>
      <c r="D732" s="600">
        <v>70.84</v>
      </c>
    </row>
    <row r="733" spans="1:4">
      <c r="A733" s="401">
        <v>39204</v>
      </c>
      <c r="B733" s="411" t="s">
        <v>7880</v>
      </c>
      <c r="C733" s="401" t="s">
        <v>998</v>
      </c>
      <c r="D733" s="600">
        <v>72.55</v>
      </c>
    </row>
    <row r="734" spans="1:4">
      <c r="A734" s="401">
        <v>39206</v>
      </c>
      <c r="B734" s="411" t="s">
        <v>7881</v>
      </c>
      <c r="C734" s="401" t="s">
        <v>998</v>
      </c>
      <c r="D734" s="600">
        <v>68.83</v>
      </c>
    </row>
    <row r="735" spans="1:4">
      <c r="A735" s="401">
        <v>797</v>
      </c>
      <c r="B735" s="411" t="s">
        <v>7882</v>
      </c>
      <c r="C735" s="401" t="s">
        <v>998</v>
      </c>
      <c r="D735" s="600">
        <v>5.91</v>
      </c>
    </row>
    <row r="736" spans="1:4">
      <c r="A736" s="401">
        <v>798</v>
      </c>
      <c r="B736" s="411" t="s">
        <v>7883</v>
      </c>
      <c r="C736" s="401" t="s">
        <v>998</v>
      </c>
      <c r="D736" s="600">
        <v>0.81</v>
      </c>
    </row>
    <row r="737" spans="1:4">
      <c r="A737" s="401">
        <v>796</v>
      </c>
      <c r="B737" s="411" t="s">
        <v>7884</v>
      </c>
      <c r="C737" s="401" t="s">
        <v>998</v>
      </c>
      <c r="D737" s="600">
        <v>5.66</v>
      </c>
    </row>
    <row r="738" spans="1:4">
      <c r="A738" s="401">
        <v>799</v>
      </c>
      <c r="B738" s="411" t="s">
        <v>7885</v>
      </c>
      <c r="C738" s="401" t="s">
        <v>998</v>
      </c>
      <c r="D738" s="600">
        <v>2.66</v>
      </c>
    </row>
    <row r="739" spans="1:4">
      <c r="A739" s="401">
        <v>792</v>
      </c>
      <c r="B739" s="411" t="s">
        <v>7886</v>
      </c>
      <c r="C739" s="401" t="s">
        <v>998</v>
      </c>
      <c r="D739" s="600">
        <v>2.71</v>
      </c>
    </row>
    <row r="740" spans="1:4">
      <c r="A740" s="401">
        <v>804</v>
      </c>
      <c r="B740" s="411" t="s">
        <v>7887</v>
      </c>
      <c r="C740" s="401" t="s">
        <v>998</v>
      </c>
      <c r="D740" s="600">
        <v>13.43</v>
      </c>
    </row>
    <row r="741" spans="1:4">
      <c r="A741" s="401">
        <v>793</v>
      </c>
      <c r="B741" s="411" t="s">
        <v>7888</v>
      </c>
      <c r="C741" s="401" t="s">
        <v>998</v>
      </c>
      <c r="D741" s="600">
        <v>5.76</v>
      </c>
    </row>
    <row r="742" spans="1:4">
      <c r="A742" s="401">
        <v>801</v>
      </c>
      <c r="B742" s="411" t="s">
        <v>7889</v>
      </c>
      <c r="C742" s="401" t="s">
        <v>998</v>
      </c>
      <c r="D742" s="600">
        <v>4.1100000000000003</v>
      </c>
    </row>
    <row r="743" spans="1:4">
      <c r="A743" s="401">
        <v>794</v>
      </c>
      <c r="B743" s="411" t="s">
        <v>7890</v>
      </c>
      <c r="C743" s="401" t="s">
        <v>998</v>
      </c>
      <c r="D743" s="600">
        <v>4.24</v>
      </c>
    </row>
    <row r="744" spans="1:4">
      <c r="A744" s="401">
        <v>802</v>
      </c>
      <c r="B744" s="411" t="s">
        <v>7891</v>
      </c>
      <c r="C744" s="401" t="s">
        <v>998</v>
      </c>
      <c r="D744" s="600">
        <v>11.84</v>
      </c>
    </row>
    <row r="745" spans="1:4">
      <c r="A745" s="401">
        <v>803</v>
      </c>
      <c r="B745" s="411" t="s">
        <v>7892</v>
      </c>
      <c r="C745" s="401" t="s">
        <v>998</v>
      </c>
      <c r="D745" s="600">
        <v>10.33</v>
      </c>
    </row>
    <row r="746" spans="1:4">
      <c r="A746" s="401">
        <v>38001</v>
      </c>
      <c r="B746" s="411" t="s">
        <v>7893</v>
      </c>
      <c r="C746" s="401" t="s">
        <v>998</v>
      </c>
      <c r="D746" s="600">
        <v>1.27</v>
      </c>
    </row>
    <row r="747" spans="1:4">
      <c r="A747" s="401">
        <v>38002</v>
      </c>
      <c r="B747" s="411" t="s">
        <v>7894</v>
      </c>
      <c r="C747" s="401" t="s">
        <v>998</v>
      </c>
      <c r="D747" s="600">
        <v>2.36</v>
      </c>
    </row>
    <row r="748" spans="1:4">
      <c r="A748" s="401">
        <v>38003</v>
      </c>
      <c r="B748" s="411" t="s">
        <v>7895</v>
      </c>
      <c r="C748" s="401" t="s">
        <v>998</v>
      </c>
      <c r="D748" s="600">
        <v>28.39</v>
      </c>
    </row>
    <row r="749" spans="1:4">
      <c r="A749" s="401">
        <v>38004</v>
      </c>
      <c r="B749" s="411" t="s">
        <v>7896</v>
      </c>
      <c r="C749" s="401" t="s">
        <v>998</v>
      </c>
      <c r="D749" s="600">
        <v>37.96</v>
      </c>
    </row>
    <row r="750" spans="1:4">
      <c r="A750" s="401">
        <v>36327</v>
      </c>
      <c r="B750" s="411" t="s">
        <v>7897</v>
      </c>
      <c r="C750" s="401" t="s">
        <v>998</v>
      </c>
      <c r="D750" s="600">
        <v>1.56</v>
      </c>
    </row>
    <row r="751" spans="1:4">
      <c r="A751" s="401">
        <v>38992</v>
      </c>
      <c r="B751" s="411" t="s">
        <v>7898</v>
      </c>
      <c r="C751" s="401" t="s">
        <v>998</v>
      </c>
      <c r="D751" s="600">
        <v>2.5</v>
      </c>
    </row>
    <row r="752" spans="1:4">
      <c r="A752" s="401">
        <v>38993</v>
      </c>
      <c r="B752" s="411" t="s">
        <v>7899</v>
      </c>
      <c r="C752" s="401" t="s">
        <v>998</v>
      </c>
      <c r="D752" s="600">
        <v>7.13</v>
      </c>
    </row>
    <row r="753" spans="1:4">
      <c r="A753" s="401">
        <v>38418</v>
      </c>
      <c r="B753" s="411" t="s">
        <v>7900</v>
      </c>
      <c r="C753" s="401" t="s">
        <v>998</v>
      </c>
      <c r="D753" s="600">
        <v>4.62</v>
      </c>
    </row>
    <row r="754" spans="1:4">
      <c r="A754" s="401">
        <v>39178</v>
      </c>
      <c r="B754" s="411" t="s">
        <v>7901</v>
      </c>
      <c r="C754" s="401" t="s">
        <v>998</v>
      </c>
      <c r="D754" s="600">
        <v>1.22</v>
      </c>
    </row>
    <row r="755" spans="1:4">
      <c r="A755" s="401">
        <v>39177</v>
      </c>
      <c r="B755" s="411" t="s">
        <v>7902</v>
      </c>
      <c r="C755" s="401" t="s">
        <v>998</v>
      </c>
      <c r="D755" s="600">
        <v>1.1000000000000001</v>
      </c>
    </row>
    <row r="756" spans="1:4">
      <c r="A756" s="401">
        <v>39174</v>
      </c>
      <c r="B756" s="411" t="s">
        <v>7903</v>
      </c>
      <c r="C756" s="401" t="s">
        <v>998</v>
      </c>
      <c r="D756" s="600">
        <v>0.55000000000000004</v>
      </c>
    </row>
    <row r="757" spans="1:4">
      <c r="A757" s="401">
        <v>39176</v>
      </c>
      <c r="B757" s="411" t="s">
        <v>7904</v>
      </c>
      <c r="C757" s="401" t="s">
        <v>998</v>
      </c>
      <c r="D757" s="600">
        <v>0.72</v>
      </c>
    </row>
    <row r="758" spans="1:4">
      <c r="A758" s="401">
        <v>39180</v>
      </c>
      <c r="B758" s="411" t="s">
        <v>7905</v>
      </c>
      <c r="C758" s="401" t="s">
        <v>998</v>
      </c>
      <c r="D758" s="600">
        <v>3.32</v>
      </c>
    </row>
    <row r="759" spans="1:4">
      <c r="A759" s="401">
        <v>39179</v>
      </c>
      <c r="B759" s="411" t="s">
        <v>7906</v>
      </c>
      <c r="C759" s="401" t="s">
        <v>998</v>
      </c>
      <c r="D759" s="600">
        <v>2.94</v>
      </c>
    </row>
    <row r="760" spans="1:4">
      <c r="A760" s="401">
        <v>39175</v>
      </c>
      <c r="B760" s="411" t="s">
        <v>7907</v>
      </c>
      <c r="C760" s="401" t="s">
        <v>998</v>
      </c>
      <c r="D760" s="600">
        <v>0.67</v>
      </c>
    </row>
    <row r="761" spans="1:4">
      <c r="A761" s="401">
        <v>39217</v>
      </c>
      <c r="B761" s="411" t="s">
        <v>7908</v>
      </c>
      <c r="C761" s="401" t="s">
        <v>998</v>
      </c>
      <c r="D761" s="600">
        <v>0.52</v>
      </c>
    </row>
    <row r="762" spans="1:4">
      <c r="A762" s="401">
        <v>39181</v>
      </c>
      <c r="B762" s="411" t="s">
        <v>7909</v>
      </c>
      <c r="C762" s="401" t="s">
        <v>998</v>
      </c>
      <c r="D762" s="600">
        <v>4.46</v>
      </c>
    </row>
    <row r="763" spans="1:4">
      <c r="A763" s="401">
        <v>39182</v>
      </c>
      <c r="B763" s="411" t="s">
        <v>7910</v>
      </c>
      <c r="C763" s="401" t="s">
        <v>998</v>
      </c>
      <c r="D763" s="600">
        <v>6.27</v>
      </c>
    </row>
    <row r="764" spans="1:4" ht="25.5">
      <c r="A764" s="401">
        <v>12616</v>
      </c>
      <c r="B764" s="411" t="s">
        <v>7911</v>
      </c>
      <c r="C764" s="401" t="s">
        <v>998</v>
      </c>
      <c r="D764" s="600">
        <v>4.57</v>
      </c>
    </row>
    <row r="765" spans="1:4" ht="38.25">
      <c r="A765" s="401">
        <v>1049</v>
      </c>
      <c r="B765" s="411" t="s">
        <v>7912</v>
      </c>
      <c r="C765" s="401" t="s">
        <v>998</v>
      </c>
      <c r="D765" s="600">
        <v>5.24</v>
      </c>
    </row>
    <row r="766" spans="1:4" ht="38.25">
      <c r="A766" s="401">
        <v>1099</v>
      </c>
      <c r="B766" s="411" t="s">
        <v>7913</v>
      </c>
      <c r="C766" s="401" t="s">
        <v>998</v>
      </c>
      <c r="D766" s="600">
        <v>4.01</v>
      </c>
    </row>
    <row r="767" spans="1:4" ht="38.25">
      <c r="A767" s="401">
        <v>39678</v>
      </c>
      <c r="B767" s="411" t="s">
        <v>7914</v>
      </c>
      <c r="C767" s="401" t="s">
        <v>998</v>
      </c>
      <c r="D767" s="600">
        <v>1.62</v>
      </c>
    </row>
    <row r="768" spans="1:4" ht="38.25">
      <c r="A768" s="401">
        <v>1050</v>
      </c>
      <c r="B768" s="411" t="s">
        <v>7915</v>
      </c>
      <c r="C768" s="401" t="s">
        <v>998</v>
      </c>
      <c r="D768" s="600">
        <v>2.74</v>
      </c>
    </row>
    <row r="769" spans="1:4" ht="38.25">
      <c r="A769" s="401">
        <v>1101</v>
      </c>
      <c r="B769" s="411" t="s">
        <v>7916</v>
      </c>
      <c r="C769" s="401" t="s">
        <v>998</v>
      </c>
      <c r="D769" s="600">
        <v>17.309999999999999</v>
      </c>
    </row>
    <row r="770" spans="1:4" ht="38.25">
      <c r="A770" s="401">
        <v>1100</v>
      </c>
      <c r="B770" s="411" t="s">
        <v>7917</v>
      </c>
      <c r="C770" s="401" t="s">
        <v>998</v>
      </c>
      <c r="D770" s="600">
        <v>8.93</v>
      </c>
    </row>
    <row r="771" spans="1:4" ht="38.25">
      <c r="A771" s="401">
        <v>39679</v>
      </c>
      <c r="B771" s="411" t="s">
        <v>7918</v>
      </c>
      <c r="C771" s="401" t="s">
        <v>998</v>
      </c>
      <c r="D771" s="600">
        <v>34.5</v>
      </c>
    </row>
    <row r="772" spans="1:4" ht="38.25">
      <c r="A772" s="401">
        <v>1098</v>
      </c>
      <c r="B772" s="411" t="s">
        <v>7919</v>
      </c>
      <c r="C772" s="401" t="s">
        <v>998</v>
      </c>
      <c r="D772" s="600">
        <v>2.14</v>
      </c>
    </row>
    <row r="773" spans="1:4" ht="38.25">
      <c r="A773" s="401">
        <v>1102</v>
      </c>
      <c r="B773" s="411" t="s">
        <v>7920</v>
      </c>
      <c r="C773" s="401" t="s">
        <v>998</v>
      </c>
      <c r="D773" s="600">
        <v>25.81</v>
      </c>
    </row>
    <row r="774" spans="1:4" ht="38.25">
      <c r="A774" s="401">
        <v>1051</v>
      </c>
      <c r="B774" s="411" t="s">
        <v>7921</v>
      </c>
      <c r="C774" s="401" t="s">
        <v>998</v>
      </c>
      <c r="D774" s="600">
        <v>37.520000000000003</v>
      </c>
    </row>
    <row r="775" spans="1:4">
      <c r="A775" s="401">
        <v>37399</v>
      </c>
      <c r="B775" s="411" t="s">
        <v>7922</v>
      </c>
      <c r="C775" s="401" t="s">
        <v>998</v>
      </c>
      <c r="D775" s="600">
        <v>15.96</v>
      </c>
    </row>
    <row r="776" spans="1:4" ht="25.5">
      <c r="A776" s="401">
        <v>41955</v>
      </c>
      <c r="B776" s="411" t="s">
        <v>7923</v>
      </c>
      <c r="C776" s="401" t="s">
        <v>995</v>
      </c>
      <c r="D776" s="600">
        <v>45.51</v>
      </c>
    </row>
    <row r="777" spans="1:4">
      <c r="A777" s="401">
        <v>41953</v>
      </c>
      <c r="B777" s="411" t="s">
        <v>7924</v>
      </c>
      <c r="C777" s="401" t="s">
        <v>995</v>
      </c>
      <c r="D777" s="600">
        <v>43.43</v>
      </c>
    </row>
    <row r="778" spans="1:4">
      <c r="A778" s="401">
        <v>41954</v>
      </c>
      <c r="B778" s="411" t="s">
        <v>7925</v>
      </c>
      <c r="C778" s="401" t="s">
        <v>995</v>
      </c>
      <c r="D778" s="600">
        <v>43.02</v>
      </c>
    </row>
    <row r="779" spans="1:4">
      <c r="A779" s="401">
        <v>25004</v>
      </c>
      <c r="B779" s="411" t="s">
        <v>7926</v>
      </c>
      <c r="C779" s="401" t="s">
        <v>995</v>
      </c>
      <c r="D779" s="600">
        <v>26.06</v>
      </c>
    </row>
    <row r="780" spans="1:4">
      <c r="A780" s="401">
        <v>25002</v>
      </c>
      <c r="B780" s="411" t="s">
        <v>7927</v>
      </c>
      <c r="C780" s="401" t="s">
        <v>995</v>
      </c>
      <c r="D780" s="600">
        <v>26.28</v>
      </c>
    </row>
    <row r="781" spans="1:4">
      <c r="A781" s="401">
        <v>37409</v>
      </c>
      <c r="B781" s="411" t="s">
        <v>7928</v>
      </c>
      <c r="C781" s="401" t="s">
        <v>995</v>
      </c>
      <c r="D781" s="600">
        <v>25.85</v>
      </c>
    </row>
    <row r="782" spans="1:4">
      <c r="A782" s="401">
        <v>841</v>
      </c>
      <c r="B782" s="411" t="s">
        <v>7929</v>
      </c>
      <c r="C782" s="401" t="s">
        <v>995</v>
      </c>
      <c r="D782" s="600">
        <v>26.7</v>
      </c>
    </row>
    <row r="783" spans="1:4">
      <c r="A783" s="401">
        <v>25005</v>
      </c>
      <c r="B783" s="411" t="s">
        <v>7930</v>
      </c>
      <c r="C783" s="401" t="s">
        <v>995</v>
      </c>
      <c r="D783" s="600">
        <v>29.27</v>
      </c>
    </row>
    <row r="784" spans="1:4">
      <c r="A784" s="401">
        <v>25003</v>
      </c>
      <c r="B784" s="411" t="s">
        <v>7931</v>
      </c>
      <c r="C784" s="401" t="s">
        <v>995</v>
      </c>
      <c r="D784" s="600">
        <v>31.27</v>
      </c>
    </row>
    <row r="785" spans="1:4">
      <c r="A785" s="401">
        <v>37410</v>
      </c>
      <c r="B785" s="411" t="s">
        <v>7932</v>
      </c>
      <c r="C785" s="401" t="s">
        <v>995</v>
      </c>
      <c r="D785" s="600">
        <v>29.27</v>
      </c>
    </row>
    <row r="786" spans="1:4">
      <c r="A786" s="401">
        <v>842</v>
      </c>
      <c r="B786" s="411" t="s">
        <v>7933</v>
      </c>
      <c r="C786" s="401" t="s">
        <v>995</v>
      </c>
      <c r="D786" s="600">
        <v>32.93</v>
      </c>
    </row>
    <row r="787" spans="1:4">
      <c r="A787" s="401">
        <v>862</v>
      </c>
      <c r="B787" s="411" t="s">
        <v>7934</v>
      </c>
      <c r="C787" s="401" t="s">
        <v>1002</v>
      </c>
      <c r="D787" s="600">
        <v>5.75</v>
      </c>
    </row>
    <row r="788" spans="1:4">
      <c r="A788" s="401">
        <v>866</v>
      </c>
      <c r="B788" s="411" t="s">
        <v>7935</v>
      </c>
      <c r="C788" s="401" t="s">
        <v>1002</v>
      </c>
      <c r="D788" s="600">
        <v>70.680000000000007</v>
      </c>
    </row>
    <row r="789" spans="1:4">
      <c r="A789" s="401">
        <v>892</v>
      </c>
      <c r="B789" s="411" t="s">
        <v>7936</v>
      </c>
      <c r="C789" s="401" t="s">
        <v>1002</v>
      </c>
      <c r="D789" s="600">
        <v>89.88</v>
      </c>
    </row>
    <row r="790" spans="1:4">
      <c r="A790" s="401">
        <v>857</v>
      </c>
      <c r="B790" s="411" t="s">
        <v>7937</v>
      </c>
      <c r="C790" s="401" t="s">
        <v>1002</v>
      </c>
      <c r="D790" s="600">
        <v>9.15</v>
      </c>
    </row>
    <row r="791" spans="1:4">
      <c r="A791" s="401">
        <v>37404</v>
      </c>
      <c r="B791" s="411" t="s">
        <v>7938</v>
      </c>
      <c r="C791" s="401" t="s">
        <v>1002</v>
      </c>
      <c r="D791" s="600">
        <v>108.08</v>
      </c>
    </row>
    <row r="792" spans="1:4">
      <c r="A792" s="401">
        <v>868</v>
      </c>
      <c r="B792" s="411" t="s">
        <v>7939</v>
      </c>
      <c r="C792" s="401" t="s">
        <v>1002</v>
      </c>
      <c r="D792" s="600">
        <v>14.13</v>
      </c>
    </row>
    <row r="793" spans="1:4">
      <c r="A793" s="401">
        <v>870</v>
      </c>
      <c r="B793" s="411" t="s">
        <v>7940</v>
      </c>
      <c r="C793" s="401" t="s">
        <v>1002</v>
      </c>
      <c r="D793" s="600">
        <v>186.24</v>
      </c>
    </row>
    <row r="794" spans="1:4">
      <c r="A794" s="401">
        <v>863</v>
      </c>
      <c r="B794" s="411" t="s">
        <v>7941</v>
      </c>
      <c r="C794" s="401" t="s">
        <v>1002</v>
      </c>
      <c r="D794" s="600">
        <v>19.52</v>
      </c>
    </row>
    <row r="795" spans="1:4">
      <c r="A795" s="401">
        <v>867</v>
      </c>
      <c r="B795" s="411" t="s">
        <v>7148</v>
      </c>
      <c r="C795" s="401" t="s">
        <v>1002</v>
      </c>
      <c r="D795" s="600">
        <v>27.19</v>
      </c>
    </row>
    <row r="796" spans="1:4">
      <c r="A796" s="401">
        <v>891</v>
      </c>
      <c r="B796" s="411" t="s">
        <v>7942</v>
      </c>
      <c r="C796" s="401" t="s">
        <v>1002</v>
      </c>
      <c r="D796" s="600">
        <v>312.77</v>
      </c>
    </row>
    <row r="797" spans="1:4">
      <c r="A797" s="401">
        <v>864</v>
      </c>
      <c r="B797" s="411" t="s">
        <v>7943</v>
      </c>
      <c r="C797" s="401" t="s">
        <v>1002</v>
      </c>
      <c r="D797" s="600">
        <v>38.299999999999997</v>
      </c>
    </row>
    <row r="798" spans="1:4">
      <c r="A798" s="401">
        <v>865</v>
      </c>
      <c r="B798" s="411" t="s">
        <v>7944</v>
      </c>
      <c r="C798" s="401" t="s">
        <v>1002</v>
      </c>
      <c r="D798" s="600">
        <v>53.95</v>
      </c>
    </row>
    <row r="799" spans="1:4" ht="25.5">
      <c r="A799" s="401">
        <v>1006</v>
      </c>
      <c r="B799" s="411" t="s">
        <v>7945</v>
      </c>
      <c r="C799" s="401" t="s">
        <v>1002</v>
      </c>
      <c r="D799" s="600">
        <v>70.180000000000007</v>
      </c>
    </row>
    <row r="800" spans="1:4">
      <c r="A800" s="401">
        <v>948</v>
      </c>
      <c r="B800" s="411" t="s">
        <v>7946</v>
      </c>
      <c r="C800" s="401" t="s">
        <v>1002</v>
      </c>
      <c r="D800" s="600">
        <v>12.97</v>
      </c>
    </row>
    <row r="801" spans="1:4">
      <c r="A801" s="401">
        <v>947</v>
      </c>
      <c r="B801" s="411" t="s">
        <v>7947</v>
      </c>
      <c r="C801" s="401" t="s">
        <v>1002</v>
      </c>
      <c r="D801" s="600">
        <v>13.2</v>
      </c>
    </row>
    <row r="802" spans="1:4">
      <c r="A802" s="401">
        <v>911</v>
      </c>
      <c r="B802" s="411" t="s">
        <v>7948</v>
      </c>
      <c r="C802" s="401" t="s">
        <v>1002</v>
      </c>
      <c r="D802" s="600">
        <v>19.190000000000001</v>
      </c>
    </row>
    <row r="803" spans="1:4">
      <c r="A803" s="401">
        <v>925</v>
      </c>
      <c r="B803" s="411" t="s">
        <v>7949</v>
      </c>
      <c r="C803" s="401" t="s">
        <v>1002</v>
      </c>
      <c r="D803" s="600">
        <v>17.739999999999998</v>
      </c>
    </row>
    <row r="804" spans="1:4">
      <c r="A804" s="401">
        <v>954</v>
      </c>
      <c r="B804" s="411" t="s">
        <v>7950</v>
      </c>
      <c r="C804" s="401" t="s">
        <v>1002</v>
      </c>
      <c r="D804" s="600">
        <v>19.600000000000001</v>
      </c>
    </row>
    <row r="805" spans="1:4">
      <c r="A805" s="401">
        <v>901</v>
      </c>
      <c r="B805" s="411" t="s">
        <v>7951</v>
      </c>
      <c r="C805" s="401" t="s">
        <v>1002</v>
      </c>
      <c r="D805" s="600">
        <v>20.98</v>
      </c>
    </row>
    <row r="806" spans="1:4">
      <c r="A806" s="401">
        <v>926</v>
      </c>
      <c r="B806" s="411" t="s">
        <v>7952</v>
      </c>
      <c r="C806" s="401" t="s">
        <v>1002</v>
      </c>
      <c r="D806" s="600">
        <v>22.17</v>
      </c>
    </row>
    <row r="807" spans="1:4">
      <c r="A807" s="401">
        <v>912</v>
      </c>
      <c r="B807" s="411" t="s">
        <v>7953</v>
      </c>
      <c r="C807" s="401" t="s">
        <v>1002</v>
      </c>
      <c r="D807" s="600">
        <v>22.3</v>
      </c>
    </row>
    <row r="808" spans="1:4">
      <c r="A808" s="401">
        <v>955</v>
      </c>
      <c r="B808" s="411" t="s">
        <v>7954</v>
      </c>
      <c r="C808" s="401" t="s">
        <v>1002</v>
      </c>
      <c r="D808" s="600">
        <v>26.62</v>
      </c>
    </row>
    <row r="809" spans="1:4">
      <c r="A809" s="401">
        <v>946</v>
      </c>
      <c r="B809" s="411" t="s">
        <v>7955</v>
      </c>
      <c r="C809" s="401" t="s">
        <v>1002</v>
      </c>
      <c r="D809" s="600">
        <v>29.93</v>
      </c>
    </row>
    <row r="810" spans="1:4">
      <c r="A810" s="401">
        <v>953</v>
      </c>
      <c r="B810" s="411" t="s">
        <v>7956</v>
      </c>
      <c r="C810" s="401" t="s">
        <v>1002</v>
      </c>
      <c r="D810" s="600">
        <v>27.24</v>
      </c>
    </row>
    <row r="811" spans="1:4">
      <c r="A811" s="401">
        <v>902</v>
      </c>
      <c r="B811" s="411" t="s">
        <v>7957</v>
      </c>
      <c r="C811" s="401" t="s">
        <v>1002</v>
      </c>
      <c r="D811" s="600">
        <v>33.11</v>
      </c>
    </row>
    <row r="812" spans="1:4">
      <c r="A812" s="401">
        <v>927</v>
      </c>
      <c r="B812" s="411" t="s">
        <v>7958</v>
      </c>
      <c r="C812" s="401" t="s">
        <v>1002</v>
      </c>
      <c r="D812" s="600">
        <v>32.1</v>
      </c>
    </row>
    <row r="813" spans="1:4">
      <c r="A813" s="401">
        <v>913</v>
      </c>
      <c r="B813" s="411" t="s">
        <v>7959</v>
      </c>
      <c r="C813" s="401" t="s">
        <v>1002</v>
      </c>
      <c r="D813" s="600">
        <v>35.82</v>
      </c>
    </row>
    <row r="814" spans="1:4">
      <c r="A814" s="401">
        <v>903</v>
      </c>
      <c r="B814" s="411" t="s">
        <v>7960</v>
      </c>
      <c r="C814" s="401" t="s">
        <v>1002</v>
      </c>
      <c r="D814" s="600">
        <v>40.54</v>
      </c>
    </row>
    <row r="815" spans="1:4">
      <c r="A815" s="401">
        <v>945</v>
      </c>
      <c r="B815" s="411" t="s">
        <v>7961</v>
      </c>
      <c r="C815" s="401" t="s">
        <v>1002</v>
      </c>
      <c r="D815" s="600">
        <v>42.89</v>
      </c>
    </row>
    <row r="816" spans="1:4">
      <c r="A816" s="401">
        <v>914</v>
      </c>
      <c r="B816" s="411" t="s">
        <v>7962</v>
      </c>
      <c r="C816" s="401" t="s">
        <v>1002</v>
      </c>
      <c r="D816" s="600">
        <v>43.94</v>
      </c>
    </row>
    <row r="817" spans="1:4" ht="25.5">
      <c r="A817" s="401">
        <v>993</v>
      </c>
      <c r="B817" s="411" t="s">
        <v>7963</v>
      </c>
      <c r="C817" s="401" t="s">
        <v>1002</v>
      </c>
      <c r="D817" s="600">
        <v>1.51</v>
      </c>
    </row>
    <row r="818" spans="1:4" ht="25.5">
      <c r="A818" s="401">
        <v>1020</v>
      </c>
      <c r="B818" s="411" t="s">
        <v>7964</v>
      </c>
      <c r="C818" s="401" t="s">
        <v>1002</v>
      </c>
      <c r="D818" s="600">
        <v>6.58</v>
      </c>
    </row>
    <row r="819" spans="1:4" ht="25.5">
      <c r="A819" s="401">
        <v>1017</v>
      </c>
      <c r="B819" s="411" t="s">
        <v>7965</v>
      </c>
      <c r="C819" s="401" t="s">
        <v>1002</v>
      </c>
      <c r="D819" s="600">
        <v>72.3</v>
      </c>
    </row>
    <row r="820" spans="1:4" ht="25.5">
      <c r="A820" s="401">
        <v>999</v>
      </c>
      <c r="B820" s="411" t="s">
        <v>7966</v>
      </c>
      <c r="C820" s="401" t="s">
        <v>1002</v>
      </c>
      <c r="D820" s="600">
        <v>89.59</v>
      </c>
    </row>
    <row r="821" spans="1:4" ht="25.5">
      <c r="A821" s="401">
        <v>995</v>
      </c>
      <c r="B821" s="411" t="s">
        <v>7967</v>
      </c>
      <c r="C821" s="401" t="s">
        <v>1002</v>
      </c>
      <c r="D821" s="600">
        <v>10.09</v>
      </c>
    </row>
    <row r="822" spans="1:4" ht="25.5">
      <c r="A822" s="401">
        <v>1000</v>
      </c>
      <c r="B822" s="411" t="s">
        <v>7968</v>
      </c>
      <c r="C822" s="401" t="s">
        <v>1002</v>
      </c>
      <c r="D822" s="600">
        <v>109.82</v>
      </c>
    </row>
    <row r="823" spans="1:4" ht="25.5">
      <c r="A823" s="401">
        <v>1022</v>
      </c>
      <c r="B823" s="411" t="s">
        <v>7969</v>
      </c>
      <c r="C823" s="401" t="s">
        <v>1002</v>
      </c>
      <c r="D823" s="600">
        <v>2.1</v>
      </c>
    </row>
    <row r="824" spans="1:4" ht="25.5">
      <c r="A824" s="401">
        <v>1015</v>
      </c>
      <c r="B824" s="411" t="s">
        <v>7970</v>
      </c>
      <c r="C824" s="401" t="s">
        <v>1002</v>
      </c>
      <c r="D824" s="600">
        <v>144.61000000000001</v>
      </c>
    </row>
    <row r="825" spans="1:4" ht="25.5">
      <c r="A825" s="401">
        <v>996</v>
      </c>
      <c r="B825" s="411" t="s">
        <v>7971</v>
      </c>
      <c r="C825" s="401" t="s">
        <v>1002</v>
      </c>
      <c r="D825" s="600">
        <v>15.36</v>
      </c>
    </row>
    <row r="826" spans="1:4" ht="25.5">
      <c r="A826" s="401">
        <v>1001</v>
      </c>
      <c r="B826" s="411" t="s">
        <v>7972</v>
      </c>
      <c r="C826" s="401" t="s">
        <v>1002</v>
      </c>
      <c r="D826" s="600">
        <v>180.98</v>
      </c>
    </row>
    <row r="827" spans="1:4" ht="25.5">
      <c r="A827" s="401">
        <v>1019</v>
      </c>
      <c r="B827" s="411" t="s">
        <v>7973</v>
      </c>
      <c r="C827" s="401" t="s">
        <v>1002</v>
      </c>
      <c r="D827" s="600">
        <v>21.18</v>
      </c>
    </row>
    <row r="828" spans="1:4" ht="25.5">
      <c r="A828" s="401">
        <v>1021</v>
      </c>
      <c r="B828" s="411" t="s">
        <v>7974</v>
      </c>
      <c r="C828" s="401" t="s">
        <v>1002</v>
      </c>
      <c r="D828" s="600">
        <v>3</v>
      </c>
    </row>
    <row r="829" spans="1:4" ht="25.5">
      <c r="A829" s="401">
        <v>39249</v>
      </c>
      <c r="B829" s="411" t="s">
        <v>7975</v>
      </c>
      <c r="C829" s="401" t="s">
        <v>1002</v>
      </c>
      <c r="D829" s="600">
        <v>236.09</v>
      </c>
    </row>
    <row r="830" spans="1:4" ht="25.5">
      <c r="A830" s="401">
        <v>1018</v>
      </c>
      <c r="B830" s="411" t="s">
        <v>7976</v>
      </c>
      <c r="C830" s="401" t="s">
        <v>1002</v>
      </c>
      <c r="D830" s="600">
        <v>30.18</v>
      </c>
    </row>
    <row r="831" spans="1:4" ht="25.5">
      <c r="A831" s="401">
        <v>39250</v>
      </c>
      <c r="B831" s="411" t="s">
        <v>7977</v>
      </c>
      <c r="C831" s="401" t="s">
        <v>1002</v>
      </c>
      <c r="D831" s="600">
        <v>303.27</v>
      </c>
    </row>
    <row r="832" spans="1:4" ht="25.5">
      <c r="A832" s="401">
        <v>994</v>
      </c>
      <c r="B832" s="411" t="s">
        <v>7978</v>
      </c>
      <c r="C832" s="401" t="s">
        <v>1002</v>
      </c>
      <c r="D832" s="600">
        <v>4.0999999999999996</v>
      </c>
    </row>
    <row r="833" spans="1:4" ht="25.5">
      <c r="A833" s="401">
        <v>977</v>
      </c>
      <c r="B833" s="411" t="s">
        <v>7979</v>
      </c>
      <c r="C833" s="401" t="s">
        <v>1002</v>
      </c>
      <c r="D833" s="600">
        <v>41.81</v>
      </c>
    </row>
    <row r="834" spans="1:4" ht="25.5">
      <c r="A834" s="401">
        <v>998</v>
      </c>
      <c r="B834" s="411" t="s">
        <v>7980</v>
      </c>
      <c r="C834" s="401" t="s">
        <v>1002</v>
      </c>
      <c r="D834" s="600">
        <v>55.54</v>
      </c>
    </row>
    <row r="835" spans="1:4" ht="25.5">
      <c r="A835" s="401">
        <v>39251</v>
      </c>
      <c r="B835" s="411" t="s">
        <v>7981</v>
      </c>
      <c r="C835" s="401" t="s">
        <v>1002</v>
      </c>
      <c r="D835" s="600">
        <v>0.4</v>
      </c>
    </row>
    <row r="836" spans="1:4" ht="25.5">
      <c r="A836" s="401">
        <v>1011</v>
      </c>
      <c r="B836" s="411" t="s">
        <v>7982</v>
      </c>
      <c r="C836" s="401" t="s">
        <v>1002</v>
      </c>
      <c r="D836" s="600">
        <v>0.56000000000000005</v>
      </c>
    </row>
    <row r="837" spans="1:4" ht="25.5">
      <c r="A837" s="401">
        <v>39252</v>
      </c>
      <c r="B837" s="411" t="s">
        <v>7983</v>
      </c>
      <c r="C837" s="401" t="s">
        <v>1002</v>
      </c>
      <c r="D837" s="600">
        <v>0.66</v>
      </c>
    </row>
    <row r="838" spans="1:4" ht="25.5">
      <c r="A838" s="401">
        <v>1013</v>
      </c>
      <c r="B838" s="411" t="s">
        <v>7984</v>
      </c>
      <c r="C838" s="401" t="s">
        <v>1002</v>
      </c>
      <c r="D838" s="600">
        <v>0.88</v>
      </c>
    </row>
    <row r="839" spans="1:4" ht="25.5">
      <c r="A839" s="401">
        <v>980</v>
      </c>
      <c r="B839" s="411" t="s">
        <v>7985</v>
      </c>
      <c r="C839" s="401" t="s">
        <v>1002</v>
      </c>
      <c r="D839" s="600">
        <v>6.03</v>
      </c>
    </row>
    <row r="840" spans="1:4" ht="25.5">
      <c r="A840" s="401">
        <v>39237</v>
      </c>
      <c r="B840" s="411" t="s">
        <v>7986</v>
      </c>
      <c r="C840" s="401" t="s">
        <v>1002</v>
      </c>
      <c r="D840" s="600">
        <v>71.55</v>
      </c>
    </row>
    <row r="841" spans="1:4" ht="25.5">
      <c r="A841" s="401">
        <v>39238</v>
      </c>
      <c r="B841" s="411" t="s">
        <v>7987</v>
      </c>
      <c r="C841" s="401" t="s">
        <v>1002</v>
      </c>
      <c r="D841" s="600">
        <v>89.33</v>
      </c>
    </row>
    <row r="842" spans="1:4" ht="25.5">
      <c r="A842" s="401">
        <v>979</v>
      </c>
      <c r="B842" s="411" t="s">
        <v>7988</v>
      </c>
      <c r="C842" s="401" t="s">
        <v>1002</v>
      </c>
      <c r="D842" s="600">
        <v>9.3000000000000007</v>
      </c>
    </row>
    <row r="843" spans="1:4" ht="25.5">
      <c r="A843" s="401">
        <v>39239</v>
      </c>
      <c r="B843" s="411" t="s">
        <v>7989</v>
      </c>
      <c r="C843" s="401" t="s">
        <v>1002</v>
      </c>
      <c r="D843" s="600">
        <v>108.71</v>
      </c>
    </row>
    <row r="844" spans="1:4" ht="25.5">
      <c r="A844" s="401">
        <v>1014</v>
      </c>
      <c r="B844" s="411" t="s">
        <v>7990</v>
      </c>
      <c r="C844" s="401" t="s">
        <v>1002</v>
      </c>
      <c r="D844" s="600">
        <v>1.41</v>
      </c>
    </row>
    <row r="845" spans="1:4" ht="25.5">
      <c r="A845" s="401">
        <v>39240</v>
      </c>
      <c r="B845" s="411" t="s">
        <v>7991</v>
      </c>
      <c r="C845" s="401" t="s">
        <v>1002</v>
      </c>
      <c r="D845" s="600">
        <v>143.69</v>
      </c>
    </row>
    <row r="846" spans="1:4" ht="25.5">
      <c r="A846" s="401">
        <v>39232</v>
      </c>
      <c r="B846" s="411" t="s">
        <v>7992</v>
      </c>
      <c r="C846" s="401" t="s">
        <v>1002</v>
      </c>
      <c r="D846" s="600">
        <v>14.92</v>
      </c>
    </row>
    <row r="847" spans="1:4" ht="25.5">
      <c r="A847" s="401">
        <v>39233</v>
      </c>
      <c r="B847" s="411" t="s">
        <v>7993</v>
      </c>
      <c r="C847" s="401" t="s">
        <v>1002</v>
      </c>
      <c r="D847" s="600">
        <v>20.51</v>
      </c>
    </row>
    <row r="848" spans="1:4" ht="25.5">
      <c r="A848" s="401">
        <v>981</v>
      </c>
      <c r="B848" s="411" t="s">
        <v>7994</v>
      </c>
      <c r="C848" s="401" t="s">
        <v>1002</v>
      </c>
      <c r="D848" s="600">
        <v>2.52</v>
      </c>
    </row>
    <row r="849" spans="1:4" ht="25.5">
      <c r="A849" s="401">
        <v>39234</v>
      </c>
      <c r="B849" s="411" t="s">
        <v>7995</v>
      </c>
      <c r="C849" s="401" t="s">
        <v>1002</v>
      </c>
      <c r="D849" s="600">
        <v>30.1</v>
      </c>
    </row>
    <row r="850" spans="1:4" ht="25.5">
      <c r="A850" s="401">
        <v>982</v>
      </c>
      <c r="B850" s="411" t="s">
        <v>7996</v>
      </c>
      <c r="C850" s="401" t="s">
        <v>1002</v>
      </c>
      <c r="D850" s="600">
        <v>3.53</v>
      </c>
    </row>
    <row r="851" spans="1:4" ht="25.5">
      <c r="A851" s="401">
        <v>39235</v>
      </c>
      <c r="B851" s="411" t="s">
        <v>7997</v>
      </c>
      <c r="C851" s="401" t="s">
        <v>1002</v>
      </c>
      <c r="D851" s="600">
        <v>42.34</v>
      </c>
    </row>
    <row r="852" spans="1:4" ht="25.5">
      <c r="A852" s="401">
        <v>39236</v>
      </c>
      <c r="B852" s="411" t="s">
        <v>7998</v>
      </c>
      <c r="C852" s="401" t="s">
        <v>1002</v>
      </c>
      <c r="D852" s="600">
        <v>55.5</v>
      </c>
    </row>
    <row r="853" spans="1:4" ht="38.25">
      <c r="A853" s="401">
        <v>876</v>
      </c>
      <c r="B853" s="411" t="s">
        <v>7999</v>
      </c>
      <c r="C853" s="401" t="s">
        <v>1002</v>
      </c>
      <c r="D853" s="600">
        <v>143.28</v>
      </c>
    </row>
    <row r="854" spans="1:4" ht="38.25">
      <c r="A854" s="401">
        <v>877</v>
      </c>
      <c r="B854" s="411" t="s">
        <v>8000</v>
      </c>
      <c r="C854" s="401" t="s">
        <v>1002</v>
      </c>
      <c r="D854" s="600">
        <v>168.44</v>
      </c>
    </row>
    <row r="855" spans="1:4" ht="38.25">
      <c r="A855" s="401">
        <v>882</v>
      </c>
      <c r="B855" s="411" t="s">
        <v>8001</v>
      </c>
      <c r="C855" s="401" t="s">
        <v>1002</v>
      </c>
      <c r="D855" s="600">
        <v>183.55</v>
      </c>
    </row>
    <row r="856" spans="1:4" ht="38.25">
      <c r="A856" s="401">
        <v>878</v>
      </c>
      <c r="B856" s="411" t="s">
        <v>8002</v>
      </c>
      <c r="C856" s="401" t="s">
        <v>1002</v>
      </c>
      <c r="D856" s="600">
        <v>228.19</v>
      </c>
    </row>
    <row r="857" spans="1:4" ht="38.25">
      <c r="A857" s="401">
        <v>879</v>
      </c>
      <c r="B857" s="411" t="s">
        <v>8003</v>
      </c>
      <c r="C857" s="401" t="s">
        <v>1002</v>
      </c>
      <c r="D857" s="600">
        <v>268.95999999999998</v>
      </c>
    </row>
    <row r="858" spans="1:4" ht="38.25">
      <c r="A858" s="401">
        <v>880</v>
      </c>
      <c r="B858" s="411" t="s">
        <v>8004</v>
      </c>
      <c r="C858" s="401" t="s">
        <v>1002</v>
      </c>
      <c r="D858" s="600">
        <v>316.45999999999998</v>
      </c>
    </row>
    <row r="859" spans="1:4" ht="38.25">
      <c r="A859" s="401">
        <v>873</v>
      </c>
      <c r="B859" s="411" t="s">
        <v>8005</v>
      </c>
      <c r="C859" s="401" t="s">
        <v>1002</v>
      </c>
      <c r="D859" s="600">
        <v>96.22</v>
      </c>
    </row>
    <row r="860" spans="1:4" ht="38.25">
      <c r="A860" s="401">
        <v>881</v>
      </c>
      <c r="B860" s="411" t="s">
        <v>8006</v>
      </c>
      <c r="C860" s="401" t="s">
        <v>1002</v>
      </c>
      <c r="D860" s="600">
        <v>432.55</v>
      </c>
    </row>
    <row r="861" spans="1:4" ht="38.25">
      <c r="A861" s="401">
        <v>874</v>
      </c>
      <c r="B861" s="411" t="s">
        <v>8007</v>
      </c>
      <c r="C861" s="401" t="s">
        <v>1002</v>
      </c>
      <c r="D861" s="600">
        <v>114.19</v>
      </c>
    </row>
    <row r="862" spans="1:4" ht="38.25">
      <c r="A862" s="401">
        <v>875</v>
      </c>
      <c r="B862" s="411" t="s">
        <v>8008</v>
      </c>
      <c r="C862" s="401" t="s">
        <v>1002</v>
      </c>
      <c r="D862" s="600">
        <v>136.24</v>
      </c>
    </row>
    <row r="863" spans="1:4" ht="25.5">
      <c r="A863" s="401">
        <v>983</v>
      </c>
      <c r="B863" s="411" t="s">
        <v>8009</v>
      </c>
      <c r="C863" s="401" t="s">
        <v>1002</v>
      </c>
      <c r="D863" s="600">
        <v>0.85</v>
      </c>
    </row>
    <row r="864" spans="1:4" ht="25.5">
      <c r="A864" s="401">
        <v>985</v>
      </c>
      <c r="B864" s="411" t="s">
        <v>8010</v>
      </c>
      <c r="C864" s="401" t="s">
        <v>1002</v>
      </c>
      <c r="D864" s="600">
        <v>6.4</v>
      </c>
    </row>
    <row r="865" spans="1:4" ht="25.5">
      <c r="A865" s="401">
        <v>990</v>
      </c>
      <c r="B865" s="411" t="s">
        <v>8011</v>
      </c>
      <c r="C865" s="401" t="s">
        <v>1002</v>
      </c>
      <c r="D865" s="600">
        <v>87.59</v>
      </c>
    </row>
    <row r="866" spans="1:4" ht="25.5">
      <c r="A866" s="401">
        <v>39241</v>
      </c>
      <c r="B866" s="411" t="s">
        <v>8012</v>
      </c>
      <c r="C866" s="401" t="s">
        <v>1002</v>
      </c>
      <c r="D866" s="600">
        <v>10.01</v>
      </c>
    </row>
    <row r="867" spans="1:4" ht="25.5">
      <c r="A867" s="401">
        <v>1005</v>
      </c>
      <c r="B867" s="411" t="s">
        <v>8013</v>
      </c>
      <c r="C867" s="401" t="s">
        <v>1002</v>
      </c>
      <c r="D867" s="600">
        <v>107.5</v>
      </c>
    </row>
    <row r="868" spans="1:4" ht="25.5">
      <c r="A868" s="401">
        <v>984</v>
      </c>
      <c r="B868" s="411" t="s">
        <v>8014</v>
      </c>
      <c r="C868" s="401" t="s">
        <v>1002</v>
      </c>
      <c r="D868" s="600">
        <v>2.21</v>
      </c>
    </row>
    <row r="869" spans="1:4" ht="25.5">
      <c r="A869" s="401">
        <v>991</v>
      </c>
      <c r="B869" s="411" t="s">
        <v>8015</v>
      </c>
      <c r="C869" s="401" t="s">
        <v>1002</v>
      </c>
      <c r="D869" s="600">
        <v>142.05000000000001</v>
      </c>
    </row>
    <row r="870" spans="1:4" ht="25.5">
      <c r="A870" s="401">
        <v>986</v>
      </c>
      <c r="B870" s="411" t="s">
        <v>8016</v>
      </c>
      <c r="C870" s="401" t="s">
        <v>1002</v>
      </c>
      <c r="D870" s="600">
        <v>15.3</v>
      </c>
    </row>
    <row r="871" spans="1:4" ht="25.5">
      <c r="A871" s="401">
        <v>1024</v>
      </c>
      <c r="B871" s="411" t="s">
        <v>8017</v>
      </c>
      <c r="C871" s="401" t="s">
        <v>1002</v>
      </c>
      <c r="D871" s="600">
        <v>175.81</v>
      </c>
    </row>
    <row r="872" spans="1:4" ht="25.5">
      <c r="A872" s="401">
        <v>987</v>
      </c>
      <c r="B872" s="411" t="s">
        <v>8018</v>
      </c>
      <c r="C872" s="401" t="s">
        <v>1002</v>
      </c>
      <c r="D872" s="600">
        <v>20.79</v>
      </c>
    </row>
    <row r="873" spans="1:4" ht="25.5">
      <c r="A873" s="401">
        <v>1003</v>
      </c>
      <c r="B873" s="411" t="s">
        <v>8019</v>
      </c>
      <c r="C873" s="401" t="s">
        <v>1002</v>
      </c>
      <c r="D873" s="600">
        <v>3.23</v>
      </c>
    </row>
    <row r="874" spans="1:4" ht="25.5">
      <c r="A874" s="401">
        <v>992</v>
      </c>
      <c r="B874" s="411" t="s">
        <v>8020</v>
      </c>
      <c r="C874" s="401" t="s">
        <v>1002</v>
      </c>
      <c r="D874" s="600">
        <v>227.46</v>
      </c>
    </row>
    <row r="875" spans="1:4" ht="25.5">
      <c r="A875" s="401">
        <v>1007</v>
      </c>
      <c r="B875" s="411" t="s">
        <v>8021</v>
      </c>
      <c r="C875" s="401" t="s">
        <v>1002</v>
      </c>
      <c r="D875" s="600">
        <v>29.5</v>
      </c>
    </row>
    <row r="876" spans="1:4" ht="25.5">
      <c r="A876" s="401">
        <v>39242</v>
      </c>
      <c r="B876" s="411" t="s">
        <v>8022</v>
      </c>
      <c r="C876" s="401" t="s">
        <v>1002</v>
      </c>
      <c r="D876" s="600">
        <v>281.83</v>
      </c>
    </row>
    <row r="877" spans="1:4" ht="25.5">
      <c r="A877" s="401">
        <v>1008</v>
      </c>
      <c r="B877" s="411" t="s">
        <v>8023</v>
      </c>
      <c r="C877" s="401" t="s">
        <v>1002</v>
      </c>
      <c r="D877" s="600">
        <v>3.67</v>
      </c>
    </row>
    <row r="878" spans="1:4" ht="25.5">
      <c r="A878" s="401">
        <v>988</v>
      </c>
      <c r="B878" s="411" t="s">
        <v>8024</v>
      </c>
      <c r="C878" s="401" t="s">
        <v>1002</v>
      </c>
      <c r="D878" s="600">
        <v>40.74</v>
      </c>
    </row>
    <row r="879" spans="1:4" ht="25.5">
      <c r="A879" s="401">
        <v>989</v>
      </c>
      <c r="B879" s="411" t="s">
        <v>8025</v>
      </c>
      <c r="C879" s="401" t="s">
        <v>1002</v>
      </c>
      <c r="D879" s="600">
        <v>55.19</v>
      </c>
    </row>
    <row r="880" spans="1:4">
      <c r="A880" s="401">
        <v>39598</v>
      </c>
      <c r="B880" s="411" t="s">
        <v>8026</v>
      </c>
      <c r="C880" s="401" t="s">
        <v>1002</v>
      </c>
      <c r="D880" s="600">
        <v>0.89</v>
      </c>
    </row>
    <row r="881" spans="1:4">
      <c r="A881" s="401">
        <v>39599</v>
      </c>
      <c r="B881" s="411" t="s">
        <v>8027</v>
      </c>
      <c r="C881" s="401" t="s">
        <v>1002</v>
      </c>
      <c r="D881" s="600">
        <v>1.34</v>
      </c>
    </row>
    <row r="882" spans="1:4">
      <c r="A882" s="401">
        <v>34602</v>
      </c>
      <c r="B882" s="411" t="s">
        <v>8028</v>
      </c>
      <c r="C882" s="401" t="s">
        <v>1002</v>
      </c>
      <c r="D882" s="600">
        <v>1.22</v>
      </c>
    </row>
    <row r="883" spans="1:4">
      <c r="A883" s="401">
        <v>34603</v>
      </c>
      <c r="B883" s="411" t="s">
        <v>8029</v>
      </c>
      <c r="C883" s="401" t="s">
        <v>1002</v>
      </c>
      <c r="D883" s="600">
        <v>5.88</v>
      </c>
    </row>
    <row r="884" spans="1:4">
      <c r="A884" s="401">
        <v>34607</v>
      </c>
      <c r="B884" s="411" t="s">
        <v>8030</v>
      </c>
      <c r="C884" s="401" t="s">
        <v>1002</v>
      </c>
      <c r="D884" s="600">
        <v>2.62</v>
      </c>
    </row>
    <row r="885" spans="1:4">
      <c r="A885" s="401">
        <v>34609</v>
      </c>
      <c r="B885" s="411" t="s">
        <v>8031</v>
      </c>
      <c r="C885" s="401" t="s">
        <v>1002</v>
      </c>
      <c r="D885" s="600">
        <v>3.93</v>
      </c>
    </row>
    <row r="886" spans="1:4">
      <c r="A886" s="401">
        <v>34618</v>
      </c>
      <c r="B886" s="411" t="s">
        <v>8032</v>
      </c>
      <c r="C886" s="401" t="s">
        <v>1002</v>
      </c>
      <c r="D886" s="600">
        <v>1.62</v>
      </c>
    </row>
    <row r="887" spans="1:4">
      <c r="A887" s="401">
        <v>34620</v>
      </c>
      <c r="B887" s="411" t="s">
        <v>8033</v>
      </c>
      <c r="C887" s="401" t="s">
        <v>1002</v>
      </c>
      <c r="D887" s="600">
        <v>8.11</v>
      </c>
    </row>
    <row r="888" spans="1:4">
      <c r="A888" s="401">
        <v>34621</v>
      </c>
      <c r="B888" s="411" t="s">
        <v>8034</v>
      </c>
      <c r="C888" s="401" t="s">
        <v>1002</v>
      </c>
      <c r="D888" s="600">
        <v>3.76</v>
      </c>
    </row>
    <row r="889" spans="1:4">
      <c r="A889" s="401">
        <v>34622</v>
      </c>
      <c r="B889" s="411" t="s">
        <v>8035</v>
      </c>
      <c r="C889" s="401" t="s">
        <v>1002</v>
      </c>
      <c r="D889" s="600">
        <v>5.33</v>
      </c>
    </row>
    <row r="890" spans="1:4">
      <c r="A890" s="401">
        <v>34624</v>
      </c>
      <c r="B890" s="411" t="s">
        <v>8036</v>
      </c>
      <c r="C890" s="401" t="s">
        <v>1002</v>
      </c>
      <c r="D890" s="600">
        <v>2.0699999999999998</v>
      </c>
    </row>
    <row r="891" spans="1:4">
      <c r="A891" s="401">
        <v>34626</v>
      </c>
      <c r="B891" s="411" t="s">
        <v>8037</v>
      </c>
      <c r="C891" s="401" t="s">
        <v>1002</v>
      </c>
      <c r="D891" s="600">
        <v>11.15</v>
      </c>
    </row>
    <row r="892" spans="1:4">
      <c r="A892" s="401">
        <v>34627</v>
      </c>
      <c r="B892" s="411" t="s">
        <v>8038</v>
      </c>
      <c r="C892" s="401" t="s">
        <v>1002</v>
      </c>
      <c r="D892" s="600">
        <v>4.8</v>
      </c>
    </row>
    <row r="893" spans="1:4">
      <c r="A893" s="401">
        <v>34629</v>
      </c>
      <c r="B893" s="411" t="s">
        <v>8039</v>
      </c>
      <c r="C893" s="401" t="s">
        <v>1002</v>
      </c>
      <c r="D893" s="600">
        <v>7.03</v>
      </c>
    </row>
    <row r="894" spans="1:4" ht="25.5">
      <c r="A894" s="401">
        <v>39257</v>
      </c>
      <c r="B894" s="411" t="s">
        <v>8040</v>
      </c>
      <c r="C894" s="401" t="s">
        <v>1002</v>
      </c>
      <c r="D894" s="600">
        <v>3.85</v>
      </c>
    </row>
    <row r="895" spans="1:4" ht="25.5">
      <c r="A895" s="401">
        <v>39261</v>
      </c>
      <c r="B895" s="411" t="s">
        <v>8041</v>
      </c>
      <c r="C895" s="401" t="s">
        <v>1002</v>
      </c>
      <c r="D895" s="600">
        <v>20.53</v>
      </c>
    </row>
    <row r="896" spans="1:4" ht="25.5">
      <c r="A896" s="401">
        <v>39268</v>
      </c>
      <c r="B896" s="411" t="s">
        <v>8042</v>
      </c>
      <c r="C896" s="401" t="s">
        <v>1002</v>
      </c>
      <c r="D896" s="600">
        <v>236.89</v>
      </c>
    </row>
    <row r="897" spans="1:4" ht="25.5">
      <c r="A897" s="401">
        <v>39262</v>
      </c>
      <c r="B897" s="411" t="s">
        <v>8043</v>
      </c>
      <c r="C897" s="401" t="s">
        <v>1002</v>
      </c>
      <c r="D897" s="600">
        <v>32.1</v>
      </c>
    </row>
    <row r="898" spans="1:4" ht="25.5">
      <c r="A898" s="401">
        <v>39258</v>
      </c>
      <c r="B898" s="411" t="s">
        <v>8044</v>
      </c>
      <c r="C898" s="401" t="s">
        <v>1002</v>
      </c>
      <c r="D898" s="600">
        <v>5.71</v>
      </c>
    </row>
    <row r="899" spans="1:4" ht="25.5">
      <c r="A899" s="401">
        <v>39263</v>
      </c>
      <c r="B899" s="411" t="s">
        <v>8045</v>
      </c>
      <c r="C899" s="401" t="s">
        <v>1002</v>
      </c>
      <c r="D899" s="600">
        <v>49.67</v>
      </c>
    </row>
    <row r="900" spans="1:4" ht="25.5">
      <c r="A900" s="401">
        <v>39264</v>
      </c>
      <c r="B900" s="411" t="s">
        <v>8046</v>
      </c>
      <c r="C900" s="401" t="s">
        <v>1002</v>
      </c>
      <c r="D900" s="600">
        <v>67.260000000000005</v>
      </c>
    </row>
    <row r="901" spans="1:4" ht="25.5">
      <c r="A901" s="401">
        <v>39259</v>
      </c>
      <c r="B901" s="411" t="s">
        <v>8047</v>
      </c>
      <c r="C901" s="401" t="s">
        <v>1002</v>
      </c>
      <c r="D901" s="600">
        <v>8.6999999999999993</v>
      </c>
    </row>
    <row r="902" spans="1:4" ht="25.5">
      <c r="A902" s="401">
        <v>39265</v>
      </c>
      <c r="B902" s="411" t="s">
        <v>8048</v>
      </c>
      <c r="C902" s="401" t="s">
        <v>1002</v>
      </c>
      <c r="D902" s="600">
        <v>99.08</v>
      </c>
    </row>
    <row r="903" spans="1:4" ht="25.5">
      <c r="A903" s="401">
        <v>39260</v>
      </c>
      <c r="B903" s="411" t="s">
        <v>8049</v>
      </c>
      <c r="C903" s="401" t="s">
        <v>1002</v>
      </c>
      <c r="D903" s="600">
        <v>12.38</v>
      </c>
    </row>
    <row r="904" spans="1:4" ht="25.5">
      <c r="A904" s="401">
        <v>39266</v>
      </c>
      <c r="B904" s="411" t="s">
        <v>8050</v>
      </c>
      <c r="C904" s="401" t="s">
        <v>1002</v>
      </c>
      <c r="D904" s="600">
        <v>139.02000000000001</v>
      </c>
    </row>
    <row r="905" spans="1:4" ht="25.5">
      <c r="A905" s="401">
        <v>39267</v>
      </c>
      <c r="B905" s="411" t="s">
        <v>8051</v>
      </c>
      <c r="C905" s="401" t="s">
        <v>1002</v>
      </c>
      <c r="D905" s="600">
        <v>182.23</v>
      </c>
    </row>
    <row r="906" spans="1:4">
      <c r="A906" s="401">
        <v>11901</v>
      </c>
      <c r="B906" s="411" t="s">
        <v>8052</v>
      </c>
      <c r="C906" s="401" t="s">
        <v>1002</v>
      </c>
      <c r="D906" s="600">
        <v>0.64</v>
      </c>
    </row>
    <row r="907" spans="1:4">
      <c r="A907" s="401">
        <v>11902</v>
      </c>
      <c r="B907" s="411" t="s">
        <v>8053</v>
      </c>
      <c r="C907" s="401" t="s">
        <v>1002</v>
      </c>
      <c r="D907" s="600">
        <v>1.1100000000000001</v>
      </c>
    </row>
    <row r="908" spans="1:4">
      <c r="A908" s="401">
        <v>11903</v>
      </c>
      <c r="B908" s="411" t="s">
        <v>8054</v>
      </c>
      <c r="C908" s="401" t="s">
        <v>1002</v>
      </c>
      <c r="D908" s="600">
        <v>1.72</v>
      </c>
    </row>
    <row r="909" spans="1:4">
      <c r="A909" s="401">
        <v>11904</v>
      </c>
      <c r="B909" s="411" t="s">
        <v>8055</v>
      </c>
      <c r="C909" s="401" t="s">
        <v>1002</v>
      </c>
      <c r="D909" s="600">
        <v>2.19</v>
      </c>
    </row>
    <row r="910" spans="1:4">
      <c r="A910" s="401">
        <v>11905</v>
      </c>
      <c r="B910" s="411" t="s">
        <v>8056</v>
      </c>
      <c r="C910" s="401" t="s">
        <v>1002</v>
      </c>
      <c r="D910" s="600">
        <v>2.95</v>
      </c>
    </row>
    <row r="911" spans="1:4">
      <c r="A911" s="401">
        <v>11906</v>
      </c>
      <c r="B911" s="411" t="s">
        <v>8057</v>
      </c>
      <c r="C911" s="401" t="s">
        <v>1002</v>
      </c>
      <c r="D911" s="600">
        <v>3.39</v>
      </c>
    </row>
    <row r="912" spans="1:4">
      <c r="A912" s="401">
        <v>11919</v>
      </c>
      <c r="B912" s="411" t="s">
        <v>8058</v>
      </c>
      <c r="C912" s="401" t="s">
        <v>1002</v>
      </c>
      <c r="D912" s="600">
        <v>6.66</v>
      </c>
    </row>
    <row r="913" spans="1:4">
      <c r="A913" s="401">
        <v>11920</v>
      </c>
      <c r="B913" s="411" t="s">
        <v>8059</v>
      </c>
      <c r="C913" s="401" t="s">
        <v>1002</v>
      </c>
      <c r="D913" s="600">
        <v>12.91</v>
      </c>
    </row>
    <row r="914" spans="1:4">
      <c r="A914" s="401">
        <v>11924</v>
      </c>
      <c r="B914" s="411" t="s">
        <v>8060</v>
      </c>
      <c r="C914" s="401" t="s">
        <v>1002</v>
      </c>
      <c r="D914" s="600">
        <v>125.59</v>
      </c>
    </row>
    <row r="915" spans="1:4">
      <c r="A915" s="401">
        <v>11921</v>
      </c>
      <c r="B915" s="411" t="s">
        <v>8061</v>
      </c>
      <c r="C915" s="401" t="s">
        <v>1002</v>
      </c>
      <c r="D915" s="600">
        <v>17.579999999999998</v>
      </c>
    </row>
    <row r="916" spans="1:4">
      <c r="A916" s="401">
        <v>11922</v>
      </c>
      <c r="B916" s="411" t="s">
        <v>8062</v>
      </c>
      <c r="C916" s="401" t="s">
        <v>1002</v>
      </c>
      <c r="D916" s="600">
        <v>31.21</v>
      </c>
    </row>
    <row r="917" spans="1:4">
      <c r="A917" s="401">
        <v>11923</v>
      </c>
      <c r="B917" s="411" t="s">
        <v>8063</v>
      </c>
      <c r="C917" s="401" t="s">
        <v>1002</v>
      </c>
      <c r="D917" s="600">
        <v>50.98</v>
      </c>
    </row>
    <row r="918" spans="1:4">
      <c r="A918" s="401">
        <v>11916</v>
      </c>
      <c r="B918" s="411" t="s">
        <v>8064</v>
      </c>
      <c r="C918" s="401" t="s">
        <v>1002</v>
      </c>
      <c r="D918" s="600">
        <v>8.65</v>
      </c>
    </row>
    <row r="919" spans="1:4">
      <c r="A919" s="401">
        <v>11914</v>
      </c>
      <c r="B919" s="411" t="s">
        <v>8065</v>
      </c>
      <c r="C919" s="401" t="s">
        <v>1002</v>
      </c>
      <c r="D919" s="600">
        <v>62.82</v>
      </c>
    </row>
    <row r="920" spans="1:4">
      <c r="A920" s="401">
        <v>11917</v>
      </c>
      <c r="B920" s="411" t="s">
        <v>8066</v>
      </c>
      <c r="C920" s="401" t="s">
        <v>1002</v>
      </c>
      <c r="D920" s="600">
        <v>15.06</v>
      </c>
    </row>
    <row r="921" spans="1:4">
      <c r="A921" s="401">
        <v>11918</v>
      </c>
      <c r="B921" s="411" t="s">
        <v>8067</v>
      </c>
      <c r="C921" s="401" t="s">
        <v>1002</v>
      </c>
      <c r="D921" s="600">
        <v>20.43</v>
      </c>
    </row>
    <row r="922" spans="1:4" ht="25.5">
      <c r="A922" s="401">
        <v>37734</v>
      </c>
      <c r="B922" s="411" t="s">
        <v>8068</v>
      </c>
      <c r="C922" s="401" t="s">
        <v>998</v>
      </c>
      <c r="D922" s="600">
        <v>45253.13</v>
      </c>
    </row>
    <row r="923" spans="1:4" ht="25.5">
      <c r="A923" s="401">
        <v>42251</v>
      </c>
      <c r="B923" s="411" t="s">
        <v>8069</v>
      </c>
      <c r="C923" s="401" t="s">
        <v>998</v>
      </c>
      <c r="D923" s="600">
        <v>51387.69</v>
      </c>
    </row>
    <row r="924" spans="1:4" ht="25.5">
      <c r="A924" s="401">
        <v>37733</v>
      </c>
      <c r="B924" s="411" t="s">
        <v>8070</v>
      </c>
      <c r="C924" s="401" t="s">
        <v>998</v>
      </c>
      <c r="D924" s="600">
        <v>33930.620000000003</v>
      </c>
    </row>
    <row r="925" spans="1:4" ht="25.5">
      <c r="A925" s="401">
        <v>37735</v>
      </c>
      <c r="B925" s="411" t="s">
        <v>8071</v>
      </c>
      <c r="C925" s="401" t="s">
        <v>998</v>
      </c>
      <c r="D925" s="600">
        <v>40886.400000000001</v>
      </c>
    </row>
    <row r="926" spans="1:4" ht="25.5">
      <c r="A926" s="401">
        <v>5090</v>
      </c>
      <c r="B926" s="411" t="s">
        <v>8072</v>
      </c>
      <c r="C926" s="401" t="s">
        <v>998</v>
      </c>
      <c r="D926" s="600">
        <v>16.95</v>
      </c>
    </row>
    <row r="927" spans="1:4" ht="25.5">
      <c r="A927" s="401">
        <v>5085</v>
      </c>
      <c r="B927" s="411" t="s">
        <v>8073</v>
      </c>
      <c r="C927" s="401" t="s">
        <v>998</v>
      </c>
      <c r="D927" s="600">
        <v>18.899999999999999</v>
      </c>
    </row>
    <row r="928" spans="1:4">
      <c r="A928" s="401">
        <v>38374</v>
      </c>
      <c r="B928" s="411" t="s">
        <v>8074</v>
      </c>
      <c r="C928" s="401" t="s">
        <v>998</v>
      </c>
      <c r="D928" s="600">
        <v>862.73</v>
      </c>
    </row>
    <row r="929" spans="1:4" ht="25.5">
      <c r="A929" s="401">
        <v>20212</v>
      </c>
      <c r="B929" s="411" t="s">
        <v>8075</v>
      </c>
      <c r="C929" s="401" t="s">
        <v>1002</v>
      </c>
      <c r="D929" s="600">
        <v>9.0399999999999991</v>
      </c>
    </row>
    <row r="930" spans="1:4" ht="25.5">
      <c r="A930" s="401">
        <v>4430</v>
      </c>
      <c r="B930" s="411" t="s">
        <v>8076</v>
      </c>
      <c r="C930" s="401" t="s">
        <v>1002</v>
      </c>
      <c r="D930" s="600">
        <v>5.74</v>
      </c>
    </row>
    <row r="931" spans="1:4" ht="25.5">
      <c r="A931" s="401">
        <v>4400</v>
      </c>
      <c r="B931" s="411" t="s">
        <v>8077</v>
      </c>
      <c r="C931" s="401" t="s">
        <v>1002</v>
      </c>
      <c r="D931" s="600">
        <v>7.25</v>
      </c>
    </row>
    <row r="932" spans="1:4" ht="25.5">
      <c r="A932" s="401">
        <v>4500</v>
      </c>
      <c r="B932" s="411" t="s">
        <v>8078</v>
      </c>
      <c r="C932" s="401" t="s">
        <v>1002</v>
      </c>
      <c r="D932" s="600">
        <v>18.12</v>
      </c>
    </row>
    <row r="933" spans="1:4" ht="25.5">
      <c r="A933" s="401">
        <v>4513</v>
      </c>
      <c r="B933" s="411" t="s">
        <v>8079</v>
      </c>
      <c r="C933" s="401" t="s">
        <v>1002</v>
      </c>
      <c r="D933" s="600">
        <v>4.8600000000000003</v>
      </c>
    </row>
    <row r="934" spans="1:4">
      <c r="A934" s="401">
        <v>4496</v>
      </c>
      <c r="B934" s="411" t="s">
        <v>8080</v>
      </c>
      <c r="C934" s="401" t="s">
        <v>1002</v>
      </c>
      <c r="D934" s="600">
        <v>3.89</v>
      </c>
    </row>
    <row r="935" spans="1:4">
      <c r="A935" s="401">
        <v>11871</v>
      </c>
      <c r="B935" s="411" t="s">
        <v>8081</v>
      </c>
      <c r="C935" s="401" t="s">
        <v>998</v>
      </c>
      <c r="D935" s="600">
        <v>264</v>
      </c>
    </row>
    <row r="936" spans="1:4">
      <c r="A936" s="401">
        <v>34636</v>
      </c>
      <c r="B936" s="411" t="s">
        <v>8082</v>
      </c>
      <c r="C936" s="401" t="s">
        <v>998</v>
      </c>
      <c r="D936" s="600">
        <v>295</v>
      </c>
    </row>
    <row r="937" spans="1:4">
      <c r="A937" s="401">
        <v>34639</v>
      </c>
      <c r="B937" s="411" t="s">
        <v>8083</v>
      </c>
      <c r="C937" s="401" t="s">
        <v>998</v>
      </c>
      <c r="D937" s="600">
        <v>599.14</v>
      </c>
    </row>
    <row r="938" spans="1:4">
      <c r="A938" s="401">
        <v>34640</v>
      </c>
      <c r="B938" s="411" t="s">
        <v>8084</v>
      </c>
      <c r="C938" s="401" t="s">
        <v>998</v>
      </c>
      <c r="D938" s="600">
        <v>672.99</v>
      </c>
    </row>
    <row r="939" spans="1:4">
      <c r="A939" s="401">
        <v>34637</v>
      </c>
      <c r="B939" s="411" t="s">
        <v>8085</v>
      </c>
      <c r="C939" s="401" t="s">
        <v>998</v>
      </c>
      <c r="D939" s="600">
        <v>169.37</v>
      </c>
    </row>
    <row r="940" spans="1:4">
      <c r="A940" s="401">
        <v>34638</v>
      </c>
      <c r="B940" s="411" t="s">
        <v>8086</v>
      </c>
      <c r="C940" s="401" t="s">
        <v>998</v>
      </c>
      <c r="D940" s="600">
        <v>290.45</v>
      </c>
    </row>
    <row r="941" spans="1:4">
      <c r="A941" s="401">
        <v>11868</v>
      </c>
      <c r="B941" s="411" t="s">
        <v>8087</v>
      </c>
      <c r="C941" s="401" t="s">
        <v>998</v>
      </c>
      <c r="D941" s="600">
        <v>362.83</v>
      </c>
    </row>
    <row r="942" spans="1:4">
      <c r="A942" s="401">
        <v>37106</v>
      </c>
      <c r="B942" s="411" t="s">
        <v>8088</v>
      </c>
      <c r="C942" s="401" t="s">
        <v>998</v>
      </c>
      <c r="D942" s="600">
        <v>3504.54</v>
      </c>
    </row>
    <row r="943" spans="1:4">
      <c r="A943" s="401">
        <v>11869</v>
      </c>
      <c r="B943" s="411" t="s">
        <v>8089</v>
      </c>
      <c r="C943" s="401" t="s">
        <v>998</v>
      </c>
      <c r="D943" s="600">
        <v>588.69000000000005</v>
      </c>
    </row>
    <row r="944" spans="1:4">
      <c r="A944" s="401">
        <v>37104</v>
      </c>
      <c r="B944" s="411" t="s">
        <v>8090</v>
      </c>
      <c r="C944" s="401" t="s">
        <v>998</v>
      </c>
      <c r="D944" s="600">
        <v>758.85</v>
      </c>
    </row>
    <row r="945" spans="1:4">
      <c r="A945" s="401">
        <v>37105</v>
      </c>
      <c r="B945" s="411" t="s">
        <v>8091</v>
      </c>
      <c r="C945" s="401" t="s">
        <v>998</v>
      </c>
      <c r="D945" s="600">
        <v>1690.09</v>
      </c>
    </row>
    <row r="946" spans="1:4" ht="25.5">
      <c r="A946" s="401">
        <v>43094</v>
      </c>
      <c r="B946" s="411" t="s">
        <v>8092</v>
      </c>
      <c r="C946" s="401" t="s">
        <v>998</v>
      </c>
      <c r="D946" s="600">
        <v>206.83</v>
      </c>
    </row>
    <row r="947" spans="1:4" ht="25.5">
      <c r="A947" s="401">
        <v>43093</v>
      </c>
      <c r="B947" s="411" t="s">
        <v>8093</v>
      </c>
      <c r="C947" s="401" t="s">
        <v>998</v>
      </c>
      <c r="D947" s="600">
        <v>219.8</v>
      </c>
    </row>
    <row r="948" spans="1:4" ht="25.5">
      <c r="A948" s="401">
        <v>1030</v>
      </c>
      <c r="B948" s="411" t="s">
        <v>8094</v>
      </c>
      <c r="C948" s="401" t="s">
        <v>998</v>
      </c>
      <c r="D948" s="600">
        <v>33.450000000000003</v>
      </c>
    </row>
    <row r="949" spans="1:4" ht="25.5">
      <c r="A949" s="401">
        <v>11694</v>
      </c>
      <c r="B949" s="411" t="s">
        <v>8095</v>
      </c>
      <c r="C949" s="401" t="s">
        <v>998</v>
      </c>
      <c r="D949" s="600">
        <v>739.42</v>
      </c>
    </row>
    <row r="950" spans="1:4" ht="25.5">
      <c r="A950" s="401">
        <v>35277</v>
      </c>
      <c r="B950" s="411" t="s">
        <v>8096</v>
      </c>
      <c r="C950" s="401" t="s">
        <v>998</v>
      </c>
      <c r="D950" s="600">
        <v>367.06</v>
      </c>
    </row>
    <row r="951" spans="1:4" ht="38.25">
      <c r="A951" s="401">
        <v>10521</v>
      </c>
      <c r="B951" s="411" t="s">
        <v>8097</v>
      </c>
      <c r="C951" s="401" t="s">
        <v>998</v>
      </c>
      <c r="D951" s="600">
        <v>226.93</v>
      </c>
    </row>
    <row r="952" spans="1:4" ht="38.25">
      <c r="A952" s="401">
        <v>10885</v>
      </c>
      <c r="B952" s="411" t="s">
        <v>8098</v>
      </c>
      <c r="C952" s="401" t="s">
        <v>998</v>
      </c>
      <c r="D952" s="600">
        <v>287.04000000000002</v>
      </c>
    </row>
    <row r="953" spans="1:4" ht="38.25">
      <c r="A953" s="401">
        <v>20962</v>
      </c>
      <c r="B953" s="411" t="s">
        <v>8099</v>
      </c>
      <c r="C953" s="401" t="s">
        <v>998</v>
      </c>
      <c r="D953" s="600">
        <v>237.74</v>
      </c>
    </row>
    <row r="954" spans="1:4" ht="38.25">
      <c r="A954" s="401">
        <v>20963</v>
      </c>
      <c r="B954" s="411" t="s">
        <v>8100</v>
      </c>
      <c r="C954" s="401" t="s">
        <v>998</v>
      </c>
      <c r="D954" s="600">
        <v>290.42</v>
      </c>
    </row>
    <row r="955" spans="1:4">
      <c r="A955" s="401">
        <v>2555</v>
      </c>
      <c r="B955" s="411" t="s">
        <v>8101</v>
      </c>
      <c r="C955" s="401" t="s">
        <v>998</v>
      </c>
      <c r="D955" s="600">
        <v>1.24</v>
      </c>
    </row>
    <row r="956" spans="1:4">
      <c r="A956" s="401">
        <v>2556</v>
      </c>
      <c r="B956" s="411" t="s">
        <v>8102</v>
      </c>
      <c r="C956" s="401" t="s">
        <v>998</v>
      </c>
      <c r="D956" s="600">
        <v>1.28</v>
      </c>
    </row>
    <row r="957" spans="1:4">
      <c r="A957" s="401">
        <v>2557</v>
      </c>
      <c r="B957" s="411" t="s">
        <v>8103</v>
      </c>
      <c r="C957" s="401" t="s">
        <v>998</v>
      </c>
      <c r="D957" s="600">
        <v>2.71</v>
      </c>
    </row>
    <row r="958" spans="1:4" ht="25.5">
      <c r="A958" s="401">
        <v>10569</v>
      </c>
      <c r="B958" s="411" t="s">
        <v>8104</v>
      </c>
      <c r="C958" s="401" t="s">
        <v>998</v>
      </c>
      <c r="D958" s="600">
        <v>2.71</v>
      </c>
    </row>
    <row r="959" spans="1:4" ht="25.5">
      <c r="A959" s="401">
        <v>39810</v>
      </c>
      <c r="B959" s="411" t="s">
        <v>8105</v>
      </c>
      <c r="C959" s="401" t="s">
        <v>998</v>
      </c>
      <c r="D959" s="600">
        <v>27.91</v>
      </c>
    </row>
    <row r="960" spans="1:4" ht="25.5">
      <c r="A960" s="401">
        <v>39811</v>
      </c>
      <c r="B960" s="411" t="s">
        <v>8106</v>
      </c>
      <c r="C960" s="401" t="s">
        <v>998</v>
      </c>
      <c r="D960" s="600">
        <v>34.14</v>
      </c>
    </row>
    <row r="961" spans="1:4" ht="25.5">
      <c r="A961" s="401">
        <v>39812</v>
      </c>
      <c r="B961" s="411" t="s">
        <v>8107</v>
      </c>
      <c r="C961" s="401" t="s">
        <v>998</v>
      </c>
      <c r="D961" s="600">
        <v>56.14</v>
      </c>
    </row>
    <row r="962" spans="1:4" ht="25.5">
      <c r="A962" s="401">
        <v>43096</v>
      </c>
      <c r="B962" s="411" t="s">
        <v>8108</v>
      </c>
      <c r="C962" s="401" t="s">
        <v>998</v>
      </c>
      <c r="D962" s="600">
        <v>186.08</v>
      </c>
    </row>
    <row r="963" spans="1:4" ht="25.5">
      <c r="A963" s="401">
        <v>43102</v>
      </c>
      <c r="B963" s="411" t="s">
        <v>8109</v>
      </c>
      <c r="C963" s="401" t="s">
        <v>998</v>
      </c>
      <c r="D963" s="600">
        <v>113.15</v>
      </c>
    </row>
    <row r="964" spans="1:4" ht="25.5">
      <c r="A964" s="401">
        <v>43103</v>
      </c>
      <c r="B964" s="411" t="s">
        <v>8110</v>
      </c>
      <c r="C964" s="401" t="s">
        <v>998</v>
      </c>
      <c r="D964" s="600">
        <v>166.61</v>
      </c>
    </row>
    <row r="965" spans="1:4" ht="25.5">
      <c r="A965" s="401">
        <v>43098</v>
      </c>
      <c r="B965" s="411" t="s">
        <v>8111</v>
      </c>
      <c r="C965" s="401" t="s">
        <v>998</v>
      </c>
      <c r="D965" s="600">
        <v>63.03</v>
      </c>
    </row>
    <row r="966" spans="1:4" ht="25.5">
      <c r="A966" s="401">
        <v>43097</v>
      </c>
      <c r="B966" s="411" t="s">
        <v>8112</v>
      </c>
      <c r="C966" s="401" t="s">
        <v>998</v>
      </c>
      <c r="D966" s="600">
        <v>37.340000000000003</v>
      </c>
    </row>
    <row r="967" spans="1:4">
      <c r="A967" s="401">
        <v>43104</v>
      </c>
      <c r="B967" s="411" t="s">
        <v>8113</v>
      </c>
      <c r="C967" s="401" t="s">
        <v>998</v>
      </c>
      <c r="D967" s="600">
        <v>441.74</v>
      </c>
    </row>
    <row r="968" spans="1:4" ht="25.5">
      <c r="A968" s="401">
        <v>39771</v>
      </c>
      <c r="B968" s="411" t="s">
        <v>8114</v>
      </c>
      <c r="C968" s="401" t="s">
        <v>998</v>
      </c>
      <c r="D968" s="600">
        <v>26.08</v>
      </c>
    </row>
    <row r="969" spans="1:4" ht="25.5">
      <c r="A969" s="401">
        <v>39772</v>
      </c>
      <c r="B969" s="411" t="s">
        <v>8115</v>
      </c>
      <c r="C969" s="401" t="s">
        <v>998</v>
      </c>
      <c r="D969" s="600">
        <v>51.26</v>
      </c>
    </row>
    <row r="970" spans="1:4" ht="25.5">
      <c r="A970" s="401">
        <v>39773</v>
      </c>
      <c r="B970" s="411" t="s">
        <v>8116</v>
      </c>
      <c r="C970" s="401" t="s">
        <v>998</v>
      </c>
      <c r="D970" s="600">
        <v>82.39</v>
      </c>
    </row>
    <row r="971" spans="1:4" ht="25.5">
      <c r="A971" s="401">
        <v>39774</v>
      </c>
      <c r="B971" s="411" t="s">
        <v>8117</v>
      </c>
      <c r="C971" s="401" t="s">
        <v>998</v>
      </c>
      <c r="D971" s="600">
        <v>123.24</v>
      </c>
    </row>
    <row r="972" spans="1:4" ht="25.5">
      <c r="A972" s="401">
        <v>39775</v>
      </c>
      <c r="B972" s="411" t="s">
        <v>8118</v>
      </c>
      <c r="C972" s="401" t="s">
        <v>998</v>
      </c>
      <c r="D972" s="600">
        <v>164.48</v>
      </c>
    </row>
    <row r="973" spans="1:4" ht="25.5">
      <c r="A973" s="401">
        <v>39776</v>
      </c>
      <c r="B973" s="411" t="s">
        <v>8119</v>
      </c>
      <c r="C973" s="401" t="s">
        <v>998</v>
      </c>
      <c r="D973" s="600">
        <v>198.78</v>
      </c>
    </row>
    <row r="974" spans="1:4" ht="25.5">
      <c r="A974" s="401">
        <v>39777</v>
      </c>
      <c r="B974" s="411" t="s">
        <v>8120</v>
      </c>
      <c r="C974" s="401" t="s">
        <v>998</v>
      </c>
      <c r="D974" s="600">
        <v>251.95</v>
      </c>
    </row>
    <row r="975" spans="1:4" ht="25.5">
      <c r="A975" s="401">
        <v>20254</v>
      </c>
      <c r="B975" s="411" t="s">
        <v>8121</v>
      </c>
      <c r="C975" s="401" t="s">
        <v>998</v>
      </c>
      <c r="D975" s="600">
        <v>18.28</v>
      </c>
    </row>
    <row r="976" spans="1:4" ht="25.5">
      <c r="A976" s="401">
        <v>20253</v>
      </c>
      <c r="B976" s="411" t="s">
        <v>8122</v>
      </c>
      <c r="C976" s="401" t="s">
        <v>998</v>
      </c>
      <c r="D976" s="600">
        <v>60.05</v>
      </c>
    </row>
    <row r="977" spans="1:4" ht="25.5">
      <c r="A977" s="401">
        <v>11247</v>
      </c>
      <c r="B977" s="411" t="s">
        <v>8123</v>
      </c>
      <c r="C977" s="401" t="s">
        <v>998</v>
      </c>
      <c r="D977" s="600">
        <v>1154.68</v>
      </c>
    </row>
    <row r="978" spans="1:4" ht="25.5">
      <c r="A978" s="401">
        <v>11250</v>
      </c>
      <c r="B978" s="411" t="s">
        <v>8124</v>
      </c>
      <c r="C978" s="401" t="s">
        <v>998</v>
      </c>
      <c r="D978" s="600">
        <v>49.71</v>
      </c>
    </row>
    <row r="979" spans="1:4" ht="25.5">
      <c r="A979" s="401">
        <v>11249</v>
      </c>
      <c r="B979" s="411" t="s">
        <v>8125</v>
      </c>
      <c r="C979" s="401" t="s">
        <v>998</v>
      </c>
      <c r="D979" s="600">
        <v>2255.4899999999998</v>
      </c>
    </row>
    <row r="980" spans="1:4" ht="25.5">
      <c r="A980" s="401">
        <v>11251</v>
      </c>
      <c r="B980" s="411" t="s">
        <v>8126</v>
      </c>
      <c r="C980" s="401" t="s">
        <v>998</v>
      </c>
      <c r="D980" s="600">
        <v>110.11</v>
      </c>
    </row>
    <row r="981" spans="1:4" ht="25.5">
      <c r="A981" s="401">
        <v>11253</v>
      </c>
      <c r="B981" s="411" t="s">
        <v>8127</v>
      </c>
      <c r="C981" s="401" t="s">
        <v>998</v>
      </c>
      <c r="D981" s="600">
        <v>182.46</v>
      </c>
    </row>
    <row r="982" spans="1:4" ht="25.5">
      <c r="A982" s="401">
        <v>11255</v>
      </c>
      <c r="B982" s="411" t="s">
        <v>8128</v>
      </c>
      <c r="C982" s="401" t="s">
        <v>998</v>
      </c>
      <c r="D982" s="600">
        <v>272.77999999999997</v>
      </c>
    </row>
    <row r="983" spans="1:4" ht="25.5">
      <c r="A983" s="401">
        <v>14055</v>
      </c>
      <c r="B983" s="411" t="s">
        <v>8129</v>
      </c>
      <c r="C983" s="401" t="s">
        <v>998</v>
      </c>
      <c r="D983" s="600">
        <v>548.74</v>
      </c>
    </row>
    <row r="984" spans="1:4" ht="25.5">
      <c r="A984" s="401">
        <v>11256</v>
      </c>
      <c r="B984" s="411" t="s">
        <v>8130</v>
      </c>
      <c r="C984" s="401" t="s">
        <v>998</v>
      </c>
      <c r="D984" s="600">
        <v>341.69</v>
      </c>
    </row>
    <row r="985" spans="1:4">
      <c r="A985" s="401">
        <v>1872</v>
      </c>
      <c r="B985" s="411" t="s">
        <v>8131</v>
      </c>
      <c r="C985" s="401" t="s">
        <v>998</v>
      </c>
      <c r="D985" s="600">
        <v>1.68</v>
      </c>
    </row>
    <row r="986" spans="1:4">
      <c r="A986" s="401">
        <v>1873</v>
      </c>
      <c r="B986" s="411" t="s">
        <v>8132</v>
      </c>
      <c r="C986" s="401" t="s">
        <v>998</v>
      </c>
      <c r="D986" s="600">
        <v>3.33</v>
      </c>
    </row>
    <row r="987" spans="1:4" ht="25.5">
      <c r="A987" s="401">
        <v>39693</v>
      </c>
      <c r="B987" s="411" t="s">
        <v>8133</v>
      </c>
      <c r="C987" s="401" t="s">
        <v>998</v>
      </c>
      <c r="D987" s="600">
        <v>2145.9699999999998</v>
      </c>
    </row>
    <row r="988" spans="1:4" ht="25.5">
      <c r="A988" s="401">
        <v>39692</v>
      </c>
      <c r="B988" s="411" t="s">
        <v>8134</v>
      </c>
      <c r="C988" s="401" t="s">
        <v>998</v>
      </c>
      <c r="D988" s="600">
        <v>686.66</v>
      </c>
    </row>
    <row r="989" spans="1:4">
      <c r="A989" s="401">
        <v>3280</v>
      </c>
      <c r="B989" s="411" t="s">
        <v>8135</v>
      </c>
      <c r="C989" s="401" t="s">
        <v>998</v>
      </c>
      <c r="D989" s="600">
        <v>149.91</v>
      </c>
    </row>
    <row r="990" spans="1:4">
      <c r="A990" s="401">
        <v>11881</v>
      </c>
      <c r="B990" s="411" t="s">
        <v>8136</v>
      </c>
      <c r="C990" s="401" t="s">
        <v>998</v>
      </c>
      <c r="D990" s="600">
        <v>69.62</v>
      </c>
    </row>
    <row r="991" spans="1:4">
      <c r="A991" s="401">
        <v>34641</v>
      </c>
      <c r="B991" s="411" t="s">
        <v>8137</v>
      </c>
      <c r="C991" s="401" t="s">
        <v>998</v>
      </c>
      <c r="D991" s="600">
        <v>56.14</v>
      </c>
    </row>
    <row r="992" spans="1:4">
      <c r="A992" s="401">
        <v>34643</v>
      </c>
      <c r="B992" s="411" t="s">
        <v>8138</v>
      </c>
      <c r="C992" s="401" t="s">
        <v>998</v>
      </c>
      <c r="D992" s="600">
        <v>11.88</v>
      </c>
    </row>
    <row r="993" spans="1:4">
      <c r="A993" s="401">
        <v>3278</v>
      </c>
      <c r="B993" s="411" t="s">
        <v>8139</v>
      </c>
      <c r="C993" s="401" t="s">
        <v>998</v>
      </c>
      <c r="D993" s="600">
        <v>78.599999999999994</v>
      </c>
    </row>
    <row r="994" spans="1:4">
      <c r="A994" s="401">
        <v>3279</v>
      </c>
      <c r="B994" s="411" t="s">
        <v>8140</v>
      </c>
      <c r="C994" s="401" t="s">
        <v>998</v>
      </c>
      <c r="D994" s="600">
        <v>129.69</v>
      </c>
    </row>
    <row r="995" spans="1:4" ht="25.5">
      <c r="A995" s="401">
        <v>1062</v>
      </c>
      <c r="B995" s="411" t="s">
        <v>8141</v>
      </c>
      <c r="C995" s="401" t="s">
        <v>998</v>
      </c>
      <c r="D995" s="600">
        <v>217.61</v>
      </c>
    </row>
    <row r="996" spans="1:4" ht="25.5">
      <c r="A996" s="401">
        <v>39686</v>
      </c>
      <c r="B996" s="411" t="s">
        <v>8142</v>
      </c>
      <c r="C996" s="401" t="s">
        <v>998</v>
      </c>
      <c r="D996" s="600">
        <v>352.36</v>
      </c>
    </row>
    <row r="997" spans="1:4" ht="25.5">
      <c r="A997" s="401">
        <v>43095</v>
      </c>
      <c r="B997" s="411" t="s">
        <v>8143</v>
      </c>
      <c r="C997" s="401" t="s">
        <v>998</v>
      </c>
      <c r="D997" s="600">
        <v>122.62</v>
      </c>
    </row>
    <row r="998" spans="1:4" ht="25.5">
      <c r="A998" s="401">
        <v>1871</v>
      </c>
      <c r="B998" s="411" t="s">
        <v>8144</v>
      </c>
      <c r="C998" s="401" t="s">
        <v>998</v>
      </c>
      <c r="D998" s="600">
        <v>3</v>
      </c>
    </row>
    <row r="999" spans="1:4" ht="25.5">
      <c r="A999" s="401">
        <v>12001</v>
      </c>
      <c r="B999" s="411" t="s">
        <v>8145</v>
      </c>
      <c r="C999" s="401" t="s">
        <v>998</v>
      </c>
      <c r="D999" s="600">
        <v>4.34</v>
      </c>
    </row>
    <row r="1000" spans="1:4">
      <c r="A1000" s="401">
        <v>11882</v>
      </c>
      <c r="B1000" s="411" t="s">
        <v>8146</v>
      </c>
      <c r="C1000" s="401" t="s">
        <v>998</v>
      </c>
      <c r="D1000" s="600">
        <v>78.599999999999994</v>
      </c>
    </row>
    <row r="1001" spans="1:4" ht="25.5">
      <c r="A1001" s="401">
        <v>1068</v>
      </c>
      <c r="B1001" s="411" t="s">
        <v>8147</v>
      </c>
      <c r="C1001" s="401" t="s">
        <v>998</v>
      </c>
      <c r="D1001" s="600">
        <v>1435.39</v>
      </c>
    </row>
    <row r="1002" spans="1:4" ht="25.5">
      <c r="A1002" s="401">
        <v>39690</v>
      </c>
      <c r="B1002" s="411" t="s">
        <v>8148</v>
      </c>
      <c r="C1002" s="401" t="s">
        <v>998</v>
      </c>
      <c r="D1002" s="600">
        <v>2408.12</v>
      </c>
    </row>
    <row r="1003" spans="1:4" ht="25.5">
      <c r="A1003" s="401">
        <v>39691</v>
      </c>
      <c r="B1003" s="411" t="s">
        <v>8149</v>
      </c>
      <c r="C1003" s="401" t="s">
        <v>998</v>
      </c>
      <c r="D1003" s="600">
        <v>3028.74</v>
      </c>
    </row>
    <row r="1004" spans="1:4" ht="25.5">
      <c r="A1004" s="401">
        <v>39808</v>
      </c>
      <c r="B1004" s="411" t="s">
        <v>8150</v>
      </c>
      <c r="C1004" s="401" t="s">
        <v>998</v>
      </c>
      <c r="D1004" s="600">
        <v>64.02</v>
      </c>
    </row>
    <row r="1005" spans="1:4">
      <c r="A1005" s="401">
        <v>39809</v>
      </c>
      <c r="B1005" s="411" t="s">
        <v>8151</v>
      </c>
      <c r="C1005" s="401" t="s">
        <v>998</v>
      </c>
      <c r="D1005" s="600">
        <v>151.84</v>
      </c>
    </row>
    <row r="1006" spans="1:4">
      <c r="A1006" s="401">
        <v>11713</v>
      </c>
      <c r="B1006" s="411" t="s">
        <v>8152</v>
      </c>
      <c r="C1006" s="401" t="s">
        <v>998</v>
      </c>
      <c r="D1006" s="600">
        <v>25.78</v>
      </c>
    </row>
    <row r="1007" spans="1:4">
      <c r="A1007" s="401">
        <v>11716</v>
      </c>
      <c r="B1007" s="411" t="s">
        <v>8153</v>
      </c>
      <c r="C1007" s="401" t="s">
        <v>998</v>
      </c>
      <c r="D1007" s="600">
        <v>11.01</v>
      </c>
    </row>
    <row r="1008" spans="1:4">
      <c r="A1008" s="401">
        <v>5103</v>
      </c>
      <c r="B1008" s="411" t="s">
        <v>8154</v>
      </c>
      <c r="C1008" s="401" t="s">
        <v>998</v>
      </c>
      <c r="D1008" s="600">
        <v>11.16</v>
      </c>
    </row>
    <row r="1009" spans="1:4">
      <c r="A1009" s="401">
        <v>11712</v>
      </c>
      <c r="B1009" s="411" t="s">
        <v>8155</v>
      </c>
      <c r="C1009" s="401" t="s">
        <v>998</v>
      </c>
      <c r="D1009" s="600">
        <v>26</v>
      </c>
    </row>
    <row r="1010" spans="1:4">
      <c r="A1010" s="401">
        <v>11717</v>
      </c>
      <c r="B1010" s="411" t="s">
        <v>8156</v>
      </c>
      <c r="C1010" s="401" t="s">
        <v>998</v>
      </c>
      <c r="D1010" s="600">
        <v>28.25</v>
      </c>
    </row>
    <row r="1011" spans="1:4">
      <c r="A1011" s="401">
        <v>11714</v>
      </c>
      <c r="B1011" s="411" t="s">
        <v>8157</v>
      </c>
      <c r="C1011" s="401" t="s">
        <v>998</v>
      </c>
      <c r="D1011" s="600">
        <v>35.15</v>
      </c>
    </row>
    <row r="1012" spans="1:4">
      <c r="A1012" s="401">
        <v>11715</v>
      </c>
      <c r="B1012" s="411" t="s">
        <v>8158</v>
      </c>
      <c r="C1012" s="401" t="s">
        <v>998</v>
      </c>
      <c r="D1012" s="600">
        <v>40.44</v>
      </c>
    </row>
    <row r="1013" spans="1:4">
      <c r="A1013" s="401">
        <v>11880</v>
      </c>
      <c r="B1013" s="411" t="s">
        <v>8159</v>
      </c>
      <c r="C1013" s="401" t="s">
        <v>998</v>
      </c>
      <c r="D1013" s="600">
        <v>72.7</v>
      </c>
    </row>
    <row r="1014" spans="1:4">
      <c r="A1014" s="401">
        <v>1106</v>
      </c>
      <c r="B1014" s="411" t="s">
        <v>8160</v>
      </c>
      <c r="C1014" s="401" t="s">
        <v>995</v>
      </c>
      <c r="D1014" s="600">
        <v>0.62</v>
      </c>
    </row>
    <row r="1015" spans="1:4">
      <c r="A1015" s="401">
        <v>11161</v>
      </c>
      <c r="B1015" s="411" t="s">
        <v>8161</v>
      </c>
      <c r="C1015" s="401" t="s">
        <v>995</v>
      </c>
      <c r="D1015" s="600">
        <v>1.03</v>
      </c>
    </row>
    <row r="1016" spans="1:4">
      <c r="A1016" s="401">
        <v>1107</v>
      </c>
      <c r="B1016" s="411" t="s">
        <v>8162</v>
      </c>
      <c r="C1016" s="401" t="s">
        <v>995</v>
      </c>
      <c r="D1016" s="600">
        <v>0.52</v>
      </c>
    </row>
    <row r="1017" spans="1:4">
      <c r="A1017" s="401">
        <v>4758</v>
      </c>
      <c r="B1017" s="411" t="s">
        <v>8163</v>
      </c>
      <c r="C1017" s="401" t="s">
        <v>1001</v>
      </c>
      <c r="D1017" s="600">
        <v>15.57</v>
      </c>
    </row>
    <row r="1018" spans="1:4">
      <c r="A1018" s="401">
        <v>41080</v>
      </c>
      <c r="B1018" s="411" t="s">
        <v>8164</v>
      </c>
      <c r="C1018" s="401" t="s">
        <v>1118</v>
      </c>
      <c r="D1018" s="600">
        <v>2761.09</v>
      </c>
    </row>
    <row r="1019" spans="1:4">
      <c r="A1019" s="401">
        <v>25963</v>
      </c>
      <c r="B1019" s="411" t="s">
        <v>8165</v>
      </c>
      <c r="C1019" s="401" t="s">
        <v>995</v>
      </c>
      <c r="D1019" s="600">
        <v>0.11</v>
      </c>
    </row>
    <row r="1020" spans="1:4">
      <c r="A1020" s="401">
        <v>4759</v>
      </c>
      <c r="B1020" s="411" t="s">
        <v>8166</v>
      </c>
      <c r="C1020" s="401" t="s">
        <v>1001</v>
      </c>
      <c r="D1020" s="600">
        <v>12.64</v>
      </c>
    </row>
    <row r="1021" spans="1:4">
      <c r="A1021" s="401">
        <v>41068</v>
      </c>
      <c r="B1021" s="411" t="s">
        <v>8167</v>
      </c>
      <c r="C1021" s="401" t="s">
        <v>1118</v>
      </c>
      <c r="D1021" s="600">
        <v>2241.29</v>
      </c>
    </row>
    <row r="1022" spans="1:4">
      <c r="A1022" s="401">
        <v>1108</v>
      </c>
      <c r="B1022" s="411" t="s">
        <v>8168</v>
      </c>
      <c r="C1022" s="401" t="s">
        <v>1002</v>
      </c>
      <c r="D1022" s="600">
        <v>23.4</v>
      </c>
    </row>
    <row r="1023" spans="1:4">
      <c r="A1023" s="401">
        <v>1117</v>
      </c>
      <c r="B1023" s="411" t="s">
        <v>8169</v>
      </c>
      <c r="C1023" s="401" t="s">
        <v>1002</v>
      </c>
      <c r="D1023" s="600">
        <v>23.59</v>
      </c>
    </row>
    <row r="1024" spans="1:4">
      <c r="A1024" s="401">
        <v>1118</v>
      </c>
      <c r="B1024" s="411" t="s">
        <v>8170</v>
      </c>
      <c r="C1024" s="401" t="s">
        <v>1002</v>
      </c>
      <c r="D1024" s="600">
        <v>27.88</v>
      </c>
    </row>
    <row r="1025" spans="1:4">
      <c r="A1025" s="401">
        <v>1110</v>
      </c>
      <c r="B1025" s="411" t="s">
        <v>8171</v>
      </c>
      <c r="C1025" s="401" t="s">
        <v>1002</v>
      </c>
      <c r="D1025" s="600">
        <v>27.88</v>
      </c>
    </row>
    <row r="1026" spans="1:4" ht="25.5">
      <c r="A1026" s="401">
        <v>12618</v>
      </c>
      <c r="B1026" s="411" t="s">
        <v>8172</v>
      </c>
      <c r="C1026" s="401" t="s">
        <v>998</v>
      </c>
      <c r="D1026" s="600">
        <v>36.79</v>
      </c>
    </row>
    <row r="1027" spans="1:4">
      <c r="A1027" s="401">
        <v>40784</v>
      </c>
      <c r="B1027" s="411" t="s">
        <v>8173</v>
      </c>
      <c r="C1027" s="401" t="s">
        <v>1002</v>
      </c>
      <c r="D1027" s="600">
        <v>76.91</v>
      </c>
    </row>
    <row r="1028" spans="1:4">
      <c r="A1028" s="401">
        <v>40782</v>
      </c>
      <c r="B1028" s="411" t="s">
        <v>8174</v>
      </c>
      <c r="C1028" s="401" t="s">
        <v>1002</v>
      </c>
      <c r="D1028" s="600">
        <v>30.18</v>
      </c>
    </row>
    <row r="1029" spans="1:4">
      <c r="A1029" s="401">
        <v>40783</v>
      </c>
      <c r="B1029" s="411" t="s">
        <v>8175</v>
      </c>
      <c r="C1029" s="401" t="s">
        <v>1002</v>
      </c>
      <c r="D1029" s="600">
        <v>39.31</v>
      </c>
    </row>
    <row r="1030" spans="1:4">
      <c r="A1030" s="401">
        <v>1109</v>
      </c>
      <c r="B1030" s="411" t="s">
        <v>8176</v>
      </c>
      <c r="C1030" s="401" t="s">
        <v>1002</v>
      </c>
      <c r="D1030" s="600">
        <v>23.4</v>
      </c>
    </row>
    <row r="1031" spans="1:4">
      <c r="A1031" s="401">
        <v>1119</v>
      </c>
      <c r="B1031" s="411" t="s">
        <v>8177</v>
      </c>
      <c r="C1031" s="401" t="s">
        <v>1002</v>
      </c>
      <c r="D1031" s="600">
        <v>15.09</v>
      </c>
    </row>
    <row r="1032" spans="1:4">
      <c r="A1032" s="401">
        <v>13115</v>
      </c>
      <c r="B1032" s="411" t="s">
        <v>8178</v>
      </c>
      <c r="C1032" s="401" t="s">
        <v>1002</v>
      </c>
      <c r="D1032" s="600">
        <v>15.76</v>
      </c>
    </row>
    <row r="1033" spans="1:4">
      <c r="A1033" s="401">
        <v>10541</v>
      </c>
      <c r="B1033" s="411" t="s">
        <v>8179</v>
      </c>
      <c r="C1033" s="401" t="s">
        <v>1002</v>
      </c>
      <c r="D1033" s="600">
        <v>18.3</v>
      </c>
    </row>
    <row r="1034" spans="1:4">
      <c r="A1034" s="401">
        <v>10543</v>
      </c>
      <c r="B1034" s="411" t="s">
        <v>8180</v>
      </c>
      <c r="C1034" s="401" t="s">
        <v>1002</v>
      </c>
      <c r="D1034" s="600">
        <v>35.51</v>
      </c>
    </row>
    <row r="1035" spans="1:4">
      <c r="A1035" s="401">
        <v>10544</v>
      </c>
      <c r="B1035" s="411" t="s">
        <v>8181</v>
      </c>
      <c r="C1035" s="401" t="s">
        <v>1002</v>
      </c>
      <c r="D1035" s="600">
        <v>42.71</v>
      </c>
    </row>
    <row r="1036" spans="1:4">
      <c r="A1036" s="401">
        <v>10545</v>
      </c>
      <c r="B1036" s="411" t="s">
        <v>8182</v>
      </c>
      <c r="C1036" s="401" t="s">
        <v>1002</v>
      </c>
      <c r="D1036" s="600">
        <v>65.510000000000005</v>
      </c>
    </row>
    <row r="1037" spans="1:4">
      <c r="A1037" s="401">
        <v>10542</v>
      </c>
      <c r="B1037" s="411" t="s">
        <v>8183</v>
      </c>
      <c r="C1037" s="401" t="s">
        <v>1002</v>
      </c>
      <c r="D1037" s="600">
        <v>25.22</v>
      </c>
    </row>
    <row r="1038" spans="1:4">
      <c r="A1038" s="401">
        <v>38365</v>
      </c>
      <c r="B1038" s="411" t="s">
        <v>8184</v>
      </c>
      <c r="C1038" s="401" t="s">
        <v>1003</v>
      </c>
      <c r="D1038" s="600">
        <v>1.44</v>
      </c>
    </row>
    <row r="1039" spans="1:4" ht="25.5">
      <c r="A1039" s="401">
        <v>37745</v>
      </c>
      <c r="B1039" s="411" t="s">
        <v>8185</v>
      </c>
      <c r="C1039" s="401" t="s">
        <v>998</v>
      </c>
      <c r="D1039" s="600">
        <v>246826</v>
      </c>
    </row>
    <row r="1040" spans="1:4" ht="25.5">
      <c r="A1040" s="401">
        <v>37754</v>
      </c>
      <c r="B1040" s="411" t="s">
        <v>8186</v>
      </c>
      <c r="C1040" s="401" t="s">
        <v>998</v>
      </c>
      <c r="D1040" s="600">
        <v>257761.32</v>
      </c>
    </row>
    <row r="1041" spans="1:4" ht="25.5">
      <c r="A1041" s="401">
        <v>37748</v>
      </c>
      <c r="B1041" s="411" t="s">
        <v>8187</v>
      </c>
      <c r="C1041" s="401" t="s">
        <v>998</v>
      </c>
      <c r="D1041" s="600">
        <v>262408.84000000003</v>
      </c>
    </row>
    <row r="1042" spans="1:4" ht="25.5">
      <c r="A1042" s="401">
        <v>37761</v>
      </c>
      <c r="B1042" s="411" t="s">
        <v>8188</v>
      </c>
      <c r="C1042" s="401" t="s">
        <v>998</v>
      </c>
      <c r="D1042" s="600">
        <v>217144.38</v>
      </c>
    </row>
    <row r="1043" spans="1:4" ht="25.5">
      <c r="A1043" s="401">
        <v>37757</v>
      </c>
      <c r="B1043" s="411" t="s">
        <v>8189</v>
      </c>
      <c r="C1043" s="401" t="s">
        <v>998</v>
      </c>
      <c r="D1043" s="600">
        <v>302283.71999999997</v>
      </c>
    </row>
    <row r="1044" spans="1:4" ht="25.5">
      <c r="A1044" s="401">
        <v>37759</v>
      </c>
      <c r="B1044" s="411" t="s">
        <v>8190</v>
      </c>
      <c r="C1044" s="401" t="s">
        <v>998</v>
      </c>
      <c r="D1044" s="600">
        <v>303455.38</v>
      </c>
    </row>
    <row r="1045" spans="1:4" ht="25.5">
      <c r="A1045" s="401">
        <v>37766</v>
      </c>
      <c r="B1045" s="411" t="s">
        <v>8191</v>
      </c>
      <c r="C1045" s="401" t="s">
        <v>998</v>
      </c>
      <c r="D1045" s="600">
        <v>303455.35999999999</v>
      </c>
    </row>
    <row r="1046" spans="1:4" ht="25.5">
      <c r="A1046" s="401">
        <v>37752</v>
      </c>
      <c r="B1046" s="411" t="s">
        <v>8192</v>
      </c>
      <c r="C1046" s="401" t="s">
        <v>998</v>
      </c>
      <c r="D1046" s="600">
        <v>275179.74</v>
      </c>
    </row>
    <row r="1047" spans="1:4" ht="25.5">
      <c r="A1047" s="401">
        <v>37760</v>
      </c>
      <c r="B1047" s="411" t="s">
        <v>8193</v>
      </c>
      <c r="C1047" s="401" t="s">
        <v>998</v>
      </c>
      <c r="D1047" s="600">
        <v>289786.21000000002</v>
      </c>
    </row>
    <row r="1048" spans="1:4" ht="25.5">
      <c r="A1048" s="401">
        <v>37765</v>
      </c>
      <c r="B1048" s="411" t="s">
        <v>8194</v>
      </c>
      <c r="C1048" s="401" t="s">
        <v>998</v>
      </c>
      <c r="D1048" s="600">
        <v>202303.6</v>
      </c>
    </row>
    <row r="1049" spans="1:4" ht="25.5">
      <c r="A1049" s="401">
        <v>37746</v>
      </c>
      <c r="B1049" s="411" t="s">
        <v>8195</v>
      </c>
      <c r="C1049" s="401" t="s">
        <v>998</v>
      </c>
      <c r="D1049" s="600">
        <v>221791.89</v>
      </c>
    </row>
    <row r="1050" spans="1:4" ht="25.5">
      <c r="A1050" s="401">
        <v>37750</v>
      </c>
      <c r="B1050" s="411" t="s">
        <v>8196</v>
      </c>
      <c r="C1050" s="401" t="s">
        <v>998</v>
      </c>
      <c r="D1050" s="600">
        <v>221010.81</v>
      </c>
    </row>
    <row r="1051" spans="1:4" ht="25.5">
      <c r="A1051" s="401">
        <v>37753</v>
      </c>
      <c r="B1051" s="411" t="s">
        <v>8197</v>
      </c>
      <c r="C1051" s="401" t="s">
        <v>998</v>
      </c>
      <c r="D1051" s="600">
        <v>220229.7</v>
      </c>
    </row>
    <row r="1052" spans="1:4" ht="25.5">
      <c r="A1052" s="401">
        <v>37756</v>
      </c>
      <c r="B1052" s="411" t="s">
        <v>8198</v>
      </c>
      <c r="C1052" s="401" t="s">
        <v>998</v>
      </c>
      <c r="D1052" s="600">
        <v>217144.38</v>
      </c>
    </row>
    <row r="1053" spans="1:4" ht="25.5">
      <c r="A1053" s="401">
        <v>37755</v>
      </c>
      <c r="B1053" s="411" t="s">
        <v>8199</v>
      </c>
      <c r="C1053" s="401" t="s">
        <v>998</v>
      </c>
      <c r="D1053" s="600">
        <v>315562.34999999998</v>
      </c>
    </row>
    <row r="1054" spans="1:4" ht="25.5">
      <c r="A1054" s="401">
        <v>37758</v>
      </c>
      <c r="B1054" s="411" t="s">
        <v>8200</v>
      </c>
      <c r="C1054" s="401" t="s">
        <v>998</v>
      </c>
      <c r="D1054" s="600">
        <v>356179.29</v>
      </c>
    </row>
    <row r="1055" spans="1:4" ht="25.5">
      <c r="A1055" s="401">
        <v>37747</v>
      </c>
      <c r="B1055" s="411" t="s">
        <v>8201</v>
      </c>
      <c r="C1055" s="401" t="s">
        <v>998</v>
      </c>
      <c r="D1055" s="600">
        <v>320483.24</v>
      </c>
    </row>
    <row r="1056" spans="1:4" ht="25.5">
      <c r="A1056" s="401">
        <v>37767</v>
      </c>
      <c r="B1056" s="411" t="s">
        <v>8202</v>
      </c>
      <c r="C1056" s="401" t="s">
        <v>998</v>
      </c>
      <c r="D1056" s="600">
        <v>338214.11</v>
      </c>
    </row>
    <row r="1057" spans="1:4" ht="25.5">
      <c r="A1057" s="401">
        <v>37751</v>
      </c>
      <c r="B1057" s="411" t="s">
        <v>8203</v>
      </c>
      <c r="C1057" s="401" t="s">
        <v>998</v>
      </c>
      <c r="D1057" s="600">
        <v>338214.11</v>
      </c>
    </row>
    <row r="1058" spans="1:4" ht="38.25">
      <c r="A1058" s="401">
        <v>37749</v>
      </c>
      <c r="B1058" s="411" t="s">
        <v>8204</v>
      </c>
      <c r="C1058" s="401" t="s">
        <v>998</v>
      </c>
      <c r="D1058" s="600">
        <v>334308.63</v>
      </c>
    </row>
    <row r="1059" spans="1:4">
      <c r="A1059" s="401">
        <v>1159</v>
      </c>
      <c r="B1059" s="411" t="s">
        <v>8205</v>
      </c>
      <c r="C1059" s="401" t="s">
        <v>998</v>
      </c>
      <c r="D1059" s="600">
        <v>160245</v>
      </c>
    </row>
    <row r="1060" spans="1:4">
      <c r="A1060" s="401">
        <v>12114</v>
      </c>
      <c r="B1060" s="411" t="s">
        <v>8206</v>
      </c>
      <c r="C1060" s="401" t="s">
        <v>998</v>
      </c>
      <c r="D1060" s="600">
        <v>81.25</v>
      </c>
    </row>
    <row r="1061" spans="1:4">
      <c r="A1061" s="401">
        <v>38106</v>
      </c>
      <c r="B1061" s="411" t="s">
        <v>8207</v>
      </c>
      <c r="C1061" s="401" t="s">
        <v>998</v>
      </c>
      <c r="D1061" s="600">
        <v>11.04</v>
      </c>
    </row>
    <row r="1062" spans="1:4" ht="25.5">
      <c r="A1062" s="401">
        <v>38085</v>
      </c>
      <c r="B1062" s="411" t="s">
        <v>8208</v>
      </c>
      <c r="C1062" s="401" t="s">
        <v>998</v>
      </c>
      <c r="D1062" s="600">
        <v>13.04</v>
      </c>
    </row>
    <row r="1063" spans="1:4">
      <c r="A1063" s="401">
        <v>38599</v>
      </c>
      <c r="B1063" s="411" t="s">
        <v>8209</v>
      </c>
      <c r="C1063" s="401" t="s">
        <v>998</v>
      </c>
      <c r="D1063" s="600">
        <v>3.76</v>
      </c>
    </row>
    <row r="1064" spans="1:4">
      <c r="A1064" s="401">
        <v>38596</v>
      </c>
      <c r="B1064" s="411" t="s">
        <v>8210</v>
      </c>
      <c r="C1064" s="401" t="s">
        <v>998</v>
      </c>
      <c r="D1064" s="600">
        <v>2.56</v>
      </c>
    </row>
    <row r="1065" spans="1:4">
      <c r="A1065" s="401">
        <v>38600</v>
      </c>
      <c r="B1065" s="411" t="s">
        <v>8211</v>
      </c>
      <c r="C1065" s="401" t="s">
        <v>998</v>
      </c>
      <c r="D1065" s="600">
        <v>4.42</v>
      </c>
    </row>
    <row r="1066" spans="1:4">
      <c r="A1066" s="401">
        <v>38597</v>
      </c>
      <c r="B1066" s="411" t="s">
        <v>8212</v>
      </c>
      <c r="C1066" s="401" t="s">
        <v>998</v>
      </c>
      <c r="D1066" s="600">
        <v>3.13</v>
      </c>
    </row>
    <row r="1067" spans="1:4">
      <c r="A1067" s="401">
        <v>659</v>
      </c>
      <c r="B1067" s="411" t="s">
        <v>8213</v>
      </c>
      <c r="C1067" s="401" t="s">
        <v>998</v>
      </c>
      <c r="D1067" s="600">
        <v>1.52</v>
      </c>
    </row>
    <row r="1068" spans="1:4">
      <c r="A1068" s="401">
        <v>660</v>
      </c>
      <c r="B1068" s="411" t="s">
        <v>8214</v>
      </c>
      <c r="C1068" s="401" t="s">
        <v>998</v>
      </c>
      <c r="D1068" s="600">
        <v>2.23</v>
      </c>
    </row>
    <row r="1069" spans="1:4">
      <c r="A1069" s="401">
        <v>658</v>
      </c>
      <c r="B1069" s="411" t="s">
        <v>8215</v>
      </c>
      <c r="C1069" s="401" t="s">
        <v>998</v>
      </c>
      <c r="D1069" s="600">
        <v>1.23</v>
      </c>
    </row>
    <row r="1070" spans="1:4">
      <c r="A1070" s="401">
        <v>38548</v>
      </c>
      <c r="B1070" s="411" t="s">
        <v>8216</v>
      </c>
      <c r="C1070" s="401" t="s">
        <v>998</v>
      </c>
      <c r="D1070" s="600">
        <v>1.2</v>
      </c>
    </row>
    <row r="1071" spans="1:4">
      <c r="A1071" s="401">
        <v>34647</v>
      </c>
      <c r="B1071" s="411" t="s">
        <v>8217</v>
      </c>
      <c r="C1071" s="401" t="s">
        <v>998</v>
      </c>
      <c r="D1071" s="600">
        <v>2.08</v>
      </c>
    </row>
    <row r="1072" spans="1:4">
      <c r="A1072" s="401">
        <v>34649</v>
      </c>
      <c r="B1072" s="411" t="s">
        <v>8218</v>
      </c>
      <c r="C1072" s="401" t="s">
        <v>998</v>
      </c>
      <c r="D1072" s="600">
        <v>2.14</v>
      </c>
    </row>
    <row r="1073" spans="1:4">
      <c r="A1073" s="401">
        <v>34652</v>
      </c>
      <c r="B1073" s="411" t="s">
        <v>8219</v>
      </c>
      <c r="C1073" s="401" t="s">
        <v>998</v>
      </c>
      <c r="D1073" s="600">
        <v>2.92</v>
      </c>
    </row>
    <row r="1074" spans="1:4">
      <c r="A1074" s="401">
        <v>34655</v>
      </c>
      <c r="B1074" s="411" t="s">
        <v>8220</v>
      </c>
      <c r="C1074" s="401" t="s">
        <v>998</v>
      </c>
      <c r="D1074" s="600">
        <v>2.82</v>
      </c>
    </row>
    <row r="1075" spans="1:4">
      <c r="A1075" s="401">
        <v>40607</v>
      </c>
      <c r="B1075" s="411" t="s">
        <v>8221</v>
      </c>
      <c r="C1075" s="401" t="s">
        <v>998</v>
      </c>
      <c r="D1075" s="600">
        <v>4.42</v>
      </c>
    </row>
    <row r="1076" spans="1:4">
      <c r="A1076" s="401">
        <v>585</v>
      </c>
      <c r="B1076" s="411" t="s">
        <v>8222</v>
      </c>
      <c r="C1076" s="401" t="s">
        <v>995</v>
      </c>
      <c r="D1076" s="600">
        <v>23.03</v>
      </c>
    </row>
    <row r="1077" spans="1:4">
      <c r="A1077" s="401">
        <v>4777</v>
      </c>
      <c r="B1077" s="411" t="s">
        <v>8223</v>
      </c>
      <c r="C1077" s="401" t="s">
        <v>995</v>
      </c>
      <c r="D1077" s="600">
        <v>4.6900000000000004</v>
      </c>
    </row>
    <row r="1078" spans="1:4">
      <c r="A1078" s="401">
        <v>587</v>
      </c>
      <c r="B1078" s="411" t="s">
        <v>8224</v>
      </c>
      <c r="C1078" s="401" t="s">
        <v>995</v>
      </c>
      <c r="D1078" s="600">
        <v>24.68</v>
      </c>
    </row>
    <row r="1079" spans="1:4">
      <c r="A1079" s="401">
        <v>590</v>
      </c>
      <c r="B1079" s="411" t="s">
        <v>8225</v>
      </c>
      <c r="C1079" s="401" t="s">
        <v>995</v>
      </c>
      <c r="D1079" s="600">
        <v>23.85</v>
      </c>
    </row>
    <row r="1080" spans="1:4">
      <c r="A1080" s="401">
        <v>592</v>
      </c>
      <c r="B1080" s="411" t="s">
        <v>8226</v>
      </c>
      <c r="C1080" s="401" t="s">
        <v>995</v>
      </c>
      <c r="D1080" s="600">
        <v>24.68</v>
      </c>
    </row>
    <row r="1081" spans="1:4">
      <c r="A1081" s="401">
        <v>586</v>
      </c>
      <c r="B1081" s="411" t="s">
        <v>8227</v>
      </c>
      <c r="C1081" s="401" t="s">
        <v>1002</v>
      </c>
      <c r="D1081" s="600">
        <v>14.51</v>
      </c>
    </row>
    <row r="1082" spans="1:4">
      <c r="A1082" s="401">
        <v>591</v>
      </c>
      <c r="B1082" s="411" t="s">
        <v>8228</v>
      </c>
      <c r="C1082" s="401" t="s">
        <v>995</v>
      </c>
      <c r="D1082" s="600">
        <v>23.03</v>
      </c>
    </row>
    <row r="1083" spans="1:4">
      <c r="A1083" s="401">
        <v>588</v>
      </c>
      <c r="B1083" s="411" t="s">
        <v>8229</v>
      </c>
      <c r="C1083" s="401" t="s">
        <v>1002</v>
      </c>
      <c r="D1083" s="600">
        <v>22.95</v>
      </c>
    </row>
    <row r="1084" spans="1:4">
      <c r="A1084" s="401">
        <v>589</v>
      </c>
      <c r="B1084" s="411" t="s">
        <v>8230</v>
      </c>
      <c r="C1084" s="401" t="s">
        <v>1002</v>
      </c>
      <c r="D1084" s="600">
        <v>38.79</v>
      </c>
    </row>
    <row r="1085" spans="1:4">
      <c r="A1085" s="401">
        <v>584</v>
      </c>
      <c r="B1085" s="411" t="s">
        <v>8231</v>
      </c>
      <c r="C1085" s="401" t="s">
        <v>1002</v>
      </c>
      <c r="D1085" s="600">
        <v>24.51</v>
      </c>
    </row>
    <row r="1086" spans="1:4">
      <c r="A1086" s="401">
        <v>574</v>
      </c>
      <c r="B1086" s="411" t="s">
        <v>8232</v>
      </c>
      <c r="C1086" s="401" t="s">
        <v>1002</v>
      </c>
      <c r="D1086" s="600">
        <v>23.68</v>
      </c>
    </row>
    <row r="1087" spans="1:4">
      <c r="A1087" s="401">
        <v>567</v>
      </c>
      <c r="B1087" s="411" t="s">
        <v>8233</v>
      </c>
      <c r="C1087" s="401" t="s">
        <v>1002</v>
      </c>
      <c r="D1087" s="600">
        <v>8.7799999999999994</v>
      </c>
    </row>
    <row r="1088" spans="1:4">
      <c r="A1088" s="401">
        <v>568</v>
      </c>
      <c r="B1088" s="411" t="s">
        <v>8234</v>
      </c>
      <c r="C1088" s="401" t="s">
        <v>1002</v>
      </c>
      <c r="D1088" s="600">
        <v>53.14</v>
      </c>
    </row>
    <row r="1089" spans="1:4">
      <c r="A1089" s="401">
        <v>569</v>
      </c>
      <c r="B1089" s="411" t="s">
        <v>8235</v>
      </c>
      <c r="C1089" s="401" t="s">
        <v>995</v>
      </c>
      <c r="D1089" s="600">
        <v>7.39</v>
      </c>
    </row>
    <row r="1090" spans="1:4">
      <c r="A1090" s="401">
        <v>1165</v>
      </c>
      <c r="B1090" s="411" t="s">
        <v>8236</v>
      </c>
      <c r="C1090" s="401" t="s">
        <v>998</v>
      </c>
      <c r="D1090" s="600">
        <v>9.6199999999999992</v>
      </c>
    </row>
    <row r="1091" spans="1:4">
      <c r="A1091" s="401">
        <v>1164</v>
      </c>
      <c r="B1091" s="411" t="s">
        <v>8237</v>
      </c>
      <c r="C1091" s="401" t="s">
        <v>998</v>
      </c>
      <c r="D1091" s="600">
        <v>7.79</v>
      </c>
    </row>
    <row r="1092" spans="1:4">
      <c r="A1092" s="401">
        <v>1162</v>
      </c>
      <c r="B1092" s="411" t="s">
        <v>8238</v>
      </c>
      <c r="C1092" s="401" t="s">
        <v>998</v>
      </c>
      <c r="D1092" s="600">
        <v>2.71</v>
      </c>
    </row>
    <row r="1093" spans="1:4">
      <c r="A1093" s="401">
        <v>12395</v>
      </c>
      <c r="B1093" s="411" t="s">
        <v>8239</v>
      </c>
      <c r="C1093" s="401" t="s">
        <v>998</v>
      </c>
      <c r="D1093" s="600">
        <v>2.63</v>
      </c>
    </row>
    <row r="1094" spans="1:4">
      <c r="A1094" s="401">
        <v>1170</v>
      </c>
      <c r="B1094" s="411" t="s">
        <v>8240</v>
      </c>
      <c r="C1094" s="401" t="s">
        <v>998</v>
      </c>
      <c r="D1094" s="600">
        <v>5.1100000000000003</v>
      </c>
    </row>
    <row r="1095" spans="1:4">
      <c r="A1095" s="401">
        <v>1169</v>
      </c>
      <c r="B1095" s="411" t="s">
        <v>8241</v>
      </c>
      <c r="C1095" s="401" t="s">
        <v>998</v>
      </c>
      <c r="D1095" s="600">
        <v>25.08</v>
      </c>
    </row>
    <row r="1096" spans="1:4">
      <c r="A1096" s="401">
        <v>1166</v>
      </c>
      <c r="B1096" s="411" t="s">
        <v>8242</v>
      </c>
      <c r="C1096" s="401" t="s">
        <v>998</v>
      </c>
      <c r="D1096" s="600">
        <v>13.9</v>
      </c>
    </row>
    <row r="1097" spans="1:4">
      <c r="A1097" s="401">
        <v>1163</v>
      </c>
      <c r="B1097" s="411" t="s">
        <v>8243</v>
      </c>
      <c r="C1097" s="401" t="s">
        <v>998</v>
      </c>
      <c r="D1097" s="600">
        <v>3.5</v>
      </c>
    </row>
    <row r="1098" spans="1:4">
      <c r="A1098" s="401">
        <v>12396</v>
      </c>
      <c r="B1098" s="411" t="s">
        <v>8244</v>
      </c>
      <c r="C1098" s="401" t="s">
        <v>998</v>
      </c>
      <c r="D1098" s="600">
        <v>2.63</v>
      </c>
    </row>
    <row r="1099" spans="1:4">
      <c r="A1099" s="401">
        <v>1168</v>
      </c>
      <c r="B1099" s="411" t="s">
        <v>8245</v>
      </c>
      <c r="C1099" s="401" t="s">
        <v>998</v>
      </c>
      <c r="D1099" s="600">
        <v>35.75</v>
      </c>
    </row>
    <row r="1100" spans="1:4">
      <c r="A1100" s="401">
        <v>1167</v>
      </c>
      <c r="B1100" s="411" t="s">
        <v>8246</v>
      </c>
      <c r="C1100" s="401" t="s">
        <v>998</v>
      </c>
      <c r="D1100" s="600">
        <v>59.8</v>
      </c>
    </row>
    <row r="1101" spans="1:4">
      <c r="A1101" s="401">
        <v>36331</v>
      </c>
      <c r="B1101" s="411" t="s">
        <v>8247</v>
      </c>
      <c r="C1101" s="401" t="s">
        <v>998</v>
      </c>
      <c r="D1101" s="600">
        <v>1.2</v>
      </c>
    </row>
    <row r="1102" spans="1:4">
      <c r="A1102" s="401">
        <v>36346</v>
      </c>
      <c r="B1102" s="411" t="s">
        <v>8248</v>
      </c>
      <c r="C1102" s="401" t="s">
        <v>998</v>
      </c>
      <c r="D1102" s="600">
        <v>2.0699999999999998</v>
      </c>
    </row>
    <row r="1103" spans="1:4">
      <c r="A1103" s="401">
        <v>1210</v>
      </c>
      <c r="B1103" s="411" t="s">
        <v>8249</v>
      </c>
      <c r="C1103" s="401" t="s">
        <v>998</v>
      </c>
      <c r="D1103" s="600">
        <v>9.15</v>
      </c>
    </row>
    <row r="1104" spans="1:4">
      <c r="A1104" s="401">
        <v>1203</v>
      </c>
      <c r="B1104" s="411" t="s">
        <v>8250</v>
      </c>
      <c r="C1104" s="401" t="s">
        <v>998</v>
      </c>
      <c r="D1104" s="600">
        <v>8.8699999999999992</v>
      </c>
    </row>
    <row r="1105" spans="1:4">
      <c r="A1105" s="401">
        <v>1197</v>
      </c>
      <c r="B1105" s="411" t="s">
        <v>8251</v>
      </c>
      <c r="C1105" s="401" t="s">
        <v>998</v>
      </c>
      <c r="D1105" s="600">
        <v>1.1299999999999999</v>
      </c>
    </row>
    <row r="1106" spans="1:4">
      <c r="A1106" s="401">
        <v>1202</v>
      </c>
      <c r="B1106" s="411" t="s">
        <v>8252</v>
      </c>
      <c r="C1106" s="401" t="s">
        <v>998</v>
      </c>
      <c r="D1106" s="600">
        <v>3.05</v>
      </c>
    </row>
    <row r="1107" spans="1:4">
      <c r="A1107" s="401">
        <v>1188</v>
      </c>
      <c r="B1107" s="411" t="s">
        <v>8253</v>
      </c>
      <c r="C1107" s="401" t="s">
        <v>998</v>
      </c>
      <c r="D1107" s="600">
        <v>18.03</v>
      </c>
    </row>
    <row r="1108" spans="1:4">
      <c r="A1108" s="401">
        <v>1211</v>
      </c>
      <c r="B1108" s="411" t="s">
        <v>8254</v>
      </c>
      <c r="C1108" s="401" t="s">
        <v>998</v>
      </c>
      <c r="D1108" s="600">
        <v>9.31</v>
      </c>
    </row>
    <row r="1109" spans="1:4">
      <c r="A1109" s="401">
        <v>1198</v>
      </c>
      <c r="B1109" s="411" t="s">
        <v>8255</v>
      </c>
      <c r="C1109" s="401" t="s">
        <v>998</v>
      </c>
      <c r="D1109" s="600">
        <v>1.68</v>
      </c>
    </row>
    <row r="1110" spans="1:4">
      <c r="A1110" s="401">
        <v>1199</v>
      </c>
      <c r="B1110" s="411" t="s">
        <v>8256</v>
      </c>
      <c r="C1110" s="401" t="s">
        <v>998</v>
      </c>
      <c r="D1110" s="600">
        <v>23.56</v>
      </c>
    </row>
    <row r="1111" spans="1:4">
      <c r="A1111" s="401">
        <v>20088</v>
      </c>
      <c r="B1111" s="411" t="s">
        <v>8257</v>
      </c>
      <c r="C1111" s="401" t="s">
        <v>998</v>
      </c>
      <c r="D1111" s="600">
        <v>10.64</v>
      </c>
    </row>
    <row r="1112" spans="1:4">
      <c r="A1112" s="401">
        <v>20089</v>
      </c>
      <c r="B1112" s="411" t="s">
        <v>8258</v>
      </c>
      <c r="C1112" s="401" t="s">
        <v>998</v>
      </c>
      <c r="D1112" s="600">
        <v>50.73</v>
      </c>
    </row>
    <row r="1113" spans="1:4">
      <c r="A1113" s="401">
        <v>20087</v>
      </c>
      <c r="B1113" s="411" t="s">
        <v>8259</v>
      </c>
      <c r="C1113" s="401" t="s">
        <v>998</v>
      </c>
      <c r="D1113" s="600">
        <v>7.66</v>
      </c>
    </row>
    <row r="1114" spans="1:4">
      <c r="A1114" s="401">
        <v>1200</v>
      </c>
      <c r="B1114" s="411" t="s">
        <v>8260</v>
      </c>
      <c r="C1114" s="401" t="s">
        <v>998</v>
      </c>
      <c r="D1114" s="600">
        <v>6.22</v>
      </c>
    </row>
    <row r="1115" spans="1:4">
      <c r="A1115" s="401">
        <v>12909</v>
      </c>
      <c r="B1115" s="411" t="s">
        <v>8261</v>
      </c>
      <c r="C1115" s="401" t="s">
        <v>998</v>
      </c>
      <c r="D1115" s="600">
        <v>2.82</v>
      </c>
    </row>
    <row r="1116" spans="1:4">
      <c r="A1116" s="401">
        <v>12910</v>
      </c>
      <c r="B1116" s="411" t="s">
        <v>8262</v>
      </c>
      <c r="C1116" s="401" t="s">
        <v>998</v>
      </c>
      <c r="D1116" s="600">
        <v>4.71</v>
      </c>
    </row>
    <row r="1117" spans="1:4">
      <c r="A1117" s="401">
        <v>1184</v>
      </c>
      <c r="B1117" s="411" t="s">
        <v>8263</v>
      </c>
      <c r="C1117" s="401" t="s">
        <v>998</v>
      </c>
      <c r="D1117" s="600">
        <v>57.92</v>
      </c>
    </row>
    <row r="1118" spans="1:4">
      <c r="A1118" s="401">
        <v>1191</v>
      </c>
      <c r="B1118" s="411" t="s">
        <v>8264</v>
      </c>
      <c r="C1118" s="401" t="s">
        <v>998</v>
      </c>
      <c r="D1118" s="600">
        <v>0.82</v>
      </c>
    </row>
    <row r="1119" spans="1:4">
      <c r="A1119" s="401">
        <v>1185</v>
      </c>
      <c r="B1119" s="411" t="s">
        <v>8265</v>
      </c>
      <c r="C1119" s="401" t="s">
        <v>998</v>
      </c>
      <c r="D1119" s="600">
        <v>0.94</v>
      </c>
    </row>
    <row r="1120" spans="1:4">
      <c r="A1120" s="401">
        <v>1189</v>
      </c>
      <c r="B1120" s="411" t="s">
        <v>8266</v>
      </c>
      <c r="C1120" s="401" t="s">
        <v>998</v>
      </c>
      <c r="D1120" s="600">
        <v>1.63</v>
      </c>
    </row>
    <row r="1121" spans="1:4">
      <c r="A1121" s="401">
        <v>1193</v>
      </c>
      <c r="B1121" s="411" t="s">
        <v>8267</v>
      </c>
      <c r="C1121" s="401" t="s">
        <v>998</v>
      </c>
      <c r="D1121" s="600">
        <v>3.14</v>
      </c>
    </row>
    <row r="1122" spans="1:4">
      <c r="A1122" s="401">
        <v>1194</v>
      </c>
      <c r="B1122" s="411" t="s">
        <v>8268</v>
      </c>
      <c r="C1122" s="401" t="s">
        <v>998</v>
      </c>
      <c r="D1122" s="600">
        <v>5.94</v>
      </c>
    </row>
    <row r="1123" spans="1:4">
      <c r="A1123" s="401">
        <v>1195</v>
      </c>
      <c r="B1123" s="411" t="s">
        <v>8269</v>
      </c>
      <c r="C1123" s="401" t="s">
        <v>998</v>
      </c>
      <c r="D1123" s="600">
        <v>8.93</v>
      </c>
    </row>
    <row r="1124" spans="1:4">
      <c r="A1124" s="401">
        <v>1204</v>
      </c>
      <c r="B1124" s="411" t="s">
        <v>8270</v>
      </c>
      <c r="C1124" s="401" t="s">
        <v>998</v>
      </c>
      <c r="D1124" s="600">
        <v>16.239999999999998</v>
      </c>
    </row>
    <row r="1125" spans="1:4">
      <c r="A1125" s="401">
        <v>1205</v>
      </c>
      <c r="B1125" s="411" t="s">
        <v>8271</v>
      </c>
      <c r="C1125" s="401" t="s">
        <v>998</v>
      </c>
      <c r="D1125" s="600">
        <v>38.53</v>
      </c>
    </row>
    <row r="1126" spans="1:4">
      <c r="A1126" s="401">
        <v>1207</v>
      </c>
      <c r="B1126" s="411" t="s">
        <v>8272</v>
      </c>
      <c r="C1126" s="401" t="s">
        <v>998</v>
      </c>
      <c r="D1126" s="600">
        <v>24.62</v>
      </c>
    </row>
    <row r="1127" spans="1:4">
      <c r="A1127" s="401">
        <v>1206</v>
      </c>
      <c r="B1127" s="411" t="s">
        <v>8273</v>
      </c>
      <c r="C1127" s="401" t="s">
        <v>998</v>
      </c>
      <c r="D1127" s="600">
        <v>6.17</v>
      </c>
    </row>
    <row r="1128" spans="1:4">
      <c r="A1128" s="401">
        <v>1183</v>
      </c>
      <c r="B1128" s="411" t="s">
        <v>8274</v>
      </c>
      <c r="C1128" s="401" t="s">
        <v>998</v>
      </c>
      <c r="D1128" s="600">
        <v>16.079999999999998</v>
      </c>
    </row>
    <row r="1129" spans="1:4">
      <c r="A1129" s="401">
        <v>42685</v>
      </c>
      <c r="B1129" s="411" t="s">
        <v>8275</v>
      </c>
      <c r="C1129" s="401" t="s">
        <v>998</v>
      </c>
      <c r="D1129" s="600">
        <v>48.08</v>
      </c>
    </row>
    <row r="1130" spans="1:4">
      <c r="A1130" s="401">
        <v>42686</v>
      </c>
      <c r="B1130" s="411" t="s">
        <v>8276</v>
      </c>
      <c r="C1130" s="401" t="s">
        <v>998</v>
      </c>
      <c r="D1130" s="600">
        <v>74.86</v>
      </c>
    </row>
    <row r="1131" spans="1:4">
      <c r="A1131" s="401">
        <v>12894</v>
      </c>
      <c r="B1131" s="411" t="s">
        <v>8277</v>
      </c>
      <c r="C1131" s="401" t="s">
        <v>998</v>
      </c>
      <c r="D1131" s="600">
        <v>15.53</v>
      </c>
    </row>
    <row r="1132" spans="1:4" ht="25.5">
      <c r="A1132" s="401">
        <v>12895</v>
      </c>
      <c r="B1132" s="411" t="s">
        <v>8278</v>
      </c>
      <c r="C1132" s="401" t="s">
        <v>998</v>
      </c>
      <c r="D1132" s="600">
        <v>11.95</v>
      </c>
    </row>
    <row r="1133" spans="1:4" ht="25.5">
      <c r="A1133" s="401">
        <v>1631</v>
      </c>
      <c r="B1133" s="411" t="s">
        <v>8279</v>
      </c>
      <c r="C1133" s="401" t="s">
        <v>998</v>
      </c>
      <c r="D1133" s="600">
        <v>120.36</v>
      </c>
    </row>
    <row r="1134" spans="1:4" ht="25.5">
      <c r="A1134" s="401">
        <v>1633</v>
      </c>
      <c r="B1134" s="411" t="s">
        <v>8280</v>
      </c>
      <c r="C1134" s="401" t="s">
        <v>998</v>
      </c>
      <c r="D1134" s="600">
        <v>204.5</v>
      </c>
    </row>
    <row r="1135" spans="1:4">
      <c r="A1135" s="401">
        <v>10818</v>
      </c>
      <c r="B1135" s="411" t="s">
        <v>8281</v>
      </c>
      <c r="C1135" s="401" t="s">
        <v>995</v>
      </c>
      <c r="D1135" s="600">
        <v>26.28</v>
      </c>
    </row>
    <row r="1136" spans="1:4" ht="38.25">
      <c r="A1136" s="401">
        <v>39359</v>
      </c>
      <c r="B1136" s="411" t="s">
        <v>8282</v>
      </c>
      <c r="C1136" s="401" t="s">
        <v>998</v>
      </c>
      <c r="D1136" s="600">
        <v>23.68</v>
      </c>
    </row>
    <row r="1137" spans="1:4" ht="38.25">
      <c r="A1137" s="401">
        <v>39360</v>
      </c>
      <c r="B1137" s="411" t="s">
        <v>8283</v>
      </c>
      <c r="C1137" s="401" t="s">
        <v>998</v>
      </c>
      <c r="D1137" s="600">
        <v>21.52</v>
      </c>
    </row>
    <row r="1138" spans="1:4" ht="25.5">
      <c r="A1138" s="401">
        <v>10710</v>
      </c>
      <c r="B1138" s="411" t="s">
        <v>8284</v>
      </c>
      <c r="C1138" s="401" t="s">
        <v>1003</v>
      </c>
      <c r="D1138" s="600">
        <v>98.99</v>
      </c>
    </row>
    <row r="1139" spans="1:4" ht="25.5">
      <c r="A1139" s="401">
        <v>10709</v>
      </c>
      <c r="B1139" s="411" t="s">
        <v>8285</v>
      </c>
      <c r="C1139" s="401" t="s">
        <v>1003</v>
      </c>
      <c r="D1139" s="600">
        <v>121.61</v>
      </c>
    </row>
    <row r="1140" spans="1:4" ht="25.5">
      <c r="A1140" s="401">
        <v>39636</v>
      </c>
      <c r="B1140" s="411" t="s">
        <v>8286</v>
      </c>
      <c r="C1140" s="401" t="s">
        <v>1003</v>
      </c>
      <c r="D1140" s="600">
        <v>124.18</v>
      </c>
    </row>
    <row r="1141" spans="1:4" ht="25.5">
      <c r="A1141" s="401">
        <v>10708</v>
      </c>
      <c r="B1141" s="411" t="s">
        <v>8287</v>
      </c>
      <c r="C1141" s="401" t="s">
        <v>1003</v>
      </c>
      <c r="D1141" s="600">
        <v>38.32</v>
      </c>
    </row>
    <row r="1142" spans="1:4" ht="25.5">
      <c r="A1142" s="401">
        <v>39635</v>
      </c>
      <c r="B1142" s="411" t="s">
        <v>8288</v>
      </c>
      <c r="C1142" s="401" t="s">
        <v>1003</v>
      </c>
      <c r="D1142" s="600">
        <v>65.239999999999995</v>
      </c>
    </row>
    <row r="1143" spans="1:4">
      <c r="A1143" s="401">
        <v>6117</v>
      </c>
      <c r="B1143" s="411" t="s">
        <v>8289</v>
      </c>
      <c r="C1143" s="401" t="s">
        <v>1001</v>
      </c>
      <c r="D1143" s="600">
        <v>10.06</v>
      </c>
    </row>
    <row r="1144" spans="1:4">
      <c r="A1144" s="401">
        <v>40913</v>
      </c>
      <c r="B1144" s="411" t="s">
        <v>8290</v>
      </c>
      <c r="C1144" s="401" t="s">
        <v>1118</v>
      </c>
      <c r="D1144" s="600">
        <v>1785.62</v>
      </c>
    </row>
    <row r="1145" spans="1:4">
      <c r="A1145" s="401">
        <v>1214</v>
      </c>
      <c r="B1145" s="411" t="s">
        <v>8291</v>
      </c>
      <c r="C1145" s="401" t="s">
        <v>1001</v>
      </c>
      <c r="D1145" s="600">
        <v>13.95</v>
      </c>
    </row>
    <row r="1146" spans="1:4">
      <c r="A1146" s="401">
        <v>40915</v>
      </c>
      <c r="B1146" s="411" t="s">
        <v>8292</v>
      </c>
      <c r="C1146" s="401" t="s">
        <v>1118</v>
      </c>
      <c r="D1146" s="600">
        <v>2474.75</v>
      </c>
    </row>
    <row r="1147" spans="1:4">
      <c r="A1147" s="401">
        <v>1213</v>
      </c>
      <c r="B1147" s="411" t="s">
        <v>8293</v>
      </c>
      <c r="C1147" s="401" t="s">
        <v>1001</v>
      </c>
      <c r="D1147" s="600">
        <v>12.79</v>
      </c>
    </row>
    <row r="1148" spans="1:4">
      <c r="A1148" s="401">
        <v>40914</v>
      </c>
      <c r="B1148" s="411" t="s">
        <v>8294</v>
      </c>
      <c r="C1148" s="401" t="s">
        <v>1118</v>
      </c>
      <c r="D1148" s="600">
        <v>2266.4299999999998</v>
      </c>
    </row>
    <row r="1149" spans="1:4" ht="25.5">
      <c r="A1149" s="401">
        <v>5091</v>
      </c>
      <c r="B1149" s="411" t="s">
        <v>8295</v>
      </c>
      <c r="C1149" s="401" t="s">
        <v>998</v>
      </c>
      <c r="D1149" s="600">
        <v>16.55</v>
      </c>
    </row>
    <row r="1150" spans="1:4" ht="25.5">
      <c r="A1150" s="401">
        <v>14615</v>
      </c>
      <c r="B1150" s="411" t="s">
        <v>8296</v>
      </c>
      <c r="C1150" s="401" t="s">
        <v>998</v>
      </c>
      <c r="D1150" s="600">
        <v>3371.77</v>
      </c>
    </row>
    <row r="1151" spans="1:4">
      <c r="A1151" s="401">
        <v>2711</v>
      </c>
      <c r="B1151" s="411" t="s">
        <v>8297</v>
      </c>
      <c r="C1151" s="401" t="s">
        <v>998</v>
      </c>
      <c r="D1151" s="600">
        <v>115.9</v>
      </c>
    </row>
    <row r="1152" spans="1:4" ht="25.5">
      <c r="A1152" s="401">
        <v>37727</v>
      </c>
      <c r="B1152" s="411" t="s">
        <v>8298</v>
      </c>
      <c r="C1152" s="401" t="s">
        <v>998</v>
      </c>
      <c r="D1152" s="600">
        <v>10548</v>
      </c>
    </row>
    <row r="1153" spans="1:4" ht="25.5">
      <c r="A1153" s="401">
        <v>37728</v>
      </c>
      <c r="B1153" s="411" t="s">
        <v>8299</v>
      </c>
      <c r="C1153" s="401" t="s">
        <v>998</v>
      </c>
      <c r="D1153" s="600">
        <v>14309.87</v>
      </c>
    </row>
    <row r="1154" spans="1:4" ht="25.5">
      <c r="A1154" s="401">
        <v>37729</v>
      </c>
      <c r="B1154" s="411" t="s">
        <v>8300</v>
      </c>
      <c r="C1154" s="401" t="s">
        <v>998</v>
      </c>
      <c r="D1154" s="600">
        <v>15490.07</v>
      </c>
    </row>
    <row r="1155" spans="1:4" ht="25.5">
      <c r="A1155" s="401">
        <v>37730</v>
      </c>
      <c r="B1155" s="411" t="s">
        <v>8301</v>
      </c>
      <c r="C1155" s="401" t="s">
        <v>998</v>
      </c>
      <c r="D1155" s="600">
        <v>16670.259999999998</v>
      </c>
    </row>
    <row r="1156" spans="1:4" ht="25.5">
      <c r="A1156" s="401">
        <v>37731</v>
      </c>
      <c r="B1156" s="411" t="s">
        <v>8302</v>
      </c>
      <c r="C1156" s="401" t="s">
        <v>998</v>
      </c>
      <c r="D1156" s="600">
        <v>17850.46</v>
      </c>
    </row>
    <row r="1157" spans="1:4" ht="25.5">
      <c r="A1157" s="401">
        <v>37732</v>
      </c>
      <c r="B1157" s="411" t="s">
        <v>8303</v>
      </c>
      <c r="C1157" s="401" t="s">
        <v>998</v>
      </c>
      <c r="D1157" s="600">
        <v>20358.37</v>
      </c>
    </row>
    <row r="1158" spans="1:4" ht="25.5">
      <c r="A1158" s="401">
        <v>42250</v>
      </c>
      <c r="B1158" s="411" t="s">
        <v>8304</v>
      </c>
      <c r="C1158" s="401" t="s">
        <v>1005</v>
      </c>
      <c r="D1158" s="600">
        <v>2138.77</v>
      </c>
    </row>
    <row r="1159" spans="1:4" ht="25.5">
      <c r="A1159" s="401">
        <v>42256</v>
      </c>
      <c r="B1159" s="411" t="s">
        <v>8305</v>
      </c>
      <c r="C1159" s="401" t="s">
        <v>995</v>
      </c>
      <c r="D1159" s="600">
        <v>4.4800000000000004</v>
      </c>
    </row>
    <row r="1160" spans="1:4">
      <c r="A1160" s="401">
        <v>4743</v>
      </c>
      <c r="B1160" s="411" t="s">
        <v>8306</v>
      </c>
      <c r="C1160" s="401" t="s">
        <v>996</v>
      </c>
      <c r="D1160" s="600">
        <v>37.090000000000003</v>
      </c>
    </row>
    <row r="1161" spans="1:4">
      <c r="A1161" s="401">
        <v>4744</v>
      </c>
      <c r="B1161" s="411" t="s">
        <v>8307</v>
      </c>
      <c r="C1161" s="401" t="s">
        <v>996</v>
      </c>
      <c r="D1161" s="600">
        <v>48.48</v>
      </c>
    </row>
    <row r="1162" spans="1:4">
      <c r="A1162" s="401">
        <v>4745</v>
      </c>
      <c r="B1162" s="411" t="s">
        <v>8308</v>
      </c>
      <c r="C1162" s="401" t="s">
        <v>996</v>
      </c>
      <c r="D1162" s="600">
        <v>64.959999999999994</v>
      </c>
    </row>
    <row r="1163" spans="1:4" ht="38.25">
      <c r="A1163" s="401">
        <v>36496</v>
      </c>
      <c r="B1163" s="411" t="s">
        <v>8309</v>
      </c>
      <c r="C1163" s="401" t="s">
        <v>998</v>
      </c>
      <c r="D1163" s="600">
        <v>8560.8700000000008</v>
      </c>
    </row>
    <row r="1164" spans="1:4" ht="38.25">
      <c r="A1164" s="401">
        <v>10630</v>
      </c>
      <c r="B1164" s="411" t="s">
        <v>8310</v>
      </c>
      <c r="C1164" s="401" t="s">
        <v>998</v>
      </c>
      <c r="D1164" s="600">
        <v>407121.71</v>
      </c>
    </row>
    <row r="1165" spans="1:4" ht="38.25">
      <c r="A1165" s="401">
        <v>37762</v>
      </c>
      <c r="B1165" s="411" t="s">
        <v>8311</v>
      </c>
      <c r="C1165" s="401" t="s">
        <v>998</v>
      </c>
      <c r="D1165" s="600">
        <v>349163.45</v>
      </c>
    </row>
    <row r="1166" spans="1:4" ht="38.25">
      <c r="A1166" s="401">
        <v>37763</v>
      </c>
      <c r="B1166" s="411" t="s">
        <v>8312</v>
      </c>
      <c r="C1166" s="401" t="s">
        <v>998</v>
      </c>
      <c r="D1166" s="600">
        <v>353404.28</v>
      </c>
    </row>
    <row r="1167" spans="1:4" ht="25.5">
      <c r="A1167" s="401">
        <v>41992</v>
      </c>
      <c r="B1167" s="411" t="s">
        <v>8313</v>
      </c>
      <c r="C1167" s="401" t="s">
        <v>998</v>
      </c>
      <c r="D1167" s="600">
        <v>401750</v>
      </c>
    </row>
    <row r="1168" spans="1:4" ht="38.25">
      <c r="A1168" s="401">
        <v>13215</v>
      </c>
      <c r="B1168" s="411" t="s">
        <v>8314</v>
      </c>
      <c r="C1168" s="401" t="s">
        <v>998</v>
      </c>
      <c r="D1168" s="600">
        <v>492645.57</v>
      </c>
    </row>
    <row r="1169" spans="1:4">
      <c r="A1169" s="401">
        <v>4235</v>
      </c>
      <c r="B1169" s="411" t="s">
        <v>8315</v>
      </c>
      <c r="C1169" s="401" t="s">
        <v>1001</v>
      </c>
      <c r="D1169" s="600">
        <v>7.6</v>
      </c>
    </row>
    <row r="1170" spans="1:4">
      <c r="A1170" s="401">
        <v>40976</v>
      </c>
      <c r="B1170" s="411" t="s">
        <v>8316</v>
      </c>
      <c r="C1170" s="401" t="s">
        <v>1118</v>
      </c>
      <c r="D1170" s="600">
        <v>1348.7</v>
      </c>
    </row>
    <row r="1171" spans="1:4">
      <c r="A1171" s="401">
        <v>39013</v>
      </c>
      <c r="B1171" s="411" t="s">
        <v>8317</v>
      </c>
      <c r="C1171" s="401" t="s">
        <v>998</v>
      </c>
      <c r="D1171" s="600">
        <v>0.91</v>
      </c>
    </row>
    <row r="1172" spans="1:4" ht="38.25">
      <c r="A1172" s="401">
        <v>43091</v>
      </c>
      <c r="B1172" s="411" t="s">
        <v>8318</v>
      </c>
      <c r="C1172" s="401" t="s">
        <v>998</v>
      </c>
      <c r="D1172" s="600">
        <v>5121.6499999999996</v>
      </c>
    </row>
    <row r="1173" spans="1:4" ht="38.25">
      <c r="A1173" s="401">
        <v>43092</v>
      </c>
      <c r="B1173" s="411" t="s">
        <v>8319</v>
      </c>
      <c r="C1173" s="401" t="s">
        <v>998</v>
      </c>
      <c r="D1173" s="600">
        <v>6828.87</v>
      </c>
    </row>
    <row r="1174" spans="1:4" ht="38.25">
      <c r="A1174" s="401">
        <v>43089</v>
      </c>
      <c r="B1174" s="411" t="s">
        <v>8320</v>
      </c>
      <c r="C1174" s="401" t="s">
        <v>998</v>
      </c>
      <c r="D1174" s="600">
        <v>1190.1199999999999</v>
      </c>
    </row>
    <row r="1175" spans="1:4" ht="38.25">
      <c r="A1175" s="401">
        <v>43090</v>
      </c>
      <c r="B1175" s="411" t="s">
        <v>8321</v>
      </c>
      <c r="C1175" s="401" t="s">
        <v>998</v>
      </c>
      <c r="D1175" s="600">
        <v>2626.48</v>
      </c>
    </row>
    <row r="1176" spans="1:4">
      <c r="A1176" s="401">
        <v>41967</v>
      </c>
      <c r="B1176" s="411" t="s">
        <v>8322</v>
      </c>
      <c r="C1176" s="401" t="s">
        <v>997</v>
      </c>
      <c r="D1176" s="600">
        <v>7.1</v>
      </c>
    </row>
    <row r="1177" spans="1:4" ht="25.5">
      <c r="A1177" s="401">
        <v>12760</v>
      </c>
      <c r="B1177" s="411" t="s">
        <v>8323</v>
      </c>
      <c r="C1177" s="401" t="s">
        <v>1003</v>
      </c>
      <c r="D1177" s="600">
        <v>1064.1400000000001</v>
      </c>
    </row>
    <row r="1178" spans="1:4" ht="25.5">
      <c r="A1178" s="401">
        <v>12759</v>
      </c>
      <c r="B1178" s="411" t="s">
        <v>8324</v>
      </c>
      <c r="C1178" s="401" t="s">
        <v>1003</v>
      </c>
      <c r="D1178" s="600">
        <v>709.42</v>
      </c>
    </row>
    <row r="1179" spans="1:4" ht="25.5">
      <c r="A1179" s="401">
        <v>43105</v>
      </c>
      <c r="B1179" s="411" t="s">
        <v>8325</v>
      </c>
      <c r="C1179" s="401" t="s">
        <v>995</v>
      </c>
      <c r="D1179" s="600">
        <v>30.44</v>
      </c>
    </row>
    <row r="1180" spans="1:4" ht="25.5">
      <c r="A1180" s="401">
        <v>40424</v>
      </c>
      <c r="B1180" s="411" t="s">
        <v>8326</v>
      </c>
      <c r="C1180" s="401" t="s">
        <v>995</v>
      </c>
      <c r="D1180" s="600">
        <v>7.73</v>
      </c>
    </row>
    <row r="1181" spans="1:4">
      <c r="A1181" s="401">
        <v>1325</v>
      </c>
      <c r="B1181" s="411" t="s">
        <v>8327</v>
      </c>
      <c r="C1181" s="401" t="s">
        <v>995</v>
      </c>
      <c r="D1181" s="600">
        <v>8.4700000000000006</v>
      </c>
    </row>
    <row r="1182" spans="1:4">
      <c r="A1182" s="401">
        <v>1327</v>
      </c>
      <c r="B1182" s="411" t="s">
        <v>8328</v>
      </c>
      <c r="C1182" s="401" t="s">
        <v>995</v>
      </c>
      <c r="D1182" s="600">
        <v>9.02</v>
      </c>
    </row>
    <row r="1183" spans="1:4">
      <c r="A1183" s="401">
        <v>1328</v>
      </c>
      <c r="B1183" s="411" t="s">
        <v>8329</v>
      </c>
      <c r="C1183" s="401" t="s">
        <v>995</v>
      </c>
      <c r="D1183" s="600">
        <v>8.49</v>
      </c>
    </row>
    <row r="1184" spans="1:4">
      <c r="A1184" s="401">
        <v>1321</v>
      </c>
      <c r="B1184" s="411" t="s">
        <v>8330</v>
      </c>
      <c r="C1184" s="401" t="s">
        <v>995</v>
      </c>
      <c r="D1184" s="600">
        <v>7.86</v>
      </c>
    </row>
    <row r="1185" spans="1:4">
      <c r="A1185" s="401">
        <v>1318</v>
      </c>
      <c r="B1185" s="411" t="s">
        <v>8331</v>
      </c>
      <c r="C1185" s="401" t="s">
        <v>995</v>
      </c>
      <c r="D1185" s="600">
        <v>7.87</v>
      </c>
    </row>
    <row r="1186" spans="1:4">
      <c r="A1186" s="401">
        <v>1322</v>
      </c>
      <c r="B1186" s="411" t="s">
        <v>8332</v>
      </c>
      <c r="C1186" s="401" t="s">
        <v>995</v>
      </c>
      <c r="D1186" s="600">
        <v>8.31</v>
      </c>
    </row>
    <row r="1187" spans="1:4">
      <c r="A1187" s="401">
        <v>1323</v>
      </c>
      <c r="B1187" s="411" t="s">
        <v>8333</v>
      </c>
      <c r="C1187" s="401" t="s">
        <v>995</v>
      </c>
      <c r="D1187" s="600">
        <v>8.31</v>
      </c>
    </row>
    <row r="1188" spans="1:4">
      <c r="A1188" s="401">
        <v>1319</v>
      </c>
      <c r="B1188" s="411" t="s">
        <v>8334</v>
      </c>
      <c r="C1188" s="401" t="s">
        <v>995</v>
      </c>
      <c r="D1188" s="600">
        <v>7</v>
      </c>
    </row>
    <row r="1189" spans="1:4">
      <c r="A1189" s="401">
        <v>11026</v>
      </c>
      <c r="B1189" s="411" t="s">
        <v>8335</v>
      </c>
      <c r="C1189" s="401" t="s">
        <v>995</v>
      </c>
      <c r="D1189" s="600">
        <v>9.6300000000000008</v>
      </c>
    </row>
    <row r="1190" spans="1:4">
      <c r="A1190" s="401">
        <v>11027</v>
      </c>
      <c r="B1190" s="411" t="s">
        <v>8336</v>
      </c>
      <c r="C1190" s="401" t="s">
        <v>995</v>
      </c>
      <c r="D1190" s="600">
        <v>10.029999999999999</v>
      </c>
    </row>
    <row r="1191" spans="1:4">
      <c r="A1191" s="401">
        <v>11046</v>
      </c>
      <c r="B1191" s="411" t="s">
        <v>8337</v>
      </c>
      <c r="C1191" s="401" t="s">
        <v>995</v>
      </c>
      <c r="D1191" s="600">
        <v>9.6</v>
      </c>
    </row>
    <row r="1192" spans="1:4">
      <c r="A1192" s="401">
        <v>11047</v>
      </c>
      <c r="B1192" s="411" t="s">
        <v>8338</v>
      </c>
      <c r="C1192" s="401" t="s">
        <v>995</v>
      </c>
      <c r="D1192" s="600">
        <v>10.47</v>
      </c>
    </row>
    <row r="1193" spans="1:4">
      <c r="A1193" s="401">
        <v>43668</v>
      </c>
      <c r="B1193" s="411" t="s">
        <v>8339</v>
      </c>
      <c r="C1193" s="401" t="s">
        <v>995</v>
      </c>
      <c r="D1193" s="600">
        <v>9.24</v>
      </c>
    </row>
    <row r="1194" spans="1:4">
      <c r="A1194" s="401">
        <v>11049</v>
      </c>
      <c r="B1194" s="411" t="s">
        <v>8340</v>
      </c>
      <c r="C1194" s="401" t="s">
        <v>995</v>
      </c>
      <c r="D1194" s="600">
        <v>10.01</v>
      </c>
    </row>
    <row r="1195" spans="1:4">
      <c r="A1195" s="401">
        <v>43106</v>
      </c>
      <c r="B1195" s="411" t="s">
        <v>8341</v>
      </c>
      <c r="C1195" s="401" t="s">
        <v>995</v>
      </c>
      <c r="D1195" s="600">
        <v>10.07</v>
      </c>
    </row>
    <row r="1196" spans="1:4">
      <c r="A1196" s="401">
        <v>11051</v>
      </c>
      <c r="B1196" s="411" t="s">
        <v>8342</v>
      </c>
      <c r="C1196" s="401" t="s">
        <v>995</v>
      </c>
      <c r="D1196" s="600">
        <v>10.51</v>
      </c>
    </row>
    <row r="1197" spans="1:4">
      <c r="A1197" s="401">
        <v>11061</v>
      </c>
      <c r="B1197" s="411" t="s">
        <v>8343</v>
      </c>
      <c r="C1197" s="401" t="s">
        <v>995</v>
      </c>
      <c r="D1197" s="600">
        <v>12.61</v>
      </c>
    </row>
    <row r="1198" spans="1:4">
      <c r="A1198" s="401">
        <v>43667</v>
      </c>
      <c r="B1198" s="411" t="s">
        <v>8344</v>
      </c>
      <c r="C1198" s="401" t="s">
        <v>995</v>
      </c>
      <c r="D1198" s="600">
        <v>9.16</v>
      </c>
    </row>
    <row r="1199" spans="1:4">
      <c r="A1199" s="401">
        <v>1333</v>
      </c>
      <c r="B1199" s="411" t="s">
        <v>8345</v>
      </c>
      <c r="C1199" s="401" t="s">
        <v>995</v>
      </c>
      <c r="D1199" s="600">
        <v>7.63</v>
      </c>
    </row>
    <row r="1200" spans="1:4">
      <c r="A1200" s="401">
        <v>1330</v>
      </c>
      <c r="B1200" s="411" t="s">
        <v>8346</v>
      </c>
      <c r="C1200" s="401" t="s">
        <v>995</v>
      </c>
      <c r="D1200" s="600">
        <v>7.56</v>
      </c>
    </row>
    <row r="1201" spans="1:4">
      <c r="A1201" s="401">
        <v>10957</v>
      </c>
      <c r="B1201" s="411" t="s">
        <v>8347</v>
      </c>
      <c r="C1201" s="401" t="s">
        <v>995</v>
      </c>
      <c r="D1201" s="600">
        <v>8.7200000000000006</v>
      </c>
    </row>
    <row r="1202" spans="1:4">
      <c r="A1202" s="401">
        <v>1332</v>
      </c>
      <c r="B1202" s="411" t="s">
        <v>8348</v>
      </c>
      <c r="C1202" s="401" t="s">
        <v>995</v>
      </c>
      <c r="D1202" s="600">
        <v>7.75</v>
      </c>
    </row>
    <row r="1203" spans="1:4">
      <c r="A1203" s="401">
        <v>1334</v>
      </c>
      <c r="B1203" s="411" t="s">
        <v>8349</v>
      </c>
      <c r="C1203" s="401" t="s">
        <v>995</v>
      </c>
      <c r="D1203" s="600">
        <v>8.6</v>
      </c>
    </row>
    <row r="1204" spans="1:4">
      <c r="A1204" s="401">
        <v>1335</v>
      </c>
      <c r="B1204" s="411" t="s">
        <v>8350</v>
      </c>
      <c r="C1204" s="401" t="s">
        <v>995</v>
      </c>
      <c r="D1204" s="600">
        <v>8.8800000000000008</v>
      </c>
    </row>
    <row r="1205" spans="1:4">
      <c r="A1205" s="401">
        <v>40425</v>
      </c>
      <c r="B1205" s="411" t="s">
        <v>8351</v>
      </c>
      <c r="C1205" s="401" t="s">
        <v>995</v>
      </c>
      <c r="D1205" s="600">
        <v>7.6</v>
      </c>
    </row>
    <row r="1206" spans="1:4">
      <c r="A1206" s="401">
        <v>1337</v>
      </c>
      <c r="B1206" s="411" t="s">
        <v>8352</v>
      </c>
      <c r="C1206" s="401" t="s">
        <v>995</v>
      </c>
      <c r="D1206" s="600">
        <v>8.7200000000000006</v>
      </c>
    </row>
    <row r="1207" spans="1:4" ht="25.5">
      <c r="A1207" s="401">
        <v>39416</v>
      </c>
      <c r="B1207" s="411" t="s">
        <v>8353</v>
      </c>
      <c r="C1207" s="401" t="s">
        <v>1003</v>
      </c>
      <c r="D1207" s="600">
        <v>28.98</v>
      </c>
    </row>
    <row r="1208" spans="1:4" ht="25.5">
      <c r="A1208" s="401">
        <v>39417</v>
      </c>
      <c r="B1208" s="411" t="s">
        <v>8354</v>
      </c>
      <c r="C1208" s="401" t="s">
        <v>1003</v>
      </c>
      <c r="D1208" s="600">
        <v>30.38</v>
      </c>
    </row>
    <row r="1209" spans="1:4" ht="25.5">
      <c r="A1209" s="401">
        <v>39414</v>
      </c>
      <c r="B1209" s="411" t="s">
        <v>8355</v>
      </c>
      <c r="C1209" s="401" t="s">
        <v>1003</v>
      </c>
      <c r="D1209" s="600">
        <v>27.21</v>
      </c>
    </row>
    <row r="1210" spans="1:4" ht="25.5">
      <c r="A1210" s="401">
        <v>39415</v>
      </c>
      <c r="B1210" s="411" t="s">
        <v>8356</v>
      </c>
      <c r="C1210" s="401" t="s">
        <v>1003</v>
      </c>
      <c r="D1210" s="600">
        <v>28.84</v>
      </c>
    </row>
    <row r="1211" spans="1:4" ht="25.5">
      <c r="A1211" s="401">
        <v>39412</v>
      </c>
      <c r="B1211" s="411" t="s">
        <v>8357</v>
      </c>
      <c r="C1211" s="401" t="s">
        <v>1003</v>
      </c>
      <c r="D1211" s="600">
        <v>20.49</v>
      </c>
    </row>
    <row r="1212" spans="1:4" ht="25.5">
      <c r="A1212" s="401">
        <v>39413</v>
      </c>
      <c r="B1212" s="411" t="s">
        <v>8358</v>
      </c>
      <c r="C1212" s="401" t="s">
        <v>1003</v>
      </c>
      <c r="D1212" s="600">
        <v>20.29</v>
      </c>
    </row>
    <row r="1213" spans="1:4">
      <c r="A1213" s="401">
        <v>1338</v>
      </c>
      <c r="B1213" s="411" t="s">
        <v>8359</v>
      </c>
      <c r="C1213" s="401" t="s">
        <v>1003</v>
      </c>
      <c r="D1213" s="600">
        <v>28.19</v>
      </c>
    </row>
    <row r="1214" spans="1:4">
      <c r="A1214" s="401">
        <v>1340</v>
      </c>
      <c r="B1214" s="411" t="s">
        <v>8360</v>
      </c>
      <c r="C1214" s="401" t="s">
        <v>1003</v>
      </c>
      <c r="D1214" s="600">
        <v>32.590000000000003</v>
      </c>
    </row>
    <row r="1215" spans="1:4">
      <c r="A1215" s="401">
        <v>1341</v>
      </c>
      <c r="B1215" s="411" t="s">
        <v>8361</v>
      </c>
      <c r="C1215" s="401" t="s">
        <v>1003</v>
      </c>
      <c r="D1215" s="600">
        <v>31.39</v>
      </c>
    </row>
    <row r="1216" spans="1:4" ht="25.5">
      <c r="A1216" s="401">
        <v>11134</v>
      </c>
      <c r="B1216" s="411" t="s">
        <v>8362</v>
      </c>
      <c r="C1216" s="401" t="s">
        <v>1003</v>
      </c>
      <c r="D1216" s="600">
        <v>28.55</v>
      </c>
    </row>
    <row r="1217" spans="1:4" ht="25.5">
      <c r="A1217" s="401">
        <v>11135</v>
      </c>
      <c r="B1217" s="411" t="s">
        <v>8363</v>
      </c>
      <c r="C1217" s="401" t="s">
        <v>1003</v>
      </c>
      <c r="D1217" s="600">
        <v>34.799999999999997</v>
      </c>
    </row>
    <row r="1218" spans="1:4" ht="25.5">
      <c r="A1218" s="401">
        <v>11136</v>
      </c>
      <c r="B1218" s="411" t="s">
        <v>8364</v>
      </c>
      <c r="C1218" s="401" t="s">
        <v>1003</v>
      </c>
      <c r="D1218" s="600">
        <v>37.64</v>
      </c>
    </row>
    <row r="1219" spans="1:4" ht="25.5">
      <c r="A1219" s="401">
        <v>34743</v>
      </c>
      <c r="B1219" s="411" t="s">
        <v>8365</v>
      </c>
      <c r="C1219" s="401" t="s">
        <v>1003</v>
      </c>
      <c r="D1219" s="600">
        <v>47.92</v>
      </c>
    </row>
    <row r="1220" spans="1:4" ht="25.5">
      <c r="A1220" s="401">
        <v>11137</v>
      </c>
      <c r="B1220" s="411" t="s">
        <v>8366</v>
      </c>
      <c r="C1220" s="401" t="s">
        <v>1003</v>
      </c>
      <c r="D1220" s="600">
        <v>53.44</v>
      </c>
    </row>
    <row r="1221" spans="1:4" ht="25.5">
      <c r="A1221" s="401">
        <v>34745</v>
      </c>
      <c r="B1221" s="411" t="s">
        <v>8367</v>
      </c>
      <c r="C1221" s="401" t="s">
        <v>1003</v>
      </c>
      <c r="D1221" s="600">
        <v>60.9</v>
      </c>
    </row>
    <row r="1222" spans="1:4">
      <c r="A1222" s="401">
        <v>34746</v>
      </c>
      <c r="B1222" s="411" t="s">
        <v>8368</v>
      </c>
      <c r="C1222" s="401" t="s">
        <v>1003</v>
      </c>
      <c r="D1222" s="600">
        <v>15.68</v>
      </c>
    </row>
    <row r="1223" spans="1:4">
      <c r="A1223" s="401">
        <v>1360</v>
      </c>
      <c r="B1223" s="411" t="s">
        <v>8369</v>
      </c>
      <c r="C1223" s="401" t="s">
        <v>1003</v>
      </c>
      <c r="D1223" s="600">
        <v>19.37</v>
      </c>
    </row>
    <row r="1224" spans="1:4" ht="25.5">
      <c r="A1224" s="401">
        <v>1346</v>
      </c>
      <c r="B1224" s="411" t="s">
        <v>8370</v>
      </c>
      <c r="C1224" s="401" t="s">
        <v>1003</v>
      </c>
      <c r="D1224" s="600">
        <v>26.28</v>
      </c>
    </row>
    <row r="1225" spans="1:4" ht="25.5">
      <c r="A1225" s="401">
        <v>1345</v>
      </c>
      <c r="B1225" s="411" t="s">
        <v>8371</v>
      </c>
      <c r="C1225" s="401" t="s">
        <v>1003</v>
      </c>
      <c r="D1225" s="600">
        <v>42.58</v>
      </c>
    </row>
    <row r="1226" spans="1:4" ht="25.5">
      <c r="A1226" s="401">
        <v>1347</v>
      </c>
      <c r="B1226" s="411" t="s">
        <v>8372</v>
      </c>
      <c r="C1226" s="401" t="s">
        <v>1003</v>
      </c>
      <c r="D1226" s="600">
        <v>31.4</v>
      </c>
    </row>
    <row r="1227" spans="1:4" ht="25.5">
      <c r="A1227" s="401">
        <v>1355</v>
      </c>
      <c r="B1227" s="411" t="s">
        <v>8373</v>
      </c>
      <c r="C1227" s="401" t="s">
        <v>1003</v>
      </c>
      <c r="D1227" s="600">
        <v>23.15</v>
      </c>
    </row>
    <row r="1228" spans="1:4" ht="25.5">
      <c r="A1228" s="401">
        <v>1358</v>
      </c>
      <c r="B1228" s="411" t="s">
        <v>8374</v>
      </c>
      <c r="C1228" s="401" t="s">
        <v>1003</v>
      </c>
      <c r="D1228" s="600">
        <v>26.82</v>
      </c>
    </row>
    <row r="1229" spans="1:4">
      <c r="A1229" s="401">
        <v>34659</v>
      </c>
      <c r="B1229" s="411" t="s">
        <v>8375</v>
      </c>
      <c r="C1229" s="401" t="s">
        <v>1003</v>
      </c>
      <c r="D1229" s="600">
        <v>25.62</v>
      </c>
    </row>
    <row r="1230" spans="1:4">
      <c r="A1230" s="401">
        <v>34514</v>
      </c>
      <c r="B1230" s="411" t="s">
        <v>8376</v>
      </c>
      <c r="C1230" s="401" t="s">
        <v>1003</v>
      </c>
      <c r="D1230" s="600">
        <v>28.38</v>
      </c>
    </row>
    <row r="1231" spans="1:4">
      <c r="A1231" s="401">
        <v>34660</v>
      </c>
      <c r="B1231" s="411" t="s">
        <v>8377</v>
      </c>
      <c r="C1231" s="401" t="s">
        <v>1003</v>
      </c>
      <c r="D1231" s="600">
        <v>36.01</v>
      </c>
    </row>
    <row r="1232" spans="1:4">
      <c r="A1232" s="401">
        <v>34661</v>
      </c>
      <c r="B1232" s="411" t="s">
        <v>8378</v>
      </c>
      <c r="C1232" s="401" t="s">
        <v>1003</v>
      </c>
      <c r="D1232" s="600">
        <v>51.73</v>
      </c>
    </row>
    <row r="1233" spans="1:4">
      <c r="A1233" s="401">
        <v>34667</v>
      </c>
      <c r="B1233" s="411" t="s">
        <v>8379</v>
      </c>
      <c r="C1233" s="401" t="s">
        <v>1003</v>
      </c>
      <c r="D1233" s="600">
        <v>18.73</v>
      </c>
    </row>
    <row r="1234" spans="1:4">
      <c r="A1234" s="401">
        <v>34668</v>
      </c>
      <c r="B1234" s="411" t="s">
        <v>8380</v>
      </c>
      <c r="C1234" s="401" t="s">
        <v>1003</v>
      </c>
      <c r="D1234" s="600">
        <v>24.48</v>
      </c>
    </row>
    <row r="1235" spans="1:4">
      <c r="A1235" s="401">
        <v>34741</v>
      </c>
      <c r="B1235" s="411" t="s">
        <v>8381</v>
      </c>
      <c r="C1235" s="401" t="s">
        <v>1003</v>
      </c>
      <c r="D1235" s="600">
        <v>26.93</v>
      </c>
    </row>
    <row r="1236" spans="1:4">
      <c r="A1236" s="401">
        <v>34664</v>
      </c>
      <c r="B1236" s="411" t="s">
        <v>8382</v>
      </c>
      <c r="C1236" s="401" t="s">
        <v>1003</v>
      </c>
      <c r="D1236" s="600">
        <v>29.39</v>
      </c>
    </row>
    <row r="1237" spans="1:4">
      <c r="A1237" s="401">
        <v>34665</v>
      </c>
      <c r="B1237" s="411" t="s">
        <v>8383</v>
      </c>
      <c r="C1237" s="401" t="s">
        <v>1003</v>
      </c>
      <c r="D1237" s="600">
        <v>36.49</v>
      </c>
    </row>
    <row r="1238" spans="1:4">
      <c r="A1238" s="401">
        <v>34666</v>
      </c>
      <c r="B1238" s="411" t="s">
        <v>8384</v>
      </c>
      <c r="C1238" s="401" t="s">
        <v>1003</v>
      </c>
      <c r="D1238" s="600">
        <v>55.11</v>
      </c>
    </row>
    <row r="1239" spans="1:4">
      <c r="A1239" s="401">
        <v>34669</v>
      </c>
      <c r="B1239" s="411" t="s">
        <v>8385</v>
      </c>
      <c r="C1239" s="401" t="s">
        <v>1003</v>
      </c>
      <c r="D1239" s="600">
        <v>20.2</v>
      </c>
    </row>
    <row r="1240" spans="1:4">
      <c r="A1240" s="401">
        <v>34670</v>
      </c>
      <c r="B1240" s="411" t="s">
        <v>8386</v>
      </c>
      <c r="C1240" s="401" t="s">
        <v>1003</v>
      </c>
      <c r="D1240" s="600">
        <v>24.71</v>
      </c>
    </row>
    <row r="1241" spans="1:4">
      <c r="A1241" s="401">
        <v>34671</v>
      </c>
      <c r="B1241" s="411" t="s">
        <v>8387</v>
      </c>
      <c r="C1241" s="401" t="s">
        <v>1003</v>
      </c>
      <c r="D1241" s="600">
        <v>20.63</v>
      </c>
    </row>
    <row r="1242" spans="1:4">
      <c r="A1242" s="401">
        <v>34672</v>
      </c>
      <c r="B1242" s="411" t="s">
        <v>8388</v>
      </c>
      <c r="C1242" s="401" t="s">
        <v>1003</v>
      </c>
      <c r="D1242" s="600">
        <v>21.75</v>
      </c>
    </row>
    <row r="1243" spans="1:4">
      <c r="A1243" s="401">
        <v>34673</v>
      </c>
      <c r="B1243" s="411" t="s">
        <v>8389</v>
      </c>
      <c r="C1243" s="401" t="s">
        <v>1003</v>
      </c>
      <c r="D1243" s="600">
        <v>26.54</v>
      </c>
    </row>
    <row r="1244" spans="1:4">
      <c r="A1244" s="401">
        <v>34674</v>
      </c>
      <c r="B1244" s="411" t="s">
        <v>8390</v>
      </c>
      <c r="C1244" s="401" t="s">
        <v>1003</v>
      </c>
      <c r="D1244" s="600">
        <v>35.29</v>
      </c>
    </row>
    <row r="1245" spans="1:4">
      <c r="A1245" s="401">
        <v>34675</v>
      </c>
      <c r="B1245" s="411" t="s">
        <v>8391</v>
      </c>
      <c r="C1245" s="401" t="s">
        <v>1003</v>
      </c>
      <c r="D1245" s="600">
        <v>43.02</v>
      </c>
    </row>
    <row r="1246" spans="1:4">
      <c r="A1246" s="401">
        <v>34676</v>
      </c>
      <c r="B1246" s="411" t="s">
        <v>8392</v>
      </c>
      <c r="C1246" s="401" t="s">
        <v>1003</v>
      </c>
      <c r="D1246" s="600">
        <v>12.38</v>
      </c>
    </row>
    <row r="1247" spans="1:4">
      <c r="A1247" s="401">
        <v>34677</v>
      </c>
      <c r="B1247" s="411" t="s">
        <v>8393</v>
      </c>
      <c r="C1247" s="401" t="s">
        <v>1003</v>
      </c>
      <c r="D1247" s="600">
        <v>16.649999999999999</v>
      </c>
    </row>
    <row r="1248" spans="1:4" ht="25.5">
      <c r="A1248" s="401">
        <v>43126</v>
      </c>
      <c r="B1248" s="411" t="s">
        <v>8394</v>
      </c>
      <c r="C1248" s="401" t="s">
        <v>1003</v>
      </c>
      <c r="D1248" s="600">
        <v>65.16</v>
      </c>
    </row>
    <row r="1249" spans="1:4" ht="25.5">
      <c r="A1249" s="401">
        <v>43124</v>
      </c>
      <c r="B1249" s="411" t="s">
        <v>8395</v>
      </c>
      <c r="C1249" s="401" t="s">
        <v>1003</v>
      </c>
      <c r="D1249" s="600">
        <v>76.08</v>
      </c>
    </row>
    <row r="1250" spans="1:4" ht="25.5">
      <c r="A1250" s="401">
        <v>43125</v>
      </c>
      <c r="B1250" s="411" t="s">
        <v>8396</v>
      </c>
      <c r="C1250" s="401" t="s">
        <v>1003</v>
      </c>
      <c r="D1250" s="600">
        <v>98.67</v>
      </c>
    </row>
    <row r="1251" spans="1:4" ht="25.5">
      <c r="A1251" s="401">
        <v>40623</v>
      </c>
      <c r="B1251" s="411" t="s">
        <v>8397</v>
      </c>
      <c r="C1251" s="401" t="s">
        <v>1011</v>
      </c>
      <c r="D1251" s="600">
        <v>84.9</v>
      </c>
    </row>
    <row r="1252" spans="1:4" ht="25.5">
      <c r="A1252" s="401">
        <v>43701</v>
      </c>
      <c r="B1252" s="411" t="s">
        <v>12940</v>
      </c>
      <c r="C1252" s="401" t="s">
        <v>995</v>
      </c>
      <c r="D1252" s="600">
        <v>24.8</v>
      </c>
    </row>
    <row r="1253" spans="1:4" ht="25.5">
      <c r="A1253" s="401">
        <v>12083</v>
      </c>
      <c r="B1253" s="411" t="s">
        <v>8398</v>
      </c>
      <c r="C1253" s="401" t="s">
        <v>998</v>
      </c>
      <c r="D1253" s="600">
        <v>635.83000000000004</v>
      </c>
    </row>
    <row r="1254" spans="1:4" ht="25.5">
      <c r="A1254" s="401">
        <v>12081</v>
      </c>
      <c r="B1254" s="411" t="s">
        <v>8399</v>
      </c>
      <c r="C1254" s="401" t="s">
        <v>998</v>
      </c>
      <c r="D1254" s="600">
        <v>215.02</v>
      </c>
    </row>
    <row r="1255" spans="1:4" ht="25.5">
      <c r="A1255" s="401">
        <v>12082</v>
      </c>
      <c r="B1255" s="411" t="s">
        <v>8400</v>
      </c>
      <c r="C1255" s="401" t="s">
        <v>998</v>
      </c>
      <c r="D1255" s="600">
        <v>337.93</v>
      </c>
    </row>
    <row r="1256" spans="1:4" ht="25.5">
      <c r="A1256" s="401">
        <v>13354</v>
      </c>
      <c r="B1256" s="411" t="s">
        <v>8401</v>
      </c>
      <c r="C1256" s="401" t="s">
        <v>998</v>
      </c>
      <c r="D1256" s="600">
        <v>504.7</v>
      </c>
    </row>
    <row r="1257" spans="1:4" ht="25.5">
      <c r="A1257" s="401">
        <v>14057</v>
      </c>
      <c r="B1257" s="411" t="s">
        <v>8402</v>
      </c>
      <c r="C1257" s="401" t="s">
        <v>998</v>
      </c>
      <c r="D1257" s="600">
        <v>281.77999999999997</v>
      </c>
    </row>
    <row r="1258" spans="1:4" ht="25.5">
      <c r="A1258" s="401">
        <v>14058</v>
      </c>
      <c r="B1258" s="411" t="s">
        <v>8403</v>
      </c>
      <c r="C1258" s="401" t="s">
        <v>998</v>
      </c>
      <c r="D1258" s="600">
        <v>444.51</v>
      </c>
    </row>
    <row r="1259" spans="1:4" ht="25.5">
      <c r="A1259" s="401">
        <v>20971</v>
      </c>
      <c r="B1259" s="411" t="s">
        <v>8404</v>
      </c>
      <c r="C1259" s="401" t="s">
        <v>998</v>
      </c>
      <c r="D1259" s="600">
        <v>11.6</v>
      </c>
    </row>
    <row r="1260" spans="1:4" ht="38.25">
      <c r="A1260" s="401">
        <v>5047</v>
      </c>
      <c r="B1260" s="411" t="s">
        <v>8405</v>
      </c>
      <c r="C1260" s="401" t="s">
        <v>998</v>
      </c>
      <c r="D1260" s="600">
        <v>302.85000000000002</v>
      </c>
    </row>
    <row r="1261" spans="1:4" ht="25.5">
      <c r="A1261" s="401">
        <v>13369</v>
      </c>
      <c r="B1261" s="411" t="s">
        <v>8406</v>
      </c>
      <c r="C1261" s="401" t="s">
        <v>998</v>
      </c>
      <c r="D1261" s="600">
        <v>328.51</v>
      </c>
    </row>
    <row r="1262" spans="1:4" ht="25.5">
      <c r="A1262" s="401">
        <v>13370</v>
      </c>
      <c r="B1262" s="411" t="s">
        <v>8407</v>
      </c>
      <c r="C1262" s="401" t="s">
        <v>998</v>
      </c>
      <c r="D1262" s="600">
        <v>455.39</v>
      </c>
    </row>
    <row r="1263" spans="1:4">
      <c r="A1263" s="401">
        <v>13279</v>
      </c>
      <c r="B1263" s="411" t="s">
        <v>8408</v>
      </c>
      <c r="C1263" s="401" t="s">
        <v>995</v>
      </c>
      <c r="D1263" s="600">
        <v>14.34</v>
      </c>
    </row>
    <row r="1264" spans="1:4">
      <c r="A1264" s="401">
        <v>11977</v>
      </c>
      <c r="B1264" s="411" t="s">
        <v>8409</v>
      </c>
      <c r="C1264" s="401" t="s">
        <v>998</v>
      </c>
      <c r="D1264" s="600">
        <v>7.43</v>
      </c>
    </row>
    <row r="1265" spans="1:4">
      <c r="A1265" s="401">
        <v>11975</v>
      </c>
      <c r="B1265" s="411" t="s">
        <v>8410</v>
      </c>
      <c r="C1265" s="401" t="s">
        <v>998</v>
      </c>
      <c r="D1265" s="600">
        <v>16.29</v>
      </c>
    </row>
    <row r="1266" spans="1:4" ht="25.5">
      <c r="A1266" s="401">
        <v>39746</v>
      </c>
      <c r="B1266" s="411" t="s">
        <v>8411</v>
      </c>
      <c r="C1266" s="401" t="s">
        <v>998</v>
      </c>
      <c r="D1266" s="600">
        <v>181.27</v>
      </c>
    </row>
    <row r="1267" spans="1:4">
      <c r="A1267" s="401">
        <v>11976</v>
      </c>
      <c r="B1267" s="411" t="s">
        <v>8412</v>
      </c>
      <c r="C1267" s="401" t="s">
        <v>998</v>
      </c>
      <c r="D1267" s="600">
        <v>0.83</v>
      </c>
    </row>
    <row r="1268" spans="1:4">
      <c r="A1268" s="401">
        <v>1368</v>
      </c>
      <c r="B1268" s="411" t="s">
        <v>8413</v>
      </c>
      <c r="C1268" s="401" t="s">
        <v>998</v>
      </c>
      <c r="D1268" s="600">
        <v>61.2</v>
      </c>
    </row>
    <row r="1269" spans="1:4">
      <c r="A1269" s="401">
        <v>1367</v>
      </c>
      <c r="B1269" s="411" t="s">
        <v>8414</v>
      </c>
      <c r="C1269" s="401" t="s">
        <v>998</v>
      </c>
      <c r="D1269" s="600">
        <v>197.96</v>
      </c>
    </row>
    <row r="1270" spans="1:4">
      <c r="A1270" s="401">
        <v>7608</v>
      </c>
      <c r="B1270" s="411" t="s">
        <v>8415</v>
      </c>
      <c r="C1270" s="401" t="s">
        <v>998</v>
      </c>
      <c r="D1270" s="600">
        <v>4.47</v>
      </c>
    </row>
    <row r="1271" spans="1:4" ht="25.5">
      <c r="A1271" s="401">
        <v>41900</v>
      </c>
      <c r="B1271" s="411" t="s">
        <v>8416</v>
      </c>
      <c r="C1271" s="401" t="s">
        <v>995</v>
      </c>
      <c r="D1271" s="600">
        <v>3.22</v>
      </c>
    </row>
    <row r="1272" spans="1:4" ht="25.5">
      <c r="A1272" s="401">
        <v>41899</v>
      </c>
      <c r="B1272" s="411" t="s">
        <v>8417</v>
      </c>
      <c r="C1272" s="401" t="s">
        <v>1005</v>
      </c>
      <c r="D1272" s="600">
        <v>3417.38</v>
      </c>
    </row>
    <row r="1273" spans="1:4">
      <c r="A1273" s="401">
        <v>1380</v>
      </c>
      <c r="B1273" s="411" t="s">
        <v>8418</v>
      </c>
      <c r="C1273" s="401" t="s">
        <v>995</v>
      </c>
      <c r="D1273" s="600">
        <v>2.91</v>
      </c>
    </row>
    <row r="1274" spans="1:4">
      <c r="A1274" s="401">
        <v>1375</v>
      </c>
      <c r="B1274" s="411" t="s">
        <v>8419</v>
      </c>
      <c r="C1274" s="401" t="s">
        <v>995</v>
      </c>
      <c r="D1274" s="600">
        <v>11.87</v>
      </c>
    </row>
    <row r="1275" spans="1:4">
      <c r="A1275" s="401">
        <v>1379</v>
      </c>
      <c r="B1275" s="411" t="s">
        <v>8420</v>
      </c>
      <c r="C1275" s="401" t="s">
        <v>995</v>
      </c>
      <c r="D1275" s="600">
        <v>0.49</v>
      </c>
    </row>
    <row r="1276" spans="1:4">
      <c r="A1276" s="401">
        <v>10511</v>
      </c>
      <c r="B1276" s="411" t="s">
        <v>8421</v>
      </c>
      <c r="C1276" s="401" t="s">
        <v>1004</v>
      </c>
      <c r="D1276" s="600">
        <v>24.8</v>
      </c>
    </row>
    <row r="1277" spans="1:4">
      <c r="A1277" s="401">
        <v>13284</v>
      </c>
      <c r="B1277" s="411" t="s">
        <v>8422</v>
      </c>
      <c r="C1277" s="401" t="s">
        <v>995</v>
      </c>
      <c r="D1277" s="600">
        <v>0.42</v>
      </c>
    </row>
    <row r="1278" spans="1:4">
      <c r="A1278" s="401">
        <v>25974</v>
      </c>
      <c r="B1278" s="411" t="s">
        <v>8423</v>
      </c>
      <c r="C1278" s="401" t="s">
        <v>995</v>
      </c>
      <c r="D1278" s="600">
        <v>1.66</v>
      </c>
    </row>
    <row r="1279" spans="1:4">
      <c r="A1279" s="401">
        <v>1382</v>
      </c>
      <c r="B1279" s="411" t="s">
        <v>8424</v>
      </c>
      <c r="C1279" s="401" t="s">
        <v>1004</v>
      </c>
      <c r="D1279" s="600">
        <v>23.89</v>
      </c>
    </row>
    <row r="1280" spans="1:4">
      <c r="A1280" s="401">
        <v>34753</v>
      </c>
      <c r="B1280" s="411" t="s">
        <v>8425</v>
      </c>
      <c r="C1280" s="401" t="s">
        <v>995</v>
      </c>
      <c r="D1280" s="600">
        <v>0.47</v>
      </c>
    </row>
    <row r="1281" spans="1:4" ht="25.5">
      <c r="A1281" s="401">
        <v>420</v>
      </c>
      <c r="B1281" s="411" t="s">
        <v>8426</v>
      </c>
      <c r="C1281" s="401" t="s">
        <v>998</v>
      </c>
      <c r="D1281" s="600">
        <v>20.309999999999999</v>
      </c>
    </row>
    <row r="1282" spans="1:4" ht="25.5">
      <c r="A1282" s="401">
        <v>12327</v>
      </c>
      <c r="B1282" s="411" t="s">
        <v>8427</v>
      </c>
      <c r="C1282" s="401" t="s">
        <v>998</v>
      </c>
      <c r="D1282" s="600">
        <v>24.19</v>
      </c>
    </row>
    <row r="1283" spans="1:4" ht="25.5">
      <c r="A1283" s="401">
        <v>36148</v>
      </c>
      <c r="B1283" s="411" t="s">
        <v>8428</v>
      </c>
      <c r="C1283" s="401" t="s">
        <v>998</v>
      </c>
      <c r="D1283" s="600">
        <v>57.36</v>
      </c>
    </row>
    <row r="1284" spans="1:4">
      <c r="A1284" s="401">
        <v>12329</v>
      </c>
      <c r="B1284" s="411" t="s">
        <v>8429</v>
      </c>
      <c r="C1284" s="401" t="s">
        <v>995</v>
      </c>
      <c r="D1284" s="600">
        <v>83.92</v>
      </c>
    </row>
    <row r="1285" spans="1:4">
      <c r="A1285" s="401">
        <v>1339</v>
      </c>
      <c r="B1285" s="411" t="s">
        <v>8430</v>
      </c>
      <c r="C1285" s="401" t="s">
        <v>995</v>
      </c>
      <c r="D1285" s="600">
        <v>28.26</v>
      </c>
    </row>
    <row r="1286" spans="1:4">
      <c r="A1286" s="401">
        <v>11849</v>
      </c>
      <c r="B1286" s="411" t="s">
        <v>8431</v>
      </c>
      <c r="C1286" s="401" t="s">
        <v>997</v>
      </c>
      <c r="D1286" s="600">
        <v>8.89</v>
      </c>
    </row>
    <row r="1287" spans="1:4" ht="25.5">
      <c r="A1287" s="401">
        <v>37418</v>
      </c>
      <c r="B1287" s="411" t="s">
        <v>8432</v>
      </c>
      <c r="C1287" s="401" t="s">
        <v>998</v>
      </c>
      <c r="D1287" s="600">
        <v>15.12</v>
      </c>
    </row>
    <row r="1288" spans="1:4" ht="25.5">
      <c r="A1288" s="401">
        <v>37419</v>
      </c>
      <c r="B1288" s="411" t="s">
        <v>8433</v>
      </c>
      <c r="C1288" s="401" t="s">
        <v>998</v>
      </c>
      <c r="D1288" s="600">
        <v>15.53</v>
      </c>
    </row>
    <row r="1289" spans="1:4" ht="25.5">
      <c r="A1289" s="401">
        <v>1427</v>
      </c>
      <c r="B1289" s="411" t="s">
        <v>8434</v>
      </c>
      <c r="C1289" s="401" t="s">
        <v>998</v>
      </c>
      <c r="D1289" s="600">
        <v>14.48</v>
      </c>
    </row>
    <row r="1290" spans="1:4" ht="25.5">
      <c r="A1290" s="401">
        <v>1402</v>
      </c>
      <c r="B1290" s="411" t="s">
        <v>8435</v>
      </c>
      <c r="C1290" s="401" t="s">
        <v>998</v>
      </c>
      <c r="D1290" s="600">
        <v>5.01</v>
      </c>
    </row>
    <row r="1291" spans="1:4" ht="25.5">
      <c r="A1291" s="401">
        <v>1420</v>
      </c>
      <c r="B1291" s="411" t="s">
        <v>8436</v>
      </c>
      <c r="C1291" s="401" t="s">
        <v>998</v>
      </c>
      <c r="D1291" s="600">
        <v>6.44</v>
      </c>
    </row>
    <row r="1292" spans="1:4" ht="25.5">
      <c r="A1292" s="401">
        <v>1419</v>
      </c>
      <c r="B1292" s="411" t="s">
        <v>8437</v>
      </c>
      <c r="C1292" s="401" t="s">
        <v>998</v>
      </c>
      <c r="D1292" s="600">
        <v>7.78</v>
      </c>
    </row>
    <row r="1293" spans="1:4" ht="25.5">
      <c r="A1293" s="401">
        <v>1414</v>
      </c>
      <c r="B1293" s="411" t="s">
        <v>8438</v>
      </c>
      <c r="C1293" s="401" t="s">
        <v>998</v>
      </c>
      <c r="D1293" s="600">
        <v>7.61</v>
      </c>
    </row>
    <row r="1294" spans="1:4" ht="25.5">
      <c r="A1294" s="401">
        <v>1413</v>
      </c>
      <c r="B1294" s="411" t="s">
        <v>8439</v>
      </c>
      <c r="C1294" s="401" t="s">
        <v>998</v>
      </c>
      <c r="D1294" s="600">
        <v>11.25</v>
      </c>
    </row>
    <row r="1295" spans="1:4" ht="25.5">
      <c r="A1295" s="401">
        <v>1412</v>
      </c>
      <c r="B1295" s="411" t="s">
        <v>8440</v>
      </c>
      <c r="C1295" s="401" t="s">
        <v>998</v>
      </c>
      <c r="D1295" s="600">
        <v>9.5299999999999994</v>
      </c>
    </row>
    <row r="1296" spans="1:4" ht="25.5">
      <c r="A1296" s="401">
        <v>1411</v>
      </c>
      <c r="B1296" s="411" t="s">
        <v>8441</v>
      </c>
      <c r="C1296" s="401" t="s">
        <v>998</v>
      </c>
      <c r="D1296" s="600">
        <v>17.34</v>
      </c>
    </row>
    <row r="1297" spans="1:4" ht="25.5">
      <c r="A1297" s="401">
        <v>1406</v>
      </c>
      <c r="B1297" s="411" t="s">
        <v>8442</v>
      </c>
      <c r="C1297" s="401" t="s">
        <v>998</v>
      </c>
      <c r="D1297" s="600">
        <v>11.5</v>
      </c>
    </row>
    <row r="1298" spans="1:4" ht="25.5">
      <c r="A1298" s="401">
        <v>1407</v>
      </c>
      <c r="B1298" s="411" t="s">
        <v>8443</v>
      </c>
      <c r="C1298" s="401" t="s">
        <v>998</v>
      </c>
      <c r="D1298" s="600">
        <v>14.34</v>
      </c>
    </row>
    <row r="1299" spans="1:4" ht="25.5">
      <c r="A1299" s="401">
        <v>1404</v>
      </c>
      <c r="B1299" s="411" t="s">
        <v>8444</v>
      </c>
      <c r="C1299" s="401" t="s">
        <v>998</v>
      </c>
      <c r="D1299" s="600">
        <v>15.24</v>
      </c>
    </row>
    <row r="1300" spans="1:4" ht="51">
      <c r="A1300" s="401">
        <v>11281</v>
      </c>
      <c r="B1300" s="411" t="s">
        <v>8445</v>
      </c>
      <c r="C1300" s="401" t="s">
        <v>998</v>
      </c>
      <c r="D1300" s="600">
        <v>8805</v>
      </c>
    </row>
    <row r="1301" spans="1:4" ht="51">
      <c r="A1301" s="401">
        <v>1442</v>
      </c>
      <c r="B1301" s="411" t="s">
        <v>8446</v>
      </c>
      <c r="C1301" s="401" t="s">
        <v>998</v>
      </c>
      <c r="D1301" s="600">
        <v>7391.73</v>
      </c>
    </row>
    <row r="1302" spans="1:4" ht="51">
      <c r="A1302" s="401">
        <v>13457</v>
      </c>
      <c r="B1302" s="411" t="s">
        <v>8447</v>
      </c>
      <c r="C1302" s="401" t="s">
        <v>998</v>
      </c>
      <c r="D1302" s="600">
        <v>6380.43</v>
      </c>
    </row>
    <row r="1303" spans="1:4" ht="51">
      <c r="A1303" s="401">
        <v>40699</v>
      </c>
      <c r="B1303" s="411" t="s">
        <v>8448</v>
      </c>
      <c r="C1303" s="401" t="s">
        <v>998</v>
      </c>
      <c r="D1303" s="600">
        <v>4932.3100000000004</v>
      </c>
    </row>
    <row r="1304" spans="1:4" ht="51">
      <c r="A1304" s="401">
        <v>40701</v>
      </c>
      <c r="B1304" s="411" t="s">
        <v>8449</v>
      </c>
      <c r="C1304" s="401" t="s">
        <v>998</v>
      </c>
      <c r="D1304" s="600">
        <v>87210.13</v>
      </c>
    </row>
    <row r="1305" spans="1:4" ht="51">
      <c r="A1305" s="401">
        <v>40700</v>
      </c>
      <c r="B1305" s="411" t="s">
        <v>8450</v>
      </c>
      <c r="C1305" s="401" t="s">
        <v>998</v>
      </c>
      <c r="D1305" s="600">
        <v>11481.79</v>
      </c>
    </row>
    <row r="1306" spans="1:4" ht="25.5">
      <c r="A1306" s="401">
        <v>13458</v>
      </c>
      <c r="B1306" s="411" t="s">
        <v>8451</v>
      </c>
      <c r="C1306" s="401" t="s">
        <v>998</v>
      </c>
      <c r="D1306" s="600">
        <v>10910.54</v>
      </c>
    </row>
    <row r="1307" spans="1:4" ht="25.5">
      <c r="A1307" s="401">
        <v>36524</v>
      </c>
      <c r="B1307" s="411" t="s">
        <v>8452</v>
      </c>
      <c r="C1307" s="401" t="s">
        <v>998</v>
      </c>
      <c r="D1307" s="600">
        <v>86280.46</v>
      </c>
    </row>
    <row r="1308" spans="1:4" ht="25.5">
      <c r="A1308" s="401">
        <v>36526</v>
      </c>
      <c r="B1308" s="411" t="s">
        <v>8453</v>
      </c>
      <c r="C1308" s="401" t="s">
        <v>998</v>
      </c>
      <c r="D1308" s="600">
        <v>69528.3</v>
      </c>
    </row>
    <row r="1309" spans="1:4" ht="25.5">
      <c r="A1309" s="401">
        <v>36523</v>
      </c>
      <c r="B1309" s="411" t="s">
        <v>8454</v>
      </c>
      <c r="C1309" s="401" t="s">
        <v>998</v>
      </c>
      <c r="D1309" s="600">
        <v>148850.72</v>
      </c>
    </row>
    <row r="1310" spans="1:4" ht="25.5">
      <c r="A1310" s="401">
        <v>36527</v>
      </c>
      <c r="B1310" s="411" t="s">
        <v>8455</v>
      </c>
      <c r="C1310" s="401" t="s">
        <v>998</v>
      </c>
      <c r="D1310" s="600">
        <v>161682.54</v>
      </c>
    </row>
    <row r="1311" spans="1:4" ht="25.5">
      <c r="A1311" s="401">
        <v>13803</v>
      </c>
      <c r="B1311" s="411" t="s">
        <v>8456</v>
      </c>
      <c r="C1311" s="401" t="s">
        <v>998</v>
      </c>
      <c r="D1311" s="600">
        <v>58463</v>
      </c>
    </row>
    <row r="1312" spans="1:4" ht="25.5">
      <c r="A1312" s="401">
        <v>38642</v>
      </c>
      <c r="B1312" s="411" t="s">
        <v>8457</v>
      </c>
      <c r="C1312" s="401" t="s">
        <v>998</v>
      </c>
      <c r="D1312" s="600">
        <v>37643.839999999997</v>
      </c>
    </row>
    <row r="1313" spans="1:4" ht="25.5">
      <c r="A1313" s="401">
        <v>36522</v>
      </c>
      <c r="B1313" s="411" t="s">
        <v>8458</v>
      </c>
      <c r="C1313" s="401" t="s">
        <v>998</v>
      </c>
      <c r="D1313" s="600">
        <v>43779.34</v>
      </c>
    </row>
    <row r="1314" spans="1:4" ht="25.5">
      <c r="A1314" s="401">
        <v>36525</v>
      </c>
      <c r="B1314" s="411" t="s">
        <v>8459</v>
      </c>
      <c r="C1314" s="401" t="s">
        <v>998</v>
      </c>
      <c r="D1314" s="600">
        <v>58630.76</v>
      </c>
    </row>
    <row r="1315" spans="1:4" ht="25.5">
      <c r="A1315" s="401">
        <v>41991</v>
      </c>
      <c r="B1315" s="411" t="s">
        <v>8460</v>
      </c>
      <c r="C1315" s="401" t="s">
        <v>998</v>
      </c>
      <c r="D1315" s="600">
        <v>2166.4899999999998</v>
      </c>
    </row>
    <row r="1316" spans="1:4" ht="25.5">
      <c r="A1316" s="401">
        <v>34348</v>
      </c>
      <c r="B1316" s="411" t="s">
        <v>8461</v>
      </c>
      <c r="C1316" s="401" t="s">
        <v>1002</v>
      </c>
      <c r="D1316" s="600">
        <v>14.24</v>
      </c>
    </row>
    <row r="1317" spans="1:4" ht="25.5">
      <c r="A1317" s="401">
        <v>34347</v>
      </c>
      <c r="B1317" s="411" t="s">
        <v>8462</v>
      </c>
      <c r="C1317" s="401" t="s">
        <v>1002</v>
      </c>
      <c r="D1317" s="600">
        <v>10.18</v>
      </c>
    </row>
    <row r="1318" spans="1:4" ht="25.5">
      <c r="A1318" s="401">
        <v>11146</v>
      </c>
      <c r="B1318" s="411" t="s">
        <v>8463</v>
      </c>
      <c r="C1318" s="401" t="s">
        <v>996</v>
      </c>
      <c r="D1318" s="600">
        <v>365.68</v>
      </c>
    </row>
    <row r="1319" spans="1:4" ht="25.5">
      <c r="A1319" s="401">
        <v>11147</v>
      </c>
      <c r="B1319" s="411" t="s">
        <v>8464</v>
      </c>
      <c r="C1319" s="401" t="s">
        <v>996</v>
      </c>
      <c r="D1319" s="600">
        <v>379.22</v>
      </c>
    </row>
    <row r="1320" spans="1:4" ht="25.5">
      <c r="A1320" s="401">
        <v>34872</v>
      </c>
      <c r="B1320" s="411" t="s">
        <v>8465</v>
      </c>
      <c r="C1320" s="401" t="s">
        <v>996</v>
      </c>
      <c r="D1320" s="600">
        <v>392.77</v>
      </c>
    </row>
    <row r="1321" spans="1:4" ht="25.5">
      <c r="A1321" s="401">
        <v>34491</v>
      </c>
      <c r="B1321" s="411" t="s">
        <v>8466</v>
      </c>
      <c r="C1321" s="401" t="s">
        <v>996</v>
      </c>
      <c r="D1321" s="600">
        <v>400.72</v>
      </c>
    </row>
    <row r="1322" spans="1:4" ht="25.5">
      <c r="A1322" s="401">
        <v>34770</v>
      </c>
      <c r="B1322" s="411" t="s">
        <v>8467</v>
      </c>
      <c r="C1322" s="401" t="s">
        <v>1005</v>
      </c>
      <c r="D1322" s="600">
        <v>320.27999999999997</v>
      </c>
    </row>
    <row r="1323" spans="1:4" ht="25.5">
      <c r="A1323" s="401">
        <v>1518</v>
      </c>
      <c r="B1323" s="411" t="s">
        <v>8468</v>
      </c>
      <c r="C1323" s="401" t="s">
        <v>1005</v>
      </c>
      <c r="D1323" s="600">
        <v>326.52</v>
      </c>
    </row>
    <row r="1324" spans="1:4" ht="25.5">
      <c r="A1324" s="401">
        <v>41965</v>
      </c>
      <c r="B1324" s="411" t="s">
        <v>8469</v>
      </c>
      <c r="C1324" s="401" t="s">
        <v>1005</v>
      </c>
      <c r="D1324" s="600">
        <v>316.33</v>
      </c>
    </row>
    <row r="1325" spans="1:4" ht="25.5">
      <c r="A1325" s="401">
        <v>34492</v>
      </c>
      <c r="B1325" s="411" t="s">
        <v>8470</v>
      </c>
      <c r="C1325" s="401" t="s">
        <v>996</v>
      </c>
      <c r="D1325" s="600">
        <v>331.82</v>
      </c>
    </row>
    <row r="1326" spans="1:4" ht="25.5">
      <c r="A1326" s="401">
        <v>1524</v>
      </c>
      <c r="B1326" s="411" t="s">
        <v>8471</v>
      </c>
      <c r="C1326" s="401" t="s">
        <v>996</v>
      </c>
      <c r="D1326" s="600">
        <v>386</v>
      </c>
    </row>
    <row r="1327" spans="1:4" ht="25.5">
      <c r="A1327" s="401">
        <v>38404</v>
      </c>
      <c r="B1327" s="411" t="s">
        <v>8472</v>
      </c>
      <c r="C1327" s="401" t="s">
        <v>996</v>
      </c>
      <c r="D1327" s="600">
        <v>407.41</v>
      </c>
    </row>
    <row r="1328" spans="1:4" ht="25.5">
      <c r="A1328" s="401">
        <v>39849</v>
      </c>
      <c r="B1328" s="411" t="s">
        <v>8473</v>
      </c>
      <c r="C1328" s="401" t="s">
        <v>996</v>
      </c>
      <c r="D1328" s="600">
        <v>406.53</v>
      </c>
    </row>
    <row r="1329" spans="1:4" ht="25.5">
      <c r="A1329" s="401">
        <v>38464</v>
      </c>
      <c r="B1329" s="411" t="s">
        <v>8474</v>
      </c>
      <c r="C1329" s="401" t="s">
        <v>996</v>
      </c>
      <c r="D1329" s="600">
        <v>492.15</v>
      </c>
    </row>
    <row r="1330" spans="1:4" ht="25.5">
      <c r="A1330" s="401">
        <v>34493</v>
      </c>
      <c r="B1330" s="411" t="s">
        <v>8475</v>
      </c>
      <c r="C1330" s="401" t="s">
        <v>996</v>
      </c>
      <c r="D1330" s="600">
        <v>344.69</v>
      </c>
    </row>
    <row r="1331" spans="1:4" ht="25.5">
      <c r="A1331" s="401">
        <v>1527</v>
      </c>
      <c r="B1331" s="411" t="s">
        <v>8476</v>
      </c>
      <c r="C1331" s="401" t="s">
        <v>996</v>
      </c>
      <c r="D1331" s="600">
        <v>402.25</v>
      </c>
    </row>
    <row r="1332" spans="1:4" ht="25.5">
      <c r="A1332" s="401">
        <v>38405</v>
      </c>
      <c r="B1332" s="411" t="s">
        <v>8477</v>
      </c>
      <c r="C1332" s="401" t="s">
        <v>996</v>
      </c>
      <c r="D1332" s="600">
        <v>431.85</v>
      </c>
    </row>
    <row r="1333" spans="1:4" ht="25.5">
      <c r="A1333" s="401">
        <v>38408</v>
      </c>
      <c r="B1333" s="411" t="s">
        <v>8478</v>
      </c>
      <c r="C1333" s="401" t="s">
        <v>996</v>
      </c>
      <c r="D1333" s="600">
        <v>449.06</v>
      </c>
    </row>
    <row r="1334" spans="1:4" ht="25.5">
      <c r="A1334" s="401">
        <v>34494</v>
      </c>
      <c r="B1334" s="411" t="s">
        <v>8479</v>
      </c>
      <c r="C1334" s="401" t="s">
        <v>996</v>
      </c>
      <c r="D1334" s="600">
        <v>359.99</v>
      </c>
    </row>
    <row r="1335" spans="1:4" ht="25.5">
      <c r="A1335" s="401">
        <v>1525</v>
      </c>
      <c r="B1335" s="411" t="s">
        <v>8480</v>
      </c>
      <c r="C1335" s="401" t="s">
        <v>996</v>
      </c>
      <c r="D1335" s="600">
        <v>415.79</v>
      </c>
    </row>
    <row r="1336" spans="1:4" ht="25.5">
      <c r="A1336" s="401">
        <v>38406</v>
      </c>
      <c r="B1336" s="411" t="s">
        <v>8481</v>
      </c>
      <c r="C1336" s="401" t="s">
        <v>996</v>
      </c>
      <c r="D1336" s="600">
        <v>453.74</v>
      </c>
    </row>
    <row r="1337" spans="1:4" ht="25.5">
      <c r="A1337" s="401">
        <v>38409</v>
      </c>
      <c r="B1337" s="411" t="s">
        <v>8482</v>
      </c>
      <c r="C1337" s="401" t="s">
        <v>996</v>
      </c>
      <c r="D1337" s="600">
        <v>484.05</v>
      </c>
    </row>
    <row r="1338" spans="1:4" ht="25.5">
      <c r="A1338" s="401">
        <v>34495</v>
      </c>
      <c r="B1338" s="411" t="s">
        <v>8483</v>
      </c>
      <c r="C1338" s="401" t="s">
        <v>996</v>
      </c>
      <c r="D1338" s="600">
        <v>375.36</v>
      </c>
    </row>
    <row r="1339" spans="1:4" ht="25.5">
      <c r="A1339" s="401">
        <v>11145</v>
      </c>
      <c r="B1339" s="411" t="s">
        <v>8484</v>
      </c>
      <c r="C1339" s="401" t="s">
        <v>996</v>
      </c>
      <c r="D1339" s="600">
        <v>430.69</v>
      </c>
    </row>
    <row r="1340" spans="1:4" ht="25.5">
      <c r="A1340" s="401">
        <v>34496</v>
      </c>
      <c r="B1340" s="411" t="s">
        <v>8485</v>
      </c>
      <c r="C1340" s="401" t="s">
        <v>996</v>
      </c>
      <c r="D1340" s="600">
        <v>392.09</v>
      </c>
    </row>
    <row r="1341" spans="1:4" ht="25.5">
      <c r="A1341" s="401">
        <v>34479</v>
      </c>
      <c r="B1341" s="411" t="s">
        <v>8486</v>
      </c>
      <c r="C1341" s="401" t="s">
        <v>996</v>
      </c>
      <c r="D1341" s="600">
        <v>446.94</v>
      </c>
    </row>
    <row r="1342" spans="1:4" ht="25.5">
      <c r="A1342" s="401">
        <v>34481</v>
      </c>
      <c r="B1342" s="411" t="s">
        <v>8487</v>
      </c>
      <c r="C1342" s="401" t="s">
        <v>996</v>
      </c>
      <c r="D1342" s="600">
        <v>502.47</v>
      </c>
    </row>
    <row r="1343" spans="1:4" ht="25.5">
      <c r="A1343" s="401">
        <v>34483</v>
      </c>
      <c r="B1343" s="411" t="s">
        <v>8488</v>
      </c>
      <c r="C1343" s="401" t="s">
        <v>996</v>
      </c>
      <c r="D1343" s="600">
        <v>595.91999999999996</v>
      </c>
    </row>
    <row r="1344" spans="1:4" ht="25.5">
      <c r="A1344" s="401">
        <v>34485</v>
      </c>
      <c r="B1344" s="411" t="s">
        <v>8489</v>
      </c>
      <c r="C1344" s="401" t="s">
        <v>996</v>
      </c>
      <c r="D1344" s="600">
        <v>765.22</v>
      </c>
    </row>
    <row r="1345" spans="1:4" ht="25.5">
      <c r="A1345" s="401">
        <v>34497</v>
      </c>
      <c r="B1345" s="411" t="s">
        <v>8490</v>
      </c>
      <c r="C1345" s="401" t="s">
        <v>996</v>
      </c>
      <c r="D1345" s="600">
        <v>1056.42</v>
      </c>
    </row>
    <row r="1346" spans="1:4" ht="25.5">
      <c r="A1346" s="401">
        <v>14041</v>
      </c>
      <c r="B1346" s="411" t="s">
        <v>8491</v>
      </c>
      <c r="C1346" s="401" t="s">
        <v>996</v>
      </c>
      <c r="D1346" s="600">
        <v>331.09</v>
      </c>
    </row>
    <row r="1347" spans="1:4" ht="25.5">
      <c r="A1347" s="401">
        <v>1523</v>
      </c>
      <c r="B1347" s="411" t="s">
        <v>8492</v>
      </c>
      <c r="C1347" s="401" t="s">
        <v>996</v>
      </c>
      <c r="D1347" s="600">
        <v>334.25</v>
      </c>
    </row>
    <row r="1348" spans="1:4">
      <c r="A1348" s="401">
        <v>14052</v>
      </c>
      <c r="B1348" s="411" t="s">
        <v>8493</v>
      </c>
      <c r="C1348" s="401" t="s">
        <v>998</v>
      </c>
      <c r="D1348" s="600">
        <v>7.25</v>
      </c>
    </row>
    <row r="1349" spans="1:4">
      <c r="A1349" s="401">
        <v>14054</v>
      </c>
      <c r="B1349" s="411" t="s">
        <v>8494</v>
      </c>
      <c r="C1349" s="401" t="s">
        <v>998</v>
      </c>
      <c r="D1349" s="600">
        <v>9.42</v>
      </c>
    </row>
    <row r="1350" spans="1:4">
      <c r="A1350" s="401">
        <v>14053</v>
      </c>
      <c r="B1350" s="411" t="s">
        <v>8495</v>
      </c>
      <c r="C1350" s="401" t="s">
        <v>998</v>
      </c>
      <c r="D1350" s="600">
        <v>7.36</v>
      </c>
    </row>
    <row r="1351" spans="1:4">
      <c r="A1351" s="401">
        <v>2558</v>
      </c>
      <c r="B1351" s="411" t="s">
        <v>8496</v>
      </c>
      <c r="C1351" s="401" t="s">
        <v>998</v>
      </c>
      <c r="D1351" s="600">
        <v>5.54</v>
      </c>
    </row>
    <row r="1352" spans="1:4">
      <c r="A1352" s="401">
        <v>2560</v>
      </c>
      <c r="B1352" s="411" t="s">
        <v>8497</v>
      </c>
      <c r="C1352" s="401" t="s">
        <v>998</v>
      </c>
      <c r="D1352" s="600">
        <v>9.75</v>
      </c>
    </row>
    <row r="1353" spans="1:4">
      <c r="A1353" s="401">
        <v>2559</v>
      </c>
      <c r="B1353" s="411" t="s">
        <v>8498</v>
      </c>
      <c r="C1353" s="401" t="s">
        <v>998</v>
      </c>
      <c r="D1353" s="600">
        <v>7.8</v>
      </c>
    </row>
    <row r="1354" spans="1:4">
      <c r="A1354" s="401">
        <v>2592</v>
      </c>
      <c r="B1354" s="411" t="s">
        <v>8499</v>
      </c>
      <c r="C1354" s="401" t="s">
        <v>998</v>
      </c>
      <c r="D1354" s="600">
        <v>129.30000000000001</v>
      </c>
    </row>
    <row r="1355" spans="1:4">
      <c r="A1355" s="401">
        <v>2566</v>
      </c>
      <c r="B1355" s="411" t="s">
        <v>8500</v>
      </c>
      <c r="C1355" s="401" t="s">
        <v>998</v>
      </c>
      <c r="D1355" s="600">
        <v>13.01</v>
      </c>
    </row>
    <row r="1356" spans="1:4">
      <c r="A1356" s="401">
        <v>2589</v>
      </c>
      <c r="B1356" s="411" t="s">
        <v>8501</v>
      </c>
      <c r="C1356" s="401" t="s">
        <v>998</v>
      </c>
      <c r="D1356" s="600">
        <v>17.29</v>
      </c>
    </row>
    <row r="1357" spans="1:4">
      <c r="A1357" s="401">
        <v>2591</v>
      </c>
      <c r="B1357" s="411" t="s">
        <v>8502</v>
      </c>
      <c r="C1357" s="401" t="s">
        <v>998</v>
      </c>
      <c r="D1357" s="600">
        <v>6.31</v>
      </c>
    </row>
    <row r="1358" spans="1:4">
      <c r="A1358" s="401">
        <v>2590</v>
      </c>
      <c r="B1358" s="411" t="s">
        <v>8503</v>
      </c>
      <c r="C1358" s="401" t="s">
        <v>998</v>
      </c>
      <c r="D1358" s="600">
        <v>10.61</v>
      </c>
    </row>
    <row r="1359" spans="1:4">
      <c r="A1359" s="401">
        <v>2567</v>
      </c>
      <c r="B1359" s="411" t="s">
        <v>8504</v>
      </c>
      <c r="C1359" s="401" t="s">
        <v>998</v>
      </c>
      <c r="D1359" s="600">
        <v>25.37</v>
      </c>
    </row>
    <row r="1360" spans="1:4">
      <c r="A1360" s="401">
        <v>2565</v>
      </c>
      <c r="B1360" s="411" t="s">
        <v>8505</v>
      </c>
      <c r="C1360" s="401" t="s">
        <v>998</v>
      </c>
      <c r="D1360" s="600">
        <v>6.32</v>
      </c>
    </row>
    <row r="1361" spans="1:4">
      <c r="A1361" s="401">
        <v>2568</v>
      </c>
      <c r="B1361" s="411" t="s">
        <v>8506</v>
      </c>
      <c r="C1361" s="401" t="s">
        <v>998</v>
      </c>
      <c r="D1361" s="600">
        <v>70.45</v>
      </c>
    </row>
    <row r="1362" spans="1:4">
      <c r="A1362" s="401">
        <v>2594</v>
      </c>
      <c r="B1362" s="411" t="s">
        <v>8507</v>
      </c>
      <c r="C1362" s="401" t="s">
        <v>998</v>
      </c>
      <c r="D1362" s="600">
        <v>117.36</v>
      </c>
    </row>
    <row r="1363" spans="1:4">
      <c r="A1363" s="401">
        <v>2587</v>
      </c>
      <c r="B1363" s="411" t="s">
        <v>8508</v>
      </c>
      <c r="C1363" s="401" t="s">
        <v>998</v>
      </c>
      <c r="D1363" s="600">
        <v>20</v>
      </c>
    </row>
    <row r="1364" spans="1:4">
      <c r="A1364" s="401">
        <v>2588</v>
      </c>
      <c r="B1364" s="411" t="s">
        <v>8509</v>
      </c>
      <c r="C1364" s="401" t="s">
        <v>998</v>
      </c>
      <c r="D1364" s="600">
        <v>15.89</v>
      </c>
    </row>
    <row r="1365" spans="1:4">
      <c r="A1365" s="401">
        <v>2569</v>
      </c>
      <c r="B1365" s="411" t="s">
        <v>8510</v>
      </c>
      <c r="C1365" s="401" t="s">
        <v>998</v>
      </c>
      <c r="D1365" s="600">
        <v>6.12</v>
      </c>
    </row>
    <row r="1366" spans="1:4">
      <c r="A1366" s="401">
        <v>2570</v>
      </c>
      <c r="B1366" s="411" t="s">
        <v>8511</v>
      </c>
      <c r="C1366" s="401" t="s">
        <v>998</v>
      </c>
      <c r="D1366" s="600">
        <v>10.26</v>
      </c>
    </row>
    <row r="1367" spans="1:4">
      <c r="A1367" s="401">
        <v>2571</v>
      </c>
      <c r="B1367" s="411" t="s">
        <v>8512</v>
      </c>
      <c r="C1367" s="401" t="s">
        <v>998</v>
      </c>
      <c r="D1367" s="600">
        <v>30.46</v>
      </c>
    </row>
    <row r="1368" spans="1:4">
      <c r="A1368" s="401">
        <v>2593</v>
      </c>
      <c r="B1368" s="411" t="s">
        <v>8513</v>
      </c>
      <c r="C1368" s="401" t="s">
        <v>998</v>
      </c>
      <c r="D1368" s="600">
        <v>6.52</v>
      </c>
    </row>
    <row r="1369" spans="1:4">
      <c r="A1369" s="401">
        <v>2572</v>
      </c>
      <c r="B1369" s="411" t="s">
        <v>8514</v>
      </c>
      <c r="C1369" s="401" t="s">
        <v>998</v>
      </c>
      <c r="D1369" s="600">
        <v>90.09</v>
      </c>
    </row>
    <row r="1370" spans="1:4">
      <c r="A1370" s="401">
        <v>2595</v>
      </c>
      <c r="B1370" s="411" t="s">
        <v>8515</v>
      </c>
      <c r="C1370" s="401" t="s">
        <v>998</v>
      </c>
      <c r="D1370" s="600">
        <v>140.56</v>
      </c>
    </row>
    <row r="1371" spans="1:4">
      <c r="A1371" s="401">
        <v>2576</v>
      </c>
      <c r="B1371" s="411" t="s">
        <v>8516</v>
      </c>
      <c r="C1371" s="401" t="s">
        <v>998</v>
      </c>
      <c r="D1371" s="600">
        <v>23.96</v>
      </c>
    </row>
    <row r="1372" spans="1:4">
      <c r="A1372" s="401">
        <v>2575</v>
      </c>
      <c r="B1372" s="411" t="s">
        <v>8517</v>
      </c>
      <c r="C1372" s="401" t="s">
        <v>998</v>
      </c>
      <c r="D1372" s="600">
        <v>18.010000000000002</v>
      </c>
    </row>
    <row r="1373" spans="1:4">
      <c r="A1373" s="401">
        <v>2573</v>
      </c>
      <c r="B1373" s="411" t="s">
        <v>8518</v>
      </c>
      <c r="C1373" s="401" t="s">
        <v>998</v>
      </c>
      <c r="D1373" s="600">
        <v>7.48</v>
      </c>
    </row>
    <row r="1374" spans="1:4">
      <c r="A1374" s="401">
        <v>2586</v>
      </c>
      <c r="B1374" s="411" t="s">
        <v>8519</v>
      </c>
      <c r="C1374" s="401" t="s">
        <v>998</v>
      </c>
      <c r="D1374" s="600">
        <v>12.12</v>
      </c>
    </row>
    <row r="1375" spans="1:4">
      <c r="A1375" s="401">
        <v>2577</v>
      </c>
      <c r="B1375" s="411" t="s">
        <v>8520</v>
      </c>
      <c r="C1375" s="401" t="s">
        <v>998</v>
      </c>
      <c r="D1375" s="600">
        <v>32.47</v>
      </c>
    </row>
    <row r="1376" spans="1:4">
      <c r="A1376" s="401">
        <v>2574</v>
      </c>
      <c r="B1376" s="411" t="s">
        <v>8521</v>
      </c>
      <c r="C1376" s="401" t="s">
        <v>998</v>
      </c>
      <c r="D1376" s="600">
        <v>7.53</v>
      </c>
    </row>
    <row r="1377" spans="1:4">
      <c r="A1377" s="401">
        <v>2578</v>
      </c>
      <c r="B1377" s="411" t="s">
        <v>8522</v>
      </c>
      <c r="C1377" s="401" t="s">
        <v>998</v>
      </c>
      <c r="D1377" s="600">
        <v>101.37</v>
      </c>
    </row>
    <row r="1378" spans="1:4">
      <c r="A1378" s="401">
        <v>2585</v>
      </c>
      <c r="B1378" s="411" t="s">
        <v>8523</v>
      </c>
      <c r="C1378" s="401" t="s">
        <v>998</v>
      </c>
      <c r="D1378" s="600">
        <v>139.1</v>
      </c>
    </row>
    <row r="1379" spans="1:4">
      <c r="A1379" s="401">
        <v>12008</v>
      </c>
      <c r="B1379" s="411" t="s">
        <v>8524</v>
      </c>
      <c r="C1379" s="401" t="s">
        <v>998</v>
      </c>
      <c r="D1379" s="600">
        <v>74.63</v>
      </c>
    </row>
    <row r="1380" spans="1:4">
      <c r="A1380" s="401">
        <v>2582</v>
      </c>
      <c r="B1380" s="411" t="s">
        <v>8525</v>
      </c>
      <c r="C1380" s="401" t="s">
        <v>998</v>
      </c>
      <c r="D1380" s="600">
        <v>22.22</v>
      </c>
    </row>
    <row r="1381" spans="1:4">
      <c r="A1381" s="401">
        <v>2597</v>
      </c>
      <c r="B1381" s="411" t="s">
        <v>8526</v>
      </c>
      <c r="C1381" s="401" t="s">
        <v>998</v>
      </c>
      <c r="D1381" s="600">
        <v>19.05</v>
      </c>
    </row>
    <row r="1382" spans="1:4">
      <c r="A1382" s="401">
        <v>2579</v>
      </c>
      <c r="B1382" s="411" t="s">
        <v>8527</v>
      </c>
      <c r="C1382" s="401" t="s">
        <v>998</v>
      </c>
      <c r="D1382" s="600">
        <v>9.07</v>
      </c>
    </row>
    <row r="1383" spans="1:4">
      <c r="A1383" s="401">
        <v>2581</v>
      </c>
      <c r="B1383" s="411" t="s">
        <v>8528</v>
      </c>
      <c r="C1383" s="401" t="s">
        <v>998</v>
      </c>
      <c r="D1383" s="600">
        <v>11.6</v>
      </c>
    </row>
    <row r="1384" spans="1:4">
      <c r="A1384" s="401">
        <v>2596</v>
      </c>
      <c r="B1384" s="411" t="s">
        <v>8529</v>
      </c>
      <c r="C1384" s="401" t="s">
        <v>998</v>
      </c>
      <c r="D1384" s="600">
        <v>34.32</v>
      </c>
    </row>
    <row r="1385" spans="1:4">
      <c r="A1385" s="401">
        <v>2580</v>
      </c>
      <c r="B1385" s="411" t="s">
        <v>8530</v>
      </c>
      <c r="C1385" s="401" t="s">
        <v>998</v>
      </c>
      <c r="D1385" s="600">
        <v>9.94</v>
      </c>
    </row>
    <row r="1386" spans="1:4">
      <c r="A1386" s="401">
        <v>2583</v>
      </c>
      <c r="B1386" s="411" t="s">
        <v>8531</v>
      </c>
      <c r="C1386" s="401" t="s">
        <v>998</v>
      </c>
      <c r="D1386" s="600">
        <v>83.47</v>
      </c>
    </row>
    <row r="1387" spans="1:4">
      <c r="A1387" s="401">
        <v>2584</v>
      </c>
      <c r="B1387" s="411" t="s">
        <v>8532</v>
      </c>
      <c r="C1387" s="401" t="s">
        <v>998</v>
      </c>
      <c r="D1387" s="600">
        <v>138.96</v>
      </c>
    </row>
    <row r="1388" spans="1:4">
      <c r="A1388" s="401">
        <v>12010</v>
      </c>
      <c r="B1388" s="411" t="s">
        <v>8533</v>
      </c>
      <c r="C1388" s="401" t="s">
        <v>998</v>
      </c>
      <c r="D1388" s="600">
        <v>7.05</v>
      </c>
    </row>
    <row r="1389" spans="1:4">
      <c r="A1389" s="401">
        <v>39329</v>
      </c>
      <c r="B1389" s="411" t="s">
        <v>8534</v>
      </c>
      <c r="C1389" s="401" t="s">
        <v>998</v>
      </c>
      <c r="D1389" s="600">
        <v>7.37</v>
      </c>
    </row>
    <row r="1390" spans="1:4">
      <c r="A1390" s="401">
        <v>39330</v>
      </c>
      <c r="B1390" s="411" t="s">
        <v>8535</v>
      </c>
      <c r="C1390" s="401" t="s">
        <v>998</v>
      </c>
      <c r="D1390" s="600">
        <v>7.76</v>
      </c>
    </row>
    <row r="1391" spans="1:4">
      <c r="A1391" s="401">
        <v>39332</v>
      </c>
      <c r="B1391" s="411" t="s">
        <v>8536</v>
      </c>
      <c r="C1391" s="401" t="s">
        <v>998</v>
      </c>
      <c r="D1391" s="600">
        <v>8.67</v>
      </c>
    </row>
    <row r="1392" spans="1:4">
      <c r="A1392" s="401">
        <v>39331</v>
      </c>
      <c r="B1392" s="411" t="s">
        <v>8537</v>
      </c>
      <c r="C1392" s="401" t="s">
        <v>998</v>
      </c>
      <c r="D1392" s="600">
        <v>6.9</v>
      </c>
    </row>
    <row r="1393" spans="1:4">
      <c r="A1393" s="401">
        <v>39333</v>
      </c>
      <c r="B1393" s="411" t="s">
        <v>8538</v>
      </c>
      <c r="C1393" s="401" t="s">
        <v>998</v>
      </c>
      <c r="D1393" s="600">
        <v>6.73</v>
      </c>
    </row>
    <row r="1394" spans="1:4">
      <c r="A1394" s="401">
        <v>39335</v>
      </c>
      <c r="B1394" s="411" t="s">
        <v>8539</v>
      </c>
      <c r="C1394" s="401" t="s">
        <v>998</v>
      </c>
      <c r="D1394" s="600">
        <v>7.79</v>
      </c>
    </row>
    <row r="1395" spans="1:4">
      <c r="A1395" s="401">
        <v>39334</v>
      </c>
      <c r="B1395" s="411" t="s">
        <v>8540</v>
      </c>
      <c r="C1395" s="401" t="s">
        <v>998</v>
      </c>
      <c r="D1395" s="600">
        <v>6.19</v>
      </c>
    </row>
    <row r="1396" spans="1:4">
      <c r="A1396" s="401">
        <v>12016</v>
      </c>
      <c r="B1396" s="411" t="s">
        <v>8541</v>
      </c>
      <c r="C1396" s="401" t="s">
        <v>998</v>
      </c>
      <c r="D1396" s="600">
        <v>7.77</v>
      </c>
    </row>
    <row r="1397" spans="1:4">
      <c r="A1397" s="401">
        <v>12015</v>
      </c>
      <c r="B1397" s="411" t="s">
        <v>8542</v>
      </c>
      <c r="C1397" s="401" t="s">
        <v>998</v>
      </c>
      <c r="D1397" s="600">
        <v>9.0399999999999991</v>
      </c>
    </row>
    <row r="1398" spans="1:4">
      <c r="A1398" s="401">
        <v>12020</v>
      </c>
      <c r="B1398" s="411" t="s">
        <v>8543</v>
      </c>
      <c r="C1398" s="401" t="s">
        <v>998</v>
      </c>
      <c r="D1398" s="600">
        <v>7.77</v>
      </c>
    </row>
    <row r="1399" spans="1:4">
      <c r="A1399" s="401">
        <v>12019</v>
      </c>
      <c r="B1399" s="411" t="s">
        <v>8544</v>
      </c>
      <c r="C1399" s="401" t="s">
        <v>998</v>
      </c>
      <c r="D1399" s="600">
        <v>9.0399999999999991</v>
      </c>
    </row>
    <row r="1400" spans="1:4">
      <c r="A1400" s="401">
        <v>39336</v>
      </c>
      <c r="B1400" s="411" t="s">
        <v>8545</v>
      </c>
      <c r="C1400" s="401" t="s">
        <v>998</v>
      </c>
      <c r="D1400" s="600">
        <v>7.76</v>
      </c>
    </row>
    <row r="1401" spans="1:4">
      <c r="A1401" s="401">
        <v>39338</v>
      </c>
      <c r="B1401" s="411" t="s">
        <v>8546</v>
      </c>
      <c r="C1401" s="401" t="s">
        <v>998</v>
      </c>
      <c r="D1401" s="600">
        <v>8.67</v>
      </c>
    </row>
    <row r="1402" spans="1:4">
      <c r="A1402" s="401">
        <v>39337</v>
      </c>
      <c r="B1402" s="411" t="s">
        <v>8547</v>
      </c>
      <c r="C1402" s="401" t="s">
        <v>998</v>
      </c>
      <c r="D1402" s="600">
        <v>6.9</v>
      </c>
    </row>
    <row r="1403" spans="1:4">
      <c r="A1403" s="401">
        <v>39341</v>
      </c>
      <c r="B1403" s="411" t="s">
        <v>8548</v>
      </c>
      <c r="C1403" s="401" t="s">
        <v>998</v>
      </c>
      <c r="D1403" s="600">
        <v>11.3</v>
      </c>
    </row>
    <row r="1404" spans="1:4">
      <c r="A1404" s="401">
        <v>39340</v>
      </c>
      <c r="B1404" s="411" t="s">
        <v>8549</v>
      </c>
      <c r="C1404" s="401" t="s">
        <v>998</v>
      </c>
      <c r="D1404" s="600">
        <v>8.3000000000000007</v>
      </c>
    </row>
    <row r="1405" spans="1:4">
      <c r="A1405" s="401">
        <v>12025</v>
      </c>
      <c r="B1405" s="411" t="s">
        <v>8550</v>
      </c>
      <c r="C1405" s="401" t="s">
        <v>998</v>
      </c>
      <c r="D1405" s="600">
        <v>8.57</v>
      </c>
    </row>
    <row r="1406" spans="1:4">
      <c r="A1406" s="401">
        <v>39342</v>
      </c>
      <c r="B1406" s="411" t="s">
        <v>8551</v>
      </c>
      <c r="C1406" s="401" t="s">
        <v>998</v>
      </c>
      <c r="D1406" s="600">
        <v>11.3</v>
      </c>
    </row>
    <row r="1407" spans="1:4">
      <c r="A1407" s="401">
        <v>39343</v>
      </c>
      <c r="B1407" s="411" t="s">
        <v>8552</v>
      </c>
      <c r="C1407" s="401" t="s">
        <v>998</v>
      </c>
      <c r="D1407" s="600">
        <v>9.5399999999999991</v>
      </c>
    </row>
    <row r="1408" spans="1:4">
      <c r="A1408" s="401">
        <v>39345</v>
      </c>
      <c r="B1408" s="411" t="s">
        <v>8553</v>
      </c>
      <c r="C1408" s="401" t="s">
        <v>998</v>
      </c>
      <c r="D1408" s="600">
        <v>12.92</v>
      </c>
    </row>
    <row r="1409" spans="1:4">
      <c r="A1409" s="401">
        <v>39344</v>
      </c>
      <c r="B1409" s="411" t="s">
        <v>8554</v>
      </c>
      <c r="C1409" s="401" t="s">
        <v>998</v>
      </c>
      <c r="D1409" s="600">
        <v>9.23</v>
      </c>
    </row>
    <row r="1410" spans="1:4" ht="25.5">
      <c r="A1410" s="401">
        <v>12623</v>
      </c>
      <c r="B1410" s="411" t="s">
        <v>8555</v>
      </c>
      <c r="C1410" s="401" t="s">
        <v>1002</v>
      </c>
      <c r="D1410" s="600">
        <v>9.58</v>
      </c>
    </row>
    <row r="1411" spans="1:4">
      <c r="A1411" s="401">
        <v>34498</v>
      </c>
      <c r="B1411" s="411" t="s">
        <v>8556</v>
      </c>
      <c r="C1411" s="401" t="s">
        <v>998</v>
      </c>
      <c r="D1411" s="600">
        <v>69.48</v>
      </c>
    </row>
    <row r="1412" spans="1:4">
      <c r="A1412" s="401">
        <v>13244</v>
      </c>
      <c r="B1412" s="411" t="s">
        <v>8557</v>
      </c>
      <c r="C1412" s="401" t="s">
        <v>998</v>
      </c>
      <c r="D1412" s="600">
        <v>29.25</v>
      </c>
    </row>
    <row r="1413" spans="1:4" ht="25.5">
      <c r="A1413" s="401">
        <v>38998</v>
      </c>
      <c r="B1413" s="411" t="s">
        <v>8558</v>
      </c>
      <c r="C1413" s="401" t="s">
        <v>998</v>
      </c>
      <c r="D1413" s="600">
        <v>8.77</v>
      </c>
    </row>
    <row r="1414" spans="1:4" ht="25.5">
      <c r="A1414" s="401">
        <v>38999</v>
      </c>
      <c r="B1414" s="411" t="s">
        <v>8559</v>
      </c>
      <c r="C1414" s="401" t="s">
        <v>998</v>
      </c>
      <c r="D1414" s="600">
        <v>14.51</v>
      </c>
    </row>
    <row r="1415" spans="1:4" ht="25.5">
      <c r="A1415" s="401">
        <v>38996</v>
      </c>
      <c r="B1415" s="411" t="s">
        <v>8560</v>
      </c>
      <c r="C1415" s="401" t="s">
        <v>998</v>
      </c>
      <c r="D1415" s="600">
        <v>12.67</v>
      </c>
    </row>
    <row r="1416" spans="1:4" ht="25.5">
      <c r="A1416" s="401">
        <v>38997</v>
      </c>
      <c r="B1416" s="411" t="s">
        <v>8561</v>
      </c>
      <c r="C1416" s="401" t="s">
        <v>998</v>
      </c>
      <c r="D1416" s="600">
        <v>20.51</v>
      </c>
    </row>
    <row r="1417" spans="1:4">
      <c r="A1417" s="401">
        <v>39862</v>
      </c>
      <c r="B1417" s="411" t="s">
        <v>8562</v>
      </c>
      <c r="C1417" s="401" t="s">
        <v>998</v>
      </c>
      <c r="D1417" s="600">
        <v>8.92</v>
      </c>
    </row>
    <row r="1418" spans="1:4">
      <c r="A1418" s="401">
        <v>39863</v>
      </c>
      <c r="B1418" s="411" t="s">
        <v>8563</v>
      </c>
      <c r="C1418" s="401" t="s">
        <v>998</v>
      </c>
      <c r="D1418" s="600">
        <v>9.0399999999999991</v>
      </c>
    </row>
    <row r="1419" spans="1:4">
      <c r="A1419" s="401">
        <v>39864</v>
      </c>
      <c r="B1419" s="411" t="s">
        <v>8564</v>
      </c>
      <c r="C1419" s="401" t="s">
        <v>998</v>
      </c>
      <c r="D1419" s="600">
        <v>11.22</v>
      </c>
    </row>
    <row r="1420" spans="1:4">
      <c r="A1420" s="401">
        <v>39865</v>
      </c>
      <c r="B1420" s="411" t="s">
        <v>8565</v>
      </c>
      <c r="C1420" s="401" t="s">
        <v>998</v>
      </c>
      <c r="D1420" s="600">
        <v>15.82</v>
      </c>
    </row>
    <row r="1421" spans="1:4" ht="25.5">
      <c r="A1421" s="401">
        <v>2517</v>
      </c>
      <c r="B1421" s="411" t="s">
        <v>8566</v>
      </c>
      <c r="C1421" s="401" t="s">
        <v>998</v>
      </c>
      <c r="D1421" s="600">
        <v>13.84</v>
      </c>
    </row>
    <row r="1422" spans="1:4" ht="25.5">
      <c r="A1422" s="401">
        <v>2522</v>
      </c>
      <c r="B1422" s="411" t="s">
        <v>8567</v>
      </c>
      <c r="C1422" s="401" t="s">
        <v>998</v>
      </c>
      <c r="D1422" s="600">
        <v>8.9499999999999993</v>
      </c>
    </row>
    <row r="1423" spans="1:4" ht="25.5">
      <c r="A1423" s="401">
        <v>2548</v>
      </c>
      <c r="B1423" s="411" t="s">
        <v>8568</v>
      </c>
      <c r="C1423" s="401" t="s">
        <v>998</v>
      </c>
      <c r="D1423" s="600">
        <v>5.5</v>
      </c>
    </row>
    <row r="1424" spans="1:4" ht="25.5">
      <c r="A1424" s="401">
        <v>2516</v>
      </c>
      <c r="B1424" s="411" t="s">
        <v>8569</v>
      </c>
      <c r="C1424" s="401" t="s">
        <v>998</v>
      </c>
      <c r="D1424" s="600">
        <v>7.18</v>
      </c>
    </row>
    <row r="1425" spans="1:4" ht="25.5">
      <c r="A1425" s="401">
        <v>2518</v>
      </c>
      <c r="B1425" s="411" t="s">
        <v>8570</v>
      </c>
      <c r="C1425" s="401" t="s">
        <v>998</v>
      </c>
      <c r="D1425" s="600">
        <v>65.900000000000006</v>
      </c>
    </row>
    <row r="1426" spans="1:4" ht="25.5">
      <c r="A1426" s="401">
        <v>2521</v>
      </c>
      <c r="B1426" s="411" t="s">
        <v>8571</v>
      </c>
      <c r="C1426" s="401" t="s">
        <v>998</v>
      </c>
      <c r="D1426" s="600">
        <v>28.05</v>
      </c>
    </row>
    <row r="1427" spans="1:4" ht="25.5">
      <c r="A1427" s="401">
        <v>2515</v>
      </c>
      <c r="B1427" s="411" t="s">
        <v>8572</v>
      </c>
      <c r="C1427" s="401" t="s">
        <v>998</v>
      </c>
      <c r="D1427" s="600">
        <v>5.98</v>
      </c>
    </row>
    <row r="1428" spans="1:4" ht="25.5">
      <c r="A1428" s="401">
        <v>2519</v>
      </c>
      <c r="B1428" s="411" t="s">
        <v>8573</v>
      </c>
      <c r="C1428" s="401" t="s">
        <v>998</v>
      </c>
      <c r="D1428" s="600">
        <v>79.459999999999994</v>
      </c>
    </row>
    <row r="1429" spans="1:4" ht="25.5">
      <c r="A1429" s="401">
        <v>2520</v>
      </c>
      <c r="B1429" s="411" t="s">
        <v>8574</v>
      </c>
      <c r="C1429" s="401" t="s">
        <v>998</v>
      </c>
      <c r="D1429" s="600">
        <v>146.26</v>
      </c>
    </row>
    <row r="1430" spans="1:4" ht="25.5">
      <c r="A1430" s="401">
        <v>1602</v>
      </c>
      <c r="B1430" s="411" t="s">
        <v>8575</v>
      </c>
      <c r="C1430" s="401" t="s">
        <v>998</v>
      </c>
      <c r="D1430" s="600">
        <v>34.32</v>
      </c>
    </row>
    <row r="1431" spans="1:4" ht="25.5">
      <c r="A1431" s="401">
        <v>1601</v>
      </c>
      <c r="B1431" s="411" t="s">
        <v>8576</v>
      </c>
      <c r="C1431" s="401" t="s">
        <v>998</v>
      </c>
      <c r="D1431" s="600">
        <v>30.59</v>
      </c>
    </row>
    <row r="1432" spans="1:4" ht="25.5">
      <c r="A1432" s="401">
        <v>1598</v>
      </c>
      <c r="B1432" s="411" t="s">
        <v>8577</v>
      </c>
      <c r="C1432" s="401" t="s">
        <v>998</v>
      </c>
      <c r="D1432" s="600">
        <v>9.0500000000000007</v>
      </c>
    </row>
    <row r="1433" spans="1:4" ht="25.5">
      <c r="A1433" s="401">
        <v>1600</v>
      </c>
      <c r="B1433" s="411" t="s">
        <v>8578</v>
      </c>
      <c r="C1433" s="401" t="s">
        <v>998</v>
      </c>
      <c r="D1433" s="600">
        <v>13.36</v>
      </c>
    </row>
    <row r="1434" spans="1:4" ht="25.5">
      <c r="A1434" s="401">
        <v>1603</v>
      </c>
      <c r="B1434" s="411" t="s">
        <v>8579</v>
      </c>
      <c r="C1434" s="401" t="s">
        <v>998</v>
      </c>
      <c r="D1434" s="600">
        <v>51.82</v>
      </c>
    </row>
    <row r="1435" spans="1:4" ht="25.5">
      <c r="A1435" s="401">
        <v>1599</v>
      </c>
      <c r="B1435" s="411" t="s">
        <v>8580</v>
      </c>
      <c r="C1435" s="401" t="s">
        <v>998</v>
      </c>
      <c r="D1435" s="600">
        <v>10.5</v>
      </c>
    </row>
    <row r="1436" spans="1:4" ht="25.5">
      <c r="A1436" s="401">
        <v>1597</v>
      </c>
      <c r="B1436" s="411" t="s">
        <v>8581</v>
      </c>
      <c r="C1436" s="401" t="s">
        <v>998</v>
      </c>
      <c r="D1436" s="600">
        <v>8.51</v>
      </c>
    </row>
    <row r="1437" spans="1:4">
      <c r="A1437" s="401">
        <v>39600</v>
      </c>
      <c r="B1437" s="411" t="s">
        <v>8582</v>
      </c>
      <c r="C1437" s="401" t="s">
        <v>998</v>
      </c>
      <c r="D1437" s="600">
        <v>7.62</v>
      </c>
    </row>
    <row r="1438" spans="1:4">
      <c r="A1438" s="401">
        <v>39601</v>
      </c>
      <c r="B1438" s="411" t="s">
        <v>8583</v>
      </c>
      <c r="C1438" s="401" t="s">
        <v>998</v>
      </c>
      <c r="D1438" s="600">
        <v>13.25</v>
      </c>
    </row>
    <row r="1439" spans="1:4">
      <c r="A1439" s="401">
        <v>39602</v>
      </c>
      <c r="B1439" s="411" t="s">
        <v>8584</v>
      </c>
      <c r="C1439" s="401" t="s">
        <v>998</v>
      </c>
      <c r="D1439" s="600">
        <v>0.87</v>
      </c>
    </row>
    <row r="1440" spans="1:4">
      <c r="A1440" s="401">
        <v>39603</v>
      </c>
      <c r="B1440" s="411" t="s">
        <v>8585</v>
      </c>
      <c r="C1440" s="401" t="s">
        <v>998</v>
      </c>
      <c r="D1440" s="600">
        <v>1.49</v>
      </c>
    </row>
    <row r="1441" spans="1:4" ht="25.5">
      <c r="A1441" s="401">
        <v>11821</v>
      </c>
      <c r="B1441" s="411" t="s">
        <v>8586</v>
      </c>
      <c r="C1441" s="401" t="s">
        <v>998</v>
      </c>
      <c r="D1441" s="600">
        <v>6.99</v>
      </c>
    </row>
    <row r="1442" spans="1:4" ht="25.5">
      <c r="A1442" s="401">
        <v>1562</v>
      </c>
      <c r="B1442" s="411" t="s">
        <v>8587</v>
      </c>
      <c r="C1442" s="401" t="s">
        <v>998</v>
      </c>
      <c r="D1442" s="600">
        <v>11.45</v>
      </c>
    </row>
    <row r="1443" spans="1:4" ht="25.5">
      <c r="A1443" s="401">
        <v>1563</v>
      </c>
      <c r="B1443" s="411" t="s">
        <v>8588</v>
      </c>
      <c r="C1443" s="401" t="s">
        <v>998</v>
      </c>
      <c r="D1443" s="600">
        <v>15.36</v>
      </c>
    </row>
    <row r="1444" spans="1:4">
      <c r="A1444" s="401">
        <v>11856</v>
      </c>
      <c r="B1444" s="411" t="s">
        <v>8589</v>
      </c>
      <c r="C1444" s="401" t="s">
        <v>998</v>
      </c>
      <c r="D1444" s="600">
        <v>4.58</v>
      </c>
    </row>
    <row r="1445" spans="1:4">
      <c r="A1445" s="401">
        <v>11857</v>
      </c>
      <c r="B1445" s="411" t="s">
        <v>8590</v>
      </c>
      <c r="C1445" s="401" t="s">
        <v>998</v>
      </c>
      <c r="D1445" s="600">
        <v>24.1</v>
      </c>
    </row>
    <row r="1446" spans="1:4">
      <c r="A1446" s="401">
        <v>11858</v>
      </c>
      <c r="B1446" s="411" t="s">
        <v>8591</v>
      </c>
      <c r="C1446" s="401" t="s">
        <v>998</v>
      </c>
      <c r="D1446" s="600">
        <v>29.91</v>
      </c>
    </row>
    <row r="1447" spans="1:4">
      <c r="A1447" s="401">
        <v>1539</v>
      </c>
      <c r="B1447" s="411" t="s">
        <v>8592</v>
      </c>
      <c r="C1447" s="401" t="s">
        <v>998</v>
      </c>
      <c r="D1447" s="600">
        <v>5.38</v>
      </c>
    </row>
    <row r="1448" spans="1:4">
      <c r="A1448" s="401">
        <v>11859</v>
      </c>
      <c r="B1448" s="411" t="s">
        <v>8593</v>
      </c>
      <c r="C1448" s="401" t="s">
        <v>998</v>
      </c>
      <c r="D1448" s="600">
        <v>40.700000000000003</v>
      </c>
    </row>
    <row r="1449" spans="1:4">
      <c r="A1449" s="401">
        <v>1550</v>
      </c>
      <c r="B1449" s="411" t="s">
        <v>8594</v>
      </c>
      <c r="C1449" s="401" t="s">
        <v>998</v>
      </c>
      <c r="D1449" s="600">
        <v>5.68</v>
      </c>
    </row>
    <row r="1450" spans="1:4">
      <c r="A1450" s="401">
        <v>11854</v>
      </c>
      <c r="B1450" s="411" t="s">
        <v>8595</v>
      </c>
      <c r="C1450" s="401" t="s">
        <v>998</v>
      </c>
      <c r="D1450" s="600">
        <v>7.09</v>
      </c>
    </row>
    <row r="1451" spans="1:4">
      <c r="A1451" s="401">
        <v>11862</v>
      </c>
      <c r="B1451" s="411" t="s">
        <v>8596</v>
      </c>
      <c r="C1451" s="401" t="s">
        <v>998</v>
      </c>
      <c r="D1451" s="600">
        <v>9.9499999999999993</v>
      </c>
    </row>
    <row r="1452" spans="1:4">
      <c r="A1452" s="401">
        <v>11863</v>
      </c>
      <c r="B1452" s="411" t="s">
        <v>8597</v>
      </c>
      <c r="C1452" s="401" t="s">
        <v>998</v>
      </c>
      <c r="D1452" s="600">
        <v>4.0199999999999996</v>
      </c>
    </row>
    <row r="1453" spans="1:4">
      <c r="A1453" s="401">
        <v>11855</v>
      </c>
      <c r="B1453" s="411" t="s">
        <v>8598</v>
      </c>
      <c r="C1453" s="401" t="s">
        <v>998</v>
      </c>
      <c r="D1453" s="600">
        <v>14.85</v>
      </c>
    </row>
    <row r="1454" spans="1:4">
      <c r="A1454" s="401">
        <v>11864</v>
      </c>
      <c r="B1454" s="411" t="s">
        <v>8599</v>
      </c>
      <c r="C1454" s="401" t="s">
        <v>998</v>
      </c>
      <c r="D1454" s="600">
        <v>22.46</v>
      </c>
    </row>
    <row r="1455" spans="1:4" ht="25.5">
      <c r="A1455" s="401">
        <v>2527</v>
      </c>
      <c r="B1455" s="411" t="s">
        <v>8600</v>
      </c>
      <c r="C1455" s="401" t="s">
        <v>998</v>
      </c>
      <c r="D1455" s="600">
        <v>4.95</v>
      </c>
    </row>
    <row r="1456" spans="1:4" ht="25.5">
      <c r="A1456" s="401">
        <v>2526</v>
      </c>
      <c r="B1456" s="411" t="s">
        <v>8601</v>
      </c>
      <c r="C1456" s="401" t="s">
        <v>998</v>
      </c>
      <c r="D1456" s="600">
        <v>3.17</v>
      </c>
    </row>
    <row r="1457" spans="1:4" ht="25.5">
      <c r="A1457" s="401">
        <v>2487</v>
      </c>
      <c r="B1457" s="411" t="s">
        <v>8602</v>
      </c>
      <c r="C1457" s="401" t="s">
        <v>998</v>
      </c>
      <c r="D1457" s="600">
        <v>1.08</v>
      </c>
    </row>
    <row r="1458" spans="1:4" ht="25.5">
      <c r="A1458" s="401">
        <v>2483</v>
      </c>
      <c r="B1458" s="411" t="s">
        <v>8603</v>
      </c>
      <c r="C1458" s="401" t="s">
        <v>998</v>
      </c>
      <c r="D1458" s="600">
        <v>2.2599999999999998</v>
      </c>
    </row>
    <row r="1459" spans="1:4" ht="25.5">
      <c r="A1459" s="401">
        <v>2528</v>
      </c>
      <c r="B1459" s="411" t="s">
        <v>8604</v>
      </c>
      <c r="C1459" s="401" t="s">
        <v>998</v>
      </c>
      <c r="D1459" s="600">
        <v>12.47</v>
      </c>
    </row>
    <row r="1460" spans="1:4" ht="25.5">
      <c r="A1460" s="401">
        <v>2489</v>
      </c>
      <c r="B1460" s="411" t="s">
        <v>8605</v>
      </c>
      <c r="C1460" s="401" t="s">
        <v>998</v>
      </c>
      <c r="D1460" s="600">
        <v>5.49</v>
      </c>
    </row>
    <row r="1461" spans="1:4" ht="25.5">
      <c r="A1461" s="401">
        <v>2488</v>
      </c>
      <c r="B1461" s="411" t="s">
        <v>8606</v>
      </c>
      <c r="C1461" s="401" t="s">
        <v>998</v>
      </c>
      <c r="D1461" s="600">
        <v>1.27</v>
      </c>
    </row>
    <row r="1462" spans="1:4" ht="25.5">
      <c r="A1462" s="401">
        <v>2484</v>
      </c>
      <c r="B1462" s="411" t="s">
        <v>8607</v>
      </c>
      <c r="C1462" s="401" t="s">
        <v>998</v>
      </c>
      <c r="D1462" s="600">
        <v>18.11</v>
      </c>
    </row>
    <row r="1463" spans="1:4" ht="25.5">
      <c r="A1463" s="401">
        <v>2485</v>
      </c>
      <c r="B1463" s="411" t="s">
        <v>8608</v>
      </c>
      <c r="C1463" s="401" t="s">
        <v>998</v>
      </c>
      <c r="D1463" s="600">
        <v>28.39</v>
      </c>
    </row>
    <row r="1464" spans="1:4">
      <c r="A1464" s="401">
        <v>38005</v>
      </c>
      <c r="B1464" s="411" t="s">
        <v>8609</v>
      </c>
      <c r="C1464" s="401" t="s">
        <v>998</v>
      </c>
      <c r="D1464" s="600">
        <v>23.31</v>
      </c>
    </row>
    <row r="1465" spans="1:4">
      <c r="A1465" s="401">
        <v>38006</v>
      </c>
      <c r="B1465" s="411" t="s">
        <v>8610</v>
      </c>
      <c r="C1465" s="401" t="s">
        <v>998</v>
      </c>
      <c r="D1465" s="600">
        <v>28.61</v>
      </c>
    </row>
    <row r="1466" spans="1:4">
      <c r="A1466" s="401">
        <v>38428</v>
      </c>
      <c r="B1466" s="411" t="s">
        <v>8611</v>
      </c>
      <c r="C1466" s="401" t="s">
        <v>998</v>
      </c>
      <c r="D1466" s="600">
        <v>26.8</v>
      </c>
    </row>
    <row r="1467" spans="1:4">
      <c r="A1467" s="401">
        <v>38007</v>
      </c>
      <c r="B1467" s="411" t="s">
        <v>8612</v>
      </c>
      <c r="C1467" s="401" t="s">
        <v>998</v>
      </c>
      <c r="D1467" s="600">
        <v>43.79</v>
      </c>
    </row>
    <row r="1468" spans="1:4">
      <c r="A1468" s="401">
        <v>38008</v>
      </c>
      <c r="B1468" s="411" t="s">
        <v>8613</v>
      </c>
      <c r="C1468" s="401" t="s">
        <v>998</v>
      </c>
      <c r="D1468" s="600">
        <v>176.36</v>
      </c>
    </row>
    <row r="1469" spans="1:4">
      <c r="A1469" s="401">
        <v>38009</v>
      </c>
      <c r="B1469" s="411" t="s">
        <v>8614</v>
      </c>
      <c r="C1469" s="401" t="s">
        <v>998</v>
      </c>
      <c r="D1469" s="600">
        <v>215.54</v>
      </c>
    </row>
    <row r="1470" spans="1:4" ht="25.5">
      <c r="A1470" s="401">
        <v>39279</v>
      </c>
      <c r="B1470" s="411" t="s">
        <v>8615</v>
      </c>
      <c r="C1470" s="401" t="s">
        <v>998</v>
      </c>
      <c r="D1470" s="600">
        <v>10.52</v>
      </c>
    </row>
    <row r="1471" spans="1:4" ht="25.5">
      <c r="A1471" s="401">
        <v>38845</v>
      </c>
      <c r="B1471" s="411" t="s">
        <v>8616</v>
      </c>
      <c r="C1471" s="401" t="s">
        <v>998</v>
      </c>
      <c r="D1471" s="600">
        <v>15.23</v>
      </c>
    </row>
    <row r="1472" spans="1:4" ht="25.5">
      <c r="A1472" s="401">
        <v>39280</v>
      </c>
      <c r="B1472" s="411" t="s">
        <v>8617</v>
      </c>
      <c r="C1472" s="401" t="s">
        <v>998</v>
      </c>
      <c r="D1472" s="600">
        <v>13.65</v>
      </c>
    </row>
    <row r="1473" spans="1:4" ht="25.5">
      <c r="A1473" s="401">
        <v>39281</v>
      </c>
      <c r="B1473" s="411" t="s">
        <v>8618</v>
      </c>
      <c r="C1473" s="401" t="s">
        <v>998</v>
      </c>
      <c r="D1473" s="600">
        <v>17.96</v>
      </c>
    </row>
    <row r="1474" spans="1:4" ht="25.5">
      <c r="A1474" s="401">
        <v>38849</v>
      </c>
      <c r="B1474" s="411" t="s">
        <v>8619</v>
      </c>
      <c r="C1474" s="401" t="s">
        <v>998</v>
      </c>
      <c r="D1474" s="600">
        <v>15.39</v>
      </c>
    </row>
    <row r="1475" spans="1:4" ht="25.5">
      <c r="A1475" s="401">
        <v>39282</v>
      </c>
      <c r="B1475" s="411" t="s">
        <v>8620</v>
      </c>
      <c r="C1475" s="401" t="s">
        <v>998</v>
      </c>
      <c r="D1475" s="600">
        <v>18.39</v>
      </c>
    </row>
    <row r="1476" spans="1:4" ht="25.5">
      <c r="A1476" s="401">
        <v>38852</v>
      </c>
      <c r="B1476" s="411" t="s">
        <v>8621</v>
      </c>
      <c r="C1476" s="401" t="s">
        <v>998</v>
      </c>
      <c r="D1476" s="600">
        <v>25.02</v>
      </c>
    </row>
    <row r="1477" spans="1:4" ht="25.5">
      <c r="A1477" s="401">
        <v>38844</v>
      </c>
      <c r="B1477" s="411" t="s">
        <v>8622</v>
      </c>
      <c r="C1477" s="401" t="s">
        <v>998</v>
      </c>
      <c r="D1477" s="600">
        <v>7.69</v>
      </c>
    </row>
    <row r="1478" spans="1:4" ht="25.5">
      <c r="A1478" s="401">
        <v>38846</v>
      </c>
      <c r="B1478" s="411" t="s">
        <v>8623</v>
      </c>
      <c r="C1478" s="401" t="s">
        <v>998</v>
      </c>
      <c r="D1478" s="600">
        <v>8.41</v>
      </c>
    </row>
    <row r="1479" spans="1:4" ht="25.5">
      <c r="A1479" s="401">
        <v>38847</v>
      </c>
      <c r="B1479" s="411" t="s">
        <v>8624</v>
      </c>
      <c r="C1479" s="401" t="s">
        <v>998</v>
      </c>
      <c r="D1479" s="600">
        <v>10.35</v>
      </c>
    </row>
    <row r="1480" spans="1:4" ht="25.5">
      <c r="A1480" s="401">
        <v>38850</v>
      </c>
      <c r="B1480" s="411" t="s">
        <v>8625</v>
      </c>
      <c r="C1480" s="401" t="s">
        <v>998</v>
      </c>
      <c r="D1480" s="600">
        <v>14.38</v>
      </c>
    </row>
    <row r="1481" spans="1:4" ht="25.5">
      <c r="A1481" s="401">
        <v>38848</v>
      </c>
      <c r="B1481" s="411" t="s">
        <v>8626</v>
      </c>
      <c r="C1481" s="401" t="s">
        <v>998</v>
      </c>
      <c r="D1481" s="600">
        <v>12.03</v>
      </c>
    </row>
    <row r="1482" spans="1:4" ht="25.5">
      <c r="A1482" s="401">
        <v>38851</v>
      </c>
      <c r="B1482" s="411" t="s">
        <v>8627</v>
      </c>
      <c r="C1482" s="401" t="s">
        <v>998</v>
      </c>
      <c r="D1482" s="600">
        <v>21.86</v>
      </c>
    </row>
    <row r="1483" spans="1:4">
      <c r="A1483" s="401">
        <v>38860</v>
      </c>
      <c r="B1483" s="411" t="s">
        <v>8628</v>
      </c>
      <c r="C1483" s="401" t="s">
        <v>998</v>
      </c>
      <c r="D1483" s="600">
        <v>6.18</v>
      </c>
    </row>
    <row r="1484" spans="1:4">
      <c r="A1484" s="401">
        <v>38861</v>
      </c>
      <c r="B1484" s="411" t="s">
        <v>8629</v>
      </c>
      <c r="C1484" s="401" t="s">
        <v>998</v>
      </c>
      <c r="D1484" s="600">
        <v>8.32</v>
      </c>
    </row>
    <row r="1485" spans="1:4">
      <c r="A1485" s="401">
        <v>38862</v>
      </c>
      <c r="B1485" s="411" t="s">
        <v>8630</v>
      </c>
      <c r="C1485" s="401" t="s">
        <v>998</v>
      </c>
      <c r="D1485" s="600">
        <v>7.01</v>
      </c>
    </row>
    <row r="1486" spans="1:4">
      <c r="A1486" s="401">
        <v>38863</v>
      </c>
      <c r="B1486" s="411" t="s">
        <v>8631</v>
      </c>
      <c r="C1486" s="401" t="s">
        <v>998</v>
      </c>
      <c r="D1486" s="600">
        <v>8.0500000000000007</v>
      </c>
    </row>
    <row r="1487" spans="1:4">
      <c r="A1487" s="401">
        <v>38865</v>
      </c>
      <c r="B1487" s="411" t="s">
        <v>8632</v>
      </c>
      <c r="C1487" s="401" t="s">
        <v>998</v>
      </c>
      <c r="D1487" s="600">
        <v>10.94</v>
      </c>
    </row>
    <row r="1488" spans="1:4">
      <c r="A1488" s="401">
        <v>38864</v>
      </c>
      <c r="B1488" s="411" t="s">
        <v>8633</v>
      </c>
      <c r="C1488" s="401" t="s">
        <v>998</v>
      </c>
      <c r="D1488" s="600">
        <v>16.72</v>
      </c>
    </row>
    <row r="1489" spans="1:4">
      <c r="A1489" s="401">
        <v>38866</v>
      </c>
      <c r="B1489" s="411" t="s">
        <v>8634</v>
      </c>
      <c r="C1489" s="401" t="s">
        <v>998</v>
      </c>
      <c r="D1489" s="600">
        <v>11.77</v>
      </c>
    </row>
    <row r="1490" spans="1:4">
      <c r="A1490" s="401">
        <v>38868</v>
      </c>
      <c r="B1490" s="411" t="s">
        <v>8635</v>
      </c>
      <c r="C1490" s="401" t="s">
        <v>998</v>
      </c>
      <c r="D1490" s="600">
        <v>19.62</v>
      </c>
    </row>
    <row r="1491" spans="1:4" ht="25.5">
      <c r="A1491" s="401">
        <v>38853</v>
      </c>
      <c r="B1491" s="411" t="s">
        <v>8636</v>
      </c>
      <c r="C1491" s="401" t="s">
        <v>998</v>
      </c>
      <c r="D1491" s="600">
        <v>6.34</v>
      </c>
    </row>
    <row r="1492" spans="1:4" ht="25.5">
      <c r="A1492" s="401">
        <v>38854</v>
      </c>
      <c r="B1492" s="411" t="s">
        <v>8637</v>
      </c>
      <c r="C1492" s="401" t="s">
        <v>998</v>
      </c>
      <c r="D1492" s="600">
        <v>8.66</v>
      </c>
    </row>
    <row r="1493" spans="1:4" ht="25.5">
      <c r="A1493" s="401">
        <v>38855</v>
      </c>
      <c r="B1493" s="411" t="s">
        <v>8638</v>
      </c>
      <c r="C1493" s="401" t="s">
        <v>998</v>
      </c>
      <c r="D1493" s="600">
        <v>6.42</v>
      </c>
    </row>
    <row r="1494" spans="1:4" ht="25.5">
      <c r="A1494" s="401">
        <v>38856</v>
      </c>
      <c r="B1494" s="411" t="s">
        <v>8639</v>
      </c>
      <c r="C1494" s="401" t="s">
        <v>998</v>
      </c>
      <c r="D1494" s="600">
        <v>10.32</v>
      </c>
    </row>
    <row r="1495" spans="1:4" ht="25.5">
      <c r="A1495" s="401">
        <v>38857</v>
      </c>
      <c r="B1495" s="411" t="s">
        <v>8640</v>
      </c>
      <c r="C1495" s="401" t="s">
        <v>998</v>
      </c>
      <c r="D1495" s="600">
        <v>13.65</v>
      </c>
    </row>
    <row r="1496" spans="1:4" ht="25.5">
      <c r="A1496" s="401">
        <v>38858</v>
      </c>
      <c r="B1496" s="411" t="s">
        <v>8641</v>
      </c>
      <c r="C1496" s="401" t="s">
        <v>998</v>
      </c>
      <c r="D1496" s="600">
        <v>12.41</v>
      </c>
    </row>
    <row r="1497" spans="1:4" ht="25.5">
      <c r="A1497" s="401">
        <v>38859</v>
      </c>
      <c r="B1497" s="411" t="s">
        <v>8642</v>
      </c>
      <c r="C1497" s="401" t="s">
        <v>998</v>
      </c>
      <c r="D1497" s="600">
        <v>20.100000000000001</v>
      </c>
    </row>
    <row r="1498" spans="1:4" ht="25.5">
      <c r="A1498" s="401">
        <v>1607</v>
      </c>
      <c r="B1498" s="411" t="s">
        <v>8643</v>
      </c>
      <c r="C1498" s="401" t="s">
        <v>1006</v>
      </c>
      <c r="D1498" s="600">
        <v>0.15</v>
      </c>
    </row>
    <row r="1499" spans="1:4" ht="25.5">
      <c r="A1499" s="401">
        <v>11467</v>
      </c>
      <c r="B1499" s="411" t="s">
        <v>8644</v>
      </c>
      <c r="C1499" s="401" t="s">
        <v>998</v>
      </c>
      <c r="D1499" s="600">
        <v>14.61</v>
      </c>
    </row>
    <row r="1500" spans="1:4" ht="25.5">
      <c r="A1500" s="401">
        <v>38169</v>
      </c>
      <c r="B1500" s="411" t="s">
        <v>8645</v>
      </c>
      <c r="C1500" s="401" t="s">
        <v>1006</v>
      </c>
      <c r="D1500" s="600">
        <v>66.989999999999995</v>
      </c>
    </row>
    <row r="1501" spans="1:4" ht="25.5">
      <c r="A1501" s="401">
        <v>6142</v>
      </c>
      <c r="B1501" s="411" t="s">
        <v>8646</v>
      </c>
      <c r="C1501" s="401" t="s">
        <v>998</v>
      </c>
      <c r="D1501" s="600">
        <v>6.32</v>
      </c>
    </row>
    <row r="1502" spans="1:4" ht="25.5">
      <c r="A1502" s="401">
        <v>11686</v>
      </c>
      <c r="B1502" s="411" t="s">
        <v>8647</v>
      </c>
      <c r="C1502" s="401" t="s">
        <v>998</v>
      </c>
      <c r="D1502" s="600">
        <v>8.7799999999999994</v>
      </c>
    </row>
    <row r="1503" spans="1:4" ht="25.5">
      <c r="A1503" s="401">
        <v>37598</v>
      </c>
      <c r="B1503" s="411" t="s">
        <v>8648</v>
      </c>
      <c r="C1503" s="401" t="s">
        <v>998</v>
      </c>
      <c r="D1503" s="600">
        <v>22.83</v>
      </c>
    </row>
    <row r="1504" spans="1:4" ht="38.25">
      <c r="A1504" s="401">
        <v>25398</v>
      </c>
      <c r="B1504" s="411" t="s">
        <v>8649</v>
      </c>
      <c r="C1504" s="401" t="s">
        <v>998</v>
      </c>
      <c r="D1504" s="600">
        <v>2122.5100000000002</v>
      </c>
    </row>
    <row r="1505" spans="1:4" ht="38.25">
      <c r="A1505" s="401">
        <v>25399</v>
      </c>
      <c r="B1505" s="411" t="s">
        <v>8650</v>
      </c>
      <c r="C1505" s="401" t="s">
        <v>998</v>
      </c>
      <c r="D1505" s="600">
        <v>1288.55</v>
      </c>
    </row>
    <row r="1506" spans="1:4" ht="25.5">
      <c r="A1506" s="401">
        <v>10667</v>
      </c>
      <c r="B1506" s="411" t="s">
        <v>8651</v>
      </c>
      <c r="C1506" s="401" t="s">
        <v>998</v>
      </c>
      <c r="D1506" s="600">
        <v>10897.5</v>
      </c>
    </row>
    <row r="1507" spans="1:4" ht="25.5">
      <c r="A1507" s="401">
        <v>1613</v>
      </c>
      <c r="B1507" s="411" t="s">
        <v>8652</v>
      </c>
      <c r="C1507" s="401" t="s">
        <v>998</v>
      </c>
      <c r="D1507" s="600">
        <v>1208.03</v>
      </c>
    </row>
    <row r="1508" spans="1:4" ht="25.5">
      <c r="A1508" s="401">
        <v>1626</v>
      </c>
      <c r="B1508" s="411" t="s">
        <v>8653</v>
      </c>
      <c r="C1508" s="401" t="s">
        <v>998</v>
      </c>
      <c r="D1508" s="600">
        <v>1806.76</v>
      </c>
    </row>
    <row r="1509" spans="1:4" ht="25.5">
      <c r="A1509" s="401">
        <v>1625</v>
      </c>
      <c r="B1509" s="411" t="s">
        <v>8654</v>
      </c>
      <c r="C1509" s="401" t="s">
        <v>998</v>
      </c>
      <c r="D1509" s="600">
        <v>126.19</v>
      </c>
    </row>
    <row r="1510" spans="1:4" ht="25.5">
      <c r="A1510" s="401">
        <v>1622</v>
      </c>
      <c r="B1510" s="411" t="s">
        <v>8655</v>
      </c>
      <c r="C1510" s="401" t="s">
        <v>998</v>
      </c>
      <c r="D1510" s="600">
        <v>4077.13</v>
      </c>
    </row>
    <row r="1511" spans="1:4" ht="25.5">
      <c r="A1511" s="401">
        <v>1620</v>
      </c>
      <c r="B1511" s="411" t="s">
        <v>8656</v>
      </c>
      <c r="C1511" s="401" t="s">
        <v>998</v>
      </c>
      <c r="D1511" s="600">
        <v>265.83</v>
      </c>
    </row>
    <row r="1512" spans="1:4" ht="25.5">
      <c r="A1512" s="401">
        <v>1629</v>
      </c>
      <c r="B1512" s="411" t="s">
        <v>8657</v>
      </c>
      <c r="C1512" s="401" t="s">
        <v>998</v>
      </c>
      <c r="D1512" s="600">
        <v>9922.76</v>
      </c>
    </row>
    <row r="1513" spans="1:4" ht="25.5">
      <c r="A1513" s="401">
        <v>1627</v>
      </c>
      <c r="B1513" s="411" t="s">
        <v>8658</v>
      </c>
      <c r="C1513" s="401" t="s">
        <v>998</v>
      </c>
      <c r="D1513" s="600">
        <v>508.13</v>
      </c>
    </row>
    <row r="1514" spans="1:4" ht="25.5">
      <c r="A1514" s="401">
        <v>1623</v>
      </c>
      <c r="B1514" s="411" t="s">
        <v>8659</v>
      </c>
      <c r="C1514" s="401" t="s">
        <v>998</v>
      </c>
      <c r="D1514" s="600">
        <v>102.91</v>
      </c>
    </row>
    <row r="1515" spans="1:4" ht="25.5">
      <c r="A1515" s="401">
        <v>1619</v>
      </c>
      <c r="B1515" s="411" t="s">
        <v>8660</v>
      </c>
      <c r="C1515" s="401" t="s">
        <v>998</v>
      </c>
      <c r="D1515" s="600">
        <v>141.57</v>
      </c>
    </row>
    <row r="1516" spans="1:4" ht="25.5">
      <c r="A1516" s="401">
        <v>1630</v>
      </c>
      <c r="B1516" s="411" t="s">
        <v>8661</v>
      </c>
      <c r="C1516" s="401" t="s">
        <v>998</v>
      </c>
      <c r="D1516" s="600">
        <v>3117.05</v>
      </c>
    </row>
    <row r="1517" spans="1:4" ht="25.5">
      <c r="A1517" s="401">
        <v>1616</v>
      </c>
      <c r="B1517" s="411" t="s">
        <v>8662</v>
      </c>
      <c r="C1517" s="401" t="s">
        <v>998</v>
      </c>
      <c r="D1517" s="600">
        <v>4794.07</v>
      </c>
    </row>
    <row r="1518" spans="1:4" ht="25.5">
      <c r="A1518" s="401">
        <v>1614</v>
      </c>
      <c r="B1518" s="411" t="s">
        <v>8663</v>
      </c>
      <c r="C1518" s="401" t="s">
        <v>998</v>
      </c>
      <c r="D1518" s="600">
        <v>219.1</v>
      </c>
    </row>
    <row r="1519" spans="1:4" ht="25.5">
      <c r="A1519" s="401">
        <v>1617</v>
      </c>
      <c r="B1519" s="411" t="s">
        <v>8664</v>
      </c>
      <c r="C1519" s="401" t="s">
        <v>998</v>
      </c>
      <c r="D1519" s="600">
        <v>5723.09</v>
      </c>
    </row>
    <row r="1520" spans="1:4" ht="25.5">
      <c r="A1520" s="401">
        <v>1621</v>
      </c>
      <c r="B1520" s="411" t="s">
        <v>8665</v>
      </c>
      <c r="C1520" s="401" t="s">
        <v>998</v>
      </c>
      <c r="D1520" s="600">
        <v>391.86</v>
      </c>
    </row>
    <row r="1521" spans="1:4" ht="25.5">
      <c r="A1521" s="401">
        <v>1624</v>
      </c>
      <c r="B1521" s="411" t="s">
        <v>8666</v>
      </c>
      <c r="C1521" s="401" t="s">
        <v>998</v>
      </c>
      <c r="D1521" s="600">
        <v>14067.63</v>
      </c>
    </row>
    <row r="1522" spans="1:4" ht="25.5">
      <c r="A1522" s="401">
        <v>1615</v>
      </c>
      <c r="B1522" s="411" t="s">
        <v>8667</v>
      </c>
      <c r="C1522" s="401" t="s">
        <v>998</v>
      </c>
      <c r="D1522" s="600">
        <v>735.86</v>
      </c>
    </row>
    <row r="1523" spans="1:4" ht="25.5">
      <c r="A1523" s="401">
        <v>1612</v>
      </c>
      <c r="B1523" s="411" t="s">
        <v>8668</v>
      </c>
      <c r="C1523" s="401" t="s">
        <v>998</v>
      </c>
      <c r="D1523" s="600">
        <v>96.92</v>
      </c>
    </row>
    <row r="1524" spans="1:4" ht="25.5">
      <c r="A1524" s="401">
        <v>1618</v>
      </c>
      <c r="B1524" s="411" t="s">
        <v>8669</v>
      </c>
      <c r="C1524" s="401" t="s">
        <v>998</v>
      </c>
      <c r="D1524" s="600">
        <v>1011.18</v>
      </c>
    </row>
    <row r="1525" spans="1:4">
      <c r="A1525" s="401">
        <v>14211</v>
      </c>
      <c r="B1525" s="411" t="s">
        <v>8670</v>
      </c>
      <c r="C1525" s="401" t="s">
        <v>998</v>
      </c>
      <c r="D1525" s="600">
        <v>31.04</v>
      </c>
    </row>
    <row r="1526" spans="1:4">
      <c r="A1526" s="401">
        <v>34500</v>
      </c>
      <c r="B1526" s="411" t="s">
        <v>8671</v>
      </c>
      <c r="C1526" s="401" t="s">
        <v>1001</v>
      </c>
      <c r="D1526" s="600">
        <v>113.45</v>
      </c>
    </row>
    <row r="1527" spans="1:4">
      <c r="A1527" s="401">
        <v>40934</v>
      </c>
      <c r="B1527" s="411" t="s">
        <v>8672</v>
      </c>
      <c r="C1527" s="401" t="s">
        <v>1118</v>
      </c>
      <c r="D1527" s="600">
        <v>20101.64</v>
      </c>
    </row>
    <row r="1528" spans="1:4">
      <c r="A1528" s="401">
        <v>5328</v>
      </c>
      <c r="B1528" s="411" t="s">
        <v>8673</v>
      </c>
      <c r="C1528" s="401" t="s">
        <v>998</v>
      </c>
      <c r="D1528" s="600">
        <v>4.2300000000000004</v>
      </c>
    </row>
    <row r="1529" spans="1:4">
      <c r="A1529" s="401">
        <v>38200</v>
      </c>
      <c r="B1529" s="411" t="s">
        <v>8674</v>
      </c>
      <c r="C1529" s="401" t="s">
        <v>1121</v>
      </c>
      <c r="D1529" s="600">
        <v>510.06</v>
      </c>
    </row>
    <row r="1530" spans="1:4" ht="25.5">
      <c r="A1530" s="401">
        <v>39269</v>
      </c>
      <c r="B1530" s="411" t="s">
        <v>8675</v>
      </c>
      <c r="C1530" s="401" t="s">
        <v>1002</v>
      </c>
      <c r="D1530" s="600">
        <v>0.85</v>
      </c>
    </row>
    <row r="1531" spans="1:4" ht="25.5">
      <c r="A1531" s="401">
        <v>11889</v>
      </c>
      <c r="B1531" s="411" t="s">
        <v>8676</v>
      </c>
      <c r="C1531" s="401" t="s">
        <v>1002</v>
      </c>
      <c r="D1531" s="600">
        <v>1.18</v>
      </c>
    </row>
    <row r="1532" spans="1:4" ht="25.5">
      <c r="A1532" s="401">
        <v>39270</v>
      </c>
      <c r="B1532" s="411" t="s">
        <v>8677</v>
      </c>
      <c r="C1532" s="401" t="s">
        <v>1002</v>
      </c>
      <c r="D1532" s="600">
        <v>1.41</v>
      </c>
    </row>
    <row r="1533" spans="1:4" ht="25.5">
      <c r="A1533" s="401">
        <v>11890</v>
      </c>
      <c r="B1533" s="411" t="s">
        <v>8678</v>
      </c>
      <c r="C1533" s="401" t="s">
        <v>1002</v>
      </c>
      <c r="D1533" s="600">
        <v>1.83</v>
      </c>
    </row>
    <row r="1534" spans="1:4" ht="25.5">
      <c r="A1534" s="401">
        <v>11891</v>
      </c>
      <c r="B1534" s="411" t="s">
        <v>8679</v>
      </c>
      <c r="C1534" s="401" t="s">
        <v>1002</v>
      </c>
      <c r="D1534" s="600">
        <v>3.02</v>
      </c>
    </row>
    <row r="1535" spans="1:4" ht="25.5">
      <c r="A1535" s="401">
        <v>11892</v>
      </c>
      <c r="B1535" s="411" t="s">
        <v>8680</v>
      </c>
      <c r="C1535" s="401" t="s">
        <v>1002</v>
      </c>
      <c r="D1535" s="600">
        <v>4.66</v>
      </c>
    </row>
    <row r="1536" spans="1:4">
      <c r="A1536" s="401">
        <v>37601</v>
      </c>
      <c r="B1536" s="411" t="s">
        <v>8681</v>
      </c>
      <c r="C1536" s="401" t="s">
        <v>1002</v>
      </c>
      <c r="D1536" s="600">
        <v>5.07</v>
      </c>
    </row>
    <row r="1537" spans="1:4">
      <c r="A1537" s="401">
        <v>1634</v>
      </c>
      <c r="B1537" s="411" t="s">
        <v>8682</v>
      </c>
      <c r="C1537" s="401" t="s">
        <v>1002</v>
      </c>
      <c r="D1537" s="600">
        <v>5.24</v>
      </c>
    </row>
    <row r="1538" spans="1:4" ht="25.5">
      <c r="A1538" s="401">
        <v>5086</v>
      </c>
      <c r="B1538" s="411" t="s">
        <v>8683</v>
      </c>
      <c r="C1538" s="401" t="s">
        <v>995</v>
      </c>
      <c r="D1538" s="600">
        <v>27.73</v>
      </c>
    </row>
    <row r="1539" spans="1:4" ht="25.5">
      <c r="A1539" s="401">
        <v>11280</v>
      </c>
      <c r="B1539" s="411" t="s">
        <v>8684</v>
      </c>
      <c r="C1539" s="401" t="s">
        <v>998</v>
      </c>
      <c r="D1539" s="600">
        <v>11458.62</v>
      </c>
    </row>
    <row r="1540" spans="1:4" ht="25.5">
      <c r="A1540" s="401">
        <v>40519</v>
      </c>
      <c r="B1540" s="411" t="s">
        <v>8685</v>
      </c>
      <c r="C1540" s="401" t="s">
        <v>998</v>
      </c>
      <c r="D1540" s="600">
        <v>94460.99</v>
      </c>
    </row>
    <row r="1541" spans="1:4">
      <c r="A1541" s="401">
        <v>39869</v>
      </c>
      <c r="B1541" s="411" t="s">
        <v>8686</v>
      </c>
      <c r="C1541" s="401" t="s">
        <v>998</v>
      </c>
      <c r="D1541" s="600">
        <v>8.85</v>
      </c>
    </row>
    <row r="1542" spans="1:4">
      <c r="A1542" s="401">
        <v>39870</v>
      </c>
      <c r="B1542" s="411" t="s">
        <v>8687</v>
      </c>
      <c r="C1542" s="401" t="s">
        <v>998</v>
      </c>
      <c r="D1542" s="600">
        <v>13.54</v>
      </c>
    </row>
    <row r="1543" spans="1:4">
      <c r="A1543" s="401">
        <v>39871</v>
      </c>
      <c r="B1543" s="411" t="s">
        <v>8688</v>
      </c>
      <c r="C1543" s="401" t="s">
        <v>998</v>
      </c>
      <c r="D1543" s="600">
        <v>15.18</v>
      </c>
    </row>
    <row r="1544" spans="1:4">
      <c r="A1544" s="401">
        <v>12722</v>
      </c>
      <c r="B1544" s="411" t="s">
        <v>8689</v>
      </c>
      <c r="C1544" s="401" t="s">
        <v>998</v>
      </c>
      <c r="D1544" s="600">
        <v>508.13</v>
      </c>
    </row>
    <row r="1545" spans="1:4">
      <c r="A1545" s="401">
        <v>12714</v>
      </c>
      <c r="B1545" s="411" t="s">
        <v>8690</v>
      </c>
      <c r="C1545" s="401" t="s">
        <v>998</v>
      </c>
      <c r="D1545" s="600">
        <v>3.31</v>
      </c>
    </row>
    <row r="1546" spans="1:4">
      <c r="A1546" s="401">
        <v>12715</v>
      </c>
      <c r="B1546" s="411" t="s">
        <v>8691</v>
      </c>
      <c r="C1546" s="401" t="s">
        <v>998</v>
      </c>
      <c r="D1546" s="600">
        <v>7.49</v>
      </c>
    </row>
    <row r="1547" spans="1:4">
      <c r="A1547" s="401">
        <v>12716</v>
      </c>
      <c r="B1547" s="411" t="s">
        <v>8692</v>
      </c>
      <c r="C1547" s="401" t="s">
        <v>998</v>
      </c>
      <c r="D1547" s="600">
        <v>12.86</v>
      </c>
    </row>
    <row r="1548" spans="1:4">
      <c r="A1548" s="401">
        <v>12717</v>
      </c>
      <c r="B1548" s="411" t="s">
        <v>8693</v>
      </c>
      <c r="C1548" s="401" t="s">
        <v>998</v>
      </c>
      <c r="D1548" s="600">
        <v>25.28</v>
      </c>
    </row>
    <row r="1549" spans="1:4">
      <c r="A1549" s="401">
        <v>12718</v>
      </c>
      <c r="B1549" s="411" t="s">
        <v>8694</v>
      </c>
      <c r="C1549" s="401" t="s">
        <v>998</v>
      </c>
      <c r="D1549" s="600">
        <v>38.79</v>
      </c>
    </row>
    <row r="1550" spans="1:4">
      <c r="A1550" s="401">
        <v>12719</v>
      </c>
      <c r="B1550" s="411" t="s">
        <v>8695</v>
      </c>
      <c r="C1550" s="401" t="s">
        <v>998</v>
      </c>
      <c r="D1550" s="600">
        <v>61.59</v>
      </c>
    </row>
    <row r="1551" spans="1:4">
      <c r="A1551" s="401">
        <v>12720</v>
      </c>
      <c r="B1551" s="411" t="s">
        <v>8696</v>
      </c>
      <c r="C1551" s="401" t="s">
        <v>998</v>
      </c>
      <c r="D1551" s="600">
        <v>214.45</v>
      </c>
    </row>
    <row r="1552" spans="1:4">
      <c r="A1552" s="401">
        <v>12721</v>
      </c>
      <c r="B1552" s="411" t="s">
        <v>8697</v>
      </c>
      <c r="C1552" s="401" t="s">
        <v>998</v>
      </c>
      <c r="D1552" s="600">
        <v>205.64</v>
      </c>
    </row>
    <row r="1553" spans="1:4">
      <c r="A1553" s="401">
        <v>3468</v>
      </c>
      <c r="B1553" s="411" t="s">
        <v>8698</v>
      </c>
      <c r="C1553" s="401" t="s">
        <v>998</v>
      </c>
      <c r="D1553" s="600">
        <v>21.29</v>
      </c>
    </row>
    <row r="1554" spans="1:4" ht="25.5">
      <c r="A1554" s="401">
        <v>3465</v>
      </c>
      <c r="B1554" s="411" t="s">
        <v>8699</v>
      </c>
      <c r="C1554" s="401" t="s">
        <v>998</v>
      </c>
      <c r="D1554" s="600">
        <v>21.29</v>
      </c>
    </row>
    <row r="1555" spans="1:4">
      <c r="A1555" s="401">
        <v>12403</v>
      </c>
      <c r="B1555" s="411" t="s">
        <v>8700</v>
      </c>
      <c r="C1555" s="401" t="s">
        <v>998</v>
      </c>
      <c r="D1555" s="600">
        <v>15.17</v>
      </c>
    </row>
    <row r="1556" spans="1:4">
      <c r="A1556" s="401">
        <v>3463</v>
      </c>
      <c r="B1556" s="411" t="s">
        <v>8701</v>
      </c>
      <c r="C1556" s="401" t="s">
        <v>998</v>
      </c>
      <c r="D1556" s="600">
        <v>8.86</v>
      </c>
    </row>
    <row r="1557" spans="1:4">
      <c r="A1557" s="401">
        <v>3464</v>
      </c>
      <c r="B1557" s="411" t="s">
        <v>8702</v>
      </c>
      <c r="C1557" s="401" t="s">
        <v>998</v>
      </c>
      <c r="D1557" s="600">
        <v>8.86</v>
      </c>
    </row>
    <row r="1558" spans="1:4">
      <c r="A1558" s="401">
        <v>3466</v>
      </c>
      <c r="B1558" s="411" t="s">
        <v>8703</v>
      </c>
      <c r="C1558" s="401" t="s">
        <v>998</v>
      </c>
      <c r="D1558" s="600">
        <v>54.07</v>
      </c>
    </row>
    <row r="1559" spans="1:4">
      <c r="A1559" s="401">
        <v>3467</v>
      </c>
      <c r="B1559" s="411" t="s">
        <v>8704</v>
      </c>
      <c r="C1559" s="401" t="s">
        <v>998</v>
      </c>
      <c r="D1559" s="600">
        <v>30.53</v>
      </c>
    </row>
    <row r="1560" spans="1:4">
      <c r="A1560" s="401">
        <v>3462</v>
      </c>
      <c r="B1560" s="411" t="s">
        <v>8705</v>
      </c>
      <c r="C1560" s="401" t="s">
        <v>998</v>
      </c>
      <c r="D1560" s="600">
        <v>5.85</v>
      </c>
    </row>
    <row r="1561" spans="1:4">
      <c r="A1561" s="401">
        <v>3446</v>
      </c>
      <c r="B1561" s="411" t="s">
        <v>8706</v>
      </c>
      <c r="C1561" s="401" t="s">
        <v>998</v>
      </c>
      <c r="D1561" s="600">
        <v>18</v>
      </c>
    </row>
    <row r="1562" spans="1:4">
      <c r="A1562" s="401">
        <v>3445</v>
      </c>
      <c r="B1562" s="411" t="s">
        <v>8707</v>
      </c>
      <c r="C1562" s="401" t="s">
        <v>998</v>
      </c>
      <c r="D1562" s="600">
        <v>14.69</v>
      </c>
    </row>
    <row r="1563" spans="1:4">
      <c r="A1563" s="401">
        <v>3441</v>
      </c>
      <c r="B1563" s="411" t="s">
        <v>8708</v>
      </c>
      <c r="C1563" s="401" t="s">
        <v>998</v>
      </c>
      <c r="D1563" s="600">
        <v>4.1500000000000004</v>
      </c>
    </row>
    <row r="1564" spans="1:4">
      <c r="A1564" s="401">
        <v>3444</v>
      </c>
      <c r="B1564" s="411" t="s">
        <v>8709</v>
      </c>
      <c r="C1564" s="401" t="s">
        <v>998</v>
      </c>
      <c r="D1564" s="600">
        <v>9.0399999999999991</v>
      </c>
    </row>
    <row r="1565" spans="1:4">
      <c r="A1565" s="401">
        <v>12402</v>
      </c>
      <c r="B1565" s="411" t="s">
        <v>8710</v>
      </c>
      <c r="C1565" s="401" t="s">
        <v>998</v>
      </c>
      <c r="D1565" s="600">
        <v>50.6</v>
      </c>
    </row>
    <row r="1566" spans="1:4">
      <c r="A1566" s="401">
        <v>3447</v>
      </c>
      <c r="B1566" s="411" t="s">
        <v>8711</v>
      </c>
      <c r="C1566" s="401" t="s">
        <v>998</v>
      </c>
      <c r="D1566" s="600">
        <v>26.18</v>
      </c>
    </row>
    <row r="1567" spans="1:4">
      <c r="A1567" s="401">
        <v>3442</v>
      </c>
      <c r="B1567" s="411" t="s">
        <v>8712</v>
      </c>
      <c r="C1567" s="401" t="s">
        <v>998</v>
      </c>
      <c r="D1567" s="600">
        <v>6.2</v>
      </c>
    </row>
    <row r="1568" spans="1:4">
      <c r="A1568" s="401">
        <v>3448</v>
      </c>
      <c r="B1568" s="411" t="s">
        <v>8713</v>
      </c>
      <c r="C1568" s="401" t="s">
        <v>998</v>
      </c>
      <c r="D1568" s="600">
        <v>73.98</v>
      </c>
    </row>
    <row r="1569" spans="1:4">
      <c r="A1569" s="401">
        <v>3449</v>
      </c>
      <c r="B1569" s="411" t="s">
        <v>8714</v>
      </c>
      <c r="C1569" s="401" t="s">
        <v>998</v>
      </c>
      <c r="D1569" s="600">
        <v>129.63</v>
      </c>
    </row>
    <row r="1570" spans="1:4">
      <c r="A1570" s="401">
        <v>37438</v>
      </c>
      <c r="B1570" s="411" t="s">
        <v>8715</v>
      </c>
      <c r="C1570" s="401" t="s">
        <v>998</v>
      </c>
      <c r="D1570" s="600">
        <v>169.26</v>
      </c>
    </row>
    <row r="1571" spans="1:4">
      <c r="A1571" s="401">
        <v>37439</v>
      </c>
      <c r="B1571" s="411" t="s">
        <v>8716</v>
      </c>
      <c r="C1571" s="401" t="s">
        <v>998</v>
      </c>
      <c r="D1571" s="600">
        <v>1106.6199999999999</v>
      </c>
    </row>
    <row r="1572" spans="1:4">
      <c r="A1572" s="401">
        <v>37435</v>
      </c>
      <c r="B1572" s="411" t="s">
        <v>8717</v>
      </c>
      <c r="C1572" s="401" t="s">
        <v>998</v>
      </c>
      <c r="D1572" s="600">
        <v>19.89</v>
      </c>
    </row>
    <row r="1573" spans="1:4">
      <c r="A1573" s="401">
        <v>37436</v>
      </c>
      <c r="B1573" s="411" t="s">
        <v>8718</v>
      </c>
      <c r="C1573" s="401" t="s">
        <v>998</v>
      </c>
      <c r="D1573" s="600">
        <v>23.47</v>
      </c>
    </row>
    <row r="1574" spans="1:4">
      <c r="A1574" s="401">
        <v>37437</v>
      </c>
      <c r="B1574" s="411" t="s">
        <v>8719</v>
      </c>
      <c r="C1574" s="401" t="s">
        <v>998</v>
      </c>
      <c r="D1574" s="600">
        <v>33.950000000000003</v>
      </c>
    </row>
    <row r="1575" spans="1:4">
      <c r="A1575" s="401">
        <v>3473</v>
      </c>
      <c r="B1575" s="411" t="s">
        <v>8720</v>
      </c>
      <c r="C1575" s="401" t="s">
        <v>998</v>
      </c>
      <c r="D1575" s="600">
        <v>20.350000000000001</v>
      </c>
    </row>
    <row r="1576" spans="1:4">
      <c r="A1576" s="401">
        <v>3474</v>
      </c>
      <c r="B1576" s="411" t="s">
        <v>8721</v>
      </c>
      <c r="C1576" s="401" t="s">
        <v>998</v>
      </c>
      <c r="D1576" s="600">
        <v>16.78</v>
      </c>
    </row>
    <row r="1577" spans="1:4">
      <c r="A1577" s="401">
        <v>3450</v>
      </c>
      <c r="B1577" s="411" t="s">
        <v>8722</v>
      </c>
      <c r="C1577" s="401" t="s">
        <v>998</v>
      </c>
      <c r="D1577" s="600">
        <v>4.8600000000000003</v>
      </c>
    </row>
    <row r="1578" spans="1:4">
      <c r="A1578" s="401">
        <v>3443</v>
      </c>
      <c r="B1578" s="411" t="s">
        <v>8723</v>
      </c>
      <c r="C1578" s="401" t="s">
        <v>998</v>
      </c>
      <c r="D1578" s="600">
        <v>10.43</v>
      </c>
    </row>
    <row r="1579" spans="1:4">
      <c r="A1579" s="401">
        <v>3453</v>
      </c>
      <c r="B1579" s="411" t="s">
        <v>8724</v>
      </c>
      <c r="C1579" s="401" t="s">
        <v>998</v>
      </c>
      <c r="D1579" s="600">
        <v>59.41</v>
      </c>
    </row>
    <row r="1580" spans="1:4">
      <c r="A1580" s="401">
        <v>3452</v>
      </c>
      <c r="B1580" s="411" t="s">
        <v>8725</v>
      </c>
      <c r="C1580" s="401" t="s">
        <v>998</v>
      </c>
      <c r="D1580" s="600">
        <v>29.32</v>
      </c>
    </row>
    <row r="1581" spans="1:4">
      <c r="A1581" s="401">
        <v>3451</v>
      </c>
      <c r="B1581" s="411" t="s">
        <v>8726</v>
      </c>
      <c r="C1581" s="401" t="s">
        <v>998</v>
      </c>
      <c r="D1581" s="600">
        <v>5.81</v>
      </c>
    </row>
    <row r="1582" spans="1:4">
      <c r="A1582" s="401">
        <v>3454</v>
      </c>
      <c r="B1582" s="411" t="s">
        <v>8727</v>
      </c>
      <c r="C1582" s="401" t="s">
        <v>998</v>
      </c>
      <c r="D1582" s="600">
        <v>90.36</v>
      </c>
    </row>
    <row r="1583" spans="1:4">
      <c r="A1583" s="401">
        <v>3458</v>
      </c>
      <c r="B1583" s="411" t="s">
        <v>8728</v>
      </c>
      <c r="C1583" s="401" t="s">
        <v>998</v>
      </c>
      <c r="D1583" s="600">
        <v>16.309999999999999</v>
      </c>
    </row>
    <row r="1584" spans="1:4">
      <c r="A1584" s="401">
        <v>3457</v>
      </c>
      <c r="B1584" s="411" t="s">
        <v>8729</v>
      </c>
      <c r="C1584" s="401" t="s">
        <v>998</v>
      </c>
      <c r="D1584" s="600">
        <v>12.25</v>
      </c>
    </row>
    <row r="1585" spans="1:4">
      <c r="A1585" s="401">
        <v>3455</v>
      </c>
      <c r="B1585" s="411" t="s">
        <v>8730</v>
      </c>
      <c r="C1585" s="401" t="s">
        <v>998</v>
      </c>
      <c r="D1585" s="600">
        <v>3.47</v>
      </c>
    </row>
    <row r="1586" spans="1:4">
      <c r="A1586" s="401">
        <v>3472</v>
      </c>
      <c r="B1586" s="411" t="s">
        <v>8731</v>
      </c>
      <c r="C1586" s="401" t="s">
        <v>998</v>
      </c>
      <c r="D1586" s="600">
        <v>7.81</v>
      </c>
    </row>
    <row r="1587" spans="1:4">
      <c r="A1587" s="401">
        <v>3470</v>
      </c>
      <c r="B1587" s="411" t="s">
        <v>8732</v>
      </c>
      <c r="C1587" s="401" t="s">
        <v>998</v>
      </c>
      <c r="D1587" s="600">
        <v>45.56</v>
      </c>
    </row>
    <row r="1588" spans="1:4">
      <c r="A1588" s="401">
        <v>3471</v>
      </c>
      <c r="B1588" s="411" t="s">
        <v>8733</v>
      </c>
      <c r="C1588" s="401" t="s">
        <v>998</v>
      </c>
      <c r="D1588" s="600">
        <v>25.03</v>
      </c>
    </row>
    <row r="1589" spans="1:4">
      <c r="A1589" s="401">
        <v>3456</v>
      </c>
      <c r="B1589" s="411" t="s">
        <v>8734</v>
      </c>
      <c r="C1589" s="401" t="s">
        <v>998</v>
      </c>
      <c r="D1589" s="600">
        <v>5.2</v>
      </c>
    </row>
    <row r="1590" spans="1:4">
      <c r="A1590" s="401">
        <v>3459</v>
      </c>
      <c r="B1590" s="411" t="s">
        <v>8735</v>
      </c>
      <c r="C1590" s="401" t="s">
        <v>998</v>
      </c>
      <c r="D1590" s="600">
        <v>64.260000000000005</v>
      </c>
    </row>
    <row r="1591" spans="1:4">
      <c r="A1591" s="401">
        <v>3469</v>
      </c>
      <c r="B1591" s="411" t="s">
        <v>8736</v>
      </c>
      <c r="C1591" s="401" t="s">
        <v>998</v>
      </c>
      <c r="D1591" s="600">
        <v>122.2</v>
      </c>
    </row>
    <row r="1592" spans="1:4">
      <c r="A1592" s="401">
        <v>3460</v>
      </c>
      <c r="B1592" s="411" t="s">
        <v>8737</v>
      </c>
      <c r="C1592" s="401" t="s">
        <v>998</v>
      </c>
      <c r="D1592" s="600">
        <v>178.31</v>
      </c>
    </row>
    <row r="1593" spans="1:4">
      <c r="A1593" s="401">
        <v>3461</v>
      </c>
      <c r="B1593" s="411" t="s">
        <v>8738</v>
      </c>
      <c r="C1593" s="401" t="s">
        <v>998</v>
      </c>
      <c r="D1593" s="600">
        <v>455.76</v>
      </c>
    </row>
    <row r="1594" spans="1:4">
      <c r="A1594" s="401">
        <v>37433</v>
      </c>
      <c r="B1594" s="411" t="s">
        <v>8739</v>
      </c>
      <c r="C1594" s="401" t="s">
        <v>998</v>
      </c>
      <c r="D1594" s="600">
        <v>169.26</v>
      </c>
    </row>
    <row r="1595" spans="1:4">
      <c r="A1595" s="401">
        <v>37430</v>
      </c>
      <c r="B1595" s="411" t="s">
        <v>8740</v>
      </c>
      <c r="C1595" s="401" t="s">
        <v>998</v>
      </c>
      <c r="D1595" s="600">
        <v>21.21</v>
      </c>
    </row>
    <row r="1596" spans="1:4">
      <c r="A1596" s="401">
        <v>37434</v>
      </c>
      <c r="B1596" s="411" t="s">
        <v>8741</v>
      </c>
      <c r="C1596" s="401" t="s">
        <v>998</v>
      </c>
      <c r="D1596" s="600">
        <v>1578.2</v>
      </c>
    </row>
    <row r="1597" spans="1:4">
      <c r="A1597" s="401">
        <v>37431</v>
      </c>
      <c r="B1597" s="411" t="s">
        <v>8742</v>
      </c>
      <c r="C1597" s="401" t="s">
        <v>998</v>
      </c>
      <c r="D1597" s="600">
        <v>28.77</v>
      </c>
    </row>
    <row r="1598" spans="1:4">
      <c r="A1598" s="401">
        <v>37432</v>
      </c>
      <c r="B1598" s="411" t="s">
        <v>8743</v>
      </c>
      <c r="C1598" s="401" t="s">
        <v>998</v>
      </c>
      <c r="D1598" s="600">
        <v>53.07</v>
      </c>
    </row>
    <row r="1599" spans="1:4" ht="25.5">
      <c r="A1599" s="401">
        <v>37413</v>
      </c>
      <c r="B1599" s="411" t="s">
        <v>8744</v>
      </c>
      <c r="C1599" s="401" t="s">
        <v>998</v>
      </c>
      <c r="D1599" s="600">
        <v>3.46</v>
      </c>
    </row>
    <row r="1600" spans="1:4" ht="25.5">
      <c r="A1600" s="401">
        <v>37414</v>
      </c>
      <c r="B1600" s="411" t="s">
        <v>8745</v>
      </c>
      <c r="C1600" s="401" t="s">
        <v>998</v>
      </c>
      <c r="D1600" s="600">
        <v>3.93</v>
      </c>
    </row>
    <row r="1601" spans="1:4" ht="25.5">
      <c r="A1601" s="401">
        <v>37415</v>
      </c>
      <c r="B1601" s="411" t="s">
        <v>8746</v>
      </c>
      <c r="C1601" s="401" t="s">
        <v>998</v>
      </c>
      <c r="D1601" s="600">
        <v>7.15</v>
      </c>
    </row>
    <row r="1602" spans="1:4" ht="25.5">
      <c r="A1602" s="401">
        <v>37416</v>
      </c>
      <c r="B1602" s="411" t="s">
        <v>8747</v>
      </c>
      <c r="C1602" s="401" t="s">
        <v>998</v>
      </c>
      <c r="D1602" s="600">
        <v>3.24</v>
      </c>
    </row>
    <row r="1603" spans="1:4" ht="25.5">
      <c r="A1603" s="401">
        <v>37417</v>
      </c>
      <c r="B1603" s="411" t="s">
        <v>8748</v>
      </c>
      <c r="C1603" s="401" t="s">
        <v>998</v>
      </c>
      <c r="D1603" s="600">
        <v>4.66</v>
      </c>
    </row>
    <row r="1604" spans="1:4">
      <c r="A1604" s="401">
        <v>34519</v>
      </c>
      <c r="B1604" s="411" t="s">
        <v>8749</v>
      </c>
      <c r="C1604" s="401" t="s">
        <v>998</v>
      </c>
      <c r="D1604" s="600">
        <v>71.819999999999993</v>
      </c>
    </row>
    <row r="1605" spans="1:4">
      <c r="A1605" s="401">
        <v>10510</v>
      </c>
      <c r="B1605" s="411" t="s">
        <v>8750</v>
      </c>
      <c r="C1605" s="401" t="s">
        <v>998</v>
      </c>
      <c r="D1605" s="600">
        <v>73.930000000000007</v>
      </c>
    </row>
    <row r="1606" spans="1:4">
      <c r="A1606" s="401">
        <v>1649</v>
      </c>
      <c r="B1606" s="411" t="s">
        <v>8751</v>
      </c>
      <c r="C1606" s="401" t="s">
        <v>998</v>
      </c>
      <c r="D1606" s="600">
        <v>38.47</v>
      </c>
    </row>
    <row r="1607" spans="1:4">
      <c r="A1607" s="401">
        <v>1653</v>
      </c>
      <c r="B1607" s="411" t="s">
        <v>8752</v>
      </c>
      <c r="C1607" s="401" t="s">
        <v>998</v>
      </c>
      <c r="D1607" s="600">
        <v>30.13</v>
      </c>
    </row>
    <row r="1608" spans="1:4">
      <c r="A1608" s="401">
        <v>1647</v>
      </c>
      <c r="B1608" s="411" t="s">
        <v>8753</v>
      </c>
      <c r="C1608" s="401" t="s">
        <v>998</v>
      </c>
      <c r="D1608" s="600">
        <v>10.79</v>
      </c>
    </row>
    <row r="1609" spans="1:4">
      <c r="A1609" s="401">
        <v>1648</v>
      </c>
      <c r="B1609" s="411" t="s">
        <v>8754</v>
      </c>
      <c r="C1609" s="401" t="s">
        <v>998</v>
      </c>
      <c r="D1609" s="600">
        <v>20.72</v>
      </c>
    </row>
    <row r="1610" spans="1:4">
      <c r="A1610" s="401">
        <v>1651</v>
      </c>
      <c r="B1610" s="411" t="s">
        <v>8755</v>
      </c>
      <c r="C1610" s="401" t="s">
        <v>998</v>
      </c>
      <c r="D1610" s="600">
        <v>96.13</v>
      </c>
    </row>
    <row r="1611" spans="1:4">
      <c r="A1611" s="401">
        <v>1650</v>
      </c>
      <c r="B1611" s="411" t="s">
        <v>8756</v>
      </c>
      <c r="C1611" s="401" t="s">
        <v>998</v>
      </c>
      <c r="D1611" s="600">
        <v>53.13</v>
      </c>
    </row>
    <row r="1612" spans="1:4">
      <c r="A1612" s="401">
        <v>1654</v>
      </c>
      <c r="B1612" s="411" t="s">
        <v>8757</v>
      </c>
      <c r="C1612" s="401" t="s">
        <v>998</v>
      </c>
      <c r="D1612" s="600">
        <v>14.81</v>
      </c>
    </row>
    <row r="1613" spans="1:4">
      <c r="A1613" s="401">
        <v>1652</v>
      </c>
      <c r="B1613" s="411" t="s">
        <v>8758</v>
      </c>
      <c r="C1613" s="401" t="s">
        <v>998</v>
      </c>
      <c r="D1613" s="600">
        <v>137.97</v>
      </c>
    </row>
    <row r="1614" spans="1:4">
      <c r="A1614" s="401">
        <v>1747</v>
      </c>
      <c r="B1614" s="411" t="s">
        <v>8759</v>
      </c>
      <c r="C1614" s="401" t="s">
        <v>998</v>
      </c>
      <c r="D1614" s="600">
        <v>145.97</v>
      </c>
    </row>
    <row r="1615" spans="1:4">
      <c r="A1615" s="401">
        <v>1744</v>
      </c>
      <c r="B1615" s="411" t="s">
        <v>8760</v>
      </c>
      <c r="C1615" s="401" t="s">
        <v>998</v>
      </c>
      <c r="D1615" s="600">
        <v>101.11</v>
      </c>
    </row>
    <row r="1616" spans="1:4">
      <c r="A1616" s="401">
        <v>1743</v>
      </c>
      <c r="B1616" s="411" t="s">
        <v>8761</v>
      </c>
      <c r="C1616" s="401" t="s">
        <v>998</v>
      </c>
      <c r="D1616" s="600">
        <v>132.77000000000001</v>
      </c>
    </row>
    <row r="1617" spans="1:4" ht="25.5">
      <c r="A1617" s="401">
        <v>39640</v>
      </c>
      <c r="B1617" s="411" t="s">
        <v>8762</v>
      </c>
      <c r="C1617" s="401" t="s">
        <v>998</v>
      </c>
      <c r="D1617" s="600">
        <v>5.95</v>
      </c>
    </row>
    <row r="1618" spans="1:4" ht="25.5">
      <c r="A1618" s="401">
        <v>11013</v>
      </c>
      <c r="B1618" s="411" t="s">
        <v>8763</v>
      </c>
      <c r="C1618" s="401" t="s">
        <v>998</v>
      </c>
      <c r="D1618" s="600">
        <v>12.25</v>
      </c>
    </row>
    <row r="1619" spans="1:4" ht="25.5">
      <c r="A1619" s="401">
        <v>11017</v>
      </c>
      <c r="B1619" s="411" t="s">
        <v>8764</v>
      </c>
      <c r="C1619" s="401" t="s">
        <v>998</v>
      </c>
      <c r="D1619" s="600">
        <v>5.23</v>
      </c>
    </row>
    <row r="1620" spans="1:4" ht="25.5">
      <c r="A1620" s="401">
        <v>20236</v>
      </c>
      <c r="B1620" s="411" t="s">
        <v>8765</v>
      </c>
      <c r="C1620" s="401" t="s">
        <v>998</v>
      </c>
      <c r="D1620" s="600">
        <v>23.03</v>
      </c>
    </row>
    <row r="1621" spans="1:4" ht="25.5">
      <c r="A1621" s="401">
        <v>7215</v>
      </c>
      <c r="B1621" s="411" t="s">
        <v>8766</v>
      </c>
      <c r="C1621" s="401" t="s">
        <v>998</v>
      </c>
      <c r="D1621" s="600">
        <v>19.72</v>
      </c>
    </row>
    <row r="1622" spans="1:4" ht="25.5">
      <c r="A1622" s="401">
        <v>7216</v>
      </c>
      <c r="B1622" s="411" t="s">
        <v>8767</v>
      </c>
      <c r="C1622" s="401" t="s">
        <v>998</v>
      </c>
      <c r="D1622" s="600">
        <v>82.42</v>
      </c>
    </row>
    <row r="1623" spans="1:4" ht="25.5">
      <c r="A1623" s="401">
        <v>20235</v>
      </c>
      <c r="B1623" s="411" t="s">
        <v>8768</v>
      </c>
      <c r="C1623" s="401" t="s">
        <v>998</v>
      </c>
      <c r="D1623" s="600">
        <v>41.67</v>
      </c>
    </row>
    <row r="1624" spans="1:4">
      <c r="A1624" s="401">
        <v>7181</v>
      </c>
      <c r="B1624" s="411" t="s">
        <v>8769</v>
      </c>
      <c r="C1624" s="401" t="s">
        <v>998</v>
      </c>
      <c r="D1624" s="600">
        <v>4.1399999999999997</v>
      </c>
    </row>
    <row r="1625" spans="1:4" ht="25.5">
      <c r="A1625" s="401">
        <v>40866</v>
      </c>
      <c r="B1625" s="411" t="s">
        <v>8770</v>
      </c>
      <c r="C1625" s="401" t="s">
        <v>998</v>
      </c>
      <c r="D1625" s="600">
        <v>7.83</v>
      </c>
    </row>
    <row r="1626" spans="1:4" ht="25.5">
      <c r="A1626" s="401">
        <v>7214</v>
      </c>
      <c r="B1626" s="411" t="s">
        <v>8771</v>
      </c>
      <c r="C1626" s="401" t="s">
        <v>998</v>
      </c>
      <c r="D1626" s="600">
        <v>28.24</v>
      </c>
    </row>
    <row r="1627" spans="1:4" ht="25.5">
      <c r="A1627" s="401">
        <v>7219</v>
      </c>
      <c r="B1627" s="411" t="s">
        <v>8772</v>
      </c>
      <c r="C1627" s="401" t="s">
        <v>998</v>
      </c>
      <c r="D1627" s="600">
        <v>29.23</v>
      </c>
    </row>
    <row r="1628" spans="1:4">
      <c r="A1628" s="401">
        <v>37972</v>
      </c>
      <c r="B1628" s="411" t="s">
        <v>8773</v>
      </c>
      <c r="C1628" s="401" t="s">
        <v>998</v>
      </c>
      <c r="D1628" s="600">
        <v>8.35</v>
      </c>
    </row>
    <row r="1629" spans="1:4">
      <c r="A1629" s="401">
        <v>37973</v>
      </c>
      <c r="B1629" s="411" t="s">
        <v>8774</v>
      </c>
      <c r="C1629" s="401" t="s">
        <v>998</v>
      </c>
      <c r="D1629" s="600">
        <v>13.37</v>
      </c>
    </row>
    <row r="1630" spans="1:4">
      <c r="A1630" s="401">
        <v>37971</v>
      </c>
      <c r="B1630" s="411" t="s">
        <v>8775</v>
      </c>
      <c r="C1630" s="401" t="s">
        <v>998</v>
      </c>
      <c r="D1630" s="600">
        <v>5.01</v>
      </c>
    </row>
    <row r="1631" spans="1:4" ht="25.5">
      <c r="A1631" s="401">
        <v>20094</v>
      </c>
      <c r="B1631" s="411" t="s">
        <v>8776</v>
      </c>
      <c r="C1631" s="401" t="s">
        <v>998</v>
      </c>
      <c r="D1631" s="600">
        <v>15.54</v>
      </c>
    </row>
    <row r="1632" spans="1:4" ht="25.5">
      <c r="A1632" s="401">
        <v>20095</v>
      </c>
      <c r="B1632" s="411" t="s">
        <v>8777</v>
      </c>
      <c r="C1632" s="401" t="s">
        <v>998</v>
      </c>
      <c r="D1632" s="600">
        <v>19.79</v>
      </c>
    </row>
    <row r="1633" spans="1:4">
      <c r="A1633" s="401">
        <v>1954</v>
      </c>
      <c r="B1633" s="411" t="s">
        <v>8778</v>
      </c>
      <c r="C1633" s="401" t="s">
        <v>998</v>
      </c>
      <c r="D1633" s="600">
        <v>103.3</v>
      </c>
    </row>
    <row r="1634" spans="1:4">
      <c r="A1634" s="401">
        <v>1926</v>
      </c>
      <c r="B1634" s="411" t="s">
        <v>8779</v>
      </c>
      <c r="C1634" s="401" t="s">
        <v>998</v>
      </c>
      <c r="D1634" s="600">
        <v>1.36</v>
      </c>
    </row>
    <row r="1635" spans="1:4">
      <c r="A1635" s="401">
        <v>1927</v>
      </c>
      <c r="B1635" s="411" t="s">
        <v>8780</v>
      </c>
      <c r="C1635" s="401" t="s">
        <v>998</v>
      </c>
      <c r="D1635" s="600">
        <v>1.8</v>
      </c>
    </row>
    <row r="1636" spans="1:4">
      <c r="A1636" s="401">
        <v>1923</v>
      </c>
      <c r="B1636" s="411" t="s">
        <v>8781</v>
      </c>
      <c r="C1636" s="401" t="s">
        <v>998</v>
      </c>
      <c r="D1636" s="600">
        <v>2.94</v>
      </c>
    </row>
    <row r="1637" spans="1:4">
      <c r="A1637" s="401">
        <v>1929</v>
      </c>
      <c r="B1637" s="411" t="s">
        <v>8782</v>
      </c>
      <c r="C1637" s="401" t="s">
        <v>998</v>
      </c>
      <c r="D1637" s="600">
        <v>4.82</v>
      </c>
    </row>
    <row r="1638" spans="1:4">
      <c r="A1638" s="401">
        <v>1930</v>
      </c>
      <c r="B1638" s="411" t="s">
        <v>8783</v>
      </c>
      <c r="C1638" s="401" t="s">
        <v>998</v>
      </c>
      <c r="D1638" s="600">
        <v>9.35</v>
      </c>
    </row>
    <row r="1639" spans="1:4">
      <c r="A1639" s="401">
        <v>1924</v>
      </c>
      <c r="B1639" s="411" t="s">
        <v>8784</v>
      </c>
      <c r="C1639" s="401" t="s">
        <v>998</v>
      </c>
      <c r="D1639" s="600">
        <v>16.12</v>
      </c>
    </row>
    <row r="1640" spans="1:4">
      <c r="A1640" s="401">
        <v>1922</v>
      </c>
      <c r="B1640" s="411" t="s">
        <v>8785</v>
      </c>
      <c r="C1640" s="401" t="s">
        <v>998</v>
      </c>
      <c r="D1640" s="600">
        <v>23.95</v>
      </c>
    </row>
    <row r="1641" spans="1:4">
      <c r="A1641" s="401">
        <v>1953</v>
      </c>
      <c r="B1641" s="411" t="s">
        <v>8786</v>
      </c>
      <c r="C1641" s="401" t="s">
        <v>998</v>
      </c>
      <c r="D1641" s="600">
        <v>41.85</v>
      </c>
    </row>
    <row r="1642" spans="1:4">
      <c r="A1642" s="401">
        <v>1962</v>
      </c>
      <c r="B1642" s="411" t="s">
        <v>8787</v>
      </c>
      <c r="C1642" s="401" t="s">
        <v>998</v>
      </c>
      <c r="D1642" s="600">
        <v>136.93</v>
      </c>
    </row>
    <row r="1643" spans="1:4">
      <c r="A1643" s="401">
        <v>1955</v>
      </c>
      <c r="B1643" s="411" t="s">
        <v>8788</v>
      </c>
      <c r="C1643" s="401" t="s">
        <v>998</v>
      </c>
      <c r="D1643" s="600">
        <v>1.81</v>
      </c>
    </row>
    <row r="1644" spans="1:4">
      <c r="A1644" s="401">
        <v>1956</v>
      </c>
      <c r="B1644" s="411" t="s">
        <v>8789</v>
      </c>
      <c r="C1644" s="401" t="s">
        <v>998</v>
      </c>
      <c r="D1644" s="600">
        <v>2.33</v>
      </c>
    </row>
    <row r="1645" spans="1:4">
      <c r="A1645" s="401">
        <v>1957</v>
      </c>
      <c r="B1645" s="411" t="s">
        <v>8790</v>
      </c>
      <c r="C1645" s="401" t="s">
        <v>998</v>
      </c>
      <c r="D1645" s="600">
        <v>5.3</v>
      </c>
    </row>
    <row r="1646" spans="1:4">
      <c r="A1646" s="401">
        <v>1958</v>
      </c>
      <c r="B1646" s="411" t="s">
        <v>8791</v>
      </c>
      <c r="C1646" s="401" t="s">
        <v>998</v>
      </c>
      <c r="D1646" s="600">
        <v>9.42</v>
      </c>
    </row>
    <row r="1647" spans="1:4">
      <c r="A1647" s="401">
        <v>1959</v>
      </c>
      <c r="B1647" s="411" t="s">
        <v>8792</v>
      </c>
      <c r="C1647" s="401" t="s">
        <v>998</v>
      </c>
      <c r="D1647" s="600">
        <v>11.48</v>
      </c>
    </row>
    <row r="1648" spans="1:4">
      <c r="A1648" s="401">
        <v>1925</v>
      </c>
      <c r="B1648" s="411" t="s">
        <v>8793</v>
      </c>
      <c r="C1648" s="401" t="s">
        <v>998</v>
      </c>
      <c r="D1648" s="600">
        <v>28.39</v>
      </c>
    </row>
    <row r="1649" spans="1:4">
      <c r="A1649" s="401">
        <v>1960</v>
      </c>
      <c r="B1649" s="411" t="s">
        <v>8794</v>
      </c>
      <c r="C1649" s="401" t="s">
        <v>998</v>
      </c>
      <c r="D1649" s="600">
        <v>40.36</v>
      </c>
    </row>
    <row r="1650" spans="1:4">
      <c r="A1650" s="401">
        <v>1961</v>
      </c>
      <c r="B1650" s="411" t="s">
        <v>8795</v>
      </c>
      <c r="C1650" s="401" t="s">
        <v>998</v>
      </c>
      <c r="D1650" s="600">
        <v>58</v>
      </c>
    </row>
    <row r="1651" spans="1:4">
      <c r="A1651" s="401">
        <v>38426</v>
      </c>
      <c r="B1651" s="411" t="s">
        <v>8796</v>
      </c>
      <c r="C1651" s="401" t="s">
        <v>998</v>
      </c>
      <c r="D1651" s="600">
        <v>17.43</v>
      </c>
    </row>
    <row r="1652" spans="1:4">
      <c r="A1652" s="401">
        <v>38423</v>
      </c>
      <c r="B1652" s="411" t="s">
        <v>8797</v>
      </c>
      <c r="C1652" s="401" t="s">
        <v>998</v>
      </c>
      <c r="D1652" s="600">
        <v>39.53</v>
      </c>
    </row>
    <row r="1653" spans="1:4">
      <c r="A1653" s="401">
        <v>38421</v>
      </c>
      <c r="B1653" s="411" t="s">
        <v>8798</v>
      </c>
      <c r="C1653" s="401" t="s">
        <v>998</v>
      </c>
      <c r="D1653" s="600">
        <v>18.66</v>
      </c>
    </row>
    <row r="1654" spans="1:4">
      <c r="A1654" s="401">
        <v>38422</v>
      </c>
      <c r="B1654" s="411" t="s">
        <v>8799</v>
      </c>
      <c r="C1654" s="401" t="s">
        <v>998</v>
      </c>
      <c r="D1654" s="600">
        <v>27.28</v>
      </c>
    </row>
    <row r="1655" spans="1:4" ht="25.5">
      <c r="A1655" s="401">
        <v>39866</v>
      </c>
      <c r="B1655" s="411" t="s">
        <v>8800</v>
      </c>
      <c r="C1655" s="401" t="s">
        <v>998</v>
      </c>
      <c r="D1655" s="600">
        <v>11.73</v>
      </c>
    </row>
    <row r="1656" spans="1:4" ht="25.5">
      <c r="A1656" s="401">
        <v>39867</v>
      </c>
      <c r="B1656" s="411" t="s">
        <v>8801</v>
      </c>
      <c r="C1656" s="401" t="s">
        <v>998</v>
      </c>
      <c r="D1656" s="600">
        <v>26.08</v>
      </c>
    </row>
    <row r="1657" spans="1:4" ht="25.5">
      <c r="A1657" s="401">
        <v>39868</v>
      </c>
      <c r="B1657" s="411" t="s">
        <v>8802</v>
      </c>
      <c r="C1657" s="401" t="s">
        <v>998</v>
      </c>
      <c r="D1657" s="600">
        <v>46.98</v>
      </c>
    </row>
    <row r="1658" spans="1:4">
      <c r="A1658" s="401">
        <v>37999</v>
      </c>
      <c r="B1658" s="411" t="s">
        <v>8803</v>
      </c>
      <c r="C1658" s="401" t="s">
        <v>998</v>
      </c>
      <c r="D1658" s="600">
        <v>8.01</v>
      </c>
    </row>
    <row r="1659" spans="1:4">
      <c r="A1659" s="401">
        <v>38000</v>
      </c>
      <c r="B1659" s="411" t="s">
        <v>8804</v>
      </c>
      <c r="C1659" s="401" t="s">
        <v>998</v>
      </c>
      <c r="D1659" s="600">
        <v>10.59</v>
      </c>
    </row>
    <row r="1660" spans="1:4">
      <c r="A1660" s="401">
        <v>38129</v>
      </c>
      <c r="B1660" s="411" t="s">
        <v>8805</v>
      </c>
      <c r="C1660" s="401" t="s">
        <v>998</v>
      </c>
      <c r="D1660" s="600">
        <v>3.14</v>
      </c>
    </row>
    <row r="1661" spans="1:4">
      <c r="A1661" s="401">
        <v>38025</v>
      </c>
      <c r="B1661" s="411" t="s">
        <v>8806</v>
      </c>
      <c r="C1661" s="401" t="s">
        <v>998</v>
      </c>
      <c r="D1661" s="600">
        <v>5.24</v>
      </c>
    </row>
    <row r="1662" spans="1:4">
      <c r="A1662" s="401">
        <v>38026</v>
      </c>
      <c r="B1662" s="411" t="s">
        <v>8807</v>
      </c>
      <c r="C1662" s="401" t="s">
        <v>998</v>
      </c>
      <c r="D1662" s="600">
        <v>14.04</v>
      </c>
    </row>
    <row r="1663" spans="1:4" ht="25.5">
      <c r="A1663" s="401">
        <v>1858</v>
      </c>
      <c r="B1663" s="411" t="s">
        <v>8808</v>
      </c>
      <c r="C1663" s="401" t="s">
        <v>998</v>
      </c>
      <c r="D1663" s="600">
        <v>21.76</v>
      </c>
    </row>
    <row r="1664" spans="1:4" ht="25.5">
      <c r="A1664" s="401">
        <v>1844</v>
      </c>
      <c r="B1664" s="411" t="s">
        <v>8809</v>
      </c>
      <c r="C1664" s="401" t="s">
        <v>998</v>
      </c>
      <c r="D1664" s="600">
        <v>80.22</v>
      </c>
    </row>
    <row r="1665" spans="1:4" ht="25.5">
      <c r="A1665" s="401">
        <v>1863</v>
      </c>
      <c r="B1665" s="411" t="s">
        <v>8810</v>
      </c>
      <c r="C1665" s="401" t="s">
        <v>998</v>
      </c>
      <c r="D1665" s="600">
        <v>31.57</v>
      </c>
    </row>
    <row r="1666" spans="1:4" ht="25.5">
      <c r="A1666" s="401">
        <v>1865</v>
      </c>
      <c r="B1666" s="411" t="s">
        <v>8811</v>
      </c>
      <c r="C1666" s="401" t="s">
        <v>998</v>
      </c>
      <c r="D1666" s="600">
        <v>115.2</v>
      </c>
    </row>
    <row r="1667" spans="1:4">
      <c r="A1667" s="401">
        <v>36355</v>
      </c>
      <c r="B1667" s="411" t="s">
        <v>8812</v>
      </c>
      <c r="C1667" s="401" t="s">
        <v>998</v>
      </c>
      <c r="D1667" s="600">
        <v>4.8499999999999996</v>
      </c>
    </row>
    <row r="1668" spans="1:4">
      <c r="A1668" s="401">
        <v>36356</v>
      </c>
      <c r="B1668" s="411" t="s">
        <v>8813</v>
      </c>
      <c r="C1668" s="401" t="s">
        <v>998</v>
      </c>
      <c r="D1668" s="600">
        <v>8.16</v>
      </c>
    </row>
    <row r="1669" spans="1:4">
      <c r="A1669" s="401">
        <v>1932</v>
      </c>
      <c r="B1669" s="411" t="s">
        <v>8814</v>
      </c>
      <c r="C1669" s="401" t="s">
        <v>998</v>
      </c>
      <c r="D1669" s="600">
        <v>6.73</v>
      </c>
    </row>
    <row r="1670" spans="1:4">
      <c r="A1670" s="401">
        <v>1933</v>
      </c>
      <c r="B1670" s="411" t="s">
        <v>8815</v>
      </c>
      <c r="C1670" s="401" t="s">
        <v>998</v>
      </c>
      <c r="D1670" s="600">
        <v>2.96</v>
      </c>
    </row>
    <row r="1671" spans="1:4">
      <c r="A1671" s="401">
        <v>1951</v>
      </c>
      <c r="B1671" s="411" t="s">
        <v>8816</v>
      </c>
      <c r="C1671" s="401" t="s">
        <v>998</v>
      </c>
      <c r="D1671" s="600">
        <v>13.17</v>
      </c>
    </row>
    <row r="1672" spans="1:4">
      <c r="A1672" s="401">
        <v>1966</v>
      </c>
      <c r="B1672" s="411" t="s">
        <v>8817</v>
      </c>
      <c r="C1672" s="401" t="s">
        <v>998</v>
      </c>
      <c r="D1672" s="600">
        <v>15.15</v>
      </c>
    </row>
    <row r="1673" spans="1:4">
      <c r="A1673" s="401">
        <v>1952</v>
      </c>
      <c r="B1673" s="411" t="s">
        <v>8818</v>
      </c>
      <c r="C1673" s="401" t="s">
        <v>998</v>
      </c>
      <c r="D1673" s="600">
        <v>56.92</v>
      </c>
    </row>
    <row r="1674" spans="1:4">
      <c r="A1674" s="401">
        <v>20104</v>
      </c>
      <c r="B1674" s="411" t="s">
        <v>8819</v>
      </c>
      <c r="C1674" s="401" t="s">
        <v>998</v>
      </c>
      <c r="D1674" s="600">
        <v>420.56</v>
      </c>
    </row>
    <row r="1675" spans="1:4">
      <c r="A1675" s="401">
        <v>20105</v>
      </c>
      <c r="B1675" s="411" t="s">
        <v>8820</v>
      </c>
      <c r="C1675" s="401" t="s">
        <v>998</v>
      </c>
      <c r="D1675" s="600">
        <v>655.07000000000005</v>
      </c>
    </row>
    <row r="1676" spans="1:4">
      <c r="A1676" s="401">
        <v>1965</v>
      </c>
      <c r="B1676" s="411" t="s">
        <v>8821</v>
      </c>
      <c r="C1676" s="401" t="s">
        <v>998</v>
      </c>
      <c r="D1676" s="600">
        <v>30.72</v>
      </c>
    </row>
    <row r="1677" spans="1:4">
      <c r="A1677" s="401">
        <v>10765</v>
      </c>
      <c r="B1677" s="411" t="s">
        <v>8822</v>
      </c>
      <c r="C1677" s="401" t="s">
        <v>998</v>
      </c>
      <c r="D1677" s="600">
        <v>7.76</v>
      </c>
    </row>
    <row r="1678" spans="1:4">
      <c r="A1678" s="401">
        <v>10767</v>
      </c>
      <c r="B1678" s="411" t="s">
        <v>8823</v>
      </c>
      <c r="C1678" s="401" t="s">
        <v>998</v>
      </c>
      <c r="D1678" s="600">
        <v>25.44</v>
      </c>
    </row>
    <row r="1679" spans="1:4">
      <c r="A1679" s="401">
        <v>1970</v>
      </c>
      <c r="B1679" s="411" t="s">
        <v>8824</v>
      </c>
      <c r="C1679" s="401" t="s">
        <v>998</v>
      </c>
      <c r="D1679" s="600">
        <v>31.89</v>
      </c>
    </row>
    <row r="1680" spans="1:4">
      <c r="A1680" s="401">
        <v>1967</v>
      </c>
      <c r="B1680" s="411" t="s">
        <v>8825</v>
      </c>
      <c r="C1680" s="401" t="s">
        <v>998</v>
      </c>
      <c r="D1680" s="600">
        <v>3.55</v>
      </c>
    </row>
    <row r="1681" spans="1:4">
      <c r="A1681" s="401">
        <v>1968</v>
      </c>
      <c r="B1681" s="411" t="s">
        <v>8826</v>
      </c>
      <c r="C1681" s="401" t="s">
        <v>998</v>
      </c>
      <c r="D1681" s="600">
        <v>7.43</v>
      </c>
    </row>
    <row r="1682" spans="1:4">
      <c r="A1682" s="401">
        <v>1969</v>
      </c>
      <c r="B1682" s="411" t="s">
        <v>8827</v>
      </c>
      <c r="C1682" s="401" t="s">
        <v>998</v>
      </c>
      <c r="D1682" s="600">
        <v>21.87</v>
      </c>
    </row>
    <row r="1683" spans="1:4">
      <c r="A1683" s="401">
        <v>1839</v>
      </c>
      <c r="B1683" s="411" t="s">
        <v>8828</v>
      </c>
      <c r="C1683" s="401" t="s">
        <v>998</v>
      </c>
      <c r="D1683" s="600">
        <v>103.78</v>
      </c>
    </row>
    <row r="1684" spans="1:4">
      <c r="A1684" s="401">
        <v>1835</v>
      </c>
      <c r="B1684" s="411" t="s">
        <v>8829</v>
      </c>
      <c r="C1684" s="401" t="s">
        <v>998</v>
      </c>
      <c r="D1684" s="600">
        <v>22.06</v>
      </c>
    </row>
    <row r="1685" spans="1:4">
      <c r="A1685" s="401">
        <v>1823</v>
      </c>
      <c r="B1685" s="411" t="s">
        <v>8830</v>
      </c>
      <c r="C1685" s="401" t="s">
        <v>998</v>
      </c>
      <c r="D1685" s="600">
        <v>42.66</v>
      </c>
    </row>
    <row r="1686" spans="1:4">
      <c r="A1686" s="401">
        <v>1827</v>
      </c>
      <c r="B1686" s="411" t="s">
        <v>8831</v>
      </c>
      <c r="C1686" s="401" t="s">
        <v>998</v>
      </c>
      <c r="D1686" s="600">
        <v>102.77</v>
      </c>
    </row>
    <row r="1687" spans="1:4">
      <c r="A1687" s="401">
        <v>1831</v>
      </c>
      <c r="B1687" s="411" t="s">
        <v>8832</v>
      </c>
      <c r="C1687" s="401" t="s">
        <v>998</v>
      </c>
      <c r="D1687" s="600">
        <v>22.43</v>
      </c>
    </row>
    <row r="1688" spans="1:4">
      <c r="A1688" s="401">
        <v>1825</v>
      </c>
      <c r="B1688" s="411" t="s">
        <v>8833</v>
      </c>
      <c r="C1688" s="401" t="s">
        <v>998</v>
      </c>
      <c r="D1688" s="600">
        <v>55.37</v>
      </c>
    </row>
    <row r="1689" spans="1:4">
      <c r="A1689" s="401">
        <v>1828</v>
      </c>
      <c r="B1689" s="411" t="s">
        <v>8834</v>
      </c>
      <c r="C1689" s="401" t="s">
        <v>998</v>
      </c>
      <c r="D1689" s="600">
        <v>125.41</v>
      </c>
    </row>
    <row r="1690" spans="1:4">
      <c r="A1690" s="401">
        <v>1845</v>
      </c>
      <c r="B1690" s="411" t="s">
        <v>8835</v>
      </c>
      <c r="C1690" s="401" t="s">
        <v>998</v>
      </c>
      <c r="D1690" s="600">
        <v>28.11</v>
      </c>
    </row>
    <row r="1691" spans="1:4">
      <c r="A1691" s="401">
        <v>1824</v>
      </c>
      <c r="B1691" s="411" t="s">
        <v>8836</v>
      </c>
      <c r="C1691" s="401" t="s">
        <v>998</v>
      </c>
      <c r="D1691" s="600">
        <v>66.37</v>
      </c>
    </row>
    <row r="1692" spans="1:4">
      <c r="A1692" s="401">
        <v>1941</v>
      </c>
      <c r="B1692" s="411" t="s">
        <v>8837</v>
      </c>
      <c r="C1692" s="401" t="s">
        <v>998</v>
      </c>
      <c r="D1692" s="600">
        <v>20.23</v>
      </c>
    </row>
    <row r="1693" spans="1:4">
      <c r="A1693" s="401">
        <v>1940</v>
      </c>
      <c r="B1693" s="411" t="s">
        <v>8838</v>
      </c>
      <c r="C1693" s="401" t="s">
        <v>998</v>
      </c>
      <c r="D1693" s="600">
        <v>15.29</v>
      </c>
    </row>
    <row r="1694" spans="1:4">
      <c r="A1694" s="401">
        <v>1937</v>
      </c>
      <c r="B1694" s="411" t="s">
        <v>8839</v>
      </c>
      <c r="C1694" s="401" t="s">
        <v>998</v>
      </c>
      <c r="D1694" s="600">
        <v>3.17</v>
      </c>
    </row>
    <row r="1695" spans="1:4">
      <c r="A1695" s="401">
        <v>1939</v>
      </c>
      <c r="B1695" s="411" t="s">
        <v>8840</v>
      </c>
      <c r="C1695" s="401" t="s">
        <v>998</v>
      </c>
      <c r="D1695" s="600">
        <v>6.29</v>
      </c>
    </row>
    <row r="1696" spans="1:4">
      <c r="A1696" s="401">
        <v>1942</v>
      </c>
      <c r="B1696" s="411" t="s">
        <v>8841</v>
      </c>
      <c r="C1696" s="401" t="s">
        <v>998</v>
      </c>
      <c r="D1696" s="600">
        <v>28.88</v>
      </c>
    </row>
    <row r="1697" spans="1:4">
      <c r="A1697" s="401">
        <v>1938</v>
      </c>
      <c r="B1697" s="411" t="s">
        <v>7071</v>
      </c>
      <c r="C1697" s="401" t="s">
        <v>998</v>
      </c>
      <c r="D1697" s="600">
        <v>4.0199999999999996</v>
      </c>
    </row>
    <row r="1698" spans="1:4" ht="25.5">
      <c r="A1698" s="401">
        <v>42692</v>
      </c>
      <c r="B1698" s="411" t="s">
        <v>8842</v>
      </c>
      <c r="C1698" s="401" t="s">
        <v>998</v>
      </c>
      <c r="D1698" s="600">
        <v>255.59</v>
      </c>
    </row>
    <row r="1699" spans="1:4" ht="25.5">
      <c r="A1699" s="401">
        <v>42693</v>
      </c>
      <c r="B1699" s="411" t="s">
        <v>8843</v>
      </c>
      <c r="C1699" s="401" t="s">
        <v>998</v>
      </c>
      <c r="D1699" s="600">
        <v>420.43</v>
      </c>
    </row>
    <row r="1700" spans="1:4" ht="25.5">
      <c r="A1700" s="401">
        <v>42695</v>
      </c>
      <c r="B1700" s="411" t="s">
        <v>8844</v>
      </c>
      <c r="C1700" s="401" t="s">
        <v>998</v>
      </c>
      <c r="D1700" s="600">
        <v>319.67</v>
      </c>
    </row>
    <row r="1701" spans="1:4" ht="25.5">
      <c r="A1701" s="401">
        <v>42694</v>
      </c>
      <c r="B1701" s="411" t="s">
        <v>8845</v>
      </c>
      <c r="C1701" s="401" t="s">
        <v>998</v>
      </c>
      <c r="D1701" s="600">
        <v>472.6</v>
      </c>
    </row>
    <row r="1702" spans="1:4" ht="25.5">
      <c r="A1702" s="401">
        <v>20097</v>
      </c>
      <c r="B1702" s="411" t="s">
        <v>8846</v>
      </c>
      <c r="C1702" s="401" t="s">
        <v>998</v>
      </c>
      <c r="D1702" s="600">
        <v>30.13</v>
      </c>
    </row>
    <row r="1703" spans="1:4" ht="25.5">
      <c r="A1703" s="401">
        <v>20098</v>
      </c>
      <c r="B1703" s="411" t="s">
        <v>8847</v>
      </c>
      <c r="C1703" s="401" t="s">
        <v>998</v>
      </c>
      <c r="D1703" s="600">
        <v>101.59</v>
      </c>
    </row>
    <row r="1704" spans="1:4" ht="25.5">
      <c r="A1704" s="401">
        <v>20096</v>
      </c>
      <c r="B1704" s="411" t="s">
        <v>8848</v>
      </c>
      <c r="C1704" s="401" t="s">
        <v>998</v>
      </c>
      <c r="D1704" s="600">
        <v>19.71</v>
      </c>
    </row>
    <row r="1705" spans="1:4">
      <c r="A1705" s="401">
        <v>1964</v>
      </c>
      <c r="B1705" s="411" t="s">
        <v>8849</v>
      </c>
      <c r="C1705" s="401" t="s">
        <v>998</v>
      </c>
      <c r="D1705" s="600">
        <v>18.22</v>
      </c>
    </row>
    <row r="1706" spans="1:4">
      <c r="A1706" s="401">
        <v>1880</v>
      </c>
      <c r="B1706" s="411" t="s">
        <v>8850</v>
      </c>
      <c r="C1706" s="401" t="s">
        <v>998</v>
      </c>
      <c r="D1706" s="600">
        <v>2.2999999999999998</v>
      </c>
    </row>
    <row r="1707" spans="1:4">
      <c r="A1707" s="401">
        <v>39274</v>
      </c>
      <c r="B1707" s="411" t="s">
        <v>8851</v>
      </c>
      <c r="C1707" s="401" t="s">
        <v>998</v>
      </c>
      <c r="D1707" s="600">
        <v>1.79</v>
      </c>
    </row>
    <row r="1708" spans="1:4" ht="25.5">
      <c r="A1708" s="401">
        <v>2628</v>
      </c>
      <c r="B1708" s="411" t="s">
        <v>8852</v>
      </c>
      <c r="C1708" s="401" t="s">
        <v>998</v>
      </c>
      <c r="D1708" s="600">
        <v>199.84</v>
      </c>
    </row>
    <row r="1709" spans="1:4" ht="25.5">
      <c r="A1709" s="401">
        <v>2622</v>
      </c>
      <c r="B1709" s="411" t="s">
        <v>8853</v>
      </c>
      <c r="C1709" s="401" t="s">
        <v>998</v>
      </c>
      <c r="D1709" s="600">
        <v>4.74</v>
      </c>
    </row>
    <row r="1710" spans="1:4" ht="25.5">
      <c r="A1710" s="401">
        <v>2623</v>
      </c>
      <c r="B1710" s="411" t="s">
        <v>8854</v>
      </c>
      <c r="C1710" s="401" t="s">
        <v>998</v>
      </c>
      <c r="D1710" s="600">
        <v>5.71</v>
      </c>
    </row>
    <row r="1711" spans="1:4" ht="25.5">
      <c r="A1711" s="401">
        <v>2624</v>
      </c>
      <c r="B1711" s="411" t="s">
        <v>8855</v>
      </c>
      <c r="C1711" s="401" t="s">
        <v>998</v>
      </c>
      <c r="D1711" s="600">
        <v>9.08</v>
      </c>
    </row>
    <row r="1712" spans="1:4" ht="25.5">
      <c r="A1712" s="401">
        <v>2625</v>
      </c>
      <c r="B1712" s="411" t="s">
        <v>8856</v>
      </c>
      <c r="C1712" s="401" t="s">
        <v>998</v>
      </c>
      <c r="D1712" s="600">
        <v>19.170000000000002</v>
      </c>
    </row>
    <row r="1713" spans="1:4" ht="25.5">
      <c r="A1713" s="401">
        <v>2626</v>
      </c>
      <c r="B1713" s="411" t="s">
        <v>8857</v>
      </c>
      <c r="C1713" s="401" t="s">
        <v>998</v>
      </c>
      <c r="D1713" s="600">
        <v>28.09</v>
      </c>
    </row>
    <row r="1714" spans="1:4" ht="25.5">
      <c r="A1714" s="401">
        <v>2630</v>
      </c>
      <c r="B1714" s="411" t="s">
        <v>8858</v>
      </c>
      <c r="C1714" s="401" t="s">
        <v>998</v>
      </c>
      <c r="D1714" s="600">
        <v>42.73</v>
      </c>
    </row>
    <row r="1715" spans="1:4" ht="25.5">
      <c r="A1715" s="401">
        <v>2627</v>
      </c>
      <c r="B1715" s="411" t="s">
        <v>8859</v>
      </c>
      <c r="C1715" s="401" t="s">
        <v>998</v>
      </c>
      <c r="D1715" s="600">
        <v>75.27</v>
      </c>
    </row>
    <row r="1716" spans="1:4" ht="25.5">
      <c r="A1716" s="401">
        <v>2629</v>
      </c>
      <c r="B1716" s="411" t="s">
        <v>8860</v>
      </c>
      <c r="C1716" s="401" t="s">
        <v>998</v>
      </c>
      <c r="D1716" s="600">
        <v>101.81</v>
      </c>
    </row>
    <row r="1717" spans="1:4">
      <c r="A1717" s="401">
        <v>12033</v>
      </c>
      <c r="B1717" s="411" t="s">
        <v>8861</v>
      </c>
      <c r="C1717" s="401" t="s">
        <v>998</v>
      </c>
      <c r="D1717" s="600">
        <v>7.36</v>
      </c>
    </row>
    <row r="1718" spans="1:4">
      <c r="A1718" s="401">
        <v>40408</v>
      </c>
      <c r="B1718" s="411" t="s">
        <v>8862</v>
      </c>
      <c r="C1718" s="401" t="s">
        <v>998</v>
      </c>
      <c r="D1718" s="600">
        <v>4.84</v>
      </c>
    </row>
    <row r="1719" spans="1:4">
      <c r="A1719" s="401">
        <v>40409</v>
      </c>
      <c r="B1719" s="411" t="s">
        <v>8863</v>
      </c>
      <c r="C1719" s="401" t="s">
        <v>998</v>
      </c>
      <c r="D1719" s="600">
        <v>1.71</v>
      </c>
    </row>
    <row r="1720" spans="1:4">
      <c r="A1720" s="401">
        <v>39276</v>
      </c>
      <c r="B1720" s="411" t="s">
        <v>8864</v>
      </c>
      <c r="C1720" s="401" t="s">
        <v>998</v>
      </c>
      <c r="D1720" s="600">
        <v>4.3600000000000003</v>
      </c>
    </row>
    <row r="1721" spans="1:4">
      <c r="A1721" s="401">
        <v>39277</v>
      </c>
      <c r="B1721" s="411" t="s">
        <v>8865</v>
      </c>
      <c r="C1721" s="401" t="s">
        <v>998</v>
      </c>
      <c r="D1721" s="600">
        <v>11.77</v>
      </c>
    </row>
    <row r="1722" spans="1:4">
      <c r="A1722" s="401">
        <v>12034</v>
      </c>
      <c r="B1722" s="411" t="s">
        <v>8866</v>
      </c>
      <c r="C1722" s="401" t="s">
        <v>998</v>
      </c>
      <c r="D1722" s="600">
        <v>3.33</v>
      </c>
    </row>
    <row r="1723" spans="1:4">
      <c r="A1723" s="401">
        <v>39879</v>
      </c>
      <c r="B1723" s="411" t="s">
        <v>8867</v>
      </c>
      <c r="C1723" s="401" t="s">
        <v>998</v>
      </c>
      <c r="D1723" s="600">
        <v>3.29</v>
      </c>
    </row>
    <row r="1724" spans="1:4">
      <c r="A1724" s="401">
        <v>39880</v>
      </c>
      <c r="B1724" s="411" t="s">
        <v>8868</v>
      </c>
      <c r="C1724" s="401" t="s">
        <v>998</v>
      </c>
      <c r="D1724" s="600">
        <v>7.3</v>
      </c>
    </row>
    <row r="1725" spans="1:4">
      <c r="A1725" s="401">
        <v>39881</v>
      </c>
      <c r="B1725" s="411" t="s">
        <v>8869</v>
      </c>
      <c r="C1725" s="401" t="s">
        <v>998</v>
      </c>
      <c r="D1725" s="600">
        <v>11.72</v>
      </c>
    </row>
    <row r="1726" spans="1:4">
      <c r="A1726" s="401">
        <v>39882</v>
      </c>
      <c r="B1726" s="411" t="s">
        <v>8870</v>
      </c>
      <c r="C1726" s="401" t="s">
        <v>998</v>
      </c>
      <c r="D1726" s="600">
        <v>30.87</v>
      </c>
    </row>
    <row r="1727" spans="1:4">
      <c r="A1727" s="401">
        <v>39883</v>
      </c>
      <c r="B1727" s="411" t="s">
        <v>8871</v>
      </c>
      <c r="C1727" s="401" t="s">
        <v>998</v>
      </c>
      <c r="D1727" s="600">
        <v>49.29</v>
      </c>
    </row>
    <row r="1728" spans="1:4">
      <c r="A1728" s="401">
        <v>39884</v>
      </c>
      <c r="B1728" s="411" t="s">
        <v>8872</v>
      </c>
      <c r="C1728" s="401" t="s">
        <v>998</v>
      </c>
      <c r="D1728" s="600">
        <v>73.209999999999994</v>
      </c>
    </row>
    <row r="1729" spans="1:4">
      <c r="A1729" s="401">
        <v>39885</v>
      </c>
      <c r="B1729" s="411" t="s">
        <v>8873</v>
      </c>
      <c r="C1729" s="401" t="s">
        <v>998</v>
      </c>
      <c r="D1729" s="600">
        <v>174.01</v>
      </c>
    </row>
    <row r="1730" spans="1:4">
      <c r="A1730" s="401">
        <v>1777</v>
      </c>
      <c r="B1730" s="411" t="s">
        <v>8874</v>
      </c>
      <c r="C1730" s="401" t="s">
        <v>998</v>
      </c>
      <c r="D1730" s="600">
        <v>41.48</v>
      </c>
    </row>
    <row r="1731" spans="1:4">
      <c r="A1731" s="401">
        <v>1819</v>
      </c>
      <c r="B1731" s="411" t="s">
        <v>8875</v>
      </c>
      <c r="C1731" s="401" t="s">
        <v>998</v>
      </c>
      <c r="D1731" s="600">
        <v>30.18</v>
      </c>
    </row>
    <row r="1732" spans="1:4">
      <c r="A1732" s="401">
        <v>1775</v>
      </c>
      <c r="B1732" s="411" t="s">
        <v>8876</v>
      </c>
      <c r="C1732" s="401" t="s">
        <v>998</v>
      </c>
      <c r="D1732" s="600">
        <v>9.02</v>
      </c>
    </row>
    <row r="1733" spans="1:4">
      <c r="A1733" s="401">
        <v>1776</v>
      </c>
      <c r="B1733" s="411" t="s">
        <v>8877</v>
      </c>
      <c r="C1733" s="401" t="s">
        <v>998</v>
      </c>
      <c r="D1733" s="600">
        <v>24.55</v>
      </c>
    </row>
    <row r="1734" spans="1:4">
      <c r="A1734" s="401">
        <v>1778</v>
      </c>
      <c r="B1734" s="411" t="s">
        <v>8878</v>
      </c>
      <c r="C1734" s="401" t="s">
        <v>998</v>
      </c>
      <c r="D1734" s="600">
        <v>100.41</v>
      </c>
    </row>
    <row r="1735" spans="1:4">
      <c r="A1735" s="401">
        <v>1818</v>
      </c>
      <c r="B1735" s="411" t="s">
        <v>8879</v>
      </c>
      <c r="C1735" s="401" t="s">
        <v>998</v>
      </c>
      <c r="D1735" s="600">
        <v>66.650000000000006</v>
      </c>
    </row>
    <row r="1736" spans="1:4">
      <c r="A1736" s="401">
        <v>1820</v>
      </c>
      <c r="B1736" s="411" t="s">
        <v>8880</v>
      </c>
      <c r="C1736" s="401" t="s">
        <v>998</v>
      </c>
      <c r="D1736" s="600">
        <v>13.03</v>
      </c>
    </row>
    <row r="1737" spans="1:4">
      <c r="A1737" s="401">
        <v>1779</v>
      </c>
      <c r="B1737" s="411" t="s">
        <v>8881</v>
      </c>
      <c r="C1737" s="401" t="s">
        <v>998</v>
      </c>
      <c r="D1737" s="600">
        <v>146.04</v>
      </c>
    </row>
    <row r="1738" spans="1:4">
      <c r="A1738" s="401">
        <v>1780</v>
      </c>
      <c r="B1738" s="411" t="s">
        <v>8882</v>
      </c>
      <c r="C1738" s="401" t="s">
        <v>998</v>
      </c>
      <c r="D1738" s="600">
        <v>301.07</v>
      </c>
    </row>
    <row r="1739" spans="1:4">
      <c r="A1739" s="401">
        <v>1783</v>
      </c>
      <c r="B1739" s="411" t="s">
        <v>8883</v>
      </c>
      <c r="C1739" s="401" t="s">
        <v>998</v>
      </c>
      <c r="D1739" s="600">
        <v>31.83</v>
      </c>
    </row>
    <row r="1740" spans="1:4">
      <c r="A1740" s="401">
        <v>1782</v>
      </c>
      <c r="B1740" s="411" t="s">
        <v>8884</v>
      </c>
      <c r="C1740" s="401" t="s">
        <v>998</v>
      </c>
      <c r="D1740" s="600">
        <v>25.17</v>
      </c>
    </row>
    <row r="1741" spans="1:4">
      <c r="A1741" s="401">
        <v>1817</v>
      </c>
      <c r="B1741" s="411" t="s">
        <v>8885</v>
      </c>
      <c r="C1741" s="401" t="s">
        <v>998</v>
      </c>
      <c r="D1741" s="600">
        <v>7.5</v>
      </c>
    </row>
    <row r="1742" spans="1:4">
      <c r="A1742" s="401">
        <v>1781</v>
      </c>
      <c r="B1742" s="411" t="s">
        <v>8886</v>
      </c>
      <c r="C1742" s="401" t="s">
        <v>998</v>
      </c>
      <c r="D1742" s="600">
        <v>16.399999999999999</v>
      </c>
    </row>
    <row r="1743" spans="1:4">
      <c r="A1743" s="401">
        <v>1784</v>
      </c>
      <c r="B1743" s="411" t="s">
        <v>8887</v>
      </c>
      <c r="C1743" s="401" t="s">
        <v>998</v>
      </c>
      <c r="D1743" s="600">
        <v>89.88</v>
      </c>
    </row>
    <row r="1744" spans="1:4">
      <c r="A1744" s="401">
        <v>1810</v>
      </c>
      <c r="B1744" s="411" t="s">
        <v>8888</v>
      </c>
      <c r="C1744" s="401" t="s">
        <v>998</v>
      </c>
      <c r="D1744" s="600">
        <v>49.85</v>
      </c>
    </row>
    <row r="1745" spans="1:4">
      <c r="A1745" s="401">
        <v>1811</v>
      </c>
      <c r="B1745" s="411" t="s">
        <v>8889</v>
      </c>
      <c r="C1745" s="401" t="s">
        <v>998</v>
      </c>
      <c r="D1745" s="600">
        <v>10.78</v>
      </c>
    </row>
    <row r="1746" spans="1:4">
      <c r="A1746" s="401">
        <v>1812</v>
      </c>
      <c r="B1746" s="411" t="s">
        <v>8890</v>
      </c>
      <c r="C1746" s="401" t="s">
        <v>998</v>
      </c>
      <c r="D1746" s="600">
        <v>125.86</v>
      </c>
    </row>
    <row r="1747" spans="1:4">
      <c r="A1747" s="401">
        <v>40386</v>
      </c>
      <c r="B1747" s="411" t="s">
        <v>8891</v>
      </c>
      <c r="C1747" s="401" t="s">
        <v>998</v>
      </c>
      <c r="D1747" s="600">
        <v>52.71</v>
      </c>
    </row>
    <row r="1748" spans="1:4">
      <c r="A1748" s="401">
        <v>40384</v>
      </c>
      <c r="B1748" s="411" t="s">
        <v>8892</v>
      </c>
      <c r="C1748" s="401" t="s">
        <v>998</v>
      </c>
      <c r="D1748" s="600">
        <v>36.090000000000003</v>
      </c>
    </row>
    <row r="1749" spans="1:4">
      <c r="A1749" s="401">
        <v>40379</v>
      </c>
      <c r="B1749" s="411" t="s">
        <v>8893</v>
      </c>
      <c r="C1749" s="401" t="s">
        <v>998</v>
      </c>
      <c r="D1749" s="600">
        <v>12.47</v>
      </c>
    </row>
    <row r="1750" spans="1:4">
      <c r="A1750" s="401">
        <v>40423</v>
      </c>
      <c r="B1750" s="411" t="s">
        <v>8894</v>
      </c>
      <c r="C1750" s="401" t="s">
        <v>998</v>
      </c>
      <c r="D1750" s="600">
        <v>23.61</v>
      </c>
    </row>
    <row r="1751" spans="1:4">
      <c r="A1751" s="401">
        <v>40389</v>
      </c>
      <c r="B1751" s="411" t="s">
        <v>8895</v>
      </c>
      <c r="C1751" s="401" t="s">
        <v>998</v>
      </c>
      <c r="D1751" s="600">
        <v>149.74</v>
      </c>
    </row>
    <row r="1752" spans="1:4">
      <c r="A1752" s="401">
        <v>40388</v>
      </c>
      <c r="B1752" s="411" t="s">
        <v>8896</v>
      </c>
      <c r="C1752" s="401" t="s">
        <v>998</v>
      </c>
      <c r="D1752" s="600">
        <v>74.95</v>
      </c>
    </row>
    <row r="1753" spans="1:4">
      <c r="A1753" s="401">
        <v>40381</v>
      </c>
      <c r="B1753" s="411" t="s">
        <v>8897</v>
      </c>
      <c r="C1753" s="401" t="s">
        <v>998</v>
      </c>
      <c r="D1753" s="600">
        <v>16.63</v>
      </c>
    </row>
    <row r="1754" spans="1:4">
      <c r="A1754" s="401">
        <v>40391</v>
      </c>
      <c r="B1754" s="411" t="s">
        <v>8898</v>
      </c>
      <c r="C1754" s="401" t="s">
        <v>998</v>
      </c>
      <c r="D1754" s="600">
        <v>388.65</v>
      </c>
    </row>
    <row r="1755" spans="1:4">
      <c r="A1755" s="401">
        <v>40414</v>
      </c>
      <c r="B1755" s="411" t="s">
        <v>8899</v>
      </c>
      <c r="C1755" s="401" t="s">
        <v>998</v>
      </c>
      <c r="D1755" s="600">
        <v>16.87</v>
      </c>
    </row>
    <row r="1756" spans="1:4">
      <c r="A1756" s="401">
        <v>40416</v>
      </c>
      <c r="B1756" s="411" t="s">
        <v>8900</v>
      </c>
      <c r="C1756" s="401" t="s">
        <v>998</v>
      </c>
      <c r="D1756" s="600">
        <v>23.32</v>
      </c>
    </row>
    <row r="1757" spans="1:4">
      <c r="A1757" s="401">
        <v>40418</v>
      </c>
      <c r="B1757" s="411" t="s">
        <v>8901</v>
      </c>
      <c r="C1757" s="401" t="s">
        <v>998</v>
      </c>
      <c r="D1757" s="600">
        <v>27.81</v>
      </c>
    </row>
    <row r="1758" spans="1:4" ht="25.5">
      <c r="A1758" s="401">
        <v>2609</v>
      </c>
      <c r="B1758" s="411" t="s">
        <v>8902</v>
      </c>
      <c r="C1758" s="401" t="s">
        <v>998</v>
      </c>
      <c r="D1758" s="600">
        <v>4.46</v>
      </c>
    </row>
    <row r="1759" spans="1:4" ht="25.5">
      <c r="A1759" s="401">
        <v>2634</v>
      </c>
      <c r="B1759" s="411" t="s">
        <v>8903</v>
      </c>
      <c r="C1759" s="401" t="s">
        <v>998</v>
      </c>
      <c r="D1759" s="600">
        <v>5.85</v>
      </c>
    </row>
    <row r="1760" spans="1:4" ht="25.5">
      <c r="A1760" s="401">
        <v>2611</v>
      </c>
      <c r="B1760" s="411" t="s">
        <v>8904</v>
      </c>
      <c r="C1760" s="401" t="s">
        <v>998</v>
      </c>
      <c r="D1760" s="600">
        <v>16.5</v>
      </c>
    </row>
    <row r="1761" spans="1:4">
      <c r="A1761" s="401">
        <v>34359</v>
      </c>
      <c r="B1761" s="411" t="s">
        <v>8905</v>
      </c>
      <c r="C1761" s="401" t="s">
        <v>998</v>
      </c>
      <c r="D1761" s="600">
        <v>7.32</v>
      </c>
    </row>
    <row r="1762" spans="1:4">
      <c r="A1762" s="401">
        <v>1789</v>
      </c>
      <c r="B1762" s="411" t="s">
        <v>8906</v>
      </c>
      <c r="C1762" s="401" t="s">
        <v>998</v>
      </c>
      <c r="D1762" s="600">
        <v>39.81</v>
      </c>
    </row>
    <row r="1763" spans="1:4">
      <c r="A1763" s="401">
        <v>1788</v>
      </c>
      <c r="B1763" s="411" t="s">
        <v>8907</v>
      </c>
      <c r="C1763" s="401" t="s">
        <v>998</v>
      </c>
      <c r="D1763" s="600">
        <v>31.91</v>
      </c>
    </row>
    <row r="1764" spans="1:4">
      <c r="A1764" s="401">
        <v>1786</v>
      </c>
      <c r="B1764" s="411" t="s">
        <v>8908</v>
      </c>
      <c r="C1764" s="401" t="s">
        <v>998</v>
      </c>
      <c r="D1764" s="600">
        <v>7.92</v>
      </c>
    </row>
    <row r="1765" spans="1:4">
      <c r="A1765" s="401">
        <v>1787</v>
      </c>
      <c r="B1765" s="411" t="s">
        <v>8909</v>
      </c>
      <c r="C1765" s="401" t="s">
        <v>998</v>
      </c>
      <c r="D1765" s="600">
        <v>18.97</v>
      </c>
    </row>
    <row r="1766" spans="1:4">
      <c r="A1766" s="401">
        <v>1791</v>
      </c>
      <c r="B1766" s="411" t="s">
        <v>8910</v>
      </c>
      <c r="C1766" s="401" t="s">
        <v>998</v>
      </c>
      <c r="D1766" s="600">
        <v>115.07</v>
      </c>
    </row>
    <row r="1767" spans="1:4">
      <c r="A1767" s="401">
        <v>1790</v>
      </c>
      <c r="B1767" s="411" t="s">
        <v>8911</v>
      </c>
      <c r="C1767" s="401" t="s">
        <v>998</v>
      </c>
      <c r="D1767" s="600">
        <v>66.31</v>
      </c>
    </row>
    <row r="1768" spans="1:4">
      <c r="A1768" s="401">
        <v>1813</v>
      </c>
      <c r="B1768" s="411" t="s">
        <v>8912</v>
      </c>
      <c r="C1768" s="401" t="s">
        <v>998</v>
      </c>
      <c r="D1768" s="600">
        <v>12.57</v>
      </c>
    </row>
    <row r="1769" spans="1:4">
      <c r="A1769" s="401">
        <v>1792</v>
      </c>
      <c r="B1769" s="411" t="s">
        <v>8913</v>
      </c>
      <c r="C1769" s="401" t="s">
        <v>998</v>
      </c>
      <c r="D1769" s="600">
        <v>155.33000000000001</v>
      </c>
    </row>
    <row r="1770" spans="1:4">
      <c r="A1770" s="401">
        <v>1793</v>
      </c>
      <c r="B1770" s="411" t="s">
        <v>8914</v>
      </c>
      <c r="C1770" s="401" t="s">
        <v>998</v>
      </c>
      <c r="D1770" s="600">
        <v>313.86</v>
      </c>
    </row>
    <row r="1771" spans="1:4">
      <c r="A1771" s="401">
        <v>1809</v>
      </c>
      <c r="B1771" s="411" t="s">
        <v>8915</v>
      </c>
      <c r="C1771" s="401" t="s">
        <v>998</v>
      </c>
      <c r="D1771" s="600">
        <v>37.33</v>
      </c>
    </row>
    <row r="1772" spans="1:4">
      <c r="A1772" s="401">
        <v>1814</v>
      </c>
      <c r="B1772" s="411" t="s">
        <v>8916</v>
      </c>
      <c r="C1772" s="401" t="s">
        <v>998</v>
      </c>
      <c r="D1772" s="600">
        <v>30.66</v>
      </c>
    </row>
    <row r="1773" spans="1:4">
      <c r="A1773" s="401">
        <v>1803</v>
      </c>
      <c r="B1773" s="411" t="s">
        <v>8917</v>
      </c>
      <c r="C1773" s="401" t="s">
        <v>998</v>
      </c>
      <c r="D1773" s="600">
        <v>7.75</v>
      </c>
    </row>
    <row r="1774" spans="1:4">
      <c r="A1774" s="401">
        <v>1805</v>
      </c>
      <c r="B1774" s="411" t="s">
        <v>8918</v>
      </c>
      <c r="C1774" s="401" t="s">
        <v>998</v>
      </c>
      <c r="D1774" s="600">
        <v>17.79</v>
      </c>
    </row>
    <row r="1775" spans="1:4">
      <c r="A1775" s="401">
        <v>1821</v>
      </c>
      <c r="B1775" s="411" t="s">
        <v>8919</v>
      </c>
      <c r="C1775" s="401" t="s">
        <v>998</v>
      </c>
      <c r="D1775" s="600">
        <v>105.13</v>
      </c>
    </row>
    <row r="1776" spans="1:4">
      <c r="A1776" s="401">
        <v>1806</v>
      </c>
      <c r="B1776" s="411" t="s">
        <v>8920</v>
      </c>
      <c r="C1776" s="401" t="s">
        <v>998</v>
      </c>
      <c r="D1776" s="600">
        <v>62.57</v>
      </c>
    </row>
    <row r="1777" spans="1:4">
      <c r="A1777" s="401">
        <v>1804</v>
      </c>
      <c r="B1777" s="411" t="s">
        <v>8921</v>
      </c>
      <c r="C1777" s="401" t="s">
        <v>998</v>
      </c>
      <c r="D1777" s="600">
        <v>11.03</v>
      </c>
    </row>
    <row r="1778" spans="1:4">
      <c r="A1778" s="401">
        <v>1807</v>
      </c>
      <c r="B1778" s="411" t="s">
        <v>8922</v>
      </c>
      <c r="C1778" s="401" t="s">
        <v>998</v>
      </c>
      <c r="D1778" s="600">
        <v>150.36000000000001</v>
      </c>
    </row>
    <row r="1779" spans="1:4">
      <c r="A1779" s="401">
        <v>1808</v>
      </c>
      <c r="B1779" s="411" t="s">
        <v>8923</v>
      </c>
      <c r="C1779" s="401" t="s">
        <v>998</v>
      </c>
      <c r="D1779" s="600">
        <v>301.44</v>
      </c>
    </row>
    <row r="1780" spans="1:4">
      <c r="A1780" s="401">
        <v>1797</v>
      </c>
      <c r="B1780" s="411" t="s">
        <v>8924</v>
      </c>
      <c r="C1780" s="401" t="s">
        <v>998</v>
      </c>
      <c r="D1780" s="600">
        <v>45.21</v>
      </c>
    </row>
    <row r="1781" spans="1:4">
      <c r="A1781" s="401">
        <v>1796</v>
      </c>
      <c r="B1781" s="411" t="s">
        <v>8925</v>
      </c>
      <c r="C1781" s="401" t="s">
        <v>998</v>
      </c>
      <c r="D1781" s="600">
        <v>34.68</v>
      </c>
    </row>
    <row r="1782" spans="1:4">
      <c r="A1782" s="401">
        <v>1794</v>
      </c>
      <c r="B1782" s="411" t="s">
        <v>8926</v>
      </c>
      <c r="C1782" s="401" t="s">
        <v>998</v>
      </c>
      <c r="D1782" s="600">
        <v>8.2799999999999994</v>
      </c>
    </row>
    <row r="1783" spans="1:4">
      <c r="A1783" s="401">
        <v>1816</v>
      </c>
      <c r="B1783" s="411" t="s">
        <v>8927</v>
      </c>
      <c r="C1783" s="401" t="s">
        <v>998</v>
      </c>
      <c r="D1783" s="600">
        <v>18.66</v>
      </c>
    </row>
    <row r="1784" spans="1:4">
      <c r="A1784" s="401">
        <v>1815</v>
      </c>
      <c r="B1784" s="411" t="s">
        <v>8928</v>
      </c>
      <c r="C1784" s="401" t="s">
        <v>998</v>
      </c>
      <c r="D1784" s="600">
        <v>143.35</v>
      </c>
    </row>
    <row r="1785" spans="1:4">
      <c r="A1785" s="401">
        <v>1798</v>
      </c>
      <c r="B1785" s="411" t="s">
        <v>8929</v>
      </c>
      <c r="C1785" s="401" t="s">
        <v>998</v>
      </c>
      <c r="D1785" s="600">
        <v>64.14</v>
      </c>
    </row>
    <row r="1786" spans="1:4">
      <c r="A1786" s="401">
        <v>1795</v>
      </c>
      <c r="B1786" s="411" t="s">
        <v>8930</v>
      </c>
      <c r="C1786" s="401" t="s">
        <v>998</v>
      </c>
      <c r="D1786" s="600">
        <v>11.47</v>
      </c>
    </row>
    <row r="1787" spans="1:4">
      <c r="A1787" s="401">
        <v>1799</v>
      </c>
      <c r="B1787" s="411" t="s">
        <v>8931</v>
      </c>
      <c r="C1787" s="401" t="s">
        <v>998</v>
      </c>
      <c r="D1787" s="600">
        <v>186.7</v>
      </c>
    </row>
    <row r="1788" spans="1:4">
      <c r="A1788" s="401">
        <v>1800</v>
      </c>
      <c r="B1788" s="411" t="s">
        <v>8932</v>
      </c>
      <c r="C1788" s="401" t="s">
        <v>998</v>
      </c>
      <c r="D1788" s="600">
        <v>356.43</v>
      </c>
    </row>
    <row r="1789" spans="1:4">
      <c r="A1789" s="401">
        <v>1802</v>
      </c>
      <c r="B1789" s="411" t="s">
        <v>8933</v>
      </c>
      <c r="C1789" s="401" t="s">
        <v>998</v>
      </c>
      <c r="D1789" s="600">
        <v>891.59</v>
      </c>
    </row>
    <row r="1790" spans="1:4">
      <c r="A1790" s="401">
        <v>40385</v>
      </c>
      <c r="B1790" s="411" t="s">
        <v>8934</v>
      </c>
      <c r="C1790" s="401" t="s">
        <v>998</v>
      </c>
      <c r="D1790" s="600">
        <v>52.71</v>
      </c>
    </row>
    <row r="1791" spans="1:4">
      <c r="A1791" s="401">
        <v>40383</v>
      </c>
      <c r="B1791" s="411" t="s">
        <v>8935</v>
      </c>
      <c r="C1791" s="401" t="s">
        <v>998</v>
      </c>
      <c r="D1791" s="600">
        <v>36.090000000000003</v>
      </c>
    </row>
    <row r="1792" spans="1:4">
      <c r="A1792" s="401">
        <v>40378</v>
      </c>
      <c r="B1792" s="411" t="s">
        <v>8936</v>
      </c>
      <c r="C1792" s="401" t="s">
        <v>998</v>
      </c>
      <c r="D1792" s="600">
        <v>12.47</v>
      </c>
    </row>
    <row r="1793" spans="1:4">
      <c r="A1793" s="401">
        <v>40382</v>
      </c>
      <c r="B1793" s="411" t="s">
        <v>8937</v>
      </c>
      <c r="C1793" s="401" t="s">
        <v>998</v>
      </c>
      <c r="D1793" s="600">
        <v>23.61</v>
      </c>
    </row>
    <row r="1794" spans="1:4">
      <c r="A1794" s="401">
        <v>40422</v>
      </c>
      <c r="B1794" s="411" t="s">
        <v>8938</v>
      </c>
      <c r="C1794" s="401" t="s">
        <v>998</v>
      </c>
      <c r="D1794" s="600">
        <v>160.85</v>
      </c>
    </row>
    <row r="1795" spans="1:4">
      <c r="A1795" s="401">
        <v>40387</v>
      </c>
      <c r="B1795" s="411" t="s">
        <v>8939</v>
      </c>
      <c r="C1795" s="401" t="s">
        <v>998</v>
      </c>
      <c r="D1795" s="600">
        <v>81.900000000000006</v>
      </c>
    </row>
    <row r="1796" spans="1:4">
      <c r="A1796" s="401">
        <v>40380</v>
      </c>
      <c r="B1796" s="411" t="s">
        <v>8940</v>
      </c>
      <c r="C1796" s="401" t="s">
        <v>998</v>
      </c>
      <c r="D1796" s="600">
        <v>16.63</v>
      </c>
    </row>
    <row r="1797" spans="1:4">
      <c r="A1797" s="401">
        <v>40390</v>
      </c>
      <c r="B1797" s="411" t="s">
        <v>8941</v>
      </c>
      <c r="C1797" s="401" t="s">
        <v>998</v>
      </c>
      <c r="D1797" s="600">
        <v>338.78</v>
      </c>
    </row>
    <row r="1798" spans="1:4">
      <c r="A1798" s="401">
        <v>40413</v>
      </c>
      <c r="B1798" s="411" t="s">
        <v>8942</v>
      </c>
      <c r="C1798" s="401" t="s">
        <v>998</v>
      </c>
      <c r="D1798" s="600">
        <v>18.32</v>
      </c>
    </row>
    <row r="1799" spans="1:4">
      <c r="A1799" s="401">
        <v>40415</v>
      </c>
      <c r="B1799" s="411" t="s">
        <v>8943</v>
      </c>
      <c r="C1799" s="401" t="s">
        <v>998</v>
      </c>
      <c r="D1799" s="600">
        <v>26.11</v>
      </c>
    </row>
    <row r="1800" spans="1:4">
      <c r="A1800" s="401">
        <v>40417</v>
      </c>
      <c r="B1800" s="411" t="s">
        <v>8944</v>
      </c>
      <c r="C1800" s="401" t="s">
        <v>998</v>
      </c>
      <c r="D1800" s="600">
        <v>30.81</v>
      </c>
    </row>
    <row r="1801" spans="1:4">
      <c r="A1801" s="401">
        <v>39271</v>
      </c>
      <c r="B1801" s="411" t="s">
        <v>8945</v>
      </c>
      <c r="C1801" s="401" t="s">
        <v>998</v>
      </c>
      <c r="D1801" s="600">
        <v>1.48</v>
      </c>
    </row>
    <row r="1802" spans="1:4">
      <c r="A1802" s="401">
        <v>39273</v>
      </c>
      <c r="B1802" s="411" t="s">
        <v>8946</v>
      </c>
      <c r="C1802" s="401" t="s">
        <v>998</v>
      </c>
      <c r="D1802" s="600">
        <v>2.52</v>
      </c>
    </row>
    <row r="1803" spans="1:4">
      <c r="A1803" s="401">
        <v>39272</v>
      </c>
      <c r="B1803" s="411" t="s">
        <v>8947</v>
      </c>
      <c r="C1803" s="401" t="s">
        <v>998</v>
      </c>
      <c r="D1803" s="600">
        <v>1.82</v>
      </c>
    </row>
    <row r="1804" spans="1:4">
      <c r="A1804" s="401">
        <v>1875</v>
      </c>
      <c r="B1804" s="411" t="s">
        <v>8948</v>
      </c>
      <c r="C1804" s="401" t="s">
        <v>998</v>
      </c>
      <c r="D1804" s="600">
        <v>4.0199999999999996</v>
      </c>
    </row>
    <row r="1805" spans="1:4">
      <c r="A1805" s="401">
        <v>1874</v>
      </c>
      <c r="B1805" s="411" t="s">
        <v>8949</v>
      </c>
      <c r="C1805" s="401" t="s">
        <v>998</v>
      </c>
      <c r="D1805" s="600">
        <v>3.32</v>
      </c>
    </row>
    <row r="1806" spans="1:4">
      <c r="A1806" s="401">
        <v>1870</v>
      </c>
      <c r="B1806" s="411" t="s">
        <v>8950</v>
      </c>
      <c r="C1806" s="401" t="s">
        <v>998</v>
      </c>
      <c r="D1806" s="600">
        <v>1.92</v>
      </c>
    </row>
    <row r="1807" spans="1:4">
      <c r="A1807" s="401">
        <v>1884</v>
      </c>
      <c r="B1807" s="411" t="s">
        <v>8951</v>
      </c>
      <c r="C1807" s="401" t="s">
        <v>998</v>
      </c>
      <c r="D1807" s="600">
        <v>2.94</v>
      </c>
    </row>
    <row r="1808" spans="1:4">
      <c r="A1808" s="401">
        <v>1887</v>
      </c>
      <c r="B1808" s="411" t="s">
        <v>8952</v>
      </c>
      <c r="C1808" s="401" t="s">
        <v>998</v>
      </c>
      <c r="D1808" s="600">
        <v>16.690000000000001</v>
      </c>
    </row>
    <row r="1809" spans="1:4">
      <c r="A1809" s="401">
        <v>1876</v>
      </c>
      <c r="B1809" s="411" t="s">
        <v>8953</v>
      </c>
      <c r="C1809" s="401" t="s">
        <v>998</v>
      </c>
      <c r="D1809" s="600">
        <v>6.54</v>
      </c>
    </row>
    <row r="1810" spans="1:4">
      <c r="A1810" s="401">
        <v>1879</v>
      </c>
      <c r="B1810" s="411" t="s">
        <v>8954</v>
      </c>
      <c r="C1810" s="401" t="s">
        <v>998</v>
      </c>
      <c r="D1810" s="600">
        <v>1.94</v>
      </c>
    </row>
    <row r="1811" spans="1:4">
      <c r="A1811" s="401">
        <v>1877</v>
      </c>
      <c r="B1811" s="411" t="s">
        <v>8955</v>
      </c>
      <c r="C1811" s="401" t="s">
        <v>998</v>
      </c>
      <c r="D1811" s="600">
        <v>16.71</v>
      </c>
    </row>
    <row r="1812" spans="1:4">
      <c r="A1812" s="401">
        <v>1878</v>
      </c>
      <c r="B1812" s="411" t="s">
        <v>8956</v>
      </c>
      <c r="C1812" s="401" t="s">
        <v>998</v>
      </c>
      <c r="D1812" s="600">
        <v>33.58</v>
      </c>
    </row>
    <row r="1813" spans="1:4" ht="25.5">
      <c r="A1813" s="401">
        <v>2621</v>
      </c>
      <c r="B1813" s="411" t="s">
        <v>8957</v>
      </c>
      <c r="C1813" s="401" t="s">
        <v>998</v>
      </c>
      <c r="D1813" s="600">
        <v>141.19</v>
      </c>
    </row>
    <row r="1814" spans="1:4" ht="25.5">
      <c r="A1814" s="401">
        <v>2616</v>
      </c>
      <c r="B1814" s="411" t="s">
        <v>8958</v>
      </c>
      <c r="C1814" s="401" t="s">
        <v>998</v>
      </c>
      <c r="D1814" s="600">
        <v>3.99</v>
      </c>
    </row>
    <row r="1815" spans="1:4" ht="25.5">
      <c r="A1815" s="401">
        <v>2633</v>
      </c>
      <c r="B1815" s="411" t="s">
        <v>8959</v>
      </c>
      <c r="C1815" s="401" t="s">
        <v>998</v>
      </c>
      <c r="D1815" s="600">
        <v>4.5199999999999996</v>
      </c>
    </row>
    <row r="1816" spans="1:4" ht="25.5">
      <c r="A1816" s="401">
        <v>2617</v>
      </c>
      <c r="B1816" s="411" t="s">
        <v>8960</v>
      </c>
      <c r="C1816" s="401" t="s">
        <v>998</v>
      </c>
      <c r="D1816" s="600">
        <v>6.14</v>
      </c>
    </row>
    <row r="1817" spans="1:4" ht="25.5">
      <c r="A1817" s="401">
        <v>2618</v>
      </c>
      <c r="B1817" s="411" t="s">
        <v>8961</v>
      </c>
      <c r="C1817" s="401" t="s">
        <v>998</v>
      </c>
      <c r="D1817" s="600">
        <v>13.98</v>
      </c>
    </row>
    <row r="1818" spans="1:4" ht="25.5">
      <c r="A1818" s="401">
        <v>2632</v>
      </c>
      <c r="B1818" s="411" t="s">
        <v>8962</v>
      </c>
      <c r="C1818" s="401" t="s">
        <v>998</v>
      </c>
      <c r="D1818" s="600">
        <v>17.059999999999999</v>
      </c>
    </row>
    <row r="1819" spans="1:4" ht="25.5">
      <c r="A1819" s="401">
        <v>2631</v>
      </c>
      <c r="B1819" s="411" t="s">
        <v>8963</v>
      </c>
      <c r="C1819" s="401" t="s">
        <v>998</v>
      </c>
      <c r="D1819" s="600">
        <v>25.04</v>
      </c>
    </row>
    <row r="1820" spans="1:4" ht="25.5">
      <c r="A1820" s="401">
        <v>2619</v>
      </c>
      <c r="B1820" s="411" t="s">
        <v>8964</v>
      </c>
      <c r="C1820" s="401" t="s">
        <v>998</v>
      </c>
      <c r="D1820" s="600">
        <v>63.41</v>
      </c>
    </row>
    <row r="1821" spans="1:4" ht="25.5">
      <c r="A1821" s="401">
        <v>2620</v>
      </c>
      <c r="B1821" s="411" t="s">
        <v>8965</v>
      </c>
      <c r="C1821" s="401" t="s">
        <v>998</v>
      </c>
      <c r="D1821" s="600">
        <v>83.25</v>
      </c>
    </row>
    <row r="1822" spans="1:4">
      <c r="A1822" s="401">
        <v>25968</v>
      </c>
      <c r="B1822" s="411" t="s">
        <v>8966</v>
      </c>
      <c r="C1822" s="401" t="s">
        <v>998</v>
      </c>
      <c r="D1822" s="600">
        <v>41.94</v>
      </c>
    </row>
    <row r="1823" spans="1:4" ht="25.5">
      <c r="A1823" s="401">
        <v>38369</v>
      </c>
      <c r="B1823" s="411" t="s">
        <v>8967</v>
      </c>
      <c r="C1823" s="401" t="s">
        <v>998</v>
      </c>
      <c r="D1823" s="600">
        <v>11.6</v>
      </c>
    </row>
    <row r="1824" spans="1:4">
      <c r="A1824" s="401">
        <v>38370</v>
      </c>
      <c r="B1824" s="411" t="s">
        <v>8968</v>
      </c>
      <c r="C1824" s="401" t="s">
        <v>998</v>
      </c>
      <c r="D1824" s="600">
        <v>11.6</v>
      </c>
    </row>
    <row r="1825" spans="1:4">
      <c r="A1825" s="401">
        <v>38372</v>
      </c>
      <c r="B1825" s="411" t="s">
        <v>8969</v>
      </c>
      <c r="C1825" s="401" t="s">
        <v>998</v>
      </c>
      <c r="D1825" s="600">
        <v>17.8</v>
      </c>
    </row>
    <row r="1826" spans="1:4">
      <c r="A1826" s="401">
        <v>2357</v>
      </c>
      <c r="B1826" s="411" t="s">
        <v>8970</v>
      </c>
      <c r="C1826" s="401" t="s">
        <v>1001</v>
      </c>
      <c r="D1826" s="600">
        <v>14.5</v>
      </c>
    </row>
    <row r="1827" spans="1:4">
      <c r="A1827" s="401">
        <v>40806</v>
      </c>
      <c r="B1827" s="411" t="s">
        <v>8971</v>
      </c>
      <c r="C1827" s="401" t="s">
        <v>1118</v>
      </c>
      <c r="D1827" s="600">
        <v>2572.08</v>
      </c>
    </row>
    <row r="1828" spans="1:4">
      <c r="A1828" s="401">
        <v>2355</v>
      </c>
      <c r="B1828" s="411" t="s">
        <v>8972</v>
      </c>
      <c r="C1828" s="401" t="s">
        <v>1001</v>
      </c>
      <c r="D1828" s="600">
        <v>19.23</v>
      </c>
    </row>
    <row r="1829" spans="1:4">
      <c r="A1829" s="401">
        <v>40805</v>
      </c>
      <c r="B1829" s="411" t="s">
        <v>8973</v>
      </c>
      <c r="C1829" s="401" t="s">
        <v>1118</v>
      </c>
      <c r="D1829" s="600">
        <v>3409.91</v>
      </c>
    </row>
    <row r="1830" spans="1:4">
      <c r="A1830" s="401">
        <v>2358</v>
      </c>
      <c r="B1830" s="411" t="s">
        <v>8974</v>
      </c>
      <c r="C1830" s="401" t="s">
        <v>1001</v>
      </c>
      <c r="D1830" s="600">
        <v>15.36</v>
      </c>
    </row>
    <row r="1831" spans="1:4">
      <c r="A1831" s="401">
        <v>40807</v>
      </c>
      <c r="B1831" s="411" t="s">
        <v>8975</v>
      </c>
      <c r="C1831" s="401" t="s">
        <v>1118</v>
      </c>
      <c r="D1831" s="600">
        <v>2725.65</v>
      </c>
    </row>
    <row r="1832" spans="1:4">
      <c r="A1832" s="401">
        <v>2359</v>
      </c>
      <c r="B1832" s="411" t="s">
        <v>8976</v>
      </c>
      <c r="C1832" s="401" t="s">
        <v>1001</v>
      </c>
      <c r="D1832" s="600">
        <v>15.36</v>
      </c>
    </row>
    <row r="1833" spans="1:4">
      <c r="A1833" s="401">
        <v>40808</v>
      </c>
      <c r="B1833" s="411" t="s">
        <v>8977</v>
      </c>
      <c r="C1833" s="401" t="s">
        <v>1118</v>
      </c>
      <c r="D1833" s="600">
        <v>2724.89</v>
      </c>
    </row>
    <row r="1834" spans="1:4">
      <c r="A1834" s="401">
        <v>43144</v>
      </c>
      <c r="B1834" s="411" t="s">
        <v>8978</v>
      </c>
      <c r="C1834" s="401" t="s">
        <v>995</v>
      </c>
      <c r="D1834" s="600">
        <v>26.34</v>
      </c>
    </row>
    <row r="1835" spans="1:4">
      <c r="A1835" s="401">
        <v>39397</v>
      </c>
      <c r="B1835" s="411" t="s">
        <v>8979</v>
      </c>
      <c r="C1835" s="401" t="s">
        <v>997</v>
      </c>
      <c r="D1835" s="600">
        <v>12</v>
      </c>
    </row>
    <row r="1836" spans="1:4" ht="25.5">
      <c r="A1836" s="401">
        <v>2692</v>
      </c>
      <c r="B1836" s="411" t="s">
        <v>8980</v>
      </c>
      <c r="C1836" s="401" t="s">
        <v>997</v>
      </c>
      <c r="D1836" s="600">
        <v>4.84</v>
      </c>
    </row>
    <row r="1837" spans="1:4">
      <c r="A1837" s="401">
        <v>6</v>
      </c>
      <c r="B1837" s="411" t="s">
        <v>8981</v>
      </c>
      <c r="C1837" s="401" t="s">
        <v>997</v>
      </c>
      <c r="D1837" s="600">
        <v>3.42</v>
      </c>
    </row>
    <row r="1838" spans="1:4">
      <c r="A1838" s="401">
        <v>5330</v>
      </c>
      <c r="B1838" s="411" t="s">
        <v>8982</v>
      </c>
      <c r="C1838" s="401" t="s">
        <v>997</v>
      </c>
      <c r="D1838" s="600">
        <v>35.85</v>
      </c>
    </row>
    <row r="1839" spans="1:4">
      <c r="A1839" s="401">
        <v>26017</v>
      </c>
      <c r="B1839" s="411" t="s">
        <v>8983</v>
      </c>
      <c r="C1839" s="401" t="s">
        <v>998</v>
      </c>
      <c r="D1839" s="600">
        <v>37.619999999999997</v>
      </c>
    </row>
    <row r="1840" spans="1:4" ht="25.5">
      <c r="A1840" s="401">
        <v>25931</v>
      </c>
      <c r="B1840" s="411" t="s">
        <v>8984</v>
      </c>
      <c r="C1840" s="401" t="s">
        <v>998</v>
      </c>
      <c r="D1840" s="600">
        <v>119.58</v>
      </c>
    </row>
    <row r="1841" spans="1:4" ht="25.5">
      <c r="A1841" s="401">
        <v>38140</v>
      </c>
      <c r="B1841" s="411" t="s">
        <v>8985</v>
      </c>
      <c r="C1841" s="401" t="s">
        <v>998</v>
      </c>
      <c r="D1841" s="600">
        <v>29</v>
      </c>
    </row>
    <row r="1842" spans="1:4" ht="25.5">
      <c r="A1842" s="401">
        <v>13887</v>
      </c>
      <c r="B1842" s="411" t="s">
        <v>8986</v>
      </c>
      <c r="C1842" s="401" t="s">
        <v>998</v>
      </c>
      <c r="D1842" s="600">
        <v>686.59</v>
      </c>
    </row>
    <row r="1843" spans="1:4">
      <c r="A1843" s="401">
        <v>26018</v>
      </c>
      <c r="B1843" s="411" t="s">
        <v>8987</v>
      </c>
      <c r="C1843" s="401" t="s">
        <v>998</v>
      </c>
      <c r="D1843" s="600">
        <v>30.56</v>
      </c>
    </row>
    <row r="1844" spans="1:4" ht="25.5">
      <c r="A1844" s="401">
        <v>26019</v>
      </c>
      <c r="B1844" s="411" t="s">
        <v>8988</v>
      </c>
      <c r="C1844" s="401" t="s">
        <v>998</v>
      </c>
      <c r="D1844" s="600">
        <v>28.86</v>
      </c>
    </row>
    <row r="1845" spans="1:4">
      <c r="A1845" s="401">
        <v>26020</v>
      </c>
      <c r="B1845" s="411" t="s">
        <v>8989</v>
      </c>
      <c r="C1845" s="401" t="s">
        <v>998</v>
      </c>
      <c r="D1845" s="600">
        <v>7.52</v>
      </c>
    </row>
    <row r="1846" spans="1:4">
      <c r="A1846" s="401">
        <v>34544</v>
      </c>
      <c r="B1846" s="411" t="s">
        <v>8990</v>
      </c>
      <c r="C1846" s="401" t="s">
        <v>998</v>
      </c>
      <c r="D1846" s="600">
        <v>1378.93</v>
      </c>
    </row>
    <row r="1847" spans="1:4" ht="25.5">
      <c r="A1847" s="401">
        <v>34729</v>
      </c>
      <c r="B1847" s="411" t="s">
        <v>8991</v>
      </c>
      <c r="C1847" s="401" t="s">
        <v>998</v>
      </c>
      <c r="D1847" s="600">
        <v>1084.74</v>
      </c>
    </row>
    <row r="1848" spans="1:4" ht="25.5">
      <c r="A1848" s="401">
        <v>34734</v>
      </c>
      <c r="B1848" s="411" t="s">
        <v>8992</v>
      </c>
      <c r="C1848" s="401" t="s">
        <v>998</v>
      </c>
      <c r="D1848" s="600">
        <v>1679.53</v>
      </c>
    </row>
    <row r="1849" spans="1:4" ht="25.5">
      <c r="A1849" s="401">
        <v>34738</v>
      </c>
      <c r="B1849" s="411" t="s">
        <v>8993</v>
      </c>
      <c r="C1849" s="401" t="s">
        <v>998</v>
      </c>
      <c r="D1849" s="600">
        <v>3923.91</v>
      </c>
    </row>
    <row r="1850" spans="1:4">
      <c r="A1850" s="401">
        <v>2391</v>
      </c>
      <c r="B1850" s="411" t="s">
        <v>8994</v>
      </c>
      <c r="C1850" s="401" t="s">
        <v>998</v>
      </c>
      <c r="D1850" s="600">
        <v>319.14</v>
      </c>
    </row>
    <row r="1851" spans="1:4">
      <c r="A1851" s="401">
        <v>2374</v>
      </c>
      <c r="B1851" s="411" t="s">
        <v>8995</v>
      </c>
      <c r="C1851" s="401" t="s">
        <v>998</v>
      </c>
      <c r="D1851" s="600">
        <v>362.06</v>
      </c>
    </row>
    <row r="1852" spans="1:4">
      <c r="A1852" s="401">
        <v>2377</v>
      </c>
      <c r="B1852" s="411" t="s">
        <v>8996</v>
      </c>
      <c r="C1852" s="401" t="s">
        <v>998</v>
      </c>
      <c r="D1852" s="600">
        <v>508.11</v>
      </c>
    </row>
    <row r="1853" spans="1:4">
      <c r="A1853" s="401">
        <v>2393</v>
      </c>
      <c r="B1853" s="411" t="s">
        <v>8997</v>
      </c>
      <c r="C1853" s="401" t="s">
        <v>998</v>
      </c>
      <c r="D1853" s="600">
        <v>850.9</v>
      </c>
    </row>
    <row r="1854" spans="1:4">
      <c r="A1854" s="401">
        <v>34705</v>
      </c>
      <c r="B1854" s="411" t="s">
        <v>8998</v>
      </c>
      <c r="C1854" s="401" t="s">
        <v>998</v>
      </c>
      <c r="D1854" s="600">
        <v>744.23</v>
      </c>
    </row>
    <row r="1855" spans="1:4">
      <c r="A1855" s="401">
        <v>34707</v>
      </c>
      <c r="B1855" s="411" t="s">
        <v>8999</v>
      </c>
      <c r="C1855" s="401" t="s">
        <v>998</v>
      </c>
      <c r="D1855" s="600">
        <v>1379.07</v>
      </c>
    </row>
    <row r="1856" spans="1:4">
      <c r="A1856" s="401">
        <v>2378</v>
      </c>
      <c r="B1856" s="411" t="s">
        <v>9000</v>
      </c>
      <c r="C1856" s="401" t="s">
        <v>998</v>
      </c>
      <c r="D1856" s="600">
        <v>1168.82</v>
      </c>
    </row>
    <row r="1857" spans="1:4">
      <c r="A1857" s="401">
        <v>2379</v>
      </c>
      <c r="B1857" s="411" t="s">
        <v>9001</v>
      </c>
      <c r="C1857" s="401" t="s">
        <v>998</v>
      </c>
      <c r="D1857" s="600">
        <v>1168.82</v>
      </c>
    </row>
    <row r="1858" spans="1:4">
      <c r="A1858" s="401">
        <v>2376</v>
      </c>
      <c r="B1858" s="411" t="s">
        <v>9002</v>
      </c>
      <c r="C1858" s="401" t="s">
        <v>998</v>
      </c>
      <c r="D1858" s="600">
        <v>1925.04</v>
      </c>
    </row>
    <row r="1859" spans="1:4">
      <c r="A1859" s="401">
        <v>2394</v>
      </c>
      <c r="B1859" s="411" t="s">
        <v>9003</v>
      </c>
      <c r="C1859" s="401" t="s">
        <v>998</v>
      </c>
      <c r="D1859" s="600">
        <v>4115.3900000000003</v>
      </c>
    </row>
    <row r="1860" spans="1:4">
      <c r="A1860" s="401">
        <v>34686</v>
      </c>
      <c r="B1860" s="411" t="s">
        <v>9004</v>
      </c>
      <c r="C1860" s="401" t="s">
        <v>998</v>
      </c>
      <c r="D1860" s="600">
        <v>12.35</v>
      </c>
    </row>
    <row r="1861" spans="1:4">
      <c r="A1861" s="401">
        <v>34616</v>
      </c>
      <c r="B1861" s="411" t="s">
        <v>9005</v>
      </c>
      <c r="C1861" s="401" t="s">
        <v>998</v>
      </c>
      <c r="D1861" s="600">
        <v>47.75</v>
      </c>
    </row>
    <row r="1862" spans="1:4">
      <c r="A1862" s="401">
        <v>34623</v>
      </c>
      <c r="B1862" s="411" t="s">
        <v>9006</v>
      </c>
      <c r="C1862" s="401" t="s">
        <v>998</v>
      </c>
      <c r="D1862" s="600">
        <v>47.02</v>
      </c>
    </row>
    <row r="1863" spans="1:4">
      <c r="A1863" s="401">
        <v>34628</v>
      </c>
      <c r="B1863" s="411" t="s">
        <v>9007</v>
      </c>
      <c r="C1863" s="401" t="s">
        <v>998</v>
      </c>
      <c r="D1863" s="600">
        <v>67.349999999999994</v>
      </c>
    </row>
    <row r="1864" spans="1:4">
      <c r="A1864" s="401">
        <v>34653</v>
      </c>
      <c r="B1864" s="411" t="s">
        <v>9008</v>
      </c>
      <c r="C1864" s="401" t="s">
        <v>998</v>
      </c>
      <c r="D1864" s="600">
        <v>8.33</v>
      </c>
    </row>
    <row r="1865" spans="1:4">
      <c r="A1865" s="401">
        <v>34688</v>
      </c>
      <c r="B1865" s="411" t="s">
        <v>9009</v>
      </c>
      <c r="C1865" s="401" t="s">
        <v>998</v>
      </c>
      <c r="D1865" s="600">
        <v>15.1</v>
      </c>
    </row>
    <row r="1866" spans="1:4">
      <c r="A1866" s="401">
        <v>34709</v>
      </c>
      <c r="B1866" s="411" t="s">
        <v>9010</v>
      </c>
      <c r="C1866" s="401" t="s">
        <v>998</v>
      </c>
      <c r="D1866" s="600">
        <v>58.51</v>
      </c>
    </row>
    <row r="1867" spans="1:4">
      <c r="A1867" s="401">
        <v>34714</v>
      </c>
      <c r="B1867" s="411" t="s">
        <v>9011</v>
      </c>
      <c r="C1867" s="401" t="s">
        <v>998</v>
      </c>
      <c r="D1867" s="600">
        <v>69.88</v>
      </c>
    </row>
    <row r="1868" spans="1:4">
      <c r="A1868" s="401">
        <v>2388</v>
      </c>
      <c r="B1868" s="411" t="s">
        <v>9012</v>
      </c>
      <c r="C1868" s="401" t="s">
        <v>998</v>
      </c>
      <c r="D1868" s="600">
        <v>58.07</v>
      </c>
    </row>
    <row r="1869" spans="1:4">
      <c r="A1869" s="401">
        <v>34606</v>
      </c>
      <c r="B1869" s="411" t="s">
        <v>9013</v>
      </c>
      <c r="C1869" s="401" t="s">
        <v>998</v>
      </c>
      <c r="D1869" s="600">
        <v>89.07</v>
      </c>
    </row>
    <row r="1870" spans="1:4">
      <c r="A1870" s="401">
        <v>34689</v>
      </c>
      <c r="B1870" s="411" t="s">
        <v>9014</v>
      </c>
      <c r="C1870" s="401" t="s">
        <v>998</v>
      </c>
      <c r="D1870" s="600">
        <v>28.36</v>
      </c>
    </row>
    <row r="1871" spans="1:4">
      <c r="A1871" s="401">
        <v>2370</v>
      </c>
      <c r="B1871" s="411" t="s">
        <v>9015</v>
      </c>
      <c r="C1871" s="401" t="s">
        <v>998</v>
      </c>
      <c r="D1871" s="600">
        <v>10.79</v>
      </c>
    </row>
    <row r="1872" spans="1:4">
      <c r="A1872" s="401">
        <v>2386</v>
      </c>
      <c r="B1872" s="411" t="s">
        <v>9016</v>
      </c>
      <c r="C1872" s="401" t="s">
        <v>998</v>
      </c>
      <c r="D1872" s="600">
        <v>18.100000000000001</v>
      </c>
    </row>
    <row r="1873" spans="1:4">
      <c r="A1873" s="401">
        <v>2392</v>
      </c>
      <c r="B1873" s="411" t="s">
        <v>9017</v>
      </c>
      <c r="C1873" s="401" t="s">
        <v>998</v>
      </c>
      <c r="D1873" s="600">
        <v>72.430000000000007</v>
      </c>
    </row>
    <row r="1874" spans="1:4">
      <c r="A1874" s="401">
        <v>2373</v>
      </c>
      <c r="B1874" s="411" t="s">
        <v>9018</v>
      </c>
      <c r="C1874" s="401" t="s">
        <v>998</v>
      </c>
      <c r="D1874" s="600">
        <v>102.05</v>
      </c>
    </row>
    <row r="1875" spans="1:4" ht="25.5">
      <c r="A1875" s="401">
        <v>39465</v>
      </c>
      <c r="B1875" s="411" t="s">
        <v>9019</v>
      </c>
      <c r="C1875" s="401" t="s">
        <v>998</v>
      </c>
      <c r="D1875" s="600">
        <v>62.34</v>
      </c>
    </row>
    <row r="1876" spans="1:4" ht="25.5">
      <c r="A1876" s="401">
        <v>39466</v>
      </c>
      <c r="B1876" s="411" t="s">
        <v>9020</v>
      </c>
      <c r="C1876" s="401" t="s">
        <v>998</v>
      </c>
      <c r="D1876" s="600">
        <v>70.13</v>
      </c>
    </row>
    <row r="1877" spans="1:4" ht="25.5">
      <c r="A1877" s="401">
        <v>39467</v>
      </c>
      <c r="B1877" s="411" t="s">
        <v>9021</v>
      </c>
      <c r="C1877" s="401" t="s">
        <v>998</v>
      </c>
      <c r="D1877" s="600">
        <v>89.71</v>
      </c>
    </row>
    <row r="1878" spans="1:4" ht="25.5">
      <c r="A1878" s="401">
        <v>39468</v>
      </c>
      <c r="B1878" s="411" t="s">
        <v>9022</v>
      </c>
      <c r="C1878" s="401" t="s">
        <v>998</v>
      </c>
      <c r="D1878" s="600">
        <v>159.44999999999999</v>
      </c>
    </row>
    <row r="1879" spans="1:4" ht="25.5">
      <c r="A1879" s="401">
        <v>39469</v>
      </c>
      <c r="B1879" s="411" t="s">
        <v>9023</v>
      </c>
      <c r="C1879" s="401" t="s">
        <v>998</v>
      </c>
      <c r="D1879" s="600">
        <v>64.95</v>
      </c>
    </row>
    <row r="1880" spans="1:4" ht="25.5">
      <c r="A1880" s="401">
        <v>39470</v>
      </c>
      <c r="B1880" s="411" t="s">
        <v>9024</v>
      </c>
      <c r="C1880" s="401" t="s">
        <v>998</v>
      </c>
      <c r="D1880" s="600">
        <v>79.81</v>
      </c>
    </row>
    <row r="1881" spans="1:4" ht="25.5">
      <c r="A1881" s="401">
        <v>39471</v>
      </c>
      <c r="B1881" s="411" t="s">
        <v>9025</v>
      </c>
      <c r="C1881" s="401" t="s">
        <v>998</v>
      </c>
      <c r="D1881" s="600">
        <v>95.91</v>
      </c>
    </row>
    <row r="1882" spans="1:4" ht="25.5">
      <c r="A1882" s="401">
        <v>39472</v>
      </c>
      <c r="B1882" s="411" t="s">
        <v>9026</v>
      </c>
      <c r="C1882" s="401" t="s">
        <v>998</v>
      </c>
      <c r="D1882" s="600">
        <v>166.64</v>
      </c>
    </row>
    <row r="1883" spans="1:4" ht="25.5">
      <c r="A1883" s="401">
        <v>39473</v>
      </c>
      <c r="B1883" s="411" t="s">
        <v>9027</v>
      </c>
      <c r="C1883" s="401" t="s">
        <v>998</v>
      </c>
      <c r="D1883" s="600">
        <v>107.65</v>
      </c>
    </row>
    <row r="1884" spans="1:4" ht="25.5">
      <c r="A1884" s="401">
        <v>39474</v>
      </c>
      <c r="B1884" s="411" t="s">
        <v>9028</v>
      </c>
      <c r="C1884" s="401" t="s">
        <v>998</v>
      </c>
      <c r="D1884" s="600">
        <v>114.76</v>
      </c>
    </row>
    <row r="1885" spans="1:4" ht="25.5">
      <c r="A1885" s="401">
        <v>39475</v>
      </c>
      <c r="B1885" s="411" t="s">
        <v>9029</v>
      </c>
      <c r="C1885" s="401" t="s">
        <v>998</v>
      </c>
      <c r="D1885" s="600">
        <v>130.21</v>
      </c>
    </row>
    <row r="1886" spans="1:4" ht="25.5">
      <c r="A1886" s="401">
        <v>39476</v>
      </c>
      <c r="B1886" s="411" t="s">
        <v>9030</v>
      </c>
      <c r="C1886" s="401" t="s">
        <v>998</v>
      </c>
      <c r="D1886" s="600">
        <v>245.11</v>
      </c>
    </row>
    <row r="1887" spans="1:4" ht="25.5">
      <c r="A1887" s="401">
        <v>39477</v>
      </c>
      <c r="B1887" s="411" t="s">
        <v>9031</v>
      </c>
      <c r="C1887" s="401" t="s">
        <v>998</v>
      </c>
      <c r="D1887" s="600">
        <v>120.09</v>
      </c>
    </row>
    <row r="1888" spans="1:4" ht="25.5">
      <c r="A1888" s="401">
        <v>39478</v>
      </c>
      <c r="B1888" s="411" t="s">
        <v>9032</v>
      </c>
      <c r="C1888" s="401" t="s">
        <v>998</v>
      </c>
      <c r="D1888" s="600">
        <v>123.81</v>
      </c>
    </row>
    <row r="1889" spans="1:4" ht="25.5">
      <c r="A1889" s="401">
        <v>39479</v>
      </c>
      <c r="B1889" s="411" t="s">
        <v>9033</v>
      </c>
      <c r="C1889" s="401" t="s">
        <v>998</v>
      </c>
      <c r="D1889" s="600">
        <v>145.88</v>
      </c>
    </row>
    <row r="1890" spans="1:4" ht="25.5">
      <c r="A1890" s="401">
        <v>39480</v>
      </c>
      <c r="B1890" s="411" t="s">
        <v>9034</v>
      </c>
      <c r="C1890" s="401" t="s">
        <v>998</v>
      </c>
      <c r="D1890" s="600">
        <v>301.01</v>
      </c>
    </row>
    <row r="1891" spans="1:4">
      <c r="A1891" s="401">
        <v>39459</v>
      </c>
      <c r="B1891" s="411" t="s">
        <v>9035</v>
      </c>
      <c r="C1891" s="401" t="s">
        <v>998</v>
      </c>
      <c r="D1891" s="600">
        <v>255.48</v>
      </c>
    </row>
    <row r="1892" spans="1:4">
      <c r="A1892" s="401">
        <v>39445</v>
      </c>
      <c r="B1892" s="411" t="s">
        <v>9036</v>
      </c>
      <c r="C1892" s="401" t="s">
        <v>998</v>
      </c>
      <c r="D1892" s="600">
        <v>128.28</v>
      </c>
    </row>
    <row r="1893" spans="1:4">
      <c r="A1893" s="401">
        <v>39446</v>
      </c>
      <c r="B1893" s="411" t="s">
        <v>9037</v>
      </c>
      <c r="C1893" s="401" t="s">
        <v>998</v>
      </c>
      <c r="D1893" s="600">
        <v>130.56</v>
      </c>
    </row>
    <row r="1894" spans="1:4">
      <c r="A1894" s="401">
        <v>39447</v>
      </c>
      <c r="B1894" s="411" t="s">
        <v>9038</v>
      </c>
      <c r="C1894" s="401" t="s">
        <v>998</v>
      </c>
      <c r="D1894" s="600">
        <v>139.62</v>
      </c>
    </row>
    <row r="1895" spans="1:4">
      <c r="A1895" s="401">
        <v>39448</v>
      </c>
      <c r="B1895" s="411" t="s">
        <v>9039</v>
      </c>
      <c r="C1895" s="401" t="s">
        <v>998</v>
      </c>
      <c r="D1895" s="600">
        <v>238.08</v>
      </c>
    </row>
    <row r="1896" spans="1:4">
      <c r="A1896" s="401">
        <v>39450</v>
      </c>
      <c r="B1896" s="411" t="s">
        <v>9040</v>
      </c>
      <c r="C1896" s="401" t="s">
        <v>998</v>
      </c>
      <c r="D1896" s="600">
        <v>145.25</v>
      </c>
    </row>
    <row r="1897" spans="1:4">
      <c r="A1897" s="401">
        <v>39451</v>
      </c>
      <c r="B1897" s="411" t="s">
        <v>9041</v>
      </c>
      <c r="C1897" s="401" t="s">
        <v>998</v>
      </c>
      <c r="D1897" s="600">
        <v>158.43</v>
      </c>
    </row>
    <row r="1898" spans="1:4">
      <c r="A1898" s="401">
        <v>39452</v>
      </c>
      <c r="B1898" s="411" t="s">
        <v>9042</v>
      </c>
      <c r="C1898" s="401" t="s">
        <v>998</v>
      </c>
      <c r="D1898" s="600">
        <v>159.38</v>
      </c>
    </row>
    <row r="1899" spans="1:4">
      <c r="A1899" s="401">
        <v>39523</v>
      </c>
      <c r="B1899" s="411" t="s">
        <v>9043</v>
      </c>
      <c r="C1899" s="401" t="s">
        <v>998</v>
      </c>
      <c r="D1899" s="600">
        <v>266.70999999999998</v>
      </c>
    </row>
    <row r="1900" spans="1:4">
      <c r="A1900" s="401">
        <v>39449</v>
      </c>
      <c r="B1900" s="411" t="s">
        <v>9044</v>
      </c>
      <c r="C1900" s="401" t="s">
        <v>998</v>
      </c>
      <c r="D1900" s="600">
        <v>295.37</v>
      </c>
    </row>
    <row r="1901" spans="1:4">
      <c r="A1901" s="401">
        <v>39455</v>
      </c>
      <c r="B1901" s="411" t="s">
        <v>9045</v>
      </c>
      <c r="C1901" s="401" t="s">
        <v>998</v>
      </c>
      <c r="D1901" s="600">
        <v>146.15</v>
      </c>
    </row>
    <row r="1902" spans="1:4">
      <c r="A1902" s="401">
        <v>39456</v>
      </c>
      <c r="B1902" s="411" t="s">
        <v>9046</v>
      </c>
      <c r="C1902" s="401" t="s">
        <v>998</v>
      </c>
      <c r="D1902" s="600">
        <v>146.26</v>
      </c>
    </row>
    <row r="1903" spans="1:4">
      <c r="A1903" s="401">
        <v>39457</v>
      </c>
      <c r="B1903" s="411" t="s">
        <v>9047</v>
      </c>
      <c r="C1903" s="401" t="s">
        <v>998</v>
      </c>
      <c r="D1903" s="600">
        <v>159.44999999999999</v>
      </c>
    </row>
    <row r="1904" spans="1:4">
      <c r="A1904" s="401">
        <v>39458</v>
      </c>
      <c r="B1904" s="411" t="s">
        <v>9048</v>
      </c>
      <c r="C1904" s="401" t="s">
        <v>998</v>
      </c>
      <c r="D1904" s="600">
        <v>297.54000000000002</v>
      </c>
    </row>
    <row r="1905" spans="1:4">
      <c r="A1905" s="401">
        <v>39464</v>
      </c>
      <c r="B1905" s="411" t="s">
        <v>9049</v>
      </c>
      <c r="C1905" s="401" t="s">
        <v>998</v>
      </c>
      <c r="D1905" s="600">
        <v>478.47</v>
      </c>
    </row>
    <row r="1906" spans="1:4">
      <c r="A1906" s="401">
        <v>39460</v>
      </c>
      <c r="B1906" s="411" t="s">
        <v>9050</v>
      </c>
      <c r="C1906" s="401" t="s">
        <v>998</v>
      </c>
      <c r="D1906" s="600">
        <v>181.47</v>
      </c>
    </row>
    <row r="1907" spans="1:4">
      <c r="A1907" s="401">
        <v>39461</v>
      </c>
      <c r="B1907" s="411" t="s">
        <v>9051</v>
      </c>
      <c r="C1907" s="401" t="s">
        <v>998</v>
      </c>
      <c r="D1907" s="600">
        <v>212.64</v>
      </c>
    </row>
    <row r="1908" spans="1:4">
      <c r="A1908" s="401">
        <v>39462</v>
      </c>
      <c r="B1908" s="411" t="s">
        <v>9052</v>
      </c>
      <c r="C1908" s="401" t="s">
        <v>998</v>
      </c>
      <c r="D1908" s="600">
        <v>204.93</v>
      </c>
    </row>
    <row r="1909" spans="1:4">
      <c r="A1909" s="401">
        <v>39463</v>
      </c>
      <c r="B1909" s="411" t="s">
        <v>9053</v>
      </c>
      <c r="C1909" s="401" t="s">
        <v>998</v>
      </c>
      <c r="D1909" s="600">
        <v>474.76</v>
      </c>
    </row>
    <row r="1910" spans="1:4">
      <c r="A1910" s="401">
        <v>26039</v>
      </c>
      <c r="B1910" s="411" t="s">
        <v>9054</v>
      </c>
      <c r="C1910" s="401" t="s">
        <v>998</v>
      </c>
      <c r="D1910" s="600">
        <v>249588.52</v>
      </c>
    </row>
    <row r="1911" spans="1:4" ht="25.5">
      <c r="A1911" s="401">
        <v>2401</v>
      </c>
      <c r="B1911" s="411" t="s">
        <v>9055</v>
      </c>
      <c r="C1911" s="401" t="s">
        <v>998</v>
      </c>
      <c r="D1911" s="600">
        <v>57408.12</v>
      </c>
    </row>
    <row r="1912" spans="1:4" ht="25.5">
      <c r="A1912" s="401">
        <v>38870</v>
      </c>
      <c r="B1912" s="411" t="s">
        <v>9056</v>
      </c>
      <c r="C1912" s="401" t="s">
        <v>998</v>
      </c>
      <c r="D1912" s="600">
        <v>35.979999999999997</v>
      </c>
    </row>
    <row r="1913" spans="1:4" ht="25.5">
      <c r="A1913" s="401">
        <v>38869</v>
      </c>
      <c r="B1913" s="411" t="s">
        <v>9057</v>
      </c>
      <c r="C1913" s="401" t="s">
        <v>998</v>
      </c>
      <c r="D1913" s="600">
        <v>31.74</v>
      </c>
    </row>
    <row r="1914" spans="1:4" ht="25.5">
      <c r="A1914" s="401">
        <v>38872</v>
      </c>
      <c r="B1914" s="411" t="s">
        <v>9058</v>
      </c>
      <c r="C1914" s="401" t="s">
        <v>998</v>
      </c>
      <c r="D1914" s="600">
        <v>49.15</v>
      </c>
    </row>
    <row r="1915" spans="1:4" ht="25.5">
      <c r="A1915" s="401">
        <v>38871</v>
      </c>
      <c r="B1915" s="411" t="s">
        <v>9059</v>
      </c>
      <c r="C1915" s="401" t="s">
        <v>998</v>
      </c>
      <c r="D1915" s="600">
        <v>39.54</v>
      </c>
    </row>
    <row r="1916" spans="1:4" ht="25.5">
      <c r="A1916" s="401">
        <v>39283</v>
      </c>
      <c r="B1916" s="411" t="s">
        <v>9060</v>
      </c>
      <c r="C1916" s="401" t="s">
        <v>998</v>
      </c>
      <c r="D1916" s="600">
        <v>123.16</v>
      </c>
    </row>
    <row r="1917" spans="1:4" ht="25.5">
      <c r="A1917" s="401">
        <v>39284</v>
      </c>
      <c r="B1917" s="411" t="s">
        <v>9061</v>
      </c>
      <c r="C1917" s="401" t="s">
        <v>998</v>
      </c>
      <c r="D1917" s="600">
        <v>133.46</v>
      </c>
    </row>
    <row r="1918" spans="1:4" ht="25.5">
      <c r="A1918" s="401">
        <v>39285</v>
      </c>
      <c r="B1918" s="411" t="s">
        <v>9062</v>
      </c>
      <c r="C1918" s="401" t="s">
        <v>998</v>
      </c>
      <c r="D1918" s="600">
        <v>135.38</v>
      </c>
    </row>
    <row r="1919" spans="1:4" ht="25.5">
      <c r="A1919" s="401">
        <v>39286</v>
      </c>
      <c r="B1919" s="411" t="s">
        <v>9063</v>
      </c>
      <c r="C1919" s="401" t="s">
        <v>998</v>
      </c>
      <c r="D1919" s="600">
        <v>132.43</v>
      </c>
    </row>
    <row r="1920" spans="1:4" ht="25.5">
      <c r="A1920" s="401">
        <v>39287</v>
      </c>
      <c r="B1920" s="411" t="s">
        <v>9064</v>
      </c>
      <c r="C1920" s="401" t="s">
        <v>998</v>
      </c>
      <c r="D1920" s="600">
        <v>155.5</v>
      </c>
    </row>
    <row r="1921" spans="1:4" ht="25.5">
      <c r="A1921" s="401">
        <v>39288</v>
      </c>
      <c r="B1921" s="411" t="s">
        <v>9065</v>
      </c>
      <c r="C1921" s="401" t="s">
        <v>998</v>
      </c>
      <c r="D1921" s="600">
        <v>165.96</v>
      </c>
    </row>
    <row r="1922" spans="1:4" ht="25.5">
      <c r="A1922" s="401">
        <v>2414</v>
      </c>
      <c r="B1922" s="411" t="s">
        <v>9066</v>
      </c>
      <c r="C1922" s="401" t="s">
        <v>1003</v>
      </c>
      <c r="D1922" s="600">
        <v>104.95</v>
      </c>
    </row>
    <row r="1923" spans="1:4" ht="25.5">
      <c r="A1923" s="401">
        <v>2413</v>
      </c>
      <c r="B1923" s="411" t="s">
        <v>9067</v>
      </c>
      <c r="C1923" s="401" t="s">
        <v>1003</v>
      </c>
      <c r="D1923" s="600">
        <v>100.97</v>
      </c>
    </row>
    <row r="1924" spans="1:4" ht="25.5">
      <c r="A1924" s="401">
        <v>2405</v>
      </c>
      <c r="B1924" s="411" t="s">
        <v>9068</v>
      </c>
      <c r="C1924" s="401" t="s">
        <v>1003</v>
      </c>
      <c r="D1924" s="600">
        <v>117.52</v>
      </c>
    </row>
    <row r="1925" spans="1:4" ht="25.5">
      <c r="A1925" s="401">
        <v>13361</v>
      </c>
      <c r="B1925" s="411" t="s">
        <v>9069</v>
      </c>
      <c r="C1925" s="401" t="s">
        <v>1003</v>
      </c>
      <c r="D1925" s="600">
        <v>98.31</v>
      </c>
    </row>
    <row r="1926" spans="1:4" ht="25.5">
      <c r="A1926" s="401">
        <v>11987</v>
      </c>
      <c r="B1926" s="411" t="s">
        <v>9070</v>
      </c>
      <c r="C1926" s="401" t="s">
        <v>1003</v>
      </c>
      <c r="D1926" s="600">
        <v>263.05</v>
      </c>
    </row>
    <row r="1927" spans="1:4" ht="25.5">
      <c r="A1927" s="401">
        <v>2416</v>
      </c>
      <c r="B1927" s="411" t="s">
        <v>9071</v>
      </c>
      <c r="C1927" s="401" t="s">
        <v>1003</v>
      </c>
      <c r="D1927" s="600">
        <v>116.38</v>
      </c>
    </row>
    <row r="1928" spans="1:4" ht="25.5">
      <c r="A1928" s="401">
        <v>2412</v>
      </c>
      <c r="B1928" s="411" t="s">
        <v>9072</v>
      </c>
      <c r="C1928" s="401" t="s">
        <v>1003</v>
      </c>
      <c r="D1928" s="600">
        <v>112.39</v>
      </c>
    </row>
    <row r="1929" spans="1:4" ht="25.5">
      <c r="A1929" s="401">
        <v>2411</v>
      </c>
      <c r="B1929" s="411" t="s">
        <v>9073</v>
      </c>
      <c r="C1929" s="401" t="s">
        <v>1003</v>
      </c>
      <c r="D1929" s="600">
        <v>98.31</v>
      </c>
    </row>
    <row r="1930" spans="1:4" ht="25.5">
      <c r="A1930" s="401">
        <v>2406</v>
      </c>
      <c r="B1930" s="411" t="s">
        <v>9074</v>
      </c>
      <c r="C1930" s="401" t="s">
        <v>1003</v>
      </c>
      <c r="D1930" s="600">
        <v>95.65</v>
      </c>
    </row>
    <row r="1931" spans="1:4" ht="25.5">
      <c r="A1931" s="401">
        <v>10571</v>
      </c>
      <c r="B1931" s="411" t="s">
        <v>9075</v>
      </c>
      <c r="C1931" s="401" t="s">
        <v>1003</v>
      </c>
      <c r="D1931" s="600">
        <v>233.82</v>
      </c>
    </row>
    <row r="1932" spans="1:4" ht="25.5">
      <c r="A1932" s="401">
        <v>11985</v>
      </c>
      <c r="B1932" s="411" t="s">
        <v>9076</v>
      </c>
      <c r="C1932" s="401" t="s">
        <v>1003</v>
      </c>
      <c r="D1932" s="600">
        <v>225.85</v>
      </c>
    </row>
    <row r="1933" spans="1:4" ht="25.5">
      <c r="A1933" s="401">
        <v>2410</v>
      </c>
      <c r="B1933" s="411" t="s">
        <v>9077</v>
      </c>
      <c r="C1933" s="401" t="s">
        <v>1003</v>
      </c>
      <c r="D1933" s="600">
        <v>99.64</v>
      </c>
    </row>
    <row r="1934" spans="1:4" ht="25.5">
      <c r="A1934" s="401">
        <v>2417</v>
      </c>
      <c r="B1934" s="411" t="s">
        <v>9078</v>
      </c>
      <c r="C1934" s="401" t="s">
        <v>1003</v>
      </c>
      <c r="D1934" s="600">
        <v>106.28</v>
      </c>
    </row>
    <row r="1935" spans="1:4" ht="25.5">
      <c r="A1935" s="401">
        <v>2415</v>
      </c>
      <c r="B1935" s="411" t="s">
        <v>9079</v>
      </c>
      <c r="C1935" s="401" t="s">
        <v>1003</v>
      </c>
      <c r="D1935" s="600">
        <v>85.02</v>
      </c>
    </row>
    <row r="1936" spans="1:4" ht="25.5">
      <c r="A1936" s="401">
        <v>13360</v>
      </c>
      <c r="B1936" s="411" t="s">
        <v>9080</v>
      </c>
      <c r="C1936" s="401" t="s">
        <v>1003</v>
      </c>
      <c r="D1936" s="600">
        <v>85.02</v>
      </c>
    </row>
    <row r="1937" spans="1:4" ht="25.5">
      <c r="A1937" s="401">
        <v>11983</v>
      </c>
      <c r="B1937" s="411" t="s">
        <v>9081</v>
      </c>
      <c r="C1937" s="401" t="s">
        <v>1003</v>
      </c>
      <c r="D1937" s="600">
        <v>207.25</v>
      </c>
    </row>
    <row r="1938" spans="1:4" ht="25.5">
      <c r="A1938" s="401">
        <v>11986</v>
      </c>
      <c r="B1938" s="411" t="s">
        <v>9082</v>
      </c>
      <c r="C1938" s="401" t="s">
        <v>1003</v>
      </c>
      <c r="D1938" s="600">
        <v>252.42</v>
      </c>
    </row>
    <row r="1939" spans="1:4" ht="25.5">
      <c r="A1939" s="401">
        <v>25976</v>
      </c>
      <c r="B1939" s="411" t="s">
        <v>9083</v>
      </c>
      <c r="C1939" s="401" t="s">
        <v>1003</v>
      </c>
      <c r="D1939" s="600">
        <v>547.89</v>
      </c>
    </row>
    <row r="1940" spans="1:4">
      <c r="A1940" s="401">
        <v>10629</v>
      </c>
      <c r="B1940" s="411" t="s">
        <v>9084</v>
      </c>
      <c r="C1940" s="401" t="s">
        <v>1003</v>
      </c>
      <c r="D1940" s="600">
        <v>469.48</v>
      </c>
    </row>
    <row r="1941" spans="1:4">
      <c r="A1941" s="401">
        <v>10698</v>
      </c>
      <c r="B1941" s="411" t="s">
        <v>9085</v>
      </c>
      <c r="C1941" s="401" t="s">
        <v>1003</v>
      </c>
      <c r="D1941" s="600">
        <v>135.82</v>
      </c>
    </row>
    <row r="1942" spans="1:4" ht="25.5">
      <c r="A1942" s="401">
        <v>40521</v>
      </c>
      <c r="B1942" s="411" t="s">
        <v>9086</v>
      </c>
      <c r="C1942" s="401" t="s">
        <v>998</v>
      </c>
      <c r="D1942" s="600">
        <v>100113.45</v>
      </c>
    </row>
    <row r="1943" spans="1:4" ht="25.5">
      <c r="A1943" s="401">
        <v>2432</v>
      </c>
      <c r="B1943" s="411" t="s">
        <v>9087</v>
      </c>
      <c r="C1943" s="401" t="s">
        <v>998</v>
      </c>
      <c r="D1943" s="600">
        <v>15.63</v>
      </c>
    </row>
    <row r="1944" spans="1:4" ht="25.5">
      <c r="A1944" s="401">
        <v>2433</v>
      </c>
      <c r="B1944" s="411" t="s">
        <v>9088</v>
      </c>
      <c r="C1944" s="401" t="s">
        <v>998</v>
      </c>
      <c r="D1944" s="600">
        <v>5.29</v>
      </c>
    </row>
    <row r="1945" spans="1:4" ht="25.5">
      <c r="A1945" s="401">
        <v>2420</v>
      </c>
      <c r="B1945" s="411" t="s">
        <v>9089</v>
      </c>
      <c r="C1945" s="401" t="s">
        <v>998</v>
      </c>
      <c r="D1945" s="600">
        <v>9.09</v>
      </c>
    </row>
    <row r="1946" spans="1:4" ht="25.5">
      <c r="A1946" s="401">
        <v>11447</v>
      </c>
      <c r="B1946" s="411" t="s">
        <v>9090</v>
      </c>
      <c r="C1946" s="401" t="s">
        <v>998</v>
      </c>
      <c r="D1946" s="600">
        <v>17.97</v>
      </c>
    </row>
    <row r="1947" spans="1:4">
      <c r="A1947" s="401">
        <v>11451</v>
      </c>
      <c r="B1947" s="411" t="s">
        <v>9091</v>
      </c>
      <c r="C1947" s="401" t="s">
        <v>998</v>
      </c>
      <c r="D1947" s="600">
        <v>48.17</v>
      </c>
    </row>
    <row r="1948" spans="1:4">
      <c r="A1948" s="401">
        <v>11116</v>
      </c>
      <c r="B1948" s="411" t="s">
        <v>9092</v>
      </c>
      <c r="C1948" s="401" t="s">
        <v>998</v>
      </c>
      <c r="D1948" s="600">
        <v>447.46</v>
      </c>
    </row>
    <row r="1949" spans="1:4">
      <c r="A1949" s="401">
        <v>38411</v>
      </c>
      <c r="B1949" s="411" t="s">
        <v>9093</v>
      </c>
      <c r="C1949" s="401" t="s">
        <v>998</v>
      </c>
      <c r="D1949" s="600">
        <v>1199.9100000000001</v>
      </c>
    </row>
    <row r="1950" spans="1:4">
      <c r="A1950" s="401">
        <v>1370</v>
      </c>
      <c r="B1950" s="411" t="s">
        <v>9094</v>
      </c>
      <c r="C1950" s="401" t="s">
        <v>998</v>
      </c>
      <c r="D1950" s="600">
        <v>83.34</v>
      </c>
    </row>
    <row r="1951" spans="1:4">
      <c r="A1951" s="401">
        <v>38189</v>
      </c>
      <c r="B1951" s="411" t="s">
        <v>9095</v>
      </c>
      <c r="C1951" s="401" t="s">
        <v>998</v>
      </c>
      <c r="D1951" s="600">
        <v>184.3</v>
      </c>
    </row>
    <row r="1952" spans="1:4">
      <c r="A1952" s="401">
        <v>38190</v>
      </c>
      <c r="B1952" s="411" t="s">
        <v>9096</v>
      </c>
      <c r="C1952" s="401" t="s">
        <v>998</v>
      </c>
      <c r="D1952" s="600">
        <v>414.46</v>
      </c>
    </row>
    <row r="1953" spans="1:4" ht="25.5">
      <c r="A1953" s="401">
        <v>36516</v>
      </c>
      <c r="B1953" s="411" t="s">
        <v>9097</v>
      </c>
      <c r="C1953" s="401" t="s">
        <v>998</v>
      </c>
      <c r="D1953" s="600">
        <v>71285.03</v>
      </c>
    </row>
    <row r="1954" spans="1:4">
      <c r="A1954" s="401">
        <v>34777</v>
      </c>
      <c r="B1954" s="411" t="s">
        <v>9098</v>
      </c>
      <c r="C1954" s="401" t="s">
        <v>998</v>
      </c>
      <c r="D1954" s="600">
        <v>1.68</v>
      </c>
    </row>
    <row r="1955" spans="1:4">
      <c r="A1955" s="401">
        <v>7273</v>
      </c>
      <c r="B1955" s="411" t="s">
        <v>9099</v>
      </c>
      <c r="C1955" s="401" t="s">
        <v>998</v>
      </c>
      <c r="D1955" s="600">
        <v>2.77</v>
      </c>
    </row>
    <row r="1956" spans="1:4">
      <c r="A1956" s="401">
        <v>7272</v>
      </c>
      <c r="B1956" s="411" t="s">
        <v>9100</v>
      </c>
      <c r="C1956" s="401" t="s">
        <v>998</v>
      </c>
      <c r="D1956" s="600">
        <v>3.86</v>
      </c>
    </row>
    <row r="1957" spans="1:4">
      <c r="A1957" s="401">
        <v>10605</v>
      </c>
      <c r="B1957" s="411" t="s">
        <v>9101</v>
      </c>
      <c r="C1957" s="401" t="s">
        <v>998</v>
      </c>
      <c r="D1957" s="600">
        <v>2.17</v>
      </c>
    </row>
    <row r="1958" spans="1:4">
      <c r="A1958" s="401">
        <v>10604</v>
      </c>
      <c r="B1958" s="411" t="s">
        <v>9102</v>
      </c>
      <c r="C1958" s="401" t="s">
        <v>998</v>
      </c>
      <c r="D1958" s="600">
        <v>4.33</v>
      </c>
    </row>
    <row r="1959" spans="1:4">
      <c r="A1959" s="401">
        <v>672</v>
      </c>
      <c r="B1959" s="411" t="s">
        <v>9103</v>
      </c>
      <c r="C1959" s="401" t="s">
        <v>998</v>
      </c>
      <c r="D1959" s="600">
        <v>4.37</v>
      </c>
    </row>
    <row r="1960" spans="1:4">
      <c r="A1960" s="401">
        <v>668</v>
      </c>
      <c r="B1960" s="411" t="s">
        <v>9104</v>
      </c>
      <c r="C1960" s="401" t="s">
        <v>998</v>
      </c>
      <c r="D1960" s="600">
        <v>6.88</v>
      </c>
    </row>
    <row r="1961" spans="1:4">
      <c r="A1961" s="401">
        <v>10578</v>
      </c>
      <c r="B1961" s="411" t="s">
        <v>9105</v>
      </c>
      <c r="C1961" s="401" t="s">
        <v>998</v>
      </c>
      <c r="D1961" s="600">
        <v>12</v>
      </c>
    </row>
    <row r="1962" spans="1:4">
      <c r="A1962" s="401">
        <v>666</v>
      </c>
      <c r="B1962" s="411" t="s">
        <v>9106</v>
      </c>
      <c r="C1962" s="401" t="s">
        <v>998</v>
      </c>
      <c r="D1962" s="600">
        <v>11.91</v>
      </c>
    </row>
    <row r="1963" spans="1:4">
      <c r="A1963" s="401">
        <v>665</v>
      </c>
      <c r="B1963" s="411" t="s">
        <v>9107</v>
      </c>
      <c r="C1963" s="401" t="s">
        <v>998</v>
      </c>
      <c r="D1963" s="600">
        <v>22.32</v>
      </c>
    </row>
    <row r="1964" spans="1:4">
      <c r="A1964" s="401">
        <v>10577</v>
      </c>
      <c r="B1964" s="411" t="s">
        <v>9108</v>
      </c>
      <c r="C1964" s="401" t="s">
        <v>998</v>
      </c>
      <c r="D1964" s="600">
        <v>17.48</v>
      </c>
    </row>
    <row r="1965" spans="1:4">
      <c r="A1965" s="401">
        <v>10583</v>
      </c>
      <c r="B1965" s="411" t="s">
        <v>9109</v>
      </c>
      <c r="C1965" s="401" t="s">
        <v>998</v>
      </c>
      <c r="D1965" s="600">
        <v>9.8000000000000007</v>
      </c>
    </row>
    <row r="1966" spans="1:4">
      <c r="A1966" s="401">
        <v>10579</v>
      </c>
      <c r="B1966" s="411" t="s">
        <v>9110</v>
      </c>
      <c r="C1966" s="401" t="s">
        <v>998</v>
      </c>
      <c r="D1966" s="600">
        <v>15.98</v>
      </c>
    </row>
    <row r="1967" spans="1:4">
      <c r="A1967" s="401">
        <v>10582</v>
      </c>
      <c r="B1967" s="411" t="s">
        <v>9111</v>
      </c>
      <c r="C1967" s="401" t="s">
        <v>998</v>
      </c>
      <c r="D1967" s="600">
        <v>5.59</v>
      </c>
    </row>
    <row r="1968" spans="1:4">
      <c r="A1968" s="401">
        <v>2436</v>
      </c>
      <c r="B1968" s="411" t="s">
        <v>9112</v>
      </c>
      <c r="C1968" s="401" t="s">
        <v>1001</v>
      </c>
      <c r="D1968" s="600">
        <v>13.23</v>
      </c>
    </row>
    <row r="1969" spans="1:4">
      <c r="A1969" s="401">
        <v>40918</v>
      </c>
      <c r="B1969" s="411" t="s">
        <v>9113</v>
      </c>
      <c r="C1969" s="401" t="s">
        <v>1118</v>
      </c>
      <c r="D1969" s="600">
        <v>2344.6999999999998</v>
      </c>
    </row>
    <row r="1970" spans="1:4">
      <c r="A1970" s="401">
        <v>2439</v>
      </c>
      <c r="B1970" s="411" t="s">
        <v>9114</v>
      </c>
      <c r="C1970" s="401" t="s">
        <v>1001</v>
      </c>
      <c r="D1970" s="600">
        <v>13.23</v>
      </c>
    </row>
    <row r="1971" spans="1:4">
      <c r="A1971" s="401">
        <v>40923</v>
      </c>
      <c r="B1971" s="411" t="s">
        <v>9115</v>
      </c>
      <c r="C1971" s="401" t="s">
        <v>1118</v>
      </c>
      <c r="D1971" s="600">
        <v>2344.6999999999998</v>
      </c>
    </row>
    <row r="1972" spans="1:4">
      <c r="A1972" s="401">
        <v>10998</v>
      </c>
      <c r="B1972" s="411" t="s">
        <v>9116</v>
      </c>
      <c r="C1972" s="401" t="s">
        <v>995</v>
      </c>
      <c r="D1972" s="600">
        <v>13.1</v>
      </c>
    </row>
    <row r="1973" spans="1:4">
      <c r="A1973" s="401">
        <v>11002</v>
      </c>
      <c r="B1973" s="411" t="s">
        <v>9117</v>
      </c>
      <c r="C1973" s="401" t="s">
        <v>995</v>
      </c>
      <c r="D1973" s="600">
        <v>12</v>
      </c>
    </row>
    <row r="1974" spans="1:4">
      <c r="A1974" s="401">
        <v>10999</v>
      </c>
      <c r="B1974" s="411" t="s">
        <v>9118</v>
      </c>
      <c r="C1974" s="401" t="s">
        <v>995</v>
      </c>
      <c r="D1974" s="600">
        <v>11.53</v>
      </c>
    </row>
    <row r="1975" spans="1:4">
      <c r="A1975" s="401">
        <v>10997</v>
      </c>
      <c r="B1975" s="411" t="s">
        <v>9119</v>
      </c>
      <c r="C1975" s="401" t="s">
        <v>995</v>
      </c>
      <c r="D1975" s="600">
        <v>12.5</v>
      </c>
    </row>
    <row r="1976" spans="1:4">
      <c r="A1976" s="401">
        <v>2685</v>
      </c>
      <c r="B1976" s="411" t="s">
        <v>9120</v>
      </c>
      <c r="C1976" s="401" t="s">
        <v>1002</v>
      </c>
      <c r="D1976" s="600">
        <v>4.12</v>
      </c>
    </row>
    <row r="1977" spans="1:4">
      <c r="A1977" s="401">
        <v>2680</v>
      </c>
      <c r="B1977" s="411" t="s">
        <v>9121</v>
      </c>
      <c r="C1977" s="401" t="s">
        <v>1002</v>
      </c>
      <c r="D1977" s="600">
        <v>6.03</v>
      </c>
    </row>
    <row r="1978" spans="1:4">
      <c r="A1978" s="401">
        <v>2684</v>
      </c>
      <c r="B1978" s="411" t="s">
        <v>9122</v>
      </c>
      <c r="C1978" s="401" t="s">
        <v>1002</v>
      </c>
      <c r="D1978" s="600">
        <v>5.49</v>
      </c>
    </row>
    <row r="1979" spans="1:4">
      <c r="A1979" s="401">
        <v>2673</v>
      </c>
      <c r="B1979" s="411" t="s">
        <v>9123</v>
      </c>
      <c r="C1979" s="401" t="s">
        <v>1002</v>
      </c>
      <c r="D1979" s="600">
        <v>2.12</v>
      </c>
    </row>
    <row r="1980" spans="1:4">
      <c r="A1980" s="401">
        <v>2681</v>
      </c>
      <c r="B1980" s="411" t="s">
        <v>9124</v>
      </c>
      <c r="C1980" s="401" t="s">
        <v>1002</v>
      </c>
      <c r="D1980" s="600">
        <v>9.86</v>
      </c>
    </row>
    <row r="1981" spans="1:4">
      <c r="A1981" s="401">
        <v>2682</v>
      </c>
      <c r="B1981" s="411" t="s">
        <v>9125</v>
      </c>
      <c r="C1981" s="401" t="s">
        <v>1002</v>
      </c>
      <c r="D1981" s="600">
        <v>14.39</v>
      </c>
    </row>
    <row r="1982" spans="1:4">
      <c r="A1982" s="401">
        <v>2686</v>
      </c>
      <c r="B1982" s="411" t="s">
        <v>9126</v>
      </c>
      <c r="C1982" s="401" t="s">
        <v>1002</v>
      </c>
      <c r="D1982" s="600">
        <v>18.05</v>
      </c>
    </row>
    <row r="1983" spans="1:4">
      <c r="A1983" s="401">
        <v>2674</v>
      </c>
      <c r="B1983" s="411" t="s">
        <v>9127</v>
      </c>
      <c r="C1983" s="401" t="s">
        <v>1002</v>
      </c>
      <c r="D1983" s="600">
        <v>2.64</v>
      </c>
    </row>
    <row r="1984" spans="1:4">
      <c r="A1984" s="401">
        <v>2683</v>
      </c>
      <c r="B1984" s="411" t="s">
        <v>9128</v>
      </c>
      <c r="C1984" s="401" t="s">
        <v>1002</v>
      </c>
      <c r="D1984" s="600">
        <v>28.44</v>
      </c>
    </row>
    <row r="1985" spans="1:4">
      <c r="A1985" s="401">
        <v>2676</v>
      </c>
      <c r="B1985" s="411" t="s">
        <v>9129</v>
      </c>
      <c r="C1985" s="401" t="s">
        <v>1002</v>
      </c>
      <c r="D1985" s="600">
        <v>1.23</v>
      </c>
    </row>
    <row r="1986" spans="1:4">
      <c r="A1986" s="401">
        <v>2678</v>
      </c>
      <c r="B1986" s="411" t="s">
        <v>9130</v>
      </c>
      <c r="C1986" s="401" t="s">
        <v>1002</v>
      </c>
      <c r="D1986" s="600">
        <v>1.54</v>
      </c>
    </row>
    <row r="1987" spans="1:4">
      <c r="A1987" s="401">
        <v>2679</v>
      </c>
      <c r="B1987" s="411" t="s">
        <v>9131</v>
      </c>
      <c r="C1987" s="401" t="s">
        <v>1002</v>
      </c>
      <c r="D1987" s="600">
        <v>2.38</v>
      </c>
    </row>
    <row r="1988" spans="1:4">
      <c r="A1988" s="401">
        <v>12070</v>
      </c>
      <c r="B1988" s="411" t="s">
        <v>9132</v>
      </c>
      <c r="C1988" s="401" t="s">
        <v>1002</v>
      </c>
      <c r="D1988" s="600">
        <v>3.31</v>
      </c>
    </row>
    <row r="1989" spans="1:4">
      <c r="A1989" s="401">
        <v>2675</v>
      </c>
      <c r="B1989" s="411" t="s">
        <v>9133</v>
      </c>
      <c r="C1989" s="401" t="s">
        <v>1002</v>
      </c>
      <c r="D1989" s="600">
        <v>4.3</v>
      </c>
    </row>
    <row r="1990" spans="1:4">
      <c r="A1990" s="401">
        <v>12067</v>
      </c>
      <c r="B1990" s="411" t="s">
        <v>9134</v>
      </c>
      <c r="C1990" s="401" t="s">
        <v>1002</v>
      </c>
      <c r="D1990" s="600">
        <v>5.84</v>
      </c>
    </row>
    <row r="1991" spans="1:4">
      <c r="A1991" s="401">
        <v>40401</v>
      </c>
      <c r="B1991" s="411" t="s">
        <v>9135</v>
      </c>
      <c r="C1991" s="401" t="s">
        <v>1002</v>
      </c>
      <c r="D1991" s="600">
        <v>2.09</v>
      </c>
    </row>
    <row r="1992" spans="1:4">
      <c r="A1992" s="401">
        <v>40402</v>
      </c>
      <c r="B1992" s="411" t="s">
        <v>9136</v>
      </c>
      <c r="C1992" s="401" t="s">
        <v>1002</v>
      </c>
      <c r="D1992" s="600">
        <v>2.68</v>
      </c>
    </row>
    <row r="1993" spans="1:4">
      <c r="A1993" s="401">
        <v>40400</v>
      </c>
      <c r="B1993" s="411" t="s">
        <v>9137</v>
      </c>
      <c r="C1993" s="401" t="s">
        <v>1002</v>
      </c>
      <c r="D1993" s="600">
        <v>1.42</v>
      </c>
    </row>
    <row r="1994" spans="1:4" ht="25.5">
      <c r="A1994" s="401">
        <v>2504</v>
      </c>
      <c r="B1994" s="411" t="s">
        <v>9138</v>
      </c>
      <c r="C1994" s="401" t="s">
        <v>1002</v>
      </c>
      <c r="D1994" s="600">
        <v>10.26</v>
      </c>
    </row>
    <row r="1995" spans="1:4" ht="25.5">
      <c r="A1995" s="401">
        <v>2501</v>
      </c>
      <c r="B1995" s="411" t="s">
        <v>9139</v>
      </c>
      <c r="C1995" s="401" t="s">
        <v>1002</v>
      </c>
      <c r="D1995" s="600">
        <v>13.46</v>
      </c>
    </row>
    <row r="1996" spans="1:4" ht="25.5">
      <c r="A1996" s="401">
        <v>2502</v>
      </c>
      <c r="B1996" s="411" t="s">
        <v>9140</v>
      </c>
      <c r="C1996" s="401" t="s">
        <v>1002</v>
      </c>
      <c r="D1996" s="600">
        <v>20.309999999999999</v>
      </c>
    </row>
    <row r="1997" spans="1:4" ht="25.5">
      <c r="A1997" s="401">
        <v>2503</v>
      </c>
      <c r="B1997" s="411" t="s">
        <v>9141</v>
      </c>
      <c r="C1997" s="401" t="s">
        <v>1002</v>
      </c>
      <c r="D1997" s="600">
        <v>26.14</v>
      </c>
    </row>
    <row r="1998" spans="1:4" ht="25.5">
      <c r="A1998" s="401">
        <v>2500</v>
      </c>
      <c r="B1998" s="411" t="s">
        <v>9142</v>
      </c>
      <c r="C1998" s="401" t="s">
        <v>1002</v>
      </c>
      <c r="D1998" s="600">
        <v>34.81</v>
      </c>
    </row>
    <row r="1999" spans="1:4" ht="25.5">
      <c r="A1999" s="401">
        <v>2505</v>
      </c>
      <c r="B1999" s="411" t="s">
        <v>9143</v>
      </c>
      <c r="C1999" s="401" t="s">
        <v>1002</v>
      </c>
      <c r="D1999" s="600">
        <v>54.26</v>
      </c>
    </row>
    <row r="2000" spans="1:4">
      <c r="A2000" s="401">
        <v>12056</v>
      </c>
      <c r="B2000" s="411" t="s">
        <v>9144</v>
      </c>
      <c r="C2000" s="401" t="s">
        <v>1002</v>
      </c>
      <c r="D2000" s="600">
        <v>21.92</v>
      </c>
    </row>
    <row r="2001" spans="1:4">
      <c r="A2001" s="401">
        <v>12057</v>
      </c>
      <c r="B2001" s="411" t="s">
        <v>9145</v>
      </c>
      <c r="C2001" s="401" t="s">
        <v>1002</v>
      </c>
      <c r="D2001" s="600">
        <v>18.62</v>
      </c>
    </row>
    <row r="2002" spans="1:4">
      <c r="A2002" s="401">
        <v>12059</v>
      </c>
      <c r="B2002" s="411" t="s">
        <v>9146</v>
      </c>
      <c r="C2002" s="401" t="s">
        <v>1002</v>
      </c>
      <c r="D2002" s="600">
        <v>6.53</v>
      </c>
    </row>
    <row r="2003" spans="1:4">
      <c r="A2003" s="401">
        <v>12058</v>
      </c>
      <c r="B2003" s="411" t="s">
        <v>9147</v>
      </c>
      <c r="C2003" s="401" t="s">
        <v>1002</v>
      </c>
      <c r="D2003" s="600">
        <v>11.61</v>
      </c>
    </row>
    <row r="2004" spans="1:4">
      <c r="A2004" s="401">
        <v>12060</v>
      </c>
      <c r="B2004" s="411" t="s">
        <v>9148</v>
      </c>
      <c r="C2004" s="401" t="s">
        <v>1002</v>
      </c>
      <c r="D2004" s="600">
        <v>48.38</v>
      </c>
    </row>
    <row r="2005" spans="1:4">
      <c r="A2005" s="401">
        <v>12061</v>
      </c>
      <c r="B2005" s="411" t="s">
        <v>9149</v>
      </c>
      <c r="C2005" s="401" t="s">
        <v>1002</v>
      </c>
      <c r="D2005" s="600">
        <v>29.54</v>
      </c>
    </row>
    <row r="2006" spans="1:4">
      <c r="A2006" s="401">
        <v>12062</v>
      </c>
      <c r="B2006" s="411" t="s">
        <v>9150</v>
      </c>
      <c r="C2006" s="401" t="s">
        <v>1002</v>
      </c>
      <c r="D2006" s="600">
        <v>54.48</v>
      </c>
    </row>
    <row r="2007" spans="1:4" ht="25.5">
      <c r="A2007" s="401">
        <v>21137</v>
      </c>
      <c r="B2007" s="411" t="s">
        <v>9151</v>
      </c>
      <c r="C2007" s="401" t="s">
        <v>1002</v>
      </c>
      <c r="D2007" s="600">
        <v>9.4700000000000006</v>
      </c>
    </row>
    <row r="2008" spans="1:4">
      <c r="A2008" s="401">
        <v>2687</v>
      </c>
      <c r="B2008" s="411" t="s">
        <v>9152</v>
      </c>
      <c r="C2008" s="401" t="s">
        <v>1002</v>
      </c>
      <c r="D2008" s="600">
        <v>1.07</v>
      </c>
    </row>
    <row r="2009" spans="1:4">
      <c r="A2009" s="401">
        <v>2689</v>
      </c>
      <c r="B2009" s="411" t="s">
        <v>9153</v>
      </c>
      <c r="C2009" s="401" t="s">
        <v>1002</v>
      </c>
      <c r="D2009" s="600">
        <v>1.28</v>
      </c>
    </row>
    <row r="2010" spans="1:4">
      <c r="A2010" s="401">
        <v>2688</v>
      </c>
      <c r="B2010" s="411" t="s">
        <v>9154</v>
      </c>
      <c r="C2010" s="401" t="s">
        <v>1002</v>
      </c>
      <c r="D2010" s="600">
        <v>1.38</v>
      </c>
    </row>
    <row r="2011" spans="1:4">
      <c r="A2011" s="401">
        <v>2690</v>
      </c>
      <c r="B2011" s="411" t="s">
        <v>9155</v>
      </c>
      <c r="C2011" s="401" t="s">
        <v>1002</v>
      </c>
      <c r="D2011" s="600">
        <v>2.37</v>
      </c>
    </row>
    <row r="2012" spans="1:4" ht="25.5">
      <c r="A2012" s="401">
        <v>39243</v>
      </c>
      <c r="B2012" s="411" t="s">
        <v>9156</v>
      </c>
      <c r="C2012" s="401" t="s">
        <v>1002</v>
      </c>
      <c r="D2012" s="600">
        <v>1.56</v>
      </c>
    </row>
    <row r="2013" spans="1:4" ht="25.5">
      <c r="A2013" s="401">
        <v>39244</v>
      </c>
      <c r="B2013" s="411" t="s">
        <v>9157</v>
      </c>
      <c r="C2013" s="401" t="s">
        <v>1002</v>
      </c>
      <c r="D2013" s="600">
        <v>2.11</v>
      </c>
    </row>
    <row r="2014" spans="1:4" ht="25.5">
      <c r="A2014" s="401">
        <v>39245</v>
      </c>
      <c r="B2014" s="411" t="s">
        <v>9158</v>
      </c>
      <c r="C2014" s="401" t="s">
        <v>1002</v>
      </c>
      <c r="D2014" s="600">
        <v>4.07</v>
      </c>
    </row>
    <row r="2015" spans="1:4" ht="25.5">
      <c r="A2015" s="401">
        <v>39254</v>
      </c>
      <c r="B2015" s="411" t="s">
        <v>9159</v>
      </c>
      <c r="C2015" s="401" t="s">
        <v>1002</v>
      </c>
      <c r="D2015" s="600">
        <v>6.09</v>
      </c>
    </row>
    <row r="2016" spans="1:4" ht="25.5">
      <c r="A2016" s="401">
        <v>39255</v>
      </c>
      <c r="B2016" s="411" t="s">
        <v>9160</v>
      </c>
      <c r="C2016" s="401" t="s">
        <v>1002</v>
      </c>
      <c r="D2016" s="600">
        <v>11.26</v>
      </c>
    </row>
    <row r="2017" spans="1:4" ht="25.5">
      <c r="A2017" s="401">
        <v>39253</v>
      </c>
      <c r="B2017" s="411" t="s">
        <v>9161</v>
      </c>
      <c r="C2017" s="401" t="s">
        <v>1002</v>
      </c>
      <c r="D2017" s="600">
        <v>7.76</v>
      </c>
    </row>
    <row r="2018" spans="1:4" ht="25.5">
      <c r="A2018" s="401">
        <v>2446</v>
      </c>
      <c r="B2018" s="411" t="s">
        <v>9162</v>
      </c>
      <c r="C2018" s="401" t="s">
        <v>1002</v>
      </c>
      <c r="D2018" s="600">
        <v>5.21</v>
      </c>
    </row>
    <row r="2019" spans="1:4" ht="25.5">
      <c r="A2019" s="401">
        <v>2442</v>
      </c>
      <c r="B2019" s="411" t="s">
        <v>9163</v>
      </c>
      <c r="C2019" s="401" t="s">
        <v>1002</v>
      </c>
      <c r="D2019" s="600">
        <v>7.3</v>
      </c>
    </row>
    <row r="2020" spans="1:4" ht="25.5">
      <c r="A2020" s="401">
        <v>39246</v>
      </c>
      <c r="B2020" s="411" t="s">
        <v>9164</v>
      </c>
      <c r="C2020" s="401" t="s">
        <v>1002</v>
      </c>
      <c r="D2020" s="600">
        <v>3.63</v>
      </c>
    </row>
    <row r="2021" spans="1:4" ht="25.5">
      <c r="A2021" s="401">
        <v>39247</v>
      </c>
      <c r="B2021" s="411" t="s">
        <v>9165</v>
      </c>
      <c r="C2021" s="401" t="s">
        <v>1002</v>
      </c>
      <c r="D2021" s="600">
        <v>3.16</v>
      </c>
    </row>
    <row r="2022" spans="1:4" ht="25.5">
      <c r="A2022" s="401">
        <v>39248</v>
      </c>
      <c r="B2022" s="411" t="s">
        <v>9166</v>
      </c>
      <c r="C2022" s="401" t="s">
        <v>1002</v>
      </c>
      <c r="D2022" s="600">
        <v>10.17</v>
      </c>
    </row>
    <row r="2023" spans="1:4">
      <c r="A2023" s="401">
        <v>2438</v>
      </c>
      <c r="B2023" s="411" t="s">
        <v>9167</v>
      </c>
      <c r="C2023" s="401" t="s">
        <v>1001</v>
      </c>
      <c r="D2023" s="600">
        <v>13.36</v>
      </c>
    </row>
    <row r="2024" spans="1:4">
      <c r="A2024" s="401">
        <v>40922</v>
      </c>
      <c r="B2024" s="411" t="s">
        <v>9168</v>
      </c>
      <c r="C2024" s="401" t="s">
        <v>1118</v>
      </c>
      <c r="D2024" s="600">
        <v>2370.7600000000002</v>
      </c>
    </row>
    <row r="2025" spans="1:4" ht="38.25">
      <c r="A2025" s="401">
        <v>36486</v>
      </c>
      <c r="B2025" s="411" t="s">
        <v>9169</v>
      </c>
      <c r="C2025" s="401" t="s">
        <v>998</v>
      </c>
      <c r="D2025" s="600">
        <v>36823.49</v>
      </c>
    </row>
    <row r="2026" spans="1:4" ht="38.25">
      <c r="A2026" s="401">
        <v>37777</v>
      </c>
      <c r="B2026" s="411" t="s">
        <v>9170</v>
      </c>
      <c r="C2026" s="401" t="s">
        <v>998</v>
      </c>
      <c r="D2026" s="600">
        <v>173364.31</v>
      </c>
    </row>
    <row r="2027" spans="1:4" ht="25.5">
      <c r="A2027" s="401">
        <v>12624</v>
      </c>
      <c r="B2027" s="411" t="s">
        <v>9171</v>
      </c>
      <c r="C2027" s="401" t="s">
        <v>998</v>
      </c>
      <c r="D2027" s="600">
        <v>9.1999999999999993</v>
      </c>
    </row>
    <row r="2028" spans="1:4" ht="38.25">
      <c r="A2028" s="401">
        <v>10638</v>
      </c>
      <c r="B2028" s="411" t="s">
        <v>9172</v>
      </c>
      <c r="C2028" s="401" t="s">
        <v>998</v>
      </c>
      <c r="D2028" s="600">
        <v>331496.96999999997</v>
      </c>
    </row>
    <row r="2029" spans="1:4" ht="38.25">
      <c r="A2029" s="401">
        <v>10635</v>
      </c>
      <c r="B2029" s="411" t="s">
        <v>9173</v>
      </c>
      <c r="C2029" s="401" t="s">
        <v>998</v>
      </c>
      <c r="D2029" s="600">
        <v>114582.21</v>
      </c>
    </row>
    <row r="2030" spans="1:4" ht="38.25">
      <c r="A2030" s="401">
        <v>10634</v>
      </c>
      <c r="B2030" s="411" t="s">
        <v>9174</v>
      </c>
      <c r="C2030" s="401" t="s">
        <v>998</v>
      </c>
      <c r="D2030" s="600">
        <v>98117.5</v>
      </c>
    </row>
    <row r="2031" spans="1:4" ht="38.25">
      <c r="A2031" s="401">
        <v>10636</v>
      </c>
      <c r="B2031" s="411" t="s">
        <v>9175</v>
      </c>
      <c r="C2031" s="401" t="s">
        <v>998</v>
      </c>
      <c r="D2031" s="600">
        <v>216078.76</v>
      </c>
    </row>
    <row r="2032" spans="1:4" ht="38.25">
      <c r="A2032" s="401">
        <v>10637</v>
      </c>
      <c r="B2032" s="411" t="s">
        <v>9176</v>
      </c>
      <c r="C2032" s="401" t="s">
        <v>998</v>
      </c>
      <c r="D2032" s="600">
        <v>226020.66</v>
      </c>
    </row>
    <row r="2033" spans="1:4">
      <c r="A2033" s="401">
        <v>517</v>
      </c>
      <c r="B2033" s="411" t="s">
        <v>9177</v>
      </c>
      <c r="C2033" s="401" t="s">
        <v>997</v>
      </c>
      <c r="D2033" s="600">
        <v>8.26</v>
      </c>
    </row>
    <row r="2034" spans="1:4" ht="25.5">
      <c r="A2034" s="401">
        <v>41904</v>
      </c>
      <c r="B2034" s="411" t="s">
        <v>9178</v>
      </c>
      <c r="C2034" s="401" t="s">
        <v>1005</v>
      </c>
      <c r="D2034" s="600">
        <v>2515.0500000000002</v>
      </c>
    </row>
    <row r="2035" spans="1:4" ht="25.5">
      <c r="A2035" s="401">
        <v>41905</v>
      </c>
      <c r="B2035" s="411" t="s">
        <v>9179</v>
      </c>
      <c r="C2035" s="401" t="s">
        <v>995</v>
      </c>
      <c r="D2035" s="600">
        <v>2.21</v>
      </c>
    </row>
    <row r="2036" spans="1:4" ht="25.5">
      <c r="A2036" s="401">
        <v>41903</v>
      </c>
      <c r="B2036" s="411" t="s">
        <v>9180</v>
      </c>
      <c r="C2036" s="401" t="s">
        <v>995</v>
      </c>
      <c r="D2036" s="600">
        <v>2.2000000000000002</v>
      </c>
    </row>
    <row r="2037" spans="1:4" ht="25.5">
      <c r="A2037" s="401">
        <v>37534</v>
      </c>
      <c r="B2037" s="411" t="s">
        <v>9181</v>
      </c>
      <c r="C2037" s="401" t="s">
        <v>995</v>
      </c>
      <c r="D2037" s="600">
        <v>15.19</v>
      </c>
    </row>
    <row r="2038" spans="1:4" ht="25.5">
      <c r="A2038" s="401">
        <v>37535</v>
      </c>
      <c r="B2038" s="411" t="s">
        <v>9182</v>
      </c>
      <c r="C2038" s="401" t="s">
        <v>995</v>
      </c>
      <c r="D2038" s="600">
        <v>15.19</v>
      </c>
    </row>
    <row r="2039" spans="1:4" ht="25.5">
      <c r="A2039" s="401">
        <v>37533</v>
      </c>
      <c r="B2039" s="411" t="s">
        <v>9183</v>
      </c>
      <c r="C2039" s="401" t="s">
        <v>995</v>
      </c>
      <c r="D2039" s="600">
        <v>15.19</v>
      </c>
    </row>
    <row r="2040" spans="1:4" ht="25.5">
      <c r="A2040" s="401">
        <v>37537</v>
      </c>
      <c r="B2040" s="411" t="s">
        <v>9184</v>
      </c>
      <c r="C2040" s="401" t="s">
        <v>995</v>
      </c>
      <c r="D2040" s="600">
        <v>11.5</v>
      </c>
    </row>
    <row r="2041" spans="1:4" ht="25.5">
      <c r="A2041" s="401">
        <v>37536</v>
      </c>
      <c r="B2041" s="411" t="s">
        <v>9185</v>
      </c>
      <c r="C2041" s="401" t="s">
        <v>995</v>
      </c>
      <c r="D2041" s="600">
        <v>11.5</v>
      </c>
    </row>
    <row r="2042" spans="1:4" ht="25.5">
      <c r="A2042" s="401">
        <v>37532</v>
      </c>
      <c r="B2042" s="411" t="s">
        <v>9186</v>
      </c>
      <c r="C2042" s="401" t="s">
        <v>995</v>
      </c>
      <c r="D2042" s="600">
        <v>11.5</v>
      </c>
    </row>
    <row r="2043" spans="1:4">
      <c r="A2043" s="401">
        <v>2696</v>
      </c>
      <c r="B2043" s="411" t="s">
        <v>9187</v>
      </c>
      <c r="C2043" s="401" t="s">
        <v>1001</v>
      </c>
      <c r="D2043" s="600">
        <v>13.23</v>
      </c>
    </row>
    <row r="2044" spans="1:4">
      <c r="A2044" s="401">
        <v>40928</v>
      </c>
      <c r="B2044" s="411" t="s">
        <v>9188</v>
      </c>
      <c r="C2044" s="401" t="s">
        <v>1118</v>
      </c>
      <c r="D2044" s="600">
        <v>2344.6999999999998</v>
      </c>
    </row>
    <row r="2045" spans="1:4">
      <c r="A2045" s="401">
        <v>4083</v>
      </c>
      <c r="B2045" s="411" t="s">
        <v>9189</v>
      </c>
      <c r="C2045" s="401" t="s">
        <v>1001</v>
      </c>
      <c r="D2045" s="600">
        <v>17.13</v>
      </c>
    </row>
    <row r="2046" spans="1:4">
      <c r="A2046" s="401">
        <v>40818</v>
      </c>
      <c r="B2046" s="411" t="s">
        <v>9190</v>
      </c>
      <c r="C2046" s="401" t="s">
        <v>1118</v>
      </c>
      <c r="D2046" s="600">
        <v>3036.04</v>
      </c>
    </row>
    <row r="2047" spans="1:4">
      <c r="A2047" s="401">
        <v>43146</v>
      </c>
      <c r="B2047" s="411" t="s">
        <v>9191</v>
      </c>
      <c r="C2047" s="401" t="s">
        <v>995</v>
      </c>
      <c r="D2047" s="600">
        <v>6.2</v>
      </c>
    </row>
    <row r="2048" spans="1:4">
      <c r="A2048" s="401">
        <v>2705</v>
      </c>
      <c r="B2048" s="411" t="s">
        <v>9192</v>
      </c>
      <c r="C2048" s="401" t="s">
        <v>1007</v>
      </c>
      <c r="D2048" s="600">
        <v>0.81</v>
      </c>
    </row>
    <row r="2049" spans="1:4" ht="25.5">
      <c r="A2049" s="401">
        <v>14250</v>
      </c>
      <c r="B2049" s="411" t="s">
        <v>9193</v>
      </c>
      <c r="C2049" s="401" t="s">
        <v>1007</v>
      </c>
      <c r="D2049" s="600">
        <v>0.83</v>
      </c>
    </row>
    <row r="2050" spans="1:4">
      <c r="A2050" s="401">
        <v>11683</v>
      </c>
      <c r="B2050" s="411" t="s">
        <v>9194</v>
      </c>
      <c r="C2050" s="401" t="s">
        <v>998</v>
      </c>
      <c r="D2050" s="600">
        <v>34.25</v>
      </c>
    </row>
    <row r="2051" spans="1:4">
      <c r="A2051" s="401">
        <v>11684</v>
      </c>
      <c r="B2051" s="411" t="s">
        <v>9195</v>
      </c>
      <c r="C2051" s="401" t="s">
        <v>998</v>
      </c>
      <c r="D2051" s="600">
        <v>37.49</v>
      </c>
    </row>
    <row r="2052" spans="1:4">
      <c r="A2052" s="401">
        <v>6141</v>
      </c>
      <c r="B2052" s="411" t="s">
        <v>9196</v>
      </c>
      <c r="C2052" s="401" t="s">
        <v>998</v>
      </c>
      <c r="D2052" s="600">
        <v>3.6</v>
      </c>
    </row>
    <row r="2053" spans="1:4">
      <c r="A2053" s="401">
        <v>11681</v>
      </c>
      <c r="B2053" s="411" t="s">
        <v>9197</v>
      </c>
      <c r="C2053" s="401" t="s">
        <v>998</v>
      </c>
      <c r="D2053" s="600">
        <v>6.02</v>
      </c>
    </row>
    <row r="2054" spans="1:4">
      <c r="A2054" s="401">
        <v>2706</v>
      </c>
      <c r="B2054" s="411" t="s">
        <v>9198</v>
      </c>
      <c r="C2054" s="401" t="s">
        <v>1001</v>
      </c>
      <c r="D2054" s="600">
        <v>77.39</v>
      </c>
    </row>
    <row r="2055" spans="1:4">
      <c r="A2055" s="401">
        <v>40811</v>
      </c>
      <c r="B2055" s="411" t="s">
        <v>9199</v>
      </c>
      <c r="C2055" s="401" t="s">
        <v>1118</v>
      </c>
      <c r="D2055" s="600">
        <v>13712.75</v>
      </c>
    </row>
    <row r="2056" spans="1:4">
      <c r="A2056" s="401">
        <v>2707</v>
      </c>
      <c r="B2056" s="411" t="s">
        <v>9200</v>
      </c>
      <c r="C2056" s="401" t="s">
        <v>1001</v>
      </c>
      <c r="D2056" s="600">
        <v>88.09</v>
      </c>
    </row>
    <row r="2057" spans="1:4">
      <c r="A2057" s="401">
        <v>40813</v>
      </c>
      <c r="B2057" s="411" t="s">
        <v>9201</v>
      </c>
      <c r="C2057" s="401" t="s">
        <v>1118</v>
      </c>
      <c r="D2057" s="600">
        <v>15607.93</v>
      </c>
    </row>
    <row r="2058" spans="1:4">
      <c r="A2058" s="401">
        <v>2708</v>
      </c>
      <c r="B2058" s="411" t="s">
        <v>9202</v>
      </c>
      <c r="C2058" s="401" t="s">
        <v>1001</v>
      </c>
      <c r="D2058" s="600">
        <v>120.41</v>
      </c>
    </row>
    <row r="2059" spans="1:4">
      <c r="A2059" s="401">
        <v>40814</v>
      </c>
      <c r="B2059" s="411" t="s">
        <v>9203</v>
      </c>
      <c r="C2059" s="401" t="s">
        <v>1118</v>
      </c>
      <c r="D2059" s="600">
        <v>21335.63</v>
      </c>
    </row>
    <row r="2060" spans="1:4">
      <c r="A2060" s="401">
        <v>34779</v>
      </c>
      <c r="B2060" s="411" t="s">
        <v>9204</v>
      </c>
      <c r="C2060" s="401" t="s">
        <v>1001</v>
      </c>
      <c r="D2060" s="600">
        <v>78.510000000000005</v>
      </c>
    </row>
    <row r="2061" spans="1:4">
      <c r="A2061" s="401">
        <v>40936</v>
      </c>
      <c r="B2061" s="411" t="s">
        <v>9205</v>
      </c>
      <c r="C2061" s="401" t="s">
        <v>1118</v>
      </c>
      <c r="D2061" s="600">
        <v>13912.79</v>
      </c>
    </row>
    <row r="2062" spans="1:4">
      <c r="A2062" s="401">
        <v>34780</v>
      </c>
      <c r="B2062" s="411" t="s">
        <v>9206</v>
      </c>
      <c r="C2062" s="401" t="s">
        <v>1001</v>
      </c>
      <c r="D2062" s="600">
        <v>88.58</v>
      </c>
    </row>
    <row r="2063" spans="1:4">
      <c r="A2063" s="401">
        <v>40937</v>
      </c>
      <c r="B2063" s="411" t="s">
        <v>9207</v>
      </c>
      <c r="C2063" s="401" t="s">
        <v>1118</v>
      </c>
      <c r="D2063" s="600">
        <v>15696.38</v>
      </c>
    </row>
    <row r="2064" spans="1:4">
      <c r="A2064" s="401">
        <v>34782</v>
      </c>
      <c r="B2064" s="411" t="s">
        <v>9208</v>
      </c>
      <c r="C2064" s="401" t="s">
        <v>1001</v>
      </c>
      <c r="D2064" s="600">
        <v>121.4</v>
      </c>
    </row>
    <row r="2065" spans="1:4">
      <c r="A2065" s="401">
        <v>40938</v>
      </c>
      <c r="B2065" s="411" t="s">
        <v>9209</v>
      </c>
      <c r="C2065" s="401" t="s">
        <v>1118</v>
      </c>
      <c r="D2065" s="600">
        <v>21510.41</v>
      </c>
    </row>
    <row r="2066" spans="1:4">
      <c r="A2066" s="401">
        <v>34783</v>
      </c>
      <c r="B2066" s="411" t="s">
        <v>9210</v>
      </c>
      <c r="C2066" s="401" t="s">
        <v>1001</v>
      </c>
      <c r="D2066" s="600">
        <v>73.8</v>
      </c>
    </row>
    <row r="2067" spans="1:4">
      <c r="A2067" s="401">
        <v>40939</v>
      </c>
      <c r="B2067" s="411" t="s">
        <v>9211</v>
      </c>
      <c r="C2067" s="401" t="s">
        <v>1118</v>
      </c>
      <c r="D2067" s="600">
        <v>13079.74</v>
      </c>
    </row>
    <row r="2068" spans="1:4">
      <c r="A2068" s="401">
        <v>34785</v>
      </c>
      <c r="B2068" s="411" t="s">
        <v>9212</v>
      </c>
      <c r="C2068" s="401" t="s">
        <v>1001</v>
      </c>
      <c r="D2068" s="600">
        <v>73.09</v>
      </c>
    </row>
    <row r="2069" spans="1:4">
      <c r="A2069" s="401">
        <v>40940</v>
      </c>
      <c r="B2069" s="411" t="s">
        <v>9213</v>
      </c>
      <c r="C2069" s="401" t="s">
        <v>1118</v>
      </c>
      <c r="D2069" s="600">
        <v>12950.92</v>
      </c>
    </row>
    <row r="2070" spans="1:4">
      <c r="A2070" s="401">
        <v>38403</v>
      </c>
      <c r="B2070" s="411" t="s">
        <v>9214</v>
      </c>
      <c r="C2070" s="401" t="s">
        <v>998</v>
      </c>
      <c r="D2070" s="600">
        <v>28.71</v>
      </c>
    </row>
    <row r="2071" spans="1:4">
      <c r="A2071" s="401">
        <v>43482</v>
      </c>
      <c r="B2071" s="411" t="s">
        <v>9215</v>
      </c>
      <c r="C2071" s="401" t="s">
        <v>1001</v>
      </c>
      <c r="D2071" s="600">
        <v>0.61</v>
      </c>
    </row>
    <row r="2072" spans="1:4">
      <c r="A2072" s="401">
        <v>43494</v>
      </c>
      <c r="B2072" s="411" t="s">
        <v>9216</v>
      </c>
      <c r="C2072" s="401" t="s">
        <v>1118</v>
      </c>
      <c r="D2072" s="600">
        <v>114.12</v>
      </c>
    </row>
    <row r="2073" spans="1:4" ht="25.5">
      <c r="A2073" s="401">
        <v>43483</v>
      </c>
      <c r="B2073" s="411" t="s">
        <v>9217</v>
      </c>
      <c r="C2073" s="401" t="s">
        <v>1001</v>
      </c>
      <c r="D2073" s="600">
        <v>1.08</v>
      </c>
    </row>
    <row r="2074" spans="1:4" ht="25.5">
      <c r="A2074" s="401">
        <v>43495</v>
      </c>
      <c r="B2074" s="411" t="s">
        <v>9218</v>
      </c>
      <c r="C2074" s="401" t="s">
        <v>1118</v>
      </c>
      <c r="D2074" s="600">
        <v>203.86</v>
      </c>
    </row>
    <row r="2075" spans="1:4">
      <c r="A2075" s="401">
        <v>43484</v>
      </c>
      <c r="B2075" s="411" t="s">
        <v>9219</v>
      </c>
      <c r="C2075" s="401" t="s">
        <v>1001</v>
      </c>
      <c r="D2075" s="600">
        <v>0.93</v>
      </c>
    </row>
    <row r="2076" spans="1:4">
      <c r="A2076" s="401">
        <v>43496</v>
      </c>
      <c r="B2076" s="411" t="s">
        <v>9220</v>
      </c>
      <c r="C2076" s="401" t="s">
        <v>1118</v>
      </c>
      <c r="D2076" s="600">
        <v>175.1</v>
      </c>
    </row>
    <row r="2077" spans="1:4">
      <c r="A2077" s="401">
        <v>43485</v>
      </c>
      <c r="B2077" s="411" t="s">
        <v>9221</v>
      </c>
      <c r="C2077" s="401" t="s">
        <v>1001</v>
      </c>
      <c r="D2077" s="600">
        <v>0.83</v>
      </c>
    </row>
    <row r="2078" spans="1:4">
      <c r="A2078" s="401">
        <v>43497</v>
      </c>
      <c r="B2078" s="411" t="s">
        <v>9222</v>
      </c>
      <c r="C2078" s="401" t="s">
        <v>1118</v>
      </c>
      <c r="D2078" s="600">
        <v>156.65</v>
      </c>
    </row>
    <row r="2079" spans="1:4" ht="25.5">
      <c r="A2079" s="401">
        <v>43487</v>
      </c>
      <c r="B2079" s="411" t="s">
        <v>9223</v>
      </c>
      <c r="C2079" s="401" t="s">
        <v>1001</v>
      </c>
      <c r="D2079" s="600">
        <v>0.95</v>
      </c>
    </row>
    <row r="2080" spans="1:4" ht="25.5">
      <c r="A2080" s="401">
        <v>43499</v>
      </c>
      <c r="B2080" s="411" t="s">
        <v>9224</v>
      </c>
      <c r="C2080" s="401" t="s">
        <v>1118</v>
      </c>
      <c r="D2080" s="600">
        <v>179.44</v>
      </c>
    </row>
    <row r="2081" spans="1:4" ht="25.5">
      <c r="A2081" s="401">
        <v>43486</v>
      </c>
      <c r="B2081" s="411" t="s">
        <v>9225</v>
      </c>
      <c r="C2081" s="401" t="s">
        <v>1001</v>
      </c>
      <c r="D2081" s="600">
        <v>0.56999999999999995</v>
      </c>
    </row>
    <row r="2082" spans="1:4" ht="25.5">
      <c r="A2082" s="401">
        <v>43498</v>
      </c>
      <c r="B2082" s="411" t="s">
        <v>9226</v>
      </c>
      <c r="C2082" s="401" t="s">
        <v>1118</v>
      </c>
      <c r="D2082" s="600">
        <v>108.24</v>
      </c>
    </row>
    <row r="2083" spans="1:4" ht="25.5">
      <c r="A2083" s="401">
        <v>43488</v>
      </c>
      <c r="B2083" s="411" t="s">
        <v>9227</v>
      </c>
      <c r="C2083" s="401" t="s">
        <v>1001</v>
      </c>
      <c r="D2083" s="600">
        <v>0.66</v>
      </c>
    </row>
    <row r="2084" spans="1:4" ht="25.5">
      <c r="A2084" s="401">
        <v>43500</v>
      </c>
      <c r="B2084" s="411" t="s">
        <v>9228</v>
      </c>
      <c r="C2084" s="401" t="s">
        <v>1118</v>
      </c>
      <c r="D2084" s="600">
        <v>125.38</v>
      </c>
    </row>
    <row r="2085" spans="1:4">
      <c r="A2085" s="401">
        <v>43489</v>
      </c>
      <c r="B2085" s="411" t="s">
        <v>9229</v>
      </c>
      <c r="C2085" s="401" t="s">
        <v>1001</v>
      </c>
      <c r="D2085" s="600">
        <v>0.96</v>
      </c>
    </row>
    <row r="2086" spans="1:4">
      <c r="A2086" s="401">
        <v>43501</v>
      </c>
      <c r="B2086" s="411" t="s">
        <v>9230</v>
      </c>
      <c r="C2086" s="401" t="s">
        <v>1118</v>
      </c>
      <c r="D2086" s="600">
        <v>181.88</v>
      </c>
    </row>
    <row r="2087" spans="1:4">
      <c r="A2087" s="401">
        <v>43490</v>
      </c>
      <c r="B2087" s="411" t="s">
        <v>9231</v>
      </c>
      <c r="C2087" s="401" t="s">
        <v>1001</v>
      </c>
      <c r="D2087" s="600">
        <v>1.46</v>
      </c>
    </row>
    <row r="2088" spans="1:4">
      <c r="A2088" s="401">
        <v>43502</v>
      </c>
      <c r="B2088" s="411" t="s">
        <v>9232</v>
      </c>
      <c r="C2088" s="401" t="s">
        <v>1118</v>
      </c>
      <c r="D2088" s="600">
        <v>275.92</v>
      </c>
    </row>
    <row r="2089" spans="1:4">
      <c r="A2089" s="401">
        <v>43491</v>
      </c>
      <c r="B2089" s="411" t="s">
        <v>9233</v>
      </c>
      <c r="C2089" s="401" t="s">
        <v>1001</v>
      </c>
      <c r="D2089" s="600">
        <v>1.02</v>
      </c>
    </row>
    <row r="2090" spans="1:4">
      <c r="A2090" s="401">
        <v>43503</v>
      </c>
      <c r="B2090" s="411" t="s">
        <v>9234</v>
      </c>
      <c r="C2090" s="401" t="s">
        <v>1118</v>
      </c>
      <c r="D2090" s="600">
        <v>192.76</v>
      </c>
    </row>
    <row r="2091" spans="1:4">
      <c r="A2091" s="401">
        <v>43492</v>
      </c>
      <c r="B2091" s="411" t="s">
        <v>9235</v>
      </c>
      <c r="C2091" s="401" t="s">
        <v>1001</v>
      </c>
      <c r="D2091" s="600">
        <v>1.36</v>
      </c>
    </row>
    <row r="2092" spans="1:4">
      <c r="A2092" s="401">
        <v>43504</v>
      </c>
      <c r="B2092" s="411" t="s">
        <v>9236</v>
      </c>
      <c r="C2092" s="401" t="s">
        <v>1118</v>
      </c>
      <c r="D2092" s="600">
        <v>255.78</v>
      </c>
    </row>
    <row r="2093" spans="1:4">
      <c r="A2093" s="401">
        <v>43493</v>
      </c>
      <c r="B2093" s="411" t="s">
        <v>9237</v>
      </c>
      <c r="C2093" s="401" t="s">
        <v>1001</v>
      </c>
      <c r="D2093" s="600">
        <v>0.54</v>
      </c>
    </row>
    <row r="2094" spans="1:4">
      <c r="A2094" s="401">
        <v>43505</v>
      </c>
      <c r="B2094" s="411" t="s">
        <v>9238</v>
      </c>
      <c r="C2094" s="401" t="s">
        <v>1118</v>
      </c>
      <c r="D2094" s="600">
        <v>102.76</v>
      </c>
    </row>
    <row r="2095" spans="1:4" ht="38.25">
      <c r="A2095" s="401">
        <v>37774</v>
      </c>
      <c r="B2095" s="411" t="s">
        <v>9239</v>
      </c>
      <c r="C2095" s="401" t="s">
        <v>998</v>
      </c>
      <c r="D2095" s="600">
        <v>188694.18</v>
      </c>
    </row>
    <row r="2096" spans="1:4" ht="38.25">
      <c r="A2096" s="401">
        <v>38630</v>
      </c>
      <c r="B2096" s="411" t="s">
        <v>9240</v>
      </c>
      <c r="C2096" s="401" t="s">
        <v>998</v>
      </c>
      <c r="D2096" s="600">
        <v>1079521.8700000001</v>
      </c>
    </row>
    <row r="2097" spans="1:4" ht="51">
      <c r="A2097" s="401">
        <v>38629</v>
      </c>
      <c r="B2097" s="411" t="s">
        <v>9241</v>
      </c>
      <c r="C2097" s="401" t="s">
        <v>998</v>
      </c>
      <c r="D2097" s="600">
        <v>1606921.87</v>
      </c>
    </row>
    <row r="2098" spans="1:4">
      <c r="A2098" s="401">
        <v>38476</v>
      </c>
      <c r="B2098" s="411" t="s">
        <v>9242</v>
      </c>
      <c r="C2098" s="401" t="s">
        <v>998</v>
      </c>
      <c r="D2098" s="600">
        <v>215.78</v>
      </c>
    </row>
    <row r="2099" spans="1:4">
      <c r="A2099" s="401">
        <v>38477</v>
      </c>
      <c r="B2099" s="411" t="s">
        <v>9243</v>
      </c>
      <c r="C2099" s="401" t="s">
        <v>998</v>
      </c>
      <c r="D2099" s="600">
        <v>611.11</v>
      </c>
    </row>
    <row r="2100" spans="1:4" ht="25.5">
      <c r="A2100" s="401">
        <v>40635</v>
      </c>
      <c r="B2100" s="411" t="s">
        <v>9244</v>
      </c>
      <c r="C2100" s="401" t="s">
        <v>998</v>
      </c>
      <c r="D2100" s="600">
        <v>498325.25</v>
      </c>
    </row>
    <row r="2101" spans="1:4" ht="25.5">
      <c r="A2101" s="401">
        <v>36483</v>
      </c>
      <c r="B2101" s="411" t="s">
        <v>9245</v>
      </c>
      <c r="C2101" s="401" t="s">
        <v>998</v>
      </c>
      <c r="D2101" s="600">
        <v>451562.5</v>
      </c>
    </row>
    <row r="2102" spans="1:4" ht="25.5">
      <c r="A2102" s="401">
        <v>14525</v>
      </c>
      <c r="B2102" s="411" t="s">
        <v>9246</v>
      </c>
      <c r="C2102" s="401" t="s">
        <v>998</v>
      </c>
      <c r="D2102" s="600">
        <v>472812.5</v>
      </c>
    </row>
    <row r="2103" spans="1:4" ht="25.5">
      <c r="A2103" s="401">
        <v>36482</v>
      </c>
      <c r="B2103" s="411" t="s">
        <v>9247</v>
      </c>
      <c r="C2103" s="401" t="s">
        <v>998</v>
      </c>
      <c r="D2103" s="600">
        <v>405502.57</v>
      </c>
    </row>
    <row r="2104" spans="1:4" ht="25.5">
      <c r="A2104" s="401">
        <v>36408</v>
      </c>
      <c r="B2104" s="411" t="s">
        <v>9248</v>
      </c>
      <c r="C2104" s="401" t="s">
        <v>998</v>
      </c>
      <c r="D2104" s="600">
        <v>484500</v>
      </c>
    </row>
    <row r="2105" spans="1:4" ht="25.5">
      <c r="A2105" s="401">
        <v>2723</v>
      </c>
      <c r="B2105" s="411" t="s">
        <v>9249</v>
      </c>
      <c r="C2105" s="401" t="s">
        <v>998</v>
      </c>
      <c r="D2105" s="600">
        <v>371875</v>
      </c>
    </row>
    <row r="2106" spans="1:4" ht="25.5">
      <c r="A2106" s="401">
        <v>36481</v>
      </c>
      <c r="B2106" s="411" t="s">
        <v>9250</v>
      </c>
      <c r="C2106" s="401" t="s">
        <v>998</v>
      </c>
      <c r="D2106" s="600">
        <v>443593.75</v>
      </c>
    </row>
    <row r="2107" spans="1:4" ht="25.5">
      <c r="A2107" s="401">
        <v>10685</v>
      </c>
      <c r="B2107" s="411" t="s">
        <v>9251</v>
      </c>
      <c r="C2107" s="401" t="s">
        <v>998</v>
      </c>
      <c r="D2107" s="600">
        <v>425000</v>
      </c>
    </row>
    <row r="2108" spans="1:4" ht="38.25">
      <c r="A2108" s="401">
        <v>40636</v>
      </c>
      <c r="B2108" s="411" t="s">
        <v>9252</v>
      </c>
      <c r="C2108" s="401" t="s">
        <v>998</v>
      </c>
      <c r="D2108" s="600">
        <v>479731.5</v>
      </c>
    </row>
    <row r="2109" spans="1:4">
      <c r="A2109" s="401">
        <v>4111</v>
      </c>
      <c r="B2109" s="411" t="s">
        <v>9253</v>
      </c>
      <c r="C2109" s="401" t="s">
        <v>998</v>
      </c>
      <c r="D2109" s="600">
        <v>34.65</v>
      </c>
    </row>
    <row r="2110" spans="1:4" ht="25.5">
      <c r="A2110" s="401">
        <v>26021</v>
      </c>
      <c r="B2110" s="411" t="s">
        <v>9254</v>
      </c>
      <c r="C2110" s="401" t="s">
        <v>998</v>
      </c>
      <c r="D2110" s="600">
        <v>69.48</v>
      </c>
    </row>
    <row r="2111" spans="1:4">
      <c r="A2111" s="401">
        <v>12</v>
      </c>
      <c r="B2111" s="411" t="s">
        <v>9255</v>
      </c>
      <c r="C2111" s="401" t="s">
        <v>998</v>
      </c>
      <c r="D2111" s="600">
        <v>10.49</v>
      </c>
    </row>
    <row r="2112" spans="1:4" ht="25.5">
      <c r="A2112" s="401">
        <v>37554</v>
      </c>
      <c r="B2112" s="411" t="s">
        <v>9256</v>
      </c>
      <c r="C2112" s="401" t="s">
        <v>998</v>
      </c>
      <c r="D2112" s="600">
        <v>143.08000000000001</v>
      </c>
    </row>
    <row r="2113" spans="1:4" ht="25.5">
      <c r="A2113" s="401">
        <v>37555</v>
      </c>
      <c r="B2113" s="411" t="s">
        <v>9257</v>
      </c>
      <c r="C2113" s="401" t="s">
        <v>998</v>
      </c>
      <c r="D2113" s="600">
        <v>174.05</v>
      </c>
    </row>
    <row r="2114" spans="1:4" ht="25.5">
      <c r="A2114" s="401">
        <v>10902</v>
      </c>
      <c r="B2114" s="411" t="s">
        <v>9258</v>
      </c>
      <c r="C2114" s="401" t="s">
        <v>998</v>
      </c>
      <c r="D2114" s="600">
        <v>43.67</v>
      </c>
    </row>
    <row r="2115" spans="1:4" ht="25.5">
      <c r="A2115" s="401">
        <v>20965</v>
      </c>
      <c r="B2115" s="411" t="s">
        <v>9259</v>
      </c>
      <c r="C2115" s="401" t="s">
        <v>998</v>
      </c>
      <c r="D2115" s="600">
        <v>44.08</v>
      </c>
    </row>
    <row r="2116" spans="1:4" ht="25.5">
      <c r="A2116" s="401">
        <v>20966</v>
      </c>
      <c r="B2116" s="411" t="s">
        <v>9260</v>
      </c>
      <c r="C2116" s="401" t="s">
        <v>998</v>
      </c>
      <c r="D2116" s="600">
        <v>47.46</v>
      </c>
    </row>
    <row r="2117" spans="1:4" ht="25.5">
      <c r="A2117" s="401">
        <v>10903</v>
      </c>
      <c r="B2117" s="411" t="s">
        <v>9261</v>
      </c>
      <c r="C2117" s="401" t="s">
        <v>998</v>
      </c>
      <c r="D2117" s="600">
        <v>71.94</v>
      </c>
    </row>
    <row r="2118" spans="1:4" ht="25.5">
      <c r="A2118" s="401">
        <v>20967</v>
      </c>
      <c r="B2118" s="411" t="s">
        <v>9262</v>
      </c>
      <c r="C2118" s="401" t="s">
        <v>998</v>
      </c>
      <c r="D2118" s="600">
        <v>71.94</v>
      </c>
    </row>
    <row r="2119" spans="1:4" ht="25.5">
      <c r="A2119" s="401">
        <v>20968</v>
      </c>
      <c r="B2119" s="411" t="s">
        <v>9263</v>
      </c>
      <c r="C2119" s="401" t="s">
        <v>998</v>
      </c>
      <c r="D2119" s="600">
        <v>78.900000000000006</v>
      </c>
    </row>
    <row r="2120" spans="1:4" ht="25.5">
      <c r="A2120" s="401">
        <v>11359</v>
      </c>
      <c r="B2120" s="411" t="s">
        <v>9264</v>
      </c>
      <c r="C2120" s="401" t="s">
        <v>998</v>
      </c>
      <c r="D2120" s="600">
        <v>829.4</v>
      </c>
    </row>
    <row r="2121" spans="1:4" ht="25.5">
      <c r="A2121" s="401">
        <v>39017</v>
      </c>
      <c r="B2121" s="411" t="s">
        <v>9265</v>
      </c>
      <c r="C2121" s="401" t="s">
        <v>998</v>
      </c>
      <c r="D2121" s="600">
        <v>0.13</v>
      </c>
    </row>
    <row r="2122" spans="1:4" ht="25.5">
      <c r="A2122" s="401">
        <v>39315</v>
      </c>
      <c r="B2122" s="411" t="s">
        <v>9266</v>
      </c>
      <c r="C2122" s="401" t="s">
        <v>998</v>
      </c>
      <c r="D2122" s="600">
        <v>0.22</v>
      </c>
    </row>
    <row r="2123" spans="1:4" ht="25.5">
      <c r="A2123" s="401">
        <v>39016</v>
      </c>
      <c r="B2123" s="411" t="s">
        <v>9267</v>
      </c>
      <c r="C2123" s="401" t="s">
        <v>998</v>
      </c>
      <c r="D2123" s="600">
        <v>0.22</v>
      </c>
    </row>
    <row r="2124" spans="1:4" ht="25.5">
      <c r="A2124" s="401">
        <v>40432</v>
      </c>
      <c r="B2124" s="411" t="s">
        <v>9268</v>
      </c>
      <c r="C2124" s="401" t="s">
        <v>998</v>
      </c>
      <c r="D2124" s="600">
        <v>1.71</v>
      </c>
    </row>
    <row r="2125" spans="1:4" ht="25.5">
      <c r="A2125" s="401">
        <v>39481</v>
      </c>
      <c r="B2125" s="411" t="s">
        <v>9269</v>
      </c>
      <c r="C2125" s="401" t="s">
        <v>998</v>
      </c>
      <c r="D2125" s="600">
        <v>1.07</v>
      </c>
    </row>
    <row r="2126" spans="1:4">
      <c r="A2126" s="401">
        <v>40433</v>
      </c>
      <c r="B2126" s="411" t="s">
        <v>9270</v>
      </c>
      <c r="C2126" s="401" t="s">
        <v>998</v>
      </c>
      <c r="D2126" s="600">
        <v>0.95</v>
      </c>
    </row>
    <row r="2127" spans="1:4" ht="25.5">
      <c r="A2127" s="401">
        <v>20219</v>
      </c>
      <c r="B2127" s="411" t="s">
        <v>9271</v>
      </c>
      <c r="C2127" s="401" t="s">
        <v>998</v>
      </c>
      <c r="D2127" s="600">
        <v>74000</v>
      </c>
    </row>
    <row r="2128" spans="1:4" ht="25.5">
      <c r="A2128" s="401">
        <v>36484</v>
      </c>
      <c r="B2128" s="411" t="s">
        <v>9272</v>
      </c>
      <c r="C2128" s="401" t="s">
        <v>998</v>
      </c>
      <c r="D2128" s="600">
        <v>157088.51999999999</v>
      </c>
    </row>
    <row r="2129" spans="1:4">
      <c r="A2129" s="401">
        <v>38367</v>
      </c>
      <c r="B2129" s="411" t="s">
        <v>9273</v>
      </c>
      <c r="C2129" s="401" t="s">
        <v>998</v>
      </c>
      <c r="D2129" s="600">
        <v>11.59</v>
      </c>
    </row>
    <row r="2130" spans="1:4">
      <c r="A2130" s="401">
        <v>38368</v>
      </c>
      <c r="B2130" s="411" t="s">
        <v>9274</v>
      </c>
      <c r="C2130" s="401" t="s">
        <v>998</v>
      </c>
      <c r="D2130" s="600">
        <v>6.92</v>
      </c>
    </row>
    <row r="2131" spans="1:4">
      <c r="A2131" s="401">
        <v>38091</v>
      </c>
      <c r="B2131" s="411" t="s">
        <v>9275</v>
      </c>
      <c r="C2131" s="401" t="s">
        <v>998</v>
      </c>
      <c r="D2131" s="600">
        <v>1.45</v>
      </c>
    </row>
    <row r="2132" spans="1:4">
      <c r="A2132" s="401">
        <v>38095</v>
      </c>
      <c r="B2132" s="411" t="s">
        <v>9276</v>
      </c>
      <c r="C2132" s="401" t="s">
        <v>998</v>
      </c>
      <c r="D2132" s="600">
        <v>3.07</v>
      </c>
    </row>
    <row r="2133" spans="1:4">
      <c r="A2133" s="401">
        <v>38092</v>
      </c>
      <c r="B2133" s="411" t="s">
        <v>9277</v>
      </c>
      <c r="C2133" s="401" t="s">
        <v>998</v>
      </c>
      <c r="D2133" s="600">
        <v>1.38</v>
      </c>
    </row>
    <row r="2134" spans="1:4">
      <c r="A2134" s="401">
        <v>38093</v>
      </c>
      <c r="B2134" s="411" t="s">
        <v>9278</v>
      </c>
      <c r="C2134" s="401" t="s">
        <v>998</v>
      </c>
      <c r="D2134" s="600">
        <v>1.42</v>
      </c>
    </row>
    <row r="2135" spans="1:4">
      <c r="A2135" s="401">
        <v>38096</v>
      </c>
      <c r="B2135" s="411" t="s">
        <v>9279</v>
      </c>
      <c r="C2135" s="401" t="s">
        <v>998</v>
      </c>
      <c r="D2135" s="600">
        <v>3.31</v>
      </c>
    </row>
    <row r="2136" spans="1:4">
      <c r="A2136" s="401">
        <v>38094</v>
      </c>
      <c r="B2136" s="411" t="s">
        <v>9280</v>
      </c>
      <c r="C2136" s="401" t="s">
        <v>998</v>
      </c>
      <c r="D2136" s="600">
        <v>1.74</v>
      </c>
    </row>
    <row r="2137" spans="1:4">
      <c r="A2137" s="401">
        <v>38097</v>
      </c>
      <c r="B2137" s="411" t="s">
        <v>9281</v>
      </c>
      <c r="C2137" s="401" t="s">
        <v>998</v>
      </c>
      <c r="D2137" s="600">
        <v>3.54</v>
      </c>
    </row>
    <row r="2138" spans="1:4">
      <c r="A2138" s="401">
        <v>38098</v>
      </c>
      <c r="B2138" s="411" t="s">
        <v>9282</v>
      </c>
      <c r="C2138" s="401" t="s">
        <v>998</v>
      </c>
      <c r="D2138" s="600">
        <v>3.54</v>
      </c>
    </row>
    <row r="2139" spans="1:4">
      <c r="A2139" s="401">
        <v>11186</v>
      </c>
      <c r="B2139" s="411" t="s">
        <v>9283</v>
      </c>
      <c r="C2139" s="401" t="s">
        <v>1003</v>
      </c>
      <c r="D2139" s="600">
        <v>319.72000000000003</v>
      </c>
    </row>
    <row r="2140" spans="1:4" ht="25.5">
      <c r="A2140" s="401">
        <v>11558</v>
      </c>
      <c r="B2140" s="411" t="s">
        <v>9284</v>
      </c>
      <c r="C2140" s="401" t="s">
        <v>1011</v>
      </c>
      <c r="D2140" s="600">
        <v>12.15</v>
      </c>
    </row>
    <row r="2141" spans="1:4" ht="25.5">
      <c r="A2141" s="401">
        <v>11557</v>
      </c>
      <c r="B2141" s="411" t="s">
        <v>9285</v>
      </c>
      <c r="C2141" s="401" t="s">
        <v>1011</v>
      </c>
      <c r="D2141" s="600">
        <v>30.76</v>
      </c>
    </row>
    <row r="2142" spans="1:4">
      <c r="A2142" s="401">
        <v>2759</v>
      </c>
      <c r="B2142" s="411" t="s">
        <v>9286</v>
      </c>
      <c r="C2142" s="401" t="s">
        <v>998</v>
      </c>
      <c r="D2142" s="600">
        <v>5.8</v>
      </c>
    </row>
    <row r="2143" spans="1:4">
      <c r="A2143" s="401">
        <v>38124</v>
      </c>
      <c r="B2143" s="411" t="s">
        <v>9287</v>
      </c>
      <c r="C2143" s="401" t="s">
        <v>998</v>
      </c>
      <c r="D2143" s="600">
        <v>27.9</v>
      </c>
    </row>
    <row r="2144" spans="1:4">
      <c r="A2144" s="401">
        <v>38380</v>
      </c>
      <c r="B2144" s="411" t="s">
        <v>9288</v>
      </c>
      <c r="C2144" s="401" t="s">
        <v>998</v>
      </c>
      <c r="D2144" s="600">
        <v>18.420000000000002</v>
      </c>
    </row>
    <row r="2145" spans="1:4" ht="25.5">
      <c r="A2145" s="401">
        <v>20059</v>
      </c>
      <c r="B2145" s="411" t="s">
        <v>9289</v>
      </c>
      <c r="C2145" s="401" t="s">
        <v>998</v>
      </c>
      <c r="D2145" s="600">
        <v>13.05</v>
      </c>
    </row>
    <row r="2146" spans="1:4" ht="38.25">
      <c r="A2146" s="401">
        <v>42429</v>
      </c>
      <c r="B2146" s="411" t="s">
        <v>9290</v>
      </c>
      <c r="C2146" s="401" t="s">
        <v>998</v>
      </c>
      <c r="D2146" s="600">
        <v>3353.46</v>
      </c>
    </row>
    <row r="2147" spans="1:4">
      <c r="A2147" s="401">
        <v>39616</v>
      </c>
      <c r="B2147" s="411" t="s">
        <v>9291</v>
      </c>
      <c r="C2147" s="401" t="s">
        <v>998</v>
      </c>
      <c r="D2147" s="600">
        <v>365</v>
      </c>
    </row>
    <row r="2148" spans="1:4">
      <c r="A2148" s="401">
        <v>39618</v>
      </c>
      <c r="B2148" s="411" t="s">
        <v>9292</v>
      </c>
      <c r="C2148" s="401" t="s">
        <v>998</v>
      </c>
      <c r="D2148" s="600">
        <v>662.05</v>
      </c>
    </row>
    <row r="2149" spans="1:4">
      <c r="A2149" s="401">
        <v>39619</v>
      </c>
      <c r="B2149" s="411" t="s">
        <v>9293</v>
      </c>
      <c r="C2149" s="401" t="s">
        <v>998</v>
      </c>
      <c r="D2149" s="600">
        <v>906.74</v>
      </c>
    </row>
    <row r="2150" spans="1:4">
      <c r="A2150" s="401">
        <v>39613</v>
      </c>
      <c r="B2150" s="411" t="s">
        <v>9294</v>
      </c>
      <c r="C2150" s="401" t="s">
        <v>998</v>
      </c>
      <c r="D2150" s="600">
        <v>144.97999999999999</v>
      </c>
    </row>
    <row r="2151" spans="1:4">
      <c r="A2151" s="401">
        <v>39614</v>
      </c>
      <c r="B2151" s="411" t="s">
        <v>9295</v>
      </c>
      <c r="C2151" s="401" t="s">
        <v>998</v>
      </c>
      <c r="D2151" s="600">
        <v>211.52</v>
      </c>
    </row>
    <row r="2152" spans="1:4" ht="38.25">
      <c r="A2152" s="401">
        <v>38538</v>
      </c>
      <c r="B2152" s="411" t="s">
        <v>9296</v>
      </c>
      <c r="C2152" s="401" t="s">
        <v>1002</v>
      </c>
      <c r="D2152" s="600">
        <v>46</v>
      </c>
    </row>
    <row r="2153" spans="1:4" ht="25.5">
      <c r="A2153" s="401">
        <v>38539</v>
      </c>
      <c r="B2153" s="411" t="s">
        <v>9297</v>
      </c>
      <c r="C2153" s="401" t="s">
        <v>1002</v>
      </c>
      <c r="D2153" s="600">
        <v>62.55</v>
      </c>
    </row>
    <row r="2154" spans="1:4" ht="25.5">
      <c r="A2154" s="401">
        <v>38540</v>
      </c>
      <c r="B2154" s="411" t="s">
        <v>9298</v>
      </c>
      <c r="C2154" s="401" t="s">
        <v>1002</v>
      </c>
      <c r="D2154" s="600">
        <v>160.31</v>
      </c>
    </row>
    <row r="2155" spans="1:4">
      <c r="A2155" s="401">
        <v>38384</v>
      </c>
      <c r="B2155" s="411" t="s">
        <v>9299</v>
      </c>
      <c r="C2155" s="401" t="s">
        <v>998</v>
      </c>
      <c r="D2155" s="600">
        <v>17.940000000000001</v>
      </c>
    </row>
    <row r="2156" spans="1:4">
      <c r="A2156" s="401">
        <v>13</v>
      </c>
      <c r="B2156" s="411" t="s">
        <v>9300</v>
      </c>
      <c r="C2156" s="401" t="s">
        <v>995</v>
      </c>
      <c r="D2156" s="600">
        <v>16.149999999999999</v>
      </c>
    </row>
    <row r="2157" spans="1:4">
      <c r="A2157" s="401">
        <v>2762</v>
      </c>
      <c r="B2157" s="411" t="s">
        <v>9301</v>
      </c>
      <c r="C2157" s="401" t="s">
        <v>1002</v>
      </c>
      <c r="D2157" s="600">
        <v>7.25</v>
      </c>
    </row>
    <row r="2158" spans="1:4" ht="25.5">
      <c r="A2158" s="401">
        <v>21142</v>
      </c>
      <c r="B2158" s="411" t="s">
        <v>9302</v>
      </c>
      <c r="C2158" s="401" t="s">
        <v>998</v>
      </c>
      <c r="D2158" s="600">
        <v>18.62</v>
      </c>
    </row>
    <row r="2159" spans="1:4">
      <c r="A2159" s="401">
        <v>12865</v>
      </c>
      <c r="B2159" s="411" t="s">
        <v>9303</v>
      </c>
      <c r="C2159" s="401" t="s">
        <v>1001</v>
      </c>
      <c r="D2159" s="600">
        <v>13.41</v>
      </c>
    </row>
    <row r="2160" spans="1:4">
      <c r="A2160" s="401">
        <v>41074</v>
      </c>
      <c r="B2160" s="411" t="s">
        <v>9304</v>
      </c>
      <c r="C2160" s="401" t="s">
        <v>1118</v>
      </c>
      <c r="D2160" s="600">
        <v>2377.9699999999998</v>
      </c>
    </row>
    <row r="2161" spans="1:4">
      <c r="A2161" s="401">
        <v>4223</v>
      </c>
      <c r="B2161" s="411" t="s">
        <v>9305</v>
      </c>
      <c r="C2161" s="401" t="s">
        <v>997</v>
      </c>
      <c r="D2161" s="600">
        <v>2.36</v>
      </c>
    </row>
    <row r="2162" spans="1:4">
      <c r="A2162" s="401">
        <v>37372</v>
      </c>
      <c r="B2162" s="411" t="s">
        <v>9306</v>
      </c>
      <c r="C2162" s="401" t="s">
        <v>1001</v>
      </c>
      <c r="D2162" s="600">
        <v>0.35</v>
      </c>
    </row>
    <row r="2163" spans="1:4">
      <c r="A2163" s="401">
        <v>40863</v>
      </c>
      <c r="B2163" s="411" t="s">
        <v>9307</v>
      </c>
      <c r="C2163" s="401" t="s">
        <v>1118</v>
      </c>
      <c r="D2163" s="600">
        <v>65.94</v>
      </c>
    </row>
    <row r="2164" spans="1:4">
      <c r="A2164" s="401">
        <v>38475</v>
      </c>
      <c r="B2164" s="411" t="s">
        <v>9308</v>
      </c>
      <c r="C2164" s="401" t="s">
        <v>998</v>
      </c>
      <c r="D2164" s="600">
        <v>31.92</v>
      </c>
    </row>
    <row r="2165" spans="1:4">
      <c r="A2165" s="401">
        <v>38474</v>
      </c>
      <c r="B2165" s="411" t="s">
        <v>9309</v>
      </c>
      <c r="C2165" s="401" t="s">
        <v>998</v>
      </c>
      <c r="D2165" s="600">
        <v>39.46</v>
      </c>
    </row>
    <row r="2166" spans="1:4">
      <c r="A2166" s="401">
        <v>10886</v>
      </c>
      <c r="B2166" s="411" t="s">
        <v>9310</v>
      </c>
      <c r="C2166" s="401" t="s">
        <v>998</v>
      </c>
      <c r="D2166" s="600">
        <v>141.75</v>
      </c>
    </row>
    <row r="2167" spans="1:4">
      <c r="A2167" s="401">
        <v>10888</v>
      </c>
      <c r="B2167" s="411" t="s">
        <v>9311</v>
      </c>
      <c r="C2167" s="401" t="s">
        <v>998</v>
      </c>
      <c r="D2167" s="600">
        <v>448.61</v>
      </c>
    </row>
    <row r="2168" spans="1:4">
      <c r="A2168" s="401">
        <v>10889</v>
      </c>
      <c r="B2168" s="411" t="s">
        <v>9312</v>
      </c>
      <c r="C2168" s="401" t="s">
        <v>998</v>
      </c>
      <c r="D2168" s="600">
        <v>486</v>
      </c>
    </row>
    <row r="2169" spans="1:4" ht="25.5">
      <c r="A2169" s="401">
        <v>10890</v>
      </c>
      <c r="B2169" s="411" t="s">
        <v>9313</v>
      </c>
      <c r="C2169" s="401" t="s">
        <v>998</v>
      </c>
      <c r="D2169" s="600">
        <v>224.3</v>
      </c>
    </row>
    <row r="2170" spans="1:4" ht="25.5">
      <c r="A2170" s="401">
        <v>10891</v>
      </c>
      <c r="B2170" s="411" t="s">
        <v>9314</v>
      </c>
      <c r="C2170" s="401" t="s">
        <v>998</v>
      </c>
      <c r="D2170" s="600">
        <v>137.07</v>
      </c>
    </row>
    <row r="2171" spans="1:4" ht="25.5">
      <c r="A2171" s="401">
        <v>10892</v>
      </c>
      <c r="B2171" s="411" t="s">
        <v>9315</v>
      </c>
      <c r="C2171" s="401" t="s">
        <v>998</v>
      </c>
      <c r="D2171" s="600">
        <v>162</v>
      </c>
    </row>
    <row r="2172" spans="1:4" ht="25.5">
      <c r="A2172" s="401">
        <v>20977</v>
      </c>
      <c r="B2172" s="411" t="s">
        <v>9316</v>
      </c>
      <c r="C2172" s="401" t="s">
        <v>998</v>
      </c>
      <c r="D2172" s="600">
        <v>193.15</v>
      </c>
    </row>
    <row r="2173" spans="1:4">
      <c r="A2173" s="401">
        <v>3073</v>
      </c>
      <c r="B2173" s="411" t="s">
        <v>9317</v>
      </c>
      <c r="C2173" s="401" t="s">
        <v>998</v>
      </c>
      <c r="D2173" s="600">
        <v>151.15</v>
      </c>
    </row>
    <row r="2174" spans="1:4">
      <c r="A2174" s="401">
        <v>3068</v>
      </c>
      <c r="B2174" s="411" t="s">
        <v>9318</v>
      </c>
      <c r="C2174" s="401" t="s">
        <v>998</v>
      </c>
      <c r="D2174" s="600">
        <v>30.22</v>
      </c>
    </row>
    <row r="2175" spans="1:4">
      <c r="A2175" s="401">
        <v>3074</v>
      </c>
      <c r="B2175" s="411" t="s">
        <v>9319</v>
      </c>
      <c r="C2175" s="401" t="s">
        <v>998</v>
      </c>
      <c r="D2175" s="600">
        <v>95.42</v>
      </c>
    </row>
    <row r="2176" spans="1:4">
      <c r="A2176" s="401">
        <v>3076</v>
      </c>
      <c r="B2176" s="411" t="s">
        <v>9320</v>
      </c>
      <c r="C2176" s="401" t="s">
        <v>998</v>
      </c>
      <c r="D2176" s="600">
        <v>124.26</v>
      </c>
    </row>
    <row r="2177" spans="1:4">
      <c r="A2177" s="401">
        <v>3072</v>
      </c>
      <c r="B2177" s="411" t="s">
        <v>9321</v>
      </c>
      <c r="C2177" s="401" t="s">
        <v>998</v>
      </c>
      <c r="D2177" s="600">
        <v>31.3</v>
      </c>
    </row>
    <row r="2178" spans="1:4">
      <c r="A2178" s="401">
        <v>3075</v>
      </c>
      <c r="B2178" s="411" t="s">
        <v>9322</v>
      </c>
      <c r="C2178" s="401" t="s">
        <v>998</v>
      </c>
      <c r="D2178" s="600">
        <v>78.52</v>
      </c>
    </row>
    <row r="2179" spans="1:4">
      <c r="A2179" s="401">
        <v>10780</v>
      </c>
      <c r="B2179" s="411" t="s">
        <v>9323</v>
      </c>
      <c r="C2179" s="401" t="s">
        <v>998</v>
      </c>
      <c r="D2179" s="600">
        <v>6.63</v>
      </c>
    </row>
    <row r="2180" spans="1:4">
      <c r="A2180" s="401">
        <v>10781</v>
      </c>
      <c r="B2180" s="411" t="s">
        <v>9324</v>
      </c>
      <c r="C2180" s="401" t="s">
        <v>998</v>
      </c>
      <c r="D2180" s="600">
        <v>10.65</v>
      </c>
    </row>
    <row r="2181" spans="1:4">
      <c r="A2181" s="401">
        <v>20106</v>
      </c>
      <c r="B2181" s="411" t="s">
        <v>9325</v>
      </c>
      <c r="C2181" s="401" t="s">
        <v>998</v>
      </c>
      <c r="D2181" s="600">
        <v>3.51</v>
      </c>
    </row>
    <row r="2182" spans="1:4">
      <c r="A2182" s="401">
        <v>20107</v>
      </c>
      <c r="B2182" s="411" t="s">
        <v>9326</v>
      </c>
      <c r="C2182" s="401" t="s">
        <v>998</v>
      </c>
      <c r="D2182" s="600">
        <v>4.0199999999999996</v>
      </c>
    </row>
    <row r="2183" spans="1:4">
      <c r="A2183" s="401">
        <v>20108</v>
      </c>
      <c r="B2183" s="411" t="s">
        <v>9327</v>
      </c>
      <c r="C2183" s="401" t="s">
        <v>998</v>
      </c>
      <c r="D2183" s="600">
        <v>5.3</v>
      </c>
    </row>
    <row r="2184" spans="1:4">
      <c r="A2184" s="401">
        <v>20109</v>
      </c>
      <c r="B2184" s="411" t="s">
        <v>9328</v>
      </c>
      <c r="C2184" s="401" t="s">
        <v>998</v>
      </c>
      <c r="D2184" s="600">
        <v>6.63</v>
      </c>
    </row>
    <row r="2185" spans="1:4">
      <c r="A2185" s="401">
        <v>34795</v>
      </c>
      <c r="B2185" s="411" t="s">
        <v>9329</v>
      </c>
      <c r="C2185" s="401" t="s">
        <v>1003</v>
      </c>
      <c r="D2185" s="600">
        <v>228.76</v>
      </c>
    </row>
    <row r="2186" spans="1:4">
      <c r="A2186" s="401">
        <v>34796</v>
      </c>
      <c r="B2186" s="411" t="s">
        <v>9330</v>
      </c>
      <c r="C2186" s="401" t="s">
        <v>1002</v>
      </c>
      <c r="D2186" s="600">
        <v>10.039999999999999</v>
      </c>
    </row>
    <row r="2187" spans="1:4" ht="25.5">
      <c r="A2187" s="401">
        <v>11480</v>
      </c>
      <c r="B2187" s="411" t="s">
        <v>9331</v>
      </c>
      <c r="C2187" s="401" t="s">
        <v>1006</v>
      </c>
      <c r="D2187" s="600">
        <v>51.83</v>
      </c>
    </row>
    <row r="2188" spans="1:4">
      <c r="A2188" s="401">
        <v>3103</v>
      </c>
      <c r="B2188" s="411" t="s">
        <v>9332</v>
      </c>
      <c r="C2188" s="401" t="s">
        <v>998</v>
      </c>
      <c r="D2188" s="600">
        <v>54.1</v>
      </c>
    </row>
    <row r="2189" spans="1:4" ht="25.5">
      <c r="A2189" s="401">
        <v>11481</v>
      </c>
      <c r="B2189" s="411" t="s">
        <v>9333</v>
      </c>
      <c r="C2189" s="401" t="s">
        <v>998</v>
      </c>
      <c r="D2189" s="600">
        <v>16.32</v>
      </c>
    </row>
    <row r="2190" spans="1:4" ht="38.25">
      <c r="A2190" s="401">
        <v>3097</v>
      </c>
      <c r="B2190" s="411" t="s">
        <v>9334</v>
      </c>
      <c r="C2190" s="401" t="s">
        <v>1006</v>
      </c>
      <c r="D2190" s="600">
        <v>33.53</v>
      </c>
    </row>
    <row r="2191" spans="1:4" ht="38.25">
      <c r="A2191" s="401">
        <v>38153</v>
      </c>
      <c r="B2191" s="411" t="s">
        <v>9335</v>
      </c>
      <c r="C2191" s="401" t="s">
        <v>1006</v>
      </c>
      <c r="D2191" s="600">
        <v>30.75</v>
      </c>
    </row>
    <row r="2192" spans="1:4" ht="38.25">
      <c r="A2192" s="401">
        <v>3099</v>
      </c>
      <c r="B2192" s="411" t="s">
        <v>9336</v>
      </c>
      <c r="C2192" s="401" t="s">
        <v>1006</v>
      </c>
      <c r="D2192" s="600">
        <v>53.63</v>
      </c>
    </row>
    <row r="2193" spans="1:4" ht="38.25">
      <c r="A2193" s="401">
        <v>3080</v>
      </c>
      <c r="B2193" s="411" t="s">
        <v>9337</v>
      </c>
      <c r="C2193" s="401" t="s">
        <v>1006</v>
      </c>
      <c r="D2193" s="600">
        <v>44.81</v>
      </c>
    </row>
    <row r="2194" spans="1:4" ht="38.25">
      <c r="A2194" s="401">
        <v>3081</v>
      </c>
      <c r="B2194" s="411" t="s">
        <v>9338</v>
      </c>
      <c r="C2194" s="401" t="s">
        <v>1006</v>
      </c>
      <c r="D2194" s="600">
        <v>67.819999999999993</v>
      </c>
    </row>
    <row r="2195" spans="1:4" ht="38.25">
      <c r="A2195" s="401">
        <v>38151</v>
      </c>
      <c r="B2195" s="411" t="s">
        <v>9339</v>
      </c>
      <c r="C2195" s="401" t="s">
        <v>1006</v>
      </c>
      <c r="D2195" s="600">
        <v>42.46</v>
      </c>
    </row>
    <row r="2196" spans="1:4" ht="25.5">
      <c r="A2196" s="401">
        <v>11479</v>
      </c>
      <c r="B2196" s="411" t="s">
        <v>9340</v>
      </c>
      <c r="C2196" s="401" t="s">
        <v>998</v>
      </c>
      <c r="D2196" s="600">
        <v>24.68</v>
      </c>
    </row>
    <row r="2197" spans="1:4" ht="38.25">
      <c r="A2197" s="401">
        <v>38152</v>
      </c>
      <c r="B2197" s="411" t="s">
        <v>9341</v>
      </c>
      <c r="C2197" s="401" t="s">
        <v>1006</v>
      </c>
      <c r="D2197" s="600">
        <v>61.44</v>
      </c>
    </row>
    <row r="2198" spans="1:4" ht="25.5">
      <c r="A2198" s="401">
        <v>11478</v>
      </c>
      <c r="B2198" s="411" t="s">
        <v>9342</v>
      </c>
      <c r="C2198" s="401" t="s">
        <v>998</v>
      </c>
      <c r="D2198" s="600">
        <v>43.31</v>
      </c>
    </row>
    <row r="2199" spans="1:4" ht="38.25">
      <c r="A2199" s="401">
        <v>3090</v>
      </c>
      <c r="B2199" s="411" t="s">
        <v>9343</v>
      </c>
      <c r="C2199" s="401" t="s">
        <v>1006</v>
      </c>
      <c r="D2199" s="600">
        <v>36.229999999999997</v>
      </c>
    </row>
    <row r="2200" spans="1:4" ht="38.25">
      <c r="A2200" s="401">
        <v>3093</v>
      </c>
      <c r="B2200" s="411" t="s">
        <v>9344</v>
      </c>
      <c r="C2200" s="401" t="s">
        <v>1006</v>
      </c>
      <c r="D2200" s="600">
        <v>60.21</v>
      </c>
    </row>
    <row r="2201" spans="1:4" ht="25.5">
      <c r="A2201" s="401">
        <v>11476</v>
      </c>
      <c r="B2201" s="411" t="s">
        <v>9345</v>
      </c>
      <c r="C2201" s="401" t="s">
        <v>998</v>
      </c>
      <c r="D2201" s="600">
        <v>25.95</v>
      </c>
    </row>
    <row r="2202" spans="1:4" ht="38.25">
      <c r="A2202" s="401">
        <v>11484</v>
      </c>
      <c r="B2202" s="411" t="s">
        <v>9346</v>
      </c>
      <c r="C2202" s="401" t="s">
        <v>998</v>
      </c>
      <c r="D2202" s="600">
        <v>29.9</v>
      </c>
    </row>
    <row r="2203" spans="1:4" ht="25.5">
      <c r="A2203" s="401">
        <v>38155</v>
      </c>
      <c r="B2203" s="411" t="s">
        <v>9347</v>
      </c>
      <c r="C2203" s="401" t="s">
        <v>998</v>
      </c>
      <c r="D2203" s="600">
        <v>40.76</v>
      </c>
    </row>
    <row r="2204" spans="1:4" ht="25.5">
      <c r="A2204" s="401">
        <v>11468</v>
      </c>
      <c r="B2204" s="411" t="s">
        <v>9348</v>
      </c>
      <c r="C2204" s="401" t="s">
        <v>998</v>
      </c>
      <c r="D2204" s="600">
        <v>9.15</v>
      </c>
    </row>
    <row r="2205" spans="1:4" ht="25.5">
      <c r="A2205" s="401">
        <v>11469</v>
      </c>
      <c r="B2205" s="411" t="s">
        <v>9349</v>
      </c>
      <c r="C2205" s="401" t="s">
        <v>998</v>
      </c>
      <c r="D2205" s="600">
        <v>10.92</v>
      </c>
    </row>
    <row r="2206" spans="1:4" ht="25.5">
      <c r="A2206" s="401">
        <v>38165</v>
      </c>
      <c r="B2206" s="411" t="s">
        <v>9350</v>
      </c>
      <c r="C2206" s="401" t="s">
        <v>1006</v>
      </c>
      <c r="D2206" s="600">
        <v>58.45</v>
      </c>
    </row>
    <row r="2207" spans="1:4" ht="25.5">
      <c r="A2207" s="401">
        <v>11456</v>
      </c>
      <c r="B2207" s="411" t="s">
        <v>9351</v>
      </c>
      <c r="C2207" s="401" t="s">
        <v>998</v>
      </c>
      <c r="D2207" s="600">
        <v>12.95</v>
      </c>
    </row>
    <row r="2208" spans="1:4" ht="25.5">
      <c r="A2208" s="401">
        <v>3119</v>
      </c>
      <c r="B2208" s="411" t="s">
        <v>9352</v>
      </c>
      <c r="C2208" s="401" t="s">
        <v>998</v>
      </c>
      <c r="D2208" s="600">
        <v>1.92</v>
      </c>
    </row>
    <row r="2209" spans="1:4" ht="25.5">
      <c r="A2209" s="401">
        <v>3122</v>
      </c>
      <c r="B2209" s="411" t="s">
        <v>9353</v>
      </c>
      <c r="C2209" s="401" t="s">
        <v>998</v>
      </c>
      <c r="D2209" s="600">
        <v>2.7</v>
      </c>
    </row>
    <row r="2210" spans="1:4" ht="25.5">
      <c r="A2210" s="401">
        <v>3121</v>
      </c>
      <c r="B2210" s="411" t="s">
        <v>9354</v>
      </c>
      <c r="C2210" s="401" t="s">
        <v>998</v>
      </c>
      <c r="D2210" s="600">
        <v>4.2</v>
      </c>
    </row>
    <row r="2211" spans="1:4" ht="25.5">
      <c r="A2211" s="401">
        <v>3120</v>
      </c>
      <c r="B2211" s="411" t="s">
        <v>9355</v>
      </c>
      <c r="C2211" s="401" t="s">
        <v>998</v>
      </c>
      <c r="D2211" s="600">
        <v>6.62</v>
      </c>
    </row>
    <row r="2212" spans="1:4" ht="25.5">
      <c r="A2212" s="401">
        <v>11455</v>
      </c>
      <c r="B2212" s="411" t="s">
        <v>9356</v>
      </c>
      <c r="C2212" s="401" t="s">
        <v>998</v>
      </c>
      <c r="D2212" s="600">
        <v>9.2799999999999994</v>
      </c>
    </row>
    <row r="2213" spans="1:4" ht="25.5">
      <c r="A2213" s="401">
        <v>3108</v>
      </c>
      <c r="B2213" s="411" t="s">
        <v>9357</v>
      </c>
      <c r="C2213" s="401" t="s">
        <v>998</v>
      </c>
      <c r="D2213" s="600">
        <v>23.31</v>
      </c>
    </row>
    <row r="2214" spans="1:4" ht="25.5">
      <c r="A2214" s="401">
        <v>3105</v>
      </c>
      <c r="B2214" s="411" t="s">
        <v>9358</v>
      </c>
      <c r="C2214" s="401" t="s">
        <v>998</v>
      </c>
      <c r="D2214" s="600">
        <v>36.21</v>
      </c>
    </row>
    <row r="2215" spans="1:4" ht="25.5">
      <c r="A2215" s="401">
        <v>38178</v>
      </c>
      <c r="B2215" s="411" t="s">
        <v>9359</v>
      </c>
      <c r="C2215" s="401" t="s">
        <v>998</v>
      </c>
      <c r="D2215" s="600">
        <v>23.67</v>
      </c>
    </row>
    <row r="2216" spans="1:4" ht="25.5">
      <c r="A2216" s="401">
        <v>11458</v>
      </c>
      <c r="B2216" s="411" t="s">
        <v>9360</v>
      </c>
      <c r="C2216" s="401" t="s">
        <v>998</v>
      </c>
      <c r="D2216" s="600">
        <v>20.74</v>
      </c>
    </row>
    <row r="2217" spans="1:4" ht="25.5">
      <c r="A2217" s="401">
        <v>42481</v>
      </c>
      <c r="B2217" s="411" t="s">
        <v>9361</v>
      </c>
      <c r="C2217" s="401" t="s">
        <v>1003</v>
      </c>
      <c r="D2217" s="600">
        <v>21.19</v>
      </c>
    </row>
    <row r="2218" spans="1:4" ht="25.5">
      <c r="A2218" s="401">
        <v>43458</v>
      </c>
      <c r="B2218" s="411" t="s">
        <v>9362</v>
      </c>
      <c r="C2218" s="401" t="s">
        <v>1001</v>
      </c>
      <c r="D2218" s="600">
        <v>0.04</v>
      </c>
    </row>
    <row r="2219" spans="1:4" ht="25.5">
      <c r="A2219" s="401">
        <v>43470</v>
      </c>
      <c r="B2219" s="411" t="s">
        <v>9363</v>
      </c>
      <c r="C2219" s="401" t="s">
        <v>1118</v>
      </c>
      <c r="D2219" s="600">
        <v>7.37</v>
      </c>
    </row>
    <row r="2220" spans="1:4" ht="25.5">
      <c r="A2220" s="401">
        <v>43459</v>
      </c>
      <c r="B2220" s="411" t="s">
        <v>9364</v>
      </c>
      <c r="C2220" s="401" t="s">
        <v>1001</v>
      </c>
      <c r="D2220" s="600">
        <v>0.34</v>
      </c>
    </row>
    <row r="2221" spans="1:4" ht="25.5">
      <c r="A2221" s="401">
        <v>43471</v>
      </c>
      <c r="B2221" s="411" t="s">
        <v>9365</v>
      </c>
      <c r="C2221" s="401" t="s">
        <v>1118</v>
      </c>
      <c r="D2221" s="600">
        <v>64.510000000000005</v>
      </c>
    </row>
    <row r="2222" spans="1:4" ht="25.5">
      <c r="A2222" s="401">
        <v>43460</v>
      </c>
      <c r="B2222" s="411" t="s">
        <v>9366</v>
      </c>
      <c r="C2222" s="401" t="s">
        <v>1001</v>
      </c>
      <c r="D2222" s="600">
        <v>0.55000000000000004</v>
      </c>
    </row>
    <row r="2223" spans="1:4" ht="25.5">
      <c r="A2223" s="401">
        <v>43472</v>
      </c>
      <c r="B2223" s="411" t="s">
        <v>9367</v>
      </c>
      <c r="C2223" s="401" t="s">
        <v>1118</v>
      </c>
      <c r="D2223" s="600">
        <v>103.89</v>
      </c>
    </row>
    <row r="2224" spans="1:4" ht="25.5">
      <c r="A2224" s="401">
        <v>43461</v>
      </c>
      <c r="B2224" s="411" t="s">
        <v>9368</v>
      </c>
      <c r="C2224" s="401" t="s">
        <v>1001</v>
      </c>
      <c r="D2224" s="600">
        <v>0.24</v>
      </c>
    </row>
    <row r="2225" spans="1:4" ht="25.5">
      <c r="A2225" s="401">
        <v>43473</v>
      </c>
      <c r="B2225" s="411" t="s">
        <v>9369</v>
      </c>
      <c r="C2225" s="401" t="s">
        <v>1118</v>
      </c>
      <c r="D2225" s="600">
        <v>45.78</v>
      </c>
    </row>
    <row r="2226" spans="1:4" ht="25.5">
      <c r="A2226" s="401">
        <v>43463</v>
      </c>
      <c r="B2226" s="411" t="s">
        <v>9370</v>
      </c>
      <c r="C2226" s="401" t="s">
        <v>1001</v>
      </c>
      <c r="D2226" s="600">
        <v>0.08</v>
      </c>
    </row>
    <row r="2227" spans="1:4" ht="25.5">
      <c r="A2227" s="401">
        <v>43475</v>
      </c>
      <c r="B2227" s="411" t="s">
        <v>9371</v>
      </c>
      <c r="C2227" s="401" t="s">
        <v>1118</v>
      </c>
      <c r="D2227" s="600">
        <v>14.26</v>
      </c>
    </row>
    <row r="2228" spans="1:4" ht="25.5">
      <c r="A2228" s="401">
        <v>43462</v>
      </c>
      <c r="B2228" s="411" t="s">
        <v>9372</v>
      </c>
      <c r="C2228" s="401" t="s">
        <v>1001</v>
      </c>
      <c r="D2228" s="600">
        <v>0.01</v>
      </c>
    </row>
    <row r="2229" spans="1:4" ht="25.5">
      <c r="A2229" s="401">
        <v>43474</v>
      </c>
      <c r="B2229" s="411" t="s">
        <v>9373</v>
      </c>
      <c r="C2229" s="401" t="s">
        <v>1118</v>
      </c>
      <c r="D2229" s="600">
        <v>1.45</v>
      </c>
    </row>
    <row r="2230" spans="1:4" ht="25.5">
      <c r="A2230" s="401">
        <v>43464</v>
      </c>
      <c r="B2230" s="411" t="s">
        <v>9374</v>
      </c>
      <c r="C2230" s="401" t="s">
        <v>1001</v>
      </c>
      <c r="D2230" s="600">
        <v>0.01</v>
      </c>
    </row>
    <row r="2231" spans="1:4" ht="25.5">
      <c r="A2231" s="401">
        <v>43476</v>
      </c>
      <c r="B2231" s="411" t="s">
        <v>9375</v>
      </c>
      <c r="C2231" s="401" t="s">
        <v>1118</v>
      </c>
      <c r="D2231" s="600">
        <v>0.01</v>
      </c>
    </row>
    <row r="2232" spans="1:4" ht="25.5">
      <c r="A2232" s="401">
        <v>43465</v>
      </c>
      <c r="B2232" s="411" t="s">
        <v>9376</v>
      </c>
      <c r="C2232" s="401" t="s">
        <v>1001</v>
      </c>
      <c r="D2232" s="600">
        <v>0.5</v>
      </c>
    </row>
    <row r="2233" spans="1:4" ht="25.5">
      <c r="A2233" s="401">
        <v>43477</v>
      </c>
      <c r="B2233" s="411" t="s">
        <v>9377</v>
      </c>
      <c r="C2233" s="401" t="s">
        <v>1118</v>
      </c>
      <c r="D2233" s="600">
        <v>94.89</v>
      </c>
    </row>
    <row r="2234" spans="1:4" ht="25.5">
      <c r="A2234" s="401">
        <v>43466</v>
      </c>
      <c r="B2234" s="411" t="s">
        <v>9378</v>
      </c>
      <c r="C2234" s="401" t="s">
        <v>1001</v>
      </c>
      <c r="D2234" s="600">
        <v>1.17</v>
      </c>
    </row>
    <row r="2235" spans="1:4" ht="25.5">
      <c r="A2235" s="401">
        <v>43478</v>
      </c>
      <c r="B2235" s="411" t="s">
        <v>9379</v>
      </c>
      <c r="C2235" s="401" t="s">
        <v>1118</v>
      </c>
      <c r="D2235" s="600">
        <v>220.02</v>
      </c>
    </row>
    <row r="2236" spans="1:4" ht="25.5">
      <c r="A2236" s="401">
        <v>43467</v>
      </c>
      <c r="B2236" s="411" t="s">
        <v>9380</v>
      </c>
      <c r="C2236" s="401" t="s">
        <v>1001</v>
      </c>
      <c r="D2236" s="600">
        <v>0.38</v>
      </c>
    </row>
    <row r="2237" spans="1:4" ht="25.5">
      <c r="A2237" s="401">
        <v>43479</v>
      </c>
      <c r="B2237" s="411" t="s">
        <v>9381</v>
      </c>
      <c r="C2237" s="401" t="s">
        <v>1118</v>
      </c>
      <c r="D2237" s="600">
        <v>71.290000000000006</v>
      </c>
    </row>
    <row r="2238" spans="1:4" ht="25.5">
      <c r="A2238" s="401">
        <v>43468</v>
      </c>
      <c r="B2238" s="411" t="s">
        <v>9382</v>
      </c>
      <c r="C2238" s="401" t="s">
        <v>1001</v>
      </c>
      <c r="D2238" s="600">
        <v>0.84</v>
      </c>
    </row>
    <row r="2239" spans="1:4" ht="25.5">
      <c r="A2239" s="401">
        <v>43480</v>
      </c>
      <c r="B2239" s="411" t="s">
        <v>9383</v>
      </c>
      <c r="C2239" s="401" t="s">
        <v>1118</v>
      </c>
      <c r="D2239" s="600">
        <v>157.85</v>
      </c>
    </row>
    <row r="2240" spans="1:4" ht="25.5">
      <c r="A2240" s="401">
        <v>43469</v>
      </c>
      <c r="B2240" s="411" t="s">
        <v>9384</v>
      </c>
      <c r="C2240" s="401" t="s">
        <v>1001</v>
      </c>
      <c r="D2240" s="600">
        <v>0.05</v>
      </c>
    </row>
    <row r="2241" spans="1:4" ht="25.5">
      <c r="A2241" s="401">
        <v>43481</v>
      </c>
      <c r="B2241" s="411" t="s">
        <v>9385</v>
      </c>
      <c r="C2241" s="401" t="s">
        <v>1118</v>
      </c>
      <c r="D2241" s="600">
        <v>10.02</v>
      </c>
    </row>
    <row r="2242" spans="1:4" ht="25.5">
      <c r="A2242" s="401">
        <v>11461</v>
      </c>
      <c r="B2242" s="411" t="s">
        <v>9386</v>
      </c>
      <c r="C2242" s="401" t="s">
        <v>998</v>
      </c>
      <c r="D2242" s="600">
        <v>5.26</v>
      </c>
    </row>
    <row r="2243" spans="1:4" ht="25.5">
      <c r="A2243" s="401">
        <v>3106</v>
      </c>
      <c r="B2243" s="411" t="s">
        <v>9387</v>
      </c>
      <c r="C2243" s="401" t="s">
        <v>998</v>
      </c>
      <c r="D2243" s="600">
        <v>4</v>
      </c>
    </row>
    <row r="2244" spans="1:4" ht="25.5">
      <c r="A2244" s="401">
        <v>3107</v>
      </c>
      <c r="B2244" s="411" t="s">
        <v>9388</v>
      </c>
      <c r="C2244" s="401" t="s">
        <v>998</v>
      </c>
      <c r="D2244" s="600">
        <v>3.36</v>
      </c>
    </row>
    <row r="2245" spans="1:4">
      <c r="A2245" s="401">
        <v>25951</v>
      </c>
      <c r="B2245" s="411" t="s">
        <v>9389</v>
      </c>
      <c r="C2245" s="401" t="s">
        <v>995</v>
      </c>
      <c r="D2245" s="600">
        <v>1.66</v>
      </c>
    </row>
    <row r="2246" spans="1:4">
      <c r="A2246" s="401">
        <v>3123</v>
      </c>
      <c r="B2246" s="411" t="s">
        <v>9390</v>
      </c>
      <c r="C2246" s="401" t="s">
        <v>995</v>
      </c>
      <c r="D2246" s="600">
        <v>1.55</v>
      </c>
    </row>
    <row r="2247" spans="1:4">
      <c r="A2247" s="401">
        <v>38125</v>
      </c>
      <c r="B2247" s="411" t="s">
        <v>9391</v>
      </c>
      <c r="C2247" s="401" t="s">
        <v>995</v>
      </c>
      <c r="D2247" s="600">
        <v>0.87</v>
      </c>
    </row>
    <row r="2248" spans="1:4" ht="25.5">
      <c r="A2248" s="401">
        <v>39014</v>
      </c>
      <c r="B2248" s="411" t="s">
        <v>9392</v>
      </c>
      <c r="C2248" s="401" t="s">
        <v>995</v>
      </c>
      <c r="D2248" s="600">
        <v>6.56</v>
      </c>
    </row>
    <row r="2249" spans="1:4" ht="25.5">
      <c r="A2249" s="401">
        <v>11894</v>
      </c>
      <c r="B2249" s="411" t="s">
        <v>9393</v>
      </c>
      <c r="C2249" s="401" t="s">
        <v>998</v>
      </c>
      <c r="D2249" s="600">
        <v>679.37</v>
      </c>
    </row>
    <row r="2250" spans="1:4" ht="25.5">
      <c r="A2250" s="401">
        <v>39365</v>
      </c>
      <c r="B2250" s="411" t="s">
        <v>9394</v>
      </c>
      <c r="C2250" s="401" t="s">
        <v>998</v>
      </c>
      <c r="D2250" s="600">
        <v>793.07</v>
      </c>
    </row>
    <row r="2251" spans="1:4" ht="25.5">
      <c r="A2251" s="401">
        <v>39366</v>
      </c>
      <c r="B2251" s="411" t="s">
        <v>9395</v>
      </c>
      <c r="C2251" s="401" t="s">
        <v>998</v>
      </c>
      <c r="D2251" s="600">
        <v>2030.59</v>
      </c>
    </row>
    <row r="2252" spans="1:4" ht="25.5">
      <c r="A2252" s="401">
        <v>39367</v>
      </c>
      <c r="B2252" s="411" t="s">
        <v>9396</v>
      </c>
      <c r="C2252" s="401" t="s">
        <v>998</v>
      </c>
      <c r="D2252" s="600">
        <v>2775.46</v>
      </c>
    </row>
    <row r="2253" spans="1:4">
      <c r="A2253" s="401">
        <v>37394</v>
      </c>
      <c r="B2253" s="411" t="s">
        <v>9397</v>
      </c>
      <c r="C2253" s="401" t="s">
        <v>1120</v>
      </c>
      <c r="D2253" s="600">
        <v>35.01</v>
      </c>
    </row>
    <row r="2254" spans="1:4">
      <c r="A2254" s="401">
        <v>14146</v>
      </c>
      <c r="B2254" s="411" t="s">
        <v>9398</v>
      </c>
      <c r="C2254" s="401" t="s">
        <v>1120</v>
      </c>
      <c r="D2254" s="600">
        <v>56.3</v>
      </c>
    </row>
    <row r="2255" spans="1:4">
      <c r="A2255" s="401">
        <v>38134</v>
      </c>
      <c r="B2255" s="411" t="s">
        <v>9399</v>
      </c>
      <c r="C2255" s="401" t="s">
        <v>995</v>
      </c>
      <c r="D2255" s="600">
        <v>59.46</v>
      </c>
    </row>
    <row r="2256" spans="1:4">
      <c r="A2256" s="401">
        <v>38132</v>
      </c>
      <c r="B2256" s="411" t="s">
        <v>9400</v>
      </c>
      <c r="C2256" s="401" t="s">
        <v>995</v>
      </c>
      <c r="D2256" s="600">
        <v>60.65</v>
      </c>
    </row>
    <row r="2257" spans="1:4">
      <c r="A2257" s="401">
        <v>38133</v>
      </c>
      <c r="B2257" s="411" t="s">
        <v>9401</v>
      </c>
      <c r="C2257" s="401" t="s">
        <v>995</v>
      </c>
      <c r="D2257" s="600">
        <v>58.66</v>
      </c>
    </row>
    <row r="2258" spans="1:4" ht="25.5">
      <c r="A2258" s="401">
        <v>938</v>
      </c>
      <c r="B2258" s="411" t="s">
        <v>9402</v>
      </c>
      <c r="C2258" s="401" t="s">
        <v>1002</v>
      </c>
      <c r="D2258" s="600">
        <v>0.9</v>
      </c>
    </row>
    <row r="2259" spans="1:4" ht="25.5">
      <c r="A2259" s="401">
        <v>937</v>
      </c>
      <c r="B2259" s="411" t="s">
        <v>9403</v>
      </c>
      <c r="C2259" s="401" t="s">
        <v>1002</v>
      </c>
      <c r="D2259" s="600">
        <v>5.61</v>
      </c>
    </row>
    <row r="2260" spans="1:4" ht="25.5">
      <c r="A2260" s="401">
        <v>939</v>
      </c>
      <c r="B2260" s="411" t="s">
        <v>9404</v>
      </c>
      <c r="C2260" s="401" t="s">
        <v>1002</v>
      </c>
      <c r="D2260" s="600">
        <v>1.45</v>
      </c>
    </row>
    <row r="2261" spans="1:4" ht="25.5">
      <c r="A2261" s="401">
        <v>944</v>
      </c>
      <c r="B2261" s="411" t="s">
        <v>9405</v>
      </c>
      <c r="C2261" s="401" t="s">
        <v>1002</v>
      </c>
      <c r="D2261" s="600">
        <v>2.48</v>
      </c>
    </row>
    <row r="2262" spans="1:4" ht="25.5">
      <c r="A2262" s="401">
        <v>940</v>
      </c>
      <c r="B2262" s="411" t="s">
        <v>9406</v>
      </c>
      <c r="C2262" s="401" t="s">
        <v>1002</v>
      </c>
      <c r="D2262" s="600">
        <v>3.43</v>
      </c>
    </row>
    <row r="2263" spans="1:4" ht="25.5">
      <c r="A2263" s="401">
        <v>936</v>
      </c>
      <c r="B2263" s="411" t="s">
        <v>9407</v>
      </c>
      <c r="C2263" s="401" t="s">
        <v>1002</v>
      </c>
      <c r="D2263" s="600">
        <v>1.37</v>
      </c>
    </row>
    <row r="2264" spans="1:4" ht="25.5">
      <c r="A2264" s="401">
        <v>935</v>
      </c>
      <c r="B2264" s="411" t="s">
        <v>9408</v>
      </c>
      <c r="C2264" s="401" t="s">
        <v>1002</v>
      </c>
      <c r="D2264" s="600">
        <v>1.04</v>
      </c>
    </row>
    <row r="2265" spans="1:4">
      <c r="A2265" s="401">
        <v>406</v>
      </c>
      <c r="B2265" s="411" t="s">
        <v>9409</v>
      </c>
      <c r="C2265" s="401" t="s">
        <v>998</v>
      </c>
      <c r="D2265" s="600">
        <v>63.08</v>
      </c>
    </row>
    <row r="2266" spans="1:4">
      <c r="A2266" s="401">
        <v>42529</v>
      </c>
      <c r="B2266" s="411" t="s">
        <v>9410</v>
      </c>
      <c r="C2266" s="401" t="s">
        <v>1002</v>
      </c>
      <c r="D2266" s="600">
        <v>0.85</v>
      </c>
    </row>
    <row r="2267" spans="1:4" ht="25.5">
      <c r="A2267" s="401">
        <v>39634</v>
      </c>
      <c r="B2267" s="411" t="s">
        <v>9411</v>
      </c>
      <c r="C2267" s="401" t="s">
        <v>1002</v>
      </c>
      <c r="D2267" s="600">
        <v>7.91</v>
      </c>
    </row>
    <row r="2268" spans="1:4">
      <c r="A2268" s="401">
        <v>39701</v>
      </c>
      <c r="B2268" s="411" t="s">
        <v>9412</v>
      </c>
      <c r="C2268" s="401" t="s">
        <v>998</v>
      </c>
      <c r="D2268" s="600">
        <v>66.75</v>
      </c>
    </row>
    <row r="2269" spans="1:4">
      <c r="A2269" s="401">
        <v>12815</v>
      </c>
      <c r="B2269" s="411" t="s">
        <v>9413</v>
      </c>
      <c r="C2269" s="401" t="s">
        <v>998</v>
      </c>
      <c r="D2269" s="600">
        <v>7.9</v>
      </c>
    </row>
    <row r="2270" spans="1:4">
      <c r="A2270" s="401">
        <v>407</v>
      </c>
      <c r="B2270" s="411" t="s">
        <v>9414</v>
      </c>
      <c r="C2270" s="401" t="s">
        <v>995</v>
      </c>
      <c r="D2270" s="600">
        <v>39.479999999999997</v>
      </c>
    </row>
    <row r="2271" spans="1:4" ht="25.5">
      <c r="A2271" s="401">
        <v>39431</v>
      </c>
      <c r="B2271" s="411" t="s">
        <v>9415</v>
      </c>
      <c r="C2271" s="401" t="s">
        <v>1002</v>
      </c>
      <c r="D2271" s="600">
        <v>0.23</v>
      </c>
    </row>
    <row r="2272" spans="1:4" ht="25.5">
      <c r="A2272" s="401">
        <v>39432</v>
      </c>
      <c r="B2272" s="411" t="s">
        <v>9416</v>
      </c>
      <c r="C2272" s="401" t="s">
        <v>1002</v>
      </c>
      <c r="D2272" s="600">
        <v>3</v>
      </c>
    </row>
    <row r="2273" spans="1:4">
      <c r="A2273" s="401">
        <v>20111</v>
      </c>
      <c r="B2273" s="411" t="s">
        <v>9417</v>
      </c>
      <c r="C2273" s="401" t="s">
        <v>998</v>
      </c>
      <c r="D2273" s="600">
        <v>9.9</v>
      </c>
    </row>
    <row r="2274" spans="1:4">
      <c r="A2274" s="401">
        <v>21127</v>
      </c>
      <c r="B2274" s="411" t="s">
        <v>9418</v>
      </c>
      <c r="C2274" s="401" t="s">
        <v>998</v>
      </c>
      <c r="D2274" s="600">
        <v>3.74</v>
      </c>
    </row>
    <row r="2275" spans="1:4">
      <c r="A2275" s="401">
        <v>404</v>
      </c>
      <c r="B2275" s="411" t="s">
        <v>9419</v>
      </c>
      <c r="C2275" s="401" t="s">
        <v>1002</v>
      </c>
      <c r="D2275" s="600">
        <v>1.35</v>
      </c>
    </row>
    <row r="2276" spans="1:4">
      <c r="A2276" s="401">
        <v>14151</v>
      </c>
      <c r="B2276" s="411" t="s">
        <v>9420</v>
      </c>
      <c r="C2276" s="401" t="s">
        <v>998</v>
      </c>
      <c r="D2276" s="600">
        <v>40.46</v>
      </c>
    </row>
    <row r="2277" spans="1:4">
      <c r="A2277" s="401">
        <v>14153</v>
      </c>
      <c r="B2277" s="411" t="s">
        <v>9421</v>
      </c>
      <c r="C2277" s="401" t="s">
        <v>998</v>
      </c>
      <c r="D2277" s="600">
        <v>45.74</v>
      </c>
    </row>
    <row r="2278" spans="1:4">
      <c r="A2278" s="401">
        <v>14152</v>
      </c>
      <c r="B2278" s="411" t="s">
        <v>9422</v>
      </c>
      <c r="C2278" s="401" t="s">
        <v>998</v>
      </c>
      <c r="D2278" s="600">
        <v>35.11</v>
      </c>
    </row>
    <row r="2279" spans="1:4">
      <c r="A2279" s="401">
        <v>14154</v>
      </c>
      <c r="B2279" s="411" t="s">
        <v>9423</v>
      </c>
      <c r="C2279" s="401" t="s">
        <v>998</v>
      </c>
      <c r="D2279" s="600">
        <v>122.9</v>
      </c>
    </row>
    <row r="2280" spans="1:4" ht="25.5">
      <c r="A2280" s="401">
        <v>42015</v>
      </c>
      <c r="B2280" s="411" t="s">
        <v>9424</v>
      </c>
      <c r="C2280" s="401" t="s">
        <v>1002</v>
      </c>
      <c r="D2280" s="600">
        <v>0.08</v>
      </c>
    </row>
    <row r="2281" spans="1:4">
      <c r="A2281" s="401">
        <v>3146</v>
      </c>
      <c r="B2281" s="411" t="s">
        <v>9425</v>
      </c>
      <c r="C2281" s="401" t="s">
        <v>998</v>
      </c>
      <c r="D2281" s="600">
        <v>4.0599999999999996</v>
      </c>
    </row>
    <row r="2282" spans="1:4">
      <c r="A2282" s="401">
        <v>3143</v>
      </c>
      <c r="B2282" s="411" t="s">
        <v>9426</v>
      </c>
      <c r="C2282" s="401" t="s">
        <v>998</v>
      </c>
      <c r="D2282" s="600">
        <v>9.23</v>
      </c>
    </row>
    <row r="2283" spans="1:4">
      <c r="A2283" s="401">
        <v>3148</v>
      </c>
      <c r="B2283" s="411" t="s">
        <v>9427</v>
      </c>
      <c r="C2283" s="401" t="s">
        <v>998</v>
      </c>
      <c r="D2283" s="600">
        <v>14.97</v>
      </c>
    </row>
    <row r="2284" spans="1:4" ht="25.5">
      <c r="A2284" s="401">
        <v>4310</v>
      </c>
      <c r="B2284" s="411" t="s">
        <v>9428</v>
      </c>
      <c r="C2284" s="401" t="s">
        <v>998</v>
      </c>
      <c r="D2284" s="600">
        <v>1.78</v>
      </c>
    </row>
    <row r="2285" spans="1:4">
      <c r="A2285" s="401">
        <v>4311</v>
      </c>
      <c r="B2285" s="411" t="s">
        <v>9429</v>
      </c>
      <c r="C2285" s="401" t="s">
        <v>998</v>
      </c>
      <c r="D2285" s="600">
        <v>1.25</v>
      </c>
    </row>
    <row r="2286" spans="1:4">
      <c r="A2286" s="401">
        <v>4312</v>
      </c>
      <c r="B2286" s="411" t="s">
        <v>9430</v>
      </c>
      <c r="C2286" s="401" t="s">
        <v>998</v>
      </c>
      <c r="D2286" s="600">
        <v>1.75</v>
      </c>
    </row>
    <row r="2287" spans="1:4">
      <c r="A2287" s="401">
        <v>13261</v>
      </c>
      <c r="B2287" s="411" t="s">
        <v>9431</v>
      </c>
      <c r="C2287" s="401" t="s">
        <v>998</v>
      </c>
      <c r="D2287" s="600">
        <v>2.48</v>
      </c>
    </row>
    <row r="2288" spans="1:4">
      <c r="A2288" s="401">
        <v>3255</v>
      </c>
      <c r="B2288" s="411" t="s">
        <v>9432</v>
      </c>
      <c r="C2288" s="401" t="s">
        <v>998</v>
      </c>
      <c r="D2288" s="600">
        <v>5.77</v>
      </c>
    </row>
    <row r="2289" spans="1:4">
      <c r="A2289" s="401">
        <v>3254</v>
      </c>
      <c r="B2289" s="411" t="s">
        <v>9433</v>
      </c>
      <c r="C2289" s="401" t="s">
        <v>998</v>
      </c>
      <c r="D2289" s="600">
        <v>93.77</v>
      </c>
    </row>
    <row r="2290" spans="1:4">
      <c r="A2290" s="401">
        <v>3259</v>
      </c>
      <c r="B2290" s="411" t="s">
        <v>9434</v>
      </c>
      <c r="C2290" s="401" t="s">
        <v>998</v>
      </c>
      <c r="D2290" s="600">
        <v>11.27</v>
      </c>
    </row>
    <row r="2291" spans="1:4">
      <c r="A2291" s="401">
        <v>3258</v>
      </c>
      <c r="B2291" s="411" t="s">
        <v>9435</v>
      </c>
      <c r="C2291" s="401" t="s">
        <v>998</v>
      </c>
      <c r="D2291" s="600">
        <v>6.81</v>
      </c>
    </row>
    <row r="2292" spans="1:4">
      <c r="A2292" s="401">
        <v>3251</v>
      </c>
      <c r="B2292" s="411" t="s">
        <v>9436</v>
      </c>
      <c r="C2292" s="401" t="s">
        <v>998</v>
      </c>
      <c r="D2292" s="600">
        <v>4.01</v>
      </c>
    </row>
    <row r="2293" spans="1:4">
      <c r="A2293" s="401">
        <v>3256</v>
      </c>
      <c r="B2293" s="411" t="s">
        <v>9437</v>
      </c>
      <c r="C2293" s="401" t="s">
        <v>998</v>
      </c>
      <c r="D2293" s="600">
        <v>7.6</v>
      </c>
    </row>
    <row r="2294" spans="1:4">
      <c r="A2294" s="401">
        <v>3261</v>
      </c>
      <c r="B2294" s="411" t="s">
        <v>9438</v>
      </c>
      <c r="C2294" s="401" t="s">
        <v>998</v>
      </c>
      <c r="D2294" s="600">
        <v>82.92</v>
      </c>
    </row>
    <row r="2295" spans="1:4">
      <c r="A2295" s="401">
        <v>3260</v>
      </c>
      <c r="B2295" s="411" t="s">
        <v>9439</v>
      </c>
      <c r="C2295" s="401" t="s">
        <v>998</v>
      </c>
      <c r="D2295" s="600">
        <v>14.24</v>
      </c>
    </row>
    <row r="2296" spans="1:4">
      <c r="A2296" s="401">
        <v>3272</v>
      </c>
      <c r="B2296" s="411" t="s">
        <v>9440</v>
      </c>
      <c r="C2296" s="401" t="s">
        <v>998</v>
      </c>
      <c r="D2296" s="600">
        <v>26.53</v>
      </c>
    </row>
    <row r="2297" spans="1:4">
      <c r="A2297" s="401">
        <v>3265</v>
      </c>
      <c r="B2297" s="411" t="s">
        <v>9441</v>
      </c>
      <c r="C2297" s="401" t="s">
        <v>998</v>
      </c>
      <c r="D2297" s="600">
        <v>21.07</v>
      </c>
    </row>
    <row r="2298" spans="1:4">
      <c r="A2298" s="401">
        <v>3262</v>
      </c>
      <c r="B2298" s="411" t="s">
        <v>9442</v>
      </c>
      <c r="C2298" s="401" t="s">
        <v>998</v>
      </c>
      <c r="D2298" s="600">
        <v>9.2200000000000006</v>
      </c>
    </row>
    <row r="2299" spans="1:4">
      <c r="A2299" s="401">
        <v>3264</v>
      </c>
      <c r="B2299" s="411" t="s">
        <v>9443</v>
      </c>
      <c r="C2299" s="401" t="s">
        <v>998</v>
      </c>
      <c r="D2299" s="600">
        <v>15.15</v>
      </c>
    </row>
    <row r="2300" spans="1:4">
      <c r="A2300" s="401">
        <v>3267</v>
      </c>
      <c r="B2300" s="411" t="s">
        <v>9444</v>
      </c>
      <c r="C2300" s="401" t="s">
        <v>998</v>
      </c>
      <c r="D2300" s="600">
        <v>49.49</v>
      </c>
    </row>
    <row r="2301" spans="1:4">
      <c r="A2301" s="401">
        <v>3266</v>
      </c>
      <c r="B2301" s="411" t="s">
        <v>9445</v>
      </c>
      <c r="C2301" s="401" t="s">
        <v>998</v>
      </c>
      <c r="D2301" s="600">
        <v>31.49</v>
      </c>
    </row>
    <row r="2302" spans="1:4">
      <c r="A2302" s="401">
        <v>3263</v>
      </c>
      <c r="B2302" s="411" t="s">
        <v>9446</v>
      </c>
      <c r="C2302" s="401" t="s">
        <v>998</v>
      </c>
      <c r="D2302" s="600">
        <v>12.6</v>
      </c>
    </row>
    <row r="2303" spans="1:4">
      <c r="A2303" s="401">
        <v>3268</v>
      </c>
      <c r="B2303" s="411" t="s">
        <v>9447</v>
      </c>
      <c r="C2303" s="401" t="s">
        <v>998</v>
      </c>
      <c r="D2303" s="600">
        <v>66.92</v>
      </c>
    </row>
    <row r="2304" spans="1:4">
      <c r="A2304" s="401">
        <v>3271</v>
      </c>
      <c r="B2304" s="411" t="s">
        <v>9448</v>
      </c>
      <c r="C2304" s="401" t="s">
        <v>998</v>
      </c>
      <c r="D2304" s="600">
        <v>98.93</v>
      </c>
    </row>
    <row r="2305" spans="1:4">
      <c r="A2305" s="401">
        <v>3270</v>
      </c>
      <c r="B2305" s="411" t="s">
        <v>9449</v>
      </c>
      <c r="C2305" s="401" t="s">
        <v>998</v>
      </c>
      <c r="D2305" s="600">
        <v>166.22</v>
      </c>
    </row>
    <row r="2306" spans="1:4" ht="25.5">
      <c r="A2306" s="401">
        <v>3275</v>
      </c>
      <c r="B2306" s="411" t="s">
        <v>9450</v>
      </c>
      <c r="C2306" s="401" t="s">
        <v>1003</v>
      </c>
      <c r="D2306" s="600">
        <v>68.209999999999994</v>
      </c>
    </row>
    <row r="2307" spans="1:4" ht="38.25">
      <c r="A2307" s="401">
        <v>39512</v>
      </c>
      <c r="B2307" s="411" t="s">
        <v>9451</v>
      </c>
      <c r="C2307" s="401" t="s">
        <v>1003</v>
      </c>
      <c r="D2307" s="600">
        <v>76.959999999999994</v>
      </c>
    </row>
    <row r="2308" spans="1:4" ht="38.25">
      <c r="A2308" s="401">
        <v>39511</v>
      </c>
      <c r="B2308" s="411" t="s">
        <v>9452</v>
      </c>
      <c r="C2308" s="401" t="s">
        <v>1003</v>
      </c>
      <c r="D2308" s="600">
        <v>83.95</v>
      </c>
    </row>
    <row r="2309" spans="1:4" ht="38.25">
      <c r="A2309" s="401">
        <v>39513</v>
      </c>
      <c r="B2309" s="411" t="s">
        <v>9453</v>
      </c>
      <c r="C2309" s="401" t="s">
        <v>1003</v>
      </c>
      <c r="D2309" s="600">
        <v>90.04</v>
      </c>
    </row>
    <row r="2310" spans="1:4" ht="25.5">
      <c r="A2310" s="401">
        <v>3286</v>
      </c>
      <c r="B2310" s="411" t="s">
        <v>9454</v>
      </c>
      <c r="C2310" s="401" t="s">
        <v>1003</v>
      </c>
      <c r="D2310" s="600">
        <v>54.26</v>
      </c>
    </row>
    <row r="2311" spans="1:4" ht="25.5">
      <c r="A2311" s="401">
        <v>3287</v>
      </c>
      <c r="B2311" s="411" t="s">
        <v>9455</v>
      </c>
      <c r="C2311" s="401" t="s">
        <v>1003</v>
      </c>
      <c r="D2311" s="600">
        <v>82</v>
      </c>
    </row>
    <row r="2312" spans="1:4" ht="25.5">
      <c r="A2312" s="401">
        <v>3283</v>
      </c>
      <c r="B2312" s="411" t="s">
        <v>9456</v>
      </c>
      <c r="C2312" s="401" t="s">
        <v>1003</v>
      </c>
      <c r="D2312" s="600">
        <v>17.22</v>
      </c>
    </row>
    <row r="2313" spans="1:4" ht="25.5">
      <c r="A2313" s="401">
        <v>11587</v>
      </c>
      <c r="B2313" s="411" t="s">
        <v>9457</v>
      </c>
      <c r="C2313" s="401" t="s">
        <v>1003</v>
      </c>
      <c r="D2313" s="600">
        <v>46.77</v>
      </c>
    </row>
    <row r="2314" spans="1:4" ht="25.5">
      <c r="A2314" s="401">
        <v>36225</v>
      </c>
      <c r="B2314" s="411" t="s">
        <v>9458</v>
      </c>
      <c r="C2314" s="401" t="s">
        <v>1003</v>
      </c>
      <c r="D2314" s="600">
        <v>19</v>
      </c>
    </row>
    <row r="2315" spans="1:4" ht="25.5">
      <c r="A2315" s="401">
        <v>36230</v>
      </c>
      <c r="B2315" s="411" t="s">
        <v>9459</v>
      </c>
      <c r="C2315" s="401" t="s">
        <v>1003</v>
      </c>
      <c r="D2315" s="600">
        <v>13.96</v>
      </c>
    </row>
    <row r="2316" spans="1:4" ht="25.5">
      <c r="A2316" s="401">
        <v>36238</v>
      </c>
      <c r="B2316" s="411" t="s">
        <v>9460</v>
      </c>
      <c r="C2316" s="401" t="s">
        <v>1003</v>
      </c>
      <c r="D2316" s="600">
        <v>13.64</v>
      </c>
    </row>
    <row r="2317" spans="1:4">
      <c r="A2317" s="401">
        <v>11887</v>
      </c>
      <c r="B2317" s="411" t="s">
        <v>9461</v>
      </c>
      <c r="C2317" s="401" t="s">
        <v>998</v>
      </c>
      <c r="D2317" s="600">
        <v>3200.36</v>
      </c>
    </row>
    <row r="2318" spans="1:4">
      <c r="A2318" s="401">
        <v>11883</v>
      </c>
      <c r="B2318" s="411" t="s">
        <v>9462</v>
      </c>
      <c r="C2318" s="401" t="s">
        <v>998</v>
      </c>
      <c r="D2318" s="600">
        <v>4705.1000000000004</v>
      </c>
    </row>
    <row r="2319" spans="1:4">
      <c r="A2319" s="401">
        <v>11884</v>
      </c>
      <c r="B2319" s="411" t="s">
        <v>9463</v>
      </c>
      <c r="C2319" s="401" t="s">
        <v>998</v>
      </c>
      <c r="D2319" s="600">
        <v>5048.1499999999996</v>
      </c>
    </row>
    <row r="2320" spans="1:4">
      <c r="A2320" s="401">
        <v>11885</v>
      </c>
      <c r="B2320" s="411" t="s">
        <v>9464</v>
      </c>
      <c r="C2320" s="401" t="s">
        <v>998</v>
      </c>
      <c r="D2320" s="600">
        <v>5630.4</v>
      </c>
    </row>
    <row r="2321" spans="1:4">
      <c r="A2321" s="401">
        <v>11886</v>
      </c>
      <c r="B2321" s="411" t="s">
        <v>9465</v>
      </c>
      <c r="C2321" s="401" t="s">
        <v>998</v>
      </c>
      <c r="D2321" s="600">
        <v>1814.66</v>
      </c>
    </row>
    <row r="2322" spans="1:4">
      <c r="A2322" s="401">
        <v>11888</v>
      </c>
      <c r="B2322" s="411" t="s">
        <v>9466</v>
      </c>
      <c r="C2322" s="401" t="s">
        <v>998</v>
      </c>
      <c r="D2322" s="600">
        <v>4261.54</v>
      </c>
    </row>
    <row r="2323" spans="1:4">
      <c r="A2323" s="401">
        <v>3277</v>
      </c>
      <c r="B2323" s="411" t="s">
        <v>9467</v>
      </c>
      <c r="C2323" s="401" t="s">
        <v>998</v>
      </c>
      <c r="D2323" s="600">
        <v>718.67</v>
      </c>
    </row>
    <row r="2324" spans="1:4">
      <c r="A2324" s="401">
        <v>3281</v>
      </c>
      <c r="B2324" s="411" t="s">
        <v>9468</v>
      </c>
      <c r="C2324" s="401" t="s">
        <v>998</v>
      </c>
      <c r="D2324" s="600">
        <v>595.15</v>
      </c>
    </row>
    <row r="2325" spans="1:4" ht="38.25">
      <c r="A2325" s="401">
        <v>39363</v>
      </c>
      <c r="B2325" s="411" t="s">
        <v>9469</v>
      </c>
      <c r="C2325" s="401" t="s">
        <v>998</v>
      </c>
      <c r="D2325" s="600">
        <v>3230.49</v>
      </c>
    </row>
    <row r="2326" spans="1:4" ht="38.25">
      <c r="A2326" s="401">
        <v>39361</v>
      </c>
      <c r="B2326" s="411" t="s">
        <v>9470</v>
      </c>
      <c r="C2326" s="401" t="s">
        <v>998</v>
      </c>
      <c r="D2326" s="600">
        <v>830.69</v>
      </c>
    </row>
    <row r="2327" spans="1:4" ht="38.25">
      <c r="A2327" s="401">
        <v>39362</v>
      </c>
      <c r="B2327" s="411" t="s">
        <v>9471</v>
      </c>
      <c r="C2327" s="401" t="s">
        <v>998</v>
      </c>
      <c r="D2327" s="600">
        <v>2556.27</v>
      </c>
    </row>
    <row r="2328" spans="1:4" ht="38.25">
      <c r="A2328" s="401">
        <v>39364</v>
      </c>
      <c r="B2328" s="411" t="s">
        <v>9472</v>
      </c>
      <c r="C2328" s="401" t="s">
        <v>998</v>
      </c>
      <c r="D2328" s="600">
        <v>7383.99</v>
      </c>
    </row>
    <row r="2329" spans="1:4" ht="25.5">
      <c r="A2329" s="401">
        <v>14576</v>
      </c>
      <c r="B2329" s="411" t="s">
        <v>9473</v>
      </c>
      <c r="C2329" s="401" t="s">
        <v>998</v>
      </c>
      <c r="D2329" s="600">
        <v>4591152.0599999996</v>
      </c>
    </row>
    <row r="2330" spans="1:4" ht="25.5">
      <c r="A2330" s="401">
        <v>13877</v>
      </c>
      <c r="B2330" s="411" t="s">
        <v>9474</v>
      </c>
      <c r="C2330" s="401" t="s">
        <v>998</v>
      </c>
      <c r="D2330" s="600">
        <v>1965403.72</v>
      </c>
    </row>
    <row r="2331" spans="1:4">
      <c r="A2331" s="401">
        <v>7307</v>
      </c>
      <c r="B2331" s="411" t="s">
        <v>9475</v>
      </c>
      <c r="C2331" s="401" t="s">
        <v>997</v>
      </c>
      <c r="D2331" s="600">
        <v>24.03</v>
      </c>
    </row>
    <row r="2332" spans="1:4">
      <c r="A2332" s="401">
        <v>38122</v>
      </c>
      <c r="B2332" s="411" t="s">
        <v>9476</v>
      </c>
      <c r="C2332" s="401" t="s">
        <v>997</v>
      </c>
      <c r="D2332" s="600">
        <v>6.75</v>
      </c>
    </row>
    <row r="2333" spans="1:4" ht="25.5">
      <c r="A2333" s="401">
        <v>38633</v>
      </c>
      <c r="B2333" s="411" t="s">
        <v>9477</v>
      </c>
      <c r="C2333" s="401" t="s">
        <v>998</v>
      </c>
      <c r="D2333" s="600">
        <v>16.41</v>
      </c>
    </row>
    <row r="2334" spans="1:4" ht="25.5">
      <c r="A2334" s="401">
        <v>12344</v>
      </c>
      <c r="B2334" s="411" t="s">
        <v>9478</v>
      </c>
      <c r="C2334" s="401" t="s">
        <v>998</v>
      </c>
      <c r="D2334" s="600">
        <v>1.56</v>
      </c>
    </row>
    <row r="2335" spans="1:4" ht="25.5">
      <c r="A2335" s="401">
        <v>12343</v>
      </c>
      <c r="B2335" s="411" t="s">
        <v>9479</v>
      </c>
      <c r="C2335" s="401" t="s">
        <v>998</v>
      </c>
      <c r="D2335" s="600">
        <v>2.42</v>
      </c>
    </row>
    <row r="2336" spans="1:4" ht="25.5">
      <c r="A2336" s="401">
        <v>3295</v>
      </c>
      <c r="B2336" s="411" t="s">
        <v>9480</v>
      </c>
      <c r="C2336" s="401" t="s">
        <v>998</v>
      </c>
      <c r="D2336" s="600">
        <v>8.4499999999999993</v>
      </c>
    </row>
    <row r="2337" spans="1:4" ht="25.5">
      <c r="A2337" s="401">
        <v>3302</v>
      </c>
      <c r="B2337" s="411" t="s">
        <v>9481</v>
      </c>
      <c r="C2337" s="401" t="s">
        <v>998</v>
      </c>
      <c r="D2337" s="600">
        <v>8.84</v>
      </c>
    </row>
    <row r="2338" spans="1:4" ht="25.5">
      <c r="A2338" s="401">
        <v>3297</v>
      </c>
      <c r="B2338" s="411" t="s">
        <v>9482</v>
      </c>
      <c r="C2338" s="401" t="s">
        <v>998</v>
      </c>
      <c r="D2338" s="600">
        <v>9.43</v>
      </c>
    </row>
    <row r="2339" spans="1:4" ht="25.5">
      <c r="A2339" s="401">
        <v>3294</v>
      </c>
      <c r="B2339" s="411" t="s">
        <v>9483</v>
      </c>
      <c r="C2339" s="401" t="s">
        <v>998</v>
      </c>
      <c r="D2339" s="600">
        <v>9.58</v>
      </c>
    </row>
    <row r="2340" spans="1:4" ht="25.5">
      <c r="A2340" s="401">
        <v>3292</v>
      </c>
      <c r="B2340" s="411" t="s">
        <v>9484</v>
      </c>
      <c r="C2340" s="401" t="s">
        <v>998</v>
      </c>
      <c r="D2340" s="600">
        <v>9</v>
      </c>
    </row>
    <row r="2341" spans="1:4" ht="25.5">
      <c r="A2341" s="401">
        <v>3298</v>
      </c>
      <c r="B2341" s="411" t="s">
        <v>9485</v>
      </c>
      <c r="C2341" s="401" t="s">
        <v>998</v>
      </c>
      <c r="D2341" s="600">
        <v>21.09</v>
      </c>
    </row>
    <row r="2342" spans="1:4" ht="25.5">
      <c r="A2342" s="401">
        <v>11596</v>
      </c>
      <c r="B2342" s="411" t="s">
        <v>9486</v>
      </c>
      <c r="C2342" s="401" t="s">
        <v>998</v>
      </c>
      <c r="D2342" s="600">
        <v>427.37</v>
      </c>
    </row>
    <row r="2343" spans="1:4" ht="25.5">
      <c r="A2343" s="401">
        <v>34802</v>
      </c>
      <c r="B2343" s="411" t="s">
        <v>9487</v>
      </c>
      <c r="C2343" s="401" t="s">
        <v>998</v>
      </c>
      <c r="D2343" s="600">
        <v>1173.69</v>
      </c>
    </row>
    <row r="2344" spans="1:4" ht="25.5">
      <c r="A2344" s="401">
        <v>11588</v>
      </c>
      <c r="B2344" s="411" t="s">
        <v>9488</v>
      </c>
      <c r="C2344" s="401" t="s">
        <v>998</v>
      </c>
      <c r="D2344" s="600">
        <v>1266.23</v>
      </c>
    </row>
    <row r="2345" spans="1:4" ht="25.5">
      <c r="A2345" s="401">
        <v>34383</v>
      </c>
      <c r="B2345" s="411" t="s">
        <v>9489</v>
      </c>
      <c r="C2345" s="401" t="s">
        <v>998</v>
      </c>
      <c r="D2345" s="600">
        <v>1392.94</v>
      </c>
    </row>
    <row r="2346" spans="1:4" ht="25.5">
      <c r="A2346" s="401">
        <v>40451</v>
      </c>
      <c r="B2346" s="411" t="s">
        <v>9490</v>
      </c>
      <c r="C2346" s="401" t="s">
        <v>1003</v>
      </c>
      <c r="D2346" s="600">
        <v>112.6</v>
      </c>
    </row>
    <row r="2347" spans="1:4" ht="25.5">
      <c r="A2347" s="401">
        <v>40453</v>
      </c>
      <c r="B2347" s="411" t="s">
        <v>9491</v>
      </c>
      <c r="C2347" s="401" t="s">
        <v>1003</v>
      </c>
      <c r="D2347" s="600">
        <v>121.83</v>
      </c>
    </row>
    <row r="2348" spans="1:4" ht="25.5">
      <c r="A2348" s="401">
        <v>40452</v>
      </c>
      <c r="B2348" s="411" t="s">
        <v>9492</v>
      </c>
      <c r="C2348" s="401" t="s">
        <v>1003</v>
      </c>
      <c r="D2348" s="600">
        <v>133.63</v>
      </c>
    </row>
    <row r="2349" spans="1:4" ht="25.5">
      <c r="A2349" s="401">
        <v>11594</v>
      </c>
      <c r="B2349" s="411" t="s">
        <v>9493</v>
      </c>
      <c r="C2349" s="401" t="s">
        <v>998</v>
      </c>
      <c r="D2349" s="600">
        <v>403.58</v>
      </c>
    </row>
    <row r="2350" spans="1:4" ht="25.5">
      <c r="A2350" s="401">
        <v>3311</v>
      </c>
      <c r="B2350" s="411" t="s">
        <v>9494</v>
      </c>
      <c r="C2350" s="401" t="s">
        <v>996</v>
      </c>
      <c r="D2350" s="600">
        <v>403.58</v>
      </c>
    </row>
    <row r="2351" spans="1:4">
      <c r="A2351" s="401">
        <v>11599</v>
      </c>
      <c r="B2351" s="411" t="s">
        <v>9495</v>
      </c>
      <c r="C2351" s="401" t="s">
        <v>998</v>
      </c>
      <c r="D2351" s="600">
        <v>536.72</v>
      </c>
    </row>
    <row r="2352" spans="1:4" ht="25.5">
      <c r="A2352" s="401">
        <v>11593</v>
      </c>
      <c r="B2352" s="411" t="s">
        <v>9496</v>
      </c>
      <c r="C2352" s="401" t="s">
        <v>998</v>
      </c>
      <c r="D2352" s="600">
        <v>752.44</v>
      </c>
    </row>
    <row r="2353" spans="1:4" ht="25.5">
      <c r="A2353" s="401">
        <v>3314</v>
      </c>
      <c r="B2353" s="411" t="s">
        <v>9497</v>
      </c>
      <c r="C2353" s="401" t="s">
        <v>996</v>
      </c>
      <c r="D2353" s="600">
        <v>538.15</v>
      </c>
    </row>
    <row r="2354" spans="1:4" ht="25.5">
      <c r="A2354" s="401">
        <v>11597</v>
      </c>
      <c r="B2354" s="411" t="s">
        <v>9498</v>
      </c>
      <c r="C2354" s="401" t="s">
        <v>998</v>
      </c>
      <c r="D2354" s="600">
        <v>625.79999999999995</v>
      </c>
    </row>
    <row r="2355" spans="1:4">
      <c r="A2355" s="401">
        <v>3309</v>
      </c>
      <c r="B2355" s="411" t="s">
        <v>9499</v>
      </c>
      <c r="C2355" s="401" t="s">
        <v>996</v>
      </c>
      <c r="D2355" s="600">
        <v>427.37</v>
      </c>
    </row>
    <row r="2356" spans="1:4" ht="38.25">
      <c r="A2356" s="401">
        <v>34612</v>
      </c>
      <c r="B2356" s="411" t="s">
        <v>9500</v>
      </c>
      <c r="C2356" s="401" t="s">
        <v>998</v>
      </c>
      <c r="D2356" s="600">
        <v>774.01</v>
      </c>
    </row>
    <row r="2357" spans="1:4" ht="38.25">
      <c r="A2357" s="401">
        <v>34635</v>
      </c>
      <c r="B2357" s="411" t="s">
        <v>9501</v>
      </c>
      <c r="C2357" s="401" t="s">
        <v>998</v>
      </c>
      <c r="D2357" s="600">
        <v>995.34</v>
      </c>
    </row>
    <row r="2358" spans="1:4" ht="38.25">
      <c r="A2358" s="401">
        <v>34633</v>
      </c>
      <c r="B2358" s="411" t="s">
        <v>9502</v>
      </c>
      <c r="C2358" s="401" t="s">
        <v>998</v>
      </c>
      <c r="D2358" s="600">
        <v>1097.1300000000001</v>
      </c>
    </row>
    <row r="2359" spans="1:4" ht="25.5">
      <c r="A2359" s="401">
        <v>40440</v>
      </c>
      <c r="B2359" s="411" t="s">
        <v>9503</v>
      </c>
      <c r="C2359" s="401" t="s">
        <v>996</v>
      </c>
      <c r="D2359" s="600">
        <v>560.54</v>
      </c>
    </row>
    <row r="2360" spans="1:4" ht="25.5">
      <c r="A2360" s="401">
        <v>40441</v>
      </c>
      <c r="B2360" s="411" t="s">
        <v>9504</v>
      </c>
      <c r="C2360" s="401" t="s">
        <v>996</v>
      </c>
      <c r="D2360" s="600">
        <v>357.87</v>
      </c>
    </row>
    <row r="2361" spans="1:4" ht="38.25">
      <c r="A2361" s="401">
        <v>40449</v>
      </c>
      <c r="B2361" s="411" t="s">
        <v>9505</v>
      </c>
      <c r="C2361" s="401" t="s">
        <v>996</v>
      </c>
      <c r="D2361" s="600">
        <v>300.85000000000002</v>
      </c>
    </row>
    <row r="2362" spans="1:4" ht="25.5">
      <c r="A2362" s="401">
        <v>34800</v>
      </c>
      <c r="B2362" s="411" t="s">
        <v>9506</v>
      </c>
      <c r="C2362" s="401" t="s">
        <v>996</v>
      </c>
      <c r="D2362" s="600">
        <v>376.22</v>
      </c>
    </row>
    <row r="2363" spans="1:4" ht="25.5">
      <c r="A2363" s="401">
        <v>11592</v>
      </c>
      <c r="B2363" s="411" t="s">
        <v>9507</v>
      </c>
      <c r="C2363" s="401" t="s">
        <v>998</v>
      </c>
      <c r="D2363" s="600">
        <v>538.15</v>
      </c>
    </row>
    <row r="2364" spans="1:4" ht="25.5">
      <c r="A2364" s="401">
        <v>40438</v>
      </c>
      <c r="B2364" s="411" t="s">
        <v>9508</v>
      </c>
      <c r="C2364" s="401" t="s">
        <v>996</v>
      </c>
      <c r="D2364" s="600">
        <v>250.64</v>
      </c>
    </row>
    <row r="2365" spans="1:4" ht="25.5">
      <c r="A2365" s="401">
        <v>40436</v>
      </c>
      <c r="B2365" s="411" t="s">
        <v>9509</v>
      </c>
      <c r="C2365" s="401" t="s">
        <v>996</v>
      </c>
      <c r="D2365" s="600">
        <v>312.52999999999997</v>
      </c>
    </row>
    <row r="2366" spans="1:4" ht="25.5">
      <c r="A2366" s="401">
        <v>4315</v>
      </c>
      <c r="B2366" s="411" t="s">
        <v>9510</v>
      </c>
      <c r="C2366" s="401" t="s">
        <v>998</v>
      </c>
      <c r="D2366" s="600">
        <v>1.29</v>
      </c>
    </row>
    <row r="2367" spans="1:4">
      <c r="A2367" s="401">
        <v>42482</v>
      </c>
      <c r="B2367" s="411" t="s">
        <v>9511</v>
      </c>
      <c r="C2367" s="401" t="s">
        <v>998</v>
      </c>
      <c r="D2367" s="600">
        <v>1.72</v>
      </c>
    </row>
    <row r="2368" spans="1:4">
      <c r="A2368" s="401">
        <v>402</v>
      </c>
      <c r="B2368" s="411" t="s">
        <v>9512</v>
      </c>
      <c r="C2368" s="401" t="s">
        <v>998</v>
      </c>
      <c r="D2368" s="600">
        <v>9.0399999999999991</v>
      </c>
    </row>
    <row r="2369" spans="1:4">
      <c r="A2369" s="401">
        <v>4226</v>
      </c>
      <c r="B2369" s="411" t="s">
        <v>9513</v>
      </c>
      <c r="C2369" s="401" t="s">
        <v>995</v>
      </c>
      <c r="D2369" s="600">
        <v>7.36</v>
      </c>
    </row>
    <row r="2370" spans="1:4">
      <c r="A2370" s="401">
        <v>4222</v>
      </c>
      <c r="B2370" s="411" t="s">
        <v>9514</v>
      </c>
      <c r="C2370" s="401" t="s">
        <v>997</v>
      </c>
      <c r="D2370" s="600">
        <v>3.76</v>
      </c>
    </row>
    <row r="2371" spans="1:4" ht="25.5">
      <c r="A2371" s="401">
        <v>34804</v>
      </c>
      <c r="B2371" s="411" t="s">
        <v>9515</v>
      </c>
      <c r="C2371" s="401" t="s">
        <v>1003</v>
      </c>
      <c r="D2371" s="600">
        <v>45.43</v>
      </c>
    </row>
    <row r="2372" spans="1:4" ht="25.5">
      <c r="A2372" s="401">
        <v>4013</v>
      </c>
      <c r="B2372" s="411" t="s">
        <v>9516</v>
      </c>
      <c r="C2372" s="401" t="s">
        <v>1003</v>
      </c>
      <c r="D2372" s="600">
        <v>4.71</v>
      </c>
    </row>
    <row r="2373" spans="1:4" ht="25.5">
      <c r="A2373" s="401">
        <v>4011</v>
      </c>
      <c r="B2373" s="411" t="s">
        <v>9517</v>
      </c>
      <c r="C2373" s="401" t="s">
        <v>1003</v>
      </c>
      <c r="D2373" s="600">
        <v>5.26</v>
      </c>
    </row>
    <row r="2374" spans="1:4" ht="25.5">
      <c r="A2374" s="401">
        <v>4021</v>
      </c>
      <c r="B2374" s="411" t="s">
        <v>9518</v>
      </c>
      <c r="C2374" s="401" t="s">
        <v>1003</v>
      </c>
      <c r="D2374" s="600">
        <v>6.56</v>
      </c>
    </row>
    <row r="2375" spans="1:4" ht="25.5">
      <c r="A2375" s="401">
        <v>4019</v>
      </c>
      <c r="B2375" s="411" t="s">
        <v>9519</v>
      </c>
      <c r="C2375" s="401" t="s">
        <v>1003</v>
      </c>
      <c r="D2375" s="600">
        <v>7.87</v>
      </c>
    </row>
    <row r="2376" spans="1:4" ht="25.5">
      <c r="A2376" s="401">
        <v>4012</v>
      </c>
      <c r="B2376" s="411" t="s">
        <v>9520</v>
      </c>
      <c r="C2376" s="401" t="s">
        <v>1003</v>
      </c>
      <c r="D2376" s="600">
        <v>10.55</v>
      </c>
    </row>
    <row r="2377" spans="1:4" ht="25.5">
      <c r="A2377" s="401">
        <v>4020</v>
      </c>
      <c r="B2377" s="411" t="s">
        <v>9521</v>
      </c>
      <c r="C2377" s="401" t="s">
        <v>1003</v>
      </c>
      <c r="D2377" s="600">
        <v>13.21</v>
      </c>
    </row>
    <row r="2378" spans="1:4" ht="25.5">
      <c r="A2378" s="401">
        <v>4018</v>
      </c>
      <c r="B2378" s="411" t="s">
        <v>9522</v>
      </c>
      <c r="C2378" s="401" t="s">
        <v>1003</v>
      </c>
      <c r="D2378" s="600">
        <v>15.82</v>
      </c>
    </row>
    <row r="2379" spans="1:4" ht="25.5">
      <c r="A2379" s="401">
        <v>36498</v>
      </c>
      <c r="B2379" s="411" t="s">
        <v>9523</v>
      </c>
      <c r="C2379" s="401" t="s">
        <v>998</v>
      </c>
      <c r="D2379" s="600">
        <v>5282.42</v>
      </c>
    </row>
    <row r="2380" spans="1:4">
      <c r="A2380" s="401">
        <v>12872</v>
      </c>
      <c r="B2380" s="411" t="s">
        <v>9524</v>
      </c>
      <c r="C2380" s="401" t="s">
        <v>1001</v>
      </c>
      <c r="D2380" s="600">
        <v>12.79</v>
      </c>
    </row>
    <row r="2381" spans="1:4">
      <c r="A2381" s="401">
        <v>41075</v>
      </c>
      <c r="B2381" s="411" t="s">
        <v>9525</v>
      </c>
      <c r="C2381" s="401" t="s">
        <v>1118</v>
      </c>
      <c r="D2381" s="600">
        <v>2266.4299999999998</v>
      </c>
    </row>
    <row r="2382" spans="1:4">
      <c r="A2382" s="401">
        <v>3315</v>
      </c>
      <c r="B2382" s="411" t="s">
        <v>9526</v>
      </c>
      <c r="C2382" s="401" t="s">
        <v>995</v>
      </c>
      <c r="D2382" s="600">
        <v>0.57999999999999996</v>
      </c>
    </row>
    <row r="2383" spans="1:4">
      <c r="A2383" s="401">
        <v>36870</v>
      </c>
      <c r="B2383" s="411" t="s">
        <v>9527</v>
      </c>
      <c r="C2383" s="401" t="s">
        <v>995</v>
      </c>
      <c r="D2383" s="600">
        <v>0.57999999999999996</v>
      </c>
    </row>
    <row r="2384" spans="1:4" ht="25.5">
      <c r="A2384" s="401">
        <v>5092</v>
      </c>
      <c r="B2384" s="411" t="s">
        <v>9528</v>
      </c>
      <c r="C2384" s="401" t="s">
        <v>1011</v>
      </c>
      <c r="D2384" s="600">
        <v>14.87</v>
      </c>
    </row>
    <row r="2385" spans="1:4">
      <c r="A2385" s="401">
        <v>11462</v>
      </c>
      <c r="B2385" s="411" t="s">
        <v>9529</v>
      </c>
      <c r="C2385" s="401" t="s">
        <v>1011</v>
      </c>
      <c r="D2385" s="600">
        <v>15.21</v>
      </c>
    </row>
    <row r="2386" spans="1:4" ht="25.5">
      <c r="A2386" s="401">
        <v>36529</v>
      </c>
      <c r="B2386" s="411" t="s">
        <v>9530</v>
      </c>
      <c r="C2386" s="401" t="s">
        <v>998</v>
      </c>
      <c r="D2386" s="600">
        <v>33900.67</v>
      </c>
    </row>
    <row r="2387" spans="1:4" ht="25.5">
      <c r="A2387" s="401">
        <v>3318</v>
      </c>
      <c r="B2387" s="411" t="s">
        <v>9531</v>
      </c>
      <c r="C2387" s="401" t="s">
        <v>998</v>
      </c>
      <c r="D2387" s="600">
        <v>26578.13</v>
      </c>
    </row>
    <row r="2388" spans="1:4">
      <c r="A2388" s="401">
        <v>3324</v>
      </c>
      <c r="B2388" s="411" t="s">
        <v>9532</v>
      </c>
      <c r="C2388" s="401" t="s">
        <v>1003</v>
      </c>
      <c r="D2388" s="600">
        <v>5.71</v>
      </c>
    </row>
    <row r="2389" spans="1:4">
      <c r="A2389" s="401">
        <v>3322</v>
      </c>
      <c r="B2389" s="411" t="s">
        <v>9533</v>
      </c>
      <c r="C2389" s="401" t="s">
        <v>1003</v>
      </c>
      <c r="D2389" s="600">
        <v>8</v>
      </c>
    </row>
    <row r="2390" spans="1:4">
      <c r="A2390" s="401">
        <v>5076</v>
      </c>
      <c r="B2390" s="411" t="s">
        <v>9534</v>
      </c>
      <c r="C2390" s="401" t="s">
        <v>995</v>
      </c>
      <c r="D2390" s="600">
        <v>11.29</v>
      </c>
    </row>
    <row r="2391" spans="1:4">
      <c r="A2391" s="401">
        <v>5077</v>
      </c>
      <c r="B2391" s="411" t="s">
        <v>9535</v>
      </c>
      <c r="C2391" s="401" t="s">
        <v>995</v>
      </c>
      <c r="D2391" s="600">
        <v>12.48</v>
      </c>
    </row>
    <row r="2392" spans="1:4" ht="25.5">
      <c r="A2392" s="401">
        <v>11837</v>
      </c>
      <c r="B2392" s="411" t="s">
        <v>9536</v>
      </c>
      <c r="C2392" s="401" t="s">
        <v>998</v>
      </c>
      <c r="D2392" s="600">
        <v>35.56</v>
      </c>
    </row>
    <row r="2393" spans="1:4" ht="25.5">
      <c r="A2393" s="401">
        <v>38055</v>
      </c>
      <c r="B2393" s="411" t="s">
        <v>9537</v>
      </c>
      <c r="C2393" s="401" t="s">
        <v>998</v>
      </c>
      <c r="D2393" s="600">
        <v>3.22</v>
      </c>
    </row>
    <row r="2394" spans="1:4" ht="25.5">
      <c r="A2394" s="401">
        <v>415</v>
      </c>
      <c r="B2394" s="411" t="s">
        <v>9538</v>
      </c>
      <c r="C2394" s="401" t="s">
        <v>998</v>
      </c>
      <c r="D2394" s="600">
        <v>14.58</v>
      </c>
    </row>
    <row r="2395" spans="1:4" ht="25.5">
      <c r="A2395" s="401">
        <v>416</v>
      </c>
      <c r="B2395" s="411" t="s">
        <v>9539</v>
      </c>
      <c r="C2395" s="401" t="s">
        <v>998</v>
      </c>
      <c r="D2395" s="600">
        <v>5.33</v>
      </c>
    </row>
    <row r="2396" spans="1:4" ht="25.5">
      <c r="A2396" s="401">
        <v>425</v>
      </c>
      <c r="B2396" s="411" t="s">
        <v>9540</v>
      </c>
      <c r="C2396" s="401" t="s">
        <v>998</v>
      </c>
      <c r="D2396" s="600">
        <v>3.31</v>
      </c>
    </row>
    <row r="2397" spans="1:4" ht="25.5">
      <c r="A2397" s="401">
        <v>426</v>
      </c>
      <c r="B2397" s="411" t="s">
        <v>9541</v>
      </c>
      <c r="C2397" s="401" t="s">
        <v>998</v>
      </c>
      <c r="D2397" s="600">
        <v>18.22</v>
      </c>
    </row>
    <row r="2398" spans="1:4" ht="25.5">
      <c r="A2398" s="401">
        <v>38056</v>
      </c>
      <c r="B2398" s="411" t="s">
        <v>9542</v>
      </c>
      <c r="C2398" s="401" t="s">
        <v>998</v>
      </c>
      <c r="D2398" s="600">
        <v>17.79</v>
      </c>
    </row>
    <row r="2399" spans="1:4">
      <c r="A2399" s="401">
        <v>1564</v>
      </c>
      <c r="B2399" s="411" t="s">
        <v>9543</v>
      </c>
      <c r="C2399" s="401" t="s">
        <v>998</v>
      </c>
      <c r="D2399" s="600">
        <v>6.79</v>
      </c>
    </row>
    <row r="2400" spans="1:4">
      <c r="A2400" s="401">
        <v>11032</v>
      </c>
      <c r="B2400" s="411" t="s">
        <v>9544</v>
      </c>
      <c r="C2400" s="401" t="s">
        <v>998</v>
      </c>
      <c r="D2400" s="600">
        <v>7.27</v>
      </c>
    </row>
    <row r="2401" spans="1:4" ht="25.5">
      <c r="A2401" s="401">
        <v>36786</v>
      </c>
      <c r="B2401" s="411" t="s">
        <v>9545</v>
      </c>
      <c r="C2401" s="401" t="s">
        <v>97</v>
      </c>
      <c r="D2401" s="600">
        <v>128.38999999999999</v>
      </c>
    </row>
    <row r="2402" spans="1:4">
      <c r="A2402" s="401">
        <v>36785</v>
      </c>
      <c r="B2402" s="411" t="s">
        <v>9546</v>
      </c>
      <c r="C2402" s="401" t="s">
        <v>97</v>
      </c>
      <c r="D2402" s="600">
        <v>111.57</v>
      </c>
    </row>
    <row r="2403" spans="1:4" ht="25.5">
      <c r="A2403" s="401">
        <v>36782</v>
      </c>
      <c r="B2403" s="411" t="s">
        <v>9547</v>
      </c>
      <c r="C2403" s="401" t="s">
        <v>97</v>
      </c>
      <c r="D2403" s="600">
        <v>133.16999999999999</v>
      </c>
    </row>
    <row r="2404" spans="1:4">
      <c r="A2404" s="401">
        <v>25930</v>
      </c>
      <c r="B2404" s="411" t="s">
        <v>9548</v>
      </c>
      <c r="C2404" s="401" t="s">
        <v>97</v>
      </c>
      <c r="D2404" s="600">
        <v>150</v>
      </c>
    </row>
    <row r="2405" spans="1:4" ht="25.5">
      <c r="A2405" s="401">
        <v>4824</v>
      </c>
      <c r="B2405" s="411" t="s">
        <v>9549</v>
      </c>
      <c r="C2405" s="401" t="s">
        <v>995</v>
      </c>
      <c r="D2405" s="600">
        <v>0.43</v>
      </c>
    </row>
    <row r="2406" spans="1:4" ht="25.5">
      <c r="A2406" s="401">
        <v>11795</v>
      </c>
      <c r="B2406" s="411" t="s">
        <v>9550</v>
      </c>
      <c r="C2406" s="401" t="s">
        <v>1003</v>
      </c>
      <c r="D2406" s="600">
        <v>494.33</v>
      </c>
    </row>
    <row r="2407" spans="1:4">
      <c r="A2407" s="401">
        <v>134</v>
      </c>
      <c r="B2407" s="411" t="s">
        <v>9551</v>
      </c>
      <c r="C2407" s="401" t="s">
        <v>995</v>
      </c>
      <c r="D2407" s="600">
        <v>1.18</v>
      </c>
    </row>
    <row r="2408" spans="1:4">
      <c r="A2408" s="401">
        <v>4229</v>
      </c>
      <c r="B2408" s="411" t="s">
        <v>9552</v>
      </c>
      <c r="C2408" s="401" t="s">
        <v>995</v>
      </c>
      <c r="D2408" s="600">
        <v>19.64</v>
      </c>
    </row>
    <row r="2409" spans="1:4">
      <c r="A2409" s="401">
        <v>11244</v>
      </c>
      <c r="B2409" s="411" t="s">
        <v>9553</v>
      </c>
      <c r="C2409" s="401" t="s">
        <v>998</v>
      </c>
      <c r="D2409" s="600">
        <v>179.92</v>
      </c>
    </row>
    <row r="2410" spans="1:4" ht="25.5">
      <c r="A2410" s="401">
        <v>11245</v>
      </c>
      <c r="B2410" s="411" t="s">
        <v>9554</v>
      </c>
      <c r="C2410" s="401" t="s">
        <v>998</v>
      </c>
      <c r="D2410" s="600">
        <v>248.86</v>
      </c>
    </row>
    <row r="2411" spans="1:4">
      <c r="A2411" s="401">
        <v>11235</v>
      </c>
      <c r="B2411" s="411" t="s">
        <v>9555</v>
      </c>
      <c r="C2411" s="401" t="s">
        <v>998</v>
      </c>
      <c r="D2411" s="600">
        <v>137.30000000000001</v>
      </c>
    </row>
    <row r="2412" spans="1:4">
      <c r="A2412" s="401">
        <v>11236</v>
      </c>
      <c r="B2412" s="411" t="s">
        <v>9556</v>
      </c>
      <c r="C2412" s="401" t="s">
        <v>998</v>
      </c>
      <c r="D2412" s="600">
        <v>174.48</v>
      </c>
    </row>
    <row r="2413" spans="1:4">
      <c r="A2413" s="401">
        <v>11731</v>
      </c>
      <c r="B2413" s="411" t="s">
        <v>9557</v>
      </c>
      <c r="C2413" s="401" t="s">
        <v>998</v>
      </c>
      <c r="D2413" s="600">
        <v>4.1900000000000004</v>
      </c>
    </row>
    <row r="2414" spans="1:4">
      <c r="A2414" s="401">
        <v>11732</v>
      </c>
      <c r="B2414" s="411" t="s">
        <v>9558</v>
      </c>
      <c r="C2414" s="401" t="s">
        <v>998</v>
      </c>
      <c r="D2414" s="600">
        <v>21.28</v>
      </c>
    </row>
    <row r="2415" spans="1:4">
      <c r="A2415" s="401">
        <v>36494</v>
      </c>
      <c r="B2415" s="411" t="s">
        <v>9559</v>
      </c>
      <c r="C2415" s="401" t="s">
        <v>998</v>
      </c>
      <c r="D2415" s="600">
        <v>377809.08</v>
      </c>
    </row>
    <row r="2416" spans="1:4">
      <c r="A2416" s="401">
        <v>36493</v>
      </c>
      <c r="B2416" s="411" t="s">
        <v>9560</v>
      </c>
      <c r="C2416" s="401" t="s">
        <v>998</v>
      </c>
      <c r="D2416" s="600">
        <v>428042.35</v>
      </c>
    </row>
    <row r="2417" spans="1:4">
      <c r="A2417" s="401">
        <v>36492</v>
      </c>
      <c r="B2417" s="411" t="s">
        <v>9561</v>
      </c>
      <c r="C2417" s="401" t="s">
        <v>998</v>
      </c>
      <c r="D2417" s="600">
        <v>795140.35</v>
      </c>
    </row>
    <row r="2418" spans="1:4" ht="25.5">
      <c r="A2418" s="401">
        <v>13333</v>
      </c>
      <c r="B2418" s="411" t="s">
        <v>9562</v>
      </c>
      <c r="C2418" s="401" t="s">
        <v>998</v>
      </c>
      <c r="D2418" s="600">
        <v>146282.53</v>
      </c>
    </row>
    <row r="2419" spans="1:4" ht="25.5">
      <c r="A2419" s="401">
        <v>13533</v>
      </c>
      <c r="B2419" s="411" t="s">
        <v>9563</v>
      </c>
      <c r="C2419" s="401" t="s">
        <v>998</v>
      </c>
      <c r="D2419" s="600">
        <v>130760.33</v>
      </c>
    </row>
    <row r="2420" spans="1:4" ht="25.5">
      <c r="A2420" s="401">
        <v>36499</v>
      </c>
      <c r="B2420" s="411" t="s">
        <v>9564</v>
      </c>
      <c r="C2420" s="401" t="s">
        <v>998</v>
      </c>
      <c r="D2420" s="600">
        <v>2852.51</v>
      </c>
    </row>
    <row r="2421" spans="1:4" ht="25.5">
      <c r="A2421" s="401">
        <v>39585</v>
      </c>
      <c r="B2421" s="411" t="s">
        <v>9565</v>
      </c>
      <c r="C2421" s="401" t="s">
        <v>998</v>
      </c>
      <c r="D2421" s="600">
        <v>94454.63</v>
      </c>
    </row>
    <row r="2422" spans="1:4" ht="25.5">
      <c r="A2422" s="401">
        <v>39586</v>
      </c>
      <c r="B2422" s="411" t="s">
        <v>9566</v>
      </c>
      <c r="C2422" s="401" t="s">
        <v>998</v>
      </c>
      <c r="D2422" s="600">
        <v>110788.88</v>
      </c>
    </row>
    <row r="2423" spans="1:4" ht="25.5">
      <c r="A2423" s="401">
        <v>39587</v>
      </c>
      <c r="B2423" s="411" t="s">
        <v>9567</v>
      </c>
      <c r="C2423" s="401" t="s">
        <v>998</v>
      </c>
      <c r="D2423" s="600">
        <v>134935.18</v>
      </c>
    </row>
    <row r="2424" spans="1:4" ht="25.5">
      <c r="A2424" s="401">
        <v>39588</v>
      </c>
      <c r="B2424" s="411" t="s">
        <v>9568</v>
      </c>
      <c r="C2424" s="401" t="s">
        <v>998</v>
      </c>
      <c r="D2424" s="600">
        <v>156240.73000000001</v>
      </c>
    </row>
    <row r="2425" spans="1:4" ht="25.5">
      <c r="A2425" s="401">
        <v>39584</v>
      </c>
      <c r="B2425" s="411" t="s">
        <v>9569</v>
      </c>
      <c r="C2425" s="401" t="s">
        <v>998</v>
      </c>
      <c r="D2425" s="600">
        <v>84114.33</v>
      </c>
    </row>
    <row r="2426" spans="1:4" ht="25.5">
      <c r="A2426" s="401">
        <v>39590</v>
      </c>
      <c r="B2426" s="411" t="s">
        <v>9570</v>
      </c>
      <c r="C2426" s="401" t="s">
        <v>998</v>
      </c>
      <c r="D2426" s="600">
        <v>82097.399999999994</v>
      </c>
    </row>
    <row r="2427" spans="1:4" ht="25.5">
      <c r="A2427" s="401">
        <v>39592</v>
      </c>
      <c r="B2427" s="411" t="s">
        <v>9571</v>
      </c>
      <c r="C2427" s="401" t="s">
        <v>998</v>
      </c>
      <c r="D2427" s="600">
        <v>117975.95</v>
      </c>
    </row>
    <row r="2428" spans="1:4" ht="25.5">
      <c r="A2428" s="401">
        <v>39593</v>
      </c>
      <c r="B2428" s="411" t="s">
        <v>9572</v>
      </c>
      <c r="C2428" s="401" t="s">
        <v>998</v>
      </c>
      <c r="D2428" s="600">
        <v>134935.18</v>
      </c>
    </row>
    <row r="2429" spans="1:4" ht="25.5">
      <c r="A2429" s="401">
        <v>14254</v>
      </c>
      <c r="B2429" s="411" t="s">
        <v>9573</v>
      </c>
      <c r="C2429" s="401" t="s">
        <v>998</v>
      </c>
      <c r="D2429" s="600">
        <v>76700</v>
      </c>
    </row>
    <row r="2430" spans="1:4">
      <c r="A2430" s="401">
        <v>25987</v>
      </c>
      <c r="B2430" s="411" t="s">
        <v>9574</v>
      </c>
      <c r="C2430" s="401" t="s">
        <v>998</v>
      </c>
      <c r="D2430" s="600">
        <v>64050.62</v>
      </c>
    </row>
    <row r="2431" spans="1:4">
      <c r="A2431" s="401">
        <v>25019</v>
      </c>
      <c r="B2431" s="411" t="s">
        <v>9575</v>
      </c>
      <c r="C2431" s="401" t="s">
        <v>998</v>
      </c>
      <c r="D2431" s="600">
        <v>109789.92</v>
      </c>
    </row>
    <row r="2432" spans="1:4">
      <c r="A2432" s="401">
        <v>36501</v>
      </c>
      <c r="B2432" s="411" t="s">
        <v>9576</v>
      </c>
      <c r="C2432" s="401" t="s">
        <v>998</v>
      </c>
      <c r="D2432" s="600">
        <v>97750.86</v>
      </c>
    </row>
    <row r="2433" spans="1:4">
      <c r="A2433" s="401">
        <v>25986</v>
      </c>
      <c r="B2433" s="411" t="s">
        <v>9577</v>
      </c>
      <c r="C2433" s="401" t="s">
        <v>998</v>
      </c>
      <c r="D2433" s="600">
        <v>117515.26</v>
      </c>
    </row>
    <row r="2434" spans="1:4">
      <c r="A2434" s="401">
        <v>36500</v>
      </c>
      <c r="B2434" s="411" t="s">
        <v>9578</v>
      </c>
      <c r="C2434" s="401" t="s">
        <v>998</v>
      </c>
      <c r="D2434" s="600">
        <v>69077.86</v>
      </c>
    </row>
    <row r="2435" spans="1:4" ht="25.5">
      <c r="A2435" s="401">
        <v>20017</v>
      </c>
      <c r="B2435" s="411" t="s">
        <v>9579</v>
      </c>
      <c r="C2435" s="401" t="s">
        <v>1002</v>
      </c>
      <c r="D2435" s="600">
        <v>3.41</v>
      </c>
    </row>
    <row r="2436" spans="1:4" ht="25.5">
      <c r="A2436" s="401">
        <v>20007</v>
      </c>
      <c r="B2436" s="411" t="s">
        <v>9580</v>
      </c>
      <c r="C2436" s="401" t="s">
        <v>1002</v>
      </c>
      <c r="D2436" s="600">
        <v>2.61</v>
      </c>
    </row>
    <row r="2437" spans="1:4" ht="25.5">
      <c r="A2437" s="401">
        <v>39836</v>
      </c>
      <c r="B2437" s="411" t="s">
        <v>9581</v>
      </c>
      <c r="C2437" s="401" t="s">
        <v>1000</v>
      </c>
      <c r="D2437" s="600">
        <v>145.59</v>
      </c>
    </row>
    <row r="2438" spans="1:4">
      <c r="A2438" s="401">
        <v>39830</v>
      </c>
      <c r="B2438" s="411" t="s">
        <v>9582</v>
      </c>
      <c r="C2438" s="401" t="s">
        <v>1000</v>
      </c>
      <c r="D2438" s="600">
        <v>166.04</v>
      </c>
    </row>
    <row r="2439" spans="1:4">
      <c r="A2439" s="401">
        <v>39831</v>
      </c>
      <c r="B2439" s="411" t="s">
        <v>9583</v>
      </c>
      <c r="C2439" s="401" t="s">
        <v>1000</v>
      </c>
      <c r="D2439" s="600">
        <v>165.69</v>
      </c>
    </row>
    <row r="2440" spans="1:4" ht="25.5">
      <c r="A2440" s="401">
        <v>36888</v>
      </c>
      <c r="B2440" s="411" t="s">
        <v>9584</v>
      </c>
      <c r="C2440" s="401" t="s">
        <v>1002</v>
      </c>
      <c r="D2440" s="600">
        <v>7.6</v>
      </c>
    </row>
    <row r="2441" spans="1:4" ht="25.5">
      <c r="A2441" s="401">
        <v>40527</v>
      </c>
      <c r="B2441" s="411" t="s">
        <v>9585</v>
      </c>
      <c r="C2441" s="401" t="s">
        <v>998</v>
      </c>
      <c r="D2441" s="600">
        <v>2200.79</v>
      </c>
    </row>
    <row r="2442" spans="1:4" ht="25.5">
      <c r="A2442" s="401">
        <v>36497</v>
      </c>
      <c r="B2442" s="411" t="s">
        <v>9586</v>
      </c>
      <c r="C2442" s="401" t="s">
        <v>998</v>
      </c>
      <c r="D2442" s="600">
        <v>2512.44</v>
      </c>
    </row>
    <row r="2443" spans="1:4" ht="25.5">
      <c r="A2443" s="401">
        <v>36487</v>
      </c>
      <c r="B2443" s="411" t="s">
        <v>9587</v>
      </c>
      <c r="C2443" s="401" t="s">
        <v>998</v>
      </c>
      <c r="D2443" s="600">
        <v>4374.55</v>
      </c>
    </row>
    <row r="2444" spans="1:4" ht="25.5">
      <c r="A2444" s="401">
        <v>25952</v>
      </c>
      <c r="B2444" s="411" t="s">
        <v>9588</v>
      </c>
      <c r="C2444" s="401" t="s">
        <v>998</v>
      </c>
      <c r="D2444" s="600">
        <v>660657.27</v>
      </c>
    </row>
    <row r="2445" spans="1:4" ht="25.5">
      <c r="A2445" s="401">
        <v>25954</v>
      </c>
      <c r="B2445" s="411" t="s">
        <v>9589</v>
      </c>
      <c r="C2445" s="401" t="s">
        <v>998</v>
      </c>
      <c r="D2445" s="600">
        <v>1270494.75</v>
      </c>
    </row>
    <row r="2446" spans="1:4" ht="25.5">
      <c r="A2446" s="401">
        <v>25953</v>
      </c>
      <c r="B2446" s="411" t="s">
        <v>9590</v>
      </c>
      <c r="C2446" s="401" t="s">
        <v>998</v>
      </c>
      <c r="D2446" s="600">
        <v>2159841.08</v>
      </c>
    </row>
    <row r="2447" spans="1:4" ht="38.25">
      <c r="A2447" s="401">
        <v>37776</v>
      </c>
      <c r="B2447" s="411" t="s">
        <v>9591</v>
      </c>
      <c r="C2447" s="401" t="s">
        <v>998</v>
      </c>
      <c r="D2447" s="600">
        <v>132370.65</v>
      </c>
    </row>
    <row r="2448" spans="1:4" ht="38.25">
      <c r="A2448" s="401">
        <v>37775</v>
      </c>
      <c r="B2448" s="411" t="s">
        <v>9592</v>
      </c>
      <c r="C2448" s="401" t="s">
        <v>998</v>
      </c>
      <c r="D2448" s="600">
        <v>208493.79</v>
      </c>
    </row>
    <row r="2449" spans="1:4" ht="38.25">
      <c r="A2449" s="401">
        <v>36491</v>
      </c>
      <c r="B2449" s="411" t="s">
        <v>9593</v>
      </c>
      <c r="C2449" s="401" t="s">
        <v>998</v>
      </c>
      <c r="D2449" s="600">
        <v>772114.39</v>
      </c>
    </row>
    <row r="2450" spans="1:4" ht="38.25">
      <c r="A2450" s="401">
        <v>10712</v>
      </c>
      <c r="B2450" s="411" t="s">
        <v>9594</v>
      </c>
      <c r="C2450" s="401" t="s">
        <v>998</v>
      </c>
      <c r="D2450" s="600">
        <v>52123.44</v>
      </c>
    </row>
    <row r="2451" spans="1:4" ht="38.25">
      <c r="A2451" s="401">
        <v>3363</v>
      </c>
      <c r="B2451" s="411" t="s">
        <v>9595</v>
      </c>
      <c r="C2451" s="401" t="s">
        <v>998</v>
      </c>
      <c r="D2451" s="600">
        <v>73316.5</v>
      </c>
    </row>
    <row r="2452" spans="1:4" ht="38.25">
      <c r="A2452" s="401">
        <v>3365</v>
      </c>
      <c r="B2452" s="411" t="s">
        <v>9596</v>
      </c>
      <c r="C2452" s="401" t="s">
        <v>998</v>
      </c>
      <c r="D2452" s="600">
        <v>171377.31</v>
      </c>
    </row>
    <row r="2453" spans="1:4">
      <c r="A2453" s="401">
        <v>7569</v>
      </c>
      <c r="B2453" s="411" t="s">
        <v>9597</v>
      </c>
      <c r="C2453" s="401" t="s">
        <v>998</v>
      </c>
      <c r="D2453" s="600">
        <v>42.25</v>
      </c>
    </row>
    <row r="2454" spans="1:4">
      <c r="A2454" s="401">
        <v>34349</v>
      </c>
      <c r="B2454" s="411" t="s">
        <v>9598</v>
      </c>
      <c r="C2454" s="401" t="s">
        <v>998</v>
      </c>
      <c r="D2454" s="600">
        <v>17.43</v>
      </c>
    </row>
    <row r="2455" spans="1:4" ht="25.5">
      <c r="A2455" s="401">
        <v>11991</v>
      </c>
      <c r="B2455" s="411" t="s">
        <v>9599</v>
      </c>
      <c r="C2455" s="401" t="s">
        <v>998</v>
      </c>
      <c r="D2455" s="600">
        <v>40.5</v>
      </c>
    </row>
    <row r="2456" spans="1:4">
      <c r="A2456" s="401">
        <v>20062</v>
      </c>
      <c r="B2456" s="411" t="s">
        <v>9600</v>
      </c>
      <c r="C2456" s="401" t="s">
        <v>998</v>
      </c>
      <c r="D2456" s="600">
        <v>11.43</v>
      </c>
    </row>
    <row r="2457" spans="1:4" ht="25.5">
      <c r="A2457" s="401">
        <v>11029</v>
      </c>
      <c r="B2457" s="411" t="s">
        <v>9601</v>
      </c>
      <c r="C2457" s="401" t="s">
        <v>1006</v>
      </c>
      <c r="D2457" s="600">
        <v>1.1100000000000001</v>
      </c>
    </row>
    <row r="2458" spans="1:4" ht="25.5">
      <c r="A2458" s="401">
        <v>4316</v>
      </c>
      <c r="B2458" s="411" t="s">
        <v>9602</v>
      </c>
      <c r="C2458" s="401" t="s">
        <v>998</v>
      </c>
      <c r="D2458" s="600">
        <v>1.1200000000000001</v>
      </c>
    </row>
    <row r="2459" spans="1:4" ht="25.5">
      <c r="A2459" s="401">
        <v>4313</v>
      </c>
      <c r="B2459" s="411" t="s">
        <v>9603</v>
      </c>
      <c r="C2459" s="401" t="s">
        <v>1006</v>
      </c>
      <c r="D2459" s="600">
        <v>1.61</v>
      </c>
    </row>
    <row r="2460" spans="1:4" ht="25.5">
      <c r="A2460" s="401">
        <v>4317</v>
      </c>
      <c r="B2460" s="411" t="s">
        <v>9604</v>
      </c>
      <c r="C2460" s="401" t="s">
        <v>998</v>
      </c>
      <c r="D2460" s="600">
        <v>1.84</v>
      </c>
    </row>
    <row r="2461" spans="1:4" ht="25.5">
      <c r="A2461" s="401">
        <v>4314</v>
      </c>
      <c r="B2461" s="411" t="s">
        <v>9605</v>
      </c>
      <c r="C2461" s="401" t="s">
        <v>1006</v>
      </c>
      <c r="D2461" s="600">
        <v>2.15</v>
      </c>
    </row>
    <row r="2462" spans="1:4">
      <c r="A2462" s="401">
        <v>10561</v>
      </c>
      <c r="B2462" s="411" t="s">
        <v>9606</v>
      </c>
      <c r="C2462" s="401" t="s">
        <v>995</v>
      </c>
      <c r="D2462" s="600">
        <v>0.46</v>
      </c>
    </row>
    <row r="2463" spans="1:4" ht="25.5">
      <c r="A2463" s="401">
        <v>10921</v>
      </c>
      <c r="B2463" s="411" t="s">
        <v>9607</v>
      </c>
      <c r="C2463" s="401" t="s">
        <v>998</v>
      </c>
      <c r="D2463" s="600">
        <v>3306.55</v>
      </c>
    </row>
    <row r="2464" spans="1:4" ht="25.5">
      <c r="A2464" s="401">
        <v>10922</v>
      </c>
      <c r="B2464" s="411" t="s">
        <v>9608</v>
      </c>
      <c r="C2464" s="401" t="s">
        <v>998</v>
      </c>
      <c r="D2464" s="600">
        <v>2994.99</v>
      </c>
    </row>
    <row r="2465" spans="1:4">
      <c r="A2465" s="401">
        <v>10923</v>
      </c>
      <c r="B2465" s="411" t="s">
        <v>9609</v>
      </c>
      <c r="C2465" s="401" t="s">
        <v>998</v>
      </c>
      <c r="D2465" s="600">
        <v>1770.16</v>
      </c>
    </row>
    <row r="2466" spans="1:4">
      <c r="A2466" s="401">
        <v>10924</v>
      </c>
      <c r="B2466" s="411" t="s">
        <v>9610</v>
      </c>
      <c r="C2466" s="401" t="s">
        <v>998</v>
      </c>
      <c r="D2466" s="600">
        <v>1864.33</v>
      </c>
    </row>
    <row r="2467" spans="1:4" ht="25.5">
      <c r="A2467" s="401">
        <v>37772</v>
      </c>
      <c r="B2467" s="411" t="s">
        <v>9611</v>
      </c>
      <c r="C2467" s="401" t="s">
        <v>998</v>
      </c>
      <c r="D2467" s="600">
        <v>114526.71</v>
      </c>
    </row>
    <row r="2468" spans="1:4" ht="38.25">
      <c r="A2468" s="401">
        <v>37771</v>
      </c>
      <c r="B2468" s="411" t="s">
        <v>9612</v>
      </c>
      <c r="C2468" s="401" t="s">
        <v>998</v>
      </c>
      <c r="D2468" s="600">
        <v>121838.18</v>
      </c>
    </row>
    <row r="2469" spans="1:4">
      <c r="A2469" s="401">
        <v>12770</v>
      </c>
      <c r="B2469" s="411" t="s">
        <v>9613</v>
      </c>
      <c r="C2469" s="401" t="s">
        <v>998</v>
      </c>
      <c r="D2469" s="600">
        <v>422.86</v>
      </c>
    </row>
    <row r="2470" spans="1:4">
      <c r="A2470" s="401">
        <v>12772</v>
      </c>
      <c r="B2470" s="411" t="s">
        <v>9614</v>
      </c>
      <c r="C2470" s="401" t="s">
        <v>998</v>
      </c>
      <c r="D2470" s="600">
        <v>702.79</v>
      </c>
    </row>
    <row r="2471" spans="1:4">
      <c r="A2471" s="401">
        <v>12768</v>
      </c>
      <c r="B2471" s="411" t="s">
        <v>9615</v>
      </c>
      <c r="C2471" s="401" t="s">
        <v>998</v>
      </c>
      <c r="D2471" s="600">
        <v>988.67</v>
      </c>
    </row>
    <row r="2472" spans="1:4">
      <c r="A2472" s="401">
        <v>12775</v>
      </c>
      <c r="B2472" s="411" t="s">
        <v>9616</v>
      </c>
      <c r="C2472" s="401" t="s">
        <v>998</v>
      </c>
      <c r="D2472" s="600">
        <v>309.7</v>
      </c>
    </row>
    <row r="2473" spans="1:4">
      <c r="A2473" s="401">
        <v>12769</v>
      </c>
      <c r="B2473" s="411" t="s">
        <v>9617</v>
      </c>
      <c r="C2473" s="401" t="s">
        <v>998</v>
      </c>
      <c r="D2473" s="600">
        <v>81</v>
      </c>
    </row>
    <row r="2474" spans="1:4">
      <c r="A2474" s="401">
        <v>12773</v>
      </c>
      <c r="B2474" s="411" t="s">
        <v>9618</v>
      </c>
      <c r="C2474" s="401" t="s">
        <v>998</v>
      </c>
      <c r="D2474" s="600">
        <v>86.95</v>
      </c>
    </row>
    <row r="2475" spans="1:4">
      <c r="A2475" s="401">
        <v>12774</v>
      </c>
      <c r="B2475" s="411" t="s">
        <v>9619</v>
      </c>
      <c r="C2475" s="401" t="s">
        <v>998</v>
      </c>
      <c r="D2475" s="600">
        <v>107.2</v>
      </c>
    </row>
    <row r="2476" spans="1:4">
      <c r="A2476" s="401">
        <v>12776</v>
      </c>
      <c r="B2476" s="411" t="s">
        <v>9620</v>
      </c>
      <c r="C2476" s="401" t="s">
        <v>998</v>
      </c>
      <c r="D2476" s="600">
        <v>1596.17</v>
      </c>
    </row>
    <row r="2477" spans="1:4">
      <c r="A2477" s="401">
        <v>12777</v>
      </c>
      <c r="B2477" s="411" t="s">
        <v>9621</v>
      </c>
      <c r="C2477" s="401" t="s">
        <v>998</v>
      </c>
      <c r="D2477" s="600">
        <v>2084.5500000000002</v>
      </c>
    </row>
    <row r="2478" spans="1:4" ht="25.5">
      <c r="A2478" s="401">
        <v>3391</v>
      </c>
      <c r="B2478" s="411" t="s">
        <v>9622</v>
      </c>
      <c r="C2478" s="401" t="s">
        <v>998</v>
      </c>
      <c r="D2478" s="600">
        <v>44.87</v>
      </c>
    </row>
    <row r="2479" spans="1:4" ht="25.5">
      <c r="A2479" s="401">
        <v>3389</v>
      </c>
      <c r="B2479" s="411" t="s">
        <v>9623</v>
      </c>
      <c r="C2479" s="401" t="s">
        <v>998</v>
      </c>
      <c r="D2479" s="600">
        <v>23.28</v>
      </c>
    </row>
    <row r="2480" spans="1:4" ht="25.5">
      <c r="A2480" s="401">
        <v>3390</v>
      </c>
      <c r="B2480" s="411" t="s">
        <v>9624</v>
      </c>
      <c r="C2480" s="401" t="s">
        <v>998</v>
      </c>
      <c r="D2480" s="600">
        <v>26.2</v>
      </c>
    </row>
    <row r="2481" spans="1:4">
      <c r="A2481" s="401">
        <v>12873</v>
      </c>
      <c r="B2481" s="411" t="s">
        <v>9625</v>
      </c>
      <c r="C2481" s="401" t="s">
        <v>1001</v>
      </c>
      <c r="D2481" s="600">
        <v>13.54</v>
      </c>
    </row>
    <row r="2482" spans="1:4">
      <c r="A2482" s="401">
        <v>41076</v>
      </c>
      <c r="B2482" s="411" t="s">
        <v>9626</v>
      </c>
      <c r="C2482" s="401" t="s">
        <v>1118</v>
      </c>
      <c r="D2482" s="600">
        <v>2401.9</v>
      </c>
    </row>
    <row r="2483" spans="1:4">
      <c r="A2483" s="401">
        <v>140</v>
      </c>
      <c r="B2483" s="411" t="s">
        <v>9627</v>
      </c>
      <c r="C2483" s="401" t="s">
        <v>995</v>
      </c>
      <c r="D2483" s="600">
        <v>13.25</v>
      </c>
    </row>
    <row r="2484" spans="1:4">
      <c r="A2484" s="401">
        <v>151</v>
      </c>
      <c r="B2484" s="411" t="s">
        <v>9628</v>
      </c>
      <c r="C2484" s="401" t="s">
        <v>997</v>
      </c>
      <c r="D2484" s="600">
        <v>19.55</v>
      </c>
    </row>
    <row r="2485" spans="1:4">
      <c r="A2485" s="401">
        <v>7340</v>
      </c>
      <c r="B2485" s="411" t="s">
        <v>9629</v>
      </c>
      <c r="C2485" s="401" t="s">
        <v>997</v>
      </c>
      <c r="D2485" s="600">
        <v>14.47</v>
      </c>
    </row>
    <row r="2486" spans="1:4">
      <c r="A2486" s="401">
        <v>2701</v>
      </c>
      <c r="B2486" s="411" t="s">
        <v>9630</v>
      </c>
      <c r="C2486" s="401" t="s">
        <v>1001</v>
      </c>
      <c r="D2486" s="600">
        <v>9.49</v>
      </c>
    </row>
    <row r="2487" spans="1:4">
      <c r="A2487" s="401">
        <v>40929</v>
      </c>
      <c r="B2487" s="411" t="s">
        <v>9631</v>
      </c>
      <c r="C2487" s="401" t="s">
        <v>1118</v>
      </c>
      <c r="D2487" s="600">
        <v>1683.68</v>
      </c>
    </row>
    <row r="2488" spans="1:4">
      <c r="A2488" s="401">
        <v>38114</v>
      </c>
      <c r="B2488" s="411" t="s">
        <v>9632</v>
      </c>
      <c r="C2488" s="401" t="s">
        <v>998</v>
      </c>
      <c r="D2488" s="600">
        <v>10.67</v>
      </c>
    </row>
    <row r="2489" spans="1:4" ht="25.5">
      <c r="A2489" s="401">
        <v>38064</v>
      </c>
      <c r="B2489" s="411" t="s">
        <v>9633</v>
      </c>
      <c r="C2489" s="401" t="s">
        <v>998</v>
      </c>
      <c r="D2489" s="600">
        <v>11.93</v>
      </c>
    </row>
    <row r="2490" spans="1:4">
      <c r="A2490" s="401">
        <v>38115</v>
      </c>
      <c r="B2490" s="411" t="s">
        <v>9634</v>
      </c>
      <c r="C2490" s="401" t="s">
        <v>998</v>
      </c>
      <c r="D2490" s="600">
        <v>11.4</v>
      </c>
    </row>
    <row r="2491" spans="1:4" ht="25.5">
      <c r="A2491" s="401">
        <v>38065</v>
      </c>
      <c r="B2491" s="411" t="s">
        <v>9635</v>
      </c>
      <c r="C2491" s="401" t="s">
        <v>998</v>
      </c>
      <c r="D2491" s="600">
        <v>16.93</v>
      </c>
    </row>
    <row r="2492" spans="1:4" ht="25.5">
      <c r="A2492" s="401">
        <v>38078</v>
      </c>
      <c r="B2492" s="411" t="s">
        <v>9636</v>
      </c>
      <c r="C2492" s="401" t="s">
        <v>998</v>
      </c>
      <c r="D2492" s="600">
        <v>9.8800000000000008</v>
      </c>
    </row>
    <row r="2493" spans="1:4">
      <c r="A2493" s="401">
        <v>38113</v>
      </c>
      <c r="B2493" s="411" t="s">
        <v>9637</v>
      </c>
      <c r="C2493" s="401" t="s">
        <v>998</v>
      </c>
      <c r="D2493" s="600">
        <v>5.36</v>
      </c>
    </row>
    <row r="2494" spans="1:4" ht="25.5">
      <c r="A2494" s="401">
        <v>38063</v>
      </c>
      <c r="B2494" s="411" t="s">
        <v>9638</v>
      </c>
      <c r="C2494" s="401" t="s">
        <v>998</v>
      </c>
      <c r="D2494" s="600">
        <v>5.76</v>
      </c>
    </row>
    <row r="2495" spans="1:4" ht="25.5">
      <c r="A2495" s="401">
        <v>38080</v>
      </c>
      <c r="B2495" s="411" t="s">
        <v>9639</v>
      </c>
      <c r="C2495" s="401" t="s">
        <v>998</v>
      </c>
      <c r="D2495" s="600">
        <v>17.16</v>
      </c>
    </row>
    <row r="2496" spans="1:4" ht="25.5">
      <c r="A2496" s="401">
        <v>38069</v>
      </c>
      <c r="B2496" s="411" t="s">
        <v>9640</v>
      </c>
      <c r="C2496" s="401" t="s">
        <v>998</v>
      </c>
      <c r="D2496" s="600">
        <v>9.3800000000000008</v>
      </c>
    </row>
    <row r="2497" spans="1:4" ht="25.5">
      <c r="A2497" s="401">
        <v>38077</v>
      </c>
      <c r="B2497" s="411" t="s">
        <v>9641</v>
      </c>
      <c r="C2497" s="401" t="s">
        <v>998</v>
      </c>
      <c r="D2497" s="600">
        <v>9.17</v>
      </c>
    </row>
    <row r="2498" spans="1:4" ht="25.5">
      <c r="A2498" s="401">
        <v>38073</v>
      </c>
      <c r="B2498" s="411" t="s">
        <v>9642</v>
      </c>
      <c r="C2498" s="401" t="s">
        <v>998</v>
      </c>
      <c r="D2498" s="600">
        <v>13.97</v>
      </c>
    </row>
    <row r="2499" spans="1:4">
      <c r="A2499" s="401">
        <v>38112</v>
      </c>
      <c r="B2499" s="411" t="s">
        <v>9643</v>
      </c>
      <c r="C2499" s="401" t="s">
        <v>998</v>
      </c>
      <c r="D2499" s="600">
        <v>4.12</v>
      </c>
    </row>
    <row r="2500" spans="1:4" ht="25.5">
      <c r="A2500" s="401">
        <v>38062</v>
      </c>
      <c r="B2500" s="411" t="s">
        <v>9644</v>
      </c>
      <c r="C2500" s="401" t="s">
        <v>998</v>
      </c>
      <c r="D2500" s="600">
        <v>4.2300000000000004</v>
      </c>
    </row>
    <row r="2501" spans="1:4" ht="25.5">
      <c r="A2501" s="401">
        <v>12128</v>
      </c>
      <c r="B2501" s="411" t="s">
        <v>9645</v>
      </c>
      <c r="C2501" s="401" t="s">
        <v>998</v>
      </c>
      <c r="D2501" s="600">
        <v>5.65</v>
      </c>
    </row>
    <row r="2502" spans="1:4" ht="25.5">
      <c r="A2502" s="401">
        <v>12129</v>
      </c>
      <c r="B2502" s="411" t="s">
        <v>9646</v>
      </c>
      <c r="C2502" s="401" t="s">
        <v>998</v>
      </c>
      <c r="D2502" s="600">
        <v>7.47</v>
      </c>
    </row>
    <row r="2503" spans="1:4" ht="25.5">
      <c r="A2503" s="401">
        <v>38081</v>
      </c>
      <c r="B2503" s="411" t="s">
        <v>9647</v>
      </c>
      <c r="C2503" s="401" t="s">
        <v>998</v>
      </c>
      <c r="D2503" s="600">
        <v>14.55</v>
      </c>
    </row>
    <row r="2504" spans="1:4" ht="25.5">
      <c r="A2504" s="401">
        <v>38070</v>
      </c>
      <c r="B2504" s="411" t="s">
        <v>9648</v>
      </c>
      <c r="C2504" s="401" t="s">
        <v>998</v>
      </c>
      <c r="D2504" s="600">
        <v>10.029999999999999</v>
      </c>
    </row>
    <row r="2505" spans="1:4" ht="25.5">
      <c r="A2505" s="401">
        <v>38074</v>
      </c>
      <c r="B2505" s="411" t="s">
        <v>9649</v>
      </c>
      <c r="C2505" s="401" t="s">
        <v>998</v>
      </c>
      <c r="D2505" s="600">
        <v>15.25</v>
      </c>
    </row>
    <row r="2506" spans="1:4" ht="25.5">
      <c r="A2506" s="401">
        <v>38079</v>
      </c>
      <c r="B2506" s="411" t="s">
        <v>9650</v>
      </c>
      <c r="C2506" s="401" t="s">
        <v>998</v>
      </c>
      <c r="D2506" s="600">
        <v>13.09</v>
      </c>
    </row>
    <row r="2507" spans="1:4" ht="25.5">
      <c r="A2507" s="401">
        <v>38072</v>
      </c>
      <c r="B2507" s="411" t="s">
        <v>9651</v>
      </c>
      <c r="C2507" s="401" t="s">
        <v>998</v>
      </c>
      <c r="D2507" s="600">
        <v>12.58</v>
      </c>
    </row>
    <row r="2508" spans="1:4" ht="25.5">
      <c r="A2508" s="401">
        <v>38068</v>
      </c>
      <c r="B2508" s="411" t="s">
        <v>9652</v>
      </c>
      <c r="C2508" s="401" t="s">
        <v>998</v>
      </c>
      <c r="D2508" s="600">
        <v>8.68</v>
      </c>
    </row>
    <row r="2509" spans="1:4" ht="25.5">
      <c r="A2509" s="401">
        <v>38071</v>
      </c>
      <c r="B2509" s="411" t="s">
        <v>9653</v>
      </c>
      <c r="C2509" s="401" t="s">
        <v>998</v>
      </c>
      <c r="D2509" s="600">
        <v>10.38</v>
      </c>
    </row>
    <row r="2510" spans="1:4" ht="25.5">
      <c r="A2510" s="401">
        <v>38412</v>
      </c>
      <c r="B2510" s="411" t="s">
        <v>9654</v>
      </c>
      <c r="C2510" s="401" t="s">
        <v>998</v>
      </c>
      <c r="D2510" s="600">
        <v>1625</v>
      </c>
    </row>
    <row r="2511" spans="1:4" ht="25.5">
      <c r="A2511" s="401">
        <v>3405</v>
      </c>
      <c r="B2511" s="411" t="s">
        <v>9655</v>
      </c>
      <c r="C2511" s="401" t="s">
        <v>998</v>
      </c>
      <c r="D2511" s="600">
        <v>64.09</v>
      </c>
    </row>
    <row r="2512" spans="1:4">
      <c r="A2512" s="401">
        <v>3394</v>
      </c>
      <c r="B2512" s="411" t="s">
        <v>9656</v>
      </c>
      <c r="C2512" s="401" t="s">
        <v>998</v>
      </c>
      <c r="D2512" s="600">
        <v>338.35</v>
      </c>
    </row>
    <row r="2513" spans="1:4">
      <c r="A2513" s="401">
        <v>3393</v>
      </c>
      <c r="B2513" s="411" t="s">
        <v>9657</v>
      </c>
      <c r="C2513" s="401" t="s">
        <v>998</v>
      </c>
      <c r="D2513" s="600">
        <v>576.08000000000004</v>
      </c>
    </row>
    <row r="2514" spans="1:4">
      <c r="A2514" s="401">
        <v>3406</v>
      </c>
      <c r="B2514" s="411" t="s">
        <v>9658</v>
      </c>
      <c r="C2514" s="401" t="s">
        <v>998</v>
      </c>
      <c r="D2514" s="600">
        <v>19.62</v>
      </c>
    </row>
    <row r="2515" spans="1:4">
      <c r="A2515" s="401">
        <v>3395</v>
      </c>
      <c r="B2515" s="411" t="s">
        <v>9659</v>
      </c>
      <c r="C2515" s="401" t="s">
        <v>998</v>
      </c>
      <c r="D2515" s="600">
        <v>82.76</v>
      </c>
    </row>
    <row r="2516" spans="1:4" ht="25.5">
      <c r="A2516" s="401">
        <v>3398</v>
      </c>
      <c r="B2516" s="411" t="s">
        <v>7147</v>
      </c>
      <c r="C2516" s="401" t="s">
        <v>998</v>
      </c>
      <c r="D2516" s="600">
        <v>3.93</v>
      </c>
    </row>
    <row r="2517" spans="1:4" ht="25.5">
      <c r="A2517" s="401">
        <v>34379</v>
      </c>
      <c r="B2517" s="411" t="s">
        <v>9660</v>
      </c>
      <c r="C2517" s="401" t="s">
        <v>998</v>
      </c>
      <c r="D2517" s="600">
        <v>231.81</v>
      </c>
    </row>
    <row r="2518" spans="1:4" ht="25.5">
      <c r="A2518" s="401">
        <v>34378</v>
      </c>
      <c r="B2518" s="411" t="s">
        <v>9661</v>
      </c>
      <c r="C2518" s="401" t="s">
        <v>998</v>
      </c>
      <c r="D2518" s="600">
        <v>186.71</v>
      </c>
    </row>
    <row r="2519" spans="1:4" ht="25.5">
      <c r="A2519" s="401">
        <v>34377</v>
      </c>
      <c r="B2519" s="411" t="s">
        <v>9662</v>
      </c>
      <c r="C2519" s="401" t="s">
        <v>998</v>
      </c>
      <c r="D2519" s="600">
        <v>172.19</v>
      </c>
    </row>
    <row r="2520" spans="1:4" ht="25.5">
      <c r="A2520" s="401">
        <v>581</v>
      </c>
      <c r="B2520" s="411" t="s">
        <v>9663</v>
      </c>
      <c r="C2520" s="401" t="s">
        <v>1003</v>
      </c>
      <c r="D2520" s="600">
        <v>327.04000000000002</v>
      </c>
    </row>
    <row r="2521" spans="1:4" ht="38.25">
      <c r="A2521" s="401">
        <v>40662</v>
      </c>
      <c r="B2521" s="411" t="s">
        <v>9664</v>
      </c>
      <c r="C2521" s="401" t="s">
        <v>998</v>
      </c>
      <c r="D2521" s="600">
        <v>201.19</v>
      </c>
    </row>
    <row r="2522" spans="1:4" ht="38.25">
      <c r="A2522" s="401">
        <v>3437</v>
      </c>
      <c r="B2522" s="411" t="s">
        <v>9665</v>
      </c>
      <c r="C2522" s="401" t="s">
        <v>1003</v>
      </c>
      <c r="D2522" s="600">
        <v>558.88</v>
      </c>
    </row>
    <row r="2523" spans="1:4">
      <c r="A2523" s="401">
        <v>11190</v>
      </c>
      <c r="B2523" s="411" t="s">
        <v>9666</v>
      </c>
      <c r="C2523" s="401" t="s">
        <v>998</v>
      </c>
      <c r="D2523" s="600">
        <v>162.6</v>
      </c>
    </row>
    <row r="2524" spans="1:4" ht="51">
      <c r="A2524" s="401">
        <v>3428</v>
      </c>
      <c r="B2524" s="411" t="s">
        <v>9667</v>
      </c>
      <c r="C2524" s="401" t="s">
        <v>1003</v>
      </c>
      <c r="D2524" s="600">
        <v>829</v>
      </c>
    </row>
    <row r="2525" spans="1:4" ht="51">
      <c r="A2525" s="401">
        <v>3429</v>
      </c>
      <c r="B2525" s="411" t="s">
        <v>9668</v>
      </c>
      <c r="C2525" s="401" t="s">
        <v>1003</v>
      </c>
      <c r="D2525" s="600">
        <v>473.64</v>
      </c>
    </row>
    <row r="2526" spans="1:4" ht="38.25">
      <c r="A2526" s="401">
        <v>34371</v>
      </c>
      <c r="B2526" s="411" t="s">
        <v>9669</v>
      </c>
      <c r="C2526" s="401" t="s">
        <v>998</v>
      </c>
      <c r="D2526" s="600">
        <v>630.25</v>
      </c>
    </row>
    <row r="2527" spans="1:4" ht="38.25">
      <c r="A2527" s="401">
        <v>34370</v>
      </c>
      <c r="B2527" s="411" t="s">
        <v>9670</v>
      </c>
      <c r="C2527" s="401" t="s">
        <v>998</v>
      </c>
      <c r="D2527" s="600">
        <v>522.66999999999996</v>
      </c>
    </row>
    <row r="2528" spans="1:4" ht="38.25">
      <c r="A2528" s="401">
        <v>34372</v>
      </c>
      <c r="B2528" s="411" t="s">
        <v>9671</v>
      </c>
      <c r="C2528" s="401" t="s">
        <v>998</v>
      </c>
      <c r="D2528" s="600">
        <v>727.11</v>
      </c>
    </row>
    <row r="2529" spans="1:4" ht="38.25">
      <c r="A2529" s="401">
        <v>34373</v>
      </c>
      <c r="B2529" s="411" t="s">
        <v>9672</v>
      </c>
      <c r="C2529" s="401" t="s">
        <v>998</v>
      </c>
      <c r="D2529" s="600">
        <v>900.05</v>
      </c>
    </row>
    <row r="2530" spans="1:4" ht="25.5">
      <c r="A2530" s="401">
        <v>36896</v>
      </c>
      <c r="B2530" s="411" t="s">
        <v>9673</v>
      </c>
      <c r="C2530" s="401" t="s">
        <v>998</v>
      </c>
      <c r="D2530" s="600">
        <v>299.89999999999998</v>
      </c>
    </row>
    <row r="2531" spans="1:4" ht="25.5">
      <c r="A2531" s="401">
        <v>34367</v>
      </c>
      <c r="B2531" s="411" t="s">
        <v>9674</v>
      </c>
      <c r="C2531" s="401" t="s">
        <v>998</v>
      </c>
      <c r="D2531" s="600">
        <v>352.27</v>
      </c>
    </row>
    <row r="2532" spans="1:4" ht="25.5">
      <c r="A2532" s="401">
        <v>36897</v>
      </c>
      <c r="B2532" s="411" t="s">
        <v>9675</v>
      </c>
      <c r="C2532" s="401" t="s">
        <v>998</v>
      </c>
      <c r="D2532" s="600">
        <v>415.41</v>
      </c>
    </row>
    <row r="2533" spans="1:4" ht="25.5">
      <c r="A2533" s="401">
        <v>36884</v>
      </c>
      <c r="B2533" s="411" t="s">
        <v>9675</v>
      </c>
      <c r="C2533" s="401" t="s">
        <v>1003</v>
      </c>
      <c r="D2533" s="600">
        <v>291.76</v>
      </c>
    </row>
    <row r="2534" spans="1:4" ht="25.5">
      <c r="A2534" s="401">
        <v>597</v>
      </c>
      <c r="B2534" s="411" t="s">
        <v>9676</v>
      </c>
      <c r="C2534" s="401" t="s">
        <v>1003</v>
      </c>
      <c r="D2534" s="600">
        <v>306.83</v>
      </c>
    </row>
    <row r="2535" spans="1:4" ht="38.25">
      <c r="A2535" s="401">
        <v>34369</v>
      </c>
      <c r="B2535" s="411" t="s">
        <v>9677</v>
      </c>
      <c r="C2535" s="401" t="s">
        <v>998</v>
      </c>
      <c r="D2535" s="600">
        <v>492.18</v>
      </c>
    </row>
    <row r="2536" spans="1:4" ht="38.25">
      <c r="A2536" s="401">
        <v>34362</v>
      </c>
      <c r="B2536" s="411" t="s">
        <v>9678</v>
      </c>
      <c r="C2536" s="401" t="s">
        <v>998</v>
      </c>
      <c r="D2536" s="600">
        <v>341.51</v>
      </c>
    </row>
    <row r="2537" spans="1:4" ht="25.5">
      <c r="A2537" s="401">
        <v>34363</v>
      </c>
      <c r="B2537" s="411" t="s">
        <v>9679</v>
      </c>
      <c r="C2537" s="401" t="s">
        <v>998</v>
      </c>
      <c r="D2537" s="600">
        <v>385.99</v>
      </c>
    </row>
    <row r="2538" spans="1:4" ht="38.25">
      <c r="A2538" s="401">
        <v>34364</v>
      </c>
      <c r="B2538" s="411" t="s">
        <v>9680</v>
      </c>
      <c r="C2538" s="401" t="s">
        <v>998</v>
      </c>
      <c r="D2538" s="600">
        <v>481.41</v>
      </c>
    </row>
    <row r="2539" spans="1:4" ht="38.25">
      <c r="A2539" s="401">
        <v>34365</v>
      </c>
      <c r="B2539" s="411" t="s">
        <v>9681</v>
      </c>
      <c r="C2539" s="401" t="s">
        <v>998</v>
      </c>
      <c r="D2539" s="600">
        <v>542.4</v>
      </c>
    </row>
    <row r="2540" spans="1:4" ht="51">
      <c r="A2540" s="401">
        <v>40659</v>
      </c>
      <c r="B2540" s="411" t="s">
        <v>9682</v>
      </c>
      <c r="C2540" s="401" t="s">
        <v>1003</v>
      </c>
      <c r="D2540" s="600">
        <v>790.73</v>
      </c>
    </row>
    <row r="2541" spans="1:4" ht="51">
      <c r="A2541" s="401">
        <v>40660</v>
      </c>
      <c r="B2541" s="411" t="s">
        <v>9683</v>
      </c>
      <c r="C2541" s="401" t="s">
        <v>1003</v>
      </c>
      <c r="D2541" s="600">
        <v>1002.16</v>
      </c>
    </row>
    <row r="2542" spans="1:4" ht="51">
      <c r="A2542" s="401">
        <v>40661</v>
      </c>
      <c r="B2542" s="411" t="s">
        <v>9684</v>
      </c>
      <c r="C2542" s="401" t="s">
        <v>1003</v>
      </c>
      <c r="D2542" s="600">
        <v>616.15</v>
      </c>
    </row>
    <row r="2543" spans="1:4" ht="51">
      <c r="A2543" s="401">
        <v>3421</v>
      </c>
      <c r="B2543" s="411" t="s">
        <v>9685</v>
      </c>
      <c r="C2543" s="401" t="s">
        <v>1003</v>
      </c>
      <c r="D2543" s="600">
        <v>620.87</v>
      </c>
    </row>
    <row r="2544" spans="1:4" ht="25.5">
      <c r="A2544" s="401">
        <v>599</v>
      </c>
      <c r="B2544" s="411" t="s">
        <v>9686</v>
      </c>
      <c r="C2544" s="401" t="s">
        <v>1003</v>
      </c>
      <c r="D2544" s="600">
        <v>260.08</v>
      </c>
    </row>
    <row r="2545" spans="1:4" ht="25.5">
      <c r="A2545" s="401">
        <v>34380</v>
      </c>
      <c r="B2545" s="411" t="s">
        <v>9687</v>
      </c>
      <c r="C2545" s="401" t="s">
        <v>998</v>
      </c>
      <c r="D2545" s="600">
        <v>134.88</v>
      </c>
    </row>
    <row r="2546" spans="1:4" ht="25.5">
      <c r="A2546" s="401">
        <v>34381</v>
      </c>
      <c r="B2546" s="411" t="s">
        <v>9688</v>
      </c>
      <c r="C2546" s="401" t="s">
        <v>998</v>
      </c>
      <c r="D2546" s="600">
        <v>175.77</v>
      </c>
    </row>
    <row r="2547" spans="1:4" ht="25.5">
      <c r="A2547" s="401">
        <v>601</v>
      </c>
      <c r="B2547" s="411" t="s">
        <v>9688</v>
      </c>
      <c r="C2547" s="401" t="s">
        <v>1003</v>
      </c>
      <c r="D2547" s="600">
        <v>350.84</v>
      </c>
    </row>
    <row r="2548" spans="1:4" ht="38.25">
      <c r="A2548" s="401">
        <v>3423</v>
      </c>
      <c r="B2548" s="411" t="s">
        <v>9689</v>
      </c>
      <c r="C2548" s="401" t="s">
        <v>1003</v>
      </c>
      <c r="D2548" s="600">
        <v>875.57</v>
      </c>
    </row>
    <row r="2549" spans="1:4" ht="25.5">
      <c r="A2549" s="401">
        <v>34797</v>
      </c>
      <c r="B2549" s="411" t="s">
        <v>9690</v>
      </c>
      <c r="C2549" s="401" t="s">
        <v>998</v>
      </c>
      <c r="D2549" s="600">
        <v>354.17</v>
      </c>
    </row>
    <row r="2550" spans="1:4">
      <c r="A2550" s="401">
        <v>25964</v>
      </c>
      <c r="B2550" s="411" t="s">
        <v>9691</v>
      </c>
      <c r="C2550" s="401" t="s">
        <v>1001</v>
      </c>
      <c r="D2550" s="600">
        <v>12.36</v>
      </c>
    </row>
    <row r="2551" spans="1:4">
      <c r="A2551" s="401">
        <v>41077</v>
      </c>
      <c r="B2551" s="411" t="s">
        <v>9692</v>
      </c>
      <c r="C2551" s="401" t="s">
        <v>1118</v>
      </c>
      <c r="D2551" s="600">
        <v>2193.6799999999998</v>
      </c>
    </row>
    <row r="2552" spans="1:4">
      <c r="A2552" s="401">
        <v>20159</v>
      </c>
      <c r="B2552" s="411" t="s">
        <v>9693</v>
      </c>
      <c r="C2552" s="401" t="s">
        <v>998</v>
      </c>
      <c r="D2552" s="600">
        <v>37.61</v>
      </c>
    </row>
    <row r="2553" spans="1:4">
      <c r="A2553" s="401">
        <v>37963</v>
      </c>
      <c r="B2553" s="411" t="s">
        <v>9694</v>
      </c>
      <c r="C2553" s="401" t="s">
        <v>998</v>
      </c>
      <c r="D2553" s="600">
        <v>4.58</v>
      </c>
    </row>
    <row r="2554" spans="1:4">
      <c r="A2554" s="401">
        <v>37964</v>
      </c>
      <c r="B2554" s="411" t="s">
        <v>9695</v>
      </c>
      <c r="C2554" s="401" t="s">
        <v>998</v>
      </c>
      <c r="D2554" s="600">
        <v>7.63</v>
      </c>
    </row>
    <row r="2555" spans="1:4">
      <c r="A2555" s="401">
        <v>37965</v>
      </c>
      <c r="B2555" s="411" t="s">
        <v>9696</v>
      </c>
      <c r="C2555" s="401" t="s">
        <v>998</v>
      </c>
      <c r="D2555" s="600">
        <v>11.06</v>
      </c>
    </row>
    <row r="2556" spans="1:4">
      <c r="A2556" s="401">
        <v>37966</v>
      </c>
      <c r="B2556" s="411" t="s">
        <v>9697</v>
      </c>
      <c r="C2556" s="401" t="s">
        <v>998</v>
      </c>
      <c r="D2556" s="600">
        <v>20.04</v>
      </c>
    </row>
    <row r="2557" spans="1:4">
      <c r="A2557" s="401">
        <v>37967</v>
      </c>
      <c r="B2557" s="411" t="s">
        <v>9698</v>
      </c>
      <c r="C2557" s="401" t="s">
        <v>998</v>
      </c>
      <c r="D2557" s="600">
        <v>32.130000000000003</v>
      </c>
    </row>
    <row r="2558" spans="1:4">
      <c r="A2558" s="401">
        <v>37968</v>
      </c>
      <c r="B2558" s="411" t="s">
        <v>9699</v>
      </c>
      <c r="C2558" s="401" t="s">
        <v>998</v>
      </c>
      <c r="D2558" s="600">
        <v>70.47</v>
      </c>
    </row>
    <row r="2559" spans="1:4">
      <c r="A2559" s="401">
        <v>37969</v>
      </c>
      <c r="B2559" s="411" t="s">
        <v>9700</v>
      </c>
      <c r="C2559" s="401" t="s">
        <v>998</v>
      </c>
      <c r="D2559" s="600">
        <v>188.27</v>
      </c>
    </row>
    <row r="2560" spans="1:4">
      <c r="A2560" s="401">
        <v>37970</v>
      </c>
      <c r="B2560" s="411" t="s">
        <v>9701</v>
      </c>
      <c r="C2560" s="401" t="s">
        <v>998</v>
      </c>
      <c r="D2560" s="600">
        <v>219.63</v>
      </c>
    </row>
    <row r="2561" spans="1:4">
      <c r="A2561" s="401">
        <v>21118</v>
      </c>
      <c r="B2561" s="411" t="s">
        <v>9702</v>
      </c>
      <c r="C2561" s="401" t="s">
        <v>998</v>
      </c>
      <c r="D2561" s="600">
        <v>3.46</v>
      </c>
    </row>
    <row r="2562" spans="1:4">
      <c r="A2562" s="401">
        <v>37956</v>
      </c>
      <c r="B2562" s="411" t="s">
        <v>9703</v>
      </c>
      <c r="C2562" s="401" t="s">
        <v>998</v>
      </c>
      <c r="D2562" s="600">
        <v>5.48</v>
      </c>
    </row>
    <row r="2563" spans="1:4">
      <c r="A2563" s="401">
        <v>37957</v>
      </c>
      <c r="B2563" s="411" t="s">
        <v>9704</v>
      </c>
      <c r="C2563" s="401" t="s">
        <v>998</v>
      </c>
      <c r="D2563" s="600">
        <v>11.56</v>
      </c>
    </row>
    <row r="2564" spans="1:4">
      <c r="A2564" s="401">
        <v>37958</v>
      </c>
      <c r="B2564" s="411" t="s">
        <v>9705</v>
      </c>
      <c r="C2564" s="401" t="s">
        <v>998</v>
      </c>
      <c r="D2564" s="600">
        <v>20.04</v>
      </c>
    </row>
    <row r="2565" spans="1:4">
      <c r="A2565" s="401">
        <v>37959</v>
      </c>
      <c r="B2565" s="411" t="s">
        <v>9706</v>
      </c>
      <c r="C2565" s="401" t="s">
        <v>998</v>
      </c>
      <c r="D2565" s="600">
        <v>32.130000000000003</v>
      </c>
    </row>
    <row r="2566" spans="1:4">
      <c r="A2566" s="401">
        <v>37960</v>
      </c>
      <c r="B2566" s="411" t="s">
        <v>9707</v>
      </c>
      <c r="C2566" s="401" t="s">
        <v>998</v>
      </c>
      <c r="D2566" s="600">
        <v>69.2</v>
      </c>
    </row>
    <row r="2567" spans="1:4">
      <c r="A2567" s="401">
        <v>37961</v>
      </c>
      <c r="B2567" s="411" t="s">
        <v>9708</v>
      </c>
      <c r="C2567" s="401" t="s">
        <v>998</v>
      </c>
      <c r="D2567" s="600">
        <v>183.59</v>
      </c>
    </row>
    <row r="2568" spans="1:4">
      <c r="A2568" s="401">
        <v>37962</v>
      </c>
      <c r="B2568" s="411" t="s">
        <v>9709</v>
      </c>
      <c r="C2568" s="401" t="s">
        <v>998</v>
      </c>
      <c r="D2568" s="600">
        <v>213.33</v>
      </c>
    </row>
    <row r="2569" spans="1:4">
      <c r="A2569" s="401">
        <v>3533</v>
      </c>
      <c r="B2569" s="411" t="s">
        <v>9710</v>
      </c>
      <c r="C2569" s="401" t="s">
        <v>998</v>
      </c>
      <c r="D2569" s="600">
        <v>1.73</v>
      </c>
    </row>
    <row r="2570" spans="1:4">
      <c r="A2570" s="401">
        <v>3538</v>
      </c>
      <c r="B2570" s="411" t="s">
        <v>9711</v>
      </c>
      <c r="C2570" s="401" t="s">
        <v>998</v>
      </c>
      <c r="D2570" s="600">
        <v>2.98</v>
      </c>
    </row>
    <row r="2571" spans="1:4" ht="25.5">
      <c r="A2571" s="401">
        <v>3497</v>
      </c>
      <c r="B2571" s="411" t="s">
        <v>9712</v>
      </c>
      <c r="C2571" s="401" t="s">
        <v>998</v>
      </c>
      <c r="D2571" s="600">
        <v>11.15</v>
      </c>
    </row>
    <row r="2572" spans="1:4">
      <c r="A2572" s="401">
        <v>3498</v>
      </c>
      <c r="B2572" s="411" t="s">
        <v>9713</v>
      </c>
      <c r="C2572" s="401" t="s">
        <v>998</v>
      </c>
      <c r="D2572" s="600">
        <v>3.54</v>
      </c>
    </row>
    <row r="2573" spans="1:4">
      <c r="A2573" s="401">
        <v>3496</v>
      </c>
      <c r="B2573" s="411" t="s">
        <v>9714</v>
      </c>
      <c r="C2573" s="401" t="s">
        <v>998</v>
      </c>
      <c r="D2573" s="600">
        <v>2.86</v>
      </c>
    </row>
    <row r="2574" spans="1:4">
      <c r="A2574" s="401">
        <v>38429</v>
      </c>
      <c r="B2574" s="411" t="s">
        <v>9715</v>
      </c>
      <c r="C2574" s="401" t="s">
        <v>998</v>
      </c>
      <c r="D2574" s="600">
        <v>11.68</v>
      </c>
    </row>
    <row r="2575" spans="1:4">
      <c r="A2575" s="401">
        <v>38431</v>
      </c>
      <c r="B2575" s="411" t="s">
        <v>9716</v>
      </c>
      <c r="C2575" s="401" t="s">
        <v>998</v>
      </c>
      <c r="D2575" s="600">
        <v>18.510000000000002</v>
      </c>
    </row>
    <row r="2576" spans="1:4">
      <c r="A2576" s="401">
        <v>38430</v>
      </c>
      <c r="B2576" s="411" t="s">
        <v>9717</v>
      </c>
      <c r="C2576" s="401" t="s">
        <v>998</v>
      </c>
      <c r="D2576" s="600">
        <v>23.65</v>
      </c>
    </row>
    <row r="2577" spans="1:4">
      <c r="A2577" s="401">
        <v>36348</v>
      </c>
      <c r="B2577" s="411" t="s">
        <v>9718</v>
      </c>
      <c r="C2577" s="401" t="s">
        <v>998</v>
      </c>
      <c r="D2577" s="600">
        <v>1.1499999999999999</v>
      </c>
    </row>
    <row r="2578" spans="1:4">
      <c r="A2578" s="401">
        <v>36349</v>
      </c>
      <c r="B2578" s="411" t="s">
        <v>9719</v>
      </c>
      <c r="C2578" s="401" t="s">
        <v>998</v>
      </c>
      <c r="D2578" s="600">
        <v>1.73</v>
      </c>
    </row>
    <row r="2579" spans="1:4">
      <c r="A2579" s="401">
        <v>38433</v>
      </c>
      <c r="B2579" s="411" t="s">
        <v>9720</v>
      </c>
      <c r="C2579" s="401" t="s">
        <v>998</v>
      </c>
      <c r="D2579" s="600">
        <v>3.21</v>
      </c>
    </row>
    <row r="2580" spans="1:4">
      <c r="A2580" s="401">
        <v>38440</v>
      </c>
      <c r="B2580" s="411" t="s">
        <v>9721</v>
      </c>
      <c r="C2580" s="401" t="s">
        <v>998</v>
      </c>
      <c r="D2580" s="600">
        <v>110.92</v>
      </c>
    </row>
    <row r="2581" spans="1:4">
      <c r="A2581" s="401">
        <v>36359</v>
      </c>
      <c r="B2581" s="411" t="s">
        <v>9722</v>
      </c>
      <c r="C2581" s="401" t="s">
        <v>998</v>
      </c>
      <c r="D2581" s="600">
        <v>1.38</v>
      </c>
    </row>
    <row r="2582" spans="1:4">
      <c r="A2582" s="401">
        <v>36360</v>
      </c>
      <c r="B2582" s="411" t="s">
        <v>9723</v>
      </c>
      <c r="C2582" s="401" t="s">
        <v>998</v>
      </c>
      <c r="D2582" s="600">
        <v>2.13</v>
      </c>
    </row>
    <row r="2583" spans="1:4">
      <c r="A2583" s="401">
        <v>38434</v>
      </c>
      <c r="B2583" s="411" t="s">
        <v>9724</v>
      </c>
      <c r="C2583" s="401" t="s">
        <v>998</v>
      </c>
      <c r="D2583" s="600">
        <v>3.26</v>
      </c>
    </row>
    <row r="2584" spans="1:4">
      <c r="A2584" s="401">
        <v>38435</v>
      </c>
      <c r="B2584" s="411" t="s">
        <v>9725</v>
      </c>
      <c r="C2584" s="401" t="s">
        <v>998</v>
      </c>
      <c r="D2584" s="600">
        <v>6.18</v>
      </c>
    </row>
    <row r="2585" spans="1:4">
      <c r="A2585" s="401">
        <v>38436</v>
      </c>
      <c r="B2585" s="411" t="s">
        <v>9726</v>
      </c>
      <c r="C2585" s="401" t="s">
        <v>998</v>
      </c>
      <c r="D2585" s="600">
        <v>12.79</v>
      </c>
    </row>
    <row r="2586" spans="1:4">
      <c r="A2586" s="401">
        <v>38437</v>
      </c>
      <c r="B2586" s="411" t="s">
        <v>9727</v>
      </c>
      <c r="C2586" s="401" t="s">
        <v>998</v>
      </c>
      <c r="D2586" s="600">
        <v>19.2</v>
      </c>
    </row>
    <row r="2587" spans="1:4">
      <c r="A2587" s="401">
        <v>38438</v>
      </c>
      <c r="B2587" s="411" t="s">
        <v>9728</v>
      </c>
      <c r="C2587" s="401" t="s">
        <v>998</v>
      </c>
      <c r="D2587" s="600">
        <v>48.52</v>
      </c>
    </row>
    <row r="2588" spans="1:4">
      <c r="A2588" s="401">
        <v>38439</v>
      </c>
      <c r="B2588" s="411" t="s">
        <v>9729</v>
      </c>
      <c r="C2588" s="401" t="s">
        <v>998</v>
      </c>
      <c r="D2588" s="600">
        <v>73.959999999999994</v>
      </c>
    </row>
    <row r="2589" spans="1:4">
      <c r="A2589" s="401">
        <v>10836</v>
      </c>
      <c r="B2589" s="411" t="s">
        <v>9730</v>
      </c>
      <c r="C2589" s="401" t="s">
        <v>998</v>
      </c>
      <c r="D2589" s="600">
        <v>13.18</v>
      </c>
    </row>
    <row r="2590" spans="1:4">
      <c r="A2590" s="401">
        <v>20128</v>
      </c>
      <c r="B2590" s="411" t="s">
        <v>9731</v>
      </c>
      <c r="C2590" s="401" t="s">
        <v>998</v>
      </c>
      <c r="D2590" s="600">
        <v>38.64</v>
      </c>
    </row>
    <row r="2591" spans="1:4">
      <c r="A2591" s="401">
        <v>20131</v>
      </c>
      <c r="B2591" s="411" t="s">
        <v>9732</v>
      </c>
      <c r="C2591" s="401" t="s">
        <v>998</v>
      </c>
      <c r="D2591" s="600">
        <v>35.270000000000003</v>
      </c>
    </row>
    <row r="2592" spans="1:4">
      <c r="A2592" s="401">
        <v>3521</v>
      </c>
      <c r="B2592" s="411" t="s">
        <v>9733</v>
      </c>
      <c r="C2592" s="401" t="s">
        <v>998</v>
      </c>
      <c r="D2592" s="600">
        <v>1.5</v>
      </c>
    </row>
    <row r="2593" spans="1:4">
      <c r="A2593" s="401">
        <v>3531</v>
      </c>
      <c r="B2593" s="411" t="s">
        <v>9734</v>
      </c>
      <c r="C2593" s="401" t="s">
        <v>998</v>
      </c>
      <c r="D2593" s="600">
        <v>1.7</v>
      </c>
    </row>
    <row r="2594" spans="1:4">
      <c r="A2594" s="401">
        <v>3522</v>
      </c>
      <c r="B2594" s="411" t="s">
        <v>9735</v>
      </c>
      <c r="C2594" s="401" t="s">
        <v>998</v>
      </c>
      <c r="D2594" s="600">
        <v>2.5299999999999998</v>
      </c>
    </row>
    <row r="2595" spans="1:4">
      <c r="A2595" s="401">
        <v>3527</v>
      </c>
      <c r="B2595" s="411" t="s">
        <v>9736</v>
      </c>
      <c r="C2595" s="401" t="s">
        <v>998</v>
      </c>
      <c r="D2595" s="600">
        <v>8.6999999999999993</v>
      </c>
    </row>
    <row r="2596" spans="1:4" ht="25.5">
      <c r="A2596" s="401">
        <v>10835</v>
      </c>
      <c r="B2596" s="411" t="s">
        <v>9737</v>
      </c>
      <c r="C2596" s="401" t="s">
        <v>998</v>
      </c>
      <c r="D2596" s="600">
        <v>2.76</v>
      </c>
    </row>
    <row r="2597" spans="1:4">
      <c r="A2597" s="401">
        <v>3475</v>
      </c>
      <c r="B2597" s="411" t="s">
        <v>9738</v>
      </c>
      <c r="C2597" s="401" t="s">
        <v>998</v>
      </c>
      <c r="D2597" s="600">
        <v>2.92</v>
      </c>
    </row>
    <row r="2598" spans="1:4">
      <c r="A2598" s="401">
        <v>3485</v>
      </c>
      <c r="B2598" s="411" t="s">
        <v>9739</v>
      </c>
      <c r="C2598" s="401" t="s">
        <v>998</v>
      </c>
      <c r="D2598" s="600">
        <v>9.34</v>
      </c>
    </row>
    <row r="2599" spans="1:4">
      <c r="A2599" s="401">
        <v>3534</v>
      </c>
      <c r="B2599" s="411" t="s">
        <v>9740</v>
      </c>
      <c r="C2599" s="401" t="s">
        <v>998</v>
      </c>
      <c r="D2599" s="600">
        <v>3.69</v>
      </c>
    </row>
    <row r="2600" spans="1:4">
      <c r="A2600" s="401">
        <v>3543</v>
      </c>
      <c r="B2600" s="411" t="s">
        <v>9741</v>
      </c>
      <c r="C2600" s="401" t="s">
        <v>998</v>
      </c>
      <c r="D2600" s="600">
        <v>1.85</v>
      </c>
    </row>
    <row r="2601" spans="1:4">
      <c r="A2601" s="401">
        <v>3482</v>
      </c>
      <c r="B2601" s="411" t="s">
        <v>9742</v>
      </c>
      <c r="C2601" s="401" t="s">
        <v>998</v>
      </c>
      <c r="D2601" s="600">
        <v>4.6900000000000004</v>
      </c>
    </row>
    <row r="2602" spans="1:4">
      <c r="A2602" s="401">
        <v>3505</v>
      </c>
      <c r="B2602" s="411" t="s">
        <v>9743</v>
      </c>
      <c r="C2602" s="401" t="s">
        <v>998</v>
      </c>
      <c r="D2602" s="600">
        <v>2.66</v>
      </c>
    </row>
    <row r="2603" spans="1:4">
      <c r="A2603" s="401">
        <v>3516</v>
      </c>
      <c r="B2603" s="411" t="s">
        <v>9744</v>
      </c>
      <c r="C2603" s="401" t="s">
        <v>998</v>
      </c>
      <c r="D2603" s="600">
        <v>0.72</v>
      </c>
    </row>
    <row r="2604" spans="1:4">
      <c r="A2604" s="401">
        <v>3517</v>
      </c>
      <c r="B2604" s="411" t="s">
        <v>9745</v>
      </c>
      <c r="C2604" s="401" t="s">
        <v>998</v>
      </c>
      <c r="D2604" s="600">
        <v>2.52</v>
      </c>
    </row>
    <row r="2605" spans="1:4" ht="25.5">
      <c r="A2605" s="401">
        <v>3515</v>
      </c>
      <c r="B2605" s="411" t="s">
        <v>9746</v>
      </c>
      <c r="C2605" s="401" t="s">
        <v>998</v>
      </c>
      <c r="D2605" s="600">
        <v>4.3099999999999996</v>
      </c>
    </row>
    <row r="2606" spans="1:4" ht="25.5">
      <c r="A2606" s="401">
        <v>20147</v>
      </c>
      <c r="B2606" s="411" t="s">
        <v>9747</v>
      </c>
      <c r="C2606" s="401" t="s">
        <v>998</v>
      </c>
      <c r="D2606" s="600">
        <v>4.6399999999999997</v>
      </c>
    </row>
    <row r="2607" spans="1:4" ht="25.5">
      <c r="A2607" s="401">
        <v>3524</v>
      </c>
      <c r="B2607" s="411" t="s">
        <v>9748</v>
      </c>
      <c r="C2607" s="401" t="s">
        <v>998</v>
      </c>
      <c r="D2607" s="600">
        <v>5.5</v>
      </c>
    </row>
    <row r="2608" spans="1:4" ht="25.5">
      <c r="A2608" s="401">
        <v>3532</v>
      </c>
      <c r="B2608" s="411" t="s">
        <v>9749</v>
      </c>
      <c r="C2608" s="401" t="s">
        <v>998</v>
      </c>
      <c r="D2608" s="600">
        <v>10.07</v>
      </c>
    </row>
    <row r="2609" spans="1:4">
      <c r="A2609" s="401">
        <v>3528</v>
      </c>
      <c r="B2609" s="411" t="s">
        <v>9750</v>
      </c>
      <c r="C2609" s="401" t="s">
        <v>998</v>
      </c>
      <c r="D2609" s="600">
        <v>5.68</v>
      </c>
    </row>
    <row r="2610" spans="1:4">
      <c r="A2610" s="401">
        <v>37952</v>
      </c>
      <c r="B2610" s="411" t="s">
        <v>9751</v>
      </c>
      <c r="C2610" s="401" t="s">
        <v>998</v>
      </c>
      <c r="D2610" s="600">
        <v>40.51</v>
      </c>
    </row>
    <row r="2611" spans="1:4">
      <c r="A2611" s="401">
        <v>37951</v>
      </c>
      <c r="B2611" s="411" t="s">
        <v>9752</v>
      </c>
      <c r="C2611" s="401" t="s">
        <v>998</v>
      </c>
      <c r="D2611" s="600">
        <v>1.47</v>
      </c>
    </row>
    <row r="2612" spans="1:4">
      <c r="A2612" s="401">
        <v>3518</v>
      </c>
      <c r="B2612" s="411" t="s">
        <v>9753</v>
      </c>
      <c r="C2612" s="401" t="s">
        <v>998</v>
      </c>
      <c r="D2612" s="600">
        <v>2.16</v>
      </c>
    </row>
    <row r="2613" spans="1:4">
      <c r="A2613" s="401">
        <v>3519</v>
      </c>
      <c r="B2613" s="411" t="s">
        <v>9754</v>
      </c>
      <c r="C2613" s="401" t="s">
        <v>998</v>
      </c>
      <c r="D2613" s="600">
        <v>5.1100000000000003</v>
      </c>
    </row>
    <row r="2614" spans="1:4">
      <c r="A2614" s="401">
        <v>3520</v>
      </c>
      <c r="B2614" s="411" t="s">
        <v>9755</v>
      </c>
      <c r="C2614" s="401" t="s">
        <v>998</v>
      </c>
      <c r="D2614" s="600">
        <v>5.72</v>
      </c>
    </row>
    <row r="2615" spans="1:4">
      <c r="A2615" s="401">
        <v>37950</v>
      </c>
      <c r="B2615" s="411" t="s">
        <v>9756</v>
      </c>
      <c r="C2615" s="401" t="s">
        <v>998</v>
      </c>
      <c r="D2615" s="600">
        <v>35.270000000000003</v>
      </c>
    </row>
    <row r="2616" spans="1:4">
      <c r="A2616" s="401">
        <v>37949</v>
      </c>
      <c r="B2616" s="411" t="s">
        <v>9757</v>
      </c>
      <c r="C2616" s="401" t="s">
        <v>998</v>
      </c>
      <c r="D2616" s="600">
        <v>1.29</v>
      </c>
    </row>
    <row r="2617" spans="1:4">
      <c r="A2617" s="401">
        <v>3526</v>
      </c>
      <c r="B2617" s="411" t="s">
        <v>9758</v>
      </c>
      <c r="C2617" s="401" t="s">
        <v>998</v>
      </c>
      <c r="D2617" s="600">
        <v>1.73</v>
      </c>
    </row>
    <row r="2618" spans="1:4">
      <c r="A2618" s="401">
        <v>3509</v>
      </c>
      <c r="B2618" s="411" t="s">
        <v>9759</v>
      </c>
      <c r="C2618" s="401" t="s">
        <v>998</v>
      </c>
      <c r="D2618" s="600">
        <v>4.5</v>
      </c>
    </row>
    <row r="2619" spans="1:4">
      <c r="A2619" s="401">
        <v>3530</v>
      </c>
      <c r="B2619" s="411" t="s">
        <v>9760</v>
      </c>
      <c r="C2619" s="401" t="s">
        <v>998</v>
      </c>
      <c r="D2619" s="600">
        <v>173.39</v>
      </c>
    </row>
    <row r="2620" spans="1:4">
      <c r="A2620" s="401">
        <v>3542</v>
      </c>
      <c r="B2620" s="411" t="s">
        <v>9761</v>
      </c>
      <c r="C2620" s="401" t="s">
        <v>998</v>
      </c>
      <c r="D2620" s="600">
        <v>0.4</v>
      </c>
    </row>
    <row r="2621" spans="1:4">
      <c r="A2621" s="401">
        <v>3529</v>
      </c>
      <c r="B2621" s="411" t="s">
        <v>9762</v>
      </c>
      <c r="C2621" s="401" t="s">
        <v>998</v>
      </c>
      <c r="D2621" s="600">
        <v>0.55000000000000004</v>
      </c>
    </row>
    <row r="2622" spans="1:4">
      <c r="A2622" s="401">
        <v>3536</v>
      </c>
      <c r="B2622" s="411" t="s">
        <v>9763</v>
      </c>
      <c r="C2622" s="401" t="s">
        <v>998</v>
      </c>
      <c r="D2622" s="600">
        <v>1.66</v>
      </c>
    </row>
    <row r="2623" spans="1:4">
      <c r="A2623" s="401">
        <v>3535</v>
      </c>
      <c r="B2623" s="411" t="s">
        <v>9764</v>
      </c>
      <c r="C2623" s="401" t="s">
        <v>998</v>
      </c>
      <c r="D2623" s="600">
        <v>3.94</v>
      </c>
    </row>
    <row r="2624" spans="1:4">
      <c r="A2624" s="401">
        <v>3540</v>
      </c>
      <c r="B2624" s="411" t="s">
        <v>9765</v>
      </c>
      <c r="C2624" s="401" t="s">
        <v>998</v>
      </c>
      <c r="D2624" s="600">
        <v>4.26</v>
      </c>
    </row>
    <row r="2625" spans="1:4">
      <c r="A2625" s="401">
        <v>3539</v>
      </c>
      <c r="B2625" s="411" t="s">
        <v>9766</v>
      </c>
      <c r="C2625" s="401" t="s">
        <v>998</v>
      </c>
      <c r="D2625" s="600">
        <v>18.489999999999998</v>
      </c>
    </row>
    <row r="2626" spans="1:4">
      <c r="A2626" s="401">
        <v>3513</v>
      </c>
      <c r="B2626" s="411" t="s">
        <v>9767</v>
      </c>
      <c r="C2626" s="401" t="s">
        <v>998</v>
      </c>
      <c r="D2626" s="600">
        <v>82.19</v>
      </c>
    </row>
    <row r="2627" spans="1:4">
      <c r="A2627" s="401">
        <v>3492</v>
      </c>
      <c r="B2627" s="411" t="s">
        <v>9768</v>
      </c>
      <c r="C2627" s="401" t="s">
        <v>998</v>
      </c>
      <c r="D2627" s="600">
        <v>15.82</v>
      </c>
    </row>
    <row r="2628" spans="1:4">
      <c r="A2628" s="401">
        <v>3491</v>
      </c>
      <c r="B2628" s="411" t="s">
        <v>9769</v>
      </c>
      <c r="C2628" s="401" t="s">
        <v>998</v>
      </c>
      <c r="D2628" s="600">
        <v>9.02</v>
      </c>
    </row>
    <row r="2629" spans="1:4">
      <c r="A2629" s="401">
        <v>3493</v>
      </c>
      <c r="B2629" s="411" t="s">
        <v>9770</v>
      </c>
      <c r="C2629" s="401" t="s">
        <v>998</v>
      </c>
      <c r="D2629" s="600">
        <v>21.63</v>
      </c>
    </row>
    <row r="2630" spans="1:4">
      <c r="A2630" s="401">
        <v>12628</v>
      </c>
      <c r="B2630" s="411" t="s">
        <v>9771</v>
      </c>
      <c r="C2630" s="401" t="s">
        <v>998</v>
      </c>
      <c r="D2630" s="600">
        <v>5.79</v>
      </c>
    </row>
    <row r="2631" spans="1:4">
      <c r="A2631" s="401">
        <v>12629</v>
      </c>
      <c r="B2631" s="411" t="s">
        <v>9772</v>
      </c>
      <c r="C2631" s="401" t="s">
        <v>998</v>
      </c>
      <c r="D2631" s="600">
        <v>6.28</v>
      </c>
    </row>
    <row r="2632" spans="1:4">
      <c r="A2632" s="401">
        <v>3481</v>
      </c>
      <c r="B2632" s="411" t="s">
        <v>9773</v>
      </c>
      <c r="C2632" s="401" t="s">
        <v>998</v>
      </c>
      <c r="D2632" s="600">
        <v>10.96</v>
      </c>
    </row>
    <row r="2633" spans="1:4">
      <c r="A2633" s="401">
        <v>3510</v>
      </c>
      <c r="B2633" s="411" t="s">
        <v>9774</v>
      </c>
      <c r="C2633" s="401" t="s">
        <v>998</v>
      </c>
      <c r="D2633" s="600">
        <v>10.24</v>
      </c>
    </row>
    <row r="2634" spans="1:4">
      <c r="A2634" s="401">
        <v>3508</v>
      </c>
      <c r="B2634" s="411" t="s">
        <v>9775</v>
      </c>
      <c r="C2634" s="401" t="s">
        <v>998</v>
      </c>
      <c r="D2634" s="600">
        <v>26.77</v>
      </c>
    </row>
    <row r="2635" spans="1:4" ht="25.5">
      <c r="A2635" s="401">
        <v>38939</v>
      </c>
      <c r="B2635" s="411" t="s">
        <v>9776</v>
      </c>
      <c r="C2635" s="401" t="s">
        <v>998</v>
      </c>
      <c r="D2635" s="600">
        <v>12.74</v>
      </c>
    </row>
    <row r="2636" spans="1:4" ht="25.5">
      <c r="A2636" s="401">
        <v>38940</v>
      </c>
      <c r="B2636" s="411" t="s">
        <v>9777</v>
      </c>
      <c r="C2636" s="401" t="s">
        <v>998</v>
      </c>
      <c r="D2636" s="600">
        <v>19.45</v>
      </c>
    </row>
    <row r="2637" spans="1:4" ht="25.5">
      <c r="A2637" s="401">
        <v>38941</v>
      </c>
      <c r="B2637" s="411" t="s">
        <v>9778</v>
      </c>
      <c r="C2637" s="401" t="s">
        <v>998</v>
      </c>
      <c r="D2637" s="600">
        <v>22.98</v>
      </c>
    </row>
    <row r="2638" spans="1:4" ht="25.5">
      <c r="A2638" s="401">
        <v>38942</v>
      </c>
      <c r="B2638" s="411" t="s">
        <v>9779</v>
      </c>
      <c r="C2638" s="401" t="s">
        <v>998</v>
      </c>
      <c r="D2638" s="600">
        <v>25.74</v>
      </c>
    </row>
    <row r="2639" spans="1:4">
      <c r="A2639" s="401">
        <v>38987</v>
      </c>
      <c r="B2639" s="411" t="s">
        <v>9780</v>
      </c>
      <c r="C2639" s="401" t="s">
        <v>998</v>
      </c>
      <c r="D2639" s="600">
        <v>5.75</v>
      </c>
    </row>
    <row r="2640" spans="1:4">
      <c r="A2640" s="401">
        <v>38988</v>
      </c>
      <c r="B2640" s="411" t="s">
        <v>9781</v>
      </c>
      <c r="C2640" s="401" t="s">
        <v>998</v>
      </c>
      <c r="D2640" s="600">
        <v>13.37</v>
      </c>
    </row>
    <row r="2641" spans="1:4">
      <c r="A2641" s="401">
        <v>38989</v>
      </c>
      <c r="B2641" s="411" t="s">
        <v>9782</v>
      </c>
      <c r="C2641" s="401" t="s">
        <v>998</v>
      </c>
      <c r="D2641" s="600">
        <v>17.77</v>
      </c>
    </row>
    <row r="2642" spans="1:4">
      <c r="A2642" s="401">
        <v>38990</v>
      </c>
      <c r="B2642" s="411" t="s">
        <v>9783</v>
      </c>
      <c r="C2642" s="401" t="s">
        <v>998</v>
      </c>
      <c r="D2642" s="600">
        <v>46.84</v>
      </c>
    </row>
    <row r="2643" spans="1:4">
      <c r="A2643" s="401">
        <v>38991</v>
      </c>
      <c r="B2643" s="411" t="s">
        <v>9784</v>
      </c>
      <c r="C2643" s="401" t="s">
        <v>998</v>
      </c>
      <c r="D2643" s="600">
        <v>94.64</v>
      </c>
    </row>
    <row r="2644" spans="1:4" ht="25.5">
      <c r="A2644" s="401">
        <v>38913</v>
      </c>
      <c r="B2644" s="411" t="s">
        <v>9785</v>
      </c>
      <c r="C2644" s="401" t="s">
        <v>998</v>
      </c>
      <c r="D2644" s="600">
        <v>11.82</v>
      </c>
    </row>
    <row r="2645" spans="1:4" ht="25.5">
      <c r="A2645" s="401">
        <v>38914</v>
      </c>
      <c r="B2645" s="411" t="s">
        <v>9786</v>
      </c>
      <c r="C2645" s="401" t="s">
        <v>998</v>
      </c>
      <c r="D2645" s="600">
        <v>13.71</v>
      </c>
    </row>
    <row r="2646" spans="1:4" ht="25.5">
      <c r="A2646" s="401">
        <v>38915</v>
      </c>
      <c r="B2646" s="411" t="s">
        <v>9787</v>
      </c>
      <c r="C2646" s="401" t="s">
        <v>998</v>
      </c>
      <c r="D2646" s="600">
        <v>23.81</v>
      </c>
    </row>
    <row r="2647" spans="1:4" ht="25.5">
      <c r="A2647" s="401">
        <v>38916</v>
      </c>
      <c r="B2647" s="411" t="s">
        <v>9788</v>
      </c>
      <c r="C2647" s="401" t="s">
        <v>998</v>
      </c>
      <c r="D2647" s="600">
        <v>31.41</v>
      </c>
    </row>
    <row r="2648" spans="1:4">
      <c r="A2648" s="401">
        <v>39300</v>
      </c>
      <c r="B2648" s="411" t="s">
        <v>9789</v>
      </c>
      <c r="C2648" s="401" t="s">
        <v>998</v>
      </c>
      <c r="D2648" s="600">
        <v>10.68</v>
      </c>
    </row>
    <row r="2649" spans="1:4">
      <c r="A2649" s="401">
        <v>39301</v>
      </c>
      <c r="B2649" s="411" t="s">
        <v>9790</v>
      </c>
      <c r="C2649" s="401" t="s">
        <v>998</v>
      </c>
      <c r="D2649" s="600">
        <v>14.82</v>
      </c>
    </row>
    <row r="2650" spans="1:4">
      <c r="A2650" s="401">
        <v>39302</v>
      </c>
      <c r="B2650" s="411" t="s">
        <v>9791</v>
      </c>
      <c r="C2650" s="401" t="s">
        <v>998</v>
      </c>
      <c r="D2650" s="600">
        <v>18.62</v>
      </c>
    </row>
    <row r="2651" spans="1:4">
      <c r="A2651" s="401">
        <v>39303</v>
      </c>
      <c r="B2651" s="411" t="s">
        <v>9792</v>
      </c>
      <c r="C2651" s="401" t="s">
        <v>998</v>
      </c>
      <c r="D2651" s="600">
        <v>32.74</v>
      </c>
    </row>
    <row r="2652" spans="1:4" ht="25.5">
      <c r="A2652" s="401">
        <v>38923</v>
      </c>
      <c r="B2652" s="411" t="s">
        <v>9793</v>
      </c>
      <c r="C2652" s="401" t="s">
        <v>998</v>
      </c>
      <c r="D2652" s="600">
        <v>10.43</v>
      </c>
    </row>
    <row r="2653" spans="1:4" ht="25.5">
      <c r="A2653" s="401">
        <v>38925</v>
      </c>
      <c r="B2653" s="411" t="s">
        <v>9794</v>
      </c>
      <c r="C2653" s="401" t="s">
        <v>998</v>
      </c>
      <c r="D2653" s="600">
        <v>11.2</v>
      </c>
    </row>
    <row r="2654" spans="1:4" ht="25.5">
      <c r="A2654" s="401">
        <v>38926</v>
      </c>
      <c r="B2654" s="411" t="s">
        <v>9795</v>
      </c>
      <c r="C2654" s="401" t="s">
        <v>998</v>
      </c>
      <c r="D2654" s="600">
        <v>16.010000000000002</v>
      </c>
    </row>
    <row r="2655" spans="1:4" ht="25.5">
      <c r="A2655" s="401">
        <v>38927</v>
      </c>
      <c r="B2655" s="411" t="s">
        <v>9796</v>
      </c>
      <c r="C2655" s="401" t="s">
        <v>998</v>
      </c>
      <c r="D2655" s="600">
        <v>17.12</v>
      </c>
    </row>
    <row r="2656" spans="1:4" ht="25.5">
      <c r="A2656" s="401">
        <v>39304</v>
      </c>
      <c r="B2656" s="411" t="s">
        <v>9797</v>
      </c>
      <c r="C2656" s="401" t="s">
        <v>998</v>
      </c>
      <c r="D2656" s="600">
        <v>13.19</v>
      </c>
    </row>
    <row r="2657" spans="1:4" ht="25.5">
      <c r="A2657" s="401">
        <v>38924</v>
      </c>
      <c r="B2657" s="411" t="s">
        <v>9798</v>
      </c>
      <c r="C2657" s="401" t="s">
        <v>998</v>
      </c>
      <c r="D2657" s="600">
        <v>18.79</v>
      </c>
    </row>
    <row r="2658" spans="1:4" ht="25.5">
      <c r="A2658" s="401">
        <v>39305</v>
      </c>
      <c r="B2658" s="411" t="s">
        <v>9799</v>
      </c>
      <c r="C2658" s="401" t="s">
        <v>998</v>
      </c>
      <c r="D2658" s="600">
        <v>17.27</v>
      </c>
    </row>
    <row r="2659" spans="1:4" ht="25.5">
      <c r="A2659" s="401">
        <v>39306</v>
      </c>
      <c r="B2659" s="411" t="s">
        <v>9800</v>
      </c>
      <c r="C2659" s="401" t="s">
        <v>998</v>
      </c>
      <c r="D2659" s="600">
        <v>21.6</v>
      </c>
    </row>
    <row r="2660" spans="1:4" ht="25.5">
      <c r="A2660" s="401">
        <v>38928</v>
      </c>
      <c r="B2660" s="411" t="s">
        <v>9801</v>
      </c>
      <c r="C2660" s="401" t="s">
        <v>998</v>
      </c>
      <c r="D2660" s="600">
        <v>18.98</v>
      </c>
    </row>
    <row r="2661" spans="1:4" ht="25.5">
      <c r="A2661" s="401">
        <v>38929</v>
      </c>
      <c r="B2661" s="411" t="s">
        <v>9802</v>
      </c>
      <c r="C2661" s="401" t="s">
        <v>998</v>
      </c>
      <c r="D2661" s="600">
        <v>33.64</v>
      </c>
    </row>
    <row r="2662" spans="1:4" ht="25.5">
      <c r="A2662" s="401">
        <v>39307</v>
      </c>
      <c r="B2662" s="411" t="s">
        <v>9803</v>
      </c>
      <c r="C2662" s="401" t="s">
        <v>998</v>
      </c>
      <c r="D2662" s="600">
        <v>24.86</v>
      </c>
    </row>
    <row r="2663" spans="1:4" ht="25.5">
      <c r="A2663" s="401">
        <v>38930</v>
      </c>
      <c r="B2663" s="411" t="s">
        <v>9804</v>
      </c>
      <c r="C2663" s="401" t="s">
        <v>998</v>
      </c>
      <c r="D2663" s="600">
        <v>42.27</v>
      </c>
    </row>
    <row r="2664" spans="1:4" ht="25.5">
      <c r="A2664" s="401">
        <v>38931</v>
      </c>
      <c r="B2664" s="411" t="s">
        <v>9805</v>
      </c>
      <c r="C2664" s="401" t="s">
        <v>998</v>
      </c>
      <c r="D2664" s="600">
        <v>10.64</v>
      </c>
    </row>
    <row r="2665" spans="1:4" ht="25.5">
      <c r="A2665" s="401">
        <v>38932</v>
      </c>
      <c r="B2665" s="411" t="s">
        <v>9806</v>
      </c>
      <c r="C2665" s="401" t="s">
        <v>998</v>
      </c>
      <c r="D2665" s="600">
        <v>10.75</v>
      </c>
    </row>
    <row r="2666" spans="1:4" ht="25.5">
      <c r="A2666" s="401">
        <v>38934</v>
      </c>
      <c r="B2666" s="411" t="s">
        <v>9807</v>
      </c>
      <c r="C2666" s="401" t="s">
        <v>998</v>
      </c>
      <c r="D2666" s="600">
        <v>15.88</v>
      </c>
    </row>
    <row r="2667" spans="1:4" ht="25.5">
      <c r="A2667" s="401">
        <v>38935</v>
      </c>
      <c r="B2667" s="411" t="s">
        <v>9808</v>
      </c>
      <c r="C2667" s="401" t="s">
        <v>998</v>
      </c>
      <c r="D2667" s="600">
        <v>17</v>
      </c>
    </row>
    <row r="2668" spans="1:4" ht="25.5">
      <c r="A2668" s="401">
        <v>38936</v>
      </c>
      <c r="B2668" s="411" t="s">
        <v>9809</v>
      </c>
      <c r="C2668" s="401" t="s">
        <v>998</v>
      </c>
      <c r="D2668" s="600">
        <v>18.2</v>
      </c>
    </row>
    <row r="2669" spans="1:4" ht="25.5">
      <c r="A2669" s="401">
        <v>38937</v>
      </c>
      <c r="B2669" s="411" t="s">
        <v>9810</v>
      </c>
      <c r="C2669" s="401" t="s">
        <v>998</v>
      </c>
      <c r="D2669" s="600">
        <v>22.19</v>
      </c>
    </row>
    <row r="2670" spans="1:4" ht="25.5">
      <c r="A2670" s="401">
        <v>38938</v>
      </c>
      <c r="B2670" s="411" t="s">
        <v>9811</v>
      </c>
      <c r="C2670" s="401" t="s">
        <v>998</v>
      </c>
      <c r="D2670" s="600">
        <v>32.99</v>
      </c>
    </row>
    <row r="2671" spans="1:4">
      <c r="A2671" s="401">
        <v>3489</v>
      </c>
      <c r="B2671" s="411" t="s">
        <v>9812</v>
      </c>
      <c r="C2671" s="401" t="s">
        <v>998</v>
      </c>
      <c r="D2671" s="600">
        <v>10.119999999999999</v>
      </c>
    </row>
    <row r="2672" spans="1:4">
      <c r="A2672" s="401">
        <v>20151</v>
      </c>
      <c r="B2672" s="411" t="s">
        <v>9813</v>
      </c>
      <c r="C2672" s="401" t="s">
        <v>998</v>
      </c>
      <c r="D2672" s="600">
        <v>15.88</v>
      </c>
    </row>
    <row r="2673" spans="1:4">
      <c r="A2673" s="401">
        <v>20152</v>
      </c>
      <c r="B2673" s="411" t="s">
        <v>9814</v>
      </c>
      <c r="C2673" s="401" t="s">
        <v>998</v>
      </c>
      <c r="D2673" s="600">
        <v>55.27</v>
      </c>
    </row>
    <row r="2674" spans="1:4">
      <c r="A2674" s="401">
        <v>20148</v>
      </c>
      <c r="B2674" s="411" t="s">
        <v>9815</v>
      </c>
      <c r="C2674" s="401" t="s">
        <v>998</v>
      </c>
      <c r="D2674" s="600">
        <v>3.16</v>
      </c>
    </row>
    <row r="2675" spans="1:4">
      <c r="A2675" s="401">
        <v>20149</v>
      </c>
      <c r="B2675" s="411" t="s">
        <v>9816</v>
      </c>
      <c r="C2675" s="401" t="s">
        <v>998</v>
      </c>
      <c r="D2675" s="600">
        <v>4.8899999999999997</v>
      </c>
    </row>
    <row r="2676" spans="1:4">
      <c r="A2676" s="401">
        <v>20150</v>
      </c>
      <c r="B2676" s="411" t="s">
        <v>9817</v>
      </c>
      <c r="C2676" s="401" t="s">
        <v>998</v>
      </c>
      <c r="D2676" s="600">
        <v>11.4</v>
      </c>
    </row>
    <row r="2677" spans="1:4">
      <c r="A2677" s="401">
        <v>20157</v>
      </c>
      <c r="B2677" s="411" t="s">
        <v>9818</v>
      </c>
      <c r="C2677" s="401" t="s">
        <v>998</v>
      </c>
      <c r="D2677" s="600">
        <v>21.43</v>
      </c>
    </row>
    <row r="2678" spans="1:4">
      <c r="A2678" s="401">
        <v>20158</v>
      </c>
      <c r="B2678" s="411" t="s">
        <v>9819</v>
      </c>
      <c r="C2678" s="401" t="s">
        <v>998</v>
      </c>
      <c r="D2678" s="600">
        <v>71.2</v>
      </c>
    </row>
    <row r="2679" spans="1:4">
      <c r="A2679" s="401">
        <v>20154</v>
      </c>
      <c r="B2679" s="411" t="s">
        <v>9820</v>
      </c>
      <c r="C2679" s="401" t="s">
        <v>998</v>
      </c>
      <c r="D2679" s="600">
        <v>4.0599999999999996</v>
      </c>
    </row>
    <row r="2680" spans="1:4">
      <c r="A2680" s="401">
        <v>20155</v>
      </c>
      <c r="B2680" s="411" t="s">
        <v>9821</v>
      </c>
      <c r="C2680" s="401" t="s">
        <v>998</v>
      </c>
      <c r="D2680" s="600">
        <v>6.08</v>
      </c>
    </row>
    <row r="2681" spans="1:4">
      <c r="A2681" s="401">
        <v>20156</v>
      </c>
      <c r="B2681" s="411" t="s">
        <v>9822</v>
      </c>
      <c r="C2681" s="401" t="s">
        <v>998</v>
      </c>
      <c r="D2681" s="600">
        <v>13.68</v>
      </c>
    </row>
    <row r="2682" spans="1:4">
      <c r="A2682" s="401">
        <v>3512</v>
      </c>
      <c r="B2682" s="411" t="s">
        <v>9823</v>
      </c>
      <c r="C2682" s="401" t="s">
        <v>998</v>
      </c>
      <c r="D2682" s="600">
        <v>158.57</v>
      </c>
    </row>
    <row r="2683" spans="1:4">
      <c r="A2683" s="401">
        <v>3499</v>
      </c>
      <c r="B2683" s="411" t="s">
        <v>9824</v>
      </c>
      <c r="C2683" s="401" t="s">
        <v>998</v>
      </c>
      <c r="D2683" s="600">
        <v>0.67</v>
      </c>
    </row>
    <row r="2684" spans="1:4">
      <c r="A2684" s="401">
        <v>3500</v>
      </c>
      <c r="B2684" s="411" t="s">
        <v>9825</v>
      </c>
      <c r="C2684" s="401" t="s">
        <v>998</v>
      </c>
      <c r="D2684" s="600">
        <v>1.1299999999999999</v>
      </c>
    </row>
    <row r="2685" spans="1:4">
      <c r="A2685" s="401">
        <v>3501</v>
      </c>
      <c r="B2685" s="411" t="s">
        <v>9826</v>
      </c>
      <c r="C2685" s="401" t="s">
        <v>998</v>
      </c>
      <c r="D2685" s="600">
        <v>3.29</v>
      </c>
    </row>
    <row r="2686" spans="1:4">
      <c r="A2686" s="401">
        <v>3502</v>
      </c>
      <c r="B2686" s="411" t="s">
        <v>9827</v>
      </c>
      <c r="C2686" s="401" t="s">
        <v>998</v>
      </c>
      <c r="D2686" s="600">
        <v>4.68</v>
      </c>
    </row>
    <row r="2687" spans="1:4">
      <c r="A2687" s="401">
        <v>3503</v>
      </c>
      <c r="B2687" s="411" t="s">
        <v>9828</v>
      </c>
      <c r="C2687" s="401" t="s">
        <v>998</v>
      </c>
      <c r="D2687" s="600">
        <v>5.6</v>
      </c>
    </row>
    <row r="2688" spans="1:4">
      <c r="A2688" s="401">
        <v>3477</v>
      </c>
      <c r="B2688" s="411" t="s">
        <v>9829</v>
      </c>
      <c r="C2688" s="401" t="s">
        <v>998</v>
      </c>
      <c r="D2688" s="600">
        <v>21.7</v>
      </c>
    </row>
    <row r="2689" spans="1:4">
      <c r="A2689" s="401">
        <v>3478</v>
      </c>
      <c r="B2689" s="411" t="s">
        <v>9830</v>
      </c>
      <c r="C2689" s="401" t="s">
        <v>998</v>
      </c>
      <c r="D2689" s="600">
        <v>49.87</v>
      </c>
    </row>
    <row r="2690" spans="1:4">
      <c r="A2690" s="401">
        <v>3525</v>
      </c>
      <c r="B2690" s="411" t="s">
        <v>9831</v>
      </c>
      <c r="C2690" s="401" t="s">
        <v>998</v>
      </c>
      <c r="D2690" s="600">
        <v>59.17</v>
      </c>
    </row>
    <row r="2691" spans="1:4">
      <c r="A2691" s="401">
        <v>3511</v>
      </c>
      <c r="B2691" s="411" t="s">
        <v>9832</v>
      </c>
      <c r="C2691" s="401" t="s">
        <v>998</v>
      </c>
      <c r="D2691" s="600">
        <v>69.430000000000007</v>
      </c>
    </row>
    <row r="2692" spans="1:4" ht="25.5">
      <c r="A2692" s="401">
        <v>38917</v>
      </c>
      <c r="B2692" s="411" t="s">
        <v>9833</v>
      </c>
      <c r="C2692" s="401" t="s">
        <v>998</v>
      </c>
      <c r="D2692" s="600">
        <v>10.18</v>
      </c>
    </row>
    <row r="2693" spans="1:4" ht="25.5">
      <c r="A2693" s="401">
        <v>38919</v>
      </c>
      <c r="B2693" s="411" t="s">
        <v>9834</v>
      </c>
      <c r="C2693" s="401" t="s">
        <v>998</v>
      </c>
      <c r="D2693" s="600">
        <v>15.15</v>
      </c>
    </row>
    <row r="2694" spans="1:4" ht="25.5">
      <c r="A2694" s="401">
        <v>38922</v>
      </c>
      <c r="B2694" s="411" t="s">
        <v>9835</v>
      </c>
      <c r="C2694" s="401" t="s">
        <v>998</v>
      </c>
      <c r="D2694" s="600">
        <v>19.57</v>
      </c>
    </row>
    <row r="2695" spans="1:4" ht="25.5">
      <c r="A2695" s="401">
        <v>38921</v>
      </c>
      <c r="B2695" s="411" t="s">
        <v>9836</v>
      </c>
      <c r="C2695" s="401" t="s">
        <v>998</v>
      </c>
      <c r="D2695" s="600">
        <v>24.2</v>
      </c>
    </row>
    <row r="2696" spans="1:4" ht="25.5">
      <c r="A2696" s="401">
        <v>38918</v>
      </c>
      <c r="B2696" s="411" t="s">
        <v>9837</v>
      </c>
      <c r="C2696" s="401" t="s">
        <v>998</v>
      </c>
      <c r="D2696" s="600">
        <v>23</v>
      </c>
    </row>
    <row r="2697" spans="1:4" ht="25.5">
      <c r="A2697" s="401">
        <v>38920</v>
      </c>
      <c r="B2697" s="411" t="s">
        <v>9838</v>
      </c>
      <c r="C2697" s="401" t="s">
        <v>998</v>
      </c>
      <c r="D2697" s="600">
        <v>28.75</v>
      </c>
    </row>
    <row r="2698" spans="1:4" ht="38.25">
      <c r="A2698" s="401">
        <v>3104</v>
      </c>
      <c r="B2698" s="411" t="s">
        <v>9839</v>
      </c>
      <c r="C2698" s="401" t="s">
        <v>1006</v>
      </c>
      <c r="D2698" s="600">
        <v>378.76</v>
      </c>
    </row>
    <row r="2699" spans="1:4" ht="25.5">
      <c r="A2699" s="401">
        <v>12032</v>
      </c>
      <c r="B2699" s="411" t="s">
        <v>9840</v>
      </c>
      <c r="C2699" s="401" t="s">
        <v>1000</v>
      </c>
      <c r="D2699" s="600">
        <v>46.28</v>
      </c>
    </row>
    <row r="2700" spans="1:4" ht="25.5">
      <c r="A2700" s="401">
        <v>12030</v>
      </c>
      <c r="B2700" s="411" t="s">
        <v>9841</v>
      </c>
      <c r="C2700" s="401" t="s">
        <v>1000</v>
      </c>
      <c r="D2700" s="600">
        <v>43.49</v>
      </c>
    </row>
    <row r="2701" spans="1:4" ht="25.5">
      <c r="A2701" s="401">
        <v>10908</v>
      </c>
      <c r="B2701" s="411" t="s">
        <v>9842</v>
      </c>
      <c r="C2701" s="401" t="s">
        <v>998</v>
      </c>
      <c r="D2701" s="600">
        <v>12</v>
      </c>
    </row>
    <row r="2702" spans="1:4" ht="25.5">
      <c r="A2702" s="401">
        <v>10909</v>
      </c>
      <c r="B2702" s="411" t="s">
        <v>9843</v>
      </c>
      <c r="C2702" s="401" t="s">
        <v>998</v>
      </c>
      <c r="D2702" s="600">
        <v>19.13</v>
      </c>
    </row>
    <row r="2703" spans="1:4" ht="25.5">
      <c r="A2703" s="401">
        <v>3669</v>
      </c>
      <c r="B2703" s="411" t="s">
        <v>9844</v>
      </c>
      <c r="C2703" s="401" t="s">
        <v>998</v>
      </c>
      <c r="D2703" s="600">
        <v>8.1999999999999993</v>
      </c>
    </row>
    <row r="2704" spans="1:4" ht="25.5">
      <c r="A2704" s="401">
        <v>20138</v>
      </c>
      <c r="B2704" s="411" t="s">
        <v>9845</v>
      </c>
      <c r="C2704" s="401" t="s">
        <v>998</v>
      </c>
      <c r="D2704" s="600">
        <v>40.74</v>
      </c>
    </row>
    <row r="2705" spans="1:4">
      <c r="A2705" s="401">
        <v>20139</v>
      </c>
      <c r="B2705" s="411" t="s">
        <v>9846</v>
      </c>
      <c r="C2705" s="401" t="s">
        <v>998</v>
      </c>
      <c r="D2705" s="600">
        <v>68.44</v>
      </c>
    </row>
    <row r="2706" spans="1:4" ht="25.5">
      <c r="A2706" s="401">
        <v>3668</v>
      </c>
      <c r="B2706" s="411" t="s">
        <v>9847</v>
      </c>
      <c r="C2706" s="401" t="s">
        <v>998</v>
      </c>
      <c r="D2706" s="600">
        <v>27.13</v>
      </c>
    </row>
    <row r="2707" spans="1:4">
      <c r="A2707" s="401">
        <v>3656</v>
      </c>
      <c r="B2707" s="411" t="s">
        <v>9848</v>
      </c>
      <c r="C2707" s="401" t="s">
        <v>998</v>
      </c>
      <c r="D2707" s="600">
        <v>13.45</v>
      </c>
    </row>
    <row r="2708" spans="1:4">
      <c r="A2708" s="401">
        <v>10911</v>
      </c>
      <c r="B2708" s="411" t="s">
        <v>9849</v>
      </c>
      <c r="C2708" s="401" t="s">
        <v>998</v>
      </c>
      <c r="D2708" s="600">
        <v>14.92</v>
      </c>
    </row>
    <row r="2709" spans="1:4">
      <c r="A2709" s="401">
        <v>3654</v>
      </c>
      <c r="B2709" s="411" t="s">
        <v>9850</v>
      </c>
      <c r="C2709" s="401" t="s">
        <v>998</v>
      </c>
      <c r="D2709" s="600">
        <v>3.52</v>
      </c>
    </row>
    <row r="2710" spans="1:4">
      <c r="A2710" s="401">
        <v>3664</v>
      </c>
      <c r="B2710" s="411" t="s">
        <v>9851</v>
      </c>
      <c r="C2710" s="401" t="s">
        <v>998</v>
      </c>
      <c r="D2710" s="600">
        <v>4.37</v>
      </c>
    </row>
    <row r="2711" spans="1:4">
      <c r="A2711" s="401">
        <v>3657</v>
      </c>
      <c r="B2711" s="411" t="s">
        <v>9852</v>
      </c>
      <c r="C2711" s="401" t="s">
        <v>998</v>
      </c>
      <c r="D2711" s="600">
        <v>4.71</v>
      </c>
    </row>
    <row r="2712" spans="1:4" ht="25.5">
      <c r="A2712" s="401">
        <v>12625</v>
      </c>
      <c r="B2712" s="411" t="s">
        <v>9853</v>
      </c>
      <c r="C2712" s="401" t="s">
        <v>998</v>
      </c>
      <c r="D2712" s="600">
        <v>7.94</v>
      </c>
    </row>
    <row r="2713" spans="1:4">
      <c r="A2713" s="401">
        <v>20136</v>
      </c>
      <c r="B2713" s="411" t="s">
        <v>9854</v>
      </c>
      <c r="C2713" s="401" t="s">
        <v>998</v>
      </c>
      <c r="D2713" s="600">
        <v>91.93</v>
      </c>
    </row>
    <row r="2714" spans="1:4">
      <c r="A2714" s="401">
        <v>20144</v>
      </c>
      <c r="B2714" s="411" t="s">
        <v>9855</v>
      </c>
      <c r="C2714" s="401" t="s">
        <v>998</v>
      </c>
      <c r="D2714" s="600">
        <v>40.380000000000003</v>
      </c>
    </row>
    <row r="2715" spans="1:4">
      <c r="A2715" s="401">
        <v>20143</v>
      </c>
      <c r="B2715" s="411" t="s">
        <v>9856</v>
      </c>
      <c r="C2715" s="401" t="s">
        <v>998</v>
      </c>
      <c r="D2715" s="600">
        <v>37.71</v>
      </c>
    </row>
    <row r="2716" spans="1:4">
      <c r="A2716" s="401">
        <v>20145</v>
      </c>
      <c r="B2716" s="411" t="s">
        <v>9857</v>
      </c>
      <c r="C2716" s="401" t="s">
        <v>998</v>
      </c>
      <c r="D2716" s="600">
        <v>107.02</v>
      </c>
    </row>
    <row r="2717" spans="1:4">
      <c r="A2717" s="401">
        <v>20146</v>
      </c>
      <c r="B2717" s="411" t="s">
        <v>9858</v>
      </c>
      <c r="C2717" s="401" t="s">
        <v>998</v>
      </c>
      <c r="D2717" s="600">
        <v>120.68</v>
      </c>
    </row>
    <row r="2718" spans="1:4">
      <c r="A2718" s="401">
        <v>20140</v>
      </c>
      <c r="B2718" s="411" t="s">
        <v>9859</v>
      </c>
      <c r="C2718" s="401" t="s">
        <v>998</v>
      </c>
      <c r="D2718" s="600">
        <v>4.8</v>
      </c>
    </row>
    <row r="2719" spans="1:4">
      <c r="A2719" s="401">
        <v>20141</v>
      </c>
      <c r="B2719" s="411" t="s">
        <v>9860</v>
      </c>
      <c r="C2719" s="401" t="s">
        <v>998</v>
      </c>
      <c r="D2719" s="600">
        <v>8.43</v>
      </c>
    </row>
    <row r="2720" spans="1:4">
      <c r="A2720" s="401">
        <v>20142</v>
      </c>
      <c r="B2720" s="411" t="s">
        <v>9861</v>
      </c>
      <c r="C2720" s="401" t="s">
        <v>998</v>
      </c>
      <c r="D2720" s="600">
        <v>25.81</v>
      </c>
    </row>
    <row r="2721" spans="1:4">
      <c r="A2721" s="401">
        <v>3659</v>
      </c>
      <c r="B2721" s="411" t="s">
        <v>9862</v>
      </c>
      <c r="C2721" s="401" t="s">
        <v>998</v>
      </c>
      <c r="D2721" s="600">
        <v>11.19</v>
      </c>
    </row>
    <row r="2722" spans="1:4">
      <c r="A2722" s="401">
        <v>3660</v>
      </c>
      <c r="B2722" s="411" t="s">
        <v>9863</v>
      </c>
      <c r="C2722" s="401" t="s">
        <v>998</v>
      </c>
      <c r="D2722" s="600">
        <v>16.13</v>
      </c>
    </row>
    <row r="2723" spans="1:4">
      <c r="A2723" s="401">
        <v>3662</v>
      </c>
      <c r="B2723" s="411" t="s">
        <v>9864</v>
      </c>
      <c r="C2723" s="401" t="s">
        <v>998</v>
      </c>
      <c r="D2723" s="600">
        <v>6.09</v>
      </c>
    </row>
    <row r="2724" spans="1:4">
      <c r="A2724" s="401">
        <v>3661</v>
      </c>
      <c r="B2724" s="411" t="s">
        <v>9865</v>
      </c>
      <c r="C2724" s="401" t="s">
        <v>998</v>
      </c>
      <c r="D2724" s="600">
        <v>8.9700000000000006</v>
      </c>
    </row>
    <row r="2725" spans="1:4">
      <c r="A2725" s="401">
        <v>3658</v>
      </c>
      <c r="B2725" s="411" t="s">
        <v>9866</v>
      </c>
      <c r="C2725" s="401" t="s">
        <v>998</v>
      </c>
      <c r="D2725" s="600">
        <v>11.41</v>
      </c>
    </row>
    <row r="2726" spans="1:4">
      <c r="A2726" s="401">
        <v>3670</v>
      </c>
      <c r="B2726" s="411" t="s">
        <v>9867</v>
      </c>
      <c r="C2726" s="401" t="s">
        <v>998</v>
      </c>
      <c r="D2726" s="600">
        <v>14.89</v>
      </c>
    </row>
    <row r="2727" spans="1:4">
      <c r="A2727" s="401">
        <v>3666</v>
      </c>
      <c r="B2727" s="411" t="s">
        <v>9868</v>
      </c>
      <c r="C2727" s="401" t="s">
        <v>998</v>
      </c>
      <c r="D2727" s="600">
        <v>2.52</v>
      </c>
    </row>
    <row r="2728" spans="1:4">
      <c r="A2728" s="401">
        <v>14157</v>
      </c>
      <c r="B2728" s="411" t="s">
        <v>9869</v>
      </c>
      <c r="C2728" s="401" t="s">
        <v>998</v>
      </c>
      <c r="D2728" s="600">
        <v>1.04</v>
      </c>
    </row>
    <row r="2729" spans="1:4">
      <c r="A2729" s="401">
        <v>3653</v>
      </c>
      <c r="B2729" s="411" t="s">
        <v>9870</v>
      </c>
      <c r="C2729" s="401" t="s">
        <v>998</v>
      </c>
      <c r="D2729" s="600">
        <v>64.36</v>
      </c>
    </row>
    <row r="2730" spans="1:4">
      <c r="A2730" s="401">
        <v>3649</v>
      </c>
      <c r="B2730" s="411" t="s">
        <v>9871</v>
      </c>
      <c r="C2730" s="401" t="s">
        <v>998</v>
      </c>
      <c r="D2730" s="600">
        <v>133.30000000000001</v>
      </c>
    </row>
    <row r="2731" spans="1:4" ht="25.5">
      <c r="A2731" s="401">
        <v>42696</v>
      </c>
      <c r="B2731" s="411" t="s">
        <v>9872</v>
      </c>
      <c r="C2731" s="401" t="s">
        <v>998</v>
      </c>
      <c r="D2731" s="600">
        <v>372.96</v>
      </c>
    </row>
    <row r="2732" spans="1:4" ht="25.5">
      <c r="A2732" s="401">
        <v>42697</v>
      </c>
      <c r="B2732" s="411" t="s">
        <v>9873</v>
      </c>
      <c r="C2732" s="401" t="s">
        <v>998</v>
      </c>
      <c r="D2732" s="600">
        <v>561.69000000000005</v>
      </c>
    </row>
    <row r="2733" spans="1:4" ht="25.5">
      <c r="A2733" s="401">
        <v>42698</v>
      </c>
      <c r="B2733" s="411" t="s">
        <v>9874</v>
      </c>
      <c r="C2733" s="401" t="s">
        <v>998</v>
      </c>
      <c r="D2733" s="600">
        <v>782.42</v>
      </c>
    </row>
    <row r="2734" spans="1:4">
      <c r="A2734" s="401">
        <v>39875</v>
      </c>
      <c r="B2734" s="411" t="s">
        <v>9875</v>
      </c>
      <c r="C2734" s="401" t="s">
        <v>998</v>
      </c>
      <c r="D2734" s="600">
        <v>417.1</v>
      </c>
    </row>
    <row r="2735" spans="1:4">
      <c r="A2735" s="401">
        <v>39876</v>
      </c>
      <c r="B2735" s="411" t="s">
        <v>9876</v>
      </c>
      <c r="C2735" s="401" t="s">
        <v>998</v>
      </c>
      <c r="D2735" s="600">
        <v>522.21</v>
      </c>
    </row>
    <row r="2736" spans="1:4">
      <c r="A2736" s="401">
        <v>39877</v>
      </c>
      <c r="B2736" s="411" t="s">
        <v>9877</v>
      </c>
      <c r="C2736" s="401" t="s">
        <v>998</v>
      </c>
      <c r="D2736" s="600">
        <v>724.29</v>
      </c>
    </row>
    <row r="2737" spans="1:4">
      <c r="A2737" s="401">
        <v>39878</v>
      </c>
      <c r="B2737" s="411" t="s">
        <v>9878</v>
      </c>
      <c r="C2737" s="401" t="s">
        <v>998</v>
      </c>
      <c r="D2737" s="600">
        <v>956.66</v>
      </c>
    </row>
    <row r="2738" spans="1:4">
      <c r="A2738" s="401">
        <v>39872</v>
      </c>
      <c r="B2738" s="411" t="s">
        <v>9879</v>
      </c>
      <c r="C2738" s="401" t="s">
        <v>998</v>
      </c>
      <c r="D2738" s="600">
        <v>286.04000000000002</v>
      </c>
    </row>
    <row r="2739" spans="1:4">
      <c r="A2739" s="401">
        <v>39873</v>
      </c>
      <c r="B2739" s="411" t="s">
        <v>9880</v>
      </c>
      <c r="C2739" s="401" t="s">
        <v>998</v>
      </c>
      <c r="D2739" s="600">
        <v>331.79</v>
      </c>
    </row>
    <row r="2740" spans="1:4">
      <c r="A2740" s="401">
        <v>39874</v>
      </c>
      <c r="B2740" s="411" t="s">
        <v>9881</v>
      </c>
      <c r="C2740" s="401" t="s">
        <v>998</v>
      </c>
      <c r="D2740" s="600">
        <v>364.42</v>
      </c>
    </row>
    <row r="2741" spans="1:4">
      <c r="A2741" s="401">
        <v>3674</v>
      </c>
      <c r="B2741" s="411" t="s">
        <v>9882</v>
      </c>
      <c r="C2741" s="401" t="s">
        <v>1002</v>
      </c>
      <c r="D2741" s="600">
        <v>59.04</v>
      </c>
    </row>
    <row r="2742" spans="1:4">
      <c r="A2742" s="401">
        <v>3681</v>
      </c>
      <c r="B2742" s="411" t="s">
        <v>9883</v>
      </c>
      <c r="C2742" s="401" t="s">
        <v>1002</v>
      </c>
      <c r="D2742" s="600">
        <v>87.85</v>
      </c>
    </row>
    <row r="2743" spans="1:4">
      <c r="A2743" s="401">
        <v>3676</v>
      </c>
      <c r="B2743" s="411" t="s">
        <v>9884</v>
      </c>
      <c r="C2743" s="401" t="s">
        <v>1002</v>
      </c>
      <c r="D2743" s="600">
        <v>330.62</v>
      </c>
    </row>
    <row r="2744" spans="1:4">
      <c r="A2744" s="401">
        <v>3679</v>
      </c>
      <c r="B2744" s="411" t="s">
        <v>9885</v>
      </c>
      <c r="C2744" s="401" t="s">
        <v>1002</v>
      </c>
      <c r="D2744" s="600">
        <v>273.52999999999997</v>
      </c>
    </row>
    <row r="2745" spans="1:4">
      <c r="A2745" s="401">
        <v>3672</v>
      </c>
      <c r="B2745" s="411" t="s">
        <v>9886</v>
      </c>
      <c r="C2745" s="401" t="s">
        <v>1002</v>
      </c>
      <c r="D2745" s="600">
        <v>0.93</v>
      </c>
    </row>
    <row r="2746" spans="1:4">
      <c r="A2746" s="401">
        <v>3671</v>
      </c>
      <c r="B2746" s="411" t="s">
        <v>9887</v>
      </c>
      <c r="C2746" s="401" t="s">
        <v>1002</v>
      </c>
      <c r="D2746" s="600">
        <v>0.88</v>
      </c>
    </row>
    <row r="2747" spans="1:4">
      <c r="A2747" s="401">
        <v>3673</v>
      </c>
      <c r="B2747" s="411" t="s">
        <v>9888</v>
      </c>
      <c r="C2747" s="401" t="s">
        <v>1002</v>
      </c>
      <c r="D2747" s="600">
        <v>1.38</v>
      </c>
    </row>
    <row r="2748" spans="1:4" ht="25.5">
      <c r="A2748" s="401">
        <v>38394</v>
      </c>
      <c r="B2748" s="411" t="s">
        <v>9889</v>
      </c>
      <c r="C2748" s="401" t="s">
        <v>998</v>
      </c>
      <c r="D2748" s="600">
        <v>283.14</v>
      </c>
    </row>
    <row r="2749" spans="1:4">
      <c r="A2749" s="401">
        <v>3729</v>
      </c>
      <c r="B2749" s="411" t="s">
        <v>9890</v>
      </c>
      <c r="C2749" s="401" t="s">
        <v>998</v>
      </c>
      <c r="D2749" s="600">
        <v>58.87</v>
      </c>
    </row>
    <row r="2750" spans="1:4" ht="63.75">
      <c r="A2750" s="401">
        <v>39357</v>
      </c>
      <c r="B2750" s="411" t="s">
        <v>9891</v>
      </c>
      <c r="C2750" s="401" t="s">
        <v>998</v>
      </c>
      <c r="D2750" s="600">
        <v>92.5</v>
      </c>
    </row>
    <row r="2751" spans="1:4" ht="63.75">
      <c r="A2751" s="401">
        <v>39358</v>
      </c>
      <c r="B2751" s="411" t="s">
        <v>9892</v>
      </c>
      <c r="C2751" s="401" t="s">
        <v>998</v>
      </c>
      <c r="D2751" s="600">
        <v>101.43</v>
      </c>
    </row>
    <row r="2752" spans="1:4" ht="63.75">
      <c r="A2752" s="401">
        <v>39356</v>
      </c>
      <c r="B2752" s="411" t="s">
        <v>9893</v>
      </c>
      <c r="C2752" s="401" t="s">
        <v>998</v>
      </c>
      <c r="D2752" s="600">
        <v>173.05</v>
      </c>
    </row>
    <row r="2753" spans="1:4" ht="63.75">
      <c r="A2753" s="401">
        <v>39355</v>
      </c>
      <c r="B2753" s="411" t="s">
        <v>9894</v>
      </c>
      <c r="C2753" s="401" t="s">
        <v>998</v>
      </c>
      <c r="D2753" s="600">
        <v>148.91</v>
      </c>
    </row>
    <row r="2754" spans="1:4" ht="51">
      <c r="A2754" s="401">
        <v>39353</v>
      </c>
      <c r="B2754" s="411" t="s">
        <v>9895</v>
      </c>
      <c r="C2754" s="401" t="s">
        <v>998</v>
      </c>
      <c r="D2754" s="600">
        <v>204.21</v>
      </c>
    </row>
    <row r="2755" spans="1:4" ht="51">
      <c r="A2755" s="401">
        <v>39354</v>
      </c>
      <c r="B2755" s="411" t="s">
        <v>9896</v>
      </c>
      <c r="C2755" s="401" t="s">
        <v>998</v>
      </c>
      <c r="D2755" s="600">
        <v>203.53</v>
      </c>
    </row>
    <row r="2756" spans="1:4">
      <c r="A2756" s="401">
        <v>39398</v>
      </c>
      <c r="B2756" s="411" t="s">
        <v>9897</v>
      </c>
      <c r="C2756" s="401" t="s">
        <v>998</v>
      </c>
      <c r="D2756" s="600">
        <v>61.95</v>
      </c>
    </row>
    <row r="2757" spans="1:4" ht="25.5">
      <c r="A2757" s="401">
        <v>13343</v>
      </c>
      <c r="B2757" s="411" t="s">
        <v>9898</v>
      </c>
      <c r="C2757" s="401" t="s">
        <v>998</v>
      </c>
      <c r="D2757" s="600">
        <v>30.91</v>
      </c>
    </row>
    <row r="2758" spans="1:4" ht="25.5">
      <c r="A2758" s="401">
        <v>12118</v>
      </c>
      <c r="B2758" s="411" t="s">
        <v>9899</v>
      </c>
      <c r="C2758" s="401" t="s">
        <v>998</v>
      </c>
      <c r="D2758" s="600">
        <v>13.56</v>
      </c>
    </row>
    <row r="2759" spans="1:4" ht="38.25">
      <c r="A2759" s="401">
        <v>39482</v>
      </c>
      <c r="B2759" s="411" t="s">
        <v>9900</v>
      </c>
      <c r="C2759" s="401" t="s">
        <v>998</v>
      </c>
      <c r="D2759" s="600">
        <v>471.94</v>
      </c>
    </row>
    <row r="2760" spans="1:4" ht="38.25">
      <c r="A2760" s="401">
        <v>39486</v>
      </c>
      <c r="B2760" s="411" t="s">
        <v>9901</v>
      </c>
      <c r="C2760" s="401" t="s">
        <v>998</v>
      </c>
      <c r="D2760" s="600">
        <v>415.79</v>
      </c>
    </row>
    <row r="2761" spans="1:4" ht="38.25">
      <c r="A2761" s="401">
        <v>39483</v>
      </c>
      <c r="B2761" s="411" t="s">
        <v>9902</v>
      </c>
      <c r="C2761" s="401" t="s">
        <v>998</v>
      </c>
      <c r="D2761" s="600">
        <v>450.12</v>
      </c>
    </row>
    <row r="2762" spans="1:4" ht="38.25">
      <c r="A2762" s="401">
        <v>39487</v>
      </c>
      <c r="B2762" s="411" t="s">
        <v>9903</v>
      </c>
      <c r="C2762" s="401" t="s">
        <v>998</v>
      </c>
      <c r="D2762" s="600">
        <v>420.09</v>
      </c>
    </row>
    <row r="2763" spans="1:4" ht="38.25">
      <c r="A2763" s="401">
        <v>39484</v>
      </c>
      <c r="B2763" s="411" t="s">
        <v>9904</v>
      </c>
      <c r="C2763" s="401" t="s">
        <v>998</v>
      </c>
      <c r="D2763" s="600">
        <v>454.41</v>
      </c>
    </row>
    <row r="2764" spans="1:4" ht="38.25">
      <c r="A2764" s="401">
        <v>39488</v>
      </c>
      <c r="B2764" s="411" t="s">
        <v>9905</v>
      </c>
      <c r="C2764" s="401" t="s">
        <v>998</v>
      </c>
      <c r="D2764" s="600">
        <v>424.38</v>
      </c>
    </row>
    <row r="2765" spans="1:4" ht="38.25">
      <c r="A2765" s="401">
        <v>39485</v>
      </c>
      <c r="B2765" s="411" t="s">
        <v>9906</v>
      </c>
      <c r="C2765" s="401" t="s">
        <v>998</v>
      </c>
      <c r="D2765" s="600">
        <v>475.89</v>
      </c>
    </row>
    <row r="2766" spans="1:4" ht="38.25">
      <c r="A2766" s="401">
        <v>39489</v>
      </c>
      <c r="B2766" s="411" t="s">
        <v>9907</v>
      </c>
      <c r="C2766" s="401" t="s">
        <v>998</v>
      </c>
      <c r="D2766" s="600">
        <v>445.85</v>
      </c>
    </row>
    <row r="2767" spans="1:4" ht="38.25">
      <c r="A2767" s="401">
        <v>39494</v>
      </c>
      <c r="B2767" s="411" t="s">
        <v>9908</v>
      </c>
      <c r="C2767" s="401" t="s">
        <v>998</v>
      </c>
      <c r="D2767" s="600">
        <v>454.78</v>
      </c>
    </row>
    <row r="2768" spans="1:4" ht="38.25">
      <c r="A2768" s="401">
        <v>39490</v>
      </c>
      <c r="B2768" s="411" t="s">
        <v>9909</v>
      </c>
      <c r="C2768" s="401" t="s">
        <v>998</v>
      </c>
      <c r="D2768" s="600">
        <v>515.53</v>
      </c>
    </row>
    <row r="2769" spans="1:4" ht="38.25">
      <c r="A2769" s="401">
        <v>39495</v>
      </c>
      <c r="B2769" s="411" t="s">
        <v>9910</v>
      </c>
      <c r="C2769" s="401" t="s">
        <v>998</v>
      </c>
      <c r="D2769" s="600">
        <v>471.94</v>
      </c>
    </row>
    <row r="2770" spans="1:4" ht="38.25">
      <c r="A2770" s="401">
        <v>39491</v>
      </c>
      <c r="B2770" s="411" t="s">
        <v>9911</v>
      </c>
      <c r="C2770" s="401" t="s">
        <v>998</v>
      </c>
      <c r="D2770" s="600">
        <v>532</v>
      </c>
    </row>
    <row r="2771" spans="1:4" ht="38.25">
      <c r="A2771" s="401">
        <v>39496</v>
      </c>
      <c r="B2771" s="411" t="s">
        <v>9912</v>
      </c>
      <c r="C2771" s="401" t="s">
        <v>998</v>
      </c>
      <c r="D2771" s="600">
        <v>488.93</v>
      </c>
    </row>
    <row r="2772" spans="1:4" ht="38.25">
      <c r="A2772" s="401">
        <v>39492</v>
      </c>
      <c r="B2772" s="411" t="s">
        <v>9913</v>
      </c>
      <c r="C2772" s="401" t="s">
        <v>998</v>
      </c>
      <c r="D2772" s="600">
        <v>535.27</v>
      </c>
    </row>
    <row r="2773" spans="1:4" ht="38.25">
      <c r="A2773" s="401">
        <v>39497</v>
      </c>
      <c r="B2773" s="411" t="s">
        <v>9914</v>
      </c>
      <c r="C2773" s="401" t="s">
        <v>998</v>
      </c>
      <c r="D2773" s="600">
        <v>506.09</v>
      </c>
    </row>
    <row r="2774" spans="1:4" ht="38.25">
      <c r="A2774" s="401">
        <v>39493</v>
      </c>
      <c r="B2774" s="411" t="s">
        <v>9915</v>
      </c>
      <c r="C2774" s="401" t="s">
        <v>998</v>
      </c>
      <c r="D2774" s="600">
        <v>566.33000000000004</v>
      </c>
    </row>
    <row r="2775" spans="1:4" ht="38.25">
      <c r="A2775" s="401">
        <v>39500</v>
      </c>
      <c r="B2775" s="411" t="s">
        <v>9916</v>
      </c>
      <c r="C2775" s="401" t="s">
        <v>998</v>
      </c>
      <c r="D2775" s="600">
        <v>568.17999999999995</v>
      </c>
    </row>
    <row r="2776" spans="1:4" ht="38.25">
      <c r="A2776" s="401">
        <v>39498</v>
      </c>
      <c r="B2776" s="411" t="s">
        <v>9917</v>
      </c>
      <c r="C2776" s="401" t="s">
        <v>998</v>
      </c>
      <c r="D2776" s="600">
        <v>631.79999999999995</v>
      </c>
    </row>
    <row r="2777" spans="1:4" ht="38.25">
      <c r="A2777" s="401">
        <v>39501</v>
      </c>
      <c r="B2777" s="411" t="s">
        <v>9918</v>
      </c>
      <c r="C2777" s="401" t="s">
        <v>998</v>
      </c>
      <c r="D2777" s="600">
        <v>582.97</v>
      </c>
    </row>
    <row r="2778" spans="1:4" ht="38.25">
      <c r="A2778" s="401">
        <v>39499</v>
      </c>
      <c r="B2778" s="411" t="s">
        <v>9919</v>
      </c>
      <c r="C2778" s="401" t="s">
        <v>998</v>
      </c>
      <c r="D2778" s="600">
        <v>685.39</v>
      </c>
    </row>
    <row r="2779" spans="1:4" ht="25.5">
      <c r="A2779" s="401">
        <v>3733</v>
      </c>
      <c r="B2779" s="411" t="s">
        <v>9920</v>
      </c>
      <c r="C2779" s="401" t="s">
        <v>1003</v>
      </c>
      <c r="D2779" s="600">
        <v>50.09</v>
      </c>
    </row>
    <row r="2780" spans="1:4">
      <c r="A2780" s="401">
        <v>3731</v>
      </c>
      <c r="B2780" s="411" t="s">
        <v>9921</v>
      </c>
      <c r="C2780" s="401" t="s">
        <v>1003</v>
      </c>
      <c r="D2780" s="600">
        <v>46.5</v>
      </c>
    </row>
    <row r="2781" spans="1:4">
      <c r="A2781" s="401">
        <v>38137</v>
      </c>
      <c r="B2781" s="411" t="s">
        <v>9922</v>
      </c>
      <c r="C2781" s="401" t="s">
        <v>1003</v>
      </c>
      <c r="D2781" s="600">
        <v>46.77</v>
      </c>
    </row>
    <row r="2782" spans="1:4">
      <c r="A2782" s="401">
        <v>38135</v>
      </c>
      <c r="B2782" s="411" t="s">
        <v>9923</v>
      </c>
      <c r="C2782" s="401" t="s">
        <v>1003</v>
      </c>
      <c r="D2782" s="600">
        <v>59.29</v>
      </c>
    </row>
    <row r="2783" spans="1:4">
      <c r="A2783" s="401">
        <v>38138</v>
      </c>
      <c r="B2783" s="411" t="s">
        <v>9924</v>
      </c>
      <c r="C2783" s="401" t="s">
        <v>1003</v>
      </c>
      <c r="D2783" s="600">
        <v>45.93</v>
      </c>
    </row>
    <row r="2784" spans="1:4" ht="25.5">
      <c r="A2784" s="401">
        <v>3736</v>
      </c>
      <c r="B2784" s="411" t="s">
        <v>9925</v>
      </c>
      <c r="C2784" s="401" t="s">
        <v>1003</v>
      </c>
      <c r="D2784" s="600">
        <v>41.5</v>
      </c>
    </row>
    <row r="2785" spans="1:4" ht="25.5">
      <c r="A2785" s="401">
        <v>3741</v>
      </c>
      <c r="B2785" s="411" t="s">
        <v>9926</v>
      </c>
      <c r="C2785" s="401" t="s">
        <v>1003</v>
      </c>
      <c r="D2785" s="600">
        <v>43.26</v>
      </c>
    </row>
    <row r="2786" spans="1:4" ht="25.5">
      <c r="A2786" s="401">
        <v>3745</v>
      </c>
      <c r="B2786" s="411" t="s">
        <v>9927</v>
      </c>
      <c r="C2786" s="401" t="s">
        <v>1003</v>
      </c>
      <c r="D2786" s="600">
        <v>46.64</v>
      </c>
    </row>
    <row r="2787" spans="1:4" ht="25.5">
      <c r="A2787" s="401">
        <v>3743</v>
      </c>
      <c r="B2787" s="411" t="s">
        <v>9928</v>
      </c>
      <c r="C2787" s="401" t="s">
        <v>1003</v>
      </c>
      <c r="D2787" s="600">
        <v>43.1</v>
      </c>
    </row>
    <row r="2788" spans="1:4" ht="25.5">
      <c r="A2788" s="401">
        <v>3744</v>
      </c>
      <c r="B2788" s="411" t="s">
        <v>9929</v>
      </c>
      <c r="C2788" s="401" t="s">
        <v>1003</v>
      </c>
      <c r="D2788" s="600">
        <v>47.45</v>
      </c>
    </row>
    <row r="2789" spans="1:4" ht="25.5">
      <c r="A2789" s="401">
        <v>3739</v>
      </c>
      <c r="B2789" s="411" t="s">
        <v>9930</v>
      </c>
      <c r="C2789" s="401" t="s">
        <v>1003</v>
      </c>
      <c r="D2789" s="600">
        <v>49.86</v>
      </c>
    </row>
    <row r="2790" spans="1:4" ht="25.5">
      <c r="A2790" s="401">
        <v>3737</v>
      </c>
      <c r="B2790" s="411" t="s">
        <v>9931</v>
      </c>
      <c r="C2790" s="401" t="s">
        <v>1003</v>
      </c>
      <c r="D2790" s="600">
        <v>52.27</v>
      </c>
    </row>
    <row r="2791" spans="1:4" ht="25.5">
      <c r="A2791" s="401">
        <v>3738</v>
      </c>
      <c r="B2791" s="411" t="s">
        <v>9932</v>
      </c>
      <c r="C2791" s="401" t="s">
        <v>1003</v>
      </c>
      <c r="D2791" s="600">
        <v>60.31</v>
      </c>
    </row>
    <row r="2792" spans="1:4" ht="25.5">
      <c r="A2792" s="401">
        <v>3747</v>
      </c>
      <c r="B2792" s="411" t="s">
        <v>9933</v>
      </c>
      <c r="C2792" s="401" t="s">
        <v>1003</v>
      </c>
      <c r="D2792" s="600">
        <v>47.45</v>
      </c>
    </row>
    <row r="2793" spans="1:4" ht="25.5">
      <c r="A2793" s="401">
        <v>11649</v>
      </c>
      <c r="B2793" s="411" t="s">
        <v>9934</v>
      </c>
      <c r="C2793" s="401" t="s">
        <v>998</v>
      </c>
      <c r="D2793" s="600">
        <v>344.22</v>
      </c>
    </row>
    <row r="2794" spans="1:4" ht="25.5">
      <c r="A2794" s="401">
        <v>11650</v>
      </c>
      <c r="B2794" s="411" t="s">
        <v>9935</v>
      </c>
      <c r="C2794" s="401" t="s">
        <v>998</v>
      </c>
      <c r="D2794" s="600">
        <v>586.71</v>
      </c>
    </row>
    <row r="2795" spans="1:4" ht="25.5">
      <c r="A2795" s="401">
        <v>3742</v>
      </c>
      <c r="B2795" s="411" t="s">
        <v>9936</v>
      </c>
      <c r="C2795" s="401" t="s">
        <v>1003</v>
      </c>
      <c r="D2795" s="600">
        <v>62.57</v>
      </c>
    </row>
    <row r="2796" spans="1:4" ht="25.5">
      <c r="A2796" s="401">
        <v>3746</v>
      </c>
      <c r="B2796" s="411" t="s">
        <v>9937</v>
      </c>
      <c r="C2796" s="401" t="s">
        <v>1003</v>
      </c>
      <c r="D2796" s="600">
        <v>73.05</v>
      </c>
    </row>
    <row r="2797" spans="1:4" ht="25.5">
      <c r="A2797" s="401">
        <v>21106</v>
      </c>
      <c r="B2797" s="411" t="s">
        <v>9938</v>
      </c>
      <c r="C2797" s="401" t="s">
        <v>995</v>
      </c>
      <c r="D2797" s="600">
        <v>24.51</v>
      </c>
    </row>
    <row r="2798" spans="1:4">
      <c r="A2798" s="401">
        <v>3755</v>
      </c>
      <c r="B2798" s="411" t="s">
        <v>9939</v>
      </c>
      <c r="C2798" s="401" t="s">
        <v>998</v>
      </c>
      <c r="D2798" s="600">
        <v>15.02</v>
      </c>
    </row>
    <row r="2799" spans="1:4">
      <c r="A2799" s="401">
        <v>3750</v>
      </c>
      <c r="B2799" s="411" t="s">
        <v>9940</v>
      </c>
      <c r="C2799" s="401" t="s">
        <v>998</v>
      </c>
      <c r="D2799" s="600">
        <v>20.2</v>
      </c>
    </row>
    <row r="2800" spans="1:4">
      <c r="A2800" s="401">
        <v>3756</v>
      </c>
      <c r="B2800" s="411" t="s">
        <v>9941</v>
      </c>
      <c r="C2800" s="401" t="s">
        <v>998</v>
      </c>
      <c r="D2800" s="600">
        <v>37.74</v>
      </c>
    </row>
    <row r="2801" spans="1:4">
      <c r="A2801" s="401">
        <v>39377</v>
      </c>
      <c r="B2801" s="411" t="s">
        <v>9942</v>
      </c>
      <c r="C2801" s="401" t="s">
        <v>998</v>
      </c>
      <c r="D2801" s="600">
        <v>111.82</v>
      </c>
    </row>
    <row r="2802" spans="1:4">
      <c r="A2802" s="401">
        <v>38191</v>
      </c>
      <c r="B2802" s="411" t="s">
        <v>9943</v>
      </c>
      <c r="C2802" s="401" t="s">
        <v>998</v>
      </c>
      <c r="D2802" s="600">
        <v>8.32</v>
      </c>
    </row>
    <row r="2803" spans="1:4">
      <c r="A2803" s="401">
        <v>39381</v>
      </c>
      <c r="B2803" s="411" t="s">
        <v>9944</v>
      </c>
      <c r="C2803" s="401" t="s">
        <v>998</v>
      </c>
      <c r="D2803" s="600">
        <v>7.76</v>
      </c>
    </row>
    <row r="2804" spans="1:4">
      <c r="A2804" s="401">
        <v>38780</v>
      </c>
      <c r="B2804" s="411" t="s">
        <v>9945</v>
      </c>
      <c r="C2804" s="401" t="s">
        <v>998</v>
      </c>
      <c r="D2804" s="600">
        <v>9.5</v>
      </c>
    </row>
    <row r="2805" spans="1:4">
      <c r="A2805" s="401">
        <v>38781</v>
      </c>
      <c r="B2805" s="411" t="s">
        <v>9946</v>
      </c>
      <c r="C2805" s="401" t="s">
        <v>998</v>
      </c>
      <c r="D2805" s="600">
        <v>32.07</v>
      </c>
    </row>
    <row r="2806" spans="1:4">
      <c r="A2806" s="401">
        <v>38192</v>
      </c>
      <c r="B2806" s="411" t="s">
        <v>9947</v>
      </c>
      <c r="C2806" s="401" t="s">
        <v>998</v>
      </c>
      <c r="D2806" s="600">
        <v>58.03</v>
      </c>
    </row>
    <row r="2807" spans="1:4">
      <c r="A2807" s="401">
        <v>3753</v>
      </c>
      <c r="B2807" s="411" t="s">
        <v>9948</v>
      </c>
      <c r="C2807" s="401" t="s">
        <v>998</v>
      </c>
      <c r="D2807" s="600">
        <v>5.08</v>
      </c>
    </row>
    <row r="2808" spans="1:4">
      <c r="A2808" s="401">
        <v>38782</v>
      </c>
      <c r="B2808" s="411" t="s">
        <v>9949</v>
      </c>
      <c r="C2808" s="401" t="s">
        <v>998</v>
      </c>
      <c r="D2808" s="600">
        <v>6.61</v>
      </c>
    </row>
    <row r="2809" spans="1:4">
      <c r="A2809" s="401">
        <v>38778</v>
      </c>
      <c r="B2809" s="411" t="s">
        <v>9950</v>
      </c>
      <c r="C2809" s="401" t="s">
        <v>998</v>
      </c>
      <c r="D2809" s="600">
        <v>4.96</v>
      </c>
    </row>
    <row r="2810" spans="1:4">
      <c r="A2810" s="401">
        <v>38779</v>
      </c>
      <c r="B2810" s="411" t="s">
        <v>9951</v>
      </c>
      <c r="C2810" s="401" t="s">
        <v>998</v>
      </c>
      <c r="D2810" s="600">
        <v>5.26</v>
      </c>
    </row>
    <row r="2811" spans="1:4">
      <c r="A2811" s="401">
        <v>39388</v>
      </c>
      <c r="B2811" s="411" t="s">
        <v>9952</v>
      </c>
      <c r="C2811" s="401" t="s">
        <v>998</v>
      </c>
      <c r="D2811" s="600">
        <v>8.59</v>
      </c>
    </row>
    <row r="2812" spans="1:4">
      <c r="A2812" s="401">
        <v>39387</v>
      </c>
      <c r="B2812" s="411" t="s">
        <v>9953</v>
      </c>
      <c r="C2812" s="401" t="s">
        <v>998</v>
      </c>
      <c r="D2812" s="600">
        <v>13.4</v>
      </c>
    </row>
    <row r="2813" spans="1:4">
      <c r="A2813" s="401">
        <v>39386</v>
      </c>
      <c r="B2813" s="411" t="s">
        <v>9954</v>
      </c>
      <c r="C2813" s="401" t="s">
        <v>998</v>
      </c>
      <c r="D2813" s="600">
        <v>9.34</v>
      </c>
    </row>
    <row r="2814" spans="1:4">
      <c r="A2814" s="401">
        <v>38194</v>
      </c>
      <c r="B2814" s="411" t="s">
        <v>9955</v>
      </c>
      <c r="C2814" s="401" t="s">
        <v>998</v>
      </c>
      <c r="D2814" s="600">
        <v>6.99</v>
      </c>
    </row>
    <row r="2815" spans="1:4">
      <c r="A2815" s="401">
        <v>38193</v>
      </c>
      <c r="B2815" s="411" t="s">
        <v>9956</v>
      </c>
      <c r="C2815" s="401" t="s">
        <v>998</v>
      </c>
      <c r="D2815" s="600">
        <v>6.07</v>
      </c>
    </row>
    <row r="2816" spans="1:4">
      <c r="A2816" s="401">
        <v>12216</v>
      </c>
      <c r="B2816" s="411" t="s">
        <v>9957</v>
      </c>
      <c r="C2816" s="401" t="s">
        <v>998</v>
      </c>
      <c r="D2816" s="600">
        <v>29.02</v>
      </c>
    </row>
    <row r="2817" spans="1:4">
      <c r="A2817" s="401">
        <v>3757</v>
      </c>
      <c r="B2817" s="411" t="s">
        <v>9958</v>
      </c>
      <c r="C2817" s="401" t="s">
        <v>998</v>
      </c>
      <c r="D2817" s="600">
        <v>33.549999999999997</v>
      </c>
    </row>
    <row r="2818" spans="1:4">
      <c r="A2818" s="401">
        <v>3758</v>
      </c>
      <c r="B2818" s="411" t="s">
        <v>9959</v>
      </c>
      <c r="C2818" s="401" t="s">
        <v>998</v>
      </c>
      <c r="D2818" s="600">
        <v>39.130000000000003</v>
      </c>
    </row>
    <row r="2819" spans="1:4">
      <c r="A2819" s="401">
        <v>12214</v>
      </c>
      <c r="B2819" s="411" t="s">
        <v>9960</v>
      </c>
      <c r="C2819" s="401" t="s">
        <v>998</v>
      </c>
      <c r="D2819" s="600">
        <v>13.39</v>
      </c>
    </row>
    <row r="2820" spans="1:4">
      <c r="A2820" s="401">
        <v>3749</v>
      </c>
      <c r="B2820" s="411" t="s">
        <v>9961</v>
      </c>
      <c r="C2820" s="401" t="s">
        <v>998</v>
      </c>
      <c r="D2820" s="600">
        <v>23.88</v>
      </c>
    </row>
    <row r="2821" spans="1:4">
      <c r="A2821" s="401">
        <v>3751</v>
      </c>
      <c r="B2821" s="411" t="s">
        <v>9962</v>
      </c>
      <c r="C2821" s="401" t="s">
        <v>998</v>
      </c>
      <c r="D2821" s="600">
        <v>32.590000000000003</v>
      </c>
    </row>
    <row r="2822" spans="1:4">
      <c r="A2822" s="401">
        <v>39376</v>
      </c>
      <c r="B2822" s="411" t="s">
        <v>9963</v>
      </c>
      <c r="C2822" s="401" t="s">
        <v>998</v>
      </c>
      <c r="D2822" s="600">
        <v>27.47</v>
      </c>
    </row>
    <row r="2823" spans="1:4">
      <c r="A2823" s="401">
        <v>3752</v>
      </c>
      <c r="B2823" s="411" t="s">
        <v>9964</v>
      </c>
      <c r="C2823" s="401" t="s">
        <v>998</v>
      </c>
      <c r="D2823" s="600">
        <v>53.76</v>
      </c>
    </row>
    <row r="2824" spans="1:4" ht="25.5">
      <c r="A2824" s="401">
        <v>746</v>
      </c>
      <c r="B2824" s="411" t="s">
        <v>9965</v>
      </c>
      <c r="C2824" s="401" t="s">
        <v>998</v>
      </c>
      <c r="D2824" s="600">
        <v>4586.78</v>
      </c>
    </row>
    <row r="2825" spans="1:4">
      <c r="A2825" s="401">
        <v>36521</v>
      </c>
      <c r="B2825" s="411" t="s">
        <v>9966</v>
      </c>
      <c r="C2825" s="401" t="s">
        <v>998</v>
      </c>
      <c r="D2825" s="600">
        <v>106.34</v>
      </c>
    </row>
    <row r="2826" spans="1:4">
      <c r="A2826" s="401">
        <v>36794</v>
      </c>
      <c r="B2826" s="411" t="s">
        <v>9967</v>
      </c>
      <c r="C2826" s="401" t="s">
        <v>998</v>
      </c>
      <c r="D2826" s="600">
        <v>108.4</v>
      </c>
    </row>
    <row r="2827" spans="1:4">
      <c r="A2827" s="401">
        <v>10426</v>
      </c>
      <c r="B2827" s="411" t="s">
        <v>9968</v>
      </c>
      <c r="C2827" s="401" t="s">
        <v>998</v>
      </c>
      <c r="D2827" s="600">
        <v>156.12</v>
      </c>
    </row>
    <row r="2828" spans="1:4">
      <c r="A2828" s="401">
        <v>10425</v>
      </c>
      <c r="B2828" s="411" t="s">
        <v>9969</v>
      </c>
      <c r="C2828" s="401" t="s">
        <v>998</v>
      </c>
      <c r="D2828" s="600">
        <v>68.849999999999994</v>
      </c>
    </row>
    <row r="2829" spans="1:4">
      <c r="A2829" s="401">
        <v>10431</v>
      </c>
      <c r="B2829" s="411" t="s">
        <v>9970</v>
      </c>
      <c r="C2829" s="401" t="s">
        <v>998</v>
      </c>
      <c r="D2829" s="600">
        <v>171.27</v>
      </c>
    </row>
    <row r="2830" spans="1:4">
      <c r="A2830" s="401">
        <v>10429</v>
      </c>
      <c r="B2830" s="411" t="s">
        <v>9971</v>
      </c>
      <c r="C2830" s="401" t="s">
        <v>998</v>
      </c>
      <c r="D2830" s="600">
        <v>82.11</v>
      </c>
    </row>
    <row r="2831" spans="1:4">
      <c r="A2831" s="401">
        <v>20269</v>
      </c>
      <c r="B2831" s="411" t="s">
        <v>9972</v>
      </c>
      <c r="C2831" s="401" t="s">
        <v>998</v>
      </c>
      <c r="D2831" s="600">
        <v>67.67</v>
      </c>
    </row>
    <row r="2832" spans="1:4">
      <c r="A2832" s="401">
        <v>20270</v>
      </c>
      <c r="B2832" s="411" t="s">
        <v>9973</v>
      </c>
      <c r="C2832" s="401" t="s">
        <v>998</v>
      </c>
      <c r="D2832" s="600">
        <v>73.69</v>
      </c>
    </row>
    <row r="2833" spans="1:4">
      <c r="A2833" s="401">
        <v>11696</v>
      </c>
      <c r="B2833" s="411" t="s">
        <v>9974</v>
      </c>
      <c r="C2833" s="401" t="s">
        <v>998</v>
      </c>
      <c r="D2833" s="600">
        <v>107.66</v>
      </c>
    </row>
    <row r="2834" spans="1:4">
      <c r="A2834" s="401">
        <v>10427</v>
      </c>
      <c r="B2834" s="411" t="s">
        <v>9975</v>
      </c>
      <c r="C2834" s="401" t="s">
        <v>998</v>
      </c>
      <c r="D2834" s="600">
        <v>193.04</v>
      </c>
    </row>
    <row r="2835" spans="1:4">
      <c r="A2835" s="401">
        <v>10428</v>
      </c>
      <c r="B2835" s="411" t="s">
        <v>9976</v>
      </c>
      <c r="C2835" s="401" t="s">
        <v>998</v>
      </c>
      <c r="D2835" s="600">
        <v>195.92</v>
      </c>
    </row>
    <row r="2836" spans="1:4">
      <c r="A2836" s="401">
        <v>2354</v>
      </c>
      <c r="B2836" s="411" t="s">
        <v>9977</v>
      </c>
      <c r="C2836" s="401" t="s">
        <v>1001</v>
      </c>
      <c r="D2836" s="600">
        <v>8.4600000000000009</v>
      </c>
    </row>
    <row r="2837" spans="1:4">
      <c r="A2837" s="401">
        <v>40932</v>
      </c>
      <c r="B2837" s="411" t="s">
        <v>9978</v>
      </c>
      <c r="C2837" s="401" t="s">
        <v>1118</v>
      </c>
      <c r="D2837" s="600">
        <v>1501.59</v>
      </c>
    </row>
    <row r="2838" spans="1:4">
      <c r="A2838" s="401">
        <v>10853</v>
      </c>
      <c r="B2838" s="411" t="s">
        <v>9979</v>
      </c>
      <c r="C2838" s="401" t="s">
        <v>998</v>
      </c>
      <c r="D2838" s="600">
        <v>74.540000000000006</v>
      </c>
    </row>
    <row r="2839" spans="1:4">
      <c r="A2839" s="401">
        <v>5093</v>
      </c>
      <c r="B2839" s="411" t="s">
        <v>9980</v>
      </c>
      <c r="C2839" s="401" t="s">
        <v>1011</v>
      </c>
      <c r="D2839" s="600">
        <v>14.71</v>
      </c>
    </row>
    <row r="2840" spans="1:4" ht="25.5">
      <c r="A2840" s="401">
        <v>37768</v>
      </c>
      <c r="B2840" s="411" t="s">
        <v>9981</v>
      </c>
      <c r="C2840" s="401" t="s">
        <v>998</v>
      </c>
      <c r="D2840" s="600">
        <v>98500</v>
      </c>
    </row>
    <row r="2841" spans="1:4" ht="25.5">
      <c r="A2841" s="401">
        <v>37773</v>
      </c>
      <c r="B2841" s="411" t="s">
        <v>9982</v>
      </c>
      <c r="C2841" s="401" t="s">
        <v>998</v>
      </c>
      <c r="D2841" s="600">
        <v>83643.100000000006</v>
      </c>
    </row>
    <row r="2842" spans="1:4" ht="25.5">
      <c r="A2842" s="401">
        <v>37769</v>
      </c>
      <c r="B2842" s="411" t="s">
        <v>9983</v>
      </c>
      <c r="C2842" s="401" t="s">
        <v>998</v>
      </c>
      <c r="D2842" s="600">
        <v>140029.09</v>
      </c>
    </row>
    <row r="2843" spans="1:4" ht="25.5">
      <c r="A2843" s="401">
        <v>37770</v>
      </c>
      <c r="B2843" s="411" t="s">
        <v>9984</v>
      </c>
      <c r="C2843" s="401" t="s">
        <v>998</v>
      </c>
      <c r="D2843" s="600">
        <v>237651.71</v>
      </c>
    </row>
    <row r="2844" spans="1:4">
      <c r="A2844" s="401">
        <v>38382</v>
      </c>
      <c r="B2844" s="411" t="s">
        <v>9985</v>
      </c>
      <c r="C2844" s="401" t="s">
        <v>998</v>
      </c>
      <c r="D2844" s="600">
        <v>10.3</v>
      </c>
    </row>
    <row r="2845" spans="1:4">
      <c r="A2845" s="401">
        <v>6091</v>
      </c>
      <c r="B2845" s="411" t="s">
        <v>9986</v>
      </c>
      <c r="C2845" s="401" t="s">
        <v>997</v>
      </c>
      <c r="D2845" s="600">
        <v>10.84</v>
      </c>
    </row>
    <row r="2846" spans="1:4">
      <c r="A2846" s="401">
        <v>38383</v>
      </c>
      <c r="B2846" s="411" t="s">
        <v>9987</v>
      </c>
      <c r="C2846" s="401" t="s">
        <v>998</v>
      </c>
      <c r="D2846" s="600">
        <v>1.93</v>
      </c>
    </row>
    <row r="2847" spans="1:4">
      <c r="A2847" s="401">
        <v>3768</v>
      </c>
      <c r="B2847" s="411" t="s">
        <v>9988</v>
      </c>
      <c r="C2847" s="401" t="s">
        <v>998</v>
      </c>
      <c r="D2847" s="600">
        <v>2.62</v>
      </c>
    </row>
    <row r="2848" spans="1:4">
      <c r="A2848" s="401">
        <v>3767</v>
      </c>
      <c r="B2848" s="411" t="s">
        <v>9989</v>
      </c>
      <c r="C2848" s="401" t="s">
        <v>998</v>
      </c>
      <c r="D2848" s="600">
        <v>0.62</v>
      </c>
    </row>
    <row r="2849" spans="1:4" ht="25.5">
      <c r="A2849" s="401">
        <v>13192</v>
      </c>
      <c r="B2849" s="411" t="s">
        <v>9990</v>
      </c>
      <c r="C2849" s="401" t="s">
        <v>998</v>
      </c>
      <c r="D2849" s="600">
        <v>5170.37</v>
      </c>
    </row>
    <row r="2850" spans="1:4" ht="25.5">
      <c r="A2850" s="401">
        <v>38413</v>
      </c>
      <c r="B2850" s="411" t="s">
        <v>9991</v>
      </c>
      <c r="C2850" s="401" t="s">
        <v>998</v>
      </c>
      <c r="D2850" s="600">
        <v>855.1</v>
      </c>
    </row>
    <row r="2851" spans="1:4" ht="38.25">
      <c r="A2851" s="401">
        <v>42440</v>
      </c>
      <c r="B2851" s="411" t="s">
        <v>9992</v>
      </c>
      <c r="C2851" s="401" t="s">
        <v>998</v>
      </c>
      <c r="D2851" s="600">
        <v>687.89</v>
      </c>
    </row>
    <row r="2852" spans="1:4" ht="25.5">
      <c r="A2852" s="401">
        <v>20193</v>
      </c>
      <c r="B2852" s="411" t="s">
        <v>9993</v>
      </c>
      <c r="C2852" s="401" t="s">
        <v>6038</v>
      </c>
      <c r="D2852" s="600">
        <v>4.91</v>
      </c>
    </row>
    <row r="2853" spans="1:4" ht="25.5">
      <c r="A2853" s="401">
        <v>10527</v>
      </c>
      <c r="B2853" s="411" t="s">
        <v>9994</v>
      </c>
      <c r="C2853" s="401" t="s">
        <v>6039</v>
      </c>
      <c r="D2853" s="600">
        <v>14.75</v>
      </c>
    </row>
    <row r="2854" spans="1:4" ht="25.5">
      <c r="A2854" s="401">
        <v>41805</v>
      </c>
      <c r="B2854" s="411" t="s">
        <v>9995</v>
      </c>
      <c r="C2854" s="401" t="s">
        <v>1118</v>
      </c>
      <c r="D2854" s="600">
        <v>630</v>
      </c>
    </row>
    <row r="2855" spans="1:4" ht="25.5">
      <c r="A2855" s="401">
        <v>40271</v>
      </c>
      <c r="B2855" s="411" t="s">
        <v>9996</v>
      </c>
      <c r="C2855" s="401" t="s">
        <v>1118</v>
      </c>
      <c r="D2855" s="600">
        <v>9.58</v>
      </c>
    </row>
    <row r="2856" spans="1:4" ht="25.5">
      <c r="A2856" s="401">
        <v>40287</v>
      </c>
      <c r="B2856" s="411" t="s">
        <v>9997</v>
      </c>
      <c r="C2856" s="401" t="s">
        <v>1118</v>
      </c>
      <c r="D2856" s="600">
        <v>3.68</v>
      </c>
    </row>
    <row r="2857" spans="1:4">
      <c r="A2857" s="401">
        <v>40295</v>
      </c>
      <c r="B2857" s="411" t="s">
        <v>9998</v>
      </c>
      <c r="C2857" s="401" t="s">
        <v>1001</v>
      </c>
      <c r="D2857" s="600">
        <v>2.4500000000000002</v>
      </c>
    </row>
    <row r="2858" spans="1:4">
      <c r="A2858" s="401">
        <v>745</v>
      </c>
      <c r="B2858" s="411" t="s">
        <v>9999</v>
      </c>
      <c r="C2858" s="401" t="s">
        <v>1001</v>
      </c>
      <c r="D2858" s="600">
        <v>2.59</v>
      </c>
    </row>
    <row r="2859" spans="1:4" ht="38.25">
      <c r="A2859" s="401">
        <v>4084</v>
      </c>
      <c r="B2859" s="411" t="s">
        <v>10000</v>
      </c>
      <c r="C2859" s="401" t="s">
        <v>1001</v>
      </c>
      <c r="D2859" s="600">
        <v>2.0699999999999998</v>
      </c>
    </row>
    <row r="2860" spans="1:4" ht="38.25">
      <c r="A2860" s="401">
        <v>743</v>
      </c>
      <c r="B2860" s="411" t="s">
        <v>10001</v>
      </c>
      <c r="C2860" s="401" t="s">
        <v>1001</v>
      </c>
      <c r="D2860" s="600">
        <v>2.0699999999999998</v>
      </c>
    </row>
    <row r="2861" spans="1:4" ht="38.25">
      <c r="A2861" s="401">
        <v>40293</v>
      </c>
      <c r="B2861" s="411" t="s">
        <v>10002</v>
      </c>
      <c r="C2861" s="401" t="s">
        <v>1001</v>
      </c>
      <c r="D2861" s="600">
        <v>2.48</v>
      </c>
    </row>
    <row r="2862" spans="1:4" ht="38.25">
      <c r="A2862" s="401">
        <v>40294</v>
      </c>
      <c r="B2862" s="411" t="s">
        <v>10003</v>
      </c>
      <c r="C2862" s="401" t="s">
        <v>1001</v>
      </c>
      <c r="D2862" s="600">
        <v>2.0699999999999998</v>
      </c>
    </row>
    <row r="2863" spans="1:4" ht="38.25">
      <c r="A2863" s="401">
        <v>4085</v>
      </c>
      <c r="B2863" s="411" t="s">
        <v>10004</v>
      </c>
      <c r="C2863" s="401" t="s">
        <v>1001</v>
      </c>
      <c r="D2863" s="600">
        <v>2.89</v>
      </c>
    </row>
    <row r="2864" spans="1:4" ht="25.5">
      <c r="A2864" s="401">
        <v>10775</v>
      </c>
      <c r="B2864" s="411" t="s">
        <v>10005</v>
      </c>
      <c r="C2864" s="401" t="s">
        <v>1118</v>
      </c>
      <c r="D2864" s="600">
        <v>522</v>
      </c>
    </row>
    <row r="2865" spans="1:4" ht="25.5">
      <c r="A2865" s="401">
        <v>10776</v>
      </c>
      <c r="B2865" s="411" t="s">
        <v>10006</v>
      </c>
      <c r="C2865" s="401" t="s">
        <v>1118</v>
      </c>
      <c r="D2865" s="600">
        <v>407.81</v>
      </c>
    </row>
    <row r="2866" spans="1:4" ht="25.5">
      <c r="A2866" s="401">
        <v>10779</v>
      </c>
      <c r="B2866" s="411" t="s">
        <v>10007</v>
      </c>
      <c r="C2866" s="401" t="s">
        <v>1118</v>
      </c>
      <c r="D2866" s="600">
        <v>652.5</v>
      </c>
    </row>
    <row r="2867" spans="1:4" ht="25.5">
      <c r="A2867" s="401">
        <v>10777</v>
      </c>
      <c r="B2867" s="411" t="s">
        <v>10008</v>
      </c>
      <c r="C2867" s="401" t="s">
        <v>1118</v>
      </c>
      <c r="D2867" s="600">
        <v>592.67999999999995</v>
      </c>
    </row>
    <row r="2868" spans="1:4" ht="25.5">
      <c r="A2868" s="401">
        <v>10778</v>
      </c>
      <c r="B2868" s="411" t="s">
        <v>10009</v>
      </c>
      <c r="C2868" s="401" t="s">
        <v>1118</v>
      </c>
      <c r="D2868" s="600">
        <v>652.5</v>
      </c>
    </row>
    <row r="2869" spans="1:4">
      <c r="A2869" s="401">
        <v>40339</v>
      </c>
      <c r="B2869" s="411" t="s">
        <v>10010</v>
      </c>
      <c r="C2869" s="401" t="s">
        <v>1118</v>
      </c>
      <c r="D2869" s="600">
        <v>3.68</v>
      </c>
    </row>
    <row r="2870" spans="1:4" ht="38.25">
      <c r="A2870" s="401">
        <v>3355</v>
      </c>
      <c r="B2870" s="411" t="s">
        <v>10011</v>
      </c>
      <c r="C2870" s="401" t="s">
        <v>1001</v>
      </c>
      <c r="D2870" s="600">
        <v>22.5</v>
      </c>
    </row>
    <row r="2871" spans="1:4" ht="38.25">
      <c r="A2871" s="401">
        <v>39814</v>
      </c>
      <c r="B2871" s="411" t="s">
        <v>10012</v>
      </c>
      <c r="C2871" s="401" t="s">
        <v>1001</v>
      </c>
      <c r="D2871" s="600">
        <v>42.18</v>
      </c>
    </row>
    <row r="2872" spans="1:4" ht="25.5">
      <c r="A2872" s="401">
        <v>10749</v>
      </c>
      <c r="B2872" s="411" t="s">
        <v>10013</v>
      </c>
      <c r="C2872" s="401" t="s">
        <v>1118</v>
      </c>
      <c r="D2872" s="600">
        <v>6.76</v>
      </c>
    </row>
    <row r="2873" spans="1:4">
      <c r="A2873" s="401">
        <v>40290</v>
      </c>
      <c r="B2873" s="411" t="s">
        <v>10014</v>
      </c>
      <c r="C2873" s="401" t="s">
        <v>1118</v>
      </c>
      <c r="D2873" s="600">
        <v>9.73</v>
      </c>
    </row>
    <row r="2874" spans="1:4">
      <c r="A2874" s="401">
        <v>7252</v>
      </c>
      <c r="B2874" s="411" t="s">
        <v>10015</v>
      </c>
      <c r="C2874" s="401" t="s">
        <v>1001</v>
      </c>
      <c r="D2874" s="600">
        <v>2.27</v>
      </c>
    </row>
    <row r="2875" spans="1:4">
      <c r="A2875" s="401">
        <v>4778</v>
      </c>
      <c r="B2875" s="411" t="s">
        <v>10016</v>
      </c>
      <c r="C2875" s="401" t="s">
        <v>1001</v>
      </c>
      <c r="D2875" s="600">
        <v>2.7</v>
      </c>
    </row>
    <row r="2876" spans="1:4">
      <c r="A2876" s="401">
        <v>4780</v>
      </c>
      <c r="B2876" s="411" t="s">
        <v>10017</v>
      </c>
      <c r="C2876" s="401" t="s">
        <v>1001</v>
      </c>
      <c r="D2876" s="600">
        <v>2.92</v>
      </c>
    </row>
    <row r="2877" spans="1:4">
      <c r="A2877" s="401">
        <v>10809</v>
      </c>
      <c r="B2877" s="411" t="s">
        <v>10018</v>
      </c>
      <c r="C2877" s="401" t="s">
        <v>1001</v>
      </c>
      <c r="D2877" s="600">
        <v>1.05</v>
      </c>
    </row>
    <row r="2878" spans="1:4">
      <c r="A2878" s="401">
        <v>10811</v>
      </c>
      <c r="B2878" s="411" t="s">
        <v>10019</v>
      </c>
      <c r="C2878" s="401" t="s">
        <v>1001</v>
      </c>
      <c r="D2878" s="600">
        <v>0.9</v>
      </c>
    </row>
    <row r="2879" spans="1:4" ht="25.5">
      <c r="A2879" s="401">
        <v>7247</v>
      </c>
      <c r="B2879" s="411" t="s">
        <v>10020</v>
      </c>
      <c r="C2879" s="401" t="s">
        <v>1001</v>
      </c>
      <c r="D2879" s="600">
        <v>2.27</v>
      </c>
    </row>
    <row r="2880" spans="1:4" ht="25.5">
      <c r="A2880" s="401">
        <v>40291</v>
      </c>
      <c r="B2880" s="411" t="s">
        <v>10021</v>
      </c>
      <c r="C2880" s="401" t="s">
        <v>1118</v>
      </c>
      <c r="D2880" s="600">
        <v>514.54</v>
      </c>
    </row>
    <row r="2881" spans="1:4" ht="25.5">
      <c r="A2881" s="401">
        <v>40275</v>
      </c>
      <c r="B2881" s="411" t="s">
        <v>10022</v>
      </c>
      <c r="C2881" s="401" t="s">
        <v>1118</v>
      </c>
      <c r="D2881" s="600">
        <v>14.75</v>
      </c>
    </row>
    <row r="2882" spans="1:4">
      <c r="A2882" s="401">
        <v>3777</v>
      </c>
      <c r="B2882" s="411" t="s">
        <v>10023</v>
      </c>
      <c r="C2882" s="401" t="s">
        <v>1003</v>
      </c>
      <c r="D2882" s="600">
        <v>0.92</v>
      </c>
    </row>
    <row r="2883" spans="1:4">
      <c r="A2883" s="401">
        <v>3798</v>
      </c>
      <c r="B2883" s="411" t="s">
        <v>10024</v>
      </c>
      <c r="C2883" s="401" t="s">
        <v>998</v>
      </c>
      <c r="D2883" s="600">
        <v>40.47</v>
      </c>
    </row>
    <row r="2884" spans="1:4" ht="25.5">
      <c r="A2884" s="401">
        <v>38769</v>
      </c>
      <c r="B2884" s="411" t="s">
        <v>10025</v>
      </c>
      <c r="C2884" s="401" t="s">
        <v>998</v>
      </c>
      <c r="D2884" s="600">
        <v>31.6</v>
      </c>
    </row>
    <row r="2885" spans="1:4" ht="25.5">
      <c r="A2885" s="401">
        <v>39510</v>
      </c>
      <c r="B2885" s="411" t="s">
        <v>10026</v>
      </c>
      <c r="C2885" s="401" t="s">
        <v>998</v>
      </c>
      <c r="D2885" s="600">
        <v>127.91</v>
      </c>
    </row>
    <row r="2886" spans="1:4" ht="25.5">
      <c r="A2886" s="401">
        <v>38776</v>
      </c>
      <c r="B2886" s="411" t="s">
        <v>10027</v>
      </c>
      <c r="C2886" s="401" t="s">
        <v>998</v>
      </c>
      <c r="D2886" s="600">
        <v>135.75</v>
      </c>
    </row>
    <row r="2887" spans="1:4" ht="25.5">
      <c r="A2887" s="401">
        <v>38774</v>
      </c>
      <c r="B2887" s="411" t="s">
        <v>10028</v>
      </c>
      <c r="C2887" s="401" t="s">
        <v>998</v>
      </c>
      <c r="D2887" s="600">
        <v>17.559999999999999</v>
      </c>
    </row>
    <row r="2888" spans="1:4" ht="25.5">
      <c r="A2888" s="401">
        <v>42247</v>
      </c>
      <c r="B2888" s="411" t="s">
        <v>10029</v>
      </c>
      <c r="C2888" s="401" t="s">
        <v>998</v>
      </c>
      <c r="D2888" s="600">
        <v>599.38</v>
      </c>
    </row>
    <row r="2889" spans="1:4" ht="25.5">
      <c r="A2889" s="401">
        <v>42248</v>
      </c>
      <c r="B2889" s="411" t="s">
        <v>10030</v>
      </c>
      <c r="C2889" s="401" t="s">
        <v>998</v>
      </c>
      <c r="D2889" s="600">
        <v>696.23</v>
      </c>
    </row>
    <row r="2890" spans="1:4" ht="25.5">
      <c r="A2890" s="401">
        <v>42249</v>
      </c>
      <c r="B2890" s="411" t="s">
        <v>10031</v>
      </c>
      <c r="C2890" s="401" t="s">
        <v>998</v>
      </c>
      <c r="D2890" s="600">
        <v>1153.4000000000001</v>
      </c>
    </row>
    <row r="2891" spans="1:4" ht="25.5">
      <c r="A2891" s="401">
        <v>42244</v>
      </c>
      <c r="B2891" s="411" t="s">
        <v>10032</v>
      </c>
      <c r="C2891" s="401" t="s">
        <v>998</v>
      </c>
      <c r="D2891" s="600">
        <v>180.13</v>
      </c>
    </row>
    <row r="2892" spans="1:4" ht="25.5">
      <c r="A2892" s="401">
        <v>42245</v>
      </c>
      <c r="B2892" s="411" t="s">
        <v>10033</v>
      </c>
      <c r="C2892" s="401" t="s">
        <v>998</v>
      </c>
      <c r="D2892" s="600">
        <v>332.39</v>
      </c>
    </row>
    <row r="2893" spans="1:4" ht="25.5">
      <c r="A2893" s="401">
        <v>42246</v>
      </c>
      <c r="B2893" s="411" t="s">
        <v>10034</v>
      </c>
      <c r="C2893" s="401" t="s">
        <v>998</v>
      </c>
      <c r="D2893" s="600">
        <v>367.94</v>
      </c>
    </row>
    <row r="2894" spans="1:4" ht="25.5">
      <c r="A2894" s="401">
        <v>42243</v>
      </c>
      <c r="B2894" s="411" t="s">
        <v>10035</v>
      </c>
      <c r="C2894" s="401" t="s">
        <v>998</v>
      </c>
      <c r="D2894" s="600">
        <v>443.67</v>
      </c>
    </row>
    <row r="2895" spans="1:4" ht="25.5">
      <c r="A2895" s="401">
        <v>38889</v>
      </c>
      <c r="B2895" s="411" t="s">
        <v>10036</v>
      </c>
      <c r="C2895" s="401" t="s">
        <v>998</v>
      </c>
      <c r="D2895" s="600">
        <v>24.22</v>
      </c>
    </row>
    <row r="2896" spans="1:4" ht="25.5">
      <c r="A2896" s="401">
        <v>38784</v>
      </c>
      <c r="B2896" s="411" t="s">
        <v>10037</v>
      </c>
      <c r="C2896" s="401" t="s">
        <v>998</v>
      </c>
      <c r="D2896" s="600">
        <v>32.409999999999997</v>
      </c>
    </row>
    <row r="2897" spans="1:4" ht="25.5">
      <c r="A2897" s="401">
        <v>3788</v>
      </c>
      <c r="B2897" s="411" t="s">
        <v>10038</v>
      </c>
      <c r="C2897" s="401" t="s">
        <v>998</v>
      </c>
      <c r="D2897" s="600">
        <v>33.770000000000003</v>
      </c>
    </row>
    <row r="2898" spans="1:4" ht="25.5">
      <c r="A2898" s="401">
        <v>12230</v>
      </c>
      <c r="B2898" s="411" t="s">
        <v>10039</v>
      </c>
      <c r="C2898" s="401" t="s">
        <v>998</v>
      </c>
      <c r="D2898" s="600">
        <v>8.68</v>
      </c>
    </row>
    <row r="2899" spans="1:4" ht="25.5">
      <c r="A2899" s="401">
        <v>3780</v>
      </c>
      <c r="B2899" s="411" t="s">
        <v>10040</v>
      </c>
      <c r="C2899" s="401" t="s">
        <v>998</v>
      </c>
      <c r="D2899" s="600">
        <v>49.83</v>
      </c>
    </row>
    <row r="2900" spans="1:4" ht="25.5">
      <c r="A2900" s="401">
        <v>12231</v>
      </c>
      <c r="B2900" s="411" t="s">
        <v>10041</v>
      </c>
      <c r="C2900" s="401" t="s">
        <v>998</v>
      </c>
      <c r="D2900" s="600">
        <v>14.44</v>
      </c>
    </row>
    <row r="2901" spans="1:4" ht="25.5">
      <c r="A2901" s="401">
        <v>3811</v>
      </c>
      <c r="B2901" s="411" t="s">
        <v>10042</v>
      </c>
      <c r="C2901" s="401" t="s">
        <v>998</v>
      </c>
      <c r="D2901" s="600">
        <v>46.8</v>
      </c>
    </row>
    <row r="2902" spans="1:4" ht="25.5">
      <c r="A2902" s="401">
        <v>12232</v>
      </c>
      <c r="B2902" s="411" t="s">
        <v>10043</v>
      </c>
      <c r="C2902" s="401" t="s">
        <v>998</v>
      </c>
      <c r="D2902" s="600">
        <v>15.13</v>
      </c>
    </row>
    <row r="2903" spans="1:4" ht="25.5">
      <c r="A2903" s="401">
        <v>3799</v>
      </c>
      <c r="B2903" s="411" t="s">
        <v>10044</v>
      </c>
      <c r="C2903" s="401" t="s">
        <v>998</v>
      </c>
      <c r="D2903" s="600">
        <v>66.19</v>
      </c>
    </row>
    <row r="2904" spans="1:4" ht="25.5">
      <c r="A2904" s="401">
        <v>12239</v>
      </c>
      <c r="B2904" s="411" t="s">
        <v>10045</v>
      </c>
      <c r="C2904" s="401" t="s">
        <v>998</v>
      </c>
      <c r="D2904" s="600">
        <v>19.809999999999999</v>
      </c>
    </row>
    <row r="2905" spans="1:4" ht="25.5">
      <c r="A2905" s="401">
        <v>38773</v>
      </c>
      <c r="B2905" s="411" t="s">
        <v>10046</v>
      </c>
      <c r="C2905" s="401" t="s">
        <v>998</v>
      </c>
      <c r="D2905" s="600">
        <v>3.17</v>
      </c>
    </row>
    <row r="2906" spans="1:4">
      <c r="A2906" s="401">
        <v>12271</v>
      </c>
      <c r="B2906" s="411" t="s">
        <v>10047</v>
      </c>
      <c r="C2906" s="401" t="s">
        <v>998</v>
      </c>
      <c r="D2906" s="600">
        <v>177.23</v>
      </c>
    </row>
    <row r="2907" spans="1:4" ht="25.5">
      <c r="A2907" s="401">
        <v>38785</v>
      </c>
      <c r="B2907" s="411" t="s">
        <v>10048</v>
      </c>
      <c r="C2907" s="401" t="s">
        <v>998</v>
      </c>
      <c r="D2907" s="600">
        <v>83.91</v>
      </c>
    </row>
    <row r="2908" spans="1:4" ht="25.5">
      <c r="A2908" s="401">
        <v>38786</v>
      </c>
      <c r="B2908" s="411" t="s">
        <v>10049</v>
      </c>
      <c r="C2908" s="401" t="s">
        <v>998</v>
      </c>
      <c r="D2908" s="600">
        <v>103.36</v>
      </c>
    </row>
    <row r="2909" spans="1:4">
      <c r="A2909" s="401">
        <v>39385</v>
      </c>
      <c r="B2909" s="411" t="s">
        <v>10050</v>
      </c>
      <c r="C2909" s="401" t="s">
        <v>998</v>
      </c>
      <c r="D2909" s="600">
        <v>16.059999999999999</v>
      </c>
    </row>
    <row r="2910" spans="1:4">
      <c r="A2910" s="401">
        <v>39389</v>
      </c>
      <c r="B2910" s="411" t="s">
        <v>10051</v>
      </c>
      <c r="C2910" s="401" t="s">
        <v>998</v>
      </c>
      <c r="D2910" s="600">
        <v>17.420000000000002</v>
      </c>
    </row>
    <row r="2911" spans="1:4">
      <c r="A2911" s="401">
        <v>39390</v>
      </c>
      <c r="B2911" s="411" t="s">
        <v>10052</v>
      </c>
      <c r="C2911" s="401" t="s">
        <v>998</v>
      </c>
      <c r="D2911" s="600">
        <v>36.53</v>
      </c>
    </row>
    <row r="2912" spans="1:4">
      <c r="A2912" s="401">
        <v>39391</v>
      </c>
      <c r="B2912" s="411" t="s">
        <v>10053</v>
      </c>
      <c r="C2912" s="401" t="s">
        <v>998</v>
      </c>
      <c r="D2912" s="600">
        <v>41.01</v>
      </c>
    </row>
    <row r="2913" spans="1:4" ht="25.5">
      <c r="A2913" s="401">
        <v>3803</v>
      </c>
      <c r="B2913" s="411" t="s">
        <v>10054</v>
      </c>
      <c r="C2913" s="401" t="s">
        <v>998</v>
      </c>
      <c r="D2913" s="600">
        <v>29.97</v>
      </c>
    </row>
    <row r="2914" spans="1:4" ht="25.5">
      <c r="A2914" s="401">
        <v>38770</v>
      </c>
      <c r="B2914" s="411" t="s">
        <v>10055</v>
      </c>
      <c r="C2914" s="401" t="s">
        <v>998</v>
      </c>
      <c r="D2914" s="600">
        <v>34.700000000000003</v>
      </c>
    </row>
    <row r="2915" spans="1:4">
      <c r="A2915" s="401">
        <v>12267</v>
      </c>
      <c r="B2915" s="411" t="s">
        <v>10056</v>
      </c>
      <c r="C2915" s="401" t="s">
        <v>998</v>
      </c>
      <c r="D2915" s="600">
        <v>101.69</v>
      </c>
    </row>
    <row r="2916" spans="1:4" ht="51">
      <c r="A2916" s="401">
        <v>43265</v>
      </c>
      <c r="B2916" s="411" t="s">
        <v>10057</v>
      </c>
      <c r="C2916" s="401" t="s">
        <v>998</v>
      </c>
      <c r="D2916" s="600">
        <v>50.22</v>
      </c>
    </row>
    <row r="2917" spans="1:4" ht="25.5">
      <c r="A2917" s="401">
        <v>12266</v>
      </c>
      <c r="B2917" s="411" t="s">
        <v>10058</v>
      </c>
      <c r="C2917" s="401" t="s">
        <v>998</v>
      </c>
      <c r="D2917" s="600">
        <v>52.05</v>
      </c>
    </row>
    <row r="2918" spans="1:4" ht="25.5">
      <c r="A2918" s="401">
        <v>39378</v>
      </c>
      <c r="B2918" s="411" t="s">
        <v>10059</v>
      </c>
      <c r="C2918" s="401" t="s">
        <v>998</v>
      </c>
      <c r="D2918" s="600">
        <v>36.9</v>
      </c>
    </row>
    <row r="2919" spans="1:4" ht="25.5">
      <c r="A2919" s="401">
        <v>43543</v>
      </c>
      <c r="B2919" s="411" t="s">
        <v>10060</v>
      </c>
      <c r="C2919" s="401" t="s">
        <v>998</v>
      </c>
      <c r="D2919" s="600">
        <v>76.88</v>
      </c>
    </row>
    <row r="2920" spans="1:4" ht="25.5">
      <c r="A2920" s="401">
        <v>38775</v>
      </c>
      <c r="B2920" s="411" t="s">
        <v>10061</v>
      </c>
      <c r="C2920" s="401" t="s">
        <v>998</v>
      </c>
      <c r="D2920" s="600">
        <v>39.119999999999997</v>
      </c>
    </row>
    <row r="2921" spans="1:4">
      <c r="A2921" s="401">
        <v>21119</v>
      </c>
      <c r="B2921" s="411" t="s">
        <v>10062</v>
      </c>
      <c r="C2921" s="401" t="s">
        <v>998</v>
      </c>
      <c r="D2921" s="600">
        <v>2.0499999999999998</v>
      </c>
    </row>
    <row r="2922" spans="1:4">
      <c r="A2922" s="401">
        <v>37974</v>
      </c>
      <c r="B2922" s="411" t="s">
        <v>10063</v>
      </c>
      <c r="C2922" s="401" t="s">
        <v>998</v>
      </c>
      <c r="D2922" s="600">
        <v>3.05</v>
      </c>
    </row>
    <row r="2923" spans="1:4">
      <c r="A2923" s="401">
        <v>37975</v>
      </c>
      <c r="B2923" s="411" t="s">
        <v>10064</v>
      </c>
      <c r="C2923" s="401" t="s">
        <v>998</v>
      </c>
      <c r="D2923" s="600">
        <v>6.2</v>
      </c>
    </row>
    <row r="2924" spans="1:4">
      <c r="A2924" s="401">
        <v>37976</v>
      </c>
      <c r="B2924" s="411" t="s">
        <v>10065</v>
      </c>
      <c r="C2924" s="401" t="s">
        <v>998</v>
      </c>
      <c r="D2924" s="600">
        <v>12.71</v>
      </c>
    </row>
    <row r="2925" spans="1:4">
      <c r="A2925" s="401">
        <v>37977</v>
      </c>
      <c r="B2925" s="411" t="s">
        <v>10066</v>
      </c>
      <c r="C2925" s="401" t="s">
        <v>998</v>
      </c>
      <c r="D2925" s="600">
        <v>17.48</v>
      </c>
    </row>
    <row r="2926" spans="1:4">
      <c r="A2926" s="401">
        <v>37978</v>
      </c>
      <c r="B2926" s="411" t="s">
        <v>10067</v>
      </c>
      <c r="C2926" s="401" t="s">
        <v>998</v>
      </c>
      <c r="D2926" s="600">
        <v>35.44</v>
      </c>
    </row>
    <row r="2927" spans="1:4">
      <c r="A2927" s="401">
        <v>37979</v>
      </c>
      <c r="B2927" s="411" t="s">
        <v>10068</v>
      </c>
      <c r="C2927" s="401" t="s">
        <v>998</v>
      </c>
      <c r="D2927" s="600">
        <v>152.24</v>
      </c>
    </row>
    <row r="2928" spans="1:4">
      <c r="A2928" s="401">
        <v>37980</v>
      </c>
      <c r="B2928" s="411" t="s">
        <v>10069</v>
      </c>
      <c r="C2928" s="401" t="s">
        <v>998</v>
      </c>
      <c r="D2928" s="600">
        <v>171.09</v>
      </c>
    </row>
    <row r="2929" spans="1:4" ht="25.5">
      <c r="A2929" s="401">
        <v>36147</v>
      </c>
      <c r="B2929" s="411" t="s">
        <v>10070</v>
      </c>
      <c r="C2929" s="401" t="s">
        <v>1011</v>
      </c>
      <c r="D2929" s="600">
        <v>309.22000000000003</v>
      </c>
    </row>
    <row r="2930" spans="1:4">
      <c r="A2930" s="401">
        <v>12731</v>
      </c>
      <c r="B2930" s="411" t="s">
        <v>10071</v>
      </c>
      <c r="C2930" s="401" t="s">
        <v>998</v>
      </c>
      <c r="D2930" s="600">
        <v>238.04</v>
      </c>
    </row>
    <row r="2931" spans="1:4">
      <c r="A2931" s="401">
        <v>12723</v>
      </c>
      <c r="B2931" s="411" t="s">
        <v>10072</v>
      </c>
      <c r="C2931" s="401" t="s">
        <v>998</v>
      </c>
      <c r="D2931" s="600">
        <v>1.84</v>
      </c>
    </row>
    <row r="2932" spans="1:4">
      <c r="A2932" s="401">
        <v>12724</v>
      </c>
      <c r="B2932" s="411" t="s">
        <v>10073</v>
      </c>
      <c r="C2932" s="401" t="s">
        <v>998</v>
      </c>
      <c r="D2932" s="600">
        <v>3.54</v>
      </c>
    </row>
    <row r="2933" spans="1:4">
      <c r="A2933" s="401">
        <v>12725</v>
      </c>
      <c r="B2933" s="411" t="s">
        <v>10074</v>
      </c>
      <c r="C2933" s="401" t="s">
        <v>998</v>
      </c>
      <c r="D2933" s="600">
        <v>7.11</v>
      </c>
    </row>
    <row r="2934" spans="1:4">
      <c r="A2934" s="401">
        <v>12726</v>
      </c>
      <c r="B2934" s="411" t="s">
        <v>10075</v>
      </c>
      <c r="C2934" s="401" t="s">
        <v>998</v>
      </c>
      <c r="D2934" s="600">
        <v>15.7</v>
      </c>
    </row>
    <row r="2935" spans="1:4">
      <c r="A2935" s="401">
        <v>12727</v>
      </c>
      <c r="B2935" s="411" t="s">
        <v>10076</v>
      </c>
      <c r="C2935" s="401" t="s">
        <v>998</v>
      </c>
      <c r="D2935" s="600">
        <v>19.91</v>
      </c>
    </row>
    <row r="2936" spans="1:4">
      <c r="A2936" s="401">
        <v>12728</v>
      </c>
      <c r="B2936" s="411" t="s">
        <v>10077</v>
      </c>
      <c r="C2936" s="401" t="s">
        <v>998</v>
      </c>
      <c r="D2936" s="600">
        <v>32.53</v>
      </c>
    </row>
    <row r="2937" spans="1:4">
      <c r="A2937" s="401">
        <v>12729</v>
      </c>
      <c r="B2937" s="411" t="s">
        <v>10078</v>
      </c>
      <c r="C2937" s="401" t="s">
        <v>998</v>
      </c>
      <c r="D2937" s="600">
        <v>106.62</v>
      </c>
    </row>
    <row r="2938" spans="1:4">
      <c r="A2938" s="401">
        <v>12730</v>
      </c>
      <c r="B2938" s="411" t="s">
        <v>10079</v>
      </c>
      <c r="C2938" s="401" t="s">
        <v>998</v>
      </c>
      <c r="D2938" s="600">
        <v>163.24</v>
      </c>
    </row>
    <row r="2939" spans="1:4">
      <c r="A2939" s="401">
        <v>3840</v>
      </c>
      <c r="B2939" s="411" t="s">
        <v>10080</v>
      </c>
      <c r="C2939" s="401" t="s">
        <v>998</v>
      </c>
      <c r="D2939" s="600">
        <v>39.729999999999997</v>
      </c>
    </row>
    <row r="2940" spans="1:4">
      <c r="A2940" s="401">
        <v>3838</v>
      </c>
      <c r="B2940" s="411" t="s">
        <v>10081</v>
      </c>
      <c r="C2940" s="401" t="s">
        <v>998</v>
      </c>
      <c r="D2940" s="600">
        <v>87.7</v>
      </c>
    </row>
    <row r="2941" spans="1:4">
      <c r="A2941" s="401">
        <v>3844</v>
      </c>
      <c r="B2941" s="411" t="s">
        <v>10082</v>
      </c>
      <c r="C2941" s="401" t="s">
        <v>998</v>
      </c>
      <c r="D2941" s="600">
        <v>156.43</v>
      </c>
    </row>
    <row r="2942" spans="1:4">
      <c r="A2942" s="401">
        <v>3839</v>
      </c>
      <c r="B2942" s="411" t="s">
        <v>10083</v>
      </c>
      <c r="C2942" s="401" t="s">
        <v>998</v>
      </c>
      <c r="D2942" s="600">
        <v>284.93</v>
      </c>
    </row>
    <row r="2943" spans="1:4">
      <c r="A2943" s="401">
        <v>3843</v>
      </c>
      <c r="B2943" s="411" t="s">
        <v>10084</v>
      </c>
      <c r="C2943" s="401" t="s">
        <v>998</v>
      </c>
      <c r="D2943" s="600">
        <v>391.07</v>
      </c>
    </row>
    <row r="2944" spans="1:4">
      <c r="A2944" s="401">
        <v>3900</v>
      </c>
      <c r="B2944" s="411" t="s">
        <v>10085</v>
      </c>
      <c r="C2944" s="401" t="s">
        <v>998</v>
      </c>
      <c r="D2944" s="600">
        <v>31.76</v>
      </c>
    </row>
    <row r="2945" spans="1:4">
      <c r="A2945" s="401">
        <v>3846</v>
      </c>
      <c r="B2945" s="411" t="s">
        <v>10086</v>
      </c>
      <c r="C2945" s="401" t="s">
        <v>998</v>
      </c>
      <c r="D2945" s="600">
        <v>10.01</v>
      </c>
    </row>
    <row r="2946" spans="1:4">
      <c r="A2946" s="401">
        <v>3886</v>
      </c>
      <c r="B2946" s="411" t="s">
        <v>10087</v>
      </c>
      <c r="C2946" s="401" t="s">
        <v>998</v>
      </c>
      <c r="D2946" s="600">
        <v>10.54</v>
      </c>
    </row>
    <row r="2947" spans="1:4">
      <c r="A2947" s="401">
        <v>3854</v>
      </c>
      <c r="B2947" s="411" t="s">
        <v>10088</v>
      </c>
      <c r="C2947" s="401" t="s">
        <v>998</v>
      </c>
      <c r="D2947" s="600">
        <v>5.86</v>
      </c>
    </row>
    <row r="2948" spans="1:4">
      <c r="A2948" s="401">
        <v>3873</v>
      </c>
      <c r="B2948" s="411" t="s">
        <v>10089</v>
      </c>
      <c r="C2948" s="401" t="s">
        <v>998</v>
      </c>
      <c r="D2948" s="600">
        <v>7.75</v>
      </c>
    </row>
    <row r="2949" spans="1:4">
      <c r="A2949" s="401">
        <v>38021</v>
      </c>
      <c r="B2949" s="411" t="s">
        <v>10090</v>
      </c>
      <c r="C2949" s="401" t="s">
        <v>998</v>
      </c>
      <c r="D2949" s="600">
        <v>18.54</v>
      </c>
    </row>
    <row r="2950" spans="1:4">
      <c r="A2950" s="401">
        <v>3847</v>
      </c>
      <c r="B2950" s="411" t="s">
        <v>10091</v>
      </c>
      <c r="C2950" s="401" t="s">
        <v>998</v>
      </c>
      <c r="D2950" s="600">
        <v>21.05</v>
      </c>
    </row>
    <row r="2951" spans="1:4">
      <c r="A2951" s="401">
        <v>38022</v>
      </c>
      <c r="B2951" s="411" t="s">
        <v>10092</v>
      </c>
      <c r="C2951" s="401" t="s">
        <v>998</v>
      </c>
      <c r="D2951" s="600">
        <v>32.880000000000003</v>
      </c>
    </row>
    <row r="2952" spans="1:4">
      <c r="A2952" s="401">
        <v>3833</v>
      </c>
      <c r="B2952" s="411" t="s">
        <v>10093</v>
      </c>
      <c r="C2952" s="401" t="s">
        <v>998</v>
      </c>
      <c r="D2952" s="600">
        <v>13.5</v>
      </c>
    </row>
    <row r="2953" spans="1:4">
      <c r="A2953" s="401">
        <v>3835</v>
      </c>
      <c r="B2953" s="411" t="s">
        <v>10094</v>
      </c>
      <c r="C2953" s="401" t="s">
        <v>998</v>
      </c>
      <c r="D2953" s="600">
        <v>43.97</v>
      </c>
    </row>
    <row r="2954" spans="1:4">
      <c r="A2954" s="401">
        <v>3836</v>
      </c>
      <c r="B2954" s="411" t="s">
        <v>10095</v>
      </c>
      <c r="C2954" s="401" t="s">
        <v>998</v>
      </c>
      <c r="D2954" s="600">
        <v>94.64</v>
      </c>
    </row>
    <row r="2955" spans="1:4">
      <c r="A2955" s="401">
        <v>3830</v>
      </c>
      <c r="B2955" s="411" t="s">
        <v>10096</v>
      </c>
      <c r="C2955" s="401" t="s">
        <v>998</v>
      </c>
      <c r="D2955" s="600">
        <v>154.74</v>
      </c>
    </row>
    <row r="2956" spans="1:4">
      <c r="A2956" s="401">
        <v>3831</v>
      </c>
      <c r="B2956" s="411" t="s">
        <v>10097</v>
      </c>
      <c r="C2956" s="401" t="s">
        <v>998</v>
      </c>
      <c r="D2956" s="600">
        <v>258.67</v>
      </c>
    </row>
    <row r="2957" spans="1:4">
      <c r="A2957" s="401">
        <v>37981</v>
      </c>
      <c r="B2957" s="411" t="s">
        <v>10098</v>
      </c>
      <c r="C2957" s="401" t="s">
        <v>998</v>
      </c>
      <c r="D2957" s="600">
        <v>6.98</v>
      </c>
    </row>
    <row r="2958" spans="1:4">
      <c r="A2958" s="401">
        <v>37982</v>
      </c>
      <c r="B2958" s="411" t="s">
        <v>10099</v>
      </c>
      <c r="C2958" s="401" t="s">
        <v>998</v>
      </c>
      <c r="D2958" s="600">
        <v>10.59</v>
      </c>
    </row>
    <row r="2959" spans="1:4">
      <c r="A2959" s="401">
        <v>37983</v>
      </c>
      <c r="B2959" s="411" t="s">
        <v>10100</v>
      </c>
      <c r="C2959" s="401" t="s">
        <v>998</v>
      </c>
      <c r="D2959" s="600">
        <v>14.83</v>
      </c>
    </row>
    <row r="2960" spans="1:4">
      <c r="A2960" s="401">
        <v>37984</v>
      </c>
      <c r="B2960" s="411" t="s">
        <v>10101</v>
      </c>
      <c r="C2960" s="401" t="s">
        <v>998</v>
      </c>
      <c r="D2960" s="600">
        <v>25.62</v>
      </c>
    </row>
    <row r="2961" spans="1:4">
      <c r="A2961" s="401">
        <v>37985</v>
      </c>
      <c r="B2961" s="411" t="s">
        <v>10102</v>
      </c>
      <c r="C2961" s="401" t="s">
        <v>998</v>
      </c>
      <c r="D2961" s="600">
        <v>35.869999999999997</v>
      </c>
    </row>
    <row r="2962" spans="1:4">
      <c r="A2962" s="401">
        <v>3826</v>
      </c>
      <c r="B2962" s="411" t="s">
        <v>10103</v>
      </c>
      <c r="C2962" s="401" t="s">
        <v>998</v>
      </c>
      <c r="D2962" s="600">
        <v>39.43</v>
      </c>
    </row>
    <row r="2963" spans="1:4">
      <c r="A2963" s="401">
        <v>3825</v>
      </c>
      <c r="B2963" s="411" t="s">
        <v>10104</v>
      </c>
      <c r="C2963" s="401" t="s">
        <v>998</v>
      </c>
      <c r="D2963" s="600">
        <v>11.34</v>
      </c>
    </row>
    <row r="2964" spans="1:4">
      <c r="A2964" s="401">
        <v>3827</v>
      </c>
      <c r="B2964" s="411" t="s">
        <v>10105</v>
      </c>
      <c r="C2964" s="401" t="s">
        <v>998</v>
      </c>
      <c r="D2964" s="600">
        <v>24.77</v>
      </c>
    </row>
    <row r="2965" spans="1:4">
      <c r="A2965" s="401">
        <v>20165</v>
      </c>
      <c r="B2965" s="411" t="s">
        <v>10106</v>
      </c>
      <c r="C2965" s="401" t="s">
        <v>998</v>
      </c>
      <c r="D2965" s="600">
        <v>17.75</v>
      </c>
    </row>
    <row r="2966" spans="1:4">
      <c r="A2966" s="401">
        <v>20166</v>
      </c>
      <c r="B2966" s="411" t="s">
        <v>10107</v>
      </c>
      <c r="C2966" s="401" t="s">
        <v>998</v>
      </c>
      <c r="D2966" s="600">
        <v>57.38</v>
      </c>
    </row>
    <row r="2967" spans="1:4">
      <c r="A2967" s="401">
        <v>20164</v>
      </c>
      <c r="B2967" s="411" t="s">
        <v>10108</v>
      </c>
      <c r="C2967" s="401" t="s">
        <v>998</v>
      </c>
      <c r="D2967" s="600">
        <v>9.3800000000000008</v>
      </c>
    </row>
    <row r="2968" spans="1:4">
      <c r="A2968" s="401">
        <v>3893</v>
      </c>
      <c r="B2968" s="411" t="s">
        <v>10109</v>
      </c>
      <c r="C2968" s="401" t="s">
        <v>998</v>
      </c>
      <c r="D2968" s="600">
        <v>11.64</v>
      </c>
    </row>
    <row r="2969" spans="1:4">
      <c r="A2969" s="401">
        <v>3848</v>
      </c>
      <c r="B2969" s="411" t="s">
        <v>10110</v>
      </c>
      <c r="C2969" s="401" t="s">
        <v>998</v>
      </c>
      <c r="D2969" s="600">
        <v>7.07</v>
      </c>
    </row>
    <row r="2970" spans="1:4">
      <c r="A2970" s="401">
        <v>3895</v>
      </c>
      <c r="B2970" s="411" t="s">
        <v>10111</v>
      </c>
      <c r="C2970" s="401" t="s">
        <v>998</v>
      </c>
      <c r="D2970" s="600">
        <v>7.69</v>
      </c>
    </row>
    <row r="2971" spans="1:4">
      <c r="A2971" s="401">
        <v>12404</v>
      </c>
      <c r="B2971" s="411" t="s">
        <v>10112</v>
      </c>
      <c r="C2971" s="401" t="s">
        <v>998</v>
      </c>
      <c r="D2971" s="600">
        <v>5.58</v>
      </c>
    </row>
    <row r="2972" spans="1:4">
      <c r="A2972" s="401">
        <v>3939</v>
      </c>
      <c r="B2972" s="411" t="s">
        <v>10113</v>
      </c>
      <c r="C2972" s="401" t="s">
        <v>998</v>
      </c>
      <c r="D2972" s="600">
        <v>11.5</v>
      </c>
    </row>
    <row r="2973" spans="1:4">
      <c r="A2973" s="401">
        <v>3911</v>
      </c>
      <c r="B2973" s="411" t="s">
        <v>10114</v>
      </c>
      <c r="C2973" s="401" t="s">
        <v>998</v>
      </c>
      <c r="D2973" s="600">
        <v>9.4</v>
      </c>
    </row>
    <row r="2974" spans="1:4">
      <c r="A2974" s="401">
        <v>3908</v>
      </c>
      <c r="B2974" s="411" t="s">
        <v>10115</v>
      </c>
      <c r="C2974" s="401" t="s">
        <v>998</v>
      </c>
      <c r="D2974" s="600">
        <v>3.04</v>
      </c>
    </row>
    <row r="2975" spans="1:4">
      <c r="A2975" s="401">
        <v>3910</v>
      </c>
      <c r="B2975" s="411" t="s">
        <v>10116</v>
      </c>
      <c r="C2975" s="401" t="s">
        <v>998</v>
      </c>
      <c r="D2975" s="600">
        <v>6.72</v>
      </c>
    </row>
    <row r="2976" spans="1:4">
      <c r="A2976" s="401">
        <v>3913</v>
      </c>
      <c r="B2976" s="411" t="s">
        <v>10117</v>
      </c>
      <c r="C2976" s="401" t="s">
        <v>998</v>
      </c>
      <c r="D2976" s="600">
        <v>32.14</v>
      </c>
    </row>
    <row r="2977" spans="1:4">
      <c r="A2977" s="401">
        <v>3912</v>
      </c>
      <c r="B2977" s="411" t="s">
        <v>10118</v>
      </c>
      <c r="C2977" s="401" t="s">
        <v>998</v>
      </c>
      <c r="D2977" s="600">
        <v>17.62</v>
      </c>
    </row>
    <row r="2978" spans="1:4">
      <c r="A2978" s="401">
        <v>3909</v>
      </c>
      <c r="B2978" s="411" t="s">
        <v>10119</v>
      </c>
      <c r="C2978" s="401" t="s">
        <v>998</v>
      </c>
      <c r="D2978" s="600">
        <v>4.13</v>
      </c>
    </row>
    <row r="2979" spans="1:4">
      <c r="A2979" s="401">
        <v>3914</v>
      </c>
      <c r="B2979" s="411" t="s">
        <v>10120</v>
      </c>
      <c r="C2979" s="401" t="s">
        <v>998</v>
      </c>
      <c r="D2979" s="600">
        <v>48.49</v>
      </c>
    </row>
    <row r="2980" spans="1:4">
      <c r="A2980" s="401">
        <v>3915</v>
      </c>
      <c r="B2980" s="411" t="s">
        <v>10121</v>
      </c>
      <c r="C2980" s="401" t="s">
        <v>998</v>
      </c>
      <c r="D2980" s="600">
        <v>76.47</v>
      </c>
    </row>
    <row r="2981" spans="1:4">
      <c r="A2981" s="401">
        <v>3916</v>
      </c>
      <c r="B2981" s="411" t="s">
        <v>10122</v>
      </c>
      <c r="C2981" s="401" t="s">
        <v>998</v>
      </c>
      <c r="D2981" s="600">
        <v>139.32</v>
      </c>
    </row>
    <row r="2982" spans="1:4">
      <c r="A2982" s="401">
        <v>3917</v>
      </c>
      <c r="B2982" s="411" t="s">
        <v>10123</v>
      </c>
      <c r="C2982" s="401" t="s">
        <v>998</v>
      </c>
      <c r="D2982" s="600">
        <v>229.8</v>
      </c>
    </row>
    <row r="2983" spans="1:4">
      <c r="A2983" s="401">
        <v>1904</v>
      </c>
      <c r="B2983" s="411" t="s">
        <v>10124</v>
      </c>
      <c r="C2983" s="401" t="s">
        <v>998</v>
      </c>
      <c r="D2983" s="600">
        <v>0.66</v>
      </c>
    </row>
    <row r="2984" spans="1:4">
      <c r="A2984" s="401">
        <v>1899</v>
      </c>
      <c r="B2984" s="411" t="s">
        <v>10125</v>
      </c>
      <c r="C2984" s="401" t="s">
        <v>998</v>
      </c>
      <c r="D2984" s="600">
        <v>0.75</v>
      </c>
    </row>
    <row r="2985" spans="1:4">
      <c r="A2985" s="401">
        <v>1900</v>
      </c>
      <c r="B2985" s="411" t="s">
        <v>10126</v>
      </c>
      <c r="C2985" s="401" t="s">
        <v>998</v>
      </c>
      <c r="D2985" s="600">
        <v>1.22</v>
      </c>
    </row>
    <row r="2986" spans="1:4">
      <c r="A2986" s="401">
        <v>12407</v>
      </c>
      <c r="B2986" s="411" t="s">
        <v>10127</v>
      </c>
      <c r="C2986" s="401" t="s">
        <v>998</v>
      </c>
      <c r="D2986" s="600">
        <v>17.39</v>
      </c>
    </row>
    <row r="2987" spans="1:4">
      <c r="A2987" s="401">
        <v>12408</v>
      </c>
      <c r="B2987" s="411" t="s">
        <v>10128</v>
      </c>
      <c r="C2987" s="401" t="s">
        <v>998</v>
      </c>
      <c r="D2987" s="600">
        <v>9.82</v>
      </c>
    </row>
    <row r="2988" spans="1:4">
      <c r="A2988" s="401">
        <v>12409</v>
      </c>
      <c r="B2988" s="411" t="s">
        <v>10129</v>
      </c>
      <c r="C2988" s="401" t="s">
        <v>998</v>
      </c>
      <c r="D2988" s="600">
        <v>9.82</v>
      </c>
    </row>
    <row r="2989" spans="1:4">
      <c r="A2989" s="401">
        <v>12410</v>
      </c>
      <c r="B2989" s="411" t="s">
        <v>10130</v>
      </c>
      <c r="C2989" s="401" t="s">
        <v>998</v>
      </c>
      <c r="D2989" s="600">
        <v>6.76</v>
      </c>
    </row>
    <row r="2990" spans="1:4">
      <c r="A2990" s="401">
        <v>3936</v>
      </c>
      <c r="B2990" s="411" t="s">
        <v>10131</v>
      </c>
      <c r="C2990" s="401" t="s">
        <v>998</v>
      </c>
      <c r="D2990" s="600">
        <v>12.22</v>
      </c>
    </row>
    <row r="2991" spans="1:4">
      <c r="A2991" s="401">
        <v>3922</v>
      </c>
      <c r="B2991" s="411" t="s">
        <v>10132</v>
      </c>
      <c r="C2991" s="401" t="s">
        <v>998</v>
      </c>
      <c r="D2991" s="600">
        <v>11.24</v>
      </c>
    </row>
    <row r="2992" spans="1:4">
      <c r="A2992" s="401">
        <v>3924</v>
      </c>
      <c r="B2992" s="411" t="s">
        <v>10133</v>
      </c>
      <c r="C2992" s="401" t="s">
        <v>998</v>
      </c>
      <c r="D2992" s="600">
        <v>12.22</v>
      </c>
    </row>
    <row r="2993" spans="1:4">
      <c r="A2993" s="401">
        <v>3923</v>
      </c>
      <c r="B2993" s="411" t="s">
        <v>10134</v>
      </c>
      <c r="C2993" s="401" t="s">
        <v>998</v>
      </c>
      <c r="D2993" s="600">
        <v>12.22</v>
      </c>
    </row>
    <row r="2994" spans="1:4">
      <c r="A2994" s="401">
        <v>3937</v>
      </c>
      <c r="B2994" s="411" t="s">
        <v>10135</v>
      </c>
      <c r="C2994" s="401" t="s">
        <v>998</v>
      </c>
      <c r="D2994" s="600">
        <v>10.08</v>
      </c>
    </row>
    <row r="2995" spans="1:4">
      <c r="A2995" s="401">
        <v>3921</v>
      </c>
      <c r="B2995" s="411" t="s">
        <v>10136</v>
      </c>
      <c r="C2995" s="401" t="s">
        <v>998</v>
      </c>
      <c r="D2995" s="600">
        <v>10.09</v>
      </c>
    </row>
    <row r="2996" spans="1:4">
      <c r="A2996" s="401">
        <v>3920</v>
      </c>
      <c r="B2996" s="411" t="s">
        <v>10137</v>
      </c>
      <c r="C2996" s="401" t="s">
        <v>998</v>
      </c>
      <c r="D2996" s="600">
        <v>10.08</v>
      </c>
    </row>
    <row r="2997" spans="1:4">
      <c r="A2997" s="401">
        <v>3938</v>
      </c>
      <c r="B2997" s="411" t="s">
        <v>10138</v>
      </c>
      <c r="C2997" s="401" t="s">
        <v>998</v>
      </c>
      <c r="D2997" s="600">
        <v>6.65</v>
      </c>
    </row>
    <row r="2998" spans="1:4">
      <c r="A2998" s="401">
        <v>3919</v>
      </c>
      <c r="B2998" s="411" t="s">
        <v>10139</v>
      </c>
      <c r="C2998" s="401" t="s">
        <v>998</v>
      </c>
      <c r="D2998" s="600">
        <v>6.77</v>
      </c>
    </row>
    <row r="2999" spans="1:4">
      <c r="A2999" s="401">
        <v>3927</v>
      </c>
      <c r="B2999" s="411" t="s">
        <v>10140</v>
      </c>
      <c r="C2999" s="401" t="s">
        <v>998</v>
      </c>
      <c r="D2999" s="600">
        <v>34.32</v>
      </c>
    </row>
    <row r="3000" spans="1:4">
      <c r="A3000" s="401">
        <v>3928</v>
      </c>
      <c r="B3000" s="411" t="s">
        <v>10141</v>
      </c>
      <c r="C3000" s="401" t="s">
        <v>998</v>
      </c>
      <c r="D3000" s="600">
        <v>34.32</v>
      </c>
    </row>
    <row r="3001" spans="1:4">
      <c r="A3001" s="401">
        <v>3926</v>
      </c>
      <c r="B3001" s="411" t="s">
        <v>10142</v>
      </c>
      <c r="C3001" s="401" t="s">
        <v>998</v>
      </c>
      <c r="D3001" s="600">
        <v>19.57</v>
      </c>
    </row>
    <row r="3002" spans="1:4">
      <c r="A3002" s="401">
        <v>3935</v>
      </c>
      <c r="B3002" s="411" t="s">
        <v>10143</v>
      </c>
      <c r="C3002" s="401" t="s">
        <v>998</v>
      </c>
      <c r="D3002" s="600">
        <v>19.57</v>
      </c>
    </row>
    <row r="3003" spans="1:4">
      <c r="A3003" s="401">
        <v>3925</v>
      </c>
      <c r="B3003" s="411" t="s">
        <v>10144</v>
      </c>
      <c r="C3003" s="401" t="s">
        <v>998</v>
      </c>
      <c r="D3003" s="600">
        <v>19.57</v>
      </c>
    </row>
    <row r="3004" spans="1:4">
      <c r="A3004" s="401">
        <v>12406</v>
      </c>
      <c r="B3004" s="411" t="s">
        <v>10145</v>
      </c>
      <c r="C3004" s="401" t="s">
        <v>998</v>
      </c>
      <c r="D3004" s="600">
        <v>4.8</v>
      </c>
    </row>
    <row r="3005" spans="1:4">
      <c r="A3005" s="401">
        <v>3929</v>
      </c>
      <c r="B3005" s="411" t="s">
        <v>10146</v>
      </c>
      <c r="C3005" s="401" t="s">
        <v>998</v>
      </c>
      <c r="D3005" s="600">
        <v>52.3</v>
      </c>
    </row>
    <row r="3006" spans="1:4">
      <c r="A3006" s="401">
        <v>3931</v>
      </c>
      <c r="B3006" s="411" t="s">
        <v>10147</v>
      </c>
      <c r="C3006" s="401" t="s">
        <v>998</v>
      </c>
      <c r="D3006" s="600">
        <v>52.3</v>
      </c>
    </row>
    <row r="3007" spans="1:4">
      <c r="A3007" s="401">
        <v>3930</v>
      </c>
      <c r="B3007" s="411" t="s">
        <v>10148</v>
      </c>
      <c r="C3007" s="401" t="s">
        <v>998</v>
      </c>
      <c r="D3007" s="600">
        <v>52.3</v>
      </c>
    </row>
    <row r="3008" spans="1:4">
      <c r="A3008" s="401">
        <v>3932</v>
      </c>
      <c r="B3008" s="411" t="s">
        <v>10149</v>
      </c>
      <c r="C3008" s="401" t="s">
        <v>998</v>
      </c>
      <c r="D3008" s="600">
        <v>90.3</v>
      </c>
    </row>
    <row r="3009" spans="1:4">
      <c r="A3009" s="401">
        <v>3933</v>
      </c>
      <c r="B3009" s="411" t="s">
        <v>10150</v>
      </c>
      <c r="C3009" s="401" t="s">
        <v>998</v>
      </c>
      <c r="D3009" s="600">
        <v>90.3</v>
      </c>
    </row>
    <row r="3010" spans="1:4">
      <c r="A3010" s="401">
        <v>3934</v>
      </c>
      <c r="B3010" s="411" t="s">
        <v>10151</v>
      </c>
      <c r="C3010" s="401" t="s">
        <v>998</v>
      </c>
      <c r="D3010" s="600">
        <v>90.3</v>
      </c>
    </row>
    <row r="3011" spans="1:4" ht="25.5">
      <c r="A3011" s="401">
        <v>40355</v>
      </c>
      <c r="B3011" s="411" t="s">
        <v>10152</v>
      </c>
      <c r="C3011" s="401" t="s">
        <v>998</v>
      </c>
      <c r="D3011" s="600">
        <v>7.47</v>
      </c>
    </row>
    <row r="3012" spans="1:4" ht="25.5">
      <c r="A3012" s="401">
        <v>40364</v>
      </c>
      <c r="B3012" s="411" t="s">
        <v>10153</v>
      </c>
      <c r="C3012" s="401" t="s">
        <v>998</v>
      </c>
      <c r="D3012" s="600">
        <v>35.01</v>
      </c>
    </row>
    <row r="3013" spans="1:4" ht="25.5">
      <c r="A3013" s="401">
        <v>40361</v>
      </c>
      <c r="B3013" s="411" t="s">
        <v>10154</v>
      </c>
      <c r="C3013" s="401" t="s">
        <v>998</v>
      </c>
      <c r="D3013" s="600">
        <v>27.38</v>
      </c>
    </row>
    <row r="3014" spans="1:4" ht="25.5">
      <c r="A3014" s="401">
        <v>40358</v>
      </c>
      <c r="B3014" s="411" t="s">
        <v>10155</v>
      </c>
      <c r="C3014" s="401" t="s">
        <v>998</v>
      </c>
      <c r="D3014" s="600">
        <v>10.43</v>
      </c>
    </row>
    <row r="3015" spans="1:4" ht="25.5">
      <c r="A3015" s="401">
        <v>40370</v>
      </c>
      <c r="B3015" s="411" t="s">
        <v>10156</v>
      </c>
      <c r="C3015" s="401" t="s">
        <v>998</v>
      </c>
      <c r="D3015" s="600">
        <v>111.09</v>
      </c>
    </row>
    <row r="3016" spans="1:4" ht="25.5">
      <c r="A3016" s="401">
        <v>40367</v>
      </c>
      <c r="B3016" s="411" t="s">
        <v>10157</v>
      </c>
      <c r="C3016" s="401" t="s">
        <v>998</v>
      </c>
      <c r="D3016" s="600">
        <v>55.22</v>
      </c>
    </row>
    <row r="3017" spans="1:4" ht="25.5">
      <c r="A3017" s="401">
        <v>40373</v>
      </c>
      <c r="B3017" s="411" t="s">
        <v>10158</v>
      </c>
      <c r="C3017" s="401" t="s">
        <v>998</v>
      </c>
      <c r="D3017" s="600">
        <v>150.22999999999999</v>
      </c>
    </row>
    <row r="3018" spans="1:4" ht="25.5">
      <c r="A3018" s="401">
        <v>38947</v>
      </c>
      <c r="B3018" s="411" t="s">
        <v>10159</v>
      </c>
      <c r="C3018" s="401" t="s">
        <v>998</v>
      </c>
      <c r="D3018" s="600">
        <v>5.99</v>
      </c>
    </row>
    <row r="3019" spans="1:4" ht="25.5">
      <c r="A3019" s="401">
        <v>38948</v>
      </c>
      <c r="B3019" s="411" t="s">
        <v>10160</v>
      </c>
      <c r="C3019" s="401" t="s">
        <v>998</v>
      </c>
      <c r="D3019" s="600">
        <v>9.56</v>
      </c>
    </row>
    <row r="3020" spans="1:4" ht="25.5">
      <c r="A3020" s="401">
        <v>38949</v>
      </c>
      <c r="B3020" s="411" t="s">
        <v>10161</v>
      </c>
      <c r="C3020" s="401" t="s">
        <v>998</v>
      </c>
      <c r="D3020" s="600">
        <v>10.6</v>
      </c>
    </row>
    <row r="3021" spans="1:4" ht="25.5">
      <c r="A3021" s="401">
        <v>38951</v>
      </c>
      <c r="B3021" s="411" t="s">
        <v>10162</v>
      </c>
      <c r="C3021" s="401" t="s">
        <v>998</v>
      </c>
      <c r="D3021" s="600">
        <v>16.77</v>
      </c>
    </row>
    <row r="3022" spans="1:4" ht="25.5">
      <c r="A3022" s="401">
        <v>39312</v>
      </c>
      <c r="B3022" s="411" t="s">
        <v>10163</v>
      </c>
      <c r="C3022" s="401" t="s">
        <v>998</v>
      </c>
      <c r="D3022" s="600">
        <v>13.01</v>
      </c>
    </row>
    <row r="3023" spans="1:4" ht="25.5">
      <c r="A3023" s="401">
        <v>39313</v>
      </c>
      <c r="B3023" s="411" t="s">
        <v>10164</v>
      </c>
      <c r="C3023" s="401" t="s">
        <v>998</v>
      </c>
      <c r="D3023" s="600">
        <v>16.98</v>
      </c>
    </row>
    <row r="3024" spans="1:4" ht="25.5">
      <c r="A3024" s="401">
        <v>38950</v>
      </c>
      <c r="B3024" s="411" t="s">
        <v>10165</v>
      </c>
      <c r="C3024" s="401" t="s">
        <v>998</v>
      </c>
      <c r="D3024" s="600">
        <v>25.55</v>
      </c>
    </row>
    <row r="3025" spans="1:4" ht="25.5">
      <c r="A3025" s="401">
        <v>39314</v>
      </c>
      <c r="B3025" s="411" t="s">
        <v>10166</v>
      </c>
      <c r="C3025" s="401" t="s">
        <v>998</v>
      </c>
      <c r="D3025" s="600">
        <v>26.96</v>
      </c>
    </row>
    <row r="3026" spans="1:4">
      <c r="A3026" s="401">
        <v>3907</v>
      </c>
      <c r="B3026" s="411" t="s">
        <v>10167</v>
      </c>
      <c r="C3026" s="401" t="s">
        <v>998</v>
      </c>
      <c r="D3026" s="600">
        <v>3.29</v>
      </c>
    </row>
    <row r="3027" spans="1:4">
      <c r="A3027" s="401">
        <v>3889</v>
      </c>
      <c r="B3027" s="411" t="s">
        <v>10168</v>
      </c>
      <c r="C3027" s="401" t="s">
        <v>998</v>
      </c>
      <c r="D3027" s="600">
        <v>2.5099999999999998</v>
      </c>
    </row>
    <row r="3028" spans="1:4">
      <c r="A3028" s="401">
        <v>3868</v>
      </c>
      <c r="B3028" s="411" t="s">
        <v>10169</v>
      </c>
      <c r="C3028" s="401" t="s">
        <v>998</v>
      </c>
      <c r="D3028" s="600">
        <v>0.97</v>
      </c>
    </row>
    <row r="3029" spans="1:4">
      <c r="A3029" s="401">
        <v>3869</v>
      </c>
      <c r="B3029" s="411" t="s">
        <v>10170</v>
      </c>
      <c r="C3029" s="401" t="s">
        <v>998</v>
      </c>
      <c r="D3029" s="600">
        <v>2.79</v>
      </c>
    </row>
    <row r="3030" spans="1:4">
      <c r="A3030" s="401">
        <v>3872</v>
      </c>
      <c r="B3030" s="411" t="s">
        <v>10171</v>
      </c>
      <c r="C3030" s="401" t="s">
        <v>998</v>
      </c>
      <c r="D3030" s="600">
        <v>3.39</v>
      </c>
    </row>
    <row r="3031" spans="1:4">
      <c r="A3031" s="401">
        <v>3850</v>
      </c>
      <c r="B3031" s="411" t="s">
        <v>10172</v>
      </c>
      <c r="C3031" s="401" t="s">
        <v>998</v>
      </c>
      <c r="D3031" s="600">
        <v>8.74</v>
      </c>
    </row>
    <row r="3032" spans="1:4">
      <c r="A3032" s="401">
        <v>38023</v>
      </c>
      <c r="B3032" s="411" t="s">
        <v>10173</v>
      </c>
      <c r="C3032" s="401" t="s">
        <v>998</v>
      </c>
      <c r="D3032" s="600">
        <v>3.69</v>
      </c>
    </row>
    <row r="3033" spans="1:4">
      <c r="A3033" s="401">
        <v>37986</v>
      </c>
      <c r="B3033" s="411" t="s">
        <v>10174</v>
      </c>
      <c r="C3033" s="401" t="s">
        <v>998</v>
      </c>
      <c r="D3033" s="600">
        <v>2.4</v>
      </c>
    </row>
    <row r="3034" spans="1:4">
      <c r="A3034" s="401">
        <v>37987</v>
      </c>
      <c r="B3034" s="411" t="s">
        <v>10175</v>
      </c>
      <c r="C3034" s="401" t="s">
        <v>998</v>
      </c>
      <c r="D3034" s="600">
        <v>179.04</v>
      </c>
    </row>
    <row r="3035" spans="1:4">
      <c r="A3035" s="401">
        <v>37988</v>
      </c>
      <c r="B3035" s="411" t="s">
        <v>10176</v>
      </c>
      <c r="C3035" s="401" t="s">
        <v>998</v>
      </c>
      <c r="D3035" s="600">
        <v>292.04000000000002</v>
      </c>
    </row>
    <row r="3036" spans="1:4">
      <c r="A3036" s="401">
        <v>21120</v>
      </c>
      <c r="B3036" s="411" t="s">
        <v>10177</v>
      </c>
      <c r="C3036" s="401" t="s">
        <v>998</v>
      </c>
      <c r="D3036" s="600">
        <v>14.55</v>
      </c>
    </row>
    <row r="3037" spans="1:4">
      <c r="A3037" s="401">
        <v>39318</v>
      </c>
      <c r="B3037" s="411" t="s">
        <v>10178</v>
      </c>
      <c r="C3037" s="401" t="s">
        <v>998</v>
      </c>
      <c r="D3037" s="600">
        <v>12</v>
      </c>
    </row>
    <row r="3038" spans="1:4">
      <c r="A3038" s="401">
        <v>20162</v>
      </c>
      <c r="B3038" s="411" t="s">
        <v>10179</v>
      </c>
      <c r="C3038" s="401" t="s">
        <v>998</v>
      </c>
      <c r="D3038" s="600">
        <v>12.33</v>
      </c>
    </row>
    <row r="3039" spans="1:4">
      <c r="A3039" s="401">
        <v>40366</v>
      </c>
      <c r="B3039" s="411" t="s">
        <v>10180</v>
      </c>
      <c r="C3039" s="401" t="s">
        <v>998</v>
      </c>
      <c r="D3039" s="600">
        <v>27.31</v>
      </c>
    </row>
    <row r="3040" spans="1:4">
      <c r="A3040" s="401">
        <v>40363</v>
      </c>
      <c r="B3040" s="411" t="s">
        <v>10181</v>
      </c>
      <c r="C3040" s="401" t="s">
        <v>998</v>
      </c>
      <c r="D3040" s="600">
        <v>21.36</v>
      </c>
    </row>
    <row r="3041" spans="1:4">
      <c r="A3041" s="401">
        <v>40354</v>
      </c>
      <c r="B3041" s="411" t="s">
        <v>10182</v>
      </c>
      <c r="C3041" s="401" t="s">
        <v>998</v>
      </c>
      <c r="D3041" s="600">
        <v>9.3000000000000007</v>
      </c>
    </row>
    <row r="3042" spans="1:4">
      <c r="A3042" s="401">
        <v>40360</v>
      </c>
      <c r="B3042" s="411" t="s">
        <v>10183</v>
      </c>
      <c r="C3042" s="401" t="s">
        <v>998</v>
      </c>
      <c r="D3042" s="600">
        <v>14</v>
      </c>
    </row>
    <row r="3043" spans="1:4">
      <c r="A3043" s="401">
        <v>40372</v>
      </c>
      <c r="B3043" s="411" t="s">
        <v>10184</v>
      </c>
      <c r="C3043" s="401" t="s">
        <v>998</v>
      </c>
      <c r="D3043" s="600">
        <v>86.48</v>
      </c>
    </row>
    <row r="3044" spans="1:4">
      <c r="A3044" s="401">
        <v>40369</v>
      </c>
      <c r="B3044" s="411" t="s">
        <v>10185</v>
      </c>
      <c r="C3044" s="401" t="s">
        <v>998</v>
      </c>
      <c r="D3044" s="600">
        <v>43.04</v>
      </c>
    </row>
    <row r="3045" spans="1:4">
      <c r="A3045" s="401">
        <v>40357</v>
      </c>
      <c r="B3045" s="411" t="s">
        <v>10186</v>
      </c>
      <c r="C3045" s="401" t="s">
        <v>998</v>
      </c>
      <c r="D3045" s="600">
        <v>10.43</v>
      </c>
    </row>
    <row r="3046" spans="1:4">
      <c r="A3046" s="401">
        <v>40375</v>
      </c>
      <c r="B3046" s="411" t="s">
        <v>10187</v>
      </c>
      <c r="C3046" s="401" t="s">
        <v>998</v>
      </c>
      <c r="D3046" s="600">
        <v>117.07</v>
      </c>
    </row>
    <row r="3047" spans="1:4">
      <c r="A3047" s="401">
        <v>1893</v>
      </c>
      <c r="B3047" s="411" t="s">
        <v>10188</v>
      </c>
      <c r="C3047" s="401" t="s">
        <v>998</v>
      </c>
      <c r="D3047" s="600">
        <v>2.5099999999999998</v>
      </c>
    </row>
    <row r="3048" spans="1:4">
      <c r="A3048" s="401">
        <v>1902</v>
      </c>
      <c r="B3048" s="411" t="s">
        <v>10189</v>
      </c>
      <c r="C3048" s="401" t="s">
        <v>998</v>
      </c>
      <c r="D3048" s="600">
        <v>1.83</v>
      </c>
    </row>
    <row r="3049" spans="1:4">
      <c r="A3049" s="401">
        <v>1901</v>
      </c>
      <c r="B3049" s="411" t="s">
        <v>10190</v>
      </c>
      <c r="C3049" s="401" t="s">
        <v>998</v>
      </c>
      <c r="D3049" s="600">
        <v>0.56999999999999995</v>
      </c>
    </row>
    <row r="3050" spans="1:4">
      <c r="A3050" s="401">
        <v>1892</v>
      </c>
      <c r="B3050" s="411" t="s">
        <v>10191</v>
      </c>
      <c r="C3050" s="401" t="s">
        <v>998</v>
      </c>
      <c r="D3050" s="600">
        <v>1.17</v>
      </c>
    </row>
    <row r="3051" spans="1:4">
      <c r="A3051" s="401">
        <v>1907</v>
      </c>
      <c r="B3051" s="411" t="s">
        <v>10192</v>
      </c>
      <c r="C3051" s="401" t="s">
        <v>998</v>
      </c>
      <c r="D3051" s="600">
        <v>8.09</v>
      </c>
    </row>
    <row r="3052" spans="1:4">
      <c r="A3052" s="401">
        <v>1894</v>
      </c>
      <c r="B3052" s="411" t="s">
        <v>10193</v>
      </c>
      <c r="C3052" s="401" t="s">
        <v>998</v>
      </c>
      <c r="D3052" s="600">
        <v>3.63</v>
      </c>
    </row>
    <row r="3053" spans="1:4">
      <c r="A3053" s="401">
        <v>1891</v>
      </c>
      <c r="B3053" s="411" t="s">
        <v>10194</v>
      </c>
      <c r="C3053" s="401" t="s">
        <v>998</v>
      </c>
      <c r="D3053" s="600">
        <v>0.84</v>
      </c>
    </row>
    <row r="3054" spans="1:4">
      <c r="A3054" s="401">
        <v>1896</v>
      </c>
      <c r="B3054" s="411" t="s">
        <v>10195</v>
      </c>
      <c r="C3054" s="401" t="s">
        <v>998</v>
      </c>
      <c r="D3054" s="600">
        <v>10.86</v>
      </c>
    </row>
    <row r="3055" spans="1:4">
      <c r="A3055" s="401">
        <v>1895</v>
      </c>
      <c r="B3055" s="411" t="s">
        <v>10196</v>
      </c>
      <c r="C3055" s="401" t="s">
        <v>998</v>
      </c>
      <c r="D3055" s="600">
        <v>19.079999999999998</v>
      </c>
    </row>
    <row r="3056" spans="1:4">
      <c r="A3056" s="401">
        <v>2641</v>
      </c>
      <c r="B3056" s="411" t="s">
        <v>10197</v>
      </c>
      <c r="C3056" s="401" t="s">
        <v>998</v>
      </c>
      <c r="D3056" s="600">
        <v>24.86</v>
      </c>
    </row>
    <row r="3057" spans="1:4">
      <c r="A3057" s="401">
        <v>2636</v>
      </c>
      <c r="B3057" s="411" t="s">
        <v>10198</v>
      </c>
      <c r="C3057" s="401" t="s">
        <v>998</v>
      </c>
      <c r="D3057" s="600">
        <v>1.6</v>
      </c>
    </row>
    <row r="3058" spans="1:4">
      <c r="A3058" s="401">
        <v>2637</v>
      </c>
      <c r="B3058" s="411" t="s">
        <v>10199</v>
      </c>
      <c r="C3058" s="401" t="s">
        <v>998</v>
      </c>
      <c r="D3058" s="600">
        <v>1.7</v>
      </c>
    </row>
    <row r="3059" spans="1:4">
      <c r="A3059" s="401">
        <v>2638</v>
      </c>
      <c r="B3059" s="411" t="s">
        <v>10200</v>
      </c>
      <c r="C3059" s="401" t="s">
        <v>998</v>
      </c>
      <c r="D3059" s="600">
        <v>1.98</v>
      </c>
    </row>
    <row r="3060" spans="1:4">
      <c r="A3060" s="401">
        <v>2639</v>
      </c>
      <c r="B3060" s="411" t="s">
        <v>10201</v>
      </c>
      <c r="C3060" s="401" t="s">
        <v>998</v>
      </c>
      <c r="D3060" s="600">
        <v>3.51</v>
      </c>
    </row>
    <row r="3061" spans="1:4">
      <c r="A3061" s="401">
        <v>2644</v>
      </c>
      <c r="B3061" s="411" t="s">
        <v>10202</v>
      </c>
      <c r="C3061" s="401" t="s">
        <v>998</v>
      </c>
      <c r="D3061" s="600">
        <v>5.08</v>
      </c>
    </row>
    <row r="3062" spans="1:4">
      <c r="A3062" s="401">
        <v>2643</v>
      </c>
      <c r="B3062" s="411" t="s">
        <v>10203</v>
      </c>
      <c r="C3062" s="401" t="s">
        <v>998</v>
      </c>
      <c r="D3062" s="600">
        <v>7.09</v>
      </c>
    </row>
    <row r="3063" spans="1:4">
      <c r="A3063" s="401">
        <v>2640</v>
      </c>
      <c r="B3063" s="411" t="s">
        <v>10204</v>
      </c>
      <c r="C3063" s="401" t="s">
        <v>998</v>
      </c>
      <c r="D3063" s="600">
        <v>10.34</v>
      </c>
    </row>
    <row r="3064" spans="1:4">
      <c r="A3064" s="401">
        <v>2642</v>
      </c>
      <c r="B3064" s="411" t="s">
        <v>10205</v>
      </c>
      <c r="C3064" s="401" t="s">
        <v>998</v>
      </c>
      <c r="D3064" s="600">
        <v>15.75</v>
      </c>
    </row>
    <row r="3065" spans="1:4">
      <c r="A3065" s="401">
        <v>38943</v>
      </c>
      <c r="B3065" s="411" t="s">
        <v>10206</v>
      </c>
      <c r="C3065" s="401" t="s">
        <v>998</v>
      </c>
      <c r="D3065" s="600">
        <v>4.42</v>
      </c>
    </row>
    <row r="3066" spans="1:4">
      <c r="A3066" s="401">
        <v>38944</v>
      </c>
      <c r="B3066" s="411" t="s">
        <v>10207</v>
      </c>
      <c r="C3066" s="401" t="s">
        <v>998</v>
      </c>
      <c r="D3066" s="600">
        <v>6.83</v>
      </c>
    </row>
    <row r="3067" spans="1:4">
      <c r="A3067" s="401">
        <v>38945</v>
      </c>
      <c r="B3067" s="411" t="s">
        <v>10208</v>
      </c>
      <c r="C3067" s="401" t="s">
        <v>998</v>
      </c>
      <c r="D3067" s="600">
        <v>13.86</v>
      </c>
    </row>
    <row r="3068" spans="1:4">
      <c r="A3068" s="401">
        <v>38946</v>
      </c>
      <c r="B3068" s="411" t="s">
        <v>10209</v>
      </c>
      <c r="C3068" s="401" t="s">
        <v>998</v>
      </c>
      <c r="D3068" s="600">
        <v>20.67</v>
      </c>
    </row>
    <row r="3069" spans="1:4">
      <c r="A3069" s="401">
        <v>39308</v>
      </c>
      <c r="B3069" s="411" t="s">
        <v>10210</v>
      </c>
      <c r="C3069" s="401" t="s">
        <v>998</v>
      </c>
      <c r="D3069" s="600">
        <v>9.01</v>
      </c>
    </row>
    <row r="3070" spans="1:4">
      <c r="A3070" s="401">
        <v>39309</v>
      </c>
      <c r="B3070" s="411" t="s">
        <v>10211</v>
      </c>
      <c r="C3070" s="401" t="s">
        <v>998</v>
      </c>
      <c r="D3070" s="600">
        <v>13.04</v>
      </c>
    </row>
    <row r="3071" spans="1:4">
      <c r="A3071" s="401">
        <v>39310</v>
      </c>
      <c r="B3071" s="411" t="s">
        <v>10212</v>
      </c>
      <c r="C3071" s="401" t="s">
        <v>998</v>
      </c>
      <c r="D3071" s="600">
        <v>19.75</v>
      </c>
    </row>
    <row r="3072" spans="1:4">
      <c r="A3072" s="401">
        <v>39311</v>
      </c>
      <c r="B3072" s="411" t="s">
        <v>10213</v>
      </c>
      <c r="C3072" s="401" t="s">
        <v>998</v>
      </c>
      <c r="D3072" s="600">
        <v>29.69</v>
      </c>
    </row>
    <row r="3073" spans="1:4">
      <c r="A3073" s="401">
        <v>39855</v>
      </c>
      <c r="B3073" s="411" t="s">
        <v>10214</v>
      </c>
      <c r="C3073" s="401" t="s">
        <v>998</v>
      </c>
      <c r="D3073" s="600">
        <v>1.86</v>
      </c>
    </row>
    <row r="3074" spans="1:4">
      <c r="A3074" s="401">
        <v>39856</v>
      </c>
      <c r="B3074" s="411" t="s">
        <v>10215</v>
      </c>
      <c r="C3074" s="401" t="s">
        <v>998</v>
      </c>
      <c r="D3074" s="600">
        <v>4.3899999999999997</v>
      </c>
    </row>
    <row r="3075" spans="1:4">
      <c r="A3075" s="401">
        <v>39857</v>
      </c>
      <c r="B3075" s="411" t="s">
        <v>10216</v>
      </c>
      <c r="C3075" s="401" t="s">
        <v>998</v>
      </c>
      <c r="D3075" s="600">
        <v>7.11</v>
      </c>
    </row>
    <row r="3076" spans="1:4">
      <c r="A3076" s="401">
        <v>39858</v>
      </c>
      <c r="B3076" s="411" t="s">
        <v>10217</v>
      </c>
      <c r="C3076" s="401" t="s">
        <v>998</v>
      </c>
      <c r="D3076" s="600">
        <v>15.78</v>
      </c>
    </row>
    <row r="3077" spans="1:4">
      <c r="A3077" s="401">
        <v>39859</v>
      </c>
      <c r="B3077" s="411" t="s">
        <v>10218</v>
      </c>
      <c r="C3077" s="401" t="s">
        <v>998</v>
      </c>
      <c r="D3077" s="600">
        <v>24.33</v>
      </c>
    </row>
    <row r="3078" spans="1:4">
      <c r="A3078" s="401">
        <v>39860</v>
      </c>
      <c r="B3078" s="411" t="s">
        <v>10219</v>
      </c>
      <c r="C3078" s="401" t="s">
        <v>998</v>
      </c>
      <c r="D3078" s="600">
        <v>37.340000000000003</v>
      </c>
    </row>
    <row r="3079" spans="1:4">
      <c r="A3079" s="401">
        <v>39861</v>
      </c>
      <c r="B3079" s="411" t="s">
        <v>10220</v>
      </c>
      <c r="C3079" s="401" t="s">
        <v>998</v>
      </c>
      <c r="D3079" s="600">
        <v>106.62</v>
      </c>
    </row>
    <row r="3080" spans="1:4">
      <c r="A3080" s="401">
        <v>38447</v>
      </c>
      <c r="B3080" s="411" t="s">
        <v>10221</v>
      </c>
      <c r="C3080" s="401" t="s">
        <v>998</v>
      </c>
      <c r="D3080" s="600">
        <v>79.84</v>
      </c>
    </row>
    <row r="3081" spans="1:4">
      <c r="A3081" s="401">
        <v>36320</v>
      </c>
      <c r="B3081" s="411" t="s">
        <v>10222</v>
      </c>
      <c r="C3081" s="401" t="s">
        <v>998</v>
      </c>
      <c r="D3081" s="600">
        <v>1.1499999999999999</v>
      </c>
    </row>
    <row r="3082" spans="1:4">
      <c r="A3082" s="401">
        <v>36324</v>
      </c>
      <c r="B3082" s="411" t="s">
        <v>10223</v>
      </c>
      <c r="C3082" s="401" t="s">
        <v>998</v>
      </c>
      <c r="D3082" s="600">
        <v>1.75</v>
      </c>
    </row>
    <row r="3083" spans="1:4">
      <c r="A3083" s="401">
        <v>38441</v>
      </c>
      <c r="B3083" s="411" t="s">
        <v>10224</v>
      </c>
      <c r="C3083" s="401" t="s">
        <v>998</v>
      </c>
      <c r="D3083" s="600">
        <v>2.2999999999999998</v>
      </c>
    </row>
    <row r="3084" spans="1:4">
      <c r="A3084" s="401">
        <v>38442</v>
      </c>
      <c r="B3084" s="411" t="s">
        <v>10225</v>
      </c>
      <c r="C3084" s="401" t="s">
        <v>998</v>
      </c>
      <c r="D3084" s="600">
        <v>5.85</v>
      </c>
    </row>
    <row r="3085" spans="1:4">
      <c r="A3085" s="401">
        <v>38443</v>
      </c>
      <c r="B3085" s="411" t="s">
        <v>10226</v>
      </c>
      <c r="C3085" s="401" t="s">
        <v>998</v>
      </c>
      <c r="D3085" s="600">
        <v>8.84</v>
      </c>
    </row>
    <row r="3086" spans="1:4">
      <c r="A3086" s="401">
        <v>38444</v>
      </c>
      <c r="B3086" s="411" t="s">
        <v>10227</v>
      </c>
      <c r="C3086" s="401" t="s">
        <v>998</v>
      </c>
      <c r="D3086" s="600">
        <v>13.16</v>
      </c>
    </row>
    <row r="3087" spans="1:4">
      <c r="A3087" s="401">
        <v>38445</v>
      </c>
      <c r="B3087" s="411" t="s">
        <v>10228</v>
      </c>
      <c r="C3087" s="401" t="s">
        <v>998</v>
      </c>
      <c r="D3087" s="600">
        <v>30.91</v>
      </c>
    </row>
    <row r="3088" spans="1:4">
      <c r="A3088" s="401">
        <v>38446</v>
      </c>
      <c r="B3088" s="411" t="s">
        <v>10229</v>
      </c>
      <c r="C3088" s="401" t="s">
        <v>998</v>
      </c>
      <c r="D3088" s="600">
        <v>49.89</v>
      </c>
    </row>
    <row r="3089" spans="1:4">
      <c r="A3089" s="401">
        <v>3867</v>
      </c>
      <c r="B3089" s="411" t="s">
        <v>10230</v>
      </c>
      <c r="C3089" s="401" t="s">
        <v>998</v>
      </c>
      <c r="D3089" s="600">
        <v>58.74</v>
      </c>
    </row>
    <row r="3090" spans="1:4">
      <c r="A3090" s="401">
        <v>3861</v>
      </c>
      <c r="B3090" s="411" t="s">
        <v>10231</v>
      </c>
      <c r="C3090" s="401" t="s">
        <v>998</v>
      </c>
      <c r="D3090" s="600">
        <v>0.49</v>
      </c>
    </row>
    <row r="3091" spans="1:4">
      <c r="A3091" s="401">
        <v>3904</v>
      </c>
      <c r="B3091" s="411" t="s">
        <v>10232</v>
      </c>
      <c r="C3091" s="401" t="s">
        <v>998</v>
      </c>
      <c r="D3091" s="600">
        <v>0.59</v>
      </c>
    </row>
    <row r="3092" spans="1:4">
      <c r="A3092" s="401">
        <v>3903</v>
      </c>
      <c r="B3092" s="411" t="s">
        <v>10233</v>
      </c>
      <c r="C3092" s="401" t="s">
        <v>998</v>
      </c>
      <c r="D3092" s="600">
        <v>1.46</v>
      </c>
    </row>
    <row r="3093" spans="1:4">
      <c r="A3093" s="401">
        <v>3862</v>
      </c>
      <c r="B3093" s="411" t="s">
        <v>10234</v>
      </c>
      <c r="C3093" s="401" t="s">
        <v>998</v>
      </c>
      <c r="D3093" s="600">
        <v>2.97</v>
      </c>
    </row>
    <row r="3094" spans="1:4">
      <c r="A3094" s="401">
        <v>3863</v>
      </c>
      <c r="B3094" s="411" t="s">
        <v>10235</v>
      </c>
      <c r="C3094" s="401" t="s">
        <v>998</v>
      </c>
      <c r="D3094" s="600">
        <v>3.49</v>
      </c>
    </row>
    <row r="3095" spans="1:4">
      <c r="A3095" s="401">
        <v>3864</v>
      </c>
      <c r="B3095" s="411" t="s">
        <v>10236</v>
      </c>
      <c r="C3095" s="401" t="s">
        <v>998</v>
      </c>
      <c r="D3095" s="600">
        <v>9.09</v>
      </c>
    </row>
    <row r="3096" spans="1:4">
      <c r="A3096" s="401">
        <v>3865</v>
      </c>
      <c r="B3096" s="411" t="s">
        <v>10237</v>
      </c>
      <c r="C3096" s="401" t="s">
        <v>998</v>
      </c>
      <c r="D3096" s="600">
        <v>15.82</v>
      </c>
    </row>
    <row r="3097" spans="1:4">
      <c r="A3097" s="401">
        <v>3866</v>
      </c>
      <c r="B3097" s="411" t="s">
        <v>10238</v>
      </c>
      <c r="C3097" s="401" t="s">
        <v>998</v>
      </c>
      <c r="D3097" s="600">
        <v>36.21</v>
      </c>
    </row>
    <row r="3098" spans="1:4">
      <c r="A3098" s="401">
        <v>3902</v>
      </c>
      <c r="B3098" s="411" t="s">
        <v>10239</v>
      </c>
      <c r="C3098" s="401" t="s">
        <v>998</v>
      </c>
      <c r="D3098" s="600">
        <v>17.61</v>
      </c>
    </row>
    <row r="3099" spans="1:4">
      <c r="A3099" s="401">
        <v>3878</v>
      </c>
      <c r="B3099" s="411" t="s">
        <v>10240</v>
      </c>
      <c r="C3099" s="401" t="s">
        <v>998</v>
      </c>
      <c r="D3099" s="600">
        <v>5.56</v>
      </c>
    </row>
    <row r="3100" spans="1:4">
      <c r="A3100" s="401">
        <v>3877</v>
      </c>
      <c r="B3100" s="411" t="s">
        <v>10241</v>
      </c>
      <c r="C3100" s="401" t="s">
        <v>998</v>
      </c>
      <c r="D3100" s="600">
        <v>5.08</v>
      </c>
    </row>
    <row r="3101" spans="1:4">
      <c r="A3101" s="401">
        <v>3879</v>
      </c>
      <c r="B3101" s="411" t="s">
        <v>10242</v>
      </c>
      <c r="C3101" s="401" t="s">
        <v>998</v>
      </c>
      <c r="D3101" s="600">
        <v>11.22</v>
      </c>
    </row>
    <row r="3102" spans="1:4">
      <c r="A3102" s="401">
        <v>3880</v>
      </c>
      <c r="B3102" s="411" t="s">
        <v>10243</v>
      </c>
      <c r="C3102" s="401" t="s">
        <v>998</v>
      </c>
      <c r="D3102" s="600">
        <v>25.32</v>
      </c>
    </row>
    <row r="3103" spans="1:4">
      <c r="A3103" s="401">
        <v>12892</v>
      </c>
      <c r="B3103" s="411" t="s">
        <v>10244</v>
      </c>
      <c r="C3103" s="401" t="s">
        <v>1011</v>
      </c>
      <c r="D3103" s="600">
        <v>10.75</v>
      </c>
    </row>
    <row r="3104" spans="1:4">
      <c r="A3104" s="401">
        <v>3883</v>
      </c>
      <c r="B3104" s="411" t="s">
        <v>10245</v>
      </c>
      <c r="C3104" s="401" t="s">
        <v>998</v>
      </c>
      <c r="D3104" s="600">
        <v>1.17</v>
      </c>
    </row>
    <row r="3105" spans="1:4">
      <c r="A3105" s="401">
        <v>3876</v>
      </c>
      <c r="B3105" s="411" t="s">
        <v>10246</v>
      </c>
      <c r="C3105" s="401" t="s">
        <v>998</v>
      </c>
      <c r="D3105" s="600">
        <v>2.93</v>
      </c>
    </row>
    <row r="3106" spans="1:4">
      <c r="A3106" s="401">
        <v>3884</v>
      </c>
      <c r="B3106" s="411" t="s">
        <v>10247</v>
      </c>
      <c r="C3106" s="401" t="s">
        <v>998</v>
      </c>
      <c r="D3106" s="600">
        <v>1.75</v>
      </c>
    </row>
    <row r="3107" spans="1:4">
      <c r="A3107" s="401">
        <v>3837</v>
      </c>
      <c r="B3107" s="411" t="s">
        <v>10248</v>
      </c>
      <c r="C3107" s="401" t="s">
        <v>998</v>
      </c>
      <c r="D3107" s="600">
        <v>34.22</v>
      </c>
    </row>
    <row r="3108" spans="1:4">
      <c r="A3108" s="401">
        <v>3845</v>
      </c>
      <c r="B3108" s="411" t="s">
        <v>10249</v>
      </c>
      <c r="C3108" s="401" t="s">
        <v>998</v>
      </c>
      <c r="D3108" s="600">
        <v>12.5</v>
      </c>
    </row>
    <row r="3109" spans="1:4">
      <c r="A3109" s="401">
        <v>11045</v>
      </c>
      <c r="B3109" s="411" t="s">
        <v>10250</v>
      </c>
      <c r="C3109" s="401" t="s">
        <v>998</v>
      </c>
      <c r="D3109" s="600">
        <v>24.12</v>
      </c>
    </row>
    <row r="3110" spans="1:4">
      <c r="A3110" s="401">
        <v>20170</v>
      </c>
      <c r="B3110" s="411" t="s">
        <v>10251</v>
      </c>
      <c r="C3110" s="401" t="s">
        <v>998</v>
      </c>
      <c r="D3110" s="600">
        <v>9.99</v>
      </c>
    </row>
    <row r="3111" spans="1:4">
      <c r="A3111" s="401">
        <v>20171</v>
      </c>
      <c r="B3111" s="411" t="s">
        <v>10252</v>
      </c>
      <c r="C3111" s="401" t="s">
        <v>998</v>
      </c>
      <c r="D3111" s="600">
        <v>29.69</v>
      </c>
    </row>
    <row r="3112" spans="1:4">
      <c r="A3112" s="401">
        <v>20167</v>
      </c>
      <c r="B3112" s="411" t="s">
        <v>10253</v>
      </c>
      <c r="C3112" s="401" t="s">
        <v>998</v>
      </c>
      <c r="D3112" s="600">
        <v>3.71</v>
      </c>
    </row>
    <row r="3113" spans="1:4">
      <c r="A3113" s="401">
        <v>20168</v>
      </c>
      <c r="B3113" s="411" t="s">
        <v>10254</v>
      </c>
      <c r="C3113" s="401" t="s">
        <v>998</v>
      </c>
      <c r="D3113" s="600">
        <v>5.82</v>
      </c>
    </row>
    <row r="3114" spans="1:4">
      <c r="A3114" s="401">
        <v>20169</v>
      </c>
      <c r="B3114" s="411" t="s">
        <v>10255</v>
      </c>
      <c r="C3114" s="401" t="s">
        <v>998</v>
      </c>
      <c r="D3114" s="600">
        <v>8.24</v>
      </c>
    </row>
    <row r="3115" spans="1:4">
      <c r="A3115" s="401">
        <v>3899</v>
      </c>
      <c r="B3115" s="411" t="s">
        <v>10256</v>
      </c>
      <c r="C3115" s="401" t="s">
        <v>998</v>
      </c>
      <c r="D3115" s="600">
        <v>4.3600000000000003</v>
      </c>
    </row>
    <row r="3116" spans="1:4">
      <c r="A3116" s="401">
        <v>38676</v>
      </c>
      <c r="B3116" s="411" t="s">
        <v>10257</v>
      </c>
      <c r="C3116" s="401" t="s">
        <v>998</v>
      </c>
      <c r="D3116" s="600">
        <v>21.12</v>
      </c>
    </row>
    <row r="3117" spans="1:4">
      <c r="A3117" s="401">
        <v>3897</v>
      </c>
      <c r="B3117" s="411" t="s">
        <v>10258</v>
      </c>
      <c r="C3117" s="401" t="s">
        <v>998</v>
      </c>
      <c r="D3117" s="600">
        <v>0.92</v>
      </c>
    </row>
    <row r="3118" spans="1:4">
      <c r="A3118" s="401">
        <v>3875</v>
      </c>
      <c r="B3118" s="411" t="s">
        <v>10259</v>
      </c>
      <c r="C3118" s="401" t="s">
        <v>998</v>
      </c>
      <c r="D3118" s="600">
        <v>1.99</v>
      </c>
    </row>
    <row r="3119" spans="1:4">
      <c r="A3119" s="401">
        <v>3898</v>
      </c>
      <c r="B3119" s="411" t="s">
        <v>10260</v>
      </c>
      <c r="C3119" s="401" t="s">
        <v>998</v>
      </c>
      <c r="D3119" s="600">
        <v>3.76</v>
      </c>
    </row>
    <row r="3120" spans="1:4">
      <c r="A3120" s="401">
        <v>3855</v>
      </c>
      <c r="B3120" s="411" t="s">
        <v>10261</v>
      </c>
      <c r="C3120" s="401" t="s">
        <v>998</v>
      </c>
      <c r="D3120" s="600">
        <v>3.89</v>
      </c>
    </row>
    <row r="3121" spans="1:4">
      <c r="A3121" s="401">
        <v>3874</v>
      </c>
      <c r="B3121" s="411" t="s">
        <v>10262</v>
      </c>
      <c r="C3121" s="401" t="s">
        <v>998</v>
      </c>
      <c r="D3121" s="600">
        <v>4.12</v>
      </c>
    </row>
    <row r="3122" spans="1:4">
      <c r="A3122" s="401">
        <v>3870</v>
      </c>
      <c r="B3122" s="411" t="s">
        <v>10263</v>
      </c>
      <c r="C3122" s="401" t="s">
        <v>998</v>
      </c>
      <c r="D3122" s="600">
        <v>5.12</v>
      </c>
    </row>
    <row r="3123" spans="1:4">
      <c r="A3123" s="401">
        <v>38678</v>
      </c>
      <c r="B3123" s="411" t="s">
        <v>10264</v>
      </c>
      <c r="C3123" s="401" t="s">
        <v>998</v>
      </c>
      <c r="D3123" s="600">
        <v>13.94</v>
      </c>
    </row>
    <row r="3124" spans="1:4">
      <c r="A3124" s="401">
        <v>3859</v>
      </c>
      <c r="B3124" s="411" t="s">
        <v>10265</v>
      </c>
      <c r="C3124" s="401" t="s">
        <v>998</v>
      </c>
      <c r="D3124" s="600">
        <v>1.03</v>
      </c>
    </row>
    <row r="3125" spans="1:4">
      <c r="A3125" s="401">
        <v>3856</v>
      </c>
      <c r="B3125" s="411" t="s">
        <v>10266</v>
      </c>
      <c r="C3125" s="401" t="s">
        <v>998</v>
      </c>
      <c r="D3125" s="600">
        <v>1.31</v>
      </c>
    </row>
    <row r="3126" spans="1:4">
      <c r="A3126" s="401">
        <v>3906</v>
      </c>
      <c r="B3126" s="411" t="s">
        <v>10267</v>
      </c>
      <c r="C3126" s="401" t="s">
        <v>998</v>
      </c>
      <c r="D3126" s="600">
        <v>1.23</v>
      </c>
    </row>
    <row r="3127" spans="1:4">
      <c r="A3127" s="401">
        <v>3860</v>
      </c>
      <c r="B3127" s="411" t="s">
        <v>10268</v>
      </c>
      <c r="C3127" s="401" t="s">
        <v>998</v>
      </c>
      <c r="D3127" s="600">
        <v>4.05</v>
      </c>
    </row>
    <row r="3128" spans="1:4">
      <c r="A3128" s="401">
        <v>3905</v>
      </c>
      <c r="B3128" s="411" t="s">
        <v>10269</v>
      </c>
      <c r="C3128" s="401" t="s">
        <v>998</v>
      </c>
      <c r="D3128" s="600">
        <v>8.9700000000000006</v>
      </c>
    </row>
    <row r="3129" spans="1:4">
      <c r="A3129" s="401">
        <v>3871</v>
      </c>
      <c r="B3129" s="411" t="s">
        <v>10270</v>
      </c>
      <c r="C3129" s="401" t="s">
        <v>998</v>
      </c>
      <c r="D3129" s="600">
        <v>18.62</v>
      </c>
    </row>
    <row r="3130" spans="1:4">
      <c r="A3130" s="401">
        <v>37429</v>
      </c>
      <c r="B3130" s="411" t="s">
        <v>10271</v>
      </c>
      <c r="C3130" s="401" t="s">
        <v>998</v>
      </c>
      <c r="D3130" s="600">
        <v>1943.07</v>
      </c>
    </row>
    <row r="3131" spans="1:4">
      <c r="A3131" s="401">
        <v>37426</v>
      </c>
      <c r="B3131" s="411" t="s">
        <v>10272</v>
      </c>
      <c r="C3131" s="401" t="s">
        <v>998</v>
      </c>
      <c r="D3131" s="600">
        <v>18.690000000000001</v>
      </c>
    </row>
    <row r="3132" spans="1:4">
      <c r="A3132" s="401">
        <v>37427</v>
      </c>
      <c r="B3132" s="411" t="s">
        <v>10273</v>
      </c>
      <c r="C3132" s="401" t="s">
        <v>998</v>
      </c>
      <c r="D3132" s="600">
        <v>44.58</v>
      </c>
    </row>
    <row r="3133" spans="1:4">
      <c r="A3133" s="401">
        <v>37424</v>
      </c>
      <c r="B3133" s="411" t="s">
        <v>10274</v>
      </c>
      <c r="C3133" s="401" t="s">
        <v>998</v>
      </c>
      <c r="D3133" s="600">
        <v>8.59</v>
      </c>
    </row>
    <row r="3134" spans="1:4">
      <c r="A3134" s="401">
        <v>37428</v>
      </c>
      <c r="B3134" s="411" t="s">
        <v>10275</v>
      </c>
      <c r="C3134" s="401" t="s">
        <v>998</v>
      </c>
      <c r="D3134" s="600">
        <v>153.65</v>
      </c>
    </row>
    <row r="3135" spans="1:4">
      <c r="A3135" s="401">
        <v>37425</v>
      </c>
      <c r="B3135" s="411" t="s">
        <v>10276</v>
      </c>
      <c r="C3135" s="401" t="s">
        <v>998</v>
      </c>
      <c r="D3135" s="600">
        <v>9.26</v>
      </c>
    </row>
    <row r="3136" spans="1:4" ht="25.5">
      <c r="A3136" s="401">
        <v>11519</v>
      </c>
      <c r="B3136" s="411" t="s">
        <v>10277</v>
      </c>
      <c r="C3136" s="401" t="s">
        <v>1011</v>
      </c>
      <c r="D3136" s="600">
        <v>28.41</v>
      </c>
    </row>
    <row r="3137" spans="1:4" ht="25.5">
      <c r="A3137" s="401">
        <v>11520</v>
      </c>
      <c r="B3137" s="411" t="s">
        <v>10278</v>
      </c>
      <c r="C3137" s="401" t="s">
        <v>1011</v>
      </c>
      <c r="D3137" s="600">
        <v>11.26</v>
      </c>
    </row>
    <row r="3138" spans="1:4" ht="25.5">
      <c r="A3138" s="401">
        <v>11518</v>
      </c>
      <c r="B3138" s="411" t="s">
        <v>10279</v>
      </c>
      <c r="C3138" s="401" t="s">
        <v>1011</v>
      </c>
      <c r="D3138" s="600">
        <v>32.78</v>
      </c>
    </row>
    <row r="3139" spans="1:4">
      <c r="A3139" s="401">
        <v>38473</v>
      </c>
      <c r="B3139" s="411" t="s">
        <v>10280</v>
      </c>
      <c r="C3139" s="401" t="s">
        <v>998</v>
      </c>
      <c r="D3139" s="600">
        <v>132.82</v>
      </c>
    </row>
    <row r="3140" spans="1:4">
      <c r="A3140" s="401">
        <v>4244</v>
      </c>
      <c r="B3140" s="411" t="s">
        <v>10281</v>
      </c>
      <c r="C3140" s="401" t="s">
        <v>1001</v>
      </c>
      <c r="D3140" s="600">
        <v>12.51</v>
      </c>
    </row>
    <row r="3141" spans="1:4">
      <c r="A3141" s="401">
        <v>40977</v>
      </c>
      <c r="B3141" s="411" t="s">
        <v>10282</v>
      </c>
      <c r="C3141" s="401" t="s">
        <v>1118</v>
      </c>
      <c r="D3141" s="600">
        <v>2217.7199999999998</v>
      </c>
    </row>
    <row r="3142" spans="1:4" ht="25.5">
      <c r="A3142" s="401">
        <v>2742</v>
      </c>
      <c r="B3142" s="411" t="s">
        <v>10283</v>
      </c>
      <c r="C3142" s="401" t="s">
        <v>1002</v>
      </c>
      <c r="D3142" s="600">
        <v>2.1800000000000002</v>
      </c>
    </row>
    <row r="3143" spans="1:4" ht="25.5">
      <c r="A3143" s="401">
        <v>2748</v>
      </c>
      <c r="B3143" s="411" t="s">
        <v>10284</v>
      </c>
      <c r="C3143" s="401" t="s">
        <v>1002</v>
      </c>
      <c r="D3143" s="600">
        <v>6.39</v>
      </c>
    </row>
    <row r="3144" spans="1:4" ht="25.5">
      <c r="A3144" s="401">
        <v>2736</v>
      </c>
      <c r="B3144" s="411" t="s">
        <v>10285</v>
      </c>
      <c r="C3144" s="401" t="s">
        <v>1002</v>
      </c>
      <c r="D3144" s="600">
        <v>8.92</v>
      </c>
    </row>
    <row r="3145" spans="1:4" ht="25.5">
      <c r="A3145" s="401">
        <v>2745</v>
      </c>
      <c r="B3145" s="411" t="s">
        <v>10286</v>
      </c>
      <c r="C3145" s="401" t="s">
        <v>1002</v>
      </c>
      <c r="D3145" s="600">
        <v>1.8</v>
      </c>
    </row>
    <row r="3146" spans="1:4" ht="25.5">
      <c r="A3146" s="401">
        <v>2751</v>
      </c>
      <c r="B3146" s="411" t="s">
        <v>10287</v>
      </c>
      <c r="C3146" s="401" t="s">
        <v>1002</v>
      </c>
      <c r="D3146" s="600">
        <v>2.2999999999999998</v>
      </c>
    </row>
    <row r="3147" spans="1:4" ht="25.5">
      <c r="A3147" s="401">
        <v>14439</v>
      </c>
      <c r="B3147" s="411" t="s">
        <v>10288</v>
      </c>
      <c r="C3147" s="401" t="s">
        <v>1002</v>
      </c>
      <c r="D3147" s="600">
        <v>2.04</v>
      </c>
    </row>
    <row r="3148" spans="1:4" ht="25.5">
      <c r="A3148" s="401">
        <v>2731</v>
      </c>
      <c r="B3148" s="411" t="s">
        <v>10289</v>
      </c>
      <c r="C3148" s="401" t="s">
        <v>1002</v>
      </c>
      <c r="D3148" s="600">
        <v>56.59</v>
      </c>
    </row>
    <row r="3149" spans="1:4" ht="25.5">
      <c r="A3149" s="401">
        <v>21138</v>
      </c>
      <c r="B3149" s="411" t="s">
        <v>10290</v>
      </c>
      <c r="C3149" s="401" t="s">
        <v>1002</v>
      </c>
      <c r="D3149" s="600">
        <v>6.14</v>
      </c>
    </row>
    <row r="3150" spans="1:4" ht="25.5">
      <c r="A3150" s="401">
        <v>2747</v>
      </c>
      <c r="B3150" s="411" t="s">
        <v>10291</v>
      </c>
      <c r="C3150" s="401" t="s">
        <v>1002</v>
      </c>
      <c r="D3150" s="600">
        <v>15.17</v>
      </c>
    </row>
    <row r="3151" spans="1:4">
      <c r="A3151" s="401">
        <v>4115</v>
      </c>
      <c r="B3151" s="411" t="s">
        <v>10292</v>
      </c>
      <c r="C3151" s="401" t="s">
        <v>1002</v>
      </c>
      <c r="D3151" s="600">
        <v>11.88</v>
      </c>
    </row>
    <row r="3152" spans="1:4" ht="25.5">
      <c r="A3152" s="401">
        <v>2729</v>
      </c>
      <c r="B3152" s="411" t="s">
        <v>10293</v>
      </c>
      <c r="C3152" s="401" t="s">
        <v>998</v>
      </c>
      <c r="D3152" s="600">
        <v>14.3</v>
      </c>
    </row>
    <row r="3153" spans="1:4">
      <c r="A3153" s="401">
        <v>4119</v>
      </c>
      <c r="B3153" s="411" t="s">
        <v>10294</v>
      </c>
      <c r="C3153" s="401" t="s">
        <v>1002</v>
      </c>
      <c r="D3153" s="600">
        <v>23.9</v>
      </c>
    </row>
    <row r="3154" spans="1:4">
      <c r="A3154" s="401">
        <v>2794</v>
      </c>
      <c r="B3154" s="411" t="s">
        <v>10295</v>
      </c>
      <c r="C3154" s="401" t="s">
        <v>1002</v>
      </c>
      <c r="D3154" s="600">
        <v>59.01</v>
      </c>
    </row>
    <row r="3155" spans="1:4">
      <c r="A3155" s="401">
        <v>2788</v>
      </c>
      <c r="B3155" s="411" t="s">
        <v>10296</v>
      </c>
      <c r="C3155" s="401" t="s">
        <v>1002</v>
      </c>
      <c r="D3155" s="600">
        <v>119.31</v>
      </c>
    </row>
    <row r="3156" spans="1:4">
      <c r="A3156" s="401">
        <v>4006</v>
      </c>
      <c r="B3156" s="411" t="s">
        <v>10297</v>
      </c>
      <c r="C3156" s="401" t="s">
        <v>996</v>
      </c>
      <c r="D3156" s="600">
        <v>1677.96</v>
      </c>
    </row>
    <row r="3157" spans="1:4">
      <c r="A3157" s="401">
        <v>36151</v>
      </c>
      <c r="B3157" s="411" t="s">
        <v>10298</v>
      </c>
      <c r="C3157" s="401" t="s">
        <v>998</v>
      </c>
      <c r="D3157" s="600">
        <v>23.9</v>
      </c>
    </row>
    <row r="3158" spans="1:4">
      <c r="A3158" s="401">
        <v>37457</v>
      </c>
      <c r="B3158" s="411" t="s">
        <v>10299</v>
      </c>
      <c r="C3158" s="401" t="s">
        <v>1002</v>
      </c>
      <c r="D3158" s="600">
        <v>1.98</v>
      </c>
    </row>
    <row r="3159" spans="1:4">
      <c r="A3159" s="401">
        <v>37456</v>
      </c>
      <c r="B3159" s="411" t="s">
        <v>10300</v>
      </c>
      <c r="C3159" s="401" t="s">
        <v>1002</v>
      </c>
      <c r="D3159" s="600">
        <v>1.04</v>
      </c>
    </row>
    <row r="3160" spans="1:4" ht="25.5">
      <c r="A3160" s="401">
        <v>37461</v>
      </c>
      <c r="B3160" s="411" t="s">
        <v>10301</v>
      </c>
      <c r="C3160" s="401" t="s">
        <v>1002</v>
      </c>
      <c r="D3160" s="600">
        <v>7.37</v>
      </c>
    </row>
    <row r="3161" spans="1:4" ht="25.5">
      <c r="A3161" s="401">
        <v>37460</v>
      </c>
      <c r="B3161" s="411" t="s">
        <v>10302</v>
      </c>
      <c r="C3161" s="401" t="s">
        <v>1002</v>
      </c>
      <c r="D3161" s="600">
        <v>10.06</v>
      </c>
    </row>
    <row r="3162" spans="1:4">
      <c r="A3162" s="401">
        <v>37458</v>
      </c>
      <c r="B3162" s="411" t="s">
        <v>10303</v>
      </c>
      <c r="C3162" s="401" t="s">
        <v>1002</v>
      </c>
      <c r="D3162" s="600">
        <v>2.95</v>
      </c>
    </row>
    <row r="3163" spans="1:4">
      <c r="A3163" s="401">
        <v>37454</v>
      </c>
      <c r="B3163" s="411" t="s">
        <v>10304</v>
      </c>
      <c r="C3163" s="401" t="s">
        <v>1002</v>
      </c>
      <c r="D3163" s="600">
        <v>0.77</v>
      </c>
    </row>
    <row r="3164" spans="1:4">
      <c r="A3164" s="401">
        <v>37455</v>
      </c>
      <c r="B3164" s="411" t="s">
        <v>10305</v>
      </c>
      <c r="C3164" s="401" t="s">
        <v>1002</v>
      </c>
      <c r="D3164" s="600">
        <v>1.3</v>
      </c>
    </row>
    <row r="3165" spans="1:4">
      <c r="A3165" s="401">
        <v>37459</v>
      </c>
      <c r="B3165" s="411" t="s">
        <v>10306</v>
      </c>
      <c r="C3165" s="401" t="s">
        <v>1002</v>
      </c>
      <c r="D3165" s="600">
        <v>4.1399999999999997</v>
      </c>
    </row>
    <row r="3166" spans="1:4" ht="25.5">
      <c r="A3166" s="401">
        <v>21029</v>
      </c>
      <c r="B3166" s="411" t="s">
        <v>10307</v>
      </c>
      <c r="C3166" s="401" t="s">
        <v>998</v>
      </c>
      <c r="D3166" s="600">
        <v>283.48</v>
      </c>
    </row>
    <row r="3167" spans="1:4" ht="25.5">
      <c r="A3167" s="401">
        <v>21030</v>
      </c>
      <c r="B3167" s="411" t="s">
        <v>10308</v>
      </c>
      <c r="C3167" s="401" t="s">
        <v>998</v>
      </c>
      <c r="D3167" s="600">
        <v>349.43</v>
      </c>
    </row>
    <row r="3168" spans="1:4" ht="25.5">
      <c r="A3168" s="401">
        <v>21031</v>
      </c>
      <c r="B3168" s="411" t="s">
        <v>10309</v>
      </c>
      <c r="C3168" s="401" t="s">
        <v>998</v>
      </c>
      <c r="D3168" s="600">
        <v>435.04</v>
      </c>
    </row>
    <row r="3169" spans="1:4" ht="25.5">
      <c r="A3169" s="401">
        <v>21032</v>
      </c>
      <c r="B3169" s="411" t="s">
        <v>10310</v>
      </c>
      <c r="C3169" s="401" t="s">
        <v>998</v>
      </c>
      <c r="D3169" s="600">
        <v>464.51</v>
      </c>
    </row>
    <row r="3170" spans="1:4" ht="25.5">
      <c r="A3170" s="401">
        <v>37527</v>
      </c>
      <c r="B3170" s="411" t="s">
        <v>10311</v>
      </c>
      <c r="C3170" s="401" t="s">
        <v>998</v>
      </c>
      <c r="D3170" s="600">
        <v>419.6</v>
      </c>
    </row>
    <row r="3171" spans="1:4" ht="25.5">
      <c r="A3171" s="401">
        <v>37528</v>
      </c>
      <c r="B3171" s="411" t="s">
        <v>10312</v>
      </c>
      <c r="C3171" s="401" t="s">
        <v>998</v>
      </c>
      <c r="D3171" s="600">
        <v>500.3</v>
      </c>
    </row>
    <row r="3172" spans="1:4" ht="25.5">
      <c r="A3172" s="401">
        <v>37529</v>
      </c>
      <c r="B3172" s="411" t="s">
        <v>10313</v>
      </c>
      <c r="C3172" s="401" t="s">
        <v>998</v>
      </c>
      <c r="D3172" s="600">
        <v>505.21</v>
      </c>
    </row>
    <row r="3173" spans="1:4" ht="25.5">
      <c r="A3173" s="401">
        <v>37530</v>
      </c>
      <c r="B3173" s="411" t="s">
        <v>10314</v>
      </c>
      <c r="C3173" s="401" t="s">
        <v>998</v>
      </c>
      <c r="D3173" s="600">
        <v>659.58</v>
      </c>
    </row>
    <row r="3174" spans="1:4" ht="25.5">
      <c r="A3174" s="401">
        <v>21034</v>
      </c>
      <c r="B3174" s="411" t="s">
        <v>10315</v>
      </c>
      <c r="C3174" s="401" t="s">
        <v>998</v>
      </c>
      <c r="D3174" s="600">
        <v>562.74</v>
      </c>
    </row>
    <row r="3175" spans="1:4" ht="25.5">
      <c r="A3175" s="401">
        <v>37531</v>
      </c>
      <c r="B3175" s="411" t="s">
        <v>10316</v>
      </c>
      <c r="C3175" s="401" t="s">
        <v>998</v>
      </c>
      <c r="D3175" s="600">
        <v>708.7</v>
      </c>
    </row>
    <row r="3176" spans="1:4" ht="25.5">
      <c r="A3176" s="401">
        <v>21036</v>
      </c>
      <c r="B3176" s="411" t="s">
        <v>10317</v>
      </c>
      <c r="C3176" s="401" t="s">
        <v>998</v>
      </c>
      <c r="D3176" s="600">
        <v>861.66</v>
      </c>
    </row>
    <row r="3177" spans="1:4" ht="25.5">
      <c r="A3177" s="401">
        <v>21037</v>
      </c>
      <c r="B3177" s="411" t="s">
        <v>10318</v>
      </c>
      <c r="C3177" s="401" t="s">
        <v>998</v>
      </c>
      <c r="D3177" s="600">
        <v>982.35</v>
      </c>
    </row>
    <row r="3178" spans="1:4" ht="25.5">
      <c r="A3178" s="401">
        <v>20185</v>
      </c>
      <c r="B3178" s="411" t="s">
        <v>10319</v>
      </c>
      <c r="C3178" s="401" t="s">
        <v>1002</v>
      </c>
      <c r="D3178" s="600">
        <v>11.98</v>
      </c>
    </row>
    <row r="3179" spans="1:4" ht="25.5">
      <c r="A3179" s="401">
        <v>20260</v>
      </c>
      <c r="B3179" s="411" t="s">
        <v>10320</v>
      </c>
      <c r="C3179" s="401" t="s">
        <v>998</v>
      </c>
      <c r="D3179" s="600">
        <v>9.6300000000000008</v>
      </c>
    </row>
    <row r="3180" spans="1:4" ht="25.5">
      <c r="A3180" s="401">
        <v>37523</v>
      </c>
      <c r="B3180" s="411" t="s">
        <v>10321</v>
      </c>
      <c r="C3180" s="401" t="s">
        <v>998</v>
      </c>
      <c r="D3180" s="600">
        <v>377259.43</v>
      </c>
    </row>
    <row r="3181" spans="1:4" ht="25.5">
      <c r="A3181" s="401">
        <v>37515</v>
      </c>
      <c r="B3181" s="411" t="s">
        <v>10322</v>
      </c>
      <c r="C3181" s="401" t="s">
        <v>998</v>
      </c>
      <c r="D3181" s="600">
        <v>335402.93</v>
      </c>
    </row>
    <row r="3182" spans="1:4" ht="25.5">
      <c r="A3182" s="401">
        <v>12899</v>
      </c>
      <c r="B3182" s="411" t="s">
        <v>10323</v>
      </c>
      <c r="C3182" s="401" t="s">
        <v>998</v>
      </c>
      <c r="D3182" s="600">
        <v>83.64</v>
      </c>
    </row>
    <row r="3183" spans="1:4" ht="25.5">
      <c r="A3183" s="401">
        <v>12898</v>
      </c>
      <c r="B3183" s="411" t="s">
        <v>10324</v>
      </c>
      <c r="C3183" s="401" t="s">
        <v>998</v>
      </c>
      <c r="D3183" s="600">
        <v>132.68</v>
      </c>
    </row>
    <row r="3184" spans="1:4">
      <c r="A3184" s="401">
        <v>42528</v>
      </c>
      <c r="B3184" s="411" t="s">
        <v>10325</v>
      </c>
      <c r="C3184" s="401" t="s">
        <v>1003</v>
      </c>
      <c r="D3184" s="600">
        <v>5.79</v>
      </c>
    </row>
    <row r="3185" spans="1:4">
      <c r="A3185" s="401">
        <v>39696</v>
      </c>
      <c r="B3185" s="411" t="s">
        <v>10326</v>
      </c>
      <c r="C3185" s="401" t="s">
        <v>1003</v>
      </c>
      <c r="D3185" s="600">
        <v>4.07</v>
      </c>
    </row>
    <row r="3186" spans="1:4">
      <c r="A3186" s="401">
        <v>39700</v>
      </c>
      <c r="B3186" s="411" t="s">
        <v>10327</v>
      </c>
      <c r="C3186" s="401" t="s">
        <v>1003</v>
      </c>
      <c r="D3186" s="600">
        <v>18.09</v>
      </c>
    </row>
    <row r="3187" spans="1:4" ht="25.5">
      <c r="A3187" s="401">
        <v>11621</v>
      </c>
      <c r="B3187" s="411" t="s">
        <v>10328</v>
      </c>
      <c r="C3187" s="401" t="s">
        <v>1003</v>
      </c>
      <c r="D3187" s="600">
        <v>35.99</v>
      </c>
    </row>
    <row r="3188" spans="1:4" ht="25.5">
      <c r="A3188" s="401">
        <v>4014</v>
      </c>
      <c r="B3188" s="411" t="s">
        <v>10329</v>
      </c>
      <c r="C3188" s="401" t="s">
        <v>1003</v>
      </c>
      <c r="D3188" s="600">
        <v>37.24</v>
      </c>
    </row>
    <row r="3189" spans="1:4" ht="25.5">
      <c r="A3189" s="401">
        <v>4015</v>
      </c>
      <c r="B3189" s="411" t="s">
        <v>10330</v>
      </c>
      <c r="C3189" s="401" t="s">
        <v>1003</v>
      </c>
      <c r="D3189" s="600">
        <v>45.73</v>
      </c>
    </row>
    <row r="3190" spans="1:4" ht="25.5">
      <c r="A3190" s="401">
        <v>4017</v>
      </c>
      <c r="B3190" s="411" t="s">
        <v>10331</v>
      </c>
      <c r="C3190" s="401" t="s">
        <v>1003</v>
      </c>
      <c r="D3190" s="600">
        <v>66.53</v>
      </c>
    </row>
    <row r="3191" spans="1:4" ht="25.5">
      <c r="A3191" s="401">
        <v>4016</v>
      </c>
      <c r="B3191" s="411" t="s">
        <v>10332</v>
      </c>
      <c r="C3191" s="401" t="s">
        <v>1003</v>
      </c>
      <c r="D3191" s="600">
        <v>26.28</v>
      </c>
    </row>
    <row r="3192" spans="1:4">
      <c r="A3192" s="401">
        <v>39699</v>
      </c>
      <c r="B3192" s="411" t="s">
        <v>10333</v>
      </c>
      <c r="C3192" s="401" t="s">
        <v>1003</v>
      </c>
      <c r="D3192" s="600">
        <v>12.93</v>
      </c>
    </row>
    <row r="3193" spans="1:4">
      <c r="A3193" s="401">
        <v>38544</v>
      </c>
      <c r="B3193" s="411" t="s">
        <v>10334</v>
      </c>
      <c r="C3193" s="401" t="s">
        <v>1003</v>
      </c>
      <c r="D3193" s="600">
        <v>6.74</v>
      </c>
    </row>
    <row r="3194" spans="1:4">
      <c r="A3194" s="401">
        <v>38545</v>
      </c>
      <c r="B3194" s="411" t="s">
        <v>10335</v>
      </c>
      <c r="C3194" s="401" t="s">
        <v>1003</v>
      </c>
      <c r="D3194" s="600">
        <v>4.33</v>
      </c>
    </row>
    <row r="3195" spans="1:4" ht="25.5">
      <c r="A3195" s="401">
        <v>42527</v>
      </c>
      <c r="B3195" s="411" t="s">
        <v>10336</v>
      </c>
      <c r="C3195" s="401" t="s">
        <v>1003</v>
      </c>
      <c r="D3195" s="600">
        <v>15.29</v>
      </c>
    </row>
    <row r="3196" spans="1:4" ht="25.5">
      <c r="A3196" s="401">
        <v>39323</v>
      </c>
      <c r="B3196" s="411" t="s">
        <v>10337</v>
      </c>
      <c r="C3196" s="401" t="s">
        <v>1003</v>
      </c>
      <c r="D3196" s="600">
        <v>16.53</v>
      </c>
    </row>
    <row r="3197" spans="1:4" ht="25.5">
      <c r="A3197" s="401">
        <v>626</v>
      </c>
      <c r="B3197" s="411" t="s">
        <v>10338</v>
      </c>
      <c r="C3197" s="401" t="s">
        <v>995</v>
      </c>
      <c r="D3197" s="600">
        <v>9.57</v>
      </c>
    </row>
    <row r="3198" spans="1:4">
      <c r="A3198" s="401">
        <v>25860</v>
      </c>
      <c r="B3198" s="411" t="s">
        <v>10339</v>
      </c>
      <c r="C3198" s="401" t="s">
        <v>1003</v>
      </c>
      <c r="D3198" s="600">
        <v>9.8000000000000007</v>
      </c>
    </row>
    <row r="3199" spans="1:4">
      <c r="A3199" s="401">
        <v>25861</v>
      </c>
      <c r="B3199" s="411" t="s">
        <v>10340</v>
      </c>
      <c r="C3199" s="401" t="s">
        <v>1003</v>
      </c>
      <c r="D3199" s="600">
        <v>14.79</v>
      </c>
    </row>
    <row r="3200" spans="1:4">
      <c r="A3200" s="401">
        <v>25862</v>
      </c>
      <c r="B3200" s="411" t="s">
        <v>10341</v>
      </c>
      <c r="C3200" s="401" t="s">
        <v>1003</v>
      </c>
      <c r="D3200" s="600">
        <v>15.7</v>
      </c>
    </row>
    <row r="3201" spans="1:4">
      <c r="A3201" s="401">
        <v>25863</v>
      </c>
      <c r="B3201" s="411" t="s">
        <v>10342</v>
      </c>
      <c r="C3201" s="401" t="s">
        <v>1003</v>
      </c>
      <c r="D3201" s="600">
        <v>19.63</v>
      </c>
    </row>
    <row r="3202" spans="1:4">
      <c r="A3202" s="401">
        <v>25864</v>
      </c>
      <c r="B3202" s="411" t="s">
        <v>10343</v>
      </c>
      <c r="C3202" s="401" t="s">
        <v>1003</v>
      </c>
      <c r="D3202" s="600">
        <v>29.44</v>
      </c>
    </row>
    <row r="3203" spans="1:4">
      <c r="A3203" s="401">
        <v>25865</v>
      </c>
      <c r="B3203" s="411" t="s">
        <v>10344</v>
      </c>
      <c r="C3203" s="401" t="s">
        <v>1003</v>
      </c>
      <c r="D3203" s="600">
        <v>39.44</v>
      </c>
    </row>
    <row r="3204" spans="1:4">
      <c r="A3204" s="401">
        <v>25866</v>
      </c>
      <c r="B3204" s="411" t="s">
        <v>10345</v>
      </c>
      <c r="C3204" s="401" t="s">
        <v>1003</v>
      </c>
      <c r="D3204" s="600">
        <v>48.97</v>
      </c>
    </row>
    <row r="3205" spans="1:4" ht="25.5">
      <c r="A3205" s="401">
        <v>25868</v>
      </c>
      <c r="B3205" s="411" t="s">
        <v>10346</v>
      </c>
      <c r="C3205" s="401" t="s">
        <v>1003</v>
      </c>
      <c r="D3205" s="600">
        <v>10.93</v>
      </c>
    </row>
    <row r="3206" spans="1:4" ht="25.5">
      <c r="A3206" s="401">
        <v>25869</v>
      </c>
      <c r="B3206" s="411" t="s">
        <v>10347</v>
      </c>
      <c r="C3206" s="401" t="s">
        <v>1003</v>
      </c>
      <c r="D3206" s="600">
        <v>15.43</v>
      </c>
    </row>
    <row r="3207" spans="1:4" ht="25.5">
      <c r="A3207" s="401">
        <v>25870</v>
      </c>
      <c r="B3207" s="411" t="s">
        <v>10348</v>
      </c>
      <c r="C3207" s="401" t="s">
        <v>1003</v>
      </c>
      <c r="D3207" s="600">
        <v>17.489999999999998</v>
      </c>
    </row>
    <row r="3208" spans="1:4" ht="25.5">
      <c r="A3208" s="401">
        <v>25871</v>
      </c>
      <c r="B3208" s="411" t="s">
        <v>10349</v>
      </c>
      <c r="C3208" s="401" t="s">
        <v>1003</v>
      </c>
      <c r="D3208" s="600">
        <v>21.47</v>
      </c>
    </row>
    <row r="3209" spans="1:4" ht="25.5">
      <c r="A3209" s="401">
        <v>25867</v>
      </c>
      <c r="B3209" s="411" t="s">
        <v>10350</v>
      </c>
      <c r="C3209" s="401" t="s">
        <v>1003</v>
      </c>
      <c r="D3209" s="600">
        <v>31.79</v>
      </c>
    </row>
    <row r="3210" spans="1:4" ht="25.5">
      <c r="A3210" s="401">
        <v>25872</v>
      </c>
      <c r="B3210" s="411" t="s">
        <v>10351</v>
      </c>
      <c r="C3210" s="401" t="s">
        <v>1003</v>
      </c>
      <c r="D3210" s="600">
        <v>42.96</v>
      </c>
    </row>
    <row r="3211" spans="1:4" ht="25.5">
      <c r="A3211" s="401">
        <v>25873</v>
      </c>
      <c r="B3211" s="411" t="s">
        <v>10352</v>
      </c>
      <c r="C3211" s="401" t="s">
        <v>1003</v>
      </c>
      <c r="D3211" s="600">
        <v>53.59</v>
      </c>
    </row>
    <row r="3212" spans="1:4" ht="25.5">
      <c r="A3212" s="401">
        <v>40637</v>
      </c>
      <c r="B3212" s="411" t="s">
        <v>10353</v>
      </c>
      <c r="C3212" s="401" t="s">
        <v>998</v>
      </c>
      <c r="D3212" s="600">
        <v>505925.24</v>
      </c>
    </row>
    <row r="3213" spans="1:4" ht="25.5">
      <c r="A3213" s="401">
        <v>13836</v>
      </c>
      <c r="B3213" s="411" t="s">
        <v>10354</v>
      </c>
      <c r="C3213" s="401" t="s">
        <v>998</v>
      </c>
      <c r="D3213" s="600">
        <v>58739.81</v>
      </c>
    </row>
    <row r="3214" spans="1:4" ht="25.5">
      <c r="A3214" s="401">
        <v>14534</v>
      </c>
      <c r="B3214" s="411" t="s">
        <v>10355</v>
      </c>
      <c r="C3214" s="401" t="s">
        <v>998</v>
      </c>
      <c r="D3214" s="600">
        <v>24590.04</v>
      </c>
    </row>
    <row r="3215" spans="1:4" ht="25.5">
      <c r="A3215" s="401">
        <v>14619</v>
      </c>
      <c r="B3215" s="411" t="s">
        <v>10356</v>
      </c>
      <c r="C3215" s="401" t="s">
        <v>998</v>
      </c>
      <c r="D3215" s="600">
        <v>14615.23</v>
      </c>
    </row>
    <row r="3216" spans="1:4" ht="38.25">
      <c r="A3216" s="401">
        <v>14535</v>
      </c>
      <c r="B3216" s="411" t="s">
        <v>10357</v>
      </c>
      <c r="C3216" s="401" t="s">
        <v>998</v>
      </c>
      <c r="D3216" s="600">
        <v>244058.49</v>
      </c>
    </row>
    <row r="3217" spans="1:4" ht="51">
      <c r="A3217" s="401">
        <v>39813</v>
      </c>
      <c r="B3217" s="411" t="s">
        <v>10358</v>
      </c>
      <c r="C3217" s="401" t="s">
        <v>998</v>
      </c>
      <c r="D3217" s="600">
        <v>17291.87</v>
      </c>
    </row>
    <row r="3218" spans="1:4" ht="38.25">
      <c r="A3218" s="401">
        <v>40403</v>
      </c>
      <c r="B3218" s="411" t="s">
        <v>10359</v>
      </c>
      <c r="C3218" s="401" t="s">
        <v>998</v>
      </c>
      <c r="D3218" s="600">
        <v>788.67</v>
      </c>
    </row>
    <row r="3219" spans="1:4">
      <c r="A3219" s="401">
        <v>12868</v>
      </c>
      <c r="B3219" s="411" t="s">
        <v>10360</v>
      </c>
      <c r="C3219" s="401" t="s">
        <v>1001</v>
      </c>
      <c r="D3219" s="600">
        <v>13.06</v>
      </c>
    </row>
    <row r="3220" spans="1:4">
      <c r="A3220" s="401">
        <v>40916</v>
      </c>
      <c r="B3220" s="411" t="s">
        <v>10361</v>
      </c>
      <c r="C3220" s="401" t="s">
        <v>1118</v>
      </c>
      <c r="D3220" s="600">
        <v>2316.61</v>
      </c>
    </row>
    <row r="3221" spans="1:4">
      <c r="A3221" s="401">
        <v>4755</v>
      </c>
      <c r="B3221" s="411" t="s">
        <v>10362</v>
      </c>
      <c r="C3221" s="401" t="s">
        <v>1001</v>
      </c>
      <c r="D3221" s="600">
        <v>13.06</v>
      </c>
    </row>
    <row r="3222" spans="1:4">
      <c r="A3222" s="401">
        <v>41067</v>
      </c>
      <c r="B3222" s="411" t="s">
        <v>10363</v>
      </c>
      <c r="C3222" s="401" t="s">
        <v>1118</v>
      </c>
      <c r="D3222" s="600">
        <v>2317.29</v>
      </c>
    </row>
    <row r="3223" spans="1:4">
      <c r="A3223" s="401">
        <v>38463</v>
      </c>
      <c r="B3223" s="411" t="s">
        <v>10364</v>
      </c>
      <c r="C3223" s="401" t="s">
        <v>998</v>
      </c>
      <c r="D3223" s="600">
        <v>32.26</v>
      </c>
    </row>
    <row r="3224" spans="1:4" ht="25.5">
      <c r="A3224" s="401">
        <v>40703</v>
      </c>
      <c r="B3224" s="411" t="s">
        <v>10365</v>
      </c>
      <c r="C3224" s="401" t="s">
        <v>998</v>
      </c>
      <c r="D3224" s="600">
        <v>10593</v>
      </c>
    </row>
    <row r="3225" spans="1:4">
      <c r="A3225" s="401">
        <v>14531</v>
      </c>
      <c r="B3225" s="411" t="s">
        <v>10366</v>
      </c>
      <c r="C3225" s="401" t="s">
        <v>998</v>
      </c>
      <c r="D3225" s="600">
        <v>19749.34</v>
      </c>
    </row>
    <row r="3226" spans="1:4">
      <c r="A3226" s="401">
        <v>36533</v>
      </c>
      <c r="B3226" s="411" t="s">
        <v>10367</v>
      </c>
      <c r="C3226" s="401" t="s">
        <v>998</v>
      </c>
      <c r="D3226" s="600">
        <v>22726.44</v>
      </c>
    </row>
    <row r="3227" spans="1:4">
      <c r="A3227" s="401">
        <v>11616</v>
      </c>
      <c r="B3227" s="411" t="s">
        <v>10368</v>
      </c>
      <c r="C3227" s="401" t="s">
        <v>998</v>
      </c>
      <c r="D3227" s="600">
        <v>21464.79</v>
      </c>
    </row>
    <row r="3228" spans="1:4">
      <c r="A3228" s="401">
        <v>41898</v>
      </c>
      <c r="B3228" s="411" t="s">
        <v>10369</v>
      </c>
      <c r="C3228" s="401" t="s">
        <v>998</v>
      </c>
      <c r="D3228" s="600">
        <v>24150.81</v>
      </c>
    </row>
    <row r="3229" spans="1:4" ht="25.5">
      <c r="A3229" s="401">
        <v>13447</v>
      </c>
      <c r="B3229" s="411" t="s">
        <v>10370</v>
      </c>
      <c r="C3229" s="401" t="s">
        <v>998</v>
      </c>
      <c r="D3229" s="600">
        <v>44439.14</v>
      </c>
    </row>
    <row r="3230" spans="1:4">
      <c r="A3230" s="401">
        <v>14529</v>
      </c>
      <c r="B3230" s="411" t="s">
        <v>10371</v>
      </c>
      <c r="C3230" s="401" t="s">
        <v>998</v>
      </c>
      <c r="D3230" s="600">
        <v>24853.68</v>
      </c>
    </row>
    <row r="3231" spans="1:4">
      <c r="A3231" s="401">
        <v>10747</v>
      </c>
      <c r="B3231" s="411" t="s">
        <v>10372</v>
      </c>
      <c r="C3231" s="401" t="s">
        <v>998</v>
      </c>
      <c r="D3231" s="600">
        <v>24385.26</v>
      </c>
    </row>
    <row r="3232" spans="1:4" ht="25.5">
      <c r="A3232" s="401">
        <v>36141</v>
      </c>
      <c r="B3232" s="411" t="s">
        <v>10373</v>
      </c>
      <c r="C3232" s="401" t="s">
        <v>998</v>
      </c>
      <c r="D3232" s="600">
        <v>32.26</v>
      </c>
    </row>
    <row r="3233" spans="1:4" ht="25.5">
      <c r="A3233" s="401">
        <v>39434</v>
      </c>
      <c r="B3233" s="411" t="s">
        <v>10374</v>
      </c>
      <c r="C3233" s="401" t="s">
        <v>995</v>
      </c>
      <c r="D3233" s="600">
        <v>4.03</v>
      </c>
    </row>
    <row r="3234" spans="1:4" ht="25.5">
      <c r="A3234" s="401">
        <v>39433</v>
      </c>
      <c r="B3234" s="411" t="s">
        <v>10375</v>
      </c>
      <c r="C3234" s="401" t="s">
        <v>995</v>
      </c>
      <c r="D3234" s="600">
        <v>2.89</v>
      </c>
    </row>
    <row r="3235" spans="1:4">
      <c r="A3235" s="401">
        <v>4049</v>
      </c>
      <c r="B3235" s="411" t="s">
        <v>10376</v>
      </c>
      <c r="C3235" s="401" t="s">
        <v>997</v>
      </c>
      <c r="D3235" s="600">
        <v>44.73</v>
      </c>
    </row>
    <row r="3236" spans="1:4">
      <c r="A3236" s="401">
        <v>38120</v>
      </c>
      <c r="B3236" s="411" t="s">
        <v>10377</v>
      </c>
      <c r="C3236" s="401" t="s">
        <v>995</v>
      </c>
      <c r="D3236" s="600">
        <v>68.099999999999994</v>
      </c>
    </row>
    <row r="3237" spans="1:4">
      <c r="A3237" s="401">
        <v>38877</v>
      </c>
      <c r="B3237" s="411" t="s">
        <v>10378</v>
      </c>
      <c r="C3237" s="401" t="s">
        <v>995</v>
      </c>
      <c r="D3237" s="600">
        <v>6.33</v>
      </c>
    </row>
    <row r="3238" spans="1:4">
      <c r="A3238" s="401">
        <v>34546</v>
      </c>
      <c r="B3238" s="411" t="s">
        <v>10379</v>
      </c>
      <c r="C3238" s="401" t="s">
        <v>995</v>
      </c>
      <c r="D3238" s="600">
        <v>6.38</v>
      </c>
    </row>
    <row r="3239" spans="1:4">
      <c r="A3239" s="401">
        <v>10498</v>
      </c>
      <c r="B3239" s="411" t="s">
        <v>10380</v>
      </c>
      <c r="C3239" s="401" t="s">
        <v>995</v>
      </c>
      <c r="D3239" s="600">
        <v>7.09</v>
      </c>
    </row>
    <row r="3240" spans="1:4">
      <c r="A3240" s="401">
        <v>4823</v>
      </c>
      <c r="B3240" s="411" t="s">
        <v>10381</v>
      </c>
      <c r="C3240" s="401" t="s">
        <v>995</v>
      </c>
      <c r="D3240" s="600">
        <v>35.630000000000003</v>
      </c>
    </row>
    <row r="3241" spans="1:4">
      <c r="A3241" s="401">
        <v>12357</v>
      </c>
      <c r="B3241" s="411" t="s">
        <v>10382</v>
      </c>
      <c r="C3241" s="401" t="s">
        <v>998</v>
      </c>
      <c r="D3241" s="600">
        <v>152.06</v>
      </c>
    </row>
    <row r="3242" spans="1:4">
      <c r="A3242" s="401">
        <v>12358</v>
      </c>
      <c r="B3242" s="411" t="s">
        <v>10383</v>
      </c>
      <c r="C3242" s="401" t="s">
        <v>998</v>
      </c>
      <c r="D3242" s="600">
        <v>171.04</v>
      </c>
    </row>
    <row r="3243" spans="1:4" ht="25.5">
      <c r="A3243" s="401">
        <v>11079</v>
      </c>
      <c r="B3243" s="411" t="s">
        <v>10384</v>
      </c>
      <c r="C3243" s="401" t="s">
        <v>996</v>
      </c>
      <c r="D3243" s="600">
        <v>998.08</v>
      </c>
    </row>
    <row r="3244" spans="1:4" ht="25.5">
      <c r="A3244" s="401">
        <v>11082</v>
      </c>
      <c r="B3244" s="411" t="s">
        <v>10385</v>
      </c>
      <c r="C3244" s="401" t="s">
        <v>996</v>
      </c>
      <c r="D3244" s="600">
        <v>1018.28</v>
      </c>
    </row>
    <row r="3245" spans="1:4">
      <c r="A3245" s="401">
        <v>4058</v>
      </c>
      <c r="B3245" s="411" t="s">
        <v>10386</v>
      </c>
      <c r="C3245" s="401" t="s">
        <v>1001</v>
      </c>
      <c r="D3245" s="600">
        <v>14</v>
      </c>
    </row>
    <row r="3246" spans="1:4">
      <c r="A3246" s="401">
        <v>40974</v>
      </c>
      <c r="B3246" s="411" t="s">
        <v>10387</v>
      </c>
      <c r="C3246" s="401" t="s">
        <v>1118</v>
      </c>
      <c r="D3246" s="600">
        <v>2483.5300000000002</v>
      </c>
    </row>
    <row r="3247" spans="1:4">
      <c r="A3247" s="401">
        <v>34794</v>
      </c>
      <c r="B3247" s="411" t="s">
        <v>10388</v>
      </c>
      <c r="C3247" s="401" t="s">
        <v>1001</v>
      </c>
      <c r="D3247" s="600">
        <v>14.55</v>
      </c>
    </row>
    <row r="3248" spans="1:4">
      <c r="A3248" s="401">
        <v>40925</v>
      </c>
      <c r="B3248" s="411" t="s">
        <v>10389</v>
      </c>
      <c r="C3248" s="401" t="s">
        <v>1118</v>
      </c>
      <c r="D3248" s="600">
        <v>2581.2600000000002</v>
      </c>
    </row>
    <row r="3249" spans="1:4">
      <c r="A3249" s="401">
        <v>13741</v>
      </c>
      <c r="B3249" s="411" t="s">
        <v>10390</v>
      </c>
      <c r="C3249" s="401" t="s">
        <v>998</v>
      </c>
      <c r="D3249" s="600">
        <v>1768.86</v>
      </c>
    </row>
    <row r="3250" spans="1:4" ht="25.5">
      <c r="A3250" s="401">
        <v>3288</v>
      </c>
      <c r="B3250" s="411" t="s">
        <v>10391</v>
      </c>
      <c r="C3250" s="401" t="s">
        <v>1002</v>
      </c>
      <c r="D3250" s="600">
        <v>4.0999999999999996</v>
      </c>
    </row>
    <row r="3251" spans="1:4" ht="25.5">
      <c r="A3251" s="401">
        <v>13587</v>
      </c>
      <c r="B3251" s="411" t="s">
        <v>10392</v>
      </c>
      <c r="C3251" s="401" t="s">
        <v>1002</v>
      </c>
      <c r="D3251" s="600">
        <v>2.4700000000000002</v>
      </c>
    </row>
    <row r="3252" spans="1:4">
      <c r="A3252" s="401">
        <v>38598</v>
      </c>
      <c r="B3252" s="411" t="s">
        <v>10393</v>
      </c>
      <c r="C3252" s="401" t="s">
        <v>998</v>
      </c>
      <c r="D3252" s="600">
        <v>2.46</v>
      </c>
    </row>
    <row r="3253" spans="1:4">
      <c r="A3253" s="401">
        <v>38595</v>
      </c>
      <c r="B3253" s="411" t="s">
        <v>10394</v>
      </c>
      <c r="C3253" s="401" t="s">
        <v>998</v>
      </c>
      <c r="D3253" s="600">
        <v>1.7</v>
      </c>
    </row>
    <row r="3254" spans="1:4">
      <c r="A3254" s="401">
        <v>38592</v>
      </c>
      <c r="B3254" s="411" t="s">
        <v>10395</v>
      </c>
      <c r="C3254" s="401" t="s">
        <v>998</v>
      </c>
      <c r="D3254" s="600">
        <v>2.2200000000000002</v>
      </c>
    </row>
    <row r="3255" spans="1:4">
      <c r="A3255" s="401">
        <v>38588</v>
      </c>
      <c r="B3255" s="411" t="s">
        <v>10396</v>
      </c>
      <c r="C3255" s="401" t="s">
        <v>998</v>
      </c>
      <c r="D3255" s="600">
        <v>1.4</v>
      </c>
    </row>
    <row r="3256" spans="1:4">
      <c r="A3256" s="401">
        <v>38593</v>
      </c>
      <c r="B3256" s="411" t="s">
        <v>10397</v>
      </c>
      <c r="C3256" s="401" t="s">
        <v>998</v>
      </c>
      <c r="D3256" s="600">
        <v>2.39</v>
      </c>
    </row>
    <row r="3257" spans="1:4">
      <c r="A3257" s="401">
        <v>38589</v>
      </c>
      <c r="B3257" s="411" t="s">
        <v>10398</v>
      </c>
      <c r="C3257" s="401" t="s">
        <v>998</v>
      </c>
      <c r="D3257" s="600">
        <v>1.7</v>
      </c>
    </row>
    <row r="3258" spans="1:4">
      <c r="A3258" s="401">
        <v>38594</v>
      </c>
      <c r="B3258" s="411" t="s">
        <v>10399</v>
      </c>
      <c r="C3258" s="401" t="s">
        <v>998</v>
      </c>
      <c r="D3258" s="600">
        <v>3.54</v>
      </c>
    </row>
    <row r="3259" spans="1:4">
      <c r="A3259" s="401">
        <v>34787</v>
      </c>
      <c r="B3259" s="411" t="s">
        <v>10400</v>
      </c>
      <c r="C3259" s="401" t="s">
        <v>998</v>
      </c>
      <c r="D3259" s="600">
        <v>0.97</v>
      </c>
    </row>
    <row r="3260" spans="1:4">
      <c r="A3260" s="401">
        <v>34788</v>
      </c>
      <c r="B3260" s="411" t="s">
        <v>10401</v>
      </c>
      <c r="C3260" s="401" t="s">
        <v>998</v>
      </c>
      <c r="D3260" s="600">
        <v>0.98</v>
      </c>
    </row>
    <row r="3261" spans="1:4">
      <c r="A3261" s="401">
        <v>34784</v>
      </c>
      <c r="B3261" s="411" t="s">
        <v>10402</v>
      </c>
      <c r="C3261" s="401" t="s">
        <v>998</v>
      </c>
      <c r="D3261" s="600">
        <v>1.07</v>
      </c>
    </row>
    <row r="3262" spans="1:4">
      <c r="A3262" s="401">
        <v>34781</v>
      </c>
      <c r="B3262" s="411" t="s">
        <v>10403</v>
      </c>
      <c r="C3262" s="401" t="s">
        <v>998</v>
      </c>
      <c r="D3262" s="600">
        <v>1.22</v>
      </c>
    </row>
    <row r="3263" spans="1:4">
      <c r="A3263" s="401">
        <v>34773</v>
      </c>
      <c r="B3263" s="411" t="s">
        <v>10404</v>
      </c>
      <c r="C3263" s="401" t="s">
        <v>998</v>
      </c>
      <c r="D3263" s="600">
        <v>1.77</v>
      </c>
    </row>
    <row r="3264" spans="1:4">
      <c r="A3264" s="401">
        <v>34769</v>
      </c>
      <c r="B3264" s="411" t="s">
        <v>10405</v>
      </c>
      <c r="C3264" s="401" t="s">
        <v>998</v>
      </c>
      <c r="D3264" s="600">
        <v>2.0499999999999998</v>
      </c>
    </row>
    <row r="3265" spans="1:4">
      <c r="A3265" s="401">
        <v>34763</v>
      </c>
      <c r="B3265" s="411" t="s">
        <v>10406</v>
      </c>
      <c r="C3265" s="401" t="s">
        <v>998</v>
      </c>
      <c r="D3265" s="600">
        <v>1.19</v>
      </c>
    </row>
    <row r="3266" spans="1:4">
      <c r="A3266" s="401">
        <v>34774</v>
      </c>
      <c r="B3266" s="411" t="s">
        <v>10407</v>
      </c>
      <c r="C3266" s="401" t="s">
        <v>998</v>
      </c>
      <c r="D3266" s="600">
        <v>1.58</v>
      </c>
    </row>
    <row r="3267" spans="1:4">
      <c r="A3267" s="401">
        <v>34771</v>
      </c>
      <c r="B3267" s="411" t="s">
        <v>10408</v>
      </c>
      <c r="C3267" s="401" t="s">
        <v>998</v>
      </c>
      <c r="D3267" s="600">
        <v>1.82</v>
      </c>
    </row>
    <row r="3268" spans="1:4">
      <c r="A3268" s="401">
        <v>34764</v>
      </c>
      <c r="B3268" s="411" t="s">
        <v>10409</v>
      </c>
      <c r="C3268" s="401" t="s">
        <v>998</v>
      </c>
      <c r="D3268" s="600">
        <v>1.1100000000000001</v>
      </c>
    </row>
    <row r="3269" spans="1:4">
      <c r="A3269" s="401">
        <v>4062</v>
      </c>
      <c r="B3269" s="411" t="s">
        <v>10410</v>
      </c>
      <c r="C3269" s="401" t="s">
        <v>998</v>
      </c>
      <c r="D3269" s="600">
        <v>20.62</v>
      </c>
    </row>
    <row r="3270" spans="1:4">
      <c r="A3270" s="401">
        <v>4059</v>
      </c>
      <c r="B3270" s="411" t="s">
        <v>10411</v>
      </c>
      <c r="C3270" s="401" t="s">
        <v>1002</v>
      </c>
      <c r="D3270" s="600">
        <v>25</v>
      </c>
    </row>
    <row r="3271" spans="1:4">
      <c r="A3271" s="401">
        <v>4061</v>
      </c>
      <c r="B3271" s="411" t="s">
        <v>10412</v>
      </c>
      <c r="C3271" s="401" t="s">
        <v>998</v>
      </c>
      <c r="D3271" s="600">
        <v>20</v>
      </c>
    </row>
    <row r="3272" spans="1:4">
      <c r="A3272" s="401">
        <v>41315</v>
      </c>
      <c r="B3272" s="411" t="s">
        <v>10413</v>
      </c>
      <c r="C3272" s="401" t="s">
        <v>995</v>
      </c>
      <c r="D3272" s="600">
        <v>61.76</v>
      </c>
    </row>
    <row r="3273" spans="1:4">
      <c r="A3273" s="401">
        <v>43148</v>
      </c>
      <c r="B3273" s="411" t="s">
        <v>10414</v>
      </c>
      <c r="C3273" s="401" t="s">
        <v>995</v>
      </c>
      <c r="D3273" s="600">
        <v>41.92</v>
      </c>
    </row>
    <row r="3274" spans="1:4">
      <c r="A3274" s="401">
        <v>43147</v>
      </c>
      <c r="B3274" s="411" t="s">
        <v>10415</v>
      </c>
      <c r="C3274" s="401" t="s">
        <v>995</v>
      </c>
      <c r="D3274" s="600">
        <v>16.23</v>
      </c>
    </row>
    <row r="3275" spans="1:4" ht="25.5">
      <c r="A3275" s="401">
        <v>10608</v>
      </c>
      <c r="B3275" s="411" t="s">
        <v>10416</v>
      </c>
      <c r="C3275" s="401" t="s">
        <v>998</v>
      </c>
      <c r="D3275" s="600">
        <v>8402.98</v>
      </c>
    </row>
    <row r="3276" spans="1:4">
      <c r="A3276" s="401">
        <v>4069</v>
      </c>
      <c r="B3276" s="411" t="s">
        <v>10417</v>
      </c>
      <c r="C3276" s="401" t="s">
        <v>1001</v>
      </c>
      <c r="D3276" s="600">
        <v>26</v>
      </c>
    </row>
    <row r="3277" spans="1:4">
      <c r="A3277" s="401">
        <v>40819</v>
      </c>
      <c r="B3277" s="411" t="s">
        <v>10418</v>
      </c>
      <c r="C3277" s="401" t="s">
        <v>1118</v>
      </c>
      <c r="D3277" s="600">
        <v>4607.95</v>
      </c>
    </row>
    <row r="3278" spans="1:4">
      <c r="A3278" s="401">
        <v>34361</v>
      </c>
      <c r="B3278" s="411" t="s">
        <v>10419</v>
      </c>
      <c r="C3278" s="401" t="s">
        <v>995</v>
      </c>
      <c r="D3278" s="600">
        <v>11.82</v>
      </c>
    </row>
    <row r="3279" spans="1:4" ht="25.5">
      <c r="A3279" s="401">
        <v>36512</v>
      </c>
      <c r="B3279" s="411" t="s">
        <v>10420</v>
      </c>
      <c r="C3279" s="401" t="s">
        <v>998</v>
      </c>
      <c r="D3279" s="600">
        <v>10535.03</v>
      </c>
    </row>
    <row r="3280" spans="1:4" ht="25.5">
      <c r="A3280" s="401">
        <v>25972</v>
      </c>
      <c r="B3280" s="411" t="s">
        <v>10421</v>
      </c>
      <c r="C3280" s="401" t="s">
        <v>995</v>
      </c>
      <c r="D3280" s="600">
        <v>9.2899999999999991</v>
      </c>
    </row>
    <row r="3281" spans="1:4" ht="25.5">
      <c r="A3281" s="401">
        <v>25973</v>
      </c>
      <c r="B3281" s="411" t="s">
        <v>10422</v>
      </c>
      <c r="C3281" s="401" t="s">
        <v>995</v>
      </c>
      <c r="D3281" s="600">
        <v>9.2899999999999991</v>
      </c>
    </row>
    <row r="3282" spans="1:4">
      <c r="A3282" s="401">
        <v>11697</v>
      </c>
      <c r="B3282" s="411" t="s">
        <v>10423</v>
      </c>
      <c r="C3282" s="401" t="s">
        <v>998</v>
      </c>
      <c r="D3282" s="600">
        <v>510</v>
      </c>
    </row>
    <row r="3283" spans="1:4">
      <c r="A3283" s="401">
        <v>11698</v>
      </c>
      <c r="B3283" s="411" t="s">
        <v>10424</v>
      </c>
      <c r="C3283" s="401" t="s">
        <v>998</v>
      </c>
      <c r="D3283" s="600">
        <v>608.4</v>
      </c>
    </row>
    <row r="3284" spans="1:4">
      <c r="A3284" s="401">
        <v>11699</v>
      </c>
      <c r="B3284" s="411" t="s">
        <v>10425</v>
      </c>
      <c r="C3284" s="401" t="s">
        <v>998</v>
      </c>
      <c r="D3284" s="600">
        <v>672.42</v>
      </c>
    </row>
    <row r="3285" spans="1:4">
      <c r="A3285" s="401">
        <v>10432</v>
      </c>
      <c r="B3285" s="411" t="s">
        <v>10426</v>
      </c>
      <c r="C3285" s="401" t="s">
        <v>998</v>
      </c>
      <c r="D3285" s="600">
        <v>239.84</v>
      </c>
    </row>
    <row r="3286" spans="1:4">
      <c r="A3286" s="401">
        <v>10430</v>
      </c>
      <c r="B3286" s="411" t="s">
        <v>10427</v>
      </c>
      <c r="C3286" s="401" t="s">
        <v>998</v>
      </c>
      <c r="D3286" s="600">
        <v>258.3</v>
      </c>
    </row>
    <row r="3287" spans="1:4" ht="25.5">
      <c r="A3287" s="401">
        <v>37514</v>
      </c>
      <c r="B3287" s="411" t="s">
        <v>10428</v>
      </c>
      <c r="C3287" s="401" t="s">
        <v>998</v>
      </c>
      <c r="D3287" s="600">
        <v>170871.38</v>
      </c>
    </row>
    <row r="3288" spans="1:4" ht="25.5">
      <c r="A3288" s="401">
        <v>37519</v>
      </c>
      <c r="B3288" s="411" t="s">
        <v>10429</v>
      </c>
      <c r="C3288" s="401" t="s">
        <v>998</v>
      </c>
      <c r="D3288" s="600">
        <v>263704.67</v>
      </c>
    </row>
    <row r="3289" spans="1:4" ht="25.5">
      <c r="A3289" s="401">
        <v>37520</v>
      </c>
      <c r="B3289" s="411" t="s">
        <v>10430</v>
      </c>
      <c r="C3289" s="401" t="s">
        <v>998</v>
      </c>
      <c r="D3289" s="600">
        <v>259381.64</v>
      </c>
    </row>
    <row r="3290" spans="1:4" ht="25.5">
      <c r="A3290" s="401">
        <v>37521</v>
      </c>
      <c r="B3290" s="411" t="s">
        <v>10431</v>
      </c>
      <c r="C3290" s="401" t="s">
        <v>998</v>
      </c>
      <c r="D3290" s="600">
        <v>316445.61</v>
      </c>
    </row>
    <row r="3291" spans="1:4" ht="25.5">
      <c r="A3291" s="401">
        <v>37522</v>
      </c>
      <c r="B3291" s="411" t="s">
        <v>10432</v>
      </c>
      <c r="C3291" s="401" t="s">
        <v>998</v>
      </c>
      <c r="D3291" s="600">
        <v>325966.12</v>
      </c>
    </row>
    <row r="3292" spans="1:4" ht="25.5">
      <c r="A3292" s="401">
        <v>21109</v>
      </c>
      <c r="B3292" s="411" t="s">
        <v>10433</v>
      </c>
      <c r="C3292" s="401" t="s">
        <v>998</v>
      </c>
      <c r="D3292" s="600">
        <v>60.51</v>
      </c>
    </row>
    <row r="3293" spans="1:4">
      <c r="A3293" s="401">
        <v>36800</v>
      </c>
      <c r="B3293" s="411" t="s">
        <v>10434</v>
      </c>
      <c r="C3293" s="401" t="s">
        <v>998</v>
      </c>
      <c r="D3293" s="600">
        <v>82.54</v>
      </c>
    </row>
    <row r="3294" spans="1:4">
      <c r="A3294" s="401">
        <v>11769</v>
      </c>
      <c r="B3294" s="411" t="s">
        <v>10435</v>
      </c>
      <c r="C3294" s="401" t="s">
        <v>998</v>
      </c>
      <c r="D3294" s="600">
        <v>202.28</v>
      </c>
    </row>
    <row r="3295" spans="1:4">
      <c r="A3295" s="401">
        <v>36793</v>
      </c>
      <c r="B3295" s="411" t="s">
        <v>10436</v>
      </c>
      <c r="C3295" s="401" t="s">
        <v>998</v>
      </c>
      <c r="D3295" s="600">
        <v>327.5</v>
      </c>
    </row>
    <row r="3296" spans="1:4" ht="25.5">
      <c r="A3296" s="401">
        <v>37546</v>
      </c>
      <c r="B3296" s="411" t="s">
        <v>10437</v>
      </c>
      <c r="C3296" s="401" t="s">
        <v>998</v>
      </c>
      <c r="D3296" s="600">
        <v>9075.92</v>
      </c>
    </row>
    <row r="3297" spans="1:4" ht="25.5">
      <c r="A3297" s="401">
        <v>37544</v>
      </c>
      <c r="B3297" s="411" t="s">
        <v>10438</v>
      </c>
      <c r="C3297" s="401" t="s">
        <v>998</v>
      </c>
      <c r="D3297" s="600">
        <v>9599.31</v>
      </c>
    </row>
    <row r="3298" spans="1:4" ht="25.5">
      <c r="A3298" s="401">
        <v>37545</v>
      </c>
      <c r="B3298" s="411" t="s">
        <v>10439</v>
      </c>
      <c r="C3298" s="401" t="s">
        <v>998</v>
      </c>
      <c r="D3298" s="600">
        <v>11421.89</v>
      </c>
    </row>
    <row r="3299" spans="1:4">
      <c r="A3299" s="401">
        <v>11771</v>
      </c>
      <c r="B3299" s="411" t="s">
        <v>10440</v>
      </c>
      <c r="C3299" s="401" t="s">
        <v>998</v>
      </c>
      <c r="D3299" s="600">
        <v>250.9</v>
      </c>
    </row>
    <row r="3300" spans="1:4" ht="38.25">
      <c r="A3300" s="401">
        <v>39919</v>
      </c>
      <c r="B3300" s="411" t="s">
        <v>10441</v>
      </c>
      <c r="C3300" s="401" t="s">
        <v>998</v>
      </c>
      <c r="D3300" s="600">
        <v>45430.01</v>
      </c>
    </row>
    <row r="3301" spans="1:4" ht="25.5">
      <c r="A3301" s="401">
        <v>38385</v>
      </c>
      <c r="B3301" s="411" t="s">
        <v>10442</v>
      </c>
      <c r="C3301" s="401" t="s">
        <v>998</v>
      </c>
      <c r="D3301" s="600">
        <v>42.23</v>
      </c>
    </row>
    <row r="3302" spans="1:4">
      <c r="A3302" s="401">
        <v>37587</v>
      </c>
      <c r="B3302" s="411" t="s">
        <v>10443</v>
      </c>
      <c r="C3302" s="401" t="s">
        <v>998</v>
      </c>
      <c r="D3302" s="600">
        <v>228.21</v>
      </c>
    </row>
    <row r="3303" spans="1:4">
      <c r="A3303" s="401">
        <v>11561</v>
      </c>
      <c r="B3303" s="411" t="s">
        <v>10444</v>
      </c>
      <c r="C3303" s="401" t="s">
        <v>998</v>
      </c>
      <c r="D3303" s="600">
        <v>153.30000000000001</v>
      </c>
    </row>
    <row r="3304" spans="1:4">
      <c r="A3304" s="401">
        <v>11560</v>
      </c>
      <c r="B3304" s="411" t="s">
        <v>10445</v>
      </c>
      <c r="C3304" s="401" t="s">
        <v>998</v>
      </c>
      <c r="D3304" s="600">
        <v>130.47999999999999</v>
      </c>
    </row>
    <row r="3305" spans="1:4">
      <c r="A3305" s="401">
        <v>11499</v>
      </c>
      <c r="B3305" s="411" t="s">
        <v>10446</v>
      </c>
      <c r="C3305" s="401" t="s">
        <v>998</v>
      </c>
      <c r="D3305" s="600">
        <v>1130.28</v>
      </c>
    </row>
    <row r="3306" spans="1:4">
      <c r="A3306" s="401">
        <v>34761</v>
      </c>
      <c r="B3306" s="411" t="s">
        <v>10447</v>
      </c>
      <c r="C3306" s="401" t="s">
        <v>1001</v>
      </c>
      <c r="D3306" s="600">
        <v>12.92</v>
      </c>
    </row>
    <row r="3307" spans="1:4">
      <c r="A3307" s="401">
        <v>40924</v>
      </c>
      <c r="B3307" s="411" t="s">
        <v>10448</v>
      </c>
      <c r="C3307" s="401" t="s">
        <v>1118</v>
      </c>
      <c r="D3307" s="600">
        <v>2290.1</v>
      </c>
    </row>
    <row r="3308" spans="1:4">
      <c r="A3308" s="401">
        <v>25957</v>
      </c>
      <c r="B3308" s="411" t="s">
        <v>10449</v>
      </c>
      <c r="C3308" s="401" t="s">
        <v>1001</v>
      </c>
      <c r="D3308" s="600">
        <v>8.76</v>
      </c>
    </row>
    <row r="3309" spans="1:4">
      <c r="A3309" s="401">
        <v>40983</v>
      </c>
      <c r="B3309" s="411" t="s">
        <v>10450</v>
      </c>
      <c r="C3309" s="401" t="s">
        <v>1118</v>
      </c>
      <c r="D3309" s="600">
        <v>1552.79</v>
      </c>
    </row>
    <row r="3310" spans="1:4">
      <c r="A3310" s="401">
        <v>2437</v>
      </c>
      <c r="B3310" s="411" t="s">
        <v>10451</v>
      </c>
      <c r="C3310" s="401" t="s">
        <v>1001</v>
      </c>
      <c r="D3310" s="600">
        <v>14.39</v>
      </c>
    </row>
    <row r="3311" spans="1:4">
      <c r="A3311" s="401">
        <v>40921</v>
      </c>
      <c r="B3311" s="411" t="s">
        <v>10452</v>
      </c>
      <c r="C3311" s="401" t="s">
        <v>1118</v>
      </c>
      <c r="D3311" s="600">
        <v>2552.7399999999998</v>
      </c>
    </row>
    <row r="3312" spans="1:4" ht="25.5">
      <c r="A3312" s="401">
        <v>14252</v>
      </c>
      <c r="B3312" s="411" t="s">
        <v>10453</v>
      </c>
      <c r="C3312" s="401" t="s">
        <v>998</v>
      </c>
      <c r="D3312" s="600">
        <v>1968.89</v>
      </c>
    </row>
    <row r="3313" spans="1:4" ht="25.5">
      <c r="A3313" s="401">
        <v>730</v>
      </c>
      <c r="B3313" s="411" t="s">
        <v>10454</v>
      </c>
      <c r="C3313" s="401" t="s">
        <v>998</v>
      </c>
      <c r="D3313" s="600">
        <v>5260.51</v>
      </c>
    </row>
    <row r="3314" spans="1:4" ht="25.5">
      <c r="A3314" s="401">
        <v>723</v>
      </c>
      <c r="B3314" s="411" t="s">
        <v>10455</v>
      </c>
      <c r="C3314" s="401" t="s">
        <v>998</v>
      </c>
      <c r="D3314" s="600">
        <v>2614.66</v>
      </c>
    </row>
    <row r="3315" spans="1:4" ht="25.5">
      <c r="A3315" s="401">
        <v>36502</v>
      </c>
      <c r="B3315" s="411" t="s">
        <v>10456</v>
      </c>
      <c r="C3315" s="401" t="s">
        <v>998</v>
      </c>
      <c r="D3315" s="600">
        <v>2457.4699999999998</v>
      </c>
    </row>
    <row r="3316" spans="1:4" ht="25.5">
      <c r="A3316" s="401">
        <v>36503</v>
      </c>
      <c r="B3316" s="411" t="s">
        <v>10457</v>
      </c>
      <c r="C3316" s="401" t="s">
        <v>998</v>
      </c>
      <c r="D3316" s="600">
        <v>3030.35</v>
      </c>
    </row>
    <row r="3317" spans="1:4" ht="25.5">
      <c r="A3317" s="401">
        <v>4090</v>
      </c>
      <c r="B3317" s="411" t="s">
        <v>10458</v>
      </c>
      <c r="C3317" s="401" t="s">
        <v>998</v>
      </c>
      <c r="D3317" s="600">
        <v>537000</v>
      </c>
    </row>
    <row r="3318" spans="1:4" ht="25.5">
      <c r="A3318" s="401">
        <v>13227</v>
      </c>
      <c r="B3318" s="411" t="s">
        <v>10459</v>
      </c>
      <c r="C3318" s="401" t="s">
        <v>998</v>
      </c>
      <c r="D3318" s="600">
        <v>667289.46</v>
      </c>
    </row>
    <row r="3319" spans="1:4" ht="25.5">
      <c r="A3319" s="401">
        <v>10597</v>
      </c>
      <c r="B3319" s="411" t="s">
        <v>10460</v>
      </c>
      <c r="C3319" s="401" t="s">
        <v>998</v>
      </c>
      <c r="D3319" s="600">
        <v>702408.24</v>
      </c>
    </row>
    <row r="3320" spans="1:4">
      <c r="A3320" s="401">
        <v>39628</v>
      </c>
      <c r="B3320" s="411" t="s">
        <v>10461</v>
      </c>
      <c r="C3320" s="401" t="s">
        <v>998</v>
      </c>
      <c r="D3320" s="600">
        <v>3158.7</v>
      </c>
    </row>
    <row r="3321" spans="1:4">
      <c r="A3321" s="401">
        <v>39404</v>
      </c>
      <c r="B3321" s="411" t="s">
        <v>10462</v>
      </c>
      <c r="C3321" s="401" t="s">
        <v>998</v>
      </c>
      <c r="D3321" s="600">
        <v>1566.29</v>
      </c>
    </row>
    <row r="3322" spans="1:4">
      <c r="A3322" s="401">
        <v>39402</v>
      </c>
      <c r="B3322" s="411" t="s">
        <v>10463</v>
      </c>
      <c r="C3322" s="401" t="s">
        <v>998</v>
      </c>
      <c r="D3322" s="600">
        <v>1290.33</v>
      </c>
    </row>
    <row r="3323" spans="1:4">
      <c r="A3323" s="401">
        <v>39403</v>
      </c>
      <c r="B3323" s="411" t="s">
        <v>10464</v>
      </c>
      <c r="C3323" s="401" t="s">
        <v>998</v>
      </c>
      <c r="D3323" s="600">
        <v>1262.26</v>
      </c>
    </row>
    <row r="3324" spans="1:4">
      <c r="A3324" s="401">
        <v>4093</v>
      </c>
      <c r="B3324" s="411" t="s">
        <v>10465</v>
      </c>
      <c r="C3324" s="401" t="s">
        <v>1001</v>
      </c>
      <c r="D3324" s="600">
        <v>10.16</v>
      </c>
    </row>
    <row r="3325" spans="1:4">
      <c r="A3325" s="401">
        <v>10512</v>
      </c>
      <c r="B3325" s="411" t="s">
        <v>10466</v>
      </c>
      <c r="C3325" s="401" t="s">
        <v>1118</v>
      </c>
      <c r="D3325" s="600">
        <v>1802.69</v>
      </c>
    </row>
    <row r="3326" spans="1:4">
      <c r="A3326" s="401">
        <v>20020</v>
      </c>
      <c r="B3326" s="411" t="s">
        <v>10467</v>
      </c>
      <c r="C3326" s="401" t="s">
        <v>1001</v>
      </c>
      <c r="D3326" s="600">
        <v>9.58</v>
      </c>
    </row>
    <row r="3327" spans="1:4">
      <c r="A3327" s="401">
        <v>41038</v>
      </c>
      <c r="B3327" s="411" t="s">
        <v>10468</v>
      </c>
      <c r="C3327" s="401" t="s">
        <v>1118</v>
      </c>
      <c r="D3327" s="600">
        <v>1700.4</v>
      </c>
    </row>
    <row r="3328" spans="1:4">
      <c r="A3328" s="401">
        <v>4094</v>
      </c>
      <c r="B3328" s="411" t="s">
        <v>10469</v>
      </c>
      <c r="C3328" s="401" t="s">
        <v>1001</v>
      </c>
      <c r="D3328" s="600">
        <v>13.58</v>
      </c>
    </row>
    <row r="3329" spans="1:4">
      <c r="A3329" s="401">
        <v>40988</v>
      </c>
      <c r="B3329" s="411" t="s">
        <v>10470</v>
      </c>
      <c r="C3329" s="401" t="s">
        <v>1118</v>
      </c>
      <c r="D3329" s="600">
        <v>2407.38</v>
      </c>
    </row>
    <row r="3330" spans="1:4">
      <c r="A3330" s="401">
        <v>4095</v>
      </c>
      <c r="B3330" s="411" t="s">
        <v>10471</v>
      </c>
      <c r="C3330" s="401" t="s">
        <v>1001</v>
      </c>
      <c r="D3330" s="600">
        <v>9.42</v>
      </c>
    </row>
    <row r="3331" spans="1:4">
      <c r="A3331" s="401">
        <v>40990</v>
      </c>
      <c r="B3331" s="411" t="s">
        <v>10472</v>
      </c>
      <c r="C3331" s="401" t="s">
        <v>1118</v>
      </c>
      <c r="D3331" s="600">
        <v>1670.53</v>
      </c>
    </row>
    <row r="3332" spans="1:4">
      <c r="A3332" s="401">
        <v>4097</v>
      </c>
      <c r="B3332" s="411" t="s">
        <v>10473</v>
      </c>
      <c r="C3332" s="401" t="s">
        <v>1001</v>
      </c>
      <c r="D3332" s="600">
        <v>11.09</v>
      </c>
    </row>
    <row r="3333" spans="1:4">
      <c r="A3333" s="401">
        <v>40994</v>
      </c>
      <c r="B3333" s="411" t="s">
        <v>10474</v>
      </c>
      <c r="C3333" s="401" t="s">
        <v>1118</v>
      </c>
      <c r="D3333" s="600">
        <v>1966.73</v>
      </c>
    </row>
    <row r="3334" spans="1:4">
      <c r="A3334" s="401">
        <v>4096</v>
      </c>
      <c r="B3334" s="411" t="s">
        <v>10475</v>
      </c>
      <c r="C3334" s="401" t="s">
        <v>1001</v>
      </c>
      <c r="D3334" s="600">
        <v>11.9</v>
      </c>
    </row>
    <row r="3335" spans="1:4">
      <c r="A3335" s="401">
        <v>40992</v>
      </c>
      <c r="B3335" s="411" t="s">
        <v>10476</v>
      </c>
      <c r="C3335" s="401" t="s">
        <v>1118</v>
      </c>
      <c r="D3335" s="600">
        <v>2110.63</v>
      </c>
    </row>
    <row r="3336" spans="1:4">
      <c r="A3336" s="401">
        <v>13955</v>
      </c>
      <c r="B3336" s="411" t="s">
        <v>10477</v>
      </c>
      <c r="C3336" s="401" t="s">
        <v>998</v>
      </c>
      <c r="D3336" s="600">
        <v>2317.36</v>
      </c>
    </row>
    <row r="3337" spans="1:4" ht="25.5">
      <c r="A3337" s="401">
        <v>4114</v>
      </c>
      <c r="B3337" s="411" t="s">
        <v>10478</v>
      </c>
      <c r="C3337" s="401" t="s">
        <v>998</v>
      </c>
      <c r="D3337" s="600">
        <v>43.72</v>
      </c>
    </row>
    <row r="3338" spans="1:4">
      <c r="A3338" s="401">
        <v>36797</v>
      </c>
      <c r="B3338" s="411" t="s">
        <v>10479</v>
      </c>
      <c r="C3338" s="401" t="s">
        <v>998</v>
      </c>
      <c r="D3338" s="600">
        <v>38.229999999999997</v>
      </c>
    </row>
    <row r="3339" spans="1:4">
      <c r="A3339" s="401">
        <v>4107</v>
      </c>
      <c r="B3339" s="411" t="s">
        <v>10480</v>
      </c>
      <c r="C3339" s="401" t="s">
        <v>998</v>
      </c>
      <c r="D3339" s="600">
        <v>36.81</v>
      </c>
    </row>
    <row r="3340" spans="1:4">
      <c r="A3340" s="401">
        <v>36799</v>
      </c>
      <c r="B3340" s="411" t="s">
        <v>10481</v>
      </c>
      <c r="C3340" s="401" t="s">
        <v>998</v>
      </c>
      <c r="D3340" s="600">
        <v>35.14</v>
      </c>
    </row>
    <row r="3341" spans="1:4">
      <c r="A3341" s="401">
        <v>4108</v>
      </c>
      <c r="B3341" s="411" t="s">
        <v>10482</v>
      </c>
      <c r="C3341" s="401" t="s">
        <v>998</v>
      </c>
      <c r="D3341" s="600">
        <v>29.59</v>
      </c>
    </row>
    <row r="3342" spans="1:4">
      <c r="A3342" s="401">
        <v>4102</v>
      </c>
      <c r="B3342" s="411" t="s">
        <v>10483</v>
      </c>
      <c r="C3342" s="401" t="s">
        <v>998</v>
      </c>
      <c r="D3342" s="600">
        <v>44.03</v>
      </c>
    </row>
    <row r="3343" spans="1:4" ht="25.5">
      <c r="A3343" s="401">
        <v>10826</v>
      </c>
      <c r="B3343" s="411" t="s">
        <v>10484</v>
      </c>
      <c r="C3343" s="401" t="s">
        <v>998</v>
      </c>
      <c r="D3343" s="600">
        <v>86.2</v>
      </c>
    </row>
    <row r="3344" spans="1:4" ht="25.5">
      <c r="A3344" s="401">
        <v>365</v>
      </c>
      <c r="B3344" s="411" t="s">
        <v>10485</v>
      </c>
      <c r="C3344" s="401" t="s">
        <v>998</v>
      </c>
      <c r="D3344" s="600">
        <v>53.44</v>
      </c>
    </row>
    <row r="3345" spans="1:4">
      <c r="A3345" s="401">
        <v>38639</v>
      </c>
      <c r="B3345" s="411" t="s">
        <v>10486</v>
      </c>
      <c r="C3345" s="401" t="s">
        <v>998</v>
      </c>
      <c r="D3345" s="600">
        <v>206.89</v>
      </c>
    </row>
    <row r="3346" spans="1:4">
      <c r="A3346" s="401">
        <v>38640</v>
      </c>
      <c r="B3346" s="411" t="s">
        <v>10487</v>
      </c>
      <c r="C3346" s="401" t="s">
        <v>998</v>
      </c>
      <c r="D3346" s="600">
        <v>3.1</v>
      </c>
    </row>
    <row r="3347" spans="1:4" ht="25.5">
      <c r="A3347" s="401">
        <v>358</v>
      </c>
      <c r="B3347" s="411" t="s">
        <v>10488</v>
      </c>
      <c r="C3347" s="401" t="s">
        <v>998</v>
      </c>
      <c r="D3347" s="600">
        <v>63.79</v>
      </c>
    </row>
    <row r="3348" spans="1:4" ht="25.5">
      <c r="A3348" s="401">
        <v>359</v>
      </c>
      <c r="B3348" s="411" t="s">
        <v>10489</v>
      </c>
      <c r="C3348" s="401" t="s">
        <v>998</v>
      </c>
      <c r="D3348" s="600">
        <v>131.03</v>
      </c>
    </row>
    <row r="3349" spans="1:4">
      <c r="A3349" s="401">
        <v>38641</v>
      </c>
      <c r="B3349" s="411" t="s">
        <v>10490</v>
      </c>
      <c r="C3349" s="401" t="s">
        <v>998</v>
      </c>
      <c r="D3349" s="600">
        <v>129.31</v>
      </c>
    </row>
    <row r="3350" spans="1:4" ht="25.5">
      <c r="A3350" s="401">
        <v>360</v>
      </c>
      <c r="B3350" s="411" t="s">
        <v>10491</v>
      </c>
      <c r="C3350" s="401" t="s">
        <v>998</v>
      </c>
      <c r="D3350" s="600">
        <v>3</v>
      </c>
    </row>
    <row r="3351" spans="1:4" ht="25.5">
      <c r="A3351" s="401">
        <v>4127</v>
      </c>
      <c r="B3351" s="411" t="s">
        <v>10492</v>
      </c>
      <c r="C3351" s="401" t="s">
        <v>998</v>
      </c>
      <c r="D3351" s="600">
        <v>202.03</v>
      </c>
    </row>
    <row r="3352" spans="1:4" ht="25.5">
      <c r="A3352" s="401">
        <v>4154</v>
      </c>
      <c r="B3352" s="411" t="s">
        <v>10493</v>
      </c>
      <c r="C3352" s="401" t="s">
        <v>998</v>
      </c>
      <c r="D3352" s="600">
        <v>246.84</v>
      </c>
    </row>
    <row r="3353" spans="1:4" ht="25.5">
      <c r="A3353" s="401">
        <v>4168</v>
      </c>
      <c r="B3353" s="411" t="s">
        <v>10494</v>
      </c>
      <c r="C3353" s="401" t="s">
        <v>998</v>
      </c>
      <c r="D3353" s="600">
        <v>260.69</v>
      </c>
    </row>
    <row r="3354" spans="1:4" ht="25.5">
      <c r="A3354" s="401">
        <v>4161</v>
      </c>
      <c r="B3354" s="411" t="s">
        <v>10495</v>
      </c>
      <c r="C3354" s="401" t="s">
        <v>998</v>
      </c>
      <c r="D3354" s="600">
        <v>250.91</v>
      </c>
    </row>
    <row r="3355" spans="1:4" ht="38.25">
      <c r="A3355" s="401">
        <v>42430</v>
      </c>
      <c r="B3355" s="411" t="s">
        <v>10496</v>
      </c>
      <c r="C3355" s="401" t="s">
        <v>998</v>
      </c>
      <c r="D3355" s="600">
        <v>3581.17</v>
      </c>
    </row>
    <row r="3356" spans="1:4">
      <c r="A3356" s="401">
        <v>4214</v>
      </c>
      <c r="B3356" s="411" t="s">
        <v>10497</v>
      </c>
      <c r="C3356" s="401" t="s">
        <v>998</v>
      </c>
      <c r="D3356" s="600">
        <v>6.96</v>
      </c>
    </row>
    <row r="3357" spans="1:4">
      <c r="A3357" s="401">
        <v>4215</v>
      </c>
      <c r="B3357" s="411" t="s">
        <v>10498</v>
      </c>
      <c r="C3357" s="401" t="s">
        <v>998</v>
      </c>
      <c r="D3357" s="600">
        <v>4.58</v>
      </c>
    </row>
    <row r="3358" spans="1:4">
      <c r="A3358" s="401">
        <v>4210</v>
      </c>
      <c r="B3358" s="411" t="s">
        <v>10499</v>
      </c>
      <c r="C3358" s="401" t="s">
        <v>998</v>
      </c>
      <c r="D3358" s="600">
        <v>0.77</v>
      </c>
    </row>
    <row r="3359" spans="1:4">
      <c r="A3359" s="401">
        <v>4212</v>
      </c>
      <c r="B3359" s="411" t="s">
        <v>10500</v>
      </c>
      <c r="C3359" s="401" t="s">
        <v>998</v>
      </c>
      <c r="D3359" s="600">
        <v>2.21</v>
      </c>
    </row>
    <row r="3360" spans="1:4">
      <c r="A3360" s="401">
        <v>4213</v>
      </c>
      <c r="B3360" s="411" t="s">
        <v>10501</v>
      </c>
      <c r="C3360" s="401" t="s">
        <v>998</v>
      </c>
      <c r="D3360" s="600">
        <v>9.89</v>
      </c>
    </row>
    <row r="3361" spans="1:4">
      <c r="A3361" s="401">
        <v>4211</v>
      </c>
      <c r="B3361" s="411" t="s">
        <v>10502</v>
      </c>
      <c r="C3361" s="401" t="s">
        <v>998</v>
      </c>
      <c r="D3361" s="600">
        <v>1.1000000000000001</v>
      </c>
    </row>
    <row r="3362" spans="1:4">
      <c r="A3362" s="401">
        <v>4209</v>
      </c>
      <c r="B3362" s="411" t="s">
        <v>10503</v>
      </c>
      <c r="C3362" s="401" t="s">
        <v>998</v>
      </c>
      <c r="D3362" s="600">
        <v>11.34</v>
      </c>
    </row>
    <row r="3363" spans="1:4">
      <c r="A3363" s="401">
        <v>4180</v>
      </c>
      <c r="B3363" s="411" t="s">
        <v>10504</v>
      </c>
      <c r="C3363" s="401" t="s">
        <v>998</v>
      </c>
      <c r="D3363" s="600">
        <v>8.5299999999999994</v>
      </c>
    </row>
    <row r="3364" spans="1:4">
      <c r="A3364" s="401">
        <v>4177</v>
      </c>
      <c r="B3364" s="411" t="s">
        <v>10505</v>
      </c>
      <c r="C3364" s="401" t="s">
        <v>998</v>
      </c>
      <c r="D3364" s="600">
        <v>2.83</v>
      </c>
    </row>
    <row r="3365" spans="1:4">
      <c r="A3365" s="401">
        <v>4179</v>
      </c>
      <c r="B3365" s="411" t="s">
        <v>10506</v>
      </c>
      <c r="C3365" s="401" t="s">
        <v>998</v>
      </c>
      <c r="D3365" s="600">
        <v>5.79</v>
      </c>
    </row>
    <row r="3366" spans="1:4">
      <c r="A3366" s="401">
        <v>4208</v>
      </c>
      <c r="B3366" s="411" t="s">
        <v>10507</v>
      </c>
      <c r="C3366" s="401" t="s">
        <v>998</v>
      </c>
      <c r="D3366" s="600">
        <v>26.99</v>
      </c>
    </row>
    <row r="3367" spans="1:4">
      <c r="A3367" s="401">
        <v>4181</v>
      </c>
      <c r="B3367" s="411" t="s">
        <v>10508</v>
      </c>
      <c r="C3367" s="401" t="s">
        <v>998</v>
      </c>
      <c r="D3367" s="600">
        <v>17.63</v>
      </c>
    </row>
    <row r="3368" spans="1:4">
      <c r="A3368" s="401">
        <v>4178</v>
      </c>
      <c r="B3368" s="411" t="s">
        <v>10509</v>
      </c>
      <c r="C3368" s="401" t="s">
        <v>998</v>
      </c>
      <c r="D3368" s="600">
        <v>3.93</v>
      </c>
    </row>
    <row r="3369" spans="1:4">
      <c r="A3369" s="401">
        <v>4182</v>
      </c>
      <c r="B3369" s="411" t="s">
        <v>10510</v>
      </c>
      <c r="C3369" s="401" t="s">
        <v>998</v>
      </c>
      <c r="D3369" s="600">
        <v>43.91</v>
      </c>
    </row>
    <row r="3370" spans="1:4">
      <c r="A3370" s="401">
        <v>4183</v>
      </c>
      <c r="B3370" s="411" t="s">
        <v>10511</v>
      </c>
      <c r="C3370" s="401" t="s">
        <v>998</v>
      </c>
      <c r="D3370" s="600">
        <v>70.69</v>
      </c>
    </row>
    <row r="3371" spans="1:4">
      <c r="A3371" s="401">
        <v>4184</v>
      </c>
      <c r="B3371" s="411" t="s">
        <v>10512</v>
      </c>
      <c r="C3371" s="401" t="s">
        <v>998</v>
      </c>
      <c r="D3371" s="600">
        <v>156.04</v>
      </c>
    </row>
    <row r="3372" spans="1:4">
      <c r="A3372" s="401">
        <v>4185</v>
      </c>
      <c r="B3372" s="411" t="s">
        <v>10513</v>
      </c>
      <c r="C3372" s="401" t="s">
        <v>998</v>
      </c>
      <c r="D3372" s="600">
        <v>259.27</v>
      </c>
    </row>
    <row r="3373" spans="1:4">
      <c r="A3373" s="401">
        <v>4205</v>
      </c>
      <c r="B3373" s="411" t="s">
        <v>10514</v>
      </c>
      <c r="C3373" s="401" t="s">
        <v>998</v>
      </c>
      <c r="D3373" s="600">
        <v>14.97</v>
      </c>
    </row>
    <row r="3374" spans="1:4">
      <c r="A3374" s="401">
        <v>4192</v>
      </c>
      <c r="B3374" s="411" t="s">
        <v>10515</v>
      </c>
      <c r="C3374" s="401" t="s">
        <v>998</v>
      </c>
      <c r="D3374" s="600">
        <v>14.97</v>
      </c>
    </row>
    <row r="3375" spans="1:4">
      <c r="A3375" s="401">
        <v>4191</v>
      </c>
      <c r="B3375" s="411" t="s">
        <v>10516</v>
      </c>
      <c r="C3375" s="401" t="s">
        <v>998</v>
      </c>
      <c r="D3375" s="600">
        <v>14.97</v>
      </c>
    </row>
    <row r="3376" spans="1:4">
      <c r="A3376" s="401">
        <v>4207</v>
      </c>
      <c r="B3376" s="411" t="s">
        <v>10517</v>
      </c>
      <c r="C3376" s="401" t="s">
        <v>998</v>
      </c>
      <c r="D3376" s="600">
        <v>12.05</v>
      </c>
    </row>
    <row r="3377" spans="1:4">
      <c r="A3377" s="401">
        <v>4206</v>
      </c>
      <c r="B3377" s="411" t="s">
        <v>10518</v>
      </c>
      <c r="C3377" s="401" t="s">
        <v>998</v>
      </c>
      <c r="D3377" s="600">
        <v>11.7</v>
      </c>
    </row>
    <row r="3378" spans="1:4">
      <c r="A3378" s="401">
        <v>4190</v>
      </c>
      <c r="B3378" s="411" t="s">
        <v>10519</v>
      </c>
      <c r="C3378" s="401" t="s">
        <v>998</v>
      </c>
      <c r="D3378" s="600">
        <v>11.7</v>
      </c>
    </row>
    <row r="3379" spans="1:4">
      <c r="A3379" s="401">
        <v>4186</v>
      </c>
      <c r="B3379" s="411" t="s">
        <v>10520</v>
      </c>
      <c r="C3379" s="401" t="s">
        <v>998</v>
      </c>
      <c r="D3379" s="600">
        <v>3.46</v>
      </c>
    </row>
    <row r="3380" spans="1:4">
      <c r="A3380" s="401">
        <v>4188</v>
      </c>
      <c r="B3380" s="411" t="s">
        <v>10521</v>
      </c>
      <c r="C3380" s="401" t="s">
        <v>998</v>
      </c>
      <c r="D3380" s="600">
        <v>7.06</v>
      </c>
    </row>
    <row r="3381" spans="1:4">
      <c r="A3381" s="401">
        <v>4189</v>
      </c>
      <c r="B3381" s="411" t="s">
        <v>10522</v>
      </c>
      <c r="C3381" s="401" t="s">
        <v>998</v>
      </c>
      <c r="D3381" s="600">
        <v>7.06</v>
      </c>
    </row>
    <row r="3382" spans="1:4">
      <c r="A3382" s="401">
        <v>4197</v>
      </c>
      <c r="B3382" s="411" t="s">
        <v>10523</v>
      </c>
      <c r="C3382" s="401" t="s">
        <v>998</v>
      </c>
      <c r="D3382" s="600">
        <v>37.380000000000003</v>
      </c>
    </row>
    <row r="3383" spans="1:4">
      <c r="A3383" s="401">
        <v>4194</v>
      </c>
      <c r="B3383" s="411" t="s">
        <v>10524</v>
      </c>
      <c r="C3383" s="401" t="s">
        <v>998</v>
      </c>
      <c r="D3383" s="600">
        <v>22.59</v>
      </c>
    </row>
    <row r="3384" spans="1:4">
      <c r="A3384" s="401">
        <v>4193</v>
      </c>
      <c r="B3384" s="411" t="s">
        <v>10525</v>
      </c>
      <c r="C3384" s="401" t="s">
        <v>998</v>
      </c>
      <c r="D3384" s="600">
        <v>22.59</v>
      </c>
    </row>
    <row r="3385" spans="1:4">
      <c r="A3385" s="401">
        <v>4204</v>
      </c>
      <c r="B3385" s="411" t="s">
        <v>10526</v>
      </c>
      <c r="C3385" s="401" t="s">
        <v>998</v>
      </c>
      <c r="D3385" s="600">
        <v>22.59</v>
      </c>
    </row>
    <row r="3386" spans="1:4">
      <c r="A3386" s="401">
        <v>4187</v>
      </c>
      <c r="B3386" s="411" t="s">
        <v>10527</v>
      </c>
      <c r="C3386" s="401" t="s">
        <v>998</v>
      </c>
      <c r="D3386" s="600">
        <v>4.5</v>
      </c>
    </row>
    <row r="3387" spans="1:4">
      <c r="A3387" s="401">
        <v>4202</v>
      </c>
      <c r="B3387" s="411" t="s">
        <v>10528</v>
      </c>
      <c r="C3387" s="401" t="s">
        <v>998</v>
      </c>
      <c r="D3387" s="600">
        <v>68.28</v>
      </c>
    </row>
    <row r="3388" spans="1:4">
      <c r="A3388" s="401">
        <v>4203</v>
      </c>
      <c r="B3388" s="411" t="s">
        <v>10529</v>
      </c>
      <c r="C3388" s="401" t="s">
        <v>998</v>
      </c>
      <c r="D3388" s="600">
        <v>60.3</v>
      </c>
    </row>
    <row r="3389" spans="1:4">
      <c r="A3389" s="401">
        <v>40368</v>
      </c>
      <c r="B3389" s="411" t="s">
        <v>10530</v>
      </c>
      <c r="C3389" s="401" t="s">
        <v>998</v>
      </c>
      <c r="D3389" s="600">
        <v>33.46</v>
      </c>
    </row>
    <row r="3390" spans="1:4">
      <c r="A3390" s="401">
        <v>40365</v>
      </c>
      <c r="B3390" s="411" t="s">
        <v>10531</v>
      </c>
      <c r="C3390" s="401" t="s">
        <v>998</v>
      </c>
      <c r="D3390" s="600">
        <v>22.57</v>
      </c>
    </row>
    <row r="3391" spans="1:4">
      <c r="A3391" s="401">
        <v>40356</v>
      </c>
      <c r="B3391" s="411" t="s">
        <v>10532</v>
      </c>
      <c r="C3391" s="401" t="s">
        <v>998</v>
      </c>
      <c r="D3391" s="600">
        <v>7.71</v>
      </c>
    </row>
    <row r="3392" spans="1:4">
      <c r="A3392" s="401">
        <v>40362</v>
      </c>
      <c r="B3392" s="411" t="s">
        <v>10533</v>
      </c>
      <c r="C3392" s="401" t="s">
        <v>998</v>
      </c>
      <c r="D3392" s="600">
        <v>14.95</v>
      </c>
    </row>
    <row r="3393" spans="1:4">
      <c r="A3393" s="401">
        <v>40374</v>
      </c>
      <c r="B3393" s="411" t="s">
        <v>10534</v>
      </c>
      <c r="C3393" s="401" t="s">
        <v>998</v>
      </c>
      <c r="D3393" s="600">
        <v>87.45</v>
      </c>
    </row>
    <row r="3394" spans="1:4">
      <c r="A3394" s="401">
        <v>40371</v>
      </c>
      <c r="B3394" s="411" t="s">
        <v>10535</v>
      </c>
      <c r="C3394" s="401" t="s">
        <v>998</v>
      </c>
      <c r="D3394" s="600">
        <v>55.04</v>
      </c>
    </row>
    <row r="3395" spans="1:4">
      <c r="A3395" s="401">
        <v>40359</v>
      </c>
      <c r="B3395" s="411" t="s">
        <v>10536</v>
      </c>
      <c r="C3395" s="401" t="s">
        <v>998</v>
      </c>
      <c r="D3395" s="600">
        <v>9.9600000000000009</v>
      </c>
    </row>
    <row r="3396" spans="1:4">
      <c r="A3396" s="401">
        <v>7595</v>
      </c>
      <c r="B3396" s="411" t="s">
        <v>10537</v>
      </c>
      <c r="C3396" s="401" t="s">
        <v>1001</v>
      </c>
      <c r="D3396" s="600">
        <v>6.35</v>
      </c>
    </row>
    <row r="3397" spans="1:4">
      <c r="A3397" s="401">
        <v>41094</v>
      </c>
      <c r="B3397" s="411" t="s">
        <v>10538</v>
      </c>
      <c r="C3397" s="401" t="s">
        <v>1118</v>
      </c>
      <c r="D3397" s="600">
        <v>1127.67</v>
      </c>
    </row>
    <row r="3398" spans="1:4" ht="25.5">
      <c r="A3398" s="401">
        <v>39609</v>
      </c>
      <c r="B3398" s="411" t="s">
        <v>10539</v>
      </c>
      <c r="C3398" s="401" t="s">
        <v>998</v>
      </c>
      <c r="D3398" s="600">
        <v>50556.66</v>
      </c>
    </row>
    <row r="3399" spans="1:4" ht="25.5">
      <c r="A3399" s="401">
        <v>39610</v>
      </c>
      <c r="B3399" s="411" t="s">
        <v>10540</v>
      </c>
      <c r="C3399" s="401" t="s">
        <v>998</v>
      </c>
      <c r="D3399" s="600">
        <v>73796.95</v>
      </c>
    </row>
    <row r="3400" spans="1:4" ht="25.5">
      <c r="A3400" s="401">
        <v>39611</v>
      </c>
      <c r="B3400" s="411" t="s">
        <v>10541</v>
      </c>
      <c r="C3400" s="401" t="s">
        <v>998</v>
      </c>
      <c r="D3400" s="600">
        <v>89306.38</v>
      </c>
    </row>
    <row r="3401" spans="1:4" ht="25.5">
      <c r="A3401" s="401">
        <v>39612</v>
      </c>
      <c r="B3401" s="411" t="s">
        <v>10542</v>
      </c>
      <c r="C3401" s="401" t="s">
        <v>998</v>
      </c>
      <c r="D3401" s="600">
        <v>139900.47</v>
      </c>
    </row>
    <row r="3402" spans="1:4" ht="25.5">
      <c r="A3402" s="401">
        <v>39608</v>
      </c>
      <c r="B3402" s="411" t="s">
        <v>10543</v>
      </c>
      <c r="C3402" s="401" t="s">
        <v>998</v>
      </c>
      <c r="D3402" s="600">
        <v>40424.57</v>
      </c>
    </row>
    <row r="3403" spans="1:4" ht="25.5">
      <c r="A3403" s="401">
        <v>38175</v>
      </c>
      <c r="B3403" s="411" t="s">
        <v>10544</v>
      </c>
      <c r="C3403" s="401" t="s">
        <v>998</v>
      </c>
      <c r="D3403" s="600">
        <v>2.64</v>
      </c>
    </row>
    <row r="3404" spans="1:4" ht="25.5">
      <c r="A3404" s="401">
        <v>38176</v>
      </c>
      <c r="B3404" s="411" t="s">
        <v>10545</v>
      </c>
      <c r="C3404" s="401" t="s">
        <v>998</v>
      </c>
      <c r="D3404" s="600">
        <v>7.17</v>
      </c>
    </row>
    <row r="3405" spans="1:4" ht="25.5">
      <c r="A3405" s="401">
        <v>36152</v>
      </c>
      <c r="B3405" s="411" t="s">
        <v>10546</v>
      </c>
      <c r="C3405" s="401" t="s">
        <v>998</v>
      </c>
      <c r="D3405" s="600">
        <v>4.66</v>
      </c>
    </row>
    <row r="3406" spans="1:4">
      <c r="A3406" s="401">
        <v>11138</v>
      </c>
      <c r="B3406" s="411" t="s">
        <v>10547</v>
      </c>
      <c r="C3406" s="401" t="s">
        <v>997</v>
      </c>
      <c r="D3406" s="600">
        <v>2.08</v>
      </c>
    </row>
    <row r="3407" spans="1:4">
      <c r="A3407" s="401">
        <v>5333</v>
      </c>
      <c r="B3407" s="411" t="s">
        <v>10548</v>
      </c>
      <c r="C3407" s="401" t="s">
        <v>997</v>
      </c>
      <c r="D3407" s="600">
        <v>18.420000000000002</v>
      </c>
    </row>
    <row r="3408" spans="1:4">
      <c r="A3408" s="401">
        <v>4221</v>
      </c>
      <c r="B3408" s="411" t="s">
        <v>10549</v>
      </c>
      <c r="C3408" s="401" t="s">
        <v>997</v>
      </c>
      <c r="D3408" s="600">
        <v>3.24</v>
      </c>
    </row>
    <row r="3409" spans="1:4" ht="25.5">
      <c r="A3409" s="401">
        <v>4227</v>
      </c>
      <c r="B3409" s="411" t="s">
        <v>10550</v>
      </c>
      <c r="C3409" s="401" t="s">
        <v>997</v>
      </c>
      <c r="D3409" s="600">
        <v>13.38</v>
      </c>
    </row>
    <row r="3410" spans="1:4" ht="25.5">
      <c r="A3410" s="401">
        <v>38170</v>
      </c>
      <c r="B3410" s="411" t="s">
        <v>10551</v>
      </c>
      <c r="C3410" s="401" t="s">
        <v>998</v>
      </c>
      <c r="D3410" s="600">
        <v>12.07</v>
      </c>
    </row>
    <row r="3411" spans="1:4">
      <c r="A3411" s="401">
        <v>4252</v>
      </c>
      <c r="B3411" s="411" t="s">
        <v>10552</v>
      </c>
      <c r="C3411" s="401" t="s">
        <v>1001</v>
      </c>
      <c r="D3411" s="600">
        <v>10.69</v>
      </c>
    </row>
    <row r="3412" spans="1:4">
      <c r="A3412" s="401">
        <v>40980</v>
      </c>
      <c r="B3412" s="411" t="s">
        <v>10553</v>
      </c>
      <c r="C3412" s="401" t="s">
        <v>1118</v>
      </c>
      <c r="D3412" s="600">
        <v>1895.23</v>
      </c>
    </row>
    <row r="3413" spans="1:4">
      <c r="A3413" s="401">
        <v>4243</v>
      </c>
      <c r="B3413" s="411" t="s">
        <v>10554</v>
      </c>
      <c r="C3413" s="401" t="s">
        <v>1001</v>
      </c>
      <c r="D3413" s="600">
        <v>9.16</v>
      </c>
    </row>
    <row r="3414" spans="1:4">
      <c r="A3414" s="401">
        <v>41031</v>
      </c>
      <c r="B3414" s="411" t="s">
        <v>10555</v>
      </c>
      <c r="C3414" s="401" t="s">
        <v>1118</v>
      </c>
      <c r="D3414" s="600">
        <v>1625.38</v>
      </c>
    </row>
    <row r="3415" spans="1:4">
      <c r="A3415" s="401">
        <v>37666</v>
      </c>
      <c r="B3415" s="411" t="s">
        <v>10556</v>
      </c>
      <c r="C3415" s="401" t="s">
        <v>1001</v>
      </c>
      <c r="D3415" s="600">
        <v>8.83</v>
      </c>
    </row>
    <row r="3416" spans="1:4">
      <c r="A3416" s="401">
        <v>40986</v>
      </c>
      <c r="B3416" s="411" t="s">
        <v>10557</v>
      </c>
      <c r="C3416" s="401" t="s">
        <v>1118</v>
      </c>
      <c r="D3416" s="600">
        <v>1568.55</v>
      </c>
    </row>
    <row r="3417" spans="1:4">
      <c r="A3417" s="401">
        <v>4250</v>
      </c>
      <c r="B3417" s="411" t="s">
        <v>10558</v>
      </c>
      <c r="C3417" s="401" t="s">
        <v>1001</v>
      </c>
      <c r="D3417" s="600">
        <v>9.64</v>
      </c>
    </row>
    <row r="3418" spans="1:4">
      <c r="A3418" s="401">
        <v>40978</v>
      </c>
      <c r="B3418" s="411" t="s">
        <v>10559</v>
      </c>
      <c r="C3418" s="401" t="s">
        <v>1118</v>
      </c>
      <c r="D3418" s="600">
        <v>1709.5</v>
      </c>
    </row>
    <row r="3419" spans="1:4">
      <c r="A3419" s="401">
        <v>25960</v>
      </c>
      <c r="B3419" s="411" t="s">
        <v>10560</v>
      </c>
      <c r="C3419" s="401" t="s">
        <v>1001</v>
      </c>
      <c r="D3419" s="600">
        <v>11.28</v>
      </c>
    </row>
    <row r="3420" spans="1:4">
      <c r="A3420" s="401">
        <v>41043</v>
      </c>
      <c r="B3420" s="411" t="s">
        <v>10561</v>
      </c>
      <c r="C3420" s="401" t="s">
        <v>1118</v>
      </c>
      <c r="D3420" s="600">
        <v>2000.46</v>
      </c>
    </row>
    <row r="3421" spans="1:4">
      <c r="A3421" s="401">
        <v>4234</v>
      </c>
      <c r="B3421" s="411" t="s">
        <v>10562</v>
      </c>
      <c r="C3421" s="401" t="s">
        <v>1001</v>
      </c>
      <c r="D3421" s="600">
        <v>12.36</v>
      </c>
    </row>
    <row r="3422" spans="1:4">
      <c r="A3422" s="401">
        <v>40987</v>
      </c>
      <c r="B3422" s="411" t="s">
        <v>10563</v>
      </c>
      <c r="C3422" s="401" t="s">
        <v>1118</v>
      </c>
      <c r="D3422" s="600">
        <v>2191.4299999999998</v>
      </c>
    </row>
    <row r="3423" spans="1:4">
      <c r="A3423" s="401">
        <v>4253</v>
      </c>
      <c r="B3423" s="411" t="s">
        <v>10564</v>
      </c>
      <c r="C3423" s="401" t="s">
        <v>1001</v>
      </c>
      <c r="D3423" s="600">
        <v>8.89</v>
      </c>
    </row>
    <row r="3424" spans="1:4">
      <c r="A3424" s="401">
        <v>40981</v>
      </c>
      <c r="B3424" s="411" t="s">
        <v>10565</v>
      </c>
      <c r="C3424" s="401" t="s">
        <v>1118</v>
      </c>
      <c r="D3424" s="600">
        <v>1576.3</v>
      </c>
    </row>
    <row r="3425" spans="1:4">
      <c r="A3425" s="401">
        <v>4254</v>
      </c>
      <c r="B3425" s="411" t="s">
        <v>10566</v>
      </c>
      <c r="C3425" s="401" t="s">
        <v>1001</v>
      </c>
      <c r="D3425" s="600">
        <v>8.94</v>
      </c>
    </row>
    <row r="3426" spans="1:4">
      <c r="A3426" s="401">
        <v>41036</v>
      </c>
      <c r="B3426" s="411" t="s">
        <v>10567</v>
      </c>
      <c r="C3426" s="401" t="s">
        <v>1118</v>
      </c>
      <c r="D3426" s="600">
        <v>1584.96</v>
      </c>
    </row>
    <row r="3427" spans="1:4">
      <c r="A3427" s="401">
        <v>4251</v>
      </c>
      <c r="B3427" s="411" t="s">
        <v>10568</v>
      </c>
      <c r="C3427" s="401" t="s">
        <v>1001</v>
      </c>
      <c r="D3427" s="600">
        <v>11.06</v>
      </c>
    </row>
    <row r="3428" spans="1:4">
      <c r="A3428" s="401">
        <v>40979</v>
      </c>
      <c r="B3428" s="411" t="s">
        <v>10569</v>
      </c>
      <c r="C3428" s="401" t="s">
        <v>1118</v>
      </c>
      <c r="D3428" s="600">
        <v>1961.82</v>
      </c>
    </row>
    <row r="3429" spans="1:4">
      <c r="A3429" s="401">
        <v>4230</v>
      </c>
      <c r="B3429" s="411" t="s">
        <v>10570</v>
      </c>
      <c r="C3429" s="401" t="s">
        <v>1001</v>
      </c>
      <c r="D3429" s="600">
        <v>9.42</v>
      </c>
    </row>
    <row r="3430" spans="1:4">
      <c r="A3430" s="401">
        <v>40998</v>
      </c>
      <c r="B3430" s="411" t="s">
        <v>10571</v>
      </c>
      <c r="C3430" s="401" t="s">
        <v>1118</v>
      </c>
      <c r="D3430" s="600">
        <v>1670.53</v>
      </c>
    </row>
    <row r="3431" spans="1:4">
      <c r="A3431" s="401">
        <v>4257</v>
      </c>
      <c r="B3431" s="411" t="s">
        <v>10572</v>
      </c>
      <c r="C3431" s="401" t="s">
        <v>1001</v>
      </c>
      <c r="D3431" s="600">
        <v>7.41</v>
      </c>
    </row>
    <row r="3432" spans="1:4">
      <c r="A3432" s="401">
        <v>40982</v>
      </c>
      <c r="B3432" s="411" t="s">
        <v>10573</v>
      </c>
      <c r="C3432" s="401" t="s">
        <v>1118</v>
      </c>
      <c r="D3432" s="600">
        <v>1316.94</v>
      </c>
    </row>
    <row r="3433" spans="1:4">
      <c r="A3433" s="401">
        <v>4240</v>
      </c>
      <c r="B3433" s="411" t="s">
        <v>10574</v>
      </c>
      <c r="C3433" s="401" t="s">
        <v>1001</v>
      </c>
      <c r="D3433" s="600">
        <v>11.46</v>
      </c>
    </row>
    <row r="3434" spans="1:4">
      <c r="A3434" s="401">
        <v>41026</v>
      </c>
      <c r="B3434" s="411" t="s">
        <v>10575</v>
      </c>
      <c r="C3434" s="401" t="s">
        <v>1118</v>
      </c>
      <c r="D3434" s="600">
        <v>2034.57</v>
      </c>
    </row>
    <row r="3435" spans="1:4">
      <c r="A3435" s="401">
        <v>4239</v>
      </c>
      <c r="B3435" s="411" t="s">
        <v>10576</v>
      </c>
      <c r="C3435" s="401" t="s">
        <v>1001</v>
      </c>
      <c r="D3435" s="600">
        <v>14.08</v>
      </c>
    </row>
    <row r="3436" spans="1:4">
      <c r="A3436" s="401">
        <v>41024</v>
      </c>
      <c r="B3436" s="411" t="s">
        <v>10577</v>
      </c>
      <c r="C3436" s="401" t="s">
        <v>1118</v>
      </c>
      <c r="D3436" s="600">
        <v>2496.04</v>
      </c>
    </row>
    <row r="3437" spans="1:4">
      <c r="A3437" s="401">
        <v>4248</v>
      </c>
      <c r="B3437" s="411" t="s">
        <v>10578</v>
      </c>
      <c r="C3437" s="401" t="s">
        <v>1001</v>
      </c>
      <c r="D3437" s="600">
        <v>10.27</v>
      </c>
    </row>
    <row r="3438" spans="1:4">
      <c r="A3438" s="401">
        <v>41033</v>
      </c>
      <c r="B3438" s="411" t="s">
        <v>10579</v>
      </c>
      <c r="C3438" s="401" t="s">
        <v>1118</v>
      </c>
      <c r="D3438" s="600">
        <v>1822.76</v>
      </c>
    </row>
    <row r="3439" spans="1:4">
      <c r="A3439" s="401">
        <v>25959</v>
      </c>
      <c r="B3439" s="411" t="s">
        <v>10580</v>
      </c>
      <c r="C3439" s="401" t="s">
        <v>1001</v>
      </c>
      <c r="D3439" s="600">
        <v>11.85</v>
      </c>
    </row>
    <row r="3440" spans="1:4">
      <c r="A3440" s="401">
        <v>41040</v>
      </c>
      <c r="B3440" s="411" t="s">
        <v>10581</v>
      </c>
      <c r="C3440" s="401" t="s">
        <v>1118</v>
      </c>
      <c r="D3440" s="600">
        <v>2100.4899999999998</v>
      </c>
    </row>
    <row r="3441" spans="1:4">
      <c r="A3441" s="401">
        <v>4238</v>
      </c>
      <c r="B3441" s="411" t="s">
        <v>10582</v>
      </c>
      <c r="C3441" s="401" t="s">
        <v>1001</v>
      </c>
      <c r="D3441" s="600">
        <v>9.42</v>
      </c>
    </row>
    <row r="3442" spans="1:4">
      <c r="A3442" s="401">
        <v>41012</v>
      </c>
      <c r="B3442" s="411" t="s">
        <v>10583</v>
      </c>
      <c r="C3442" s="401" t="s">
        <v>1118</v>
      </c>
      <c r="D3442" s="600">
        <v>1670.53</v>
      </c>
    </row>
    <row r="3443" spans="1:4">
      <c r="A3443" s="401">
        <v>4237</v>
      </c>
      <c r="B3443" s="411" t="s">
        <v>10584</v>
      </c>
      <c r="C3443" s="401" t="s">
        <v>1001</v>
      </c>
      <c r="D3443" s="600">
        <v>9.49</v>
      </c>
    </row>
    <row r="3444" spans="1:4">
      <c r="A3444" s="401">
        <v>41002</v>
      </c>
      <c r="B3444" s="411" t="s">
        <v>10585</v>
      </c>
      <c r="C3444" s="401" t="s">
        <v>1118</v>
      </c>
      <c r="D3444" s="600">
        <v>1683.68</v>
      </c>
    </row>
    <row r="3445" spans="1:4">
      <c r="A3445" s="401">
        <v>4233</v>
      </c>
      <c r="B3445" s="411" t="s">
        <v>10586</v>
      </c>
      <c r="C3445" s="401" t="s">
        <v>1001</v>
      </c>
      <c r="D3445" s="600">
        <v>10.17</v>
      </c>
    </row>
    <row r="3446" spans="1:4">
      <c r="A3446" s="401">
        <v>41001</v>
      </c>
      <c r="B3446" s="411" t="s">
        <v>10587</v>
      </c>
      <c r="C3446" s="401" t="s">
        <v>1118</v>
      </c>
      <c r="D3446" s="600">
        <v>1803.82</v>
      </c>
    </row>
    <row r="3447" spans="1:4">
      <c r="A3447" s="401">
        <v>2</v>
      </c>
      <c r="B3447" s="411" t="s">
        <v>10588</v>
      </c>
      <c r="C3447" s="401" t="s">
        <v>996</v>
      </c>
      <c r="D3447" s="600">
        <v>14.36</v>
      </c>
    </row>
    <row r="3448" spans="1:4" ht="25.5">
      <c r="A3448" s="401">
        <v>36517</v>
      </c>
      <c r="B3448" s="411" t="s">
        <v>10589</v>
      </c>
      <c r="C3448" s="401" t="s">
        <v>998</v>
      </c>
      <c r="D3448" s="600">
        <v>341843.94</v>
      </c>
    </row>
    <row r="3449" spans="1:4" ht="25.5">
      <c r="A3449" s="401">
        <v>4262</v>
      </c>
      <c r="B3449" s="411" t="s">
        <v>10590</v>
      </c>
      <c r="C3449" s="401" t="s">
        <v>998</v>
      </c>
      <c r="D3449" s="600">
        <v>384959.4</v>
      </c>
    </row>
    <row r="3450" spans="1:4" ht="25.5">
      <c r="A3450" s="401">
        <v>4263</v>
      </c>
      <c r="B3450" s="411" t="s">
        <v>10591</v>
      </c>
      <c r="C3450" s="401" t="s">
        <v>998</v>
      </c>
      <c r="D3450" s="600">
        <v>533810.34</v>
      </c>
    </row>
    <row r="3451" spans="1:4" ht="25.5">
      <c r="A3451" s="401">
        <v>36518</v>
      </c>
      <c r="B3451" s="411" t="s">
        <v>10592</v>
      </c>
      <c r="C3451" s="401" t="s">
        <v>998</v>
      </c>
      <c r="D3451" s="600">
        <v>607722.54</v>
      </c>
    </row>
    <row r="3452" spans="1:4" ht="25.5">
      <c r="A3452" s="401">
        <v>14221</v>
      </c>
      <c r="B3452" s="411" t="s">
        <v>10593</v>
      </c>
      <c r="C3452" s="401" t="s">
        <v>998</v>
      </c>
      <c r="D3452" s="600">
        <v>354675.91</v>
      </c>
    </row>
    <row r="3453" spans="1:4">
      <c r="A3453" s="401">
        <v>38402</v>
      </c>
      <c r="B3453" s="411" t="s">
        <v>10594</v>
      </c>
      <c r="C3453" s="401" t="s">
        <v>998</v>
      </c>
      <c r="D3453" s="600">
        <v>10.15</v>
      </c>
    </row>
    <row r="3454" spans="1:4">
      <c r="A3454" s="401">
        <v>3412</v>
      </c>
      <c r="B3454" s="411" t="s">
        <v>10595</v>
      </c>
      <c r="C3454" s="401" t="s">
        <v>1003</v>
      </c>
      <c r="D3454" s="600">
        <v>13.77</v>
      </c>
    </row>
    <row r="3455" spans="1:4">
      <c r="A3455" s="401">
        <v>3413</v>
      </c>
      <c r="B3455" s="411" t="s">
        <v>10596</v>
      </c>
      <c r="C3455" s="401" t="s">
        <v>1003</v>
      </c>
      <c r="D3455" s="600">
        <v>31</v>
      </c>
    </row>
    <row r="3456" spans="1:4">
      <c r="A3456" s="401">
        <v>39744</v>
      </c>
      <c r="B3456" s="411" t="s">
        <v>10597</v>
      </c>
      <c r="C3456" s="401" t="s">
        <v>1003</v>
      </c>
      <c r="D3456" s="600">
        <v>24.07</v>
      </c>
    </row>
    <row r="3457" spans="1:4">
      <c r="A3457" s="401">
        <v>39745</v>
      </c>
      <c r="B3457" s="411" t="s">
        <v>10598</v>
      </c>
      <c r="C3457" s="401" t="s">
        <v>1003</v>
      </c>
      <c r="D3457" s="600">
        <v>50.81</v>
      </c>
    </row>
    <row r="3458" spans="1:4" ht="25.5">
      <c r="A3458" s="401">
        <v>39637</v>
      </c>
      <c r="B3458" s="411" t="s">
        <v>10599</v>
      </c>
      <c r="C3458" s="401" t="s">
        <v>1003</v>
      </c>
      <c r="D3458" s="600">
        <v>66.55</v>
      </c>
    </row>
    <row r="3459" spans="1:4" ht="25.5">
      <c r="A3459" s="401">
        <v>39638</v>
      </c>
      <c r="B3459" s="411" t="s">
        <v>10600</v>
      </c>
      <c r="C3459" s="401" t="s">
        <v>1003</v>
      </c>
      <c r="D3459" s="600">
        <v>123.93</v>
      </c>
    </row>
    <row r="3460" spans="1:4" ht="25.5">
      <c r="A3460" s="401">
        <v>39639</v>
      </c>
      <c r="B3460" s="411" t="s">
        <v>10601</v>
      </c>
      <c r="C3460" s="401" t="s">
        <v>1003</v>
      </c>
      <c r="D3460" s="600">
        <v>163.38999999999999</v>
      </c>
    </row>
    <row r="3461" spans="1:4" ht="51">
      <c r="A3461" s="401">
        <v>39517</v>
      </c>
      <c r="B3461" s="411" t="s">
        <v>10602</v>
      </c>
      <c r="C3461" s="401" t="s">
        <v>1003</v>
      </c>
      <c r="D3461" s="600">
        <v>143.47</v>
      </c>
    </row>
    <row r="3462" spans="1:4" ht="51">
      <c r="A3462" s="401">
        <v>39518</v>
      </c>
      <c r="B3462" s="411" t="s">
        <v>10603</v>
      </c>
      <c r="C3462" s="401" t="s">
        <v>1003</v>
      </c>
      <c r="D3462" s="600">
        <v>170.09</v>
      </c>
    </row>
    <row r="3463" spans="1:4">
      <c r="A3463" s="401">
        <v>38366</v>
      </c>
      <c r="B3463" s="411" t="s">
        <v>10604</v>
      </c>
      <c r="C3463" s="401" t="s">
        <v>1003</v>
      </c>
      <c r="D3463" s="600">
        <v>3.82</v>
      </c>
    </row>
    <row r="3464" spans="1:4">
      <c r="A3464" s="401">
        <v>11703</v>
      </c>
      <c r="B3464" s="411" t="s">
        <v>10605</v>
      </c>
      <c r="C3464" s="401" t="s">
        <v>998</v>
      </c>
      <c r="D3464" s="600">
        <v>24.1</v>
      </c>
    </row>
    <row r="3465" spans="1:4">
      <c r="A3465" s="401">
        <v>37400</v>
      </c>
      <c r="B3465" s="411" t="s">
        <v>10606</v>
      </c>
      <c r="C3465" s="401" t="s">
        <v>998</v>
      </c>
      <c r="D3465" s="600">
        <v>45.39</v>
      </c>
    </row>
    <row r="3466" spans="1:4" ht="25.5">
      <c r="A3466" s="401">
        <v>25400</v>
      </c>
      <c r="B3466" s="411" t="s">
        <v>10607</v>
      </c>
      <c r="C3466" s="401" t="s">
        <v>998</v>
      </c>
      <c r="D3466" s="600">
        <v>1150.8399999999999</v>
      </c>
    </row>
    <row r="3467" spans="1:4">
      <c r="A3467" s="401">
        <v>4272</v>
      </c>
      <c r="B3467" s="411" t="s">
        <v>10608</v>
      </c>
      <c r="C3467" s="401" t="s">
        <v>998</v>
      </c>
      <c r="D3467" s="600">
        <v>87.3</v>
      </c>
    </row>
    <row r="3468" spans="1:4" ht="25.5">
      <c r="A3468" s="401">
        <v>4276</v>
      </c>
      <c r="B3468" s="411" t="s">
        <v>10609</v>
      </c>
      <c r="C3468" s="401" t="s">
        <v>998</v>
      </c>
      <c r="D3468" s="600">
        <v>257.68</v>
      </c>
    </row>
    <row r="3469" spans="1:4" ht="25.5">
      <c r="A3469" s="401">
        <v>4273</v>
      </c>
      <c r="B3469" s="411" t="s">
        <v>10610</v>
      </c>
      <c r="C3469" s="401" t="s">
        <v>998</v>
      </c>
      <c r="D3469" s="600">
        <v>428.06</v>
      </c>
    </row>
    <row r="3470" spans="1:4" ht="25.5">
      <c r="A3470" s="401">
        <v>4274</v>
      </c>
      <c r="B3470" s="411" t="s">
        <v>10611</v>
      </c>
      <c r="C3470" s="401" t="s">
        <v>998</v>
      </c>
      <c r="D3470" s="600">
        <v>99.26</v>
      </c>
    </row>
    <row r="3471" spans="1:4" ht="25.5">
      <c r="A3471" s="401">
        <v>39438</v>
      </c>
      <c r="B3471" s="411" t="s">
        <v>10612</v>
      </c>
      <c r="C3471" s="401" t="s">
        <v>998</v>
      </c>
      <c r="D3471" s="600">
        <v>0.18</v>
      </c>
    </row>
    <row r="3472" spans="1:4">
      <c r="A3472" s="401">
        <v>11963</v>
      </c>
      <c r="B3472" s="411" t="s">
        <v>10613</v>
      </c>
      <c r="C3472" s="401" t="s">
        <v>998</v>
      </c>
      <c r="D3472" s="600">
        <v>6.56</v>
      </c>
    </row>
    <row r="3473" spans="1:4">
      <c r="A3473" s="401">
        <v>11964</v>
      </c>
      <c r="B3473" s="411" t="s">
        <v>10614</v>
      </c>
      <c r="C3473" s="401" t="s">
        <v>998</v>
      </c>
      <c r="D3473" s="600">
        <v>1.65</v>
      </c>
    </row>
    <row r="3474" spans="1:4" ht="25.5">
      <c r="A3474" s="401">
        <v>4379</v>
      </c>
      <c r="B3474" s="411" t="s">
        <v>10615</v>
      </c>
      <c r="C3474" s="401" t="s">
        <v>998</v>
      </c>
      <c r="D3474" s="600">
        <v>0.03</v>
      </c>
    </row>
    <row r="3475" spans="1:4" ht="25.5">
      <c r="A3475" s="401">
        <v>4377</v>
      </c>
      <c r="B3475" s="411" t="s">
        <v>10616</v>
      </c>
      <c r="C3475" s="401" t="s">
        <v>998</v>
      </c>
      <c r="D3475" s="600">
        <v>0.13</v>
      </c>
    </row>
    <row r="3476" spans="1:4" ht="25.5">
      <c r="A3476" s="401">
        <v>4356</v>
      </c>
      <c r="B3476" s="411" t="s">
        <v>10617</v>
      </c>
      <c r="C3476" s="401" t="s">
        <v>998</v>
      </c>
      <c r="D3476" s="600">
        <v>0.18</v>
      </c>
    </row>
    <row r="3477" spans="1:4" ht="25.5">
      <c r="A3477" s="401">
        <v>13246</v>
      </c>
      <c r="B3477" s="411" t="s">
        <v>10618</v>
      </c>
      <c r="C3477" s="401" t="s">
        <v>998</v>
      </c>
      <c r="D3477" s="600">
        <v>0.31</v>
      </c>
    </row>
    <row r="3478" spans="1:4" ht="25.5">
      <c r="A3478" s="401">
        <v>4346</v>
      </c>
      <c r="B3478" s="411" t="s">
        <v>10619</v>
      </c>
      <c r="C3478" s="401" t="s">
        <v>998</v>
      </c>
      <c r="D3478" s="600">
        <v>7.03</v>
      </c>
    </row>
    <row r="3479" spans="1:4" ht="25.5">
      <c r="A3479" s="401">
        <v>11955</v>
      </c>
      <c r="B3479" s="411" t="s">
        <v>10620</v>
      </c>
      <c r="C3479" s="401" t="s">
        <v>998</v>
      </c>
      <c r="D3479" s="600">
        <v>3.07</v>
      </c>
    </row>
    <row r="3480" spans="1:4" ht="25.5">
      <c r="A3480" s="401">
        <v>11960</v>
      </c>
      <c r="B3480" s="411" t="s">
        <v>10621</v>
      </c>
      <c r="C3480" s="401" t="s">
        <v>998</v>
      </c>
      <c r="D3480" s="600">
        <v>0.1</v>
      </c>
    </row>
    <row r="3481" spans="1:4" ht="25.5">
      <c r="A3481" s="401">
        <v>4333</v>
      </c>
      <c r="B3481" s="411" t="s">
        <v>10622</v>
      </c>
      <c r="C3481" s="401" t="s">
        <v>998</v>
      </c>
      <c r="D3481" s="600">
        <v>0.18</v>
      </c>
    </row>
    <row r="3482" spans="1:4" ht="25.5">
      <c r="A3482" s="401">
        <v>4358</v>
      </c>
      <c r="B3482" s="411" t="s">
        <v>10623</v>
      </c>
      <c r="C3482" s="401" t="s">
        <v>998</v>
      </c>
      <c r="D3482" s="600">
        <v>1.4</v>
      </c>
    </row>
    <row r="3483" spans="1:4" ht="25.5">
      <c r="A3483" s="401">
        <v>39435</v>
      </c>
      <c r="B3483" s="411" t="s">
        <v>10624</v>
      </c>
      <c r="C3483" s="401" t="s">
        <v>998</v>
      </c>
      <c r="D3483" s="600">
        <v>7.0000000000000007E-2</v>
      </c>
    </row>
    <row r="3484" spans="1:4" ht="25.5">
      <c r="A3484" s="401">
        <v>39436</v>
      </c>
      <c r="B3484" s="411" t="s">
        <v>10625</v>
      </c>
      <c r="C3484" s="401" t="s">
        <v>998</v>
      </c>
      <c r="D3484" s="600">
        <v>0.12</v>
      </c>
    </row>
    <row r="3485" spans="1:4" ht="25.5">
      <c r="A3485" s="401">
        <v>39437</v>
      </c>
      <c r="B3485" s="411" t="s">
        <v>10626</v>
      </c>
      <c r="C3485" s="401" t="s">
        <v>998</v>
      </c>
      <c r="D3485" s="600">
        <v>0.16</v>
      </c>
    </row>
    <row r="3486" spans="1:4" ht="25.5">
      <c r="A3486" s="401">
        <v>39439</v>
      </c>
      <c r="B3486" s="411" t="s">
        <v>10627</v>
      </c>
      <c r="C3486" s="401" t="s">
        <v>998</v>
      </c>
      <c r="D3486" s="600">
        <v>0.1</v>
      </c>
    </row>
    <row r="3487" spans="1:4" ht="25.5">
      <c r="A3487" s="401">
        <v>39440</v>
      </c>
      <c r="B3487" s="411" t="s">
        <v>10628</v>
      </c>
      <c r="C3487" s="401" t="s">
        <v>998</v>
      </c>
      <c r="D3487" s="600">
        <v>0.14000000000000001</v>
      </c>
    </row>
    <row r="3488" spans="1:4" ht="25.5">
      <c r="A3488" s="401">
        <v>39441</v>
      </c>
      <c r="B3488" s="411" t="s">
        <v>10629</v>
      </c>
      <c r="C3488" s="401" t="s">
        <v>998</v>
      </c>
      <c r="D3488" s="600">
        <v>0.17</v>
      </c>
    </row>
    <row r="3489" spans="1:4" ht="25.5">
      <c r="A3489" s="401">
        <v>39442</v>
      </c>
      <c r="B3489" s="411" t="s">
        <v>10630</v>
      </c>
      <c r="C3489" s="401" t="s">
        <v>998</v>
      </c>
      <c r="D3489" s="600">
        <v>0.12</v>
      </c>
    </row>
    <row r="3490" spans="1:4" ht="25.5">
      <c r="A3490" s="401">
        <v>39443</v>
      </c>
      <c r="B3490" s="411" t="s">
        <v>10631</v>
      </c>
      <c r="C3490" s="401" t="s">
        <v>998</v>
      </c>
      <c r="D3490" s="600">
        <v>0.16</v>
      </c>
    </row>
    <row r="3491" spans="1:4" ht="25.5">
      <c r="A3491" s="401">
        <v>4329</v>
      </c>
      <c r="B3491" s="411" t="s">
        <v>10632</v>
      </c>
      <c r="C3491" s="401" t="s">
        <v>998</v>
      </c>
      <c r="D3491" s="600">
        <v>1.5</v>
      </c>
    </row>
    <row r="3492" spans="1:4" ht="25.5">
      <c r="A3492" s="401">
        <v>4383</v>
      </c>
      <c r="B3492" s="411" t="s">
        <v>10633</v>
      </c>
      <c r="C3492" s="401" t="s">
        <v>998</v>
      </c>
      <c r="D3492" s="600">
        <v>13.56</v>
      </c>
    </row>
    <row r="3493" spans="1:4" ht="25.5">
      <c r="A3493" s="401">
        <v>4344</v>
      </c>
      <c r="B3493" s="411" t="s">
        <v>10634</v>
      </c>
      <c r="C3493" s="401" t="s">
        <v>998</v>
      </c>
      <c r="D3493" s="600">
        <v>14.21</v>
      </c>
    </row>
    <row r="3494" spans="1:4" ht="25.5">
      <c r="A3494" s="401">
        <v>436</v>
      </c>
      <c r="B3494" s="411" t="s">
        <v>10635</v>
      </c>
      <c r="C3494" s="401" t="s">
        <v>998</v>
      </c>
      <c r="D3494" s="600">
        <v>4.46</v>
      </c>
    </row>
    <row r="3495" spans="1:4" ht="25.5">
      <c r="A3495" s="401">
        <v>442</v>
      </c>
      <c r="B3495" s="411" t="s">
        <v>10636</v>
      </c>
      <c r="C3495" s="401" t="s">
        <v>998</v>
      </c>
      <c r="D3495" s="600">
        <v>2.64</v>
      </c>
    </row>
    <row r="3496" spans="1:4">
      <c r="A3496" s="401">
        <v>11953</v>
      </c>
      <c r="B3496" s="411" t="s">
        <v>10637</v>
      </c>
      <c r="C3496" s="401" t="s">
        <v>998</v>
      </c>
      <c r="D3496" s="600">
        <v>2.25</v>
      </c>
    </row>
    <row r="3497" spans="1:4" ht="25.5">
      <c r="A3497" s="401">
        <v>4335</v>
      </c>
      <c r="B3497" s="411" t="s">
        <v>10638</v>
      </c>
      <c r="C3497" s="401" t="s">
        <v>998</v>
      </c>
      <c r="D3497" s="600">
        <v>9.5399999999999991</v>
      </c>
    </row>
    <row r="3498" spans="1:4" ht="25.5">
      <c r="A3498" s="401">
        <v>4334</v>
      </c>
      <c r="B3498" s="411" t="s">
        <v>10639</v>
      </c>
      <c r="C3498" s="401" t="s">
        <v>998</v>
      </c>
      <c r="D3498" s="600">
        <v>13.09</v>
      </c>
    </row>
    <row r="3499" spans="1:4">
      <c r="A3499" s="401">
        <v>4343</v>
      </c>
      <c r="B3499" s="411" t="s">
        <v>10640</v>
      </c>
      <c r="C3499" s="401" t="s">
        <v>998</v>
      </c>
      <c r="D3499" s="600">
        <v>3.22</v>
      </c>
    </row>
    <row r="3500" spans="1:4" ht="25.5">
      <c r="A3500" s="401">
        <v>430</v>
      </c>
      <c r="B3500" s="411" t="s">
        <v>10641</v>
      </c>
      <c r="C3500" s="401" t="s">
        <v>998</v>
      </c>
      <c r="D3500" s="600">
        <v>3.99</v>
      </c>
    </row>
    <row r="3501" spans="1:4" ht="25.5">
      <c r="A3501" s="401">
        <v>441</v>
      </c>
      <c r="B3501" s="411" t="s">
        <v>10642</v>
      </c>
      <c r="C3501" s="401" t="s">
        <v>998</v>
      </c>
      <c r="D3501" s="600">
        <v>4.3899999999999997</v>
      </c>
    </row>
    <row r="3502" spans="1:4" ht="25.5">
      <c r="A3502" s="401">
        <v>431</v>
      </c>
      <c r="B3502" s="411" t="s">
        <v>10643</v>
      </c>
      <c r="C3502" s="401" t="s">
        <v>998</v>
      </c>
      <c r="D3502" s="600">
        <v>5.3</v>
      </c>
    </row>
    <row r="3503" spans="1:4" ht="25.5">
      <c r="A3503" s="401">
        <v>432</v>
      </c>
      <c r="B3503" s="411" t="s">
        <v>10644</v>
      </c>
      <c r="C3503" s="401" t="s">
        <v>998</v>
      </c>
      <c r="D3503" s="600">
        <v>5.85</v>
      </c>
    </row>
    <row r="3504" spans="1:4" ht="25.5">
      <c r="A3504" s="401">
        <v>429</v>
      </c>
      <c r="B3504" s="411" t="s">
        <v>10645</v>
      </c>
      <c r="C3504" s="401" t="s">
        <v>998</v>
      </c>
      <c r="D3504" s="600">
        <v>7.89</v>
      </c>
    </row>
    <row r="3505" spans="1:4" ht="25.5">
      <c r="A3505" s="401">
        <v>439</v>
      </c>
      <c r="B3505" s="411" t="s">
        <v>10646</v>
      </c>
      <c r="C3505" s="401" t="s">
        <v>998</v>
      </c>
      <c r="D3505" s="600">
        <v>6.72</v>
      </c>
    </row>
    <row r="3506" spans="1:4" ht="25.5">
      <c r="A3506" s="401">
        <v>433</v>
      </c>
      <c r="B3506" s="411" t="s">
        <v>10647</v>
      </c>
      <c r="C3506" s="401" t="s">
        <v>998</v>
      </c>
      <c r="D3506" s="600">
        <v>7.85</v>
      </c>
    </row>
    <row r="3507" spans="1:4" ht="25.5">
      <c r="A3507" s="401">
        <v>437</v>
      </c>
      <c r="B3507" s="411" t="s">
        <v>10648</v>
      </c>
      <c r="C3507" s="401" t="s">
        <v>998</v>
      </c>
      <c r="D3507" s="600">
        <v>10.43</v>
      </c>
    </row>
    <row r="3508" spans="1:4" ht="25.5">
      <c r="A3508" s="401">
        <v>11790</v>
      </c>
      <c r="B3508" s="411" t="s">
        <v>10649</v>
      </c>
      <c r="C3508" s="401" t="s">
        <v>998</v>
      </c>
      <c r="D3508" s="600">
        <v>11.83</v>
      </c>
    </row>
    <row r="3509" spans="1:4" ht="25.5">
      <c r="A3509" s="401">
        <v>428</v>
      </c>
      <c r="B3509" s="411" t="s">
        <v>10650</v>
      </c>
      <c r="C3509" s="401" t="s">
        <v>998</v>
      </c>
      <c r="D3509" s="600">
        <v>12.87</v>
      </c>
    </row>
    <row r="3510" spans="1:4" ht="25.5">
      <c r="A3510" s="401">
        <v>4384</v>
      </c>
      <c r="B3510" s="411" t="s">
        <v>10651</v>
      </c>
      <c r="C3510" s="401" t="s">
        <v>998</v>
      </c>
      <c r="D3510" s="600">
        <v>15.58</v>
      </c>
    </row>
    <row r="3511" spans="1:4" ht="25.5">
      <c r="A3511" s="401">
        <v>4351</v>
      </c>
      <c r="B3511" s="411" t="s">
        <v>10652</v>
      </c>
      <c r="C3511" s="401" t="s">
        <v>998</v>
      </c>
      <c r="D3511" s="600">
        <v>11.55</v>
      </c>
    </row>
    <row r="3512" spans="1:4">
      <c r="A3512" s="401">
        <v>11054</v>
      </c>
      <c r="B3512" s="411" t="s">
        <v>10653</v>
      </c>
      <c r="C3512" s="401" t="s">
        <v>998</v>
      </c>
      <c r="D3512" s="600">
        <v>0.02</v>
      </c>
    </row>
    <row r="3513" spans="1:4">
      <c r="A3513" s="401">
        <v>11055</v>
      </c>
      <c r="B3513" s="411" t="s">
        <v>10654</v>
      </c>
      <c r="C3513" s="401" t="s">
        <v>998</v>
      </c>
      <c r="D3513" s="600">
        <v>0.04</v>
      </c>
    </row>
    <row r="3514" spans="1:4">
      <c r="A3514" s="401">
        <v>11056</v>
      </c>
      <c r="B3514" s="411" t="s">
        <v>10655</v>
      </c>
      <c r="C3514" s="401" t="s">
        <v>998</v>
      </c>
      <c r="D3514" s="600">
        <v>0.05</v>
      </c>
    </row>
    <row r="3515" spans="1:4">
      <c r="A3515" s="401">
        <v>11057</v>
      </c>
      <c r="B3515" s="411" t="s">
        <v>10656</v>
      </c>
      <c r="C3515" s="401" t="s">
        <v>998</v>
      </c>
      <c r="D3515" s="600">
        <v>0.1</v>
      </c>
    </row>
    <row r="3516" spans="1:4">
      <c r="A3516" s="401">
        <v>11059</v>
      </c>
      <c r="B3516" s="411" t="s">
        <v>10657</v>
      </c>
      <c r="C3516" s="401" t="s">
        <v>998</v>
      </c>
      <c r="D3516" s="600">
        <v>0.19</v>
      </c>
    </row>
    <row r="3517" spans="1:4">
      <c r="A3517" s="401">
        <v>11058</v>
      </c>
      <c r="B3517" s="411" t="s">
        <v>10658</v>
      </c>
      <c r="C3517" s="401" t="s">
        <v>998</v>
      </c>
      <c r="D3517" s="600">
        <v>0.25</v>
      </c>
    </row>
    <row r="3518" spans="1:4">
      <c r="A3518" s="401">
        <v>4380</v>
      </c>
      <c r="B3518" s="411" t="s">
        <v>10659</v>
      </c>
      <c r="C3518" s="401" t="s">
        <v>998</v>
      </c>
      <c r="D3518" s="600">
        <v>0.84</v>
      </c>
    </row>
    <row r="3519" spans="1:4" ht="25.5">
      <c r="A3519" s="401">
        <v>4299</v>
      </c>
      <c r="B3519" s="411" t="s">
        <v>10660</v>
      </c>
      <c r="C3519" s="401" t="s">
        <v>998</v>
      </c>
      <c r="D3519" s="600">
        <v>0.79</v>
      </c>
    </row>
    <row r="3520" spans="1:4" ht="25.5">
      <c r="A3520" s="401">
        <v>4304</v>
      </c>
      <c r="B3520" s="411" t="s">
        <v>10661</v>
      </c>
      <c r="C3520" s="401" t="s">
        <v>998</v>
      </c>
      <c r="D3520" s="600">
        <v>1.07</v>
      </c>
    </row>
    <row r="3521" spans="1:4" ht="25.5">
      <c r="A3521" s="401">
        <v>4305</v>
      </c>
      <c r="B3521" s="411" t="s">
        <v>10662</v>
      </c>
      <c r="C3521" s="401" t="s">
        <v>998</v>
      </c>
      <c r="D3521" s="600">
        <v>1.25</v>
      </c>
    </row>
    <row r="3522" spans="1:4" ht="25.5">
      <c r="A3522" s="401">
        <v>4306</v>
      </c>
      <c r="B3522" s="411" t="s">
        <v>10663</v>
      </c>
      <c r="C3522" s="401" t="s">
        <v>998</v>
      </c>
      <c r="D3522" s="600">
        <v>1.45</v>
      </c>
    </row>
    <row r="3523" spans="1:4" ht="25.5">
      <c r="A3523" s="401">
        <v>4308</v>
      </c>
      <c r="B3523" s="411" t="s">
        <v>10664</v>
      </c>
      <c r="C3523" s="401" t="s">
        <v>998</v>
      </c>
      <c r="D3523" s="600">
        <v>3</v>
      </c>
    </row>
    <row r="3524" spans="1:4" ht="25.5">
      <c r="A3524" s="401">
        <v>4302</v>
      </c>
      <c r="B3524" s="411" t="s">
        <v>10665</v>
      </c>
      <c r="C3524" s="401" t="s">
        <v>998</v>
      </c>
      <c r="D3524" s="600">
        <v>2.25</v>
      </c>
    </row>
    <row r="3525" spans="1:4" ht="25.5">
      <c r="A3525" s="401">
        <v>4300</v>
      </c>
      <c r="B3525" s="411" t="s">
        <v>10666</v>
      </c>
      <c r="C3525" s="401" t="s">
        <v>998</v>
      </c>
      <c r="D3525" s="600">
        <v>0.53</v>
      </c>
    </row>
    <row r="3526" spans="1:4" ht="25.5">
      <c r="A3526" s="401">
        <v>4301</v>
      </c>
      <c r="B3526" s="411" t="s">
        <v>10667</v>
      </c>
      <c r="C3526" s="401" t="s">
        <v>998</v>
      </c>
      <c r="D3526" s="600">
        <v>0.65</v>
      </c>
    </row>
    <row r="3527" spans="1:4" ht="25.5">
      <c r="A3527" s="401">
        <v>4320</v>
      </c>
      <c r="B3527" s="411" t="s">
        <v>10668</v>
      </c>
      <c r="C3527" s="401" t="s">
        <v>998</v>
      </c>
      <c r="D3527" s="600">
        <v>1.99</v>
      </c>
    </row>
    <row r="3528" spans="1:4" ht="25.5">
      <c r="A3528" s="401">
        <v>4318</v>
      </c>
      <c r="B3528" s="411" t="s">
        <v>10669</v>
      </c>
      <c r="C3528" s="401" t="s">
        <v>998</v>
      </c>
      <c r="D3528" s="600">
        <v>0.97</v>
      </c>
    </row>
    <row r="3529" spans="1:4">
      <c r="A3529" s="401">
        <v>40547</v>
      </c>
      <c r="B3529" s="411" t="s">
        <v>10670</v>
      </c>
      <c r="C3529" s="401" t="s">
        <v>1120</v>
      </c>
      <c r="D3529" s="600">
        <v>18.93</v>
      </c>
    </row>
    <row r="3530" spans="1:4">
      <c r="A3530" s="401">
        <v>11962</v>
      </c>
      <c r="B3530" s="411" t="s">
        <v>10671</v>
      </c>
      <c r="C3530" s="401" t="s">
        <v>998</v>
      </c>
      <c r="D3530" s="600">
        <v>0.15</v>
      </c>
    </row>
    <row r="3531" spans="1:4">
      <c r="A3531" s="401">
        <v>4332</v>
      </c>
      <c r="B3531" s="411" t="s">
        <v>10672</v>
      </c>
      <c r="C3531" s="401" t="s">
        <v>998</v>
      </c>
      <c r="D3531" s="600">
        <v>0.75</v>
      </c>
    </row>
    <row r="3532" spans="1:4">
      <c r="A3532" s="401">
        <v>4331</v>
      </c>
      <c r="B3532" s="411" t="s">
        <v>10673</v>
      </c>
      <c r="C3532" s="401" t="s">
        <v>998</v>
      </c>
      <c r="D3532" s="600">
        <v>2.84</v>
      </c>
    </row>
    <row r="3533" spans="1:4" ht="25.5">
      <c r="A3533" s="401">
        <v>4336</v>
      </c>
      <c r="B3533" s="411" t="s">
        <v>10674</v>
      </c>
      <c r="C3533" s="401" t="s">
        <v>998</v>
      </c>
      <c r="D3533" s="600">
        <v>3.63</v>
      </c>
    </row>
    <row r="3534" spans="1:4" ht="25.5">
      <c r="A3534" s="401">
        <v>13294</v>
      </c>
      <c r="B3534" s="411" t="s">
        <v>10675</v>
      </c>
      <c r="C3534" s="401" t="s">
        <v>998</v>
      </c>
      <c r="D3534" s="600">
        <v>1.04</v>
      </c>
    </row>
    <row r="3535" spans="1:4" ht="25.5">
      <c r="A3535" s="401">
        <v>11948</v>
      </c>
      <c r="B3535" s="411" t="s">
        <v>10676</v>
      </c>
      <c r="C3535" s="401" t="s">
        <v>998</v>
      </c>
      <c r="D3535" s="600">
        <v>0.46</v>
      </c>
    </row>
    <row r="3536" spans="1:4" ht="25.5">
      <c r="A3536" s="401">
        <v>4382</v>
      </c>
      <c r="B3536" s="411" t="s">
        <v>10677</v>
      </c>
      <c r="C3536" s="401" t="s">
        <v>998</v>
      </c>
      <c r="D3536" s="600">
        <v>0.78</v>
      </c>
    </row>
    <row r="3537" spans="1:4">
      <c r="A3537" s="401">
        <v>4354</v>
      </c>
      <c r="B3537" s="411" t="s">
        <v>10678</v>
      </c>
      <c r="C3537" s="401" t="s">
        <v>998</v>
      </c>
      <c r="D3537" s="600">
        <v>32.6</v>
      </c>
    </row>
    <row r="3538" spans="1:4" ht="25.5">
      <c r="A3538" s="401">
        <v>40839</v>
      </c>
      <c r="B3538" s="411" t="s">
        <v>10679</v>
      </c>
      <c r="C3538" s="401" t="s">
        <v>1120</v>
      </c>
      <c r="D3538" s="600">
        <v>78.459999999999994</v>
      </c>
    </row>
    <row r="3539" spans="1:4">
      <c r="A3539" s="401">
        <v>40552</v>
      </c>
      <c r="B3539" s="411" t="s">
        <v>10680</v>
      </c>
      <c r="C3539" s="401" t="s">
        <v>1120</v>
      </c>
      <c r="D3539" s="600">
        <v>32.46</v>
      </c>
    </row>
    <row r="3540" spans="1:4" ht="25.5">
      <c r="A3540" s="401">
        <v>40549</v>
      </c>
      <c r="B3540" s="411" t="s">
        <v>10681</v>
      </c>
      <c r="C3540" s="401" t="s">
        <v>1120</v>
      </c>
      <c r="D3540" s="600">
        <v>128.51</v>
      </c>
    </row>
    <row r="3541" spans="1:4" ht="25.5">
      <c r="A3541" s="401">
        <v>4385</v>
      </c>
      <c r="B3541" s="411" t="s">
        <v>10682</v>
      </c>
      <c r="C3541" s="401" t="s">
        <v>1010</v>
      </c>
      <c r="D3541" s="600">
        <v>1363.5</v>
      </c>
    </row>
    <row r="3542" spans="1:4">
      <c r="A3542" s="401">
        <v>38397</v>
      </c>
      <c r="B3542" s="411" t="s">
        <v>10683</v>
      </c>
      <c r="C3542" s="401" t="s">
        <v>995</v>
      </c>
      <c r="D3542" s="600">
        <v>4.9400000000000004</v>
      </c>
    </row>
    <row r="3543" spans="1:4" ht="25.5">
      <c r="A3543" s="401">
        <v>20078</v>
      </c>
      <c r="B3543" s="411" t="s">
        <v>10684</v>
      </c>
      <c r="C3543" s="401" t="s">
        <v>998</v>
      </c>
      <c r="D3543" s="600">
        <v>29.27</v>
      </c>
    </row>
    <row r="3544" spans="1:4" ht="25.5">
      <c r="A3544" s="401">
        <v>20079</v>
      </c>
      <c r="B3544" s="411" t="s">
        <v>10685</v>
      </c>
      <c r="C3544" s="401" t="s">
        <v>998</v>
      </c>
      <c r="D3544" s="600">
        <v>182.56</v>
      </c>
    </row>
    <row r="3545" spans="1:4">
      <c r="A3545" s="401">
        <v>39897</v>
      </c>
      <c r="B3545" s="411" t="s">
        <v>10686</v>
      </c>
      <c r="C3545" s="401" t="s">
        <v>998</v>
      </c>
      <c r="D3545" s="600">
        <v>34.229999999999997</v>
      </c>
    </row>
    <row r="3546" spans="1:4">
      <c r="A3546" s="401">
        <v>118</v>
      </c>
      <c r="B3546" s="411" t="s">
        <v>10687</v>
      </c>
      <c r="C3546" s="401" t="s">
        <v>998</v>
      </c>
      <c r="D3546" s="600">
        <v>110.65</v>
      </c>
    </row>
    <row r="3547" spans="1:4" ht="25.5">
      <c r="A3547" s="401">
        <v>4396</v>
      </c>
      <c r="B3547" s="411" t="s">
        <v>10688</v>
      </c>
      <c r="C3547" s="401" t="s">
        <v>1003</v>
      </c>
      <c r="D3547" s="600">
        <v>136.96</v>
      </c>
    </row>
    <row r="3548" spans="1:4">
      <c r="A3548" s="401">
        <v>36881</v>
      </c>
      <c r="B3548" s="411" t="s">
        <v>10689</v>
      </c>
      <c r="C3548" s="401" t="s">
        <v>1003</v>
      </c>
      <c r="D3548" s="600">
        <v>122.38</v>
      </c>
    </row>
    <row r="3549" spans="1:4">
      <c r="A3549" s="401">
        <v>36882</v>
      </c>
      <c r="B3549" s="411" t="s">
        <v>10690</v>
      </c>
      <c r="C3549" s="401" t="s">
        <v>1003</v>
      </c>
      <c r="D3549" s="600">
        <v>142.78</v>
      </c>
    </row>
    <row r="3550" spans="1:4">
      <c r="A3550" s="401">
        <v>4397</v>
      </c>
      <c r="B3550" s="411" t="s">
        <v>10691</v>
      </c>
      <c r="C3550" s="401" t="s">
        <v>1003</v>
      </c>
      <c r="D3550" s="600">
        <v>222.09</v>
      </c>
    </row>
    <row r="3551" spans="1:4" ht="25.5">
      <c r="A3551" s="401">
        <v>34754</v>
      </c>
      <c r="B3551" s="411" t="s">
        <v>10692</v>
      </c>
      <c r="C3551" s="401" t="s">
        <v>1003</v>
      </c>
      <c r="D3551" s="600">
        <v>411.25</v>
      </c>
    </row>
    <row r="3552" spans="1:4" ht="25.5">
      <c r="A3552" s="401">
        <v>25962</v>
      </c>
      <c r="B3552" s="411" t="s">
        <v>10693</v>
      </c>
      <c r="C3552" s="401" t="s">
        <v>1003</v>
      </c>
      <c r="D3552" s="600">
        <v>260.47000000000003</v>
      </c>
    </row>
    <row r="3553" spans="1:4" ht="25.5">
      <c r="A3553" s="401">
        <v>34752</v>
      </c>
      <c r="B3553" s="411" t="s">
        <v>10694</v>
      </c>
      <c r="C3553" s="401" t="s">
        <v>1003</v>
      </c>
      <c r="D3553" s="600">
        <v>458.68</v>
      </c>
    </row>
    <row r="3554" spans="1:4">
      <c r="A3554" s="401">
        <v>4751</v>
      </c>
      <c r="B3554" s="411" t="s">
        <v>10695</v>
      </c>
      <c r="C3554" s="401" t="s">
        <v>1001</v>
      </c>
      <c r="D3554" s="600">
        <v>14.9</v>
      </c>
    </row>
    <row r="3555" spans="1:4">
      <c r="A3555" s="401">
        <v>41066</v>
      </c>
      <c r="B3555" s="411" t="s">
        <v>10696</v>
      </c>
      <c r="C3555" s="401" t="s">
        <v>1118</v>
      </c>
      <c r="D3555" s="600">
        <v>2643.31</v>
      </c>
    </row>
    <row r="3556" spans="1:4">
      <c r="A3556" s="401">
        <v>39604</v>
      </c>
      <c r="B3556" s="411" t="s">
        <v>10697</v>
      </c>
      <c r="C3556" s="401" t="s">
        <v>998</v>
      </c>
      <c r="D3556" s="600">
        <v>7.53</v>
      </c>
    </row>
    <row r="3557" spans="1:4">
      <c r="A3557" s="401">
        <v>39605</v>
      </c>
      <c r="B3557" s="411" t="s">
        <v>10698</v>
      </c>
      <c r="C3557" s="401" t="s">
        <v>998</v>
      </c>
      <c r="D3557" s="600">
        <v>10.45</v>
      </c>
    </row>
    <row r="3558" spans="1:4">
      <c r="A3558" s="401">
        <v>39606</v>
      </c>
      <c r="B3558" s="411" t="s">
        <v>10699</v>
      </c>
      <c r="C3558" s="401" t="s">
        <v>998</v>
      </c>
      <c r="D3558" s="600">
        <v>13.27</v>
      </c>
    </row>
    <row r="3559" spans="1:4">
      <c r="A3559" s="401">
        <v>39607</v>
      </c>
      <c r="B3559" s="411" t="s">
        <v>10700</v>
      </c>
      <c r="C3559" s="401" t="s">
        <v>998</v>
      </c>
      <c r="D3559" s="600">
        <v>15.22</v>
      </c>
    </row>
    <row r="3560" spans="1:4">
      <c r="A3560" s="401">
        <v>39594</v>
      </c>
      <c r="B3560" s="411" t="s">
        <v>10701</v>
      </c>
      <c r="C3560" s="401" t="s">
        <v>998</v>
      </c>
      <c r="D3560" s="600">
        <v>144.13</v>
      </c>
    </row>
    <row r="3561" spans="1:4">
      <c r="A3561" s="401">
        <v>39596</v>
      </c>
      <c r="B3561" s="411" t="s">
        <v>10702</v>
      </c>
      <c r="C3561" s="401" t="s">
        <v>998</v>
      </c>
      <c r="D3561" s="600">
        <v>251.21</v>
      </c>
    </row>
    <row r="3562" spans="1:4">
      <c r="A3562" s="401">
        <v>39595</v>
      </c>
      <c r="B3562" s="411" t="s">
        <v>10703</v>
      </c>
      <c r="C3562" s="401" t="s">
        <v>998</v>
      </c>
      <c r="D3562" s="600">
        <v>210.87</v>
      </c>
    </row>
    <row r="3563" spans="1:4">
      <c r="A3563" s="401">
        <v>39597</v>
      </c>
      <c r="B3563" s="411" t="s">
        <v>10704</v>
      </c>
      <c r="C3563" s="401" t="s">
        <v>998</v>
      </c>
      <c r="D3563" s="600">
        <v>338.77</v>
      </c>
    </row>
    <row r="3564" spans="1:4" ht="25.5">
      <c r="A3564" s="401">
        <v>20209</v>
      </c>
      <c r="B3564" s="411" t="s">
        <v>10705</v>
      </c>
      <c r="C3564" s="401" t="s">
        <v>1002</v>
      </c>
      <c r="D3564" s="600">
        <v>9.5399999999999991</v>
      </c>
    </row>
    <row r="3565" spans="1:4" ht="25.5">
      <c r="A3565" s="401">
        <v>4433</v>
      </c>
      <c r="B3565" s="411" t="s">
        <v>10706</v>
      </c>
      <c r="C3565" s="401" t="s">
        <v>1002</v>
      </c>
      <c r="D3565" s="600">
        <v>6.94</v>
      </c>
    </row>
    <row r="3566" spans="1:4">
      <c r="A3566" s="401">
        <v>10731</v>
      </c>
      <c r="B3566" s="411" t="s">
        <v>10707</v>
      </c>
      <c r="C3566" s="401" t="s">
        <v>1003</v>
      </c>
      <c r="D3566" s="600">
        <v>25.6</v>
      </c>
    </row>
    <row r="3567" spans="1:4">
      <c r="A3567" s="401">
        <v>4704</v>
      </c>
      <c r="B3567" s="411" t="s">
        <v>10708</v>
      </c>
      <c r="C3567" s="401" t="s">
        <v>1003</v>
      </c>
      <c r="D3567" s="600">
        <v>23.1</v>
      </c>
    </row>
    <row r="3568" spans="1:4">
      <c r="A3568" s="401">
        <v>10730</v>
      </c>
      <c r="B3568" s="411" t="s">
        <v>10709</v>
      </c>
      <c r="C3568" s="401" t="s">
        <v>1003</v>
      </c>
      <c r="D3568" s="600">
        <v>24.75</v>
      </c>
    </row>
    <row r="3569" spans="1:4">
      <c r="A3569" s="401">
        <v>4729</v>
      </c>
      <c r="B3569" s="411" t="s">
        <v>10710</v>
      </c>
      <c r="C3569" s="401" t="s">
        <v>996</v>
      </c>
      <c r="D3569" s="600">
        <v>93.42</v>
      </c>
    </row>
    <row r="3570" spans="1:4" ht="25.5">
      <c r="A3570" s="401">
        <v>4720</v>
      </c>
      <c r="B3570" s="411" t="s">
        <v>10711</v>
      </c>
      <c r="C3570" s="401" t="s">
        <v>996</v>
      </c>
      <c r="D3570" s="600">
        <v>102.15</v>
      </c>
    </row>
    <row r="3571" spans="1:4">
      <c r="A3571" s="401">
        <v>4721</v>
      </c>
      <c r="B3571" s="411" t="s">
        <v>10712</v>
      </c>
      <c r="C3571" s="401" t="s">
        <v>996</v>
      </c>
      <c r="D3571" s="600">
        <v>80</v>
      </c>
    </row>
    <row r="3572" spans="1:4">
      <c r="A3572" s="401">
        <v>4718</v>
      </c>
      <c r="B3572" s="411" t="s">
        <v>10713</v>
      </c>
      <c r="C3572" s="401" t="s">
        <v>996</v>
      </c>
      <c r="D3572" s="600">
        <v>80</v>
      </c>
    </row>
    <row r="3573" spans="1:4">
      <c r="A3573" s="401">
        <v>4722</v>
      </c>
      <c r="B3573" s="411" t="s">
        <v>10714</v>
      </c>
      <c r="C3573" s="401" t="s">
        <v>996</v>
      </c>
      <c r="D3573" s="600">
        <v>80</v>
      </c>
    </row>
    <row r="3574" spans="1:4">
      <c r="A3574" s="401">
        <v>4723</v>
      </c>
      <c r="B3574" s="411" t="s">
        <v>10715</v>
      </c>
      <c r="C3574" s="401" t="s">
        <v>996</v>
      </c>
      <c r="D3574" s="600">
        <v>87.28</v>
      </c>
    </row>
    <row r="3575" spans="1:4">
      <c r="A3575" s="401">
        <v>4727</v>
      </c>
      <c r="B3575" s="411" t="s">
        <v>10716</v>
      </c>
      <c r="C3575" s="401" t="s">
        <v>996</v>
      </c>
      <c r="D3575" s="600">
        <v>89.7</v>
      </c>
    </row>
    <row r="3576" spans="1:4" ht="25.5">
      <c r="A3576" s="401">
        <v>4748</v>
      </c>
      <c r="B3576" s="411" t="s">
        <v>10717</v>
      </c>
      <c r="C3576" s="401" t="s">
        <v>996</v>
      </c>
      <c r="D3576" s="600">
        <v>86.55</v>
      </c>
    </row>
    <row r="3577" spans="1:4" ht="25.5">
      <c r="A3577" s="401">
        <v>4730</v>
      </c>
      <c r="B3577" s="411" t="s">
        <v>10718</v>
      </c>
      <c r="C3577" s="401" t="s">
        <v>996</v>
      </c>
      <c r="D3577" s="600">
        <v>83.64</v>
      </c>
    </row>
    <row r="3578" spans="1:4" ht="25.5">
      <c r="A3578" s="401">
        <v>13186</v>
      </c>
      <c r="B3578" s="411" t="s">
        <v>10719</v>
      </c>
      <c r="C3578" s="401" t="s">
        <v>996</v>
      </c>
      <c r="D3578" s="600">
        <v>81.09</v>
      </c>
    </row>
    <row r="3579" spans="1:4" ht="25.5">
      <c r="A3579" s="401">
        <v>10737</v>
      </c>
      <c r="B3579" s="411" t="s">
        <v>10720</v>
      </c>
      <c r="C3579" s="401" t="s">
        <v>1003</v>
      </c>
      <c r="D3579" s="600">
        <v>80.45</v>
      </c>
    </row>
    <row r="3580" spans="1:4" ht="25.5">
      <c r="A3580" s="401">
        <v>10734</v>
      </c>
      <c r="B3580" s="411" t="s">
        <v>10721</v>
      </c>
      <c r="C3580" s="401" t="s">
        <v>1003</v>
      </c>
      <c r="D3580" s="600">
        <v>47.85</v>
      </c>
    </row>
    <row r="3581" spans="1:4">
      <c r="A3581" s="401">
        <v>4708</v>
      </c>
      <c r="B3581" s="411" t="s">
        <v>10722</v>
      </c>
      <c r="C3581" s="401" t="s">
        <v>1003</v>
      </c>
      <c r="D3581" s="600">
        <v>92.82</v>
      </c>
    </row>
    <row r="3582" spans="1:4" ht="25.5">
      <c r="A3582" s="401">
        <v>4712</v>
      </c>
      <c r="B3582" s="411" t="s">
        <v>10723</v>
      </c>
      <c r="C3582" s="401" t="s">
        <v>1003</v>
      </c>
      <c r="D3582" s="600">
        <v>45.38</v>
      </c>
    </row>
    <row r="3583" spans="1:4" ht="38.25">
      <c r="A3583" s="401">
        <v>4710</v>
      </c>
      <c r="B3583" s="411" t="s">
        <v>10724</v>
      </c>
      <c r="C3583" s="401" t="s">
        <v>1003</v>
      </c>
      <c r="D3583" s="600">
        <v>145.53</v>
      </c>
    </row>
    <row r="3584" spans="1:4" ht="25.5">
      <c r="A3584" s="401">
        <v>4746</v>
      </c>
      <c r="B3584" s="411" t="s">
        <v>10725</v>
      </c>
      <c r="C3584" s="401" t="s">
        <v>996</v>
      </c>
      <c r="D3584" s="600">
        <v>77.58</v>
      </c>
    </row>
    <row r="3585" spans="1:4">
      <c r="A3585" s="401">
        <v>4750</v>
      </c>
      <c r="B3585" s="411" t="s">
        <v>10726</v>
      </c>
      <c r="C3585" s="401" t="s">
        <v>1001</v>
      </c>
      <c r="D3585" s="600">
        <v>12.79</v>
      </c>
    </row>
    <row r="3586" spans="1:4">
      <c r="A3586" s="401">
        <v>41065</v>
      </c>
      <c r="B3586" s="411" t="s">
        <v>10727</v>
      </c>
      <c r="C3586" s="401" t="s">
        <v>1118</v>
      </c>
      <c r="D3586" s="600">
        <v>2266.4299999999998</v>
      </c>
    </row>
    <row r="3587" spans="1:4">
      <c r="A3587" s="401">
        <v>34747</v>
      </c>
      <c r="B3587" s="411" t="s">
        <v>10728</v>
      </c>
      <c r="C3587" s="401" t="s">
        <v>1002</v>
      </c>
      <c r="D3587" s="600">
        <v>72.73</v>
      </c>
    </row>
    <row r="3588" spans="1:4">
      <c r="A3588" s="401">
        <v>4826</v>
      </c>
      <c r="B3588" s="411" t="s">
        <v>10729</v>
      </c>
      <c r="C3588" s="401" t="s">
        <v>1002</v>
      </c>
      <c r="D3588" s="600">
        <v>78.209999999999994</v>
      </c>
    </row>
    <row r="3589" spans="1:4">
      <c r="A3589" s="401">
        <v>41975</v>
      </c>
      <c r="B3589" s="411" t="s">
        <v>10730</v>
      </c>
      <c r="C3589" s="401" t="s">
        <v>1003</v>
      </c>
      <c r="D3589" s="600">
        <v>61.73</v>
      </c>
    </row>
    <row r="3590" spans="1:4" ht="25.5">
      <c r="A3590" s="401">
        <v>4825</v>
      </c>
      <c r="B3590" s="411" t="s">
        <v>10731</v>
      </c>
      <c r="C3590" s="401" t="s">
        <v>1002</v>
      </c>
      <c r="D3590" s="600">
        <v>108.25</v>
      </c>
    </row>
    <row r="3591" spans="1:4">
      <c r="A3591" s="401">
        <v>34744</v>
      </c>
      <c r="B3591" s="411" t="s">
        <v>10732</v>
      </c>
      <c r="C3591" s="401" t="s">
        <v>1003</v>
      </c>
      <c r="D3591" s="600">
        <v>27.9</v>
      </c>
    </row>
    <row r="3592" spans="1:4" ht="25.5">
      <c r="A3592" s="401">
        <v>39430</v>
      </c>
      <c r="B3592" s="411" t="s">
        <v>10733</v>
      </c>
      <c r="C3592" s="401" t="s">
        <v>998</v>
      </c>
      <c r="D3592" s="600">
        <v>1.42</v>
      </c>
    </row>
    <row r="3593" spans="1:4" ht="25.5">
      <c r="A3593" s="401">
        <v>39573</v>
      </c>
      <c r="B3593" s="411" t="s">
        <v>10734</v>
      </c>
      <c r="C3593" s="401" t="s">
        <v>998</v>
      </c>
      <c r="D3593" s="600">
        <v>1.4</v>
      </c>
    </row>
    <row r="3594" spans="1:4" ht="25.5">
      <c r="A3594" s="401">
        <v>38410</v>
      </c>
      <c r="B3594" s="411" t="s">
        <v>10735</v>
      </c>
      <c r="C3594" s="401" t="s">
        <v>998</v>
      </c>
      <c r="D3594" s="600">
        <v>10627.77</v>
      </c>
    </row>
    <row r="3595" spans="1:4">
      <c r="A3595" s="401">
        <v>41596</v>
      </c>
      <c r="B3595" s="411" t="s">
        <v>10736</v>
      </c>
      <c r="C3595" s="401" t="s">
        <v>995</v>
      </c>
      <c r="D3595" s="600">
        <v>6.38</v>
      </c>
    </row>
    <row r="3596" spans="1:4">
      <c r="A3596" s="401">
        <v>41598</v>
      </c>
      <c r="B3596" s="411" t="s">
        <v>10737</v>
      </c>
      <c r="C3596" s="401" t="s">
        <v>995</v>
      </c>
      <c r="D3596" s="600">
        <v>6.38</v>
      </c>
    </row>
    <row r="3597" spans="1:4">
      <c r="A3597" s="401">
        <v>41594</v>
      </c>
      <c r="B3597" s="411" t="s">
        <v>10738</v>
      </c>
      <c r="C3597" s="401" t="s">
        <v>995</v>
      </c>
      <c r="D3597" s="600">
        <v>6.48</v>
      </c>
    </row>
    <row r="3598" spans="1:4">
      <c r="A3598" s="401">
        <v>43663</v>
      </c>
      <c r="B3598" s="411" t="s">
        <v>10739</v>
      </c>
      <c r="C3598" s="401" t="s">
        <v>995</v>
      </c>
      <c r="D3598" s="600">
        <v>5.34</v>
      </c>
    </row>
    <row r="3599" spans="1:4">
      <c r="A3599" s="401">
        <v>4766</v>
      </c>
      <c r="B3599" s="411" t="s">
        <v>10740</v>
      </c>
      <c r="C3599" s="401" t="s">
        <v>995</v>
      </c>
      <c r="D3599" s="600">
        <v>5.0199999999999996</v>
      </c>
    </row>
    <row r="3600" spans="1:4">
      <c r="A3600" s="401">
        <v>43664</v>
      </c>
      <c r="B3600" s="411" t="s">
        <v>10741</v>
      </c>
      <c r="C3600" s="401" t="s">
        <v>995</v>
      </c>
      <c r="D3600" s="600">
        <v>5.36</v>
      </c>
    </row>
    <row r="3601" spans="1:4">
      <c r="A3601" s="401">
        <v>43082</v>
      </c>
      <c r="B3601" s="411" t="s">
        <v>10742</v>
      </c>
      <c r="C3601" s="401" t="s">
        <v>995</v>
      </c>
      <c r="D3601" s="600">
        <v>5.85</v>
      </c>
    </row>
    <row r="3602" spans="1:4">
      <c r="A3602" s="401">
        <v>43665</v>
      </c>
      <c r="B3602" s="411" t="s">
        <v>10743</v>
      </c>
      <c r="C3602" s="401" t="s">
        <v>995</v>
      </c>
      <c r="D3602" s="600">
        <v>5.0199999999999996</v>
      </c>
    </row>
    <row r="3603" spans="1:4">
      <c r="A3603" s="401">
        <v>10966</v>
      </c>
      <c r="B3603" s="411" t="s">
        <v>10744</v>
      </c>
      <c r="C3603" s="401" t="s">
        <v>995</v>
      </c>
      <c r="D3603" s="600">
        <v>5.34</v>
      </c>
    </row>
    <row r="3604" spans="1:4">
      <c r="A3604" s="401">
        <v>43692</v>
      </c>
      <c r="B3604" s="411" t="s">
        <v>10745</v>
      </c>
      <c r="C3604" s="401" t="s">
        <v>995</v>
      </c>
      <c r="D3604" s="600">
        <v>5.34</v>
      </c>
    </row>
    <row r="3605" spans="1:4" ht="25.5">
      <c r="A3605" s="401">
        <v>43083</v>
      </c>
      <c r="B3605" s="411" t="s">
        <v>10746</v>
      </c>
      <c r="C3605" s="401" t="s">
        <v>995</v>
      </c>
      <c r="D3605" s="600">
        <v>5.0599999999999996</v>
      </c>
    </row>
    <row r="3606" spans="1:4">
      <c r="A3606" s="401">
        <v>40535</v>
      </c>
      <c r="B3606" s="411" t="s">
        <v>10747</v>
      </c>
      <c r="C3606" s="401" t="s">
        <v>995</v>
      </c>
      <c r="D3606" s="600">
        <v>5.0599999999999996</v>
      </c>
    </row>
    <row r="3607" spans="1:4" ht="25.5">
      <c r="A3607" s="401">
        <v>39427</v>
      </c>
      <c r="B3607" s="411" t="s">
        <v>10748</v>
      </c>
      <c r="C3607" s="401" t="s">
        <v>1002</v>
      </c>
      <c r="D3607" s="600">
        <v>3.78</v>
      </c>
    </row>
    <row r="3608" spans="1:4">
      <c r="A3608" s="401">
        <v>39424</v>
      </c>
      <c r="B3608" s="411" t="s">
        <v>10749</v>
      </c>
      <c r="C3608" s="401" t="s">
        <v>1002</v>
      </c>
      <c r="D3608" s="600">
        <v>2.25</v>
      </c>
    </row>
    <row r="3609" spans="1:4" ht="25.5">
      <c r="A3609" s="401">
        <v>39425</v>
      </c>
      <c r="B3609" s="411" t="s">
        <v>10750</v>
      </c>
      <c r="C3609" s="401" t="s">
        <v>1002</v>
      </c>
      <c r="D3609" s="600">
        <v>2.2200000000000002</v>
      </c>
    </row>
    <row r="3610" spans="1:4">
      <c r="A3610" s="401">
        <v>40664</v>
      </c>
      <c r="B3610" s="411" t="s">
        <v>10751</v>
      </c>
      <c r="C3610" s="401" t="s">
        <v>995</v>
      </c>
      <c r="D3610" s="600">
        <v>10.39</v>
      </c>
    </row>
    <row r="3611" spans="1:4">
      <c r="A3611" s="401">
        <v>34360</v>
      </c>
      <c r="B3611" s="411" t="s">
        <v>10752</v>
      </c>
      <c r="C3611" s="401" t="s">
        <v>995</v>
      </c>
      <c r="D3611" s="600">
        <v>28.79</v>
      </c>
    </row>
    <row r="3612" spans="1:4">
      <c r="A3612" s="401">
        <v>20259</v>
      </c>
      <c r="B3612" s="411" t="s">
        <v>10753</v>
      </c>
      <c r="C3612" s="401" t="s">
        <v>1002</v>
      </c>
      <c r="D3612" s="600">
        <v>8.8000000000000007</v>
      </c>
    </row>
    <row r="3613" spans="1:4" ht="25.5">
      <c r="A3613" s="401">
        <v>14077</v>
      </c>
      <c r="B3613" s="411" t="s">
        <v>10754</v>
      </c>
      <c r="C3613" s="401" t="s">
        <v>1002</v>
      </c>
      <c r="D3613" s="600">
        <v>134.69</v>
      </c>
    </row>
    <row r="3614" spans="1:4" ht="25.5">
      <c r="A3614" s="401">
        <v>3678</v>
      </c>
      <c r="B3614" s="411" t="s">
        <v>10755</v>
      </c>
      <c r="C3614" s="401" t="s">
        <v>1002</v>
      </c>
      <c r="D3614" s="600">
        <v>60.88</v>
      </c>
    </row>
    <row r="3615" spans="1:4" ht="25.5">
      <c r="A3615" s="401">
        <v>39418</v>
      </c>
      <c r="B3615" s="411" t="s">
        <v>10756</v>
      </c>
      <c r="C3615" s="401" t="s">
        <v>1002</v>
      </c>
      <c r="D3615" s="600">
        <v>4.21</v>
      </c>
    </row>
    <row r="3616" spans="1:4" ht="25.5">
      <c r="A3616" s="401">
        <v>39419</v>
      </c>
      <c r="B3616" s="411" t="s">
        <v>10757</v>
      </c>
      <c r="C3616" s="401" t="s">
        <v>1002</v>
      </c>
      <c r="D3616" s="600">
        <v>5.14</v>
      </c>
    </row>
    <row r="3617" spans="1:4" ht="25.5">
      <c r="A3617" s="401">
        <v>39420</v>
      </c>
      <c r="B3617" s="411" t="s">
        <v>10758</v>
      </c>
      <c r="C3617" s="401" t="s">
        <v>1002</v>
      </c>
      <c r="D3617" s="600">
        <v>5.67</v>
      </c>
    </row>
    <row r="3618" spans="1:4" ht="25.5">
      <c r="A3618" s="401">
        <v>39571</v>
      </c>
      <c r="B3618" s="411" t="s">
        <v>10759</v>
      </c>
      <c r="C3618" s="401" t="s">
        <v>1002</v>
      </c>
      <c r="D3618" s="600">
        <v>3.43</v>
      </c>
    </row>
    <row r="3619" spans="1:4" ht="25.5">
      <c r="A3619" s="401">
        <v>39421</v>
      </c>
      <c r="B3619" s="411" t="s">
        <v>10760</v>
      </c>
      <c r="C3619" s="401" t="s">
        <v>1002</v>
      </c>
      <c r="D3619" s="600">
        <v>4.99</v>
      </c>
    </row>
    <row r="3620" spans="1:4" ht="25.5">
      <c r="A3620" s="401">
        <v>39422</v>
      </c>
      <c r="B3620" s="411" t="s">
        <v>10761</v>
      </c>
      <c r="C3620" s="401" t="s">
        <v>1002</v>
      </c>
      <c r="D3620" s="600">
        <v>5.83</v>
      </c>
    </row>
    <row r="3621" spans="1:4" ht="25.5">
      <c r="A3621" s="401">
        <v>39423</v>
      </c>
      <c r="B3621" s="411" t="s">
        <v>10762</v>
      </c>
      <c r="C3621" s="401" t="s">
        <v>1002</v>
      </c>
      <c r="D3621" s="600">
        <v>6.77</v>
      </c>
    </row>
    <row r="3622" spans="1:4" ht="25.5">
      <c r="A3622" s="401">
        <v>39426</v>
      </c>
      <c r="B3622" s="411" t="s">
        <v>10763</v>
      </c>
      <c r="C3622" s="401" t="s">
        <v>1002</v>
      </c>
      <c r="D3622" s="600">
        <v>15.22</v>
      </c>
    </row>
    <row r="3623" spans="1:4" ht="25.5">
      <c r="A3623" s="401">
        <v>39429</v>
      </c>
      <c r="B3623" s="411" t="s">
        <v>10764</v>
      </c>
      <c r="C3623" s="401" t="s">
        <v>1002</v>
      </c>
      <c r="D3623" s="600">
        <v>4.8</v>
      </c>
    </row>
    <row r="3624" spans="1:4" ht="25.5">
      <c r="A3624" s="401">
        <v>39428</v>
      </c>
      <c r="B3624" s="411" t="s">
        <v>10765</v>
      </c>
      <c r="C3624" s="401" t="s">
        <v>1002</v>
      </c>
      <c r="D3624" s="600">
        <v>3.66</v>
      </c>
    </row>
    <row r="3625" spans="1:4" ht="25.5">
      <c r="A3625" s="401">
        <v>39572</v>
      </c>
      <c r="B3625" s="411" t="s">
        <v>10766</v>
      </c>
      <c r="C3625" s="401" t="s">
        <v>1002</v>
      </c>
      <c r="D3625" s="600">
        <v>3.17</v>
      </c>
    </row>
    <row r="3626" spans="1:4" ht="25.5">
      <c r="A3626" s="401">
        <v>39570</v>
      </c>
      <c r="B3626" s="411" t="s">
        <v>10767</v>
      </c>
      <c r="C3626" s="401" t="s">
        <v>1002</v>
      </c>
      <c r="D3626" s="600">
        <v>3.36</v>
      </c>
    </row>
    <row r="3627" spans="1:4" ht="25.5">
      <c r="A3627" s="401">
        <v>39569</v>
      </c>
      <c r="B3627" s="411" t="s">
        <v>10768</v>
      </c>
      <c r="C3627" s="401" t="s">
        <v>1002</v>
      </c>
      <c r="D3627" s="600">
        <v>3.32</v>
      </c>
    </row>
    <row r="3628" spans="1:4" ht="25.5">
      <c r="A3628" s="401">
        <v>11552</v>
      </c>
      <c r="B3628" s="411" t="s">
        <v>10769</v>
      </c>
      <c r="C3628" s="401" t="s">
        <v>1002</v>
      </c>
      <c r="D3628" s="600">
        <v>9.1199999999999992</v>
      </c>
    </row>
    <row r="3629" spans="1:4" ht="25.5">
      <c r="A3629" s="401">
        <v>40598</v>
      </c>
      <c r="B3629" s="411" t="s">
        <v>10770</v>
      </c>
      <c r="C3629" s="401" t="s">
        <v>995</v>
      </c>
      <c r="D3629" s="600">
        <v>4.9400000000000004</v>
      </c>
    </row>
    <row r="3630" spans="1:4">
      <c r="A3630" s="401">
        <v>39029</v>
      </c>
      <c r="B3630" s="411" t="s">
        <v>10771</v>
      </c>
      <c r="C3630" s="401" t="s">
        <v>1002</v>
      </c>
      <c r="D3630" s="600">
        <v>10.74</v>
      </c>
    </row>
    <row r="3631" spans="1:4">
      <c r="A3631" s="401">
        <v>39028</v>
      </c>
      <c r="B3631" s="411" t="s">
        <v>10772</v>
      </c>
      <c r="C3631" s="401" t="s">
        <v>1002</v>
      </c>
      <c r="D3631" s="600">
        <v>6.25</v>
      </c>
    </row>
    <row r="3632" spans="1:4">
      <c r="A3632" s="401">
        <v>39328</v>
      </c>
      <c r="B3632" s="411" t="s">
        <v>10773</v>
      </c>
      <c r="C3632" s="401" t="s">
        <v>1002</v>
      </c>
      <c r="D3632" s="600">
        <v>3.44</v>
      </c>
    </row>
    <row r="3633" spans="1:4" ht="38.25">
      <c r="A3633" s="401">
        <v>38541</v>
      </c>
      <c r="B3633" s="411" t="s">
        <v>10774</v>
      </c>
      <c r="C3633" s="401" t="s">
        <v>998</v>
      </c>
      <c r="D3633" s="600">
        <v>2085855.24</v>
      </c>
    </row>
    <row r="3634" spans="1:4" ht="38.25">
      <c r="A3634" s="401">
        <v>38542</v>
      </c>
      <c r="B3634" s="411" t="s">
        <v>10775</v>
      </c>
      <c r="C3634" s="401" t="s">
        <v>998</v>
      </c>
      <c r="D3634" s="600">
        <v>3243421.03</v>
      </c>
    </row>
    <row r="3635" spans="1:4" ht="38.25">
      <c r="A3635" s="401">
        <v>38543</v>
      </c>
      <c r="B3635" s="411" t="s">
        <v>10776</v>
      </c>
      <c r="C3635" s="401" t="s">
        <v>998</v>
      </c>
      <c r="D3635" s="600">
        <v>794078.96</v>
      </c>
    </row>
    <row r="3636" spans="1:4" ht="25.5">
      <c r="A3636" s="401">
        <v>40406</v>
      </c>
      <c r="B3636" s="411" t="s">
        <v>10777</v>
      </c>
      <c r="C3636" s="401" t="s">
        <v>998</v>
      </c>
      <c r="D3636" s="600">
        <v>71335.740000000005</v>
      </c>
    </row>
    <row r="3637" spans="1:4" ht="25.5">
      <c r="A3637" s="401">
        <v>40789</v>
      </c>
      <c r="B3637" s="411" t="s">
        <v>10778</v>
      </c>
      <c r="C3637" s="401" t="s">
        <v>998</v>
      </c>
      <c r="D3637" s="600">
        <v>10280.209999999999</v>
      </c>
    </row>
    <row r="3638" spans="1:4" ht="25.5">
      <c r="A3638" s="401">
        <v>40791</v>
      </c>
      <c r="B3638" s="411" t="s">
        <v>10779</v>
      </c>
      <c r="C3638" s="401" t="s">
        <v>998</v>
      </c>
      <c r="D3638" s="600">
        <v>32181.53</v>
      </c>
    </row>
    <row r="3639" spans="1:4" ht="25.5">
      <c r="A3639" s="401">
        <v>11651</v>
      </c>
      <c r="B3639" s="411" t="s">
        <v>10780</v>
      </c>
      <c r="C3639" s="401" t="s">
        <v>998</v>
      </c>
      <c r="D3639" s="600">
        <v>17600.54</v>
      </c>
    </row>
    <row r="3640" spans="1:4" ht="25.5">
      <c r="A3640" s="401">
        <v>42002</v>
      </c>
      <c r="B3640" s="411" t="s">
        <v>10781</v>
      </c>
      <c r="C3640" s="401" t="s">
        <v>998</v>
      </c>
      <c r="D3640" s="600">
        <v>680109.05</v>
      </c>
    </row>
    <row r="3641" spans="1:4" ht="25.5">
      <c r="A3641" s="401">
        <v>40435</v>
      </c>
      <c r="B3641" s="411" t="s">
        <v>10782</v>
      </c>
      <c r="C3641" s="401" t="s">
        <v>998</v>
      </c>
      <c r="D3641" s="600">
        <v>435625</v>
      </c>
    </row>
    <row r="3642" spans="1:4" ht="25.5">
      <c r="A3642" s="401">
        <v>39012</v>
      </c>
      <c r="B3642" s="411" t="s">
        <v>10783</v>
      </c>
      <c r="C3642" s="401" t="s">
        <v>998</v>
      </c>
      <c r="D3642" s="600">
        <v>454514.46</v>
      </c>
    </row>
    <row r="3643" spans="1:4" ht="25.5">
      <c r="A3643" s="401">
        <v>13617</v>
      </c>
      <c r="B3643" s="411" t="s">
        <v>10784</v>
      </c>
      <c r="C3643" s="401" t="s">
        <v>998</v>
      </c>
      <c r="D3643" s="600">
        <v>48869.34</v>
      </c>
    </row>
    <row r="3644" spans="1:4">
      <c r="A3644" s="401">
        <v>5327</v>
      </c>
      <c r="B3644" s="411" t="s">
        <v>10785</v>
      </c>
      <c r="C3644" s="401" t="s">
        <v>995</v>
      </c>
      <c r="D3644" s="600">
        <v>29.21</v>
      </c>
    </row>
    <row r="3645" spans="1:4" ht="25.5">
      <c r="A3645" s="401">
        <v>35274</v>
      </c>
      <c r="B3645" s="411" t="s">
        <v>10786</v>
      </c>
      <c r="C3645" s="401" t="s">
        <v>1002</v>
      </c>
      <c r="D3645" s="600">
        <v>21.36</v>
      </c>
    </row>
    <row r="3646" spans="1:4" ht="25.5">
      <c r="A3646" s="401">
        <v>35275</v>
      </c>
      <c r="B3646" s="411" t="s">
        <v>10787</v>
      </c>
      <c r="C3646" s="401" t="s">
        <v>1002</v>
      </c>
      <c r="D3646" s="600">
        <v>45.61</v>
      </c>
    </row>
    <row r="3647" spans="1:4" ht="25.5">
      <c r="A3647" s="401">
        <v>35276</v>
      </c>
      <c r="B3647" s="411" t="s">
        <v>10788</v>
      </c>
      <c r="C3647" s="401" t="s">
        <v>1002</v>
      </c>
      <c r="D3647" s="600">
        <v>74.58</v>
      </c>
    </row>
    <row r="3648" spans="1:4">
      <c r="A3648" s="401">
        <v>38386</v>
      </c>
      <c r="B3648" s="411" t="s">
        <v>10789</v>
      </c>
      <c r="C3648" s="401" t="s">
        <v>998</v>
      </c>
      <c r="D3648" s="600">
        <v>4.53</v>
      </c>
    </row>
    <row r="3649" spans="1:4" ht="25.5">
      <c r="A3649" s="401">
        <v>11091</v>
      </c>
      <c r="B3649" s="411" t="s">
        <v>10790</v>
      </c>
      <c r="C3649" s="401" t="s">
        <v>998</v>
      </c>
      <c r="D3649" s="600">
        <v>0.96</v>
      </c>
    </row>
    <row r="3650" spans="1:4" ht="25.5">
      <c r="A3650" s="401">
        <v>37586</v>
      </c>
      <c r="B3650" s="411" t="s">
        <v>10791</v>
      </c>
      <c r="C3650" s="401" t="s">
        <v>1120</v>
      </c>
      <c r="D3650" s="600">
        <v>38.67</v>
      </c>
    </row>
    <row r="3651" spans="1:4">
      <c r="A3651" s="401">
        <v>37395</v>
      </c>
      <c r="B3651" s="411" t="s">
        <v>10792</v>
      </c>
      <c r="C3651" s="401" t="s">
        <v>1120</v>
      </c>
      <c r="D3651" s="600">
        <v>33.25</v>
      </c>
    </row>
    <row r="3652" spans="1:4" ht="25.5">
      <c r="A3652" s="401">
        <v>14147</v>
      </c>
      <c r="B3652" s="411" t="s">
        <v>10793</v>
      </c>
      <c r="C3652" s="401" t="s">
        <v>1120</v>
      </c>
      <c r="D3652" s="600">
        <v>44.1</v>
      </c>
    </row>
    <row r="3653" spans="1:4">
      <c r="A3653" s="401">
        <v>37396</v>
      </c>
      <c r="B3653" s="411" t="s">
        <v>10794</v>
      </c>
      <c r="C3653" s="401" t="s">
        <v>1120</v>
      </c>
      <c r="D3653" s="600">
        <v>27.2</v>
      </c>
    </row>
    <row r="3654" spans="1:4">
      <c r="A3654" s="401">
        <v>37397</v>
      </c>
      <c r="B3654" s="411" t="s">
        <v>10795</v>
      </c>
      <c r="C3654" s="401" t="s">
        <v>1120</v>
      </c>
      <c r="D3654" s="600">
        <v>28.5</v>
      </c>
    </row>
    <row r="3655" spans="1:4" ht="25.5">
      <c r="A3655" s="401">
        <v>444</v>
      </c>
      <c r="B3655" s="411" t="s">
        <v>10796</v>
      </c>
      <c r="C3655" s="401" t="s">
        <v>998</v>
      </c>
      <c r="D3655" s="600">
        <v>17.920000000000002</v>
      </c>
    </row>
    <row r="3656" spans="1:4" ht="25.5">
      <c r="A3656" s="401">
        <v>445</v>
      </c>
      <c r="B3656" s="411" t="s">
        <v>10797</v>
      </c>
      <c r="C3656" s="401" t="s">
        <v>998</v>
      </c>
      <c r="D3656" s="600">
        <v>24.52</v>
      </c>
    </row>
    <row r="3657" spans="1:4">
      <c r="A3657" s="401">
        <v>4783</v>
      </c>
      <c r="B3657" s="411" t="s">
        <v>10798</v>
      </c>
      <c r="C3657" s="401" t="s">
        <v>1001</v>
      </c>
      <c r="D3657" s="600">
        <v>12.79</v>
      </c>
    </row>
    <row r="3658" spans="1:4">
      <c r="A3658" s="401">
        <v>41079</v>
      </c>
      <c r="B3658" s="411" t="s">
        <v>10799</v>
      </c>
      <c r="C3658" s="401" t="s">
        <v>1118</v>
      </c>
      <c r="D3658" s="600">
        <v>2266.4299999999998</v>
      </c>
    </row>
    <row r="3659" spans="1:4">
      <c r="A3659" s="401">
        <v>12874</v>
      </c>
      <c r="B3659" s="411" t="s">
        <v>10800</v>
      </c>
      <c r="C3659" s="401" t="s">
        <v>1001</v>
      </c>
      <c r="D3659" s="600">
        <v>14.74</v>
      </c>
    </row>
    <row r="3660" spans="1:4">
      <c r="A3660" s="401">
        <v>41082</v>
      </c>
      <c r="B3660" s="411" t="s">
        <v>10801</v>
      </c>
      <c r="C3660" s="401" t="s">
        <v>1118</v>
      </c>
      <c r="D3660" s="600">
        <v>2612.6799999999998</v>
      </c>
    </row>
    <row r="3661" spans="1:4">
      <c r="A3661" s="401">
        <v>4785</v>
      </c>
      <c r="B3661" s="411" t="s">
        <v>10802</v>
      </c>
      <c r="C3661" s="401" t="s">
        <v>1001</v>
      </c>
      <c r="D3661" s="600">
        <v>13.74</v>
      </c>
    </row>
    <row r="3662" spans="1:4">
      <c r="A3662" s="401">
        <v>41081</v>
      </c>
      <c r="B3662" s="411" t="s">
        <v>10803</v>
      </c>
      <c r="C3662" s="401" t="s">
        <v>1118</v>
      </c>
      <c r="D3662" s="600">
        <v>2437.79</v>
      </c>
    </row>
    <row r="3663" spans="1:4">
      <c r="A3663" s="401">
        <v>4801</v>
      </c>
      <c r="B3663" s="411" t="s">
        <v>10804</v>
      </c>
      <c r="C3663" s="401" t="s">
        <v>1003</v>
      </c>
      <c r="D3663" s="600">
        <v>61.63</v>
      </c>
    </row>
    <row r="3664" spans="1:4" ht="25.5">
      <c r="A3664" s="401">
        <v>4794</v>
      </c>
      <c r="B3664" s="411" t="s">
        <v>10805</v>
      </c>
      <c r="C3664" s="401" t="s">
        <v>1003</v>
      </c>
      <c r="D3664" s="600">
        <v>280.70999999999998</v>
      </c>
    </row>
    <row r="3665" spans="1:4" ht="25.5">
      <c r="A3665" s="401">
        <v>4796</v>
      </c>
      <c r="B3665" s="411" t="s">
        <v>10806</v>
      </c>
      <c r="C3665" s="401" t="s">
        <v>1003</v>
      </c>
      <c r="D3665" s="600">
        <v>170.5</v>
      </c>
    </row>
    <row r="3666" spans="1:4">
      <c r="A3666" s="401">
        <v>4800</v>
      </c>
      <c r="B3666" s="411" t="s">
        <v>10807</v>
      </c>
      <c r="C3666" s="401" t="s">
        <v>1003</v>
      </c>
      <c r="D3666" s="600">
        <v>46.89</v>
      </c>
    </row>
    <row r="3667" spans="1:4" ht="25.5">
      <c r="A3667" s="401">
        <v>4795</v>
      </c>
      <c r="B3667" s="411" t="s">
        <v>10808</v>
      </c>
      <c r="C3667" s="401" t="s">
        <v>1003</v>
      </c>
      <c r="D3667" s="600">
        <v>273.26</v>
      </c>
    </row>
    <row r="3668" spans="1:4" ht="38.25">
      <c r="A3668" s="401">
        <v>39694</v>
      </c>
      <c r="B3668" s="411" t="s">
        <v>10809</v>
      </c>
      <c r="C3668" s="401" t="s">
        <v>1003</v>
      </c>
      <c r="D3668" s="600">
        <v>219.26</v>
      </c>
    </row>
    <row r="3669" spans="1:4" ht="25.5">
      <c r="A3669" s="401">
        <v>1292</v>
      </c>
      <c r="B3669" s="411" t="s">
        <v>10810</v>
      </c>
      <c r="C3669" s="401" t="s">
        <v>1003</v>
      </c>
      <c r="D3669" s="600">
        <v>33.630000000000003</v>
      </c>
    </row>
    <row r="3670" spans="1:4" ht="25.5">
      <c r="A3670" s="401">
        <v>1287</v>
      </c>
      <c r="B3670" s="411" t="s">
        <v>10811</v>
      </c>
      <c r="C3670" s="401" t="s">
        <v>1003</v>
      </c>
      <c r="D3670" s="600">
        <v>16.5</v>
      </c>
    </row>
    <row r="3671" spans="1:4" ht="25.5">
      <c r="A3671" s="401">
        <v>1297</v>
      </c>
      <c r="B3671" s="411" t="s">
        <v>10812</v>
      </c>
      <c r="C3671" s="401" t="s">
        <v>1003</v>
      </c>
      <c r="D3671" s="600">
        <v>13.68</v>
      </c>
    </row>
    <row r="3672" spans="1:4" ht="25.5">
      <c r="A3672" s="401">
        <v>4786</v>
      </c>
      <c r="B3672" s="411" t="s">
        <v>10813</v>
      </c>
      <c r="C3672" s="401" t="s">
        <v>1003</v>
      </c>
      <c r="D3672" s="600">
        <v>71</v>
      </c>
    </row>
    <row r="3673" spans="1:4" ht="25.5">
      <c r="A3673" s="401">
        <v>10840</v>
      </c>
      <c r="B3673" s="411" t="s">
        <v>10814</v>
      </c>
      <c r="C3673" s="401" t="s">
        <v>1003</v>
      </c>
      <c r="D3673" s="600">
        <v>327.5</v>
      </c>
    </row>
    <row r="3674" spans="1:4" ht="25.5">
      <c r="A3674" s="401">
        <v>10841</v>
      </c>
      <c r="B3674" s="411" t="s">
        <v>10815</v>
      </c>
      <c r="C3674" s="401" t="s">
        <v>1003</v>
      </c>
      <c r="D3674" s="600">
        <v>247.16</v>
      </c>
    </row>
    <row r="3675" spans="1:4" ht="25.5">
      <c r="A3675" s="401">
        <v>25980</v>
      </c>
      <c r="B3675" s="411" t="s">
        <v>10816</v>
      </c>
      <c r="C3675" s="401" t="s">
        <v>1003</v>
      </c>
      <c r="D3675" s="600">
        <v>315.82</v>
      </c>
    </row>
    <row r="3676" spans="1:4" ht="25.5">
      <c r="A3676" s="401">
        <v>10842</v>
      </c>
      <c r="B3676" s="411" t="s">
        <v>10817</v>
      </c>
      <c r="C3676" s="401" t="s">
        <v>1003</v>
      </c>
      <c r="D3676" s="600">
        <v>357.02</v>
      </c>
    </row>
    <row r="3677" spans="1:4">
      <c r="A3677" s="401">
        <v>21108</v>
      </c>
      <c r="B3677" s="411" t="s">
        <v>10818</v>
      </c>
      <c r="C3677" s="401" t="s">
        <v>1003</v>
      </c>
      <c r="D3677" s="600">
        <v>44.83</v>
      </c>
    </row>
    <row r="3678" spans="1:4">
      <c r="A3678" s="401">
        <v>38180</v>
      </c>
      <c r="B3678" s="411" t="s">
        <v>10819</v>
      </c>
      <c r="C3678" s="401" t="s">
        <v>1003</v>
      </c>
      <c r="D3678" s="600">
        <v>137.27000000000001</v>
      </c>
    </row>
    <row r="3679" spans="1:4">
      <c r="A3679" s="401">
        <v>40648</v>
      </c>
      <c r="B3679" s="411" t="s">
        <v>10820</v>
      </c>
      <c r="C3679" s="401" t="s">
        <v>1003</v>
      </c>
      <c r="D3679" s="600">
        <v>136.32</v>
      </c>
    </row>
    <row r="3680" spans="1:4">
      <c r="A3680" s="401">
        <v>40649</v>
      </c>
      <c r="B3680" s="411" t="s">
        <v>10821</v>
      </c>
      <c r="C3680" s="401" t="s">
        <v>1003</v>
      </c>
      <c r="D3680" s="600">
        <v>79.400000000000006</v>
      </c>
    </row>
    <row r="3681" spans="1:4">
      <c r="A3681" s="401">
        <v>40650</v>
      </c>
      <c r="B3681" s="411" t="s">
        <v>10822</v>
      </c>
      <c r="C3681" s="401" t="s">
        <v>1003</v>
      </c>
      <c r="D3681" s="600">
        <v>102.24</v>
      </c>
    </row>
    <row r="3682" spans="1:4">
      <c r="A3682" s="401">
        <v>40651</v>
      </c>
      <c r="B3682" s="411" t="s">
        <v>10823</v>
      </c>
      <c r="C3682" s="401" t="s">
        <v>1003</v>
      </c>
      <c r="D3682" s="600">
        <v>188.57</v>
      </c>
    </row>
    <row r="3683" spans="1:4">
      <c r="A3683" s="401">
        <v>40652</v>
      </c>
      <c r="B3683" s="411" t="s">
        <v>10824</v>
      </c>
      <c r="C3683" s="401" t="s">
        <v>1003</v>
      </c>
      <c r="D3683" s="600">
        <v>101.1</v>
      </c>
    </row>
    <row r="3684" spans="1:4" ht="25.5">
      <c r="A3684" s="401">
        <v>40647</v>
      </c>
      <c r="B3684" s="411" t="s">
        <v>10825</v>
      </c>
      <c r="C3684" s="401" t="s">
        <v>1003</v>
      </c>
      <c r="D3684" s="600">
        <v>111.32</v>
      </c>
    </row>
    <row r="3685" spans="1:4">
      <c r="A3685" s="401">
        <v>40653</v>
      </c>
      <c r="B3685" s="411" t="s">
        <v>10826</v>
      </c>
      <c r="C3685" s="401" t="s">
        <v>1003</v>
      </c>
      <c r="D3685" s="600">
        <v>85.2</v>
      </c>
    </row>
    <row r="3686" spans="1:4">
      <c r="A3686" s="401">
        <v>36178</v>
      </c>
      <c r="B3686" s="411" t="s">
        <v>10827</v>
      </c>
      <c r="C3686" s="401" t="s">
        <v>998</v>
      </c>
      <c r="D3686" s="600">
        <v>9.7200000000000006</v>
      </c>
    </row>
    <row r="3687" spans="1:4">
      <c r="A3687" s="401">
        <v>38195</v>
      </c>
      <c r="B3687" s="411" t="s">
        <v>10828</v>
      </c>
      <c r="C3687" s="401" t="s">
        <v>1003</v>
      </c>
      <c r="D3687" s="600">
        <v>52.94</v>
      </c>
    </row>
    <row r="3688" spans="1:4" ht="25.5">
      <c r="A3688" s="401">
        <v>38181</v>
      </c>
      <c r="B3688" s="411" t="s">
        <v>10829</v>
      </c>
      <c r="C3688" s="401" t="s">
        <v>1003</v>
      </c>
      <c r="D3688" s="600">
        <v>187.4</v>
      </c>
    </row>
    <row r="3689" spans="1:4" ht="25.5">
      <c r="A3689" s="401">
        <v>38182</v>
      </c>
      <c r="B3689" s="411" t="s">
        <v>10830</v>
      </c>
      <c r="C3689" s="401" t="s">
        <v>1003</v>
      </c>
      <c r="D3689" s="600">
        <v>178.51</v>
      </c>
    </row>
    <row r="3690" spans="1:4" ht="25.5">
      <c r="A3690" s="401">
        <v>38186</v>
      </c>
      <c r="B3690" s="411" t="s">
        <v>10831</v>
      </c>
      <c r="C3690" s="401" t="s">
        <v>1003</v>
      </c>
      <c r="D3690" s="600">
        <v>464</v>
      </c>
    </row>
    <row r="3691" spans="1:4" ht="25.5">
      <c r="A3691" s="401">
        <v>38185</v>
      </c>
      <c r="B3691" s="411" t="s">
        <v>10832</v>
      </c>
      <c r="C3691" s="401" t="s">
        <v>1003</v>
      </c>
      <c r="D3691" s="600">
        <v>413.12</v>
      </c>
    </row>
    <row r="3692" spans="1:4" ht="25.5">
      <c r="A3692" s="401">
        <v>40654</v>
      </c>
      <c r="B3692" s="411" t="s">
        <v>10833</v>
      </c>
      <c r="C3692" s="401" t="s">
        <v>1003</v>
      </c>
      <c r="D3692" s="600">
        <v>132.34</v>
      </c>
    </row>
    <row r="3693" spans="1:4" ht="25.5">
      <c r="A3693" s="401">
        <v>25981</v>
      </c>
      <c r="B3693" s="411" t="s">
        <v>10834</v>
      </c>
      <c r="C3693" s="401" t="s">
        <v>1003</v>
      </c>
      <c r="D3693" s="600">
        <v>260.89999999999998</v>
      </c>
    </row>
    <row r="3694" spans="1:4" ht="25.5">
      <c r="A3694" s="401">
        <v>4822</v>
      </c>
      <c r="B3694" s="411" t="s">
        <v>10835</v>
      </c>
      <c r="C3694" s="401" t="s">
        <v>1003</v>
      </c>
      <c r="D3694" s="600">
        <v>299.64999999999998</v>
      </c>
    </row>
    <row r="3695" spans="1:4" ht="25.5">
      <c r="A3695" s="401">
        <v>4818</v>
      </c>
      <c r="B3695" s="411" t="s">
        <v>10836</v>
      </c>
      <c r="C3695" s="401" t="s">
        <v>1003</v>
      </c>
      <c r="D3695" s="600">
        <v>308</v>
      </c>
    </row>
    <row r="3696" spans="1:4" ht="25.5">
      <c r="A3696" s="401">
        <v>39567</v>
      </c>
      <c r="B3696" s="411" t="s">
        <v>10837</v>
      </c>
      <c r="C3696" s="401" t="s">
        <v>1003</v>
      </c>
      <c r="D3696" s="600">
        <v>48.03</v>
      </c>
    </row>
    <row r="3697" spans="1:4" ht="25.5">
      <c r="A3697" s="401">
        <v>39566</v>
      </c>
      <c r="B3697" s="411" t="s">
        <v>10838</v>
      </c>
      <c r="C3697" s="401" t="s">
        <v>1003</v>
      </c>
      <c r="D3697" s="600">
        <v>55.47</v>
      </c>
    </row>
    <row r="3698" spans="1:4">
      <c r="A3698" s="401">
        <v>11062</v>
      </c>
      <c r="B3698" s="411" t="s">
        <v>10839</v>
      </c>
      <c r="C3698" s="401" t="s">
        <v>1003</v>
      </c>
      <c r="D3698" s="600">
        <v>47.59</v>
      </c>
    </row>
    <row r="3699" spans="1:4">
      <c r="A3699" s="401">
        <v>11063</v>
      </c>
      <c r="B3699" s="411" t="s">
        <v>10840</v>
      </c>
      <c r="C3699" s="401" t="s">
        <v>1003</v>
      </c>
      <c r="D3699" s="600">
        <v>46.08</v>
      </c>
    </row>
    <row r="3700" spans="1:4">
      <c r="A3700" s="401">
        <v>13521</v>
      </c>
      <c r="B3700" s="411" t="s">
        <v>10841</v>
      </c>
      <c r="C3700" s="401" t="s">
        <v>998</v>
      </c>
      <c r="D3700" s="600">
        <v>99</v>
      </c>
    </row>
    <row r="3701" spans="1:4" ht="25.5">
      <c r="A3701" s="401">
        <v>10851</v>
      </c>
      <c r="B3701" s="411" t="s">
        <v>10842</v>
      </c>
      <c r="C3701" s="401" t="s">
        <v>998</v>
      </c>
      <c r="D3701" s="600">
        <v>44.07</v>
      </c>
    </row>
    <row r="3702" spans="1:4" ht="25.5">
      <c r="A3702" s="401">
        <v>39515</v>
      </c>
      <c r="B3702" s="411" t="s">
        <v>10843</v>
      </c>
      <c r="C3702" s="401" t="s">
        <v>998</v>
      </c>
      <c r="D3702" s="600">
        <v>35.65</v>
      </c>
    </row>
    <row r="3703" spans="1:4" ht="25.5">
      <c r="A3703" s="401">
        <v>39516</v>
      </c>
      <c r="B3703" s="411" t="s">
        <v>10844</v>
      </c>
      <c r="C3703" s="401" t="s">
        <v>998</v>
      </c>
      <c r="D3703" s="600">
        <v>30.05</v>
      </c>
    </row>
    <row r="3704" spans="1:4" ht="25.5">
      <c r="A3704" s="401">
        <v>39514</v>
      </c>
      <c r="B3704" s="411" t="s">
        <v>10845</v>
      </c>
      <c r="C3704" s="401" t="s">
        <v>998</v>
      </c>
      <c r="D3704" s="600">
        <v>18.7</v>
      </c>
    </row>
    <row r="3705" spans="1:4" ht="25.5">
      <c r="A3705" s="401">
        <v>4812</v>
      </c>
      <c r="B3705" s="411" t="s">
        <v>10846</v>
      </c>
      <c r="C3705" s="401" t="s">
        <v>1003</v>
      </c>
      <c r="D3705" s="600">
        <v>13.27</v>
      </c>
    </row>
    <row r="3706" spans="1:4">
      <c r="A3706" s="401">
        <v>10849</v>
      </c>
      <c r="B3706" s="411" t="s">
        <v>10847</v>
      </c>
      <c r="C3706" s="401" t="s">
        <v>998</v>
      </c>
      <c r="D3706" s="600">
        <v>1440.01</v>
      </c>
    </row>
    <row r="3707" spans="1:4">
      <c r="A3707" s="401">
        <v>10848</v>
      </c>
      <c r="B3707" s="411" t="s">
        <v>10848</v>
      </c>
      <c r="C3707" s="401" t="s">
        <v>998</v>
      </c>
      <c r="D3707" s="600">
        <v>904.5</v>
      </c>
    </row>
    <row r="3708" spans="1:4" ht="25.5">
      <c r="A3708" s="401">
        <v>4813</v>
      </c>
      <c r="B3708" s="411" t="s">
        <v>10849</v>
      </c>
      <c r="C3708" s="401" t="s">
        <v>1003</v>
      </c>
      <c r="D3708" s="600">
        <v>300</v>
      </c>
    </row>
    <row r="3709" spans="1:4" ht="38.25">
      <c r="A3709" s="401">
        <v>37560</v>
      </c>
      <c r="B3709" s="411" t="s">
        <v>10850</v>
      </c>
      <c r="C3709" s="401" t="s">
        <v>998</v>
      </c>
      <c r="D3709" s="600">
        <v>19.68</v>
      </c>
    </row>
    <row r="3710" spans="1:4" ht="38.25">
      <c r="A3710" s="401">
        <v>37557</v>
      </c>
      <c r="B3710" s="411" t="s">
        <v>10851</v>
      </c>
      <c r="C3710" s="401" t="s">
        <v>998</v>
      </c>
      <c r="D3710" s="600">
        <v>5.97</v>
      </c>
    </row>
    <row r="3711" spans="1:4" ht="38.25">
      <c r="A3711" s="401">
        <v>37556</v>
      </c>
      <c r="B3711" s="411" t="s">
        <v>10852</v>
      </c>
      <c r="C3711" s="401" t="s">
        <v>998</v>
      </c>
      <c r="D3711" s="600">
        <v>11.56</v>
      </c>
    </row>
    <row r="3712" spans="1:4" ht="38.25">
      <c r="A3712" s="401">
        <v>37559</v>
      </c>
      <c r="B3712" s="411" t="s">
        <v>10853</v>
      </c>
      <c r="C3712" s="401" t="s">
        <v>998</v>
      </c>
      <c r="D3712" s="600">
        <v>14.18</v>
      </c>
    </row>
    <row r="3713" spans="1:4" ht="38.25">
      <c r="A3713" s="401">
        <v>37539</v>
      </c>
      <c r="B3713" s="411" t="s">
        <v>10854</v>
      </c>
      <c r="C3713" s="401" t="s">
        <v>998</v>
      </c>
      <c r="D3713" s="600">
        <v>10</v>
      </c>
    </row>
    <row r="3714" spans="1:4" ht="38.25">
      <c r="A3714" s="401">
        <v>37558</v>
      </c>
      <c r="B3714" s="411" t="s">
        <v>10855</v>
      </c>
      <c r="C3714" s="401" t="s">
        <v>998</v>
      </c>
      <c r="D3714" s="600">
        <v>18.64</v>
      </c>
    </row>
    <row r="3715" spans="1:4">
      <c r="A3715" s="401">
        <v>34723</v>
      </c>
      <c r="B3715" s="411" t="s">
        <v>10856</v>
      </c>
      <c r="C3715" s="401" t="s">
        <v>1003</v>
      </c>
      <c r="D3715" s="600">
        <v>693</v>
      </c>
    </row>
    <row r="3716" spans="1:4">
      <c r="A3716" s="401">
        <v>34721</v>
      </c>
      <c r="B3716" s="411" t="s">
        <v>10857</v>
      </c>
      <c r="C3716" s="401" t="s">
        <v>1003</v>
      </c>
      <c r="D3716" s="600">
        <v>864</v>
      </c>
    </row>
    <row r="3717" spans="1:4">
      <c r="A3717" s="401">
        <v>4309</v>
      </c>
      <c r="B3717" s="411" t="s">
        <v>10858</v>
      </c>
      <c r="C3717" s="401" t="s">
        <v>998</v>
      </c>
      <c r="D3717" s="600">
        <v>4.32</v>
      </c>
    </row>
    <row r="3718" spans="1:4">
      <c r="A3718" s="401">
        <v>4307</v>
      </c>
      <c r="B3718" s="411" t="s">
        <v>10859</v>
      </c>
      <c r="C3718" s="401" t="s">
        <v>998</v>
      </c>
      <c r="D3718" s="600">
        <v>7.39</v>
      </c>
    </row>
    <row r="3719" spans="1:4">
      <c r="A3719" s="401">
        <v>10850</v>
      </c>
      <c r="B3719" s="411" t="s">
        <v>10860</v>
      </c>
      <c r="C3719" s="401" t="s">
        <v>998</v>
      </c>
      <c r="D3719" s="600">
        <v>45</v>
      </c>
    </row>
    <row r="3720" spans="1:4" ht="38.25">
      <c r="A3720" s="401">
        <v>42438</v>
      </c>
      <c r="B3720" s="411" t="s">
        <v>10861</v>
      </c>
      <c r="C3720" s="401" t="s">
        <v>998</v>
      </c>
      <c r="D3720" s="600">
        <v>1163.67</v>
      </c>
    </row>
    <row r="3721" spans="1:4">
      <c r="A3721" s="401">
        <v>4792</v>
      </c>
      <c r="B3721" s="411" t="s">
        <v>10862</v>
      </c>
      <c r="C3721" s="401" t="s">
        <v>1003</v>
      </c>
      <c r="D3721" s="600">
        <v>131.78</v>
      </c>
    </row>
    <row r="3722" spans="1:4" ht="25.5">
      <c r="A3722" s="401">
        <v>4790</v>
      </c>
      <c r="B3722" s="411" t="s">
        <v>10863</v>
      </c>
      <c r="C3722" s="401" t="s">
        <v>1003</v>
      </c>
      <c r="D3722" s="600">
        <v>79.23</v>
      </c>
    </row>
    <row r="3723" spans="1:4" ht="25.5">
      <c r="A3723" s="401">
        <v>40671</v>
      </c>
      <c r="B3723" s="411" t="s">
        <v>10864</v>
      </c>
      <c r="C3723" s="401" t="s">
        <v>1003</v>
      </c>
      <c r="D3723" s="600">
        <v>63.82</v>
      </c>
    </row>
    <row r="3724" spans="1:4">
      <c r="A3724" s="401">
        <v>7552</v>
      </c>
      <c r="B3724" s="411" t="s">
        <v>10865</v>
      </c>
      <c r="C3724" s="401" t="s">
        <v>998</v>
      </c>
      <c r="D3724" s="600">
        <v>23.12</v>
      </c>
    </row>
    <row r="3725" spans="1:4">
      <c r="A3725" s="401">
        <v>4893</v>
      </c>
      <c r="B3725" s="411" t="s">
        <v>10866</v>
      </c>
      <c r="C3725" s="401" t="s">
        <v>998</v>
      </c>
      <c r="D3725" s="600">
        <v>7.07</v>
      </c>
    </row>
    <row r="3726" spans="1:4">
      <c r="A3726" s="401">
        <v>4894</v>
      </c>
      <c r="B3726" s="411" t="s">
        <v>10867</v>
      </c>
      <c r="C3726" s="401" t="s">
        <v>998</v>
      </c>
      <c r="D3726" s="600">
        <v>6.07</v>
      </c>
    </row>
    <row r="3727" spans="1:4">
      <c r="A3727" s="401">
        <v>4888</v>
      </c>
      <c r="B3727" s="411" t="s">
        <v>10868</v>
      </c>
      <c r="C3727" s="401" t="s">
        <v>998</v>
      </c>
      <c r="D3727" s="600">
        <v>2.06</v>
      </c>
    </row>
    <row r="3728" spans="1:4">
      <c r="A3728" s="401">
        <v>4890</v>
      </c>
      <c r="B3728" s="411" t="s">
        <v>10869</v>
      </c>
      <c r="C3728" s="401" t="s">
        <v>998</v>
      </c>
      <c r="D3728" s="600">
        <v>3.88</v>
      </c>
    </row>
    <row r="3729" spans="1:4">
      <c r="A3729" s="401">
        <v>12411</v>
      </c>
      <c r="B3729" s="411" t="s">
        <v>10870</v>
      </c>
      <c r="C3729" s="401" t="s">
        <v>998</v>
      </c>
      <c r="D3729" s="600">
        <v>20.91</v>
      </c>
    </row>
    <row r="3730" spans="1:4">
      <c r="A3730" s="401">
        <v>4891</v>
      </c>
      <c r="B3730" s="411" t="s">
        <v>10871</v>
      </c>
      <c r="C3730" s="401" t="s">
        <v>998</v>
      </c>
      <c r="D3730" s="600">
        <v>10.45</v>
      </c>
    </row>
    <row r="3731" spans="1:4">
      <c r="A3731" s="401">
        <v>4889</v>
      </c>
      <c r="B3731" s="411" t="s">
        <v>10872</v>
      </c>
      <c r="C3731" s="401" t="s">
        <v>998</v>
      </c>
      <c r="D3731" s="600">
        <v>2.79</v>
      </c>
    </row>
    <row r="3732" spans="1:4">
      <c r="A3732" s="401">
        <v>4892</v>
      </c>
      <c r="B3732" s="411" t="s">
        <v>10873</v>
      </c>
      <c r="C3732" s="401" t="s">
        <v>998</v>
      </c>
      <c r="D3732" s="600">
        <v>29.28</v>
      </c>
    </row>
    <row r="3733" spans="1:4">
      <c r="A3733" s="401">
        <v>12412</v>
      </c>
      <c r="B3733" s="411" t="s">
        <v>10874</v>
      </c>
      <c r="C3733" s="401" t="s">
        <v>998</v>
      </c>
      <c r="D3733" s="600">
        <v>54.43</v>
      </c>
    </row>
    <row r="3734" spans="1:4">
      <c r="A3734" s="401">
        <v>11073</v>
      </c>
      <c r="B3734" s="411" t="s">
        <v>10875</v>
      </c>
      <c r="C3734" s="401" t="s">
        <v>998</v>
      </c>
      <c r="D3734" s="600">
        <v>3.75</v>
      </c>
    </row>
    <row r="3735" spans="1:4">
      <c r="A3735" s="401">
        <v>11071</v>
      </c>
      <c r="B3735" s="411" t="s">
        <v>10876</v>
      </c>
      <c r="C3735" s="401" t="s">
        <v>998</v>
      </c>
      <c r="D3735" s="600">
        <v>6.08</v>
      </c>
    </row>
    <row r="3736" spans="1:4">
      <c r="A3736" s="401">
        <v>11072</v>
      </c>
      <c r="B3736" s="411" t="s">
        <v>10877</v>
      </c>
      <c r="C3736" s="401" t="s">
        <v>998</v>
      </c>
      <c r="D3736" s="600">
        <v>2.12</v>
      </c>
    </row>
    <row r="3737" spans="1:4">
      <c r="A3737" s="401">
        <v>4895</v>
      </c>
      <c r="B3737" s="411" t="s">
        <v>10878</v>
      </c>
      <c r="C3737" s="401" t="s">
        <v>998</v>
      </c>
      <c r="D3737" s="600">
        <v>0.41</v>
      </c>
    </row>
    <row r="3738" spans="1:4">
      <c r="A3738" s="401">
        <v>4907</v>
      </c>
      <c r="B3738" s="411" t="s">
        <v>10879</v>
      </c>
      <c r="C3738" s="401" t="s">
        <v>998</v>
      </c>
      <c r="D3738" s="600">
        <v>18.82</v>
      </c>
    </row>
    <row r="3739" spans="1:4">
      <c r="A3739" s="401">
        <v>4902</v>
      </c>
      <c r="B3739" s="411" t="s">
        <v>10880</v>
      </c>
      <c r="C3739" s="401" t="s">
        <v>998</v>
      </c>
      <c r="D3739" s="600">
        <v>42.61</v>
      </c>
    </row>
    <row r="3740" spans="1:4">
      <c r="A3740" s="401">
        <v>4908</v>
      </c>
      <c r="B3740" s="411" t="s">
        <v>10881</v>
      </c>
      <c r="C3740" s="401" t="s">
        <v>998</v>
      </c>
      <c r="D3740" s="600">
        <v>86.52</v>
      </c>
    </row>
    <row r="3741" spans="1:4">
      <c r="A3741" s="401">
        <v>4909</v>
      </c>
      <c r="B3741" s="411" t="s">
        <v>10882</v>
      </c>
      <c r="C3741" s="401" t="s">
        <v>998</v>
      </c>
      <c r="D3741" s="600">
        <v>167.1</v>
      </c>
    </row>
    <row r="3742" spans="1:4">
      <c r="A3742" s="401">
        <v>4903</v>
      </c>
      <c r="B3742" s="411" t="s">
        <v>10883</v>
      </c>
      <c r="C3742" s="401" t="s">
        <v>998</v>
      </c>
      <c r="D3742" s="600">
        <v>491.34</v>
      </c>
    </row>
    <row r="3743" spans="1:4">
      <c r="A3743" s="401">
        <v>4897</v>
      </c>
      <c r="B3743" s="411" t="s">
        <v>10884</v>
      </c>
      <c r="C3743" s="401" t="s">
        <v>998</v>
      </c>
      <c r="D3743" s="600">
        <v>1.75</v>
      </c>
    </row>
    <row r="3744" spans="1:4">
      <c r="A3744" s="401">
        <v>4896</v>
      </c>
      <c r="B3744" s="411" t="s">
        <v>10885</v>
      </c>
      <c r="C3744" s="401" t="s">
        <v>998</v>
      </c>
      <c r="D3744" s="600">
        <v>0.62</v>
      </c>
    </row>
    <row r="3745" spans="1:4">
      <c r="A3745" s="401">
        <v>4900</v>
      </c>
      <c r="B3745" s="411" t="s">
        <v>10886</v>
      </c>
      <c r="C3745" s="401" t="s">
        <v>998</v>
      </c>
      <c r="D3745" s="600">
        <v>5.23</v>
      </c>
    </row>
    <row r="3746" spans="1:4">
      <c r="A3746" s="401">
        <v>4898</v>
      </c>
      <c r="B3746" s="411" t="s">
        <v>10887</v>
      </c>
      <c r="C3746" s="401" t="s">
        <v>998</v>
      </c>
      <c r="D3746" s="600">
        <v>1.95</v>
      </c>
    </row>
    <row r="3747" spans="1:4">
      <c r="A3747" s="401">
        <v>4899</v>
      </c>
      <c r="B3747" s="411" t="s">
        <v>10888</v>
      </c>
      <c r="C3747" s="401" t="s">
        <v>998</v>
      </c>
      <c r="D3747" s="600">
        <v>7.17</v>
      </c>
    </row>
    <row r="3748" spans="1:4">
      <c r="A3748" s="401">
        <v>11096</v>
      </c>
      <c r="B3748" s="411" t="s">
        <v>10889</v>
      </c>
      <c r="C3748" s="401" t="s">
        <v>995</v>
      </c>
      <c r="D3748" s="600">
        <v>0.41</v>
      </c>
    </row>
    <row r="3749" spans="1:4">
      <c r="A3749" s="401">
        <v>4741</v>
      </c>
      <c r="B3749" s="411" t="s">
        <v>10890</v>
      </c>
      <c r="C3749" s="401" t="s">
        <v>996</v>
      </c>
      <c r="D3749" s="600">
        <v>76.37</v>
      </c>
    </row>
    <row r="3750" spans="1:4">
      <c r="A3750" s="401">
        <v>4752</v>
      </c>
      <c r="B3750" s="411" t="s">
        <v>10891</v>
      </c>
      <c r="C3750" s="401" t="s">
        <v>1001</v>
      </c>
      <c r="D3750" s="600">
        <v>8.89</v>
      </c>
    </row>
    <row r="3751" spans="1:4">
      <c r="A3751" s="401">
        <v>41091</v>
      </c>
      <c r="B3751" s="411" t="s">
        <v>10892</v>
      </c>
      <c r="C3751" s="401" t="s">
        <v>1118</v>
      </c>
      <c r="D3751" s="600">
        <v>1576.3</v>
      </c>
    </row>
    <row r="3752" spans="1:4" ht="25.5">
      <c r="A3752" s="401">
        <v>13954</v>
      </c>
      <c r="B3752" s="411" t="s">
        <v>10893</v>
      </c>
      <c r="C3752" s="401" t="s">
        <v>998</v>
      </c>
      <c r="D3752" s="600">
        <v>6507.54</v>
      </c>
    </row>
    <row r="3753" spans="1:4">
      <c r="A3753" s="401">
        <v>3411</v>
      </c>
      <c r="B3753" s="411" t="s">
        <v>10894</v>
      </c>
      <c r="C3753" s="401" t="s">
        <v>995</v>
      </c>
      <c r="D3753" s="600">
        <v>38.659999999999997</v>
      </c>
    </row>
    <row r="3754" spans="1:4">
      <c r="A3754" s="401">
        <v>39995</v>
      </c>
      <c r="B3754" s="411" t="s">
        <v>10895</v>
      </c>
      <c r="C3754" s="401" t="s">
        <v>996</v>
      </c>
      <c r="D3754" s="600">
        <v>297.42</v>
      </c>
    </row>
    <row r="3755" spans="1:4" ht="25.5">
      <c r="A3755" s="401">
        <v>11615</v>
      </c>
      <c r="B3755" s="411" t="s">
        <v>10896</v>
      </c>
      <c r="C3755" s="401" t="s">
        <v>1003</v>
      </c>
      <c r="D3755" s="600">
        <v>2.52</v>
      </c>
    </row>
    <row r="3756" spans="1:4" ht="25.5">
      <c r="A3756" s="401">
        <v>3408</v>
      </c>
      <c r="B3756" s="411" t="s">
        <v>10897</v>
      </c>
      <c r="C3756" s="401" t="s">
        <v>1003</v>
      </c>
      <c r="D3756" s="600">
        <v>6.7</v>
      </c>
    </row>
    <row r="3757" spans="1:4" ht="25.5">
      <c r="A3757" s="401">
        <v>3409</v>
      </c>
      <c r="B3757" s="411" t="s">
        <v>10898</v>
      </c>
      <c r="C3757" s="401" t="s">
        <v>1003</v>
      </c>
      <c r="D3757" s="600">
        <v>16.75</v>
      </c>
    </row>
    <row r="3758" spans="1:4">
      <c r="A3758" s="401">
        <v>11427</v>
      </c>
      <c r="B3758" s="411" t="s">
        <v>10899</v>
      </c>
      <c r="C3758" s="401" t="s">
        <v>995</v>
      </c>
      <c r="D3758" s="600">
        <v>76.66</v>
      </c>
    </row>
    <row r="3759" spans="1:4" ht="25.5">
      <c r="A3759" s="401">
        <v>4491</v>
      </c>
      <c r="B3759" s="411" t="s">
        <v>10900</v>
      </c>
      <c r="C3759" s="401" t="s">
        <v>1002</v>
      </c>
      <c r="D3759" s="600">
        <v>5.56</v>
      </c>
    </row>
    <row r="3760" spans="1:4" ht="25.5">
      <c r="A3760" s="401">
        <v>26022</v>
      </c>
      <c r="B3760" s="411" t="s">
        <v>10901</v>
      </c>
      <c r="C3760" s="401" t="s">
        <v>998</v>
      </c>
      <c r="D3760" s="600">
        <v>192.95</v>
      </c>
    </row>
    <row r="3761" spans="1:4">
      <c r="A3761" s="401">
        <v>421</v>
      </c>
      <c r="B3761" s="411" t="s">
        <v>10902</v>
      </c>
      <c r="C3761" s="401" t="s">
        <v>998</v>
      </c>
      <c r="D3761" s="600">
        <v>7.77</v>
      </c>
    </row>
    <row r="3762" spans="1:4">
      <c r="A3762" s="401">
        <v>12362</v>
      </c>
      <c r="B3762" s="411" t="s">
        <v>10903</v>
      </c>
      <c r="C3762" s="401" t="s">
        <v>998</v>
      </c>
      <c r="D3762" s="600">
        <v>9.73</v>
      </c>
    </row>
    <row r="3763" spans="1:4">
      <c r="A3763" s="401">
        <v>14148</v>
      </c>
      <c r="B3763" s="411" t="s">
        <v>10904</v>
      </c>
      <c r="C3763" s="401" t="s">
        <v>998</v>
      </c>
      <c r="D3763" s="600">
        <v>0.75</v>
      </c>
    </row>
    <row r="3764" spans="1:4">
      <c r="A3764" s="401">
        <v>4341</v>
      </c>
      <c r="B3764" s="411" t="s">
        <v>10905</v>
      </c>
      <c r="C3764" s="401" t="s">
        <v>998</v>
      </c>
      <c r="D3764" s="600">
        <v>0.7</v>
      </c>
    </row>
    <row r="3765" spans="1:4">
      <c r="A3765" s="401">
        <v>4337</v>
      </c>
      <c r="B3765" s="411" t="s">
        <v>10906</v>
      </c>
      <c r="C3765" s="401" t="s">
        <v>998</v>
      </c>
      <c r="D3765" s="600">
        <v>1.77</v>
      </c>
    </row>
    <row r="3766" spans="1:4">
      <c r="A3766" s="401">
        <v>4339</v>
      </c>
      <c r="B3766" s="411" t="s">
        <v>10907</v>
      </c>
      <c r="C3766" s="401" t="s">
        <v>998</v>
      </c>
      <c r="D3766" s="600">
        <v>0.37</v>
      </c>
    </row>
    <row r="3767" spans="1:4">
      <c r="A3767" s="401">
        <v>39997</v>
      </c>
      <c r="B3767" s="411" t="s">
        <v>10908</v>
      </c>
      <c r="C3767" s="401" t="s">
        <v>998</v>
      </c>
      <c r="D3767" s="600">
        <v>0.21</v>
      </c>
    </row>
    <row r="3768" spans="1:4">
      <c r="A3768" s="401">
        <v>11971</v>
      </c>
      <c r="B3768" s="411" t="s">
        <v>10909</v>
      </c>
      <c r="C3768" s="401" t="s">
        <v>998</v>
      </c>
      <c r="D3768" s="600">
        <v>2.93</v>
      </c>
    </row>
    <row r="3769" spans="1:4">
      <c r="A3769" s="401">
        <v>4342</v>
      </c>
      <c r="B3769" s="411" t="s">
        <v>10910</v>
      </c>
      <c r="C3769" s="401" t="s">
        <v>998</v>
      </c>
      <c r="D3769" s="600">
        <v>0.15</v>
      </c>
    </row>
    <row r="3770" spans="1:4">
      <c r="A3770" s="401">
        <v>4330</v>
      </c>
      <c r="B3770" s="411" t="s">
        <v>10911</v>
      </c>
      <c r="C3770" s="401" t="s">
        <v>998</v>
      </c>
      <c r="D3770" s="600">
        <v>0.1</v>
      </c>
    </row>
    <row r="3771" spans="1:4">
      <c r="A3771" s="401">
        <v>4340</v>
      </c>
      <c r="B3771" s="411" t="s">
        <v>10912</v>
      </c>
      <c r="C3771" s="401" t="s">
        <v>998</v>
      </c>
      <c r="D3771" s="600">
        <v>0.82</v>
      </c>
    </row>
    <row r="3772" spans="1:4">
      <c r="A3772" s="401">
        <v>5088</v>
      </c>
      <c r="B3772" s="411" t="s">
        <v>10913</v>
      </c>
      <c r="C3772" s="401" t="s">
        <v>998</v>
      </c>
      <c r="D3772" s="600">
        <v>2.68</v>
      </c>
    </row>
    <row r="3773" spans="1:4" ht="25.5">
      <c r="A3773" s="401">
        <v>11154</v>
      </c>
      <c r="B3773" s="411" t="s">
        <v>10914</v>
      </c>
      <c r="C3773" s="401" t="s">
        <v>998</v>
      </c>
      <c r="D3773" s="600">
        <v>906.85</v>
      </c>
    </row>
    <row r="3774" spans="1:4" ht="38.25">
      <c r="A3774" s="401">
        <v>39021</v>
      </c>
      <c r="B3774" s="411" t="s">
        <v>10915</v>
      </c>
      <c r="C3774" s="401" t="s">
        <v>998</v>
      </c>
      <c r="D3774" s="600">
        <v>407.9</v>
      </c>
    </row>
    <row r="3775" spans="1:4" ht="25.5">
      <c r="A3775" s="401">
        <v>39022</v>
      </c>
      <c r="B3775" s="411" t="s">
        <v>10916</v>
      </c>
      <c r="C3775" s="401" t="s">
        <v>998</v>
      </c>
      <c r="D3775" s="600">
        <v>504.45</v>
      </c>
    </row>
    <row r="3776" spans="1:4" ht="25.5">
      <c r="A3776" s="401">
        <v>39024</v>
      </c>
      <c r="B3776" s="411" t="s">
        <v>10917</v>
      </c>
      <c r="C3776" s="401" t="s">
        <v>998</v>
      </c>
      <c r="D3776" s="600">
        <v>912.81</v>
      </c>
    </row>
    <row r="3777" spans="1:4" ht="25.5">
      <c r="A3777" s="401">
        <v>4914</v>
      </c>
      <c r="B3777" s="411" t="s">
        <v>10918</v>
      </c>
      <c r="C3777" s="401" t="s">
        <v>1003</v>
      </c>
      <c r="D3777" s="600">
        <v>740.13</v>
      </c>
    </row>
    <row r="3778" spans="1:4" ht="25.5">
      <c r="A3778" s="401">
        <v>4917</v>
      </c>
      <c r="B3778" s="411" t="s">
        <v>5303</v>
      </c>
      <c r="C3778" s="401" t="s">
        <v>1003</v>
      </c>
      <c r="D3778" s="600">
        <v>511.14</v>
      </c>
    </row>
    <row r="3779" spans="1:4" ht="25.5">
      <c r="A3779" s="401">
        <v>39025</v>
      </c>
      <c r="B3779" s="411" t="s">
        <v>10919</v>
      </c>
      <c r="C3779" s="401" t="s">
        <v>998</v>
      </c>
      <c r="D3779" s="600">
        <v>935.99</v>
      </c>
    </row>
    <row r="3780" spans="1:4" ht="25.5">
      <c r="A3780" s="401">
        <v>4930</v>
      </c>
      <c r="B3780" s="411" t="s">
        <v>10920</v>
      </c>
      <c r="C3780" s="401" t="s">
        <v>1003</v>
      </c>
      <c r="D3780" s="600">
        <v>438.37</v>
      </c>
    </row>
    <row r="3781" spans="1:4" ht="25.5">
      <c r="A3781" s="401">
        <v>4922</v>
      </c>
      <c r="B3781" s="411" t="s">
        <v>10921</v>
      </c>
      <c r="C3781" s="401" t="s">
        <v>1003</v>
      </c>
      <c r="D3781" s="600">
        <v>474.13</v>
      </c>
    </row>
    <row r="3782" spans="1:4" ht="25.5">
      <c r="A3782" s="401">
        <v>4911</v>
      </c>
      <c r="B3782" s="411" t="s">
        <v>10922</v>
      </c>
      <c r="C3782" s="401" t="s">
        <v>1003</v>
      </c>
      <c r="D3782" s="600">
        <v>280.27999999999997</v>
      </c>
    </row>
    <row r="3783" spans="1:4" ht="25.5">
      <c r="A3783" s="401">
        <v>37518</v>
      </c>
      <c r="B3783" s="411" t="s">
        <v>10923</v>
      </c>
      <c r="C3783" s="401" t="s">
        <v>1003</v>
      </c>
      <c r="D3783" s="600">
        <v>455.45</v>
      </c>
    </row>
    <row r="3784" spans="1:4" ht="25.5">
      <c r="A3784" s="401">
        <v>4910</v>
      </c>
      <c r="B3784" s="411" t="s">
        <v>10924</v>
      </c>
      <c r="C3784" s="401" t="s">
        <v>1003</v>
      </c>
      <c r="D3784" s="600">
        <v>383.95</v>
      </c>
    </row>
    <row r="3785" spans="1:4" ht="25.5">
      <c r="A3785" s="401">
        <v>4943</v>
      </c>
      <c r="B3785" s="411" t="s">
        <v>10925</v>
      </c>
      <c r="C3785" s="401" t="s">
        <v>1003</v>
      </c>
      <c r="D3785" s="600">
        <v>571.99</v>
      </c>
    </row>
    <row r="3786" spans="1:4" ht="25.5">
      <c r="A3786" s="401">
        <v>5002</v>
      </c>
      <c r="B3786" s="411" t="s">
        <v>10926</v>
      </c>
      <c r="C3786" s="401" t="s">
        <v>1003</v>
      </c>
      <c r="D3786" s="600">
        <v>273.99</v>
      </c>
    </row>
    <row r="3787" spans="1:4">
      <c r="A3787" s="401">
        <v>4977</v>
      </c>
      <c r="B3787" s="411" t="s">
        <v>10927</v>
      </c>
      <c r="C3787" s="401" t="s">
        <v>1003</v>
      </c>
      <c r="D3787" s="600">
        <v>184.95</v>
      </c>
    </row>
    <row r="3788" spans="1:4" ht="25.5">
      <c r="A3788" s="401">
        <v>5028</v>
      </c>
      <c r="B3788" s="411" t="s">
        <v>10928</v>
      </c>
      <c r="C3788" s="401" t="s">
        <v>1003</v>
      </c>
      <c r="D3788" s="600">
        <v>452.55</v>
      </c>
    </row>
    <row r="3789" spans="1:4" ht="25.5">
      <c r="A3789" s="401">
        <v>4998</v>
      </c>
      <c r="B3789" s="411" t="s">
        <v>10929</v>
      </c>
      <c r="C3789" s="401" t="s">
        <v>1003</v>
      </c>
      <c r="D3789" s="600">
        <v>375.85</v>
      </c>
    </row>
    <row r="3790" spans="1:4" ht="25.5">
      <c r="A3790" s="401">
        <v>4969</v>
      </c>
      <c r="B3790" s="411" t="s">
        <v>10930</v>
      </c>
      <c r="C3790" s="401" t="s">
        <v>1003</v>
      </c>
      <c r="D3790" s="600">
        <v>261.58</v>
      </c>
    </row>
    <row r="3791" spans="1:4" ht="25.5">
      <c r="A3791" s="401">
        <v>11364</v>
      </c>
      <c r="B3791" s="411" t="s">
        <v>10931</v>
      </c>
      <c r="C3791" s="401" t="s">
        <v>998</v>
      </c>
      <c r="D3791" s="600">
        <v>127.99</v>
      </c>
    </row>
    <row r="3792" spans="1:4" ht="25.5">
      <c r="A3792" s="401">
        <v>11365</v>
      </c>
      <c r="B3792" s="411" t="s">
        <v>10932</v>
      </c>
      <c r="C3792" s="401" t="s">
        <v>998</v>
      </c>
      <c r="D3792" s="600">
        <v>137.84</v>
      </c>
    </row>
    <row r="3793" spans="1:4" ht="25.5">
      <c r="A3793" s="401">
        <v>11366</v>
      </c>
      <c r="B3793" s="411" t="s">
        <v>10933</v>
      </c>
      <c r="C3793" s="401" t="s">
        <v>998</v>
      </c>
      <c r="D3793" s="600">
        <v>145.87</v>
      </c>
    </row>
    <row r="3794" spans="1:4" ht="25.5">
      <c r="A3794" s="401">
        <v>4989</v>
      </c>
      <c r="B3794" s="411" t="s">
        <v>10934</v>
      </c>
      <c r="C3794" s="401" t="s">
        <v>998</v>
      </c>
      <c r="D3794" s="600">
        <v>291.57</v>
      </c>
    </row>
    <row r="3795" spans="1:4" ht="25.5">
      <c r="A3795" s="401">
        <v>4982</v>
      </c>
      <c r="B3795" s="411" t="s">
        <v>10935</v>
      </c>
      <c r="C3795" s="401" t="s">
        <v>998</v>
      </c>
      <c r="D3795" s="600">
        <v>253.13</v>
      </c>
    </row>
    <row r="3796" spans="1:4" ht="25.5">
      <c r="A3796" s="401">
        <v>20322</v>
      </c>
      <c r="B3796" s="411" t="s">
        <v>10936</v>
      </c>
      <c r="C3796" s="401" t="s">
        <v>998</v>
      </c>
      <c r="D3796" s="600">
        <v>223.1</v>
      </c>
    </row>
    <row r="3797" spans="1:4" ht="25.5">
      <c r="A3797" s="401">
        <v>10553</v>
      </c>
      <c r="B3797" s="411" t="s">
        <v>10937</v>
      </c>
      <c r="C3797" s="401" t="s">
        <v>998</v>
      </c>
      <c r="D3797" s="600">
        <v>237.86</v>
      </c>
    </row>
    <row r="3798" spans="1:4" ht="25.5">
      <c r="A3798" s="401">
        <v>5020</v>
      </c>
      <c r="B3798" s="411" t="s">
        <v>10938</v>
      </c>
      <c r="C3798" s="401" t="s">
        <v>998</v>
      </c>
      <c r="D3798" s="600">
        <v>246.61</v>
      </c>
    </row>
    <row r="3799" spans="1:4" ht="25.5">
      <c r="A3799" s="401">
        <v>4962</v>
      </c>
      <c r="B3799" s="411" t="s">
        <v>10939</v>
      </c>
      <c r="C3799" s="401" t="s">
        <v>998</v>
      </c>
      <c r="D3799" s="600">
        <v>240.26</v>
      </c>
    </row>
    <row r="3800" spans="1:4" ht="25.5">
      <c r="A3800" s="401">
        <v>4981</v>
      </c>
      <c r="B3800" s="411" t="s">
        <v>10940</v>
      </c>
      <c r="C3800" s="401" t="s">
        <v>998</v>
      </c>
      <c r="D3800" s="600">
        <v>169.9</v>
      </c>
    </row>
    <row r="3801" spans="1:4" ht="25.5">
      <c r="A3801" s="401">
        <v>10554</v>
      </c>
      <c r="B3801" s="411" t="s">
        <v>10941</v>
      </c>
      <c r="C3801" s="401" t="s">
        <v>998</v>
      </c>
      <c r="D3801" s="600">
        <v>265.83</v>
      </c>
    </row>
    <row r="3802" spans="1:4" ht="25.5">
      <c r="A3802" s="401">
        <v>4964</v>
      </c>
      <c r="B3802" s="411" t="s">
        <v>10942</v>
      </c>
      <c r="C3802" s="401" t="s">
        <v>998</v>
      </c>
      <c r="D3802" s="600">
        <v>291.74</v>
      </c>
    </row>
    <row r="3803" spans="1:4" ht="25.5">
      <c r="A3803" s="401">
        <v>4992</v>
      </c>
      <c r="B3803" s="411" t="s">
        <v>10943</v>
      </c>
      <c r="C3803" s="401" t="s">
        <v>998</v>
      </c>
      <c r="D3803" s="600">
        <v>289.33999999999997</v>
      </c>
    </row>
    <row r="3804" spans="1:4" ht="25.5">
      <c r="A3804" s="401">
        <v>10555</v>
      </c>
      <c r="B3804" s="411" t="s">
        <v>10944</v>
      </c>
      <c r="C3804" s="401" t="s">
        <v>998</v>
      </c>
      <c r="D3804" s="600">
        <v>256.56</v>
      </c>
    </row>
    <row r="3805" spans="1:4" ht="25.5">
      <c r="A3805" s="401">
        <v>4987</v>
      </c>
      <c r="B3805" s="411" t="s">
        <v>10945</v>
      </c>
      <c r="C3805" s="401" t="s">
        <v>998</v>
      </c>
      <c r="D3805" s="600">
        <v>265.83</v>
      </c>
    </row>
    <row r="3806" spans="1:4" ht="25.5">
      <c r="A3806" s="401">
        <v>10556</v>
      </c>
      <c r="B3806" s="411" t="s">
        <v>10946</v>
      </c>
      <c r="C3806" s="401" t="s">
        <v>998</v>
      </c>
      <c r="D3806" s="600">
        <v>272.56</v>
      </c>
    </row>
    <row r="3807" spans="1:4" ht="25.5">
      <c r="A3807" s="401">
        <v>4958</v>
      </c>
      <c r="B3807" s="411" t="s">
        <v>10947</v>
      </c>
      <c r="C3807" s="401" t="s">
        <v>1003</v>
      </c>
      <c r="D3807" s="600">
        <v>155.78</v>
      </c>
    </row>
    <row r="3808" spans="1:4" ht="25.5">
      <c r="A3808" s="401">
        <v>39502</v>
      </c>
      <c r="B3808" s="411" t="s">
        <v>10948</v>
      </c>
      <c r="C3808" s="401" t="s">
        <v>998</v>
      </c>
      <c r="D3808" s="600">
        <v>377.55</v>
      </c>
    </row>
    <row r="3809" spans="1:4" ht="25.5">
      <c r="A3809" s="401">
        <v>39504</v>
      </c>
      <c r="B3809" s="411" t="s">
        <v>10949</v>
      </c>
      <c r="C3809" s="401" t="s">
        <v>998</v>
      </c>
      <c r="D3809" s="600">
        <v>267.72000000000003</v>
      </c>
    </row>
    <row r="3810" spans="1:4" ht="25.5">
      <c r="A3810" s="401">
        <v>39503</v>
      </c>
      <c r="B3810" s="411" t="s">
        <v>10950</v>
      </c>
      <c r="C3810" s="401" t="s">
        <v>998</v>
      </c>
      <c r="D3810" s="600">
        <v>410.16</v>
      </c>
    </row>
    <row r="3811" spans="1:4" ht="25.5">
      <c r="A3811" s="401">
        <v>39505</v>
      </c>
      <c r="B3811" s="411" t="s">
        <v>10951</v>
      </c>
      <c r="C3811" s="401" t="s">
        <v>998</v>
      </c>
      <c r="D3811" s="600">
        <v>291.74</v>
      </c>
    </row>
    <row r="3812" spans="1:4">
      <c r="A3812" s="401">
        <v>25969</v>
      </c>
      <c r="B3812" s="411" t="s">
        <v>10952</v>
      </c>
      <c r="C3812" s="401" t="s">
        <v>998</v>
      </c>
      <c r="D3812" s="600">
        <v>394.96</v>
      </c>
    </row>
    <row r="3813" spans="1:4" ht="25.5">
      <c r="A3813" s="401">
        <v>4944</v>
      </c>
      <c r="B3813" s="411" t="s">
        <v>10953</v>
      </c>
      <c r="C3813" s="401" t="s">
        <v>1003</v>
      </c>
      <c r="D3813" s="600">
        <v>855.13</v>
      </c>
    </row>
    <row r="3814" spans="1:4">
      <c r="A3814" s="401">
        <v>21102</v>
      </c>
      <c r="B3814" s="411" t="s">
        <v>10954</v>
      </c>
      <c r="C3814" s="401" t="s">
        <v>998</v>
      </c>
      <c r="D3814" s="600">
        <v>28.68</v>
      </c>
    </row>
    <row r="3815" spans="1:4">
      <c r="A3815" s="401">
        <v>21101</v>
      </c>
      <c r="B3815" s="411" t="s">
        <v>10955</v>
      </c>
      <c r="C3815" s="401" t="s">
        <v>998</v>
      </c>
      <c r="D3815" s="600">
        <v>18.41</v>
      </c>
    </row>
    <row r="3816" spans="1:4" ht="25.5">
      <c r="A3816" s="401">
        <v>34713</v>
      </c>
      <c r="B3816" s="411" t="s">
        <v>10956</v>
      </c>
      <c r="C3816" s="401" t="s">
        <v>1003</v>
      </c>
      <c r="D3816" s="600">
        <v>323.13</v>
      </c>
    </row>
    <row r="3817" spans="1:4" ht="25.5">
      <c r="A3817" s="401">
        <v>4947</v>
      </c>
      <c r="B3817" s="411" t="s">
        <v>10957</v>
      </c>
      <c r="C3817" s="401" t="s">
        <v>1003</v>
      </c>
      <c r="D3817" s="600">
        <v>563.34</v>
      </c>
    </row>
    <row r="3818" spans="1:4" ht="25.5">
      <c r="A3818" s="401">
        <v>37563</v>
      </c>
      <c r="B3818" s="411" t="s">
        <v>10958</v>
      </c>
      <c r="C3818" s="401" t="s">
        <v>1003</v>
      </c>
      <c r="D3818" s="600">
        <v>432.56</v>
      </c>
    </row>
    <row r="3819" spans="1:4" ht="25.5">
      <c r="A3819" s="401">
        <v>4948</v>
      </c>
      <c r="B3819" s="411" t="s">
        <v>10959</v>
      </c>
      <c r="C3819" s="401" t="s">
        <v>1003</v>
      </c>
      <c r="D3819" s="600">
        <v>392.56</v>
      </c>
    </row>
    <row r="3820" spans="1:4" ht="25.5">
      <c r="A3820" s="401">
        <v>37561</v>
      </c>
      <c r="B3820" s="411" t="s">
        <v>10960</v>
      </c>
      <c r="C3820" s="401" t="s">
        <v>1003</v>
      </c>
      <c r="D3820" s="600">
        <v>807.47</v>
      </c>
    </row>
    <row r="3821" spans="1:4" ht="25.5">
      <c r="A3821" s="401">
        <v>37562</v>
      </c>
      <c r="B3821" s="411" t="s">
        <v>10961</v>
      </c>
      <c r="C3821" s="401" t="s">
        <v>1003</v>
      </c>
      <c r="D3821" s="600">
        <v>517.91</v>
      </c>
    </row>
    <row r="3822" spans="1:4" ht="25.5">
      <c r="A3822" s="401">
        <v>37585</v>
      </c>
      <c r="B3822" s="411" t="s">
        <v>10962</v>
      </c>
      <c r="C3822" s="401" t="s">
        <v>998</v>
      </c>
      <c r="D3822" s="600">
        <v>254.85</v>
      </c>
    </row>
    <row r="3823" spans="1:4" ht="25.5">
      <c r="A3823" s="401">
        <v>14164</v>
      </c>
      <c r="B3823" s="411" t="s">
        <v>10963</v>
      </c>
      <c r="C3823" s="401" t="s">
        <v>998</v>
      </c>
      <c r="D3823" s="600">
        <v>958.07</v>
      </c>
    </row>
    <row r="3824" spans="1:4" ht="25.5">
      <c r="A3824" s="401">
        <v>14163</v>
      </c>
      <c r="B3824" s="411" t="s">
        <v>10964</v>
      </c>
      <c r="C3824" s="401" t="s">
        <v>998</v>
      </c>
      <c r="D3824" s="600">
        <v>1088.9100000000001</v>
      </c>
    </row>
    <row r="3825" spans="1:4" ht="25.5">
      <c r="A3825" s="401">
        <v>5051</v>
      </c>
      <c r="B3825" s="411" t="s">
        <v>10965</v>
      </c>
      <c r="C3825" s="401" t="s">
        <v>998</v>
      </c>
      <c r="D3825" s="600">
        <v>926.1</v>
      </c>
    </row>
    <row r="3826" spans="1:4" ht="25.5">
      <c r="A3826" s="401">
        <v>14162</v>
      </c>
      <c r="B3826" s="411" t="s">
        <v>10966</v>
      </c>
      <c r="C3826" s="401" t="s">
        <v>998</v>
      </c>
      <c r="D3826" s="600">
        <v>924.76</v>
      </c>
    </row>
    <row r="3827" spans="1:4" ht="25.5">
      <c r="A3827" s="401">
        <v>5052</v>
      </c>
      <c r="B3827" s="411" t="s">
        <v>10967</v>
      </c>
      <c r="C3827" s="401" t="s">
        <v>998</v>
      </c>
      <c r="D3827" s="600">
        <v>690</v>
      </c>
    </row>
    <row r="3828" spans="1:4" ht="25.5">
      <c r="A3828" s="401">
        <v>14166</v>
      </c>
      <c r="B3828" s="411" t="s">
        <v>10968</v>
      </c>
      <c r="C3828" s="401" t="s">
        <v>998</v>
      </c>
      <c r="D3828" s="600">
        <v>698.76</v>
      </c>
    </row>
    <row r="3829" spans="1:4" ht="25.5">
      <c r="A3829" s="401">
        <v>14165</v>
      </c>
      <c r="B3829" s="411" t="s">
        <v>10969</v>
      </c>
      <c r="C3829" s="401" t="s">
        <v>998</v>
      </c>
      <c r="D3829" s="600">
        <v>968.03</v>
      </c>
    </row>
    <row r="3830" spans="1:4" ht="25.5">
      <c r="A3830" s="401">
        <v>5050</v>
      </c>
      <c r="B3830" s="411" t="s">
        <v>10970</v>
      </c>
      <c r="C3830" s="401" t="s">
        <v>998</v>
      </c>
      <c r="D3830" s="600">
        <v>238.25</v>
      </c>
    </row>
    <row r="3831" spans="1:4" ht="25.5">
      <c r="A3831" s="401">
        <v>12378</v>
      </c>
      <c r="B3831" s="411" t="s">
        <v>10971</v>
      </c>
      <c r="C3831" s="401" t="s">
        <v>998</v>
      </c>
      <c r="D3831" s="600">
        <v>566.32000000000005</v>
      </c>
    </row>
    <row r="3832" spans="1:4">
      <c r="A3832" s="401">
        <v>12366</v>
      </c>
      <c r="B3832" s="411" t="s">
        <v>10972</v>
      </c>
      <c r="C3832" s="401" t="s">
        <v>998</v>
      </c>
      <c r="D3832" s="600">
        <v>540.11</v>
      </c>
    </row>
    <row r="3833" spans="1:4">
      <c r="A3833" s="401">
        <v>5045</v>
      </c>
      <c r="B3833" s="411" t="s">
        <v>10973</v>
      </c>
      <c r="C3833" s="401" t="s">
        <v>998</v>
      </c>
      <c r="D3833" s="600">
        <v>752.13</v>
      </c>
    </row>
    <row r="3834" spans="1:4">
      <c r="A3834" s="401">
        <v>5044</v>
      </c>
      <c r="B3834" s="411" t="s">
        <v>10974</v>
      </c>
      <c r="C3834" s="401" t="s">
        <v>998</v>
      </c>
      <c r="D3834" s="600">
        <v>530.64</v>
      </c>
    </row>
    <row r="3835" spans="1:4">
      <c r="A3835" s="401">
        <v>5055</v>
      </c>
      <c r="B3835" s="411" t="s">
        <v>10975</v>
      </c>
      <c r="C3835" s="401" t="s">
        <v>998</v>
      </c>
      <c r="D3835" s="600">
        <v>754.43</v>
      </c>
    </row>
    <row r="3836" spans="1:4">
      <c r="A3836" s="401">
        <v>5053</v>
      </c>
      <c r="B3836" s="411" t="s">
        <v>10976</v>
      </c>
      <c r="C3836" s="401" t="s">
        <v>998</v>
      </c>
      <c r="D3836" s="600">
        <v>587.19000000000005</v>
      </c>
    </row>
    <row r="3837" spans="1:4">
      <c r="A3837" s="401">
        <v>5035</v>
      </c>
      <c r="B3837" s="411" t="s">
        <v>10977</v>
      </c>
      <c r="C3837" s="401" t="s">
        <v>998</v>
      </c>
      <c r="D3837" s="600">
        <v>960.05</v>
      </c>
    </row>
    <row r="3838" spans="1:4">
      <c r="A3838" s="401">
        <v>5036</v>
      </c>
      <c r="B3838" s="411" t="s">
        <v>10978</v>
      </c>
      <c r="C3838" s="401" t="s">
        <v>998</v>
      </c>
      <c r="D3838" s="600">
        <v>1602.64</v>
      </c>
    </row>
    <row r="3839" spans="1:4">
      <c r="A3839" s="401">
        <v>5059</v>
      </c>
      <c r="B3839" s="411" t="s">
        <v>10979</v>
      </c>
      <c r="C3839" s="401" t="s">
        <v>998</v>
      </c>
      <c r="D3839" s="600">
        <v>750.85</v>
      </c>
    </row>
    <row r="3840" spans="1:4">
      <c r="A3840" s="401">
        <v>5034</v>
      </c>
      <c r="B3840" s="411" t="s">
        <v>10980</v>
      </c>
      <c r="C3840" s="401" t="s">
        <v>998</v>
      </c>
      <c r="D3840" s="600">
        <v>1036.0999999999999</v>
      </c>
    </row>
    <row r="3841" spans="1:4">
      <c r="A3841" s="401">
        <v>5056</v>
      </c>
      <c r="B3841" s="411" t="s">
        <v>10981</v>
      </c>
      <c r="C3841" s="401" t="s">
        <v>998</v>
      </c>
      <c r="D3841" s="600">
        <v>805.07</v>
      </c>
    </row>
    <row r="3842" spans="1:4">
      <c r="A3842" s="401">
        <v>5057</v>
      </c>
      <c r="B3842" s="411" t="s">
        <v>10982</v>
      </c>
      <c r="C3842" s="401" t="s">
        <v>998</v>
      </c>
      <c r="D3842" s="600">
        <v>645.66</v>
      </c>
    </row>
    <row r="3843" spans="1:4">
      <c r="A3843" s="401">
        <v>5033</v>
      </c>
      <c r="B3843" s="411" t="s">
        <v>10983</v>
      </c>
      <c r="C3843" s="401" t="s">
        <v>998</v>
      </c>
      <c r="D3843" s="600">
        <v>536</v>
      </c>
    </row>
    <row r="3844" spans="1:4">
      <c r="A3844" s="401">
        <v>5038</v>
      </c>
      <c r="B3844" s="411" t="s">
        <v>10984</v>
      </c>
      <c r="C3844" s="401" t="s">
        <v>998</v>
      </c>
      <c r="D3844" s="600">
        <v>436.84</v>
      </c>
    </row>
    <row r="3845" spans="1:4">
      <c r="A3845" s="401">
        <v>12372</v>
      </c>
      <c r="B3845" s="411" t="s">
        <v>10985</v>
      </c>
      <c r="C3845" s="401" t="s">
        <v>998</v>
      </c>
      <c r="D3845" s="600">
        <v>575.66</v>
      </c>
    </row>
    <row r="3846" spans="1:4">
      <c r="A3846" s="401">
        <v>13339</v>
      </c>
      <c r="B3846" s="411" t="s">
        <v>10986</v>
      </c>
      <c r="C3846" s="401" t="s">
        <v>998</v>
      </c>
      <c r="D3846" s="600">
        <v>855.78</v>
      </c>
    </row>
    <row r="3847" spans="1:4">
      <c r="A3847" s="401">
        <v>12373</v>
      </c>
      <c r="B3847" s="411" t="s">
        <v>10987</v>
      </c>
      <c r="C3847" s="401" t="s">
        <v>998</v>
      </c>
      <c r="D3847" s="600">
        <v>896.19</v>
      </c>
    </row>
    <row r="3848" spans="1:4">
      <c r="A3848" s="401">
        <v>12388</v>
      </c>
      <c r="B3848" s="411" t="s">
        <v>10988</v>
      </c>
      <c r="C3848" s="401" t="s">
        <v>998</v>
      </c>
      <c r="D3848" s="600">
        <v>141.03</v>
      </c>
    </row>
    <row r="3849" spans="1:4">
      <c r="A3849" s="401">
        <v>34695</v>
      </c>
      <c r="B3849" s="411" t="s">
        <v>10989</v>
      </c>
      <c r="C3849" s="401" t="s">
        <v>998</v>
      </c>
      <c r="D3849" s="600">
        <v>616.4</v>
      </c>
    </row>
    <row r="3850" spans="1:4">
      <c r="A3850" s="401">
        <v>34692</v>
      </c>
      <c r="B3850" s="411" t="s">
        <v>10990</v>
      </c>
      <c r="C3850" s="401" t="s">
        <v>998</v>
      </c>
      <c r="D3850" s="600">
        <v>1479.36</v>
      </c>
    </row>
    <row r="3851" spans="1:4">
      <c r="A3851" s="401">
        <v>26028</v>
      </c>
      <c r="B3851" s="411" t="s">
        <v>10991</v>
      </c>
      <c r="C3851" s="401" t="s">
        <v>1005</v>
      </c>
      <c r="D3851" s="600">
        <v>245.45</v>
      </c>
    </row>
    <row r="3852" spans="1:4" ht="25.5">
      <c r="A3852" s="401">
        <v>11844</v>
      </c>
      <c r="B3852" s="411" t="s">
        <v>10992</v>
      </c>
      <c r="C3852" s="401" t="s">
        <v>1002</v>
      </c>
      <c r="D3852" s="600">
        <v>29</v>
      </c>
    </row>
    <row r="3853" spans="1:4" ht="25.5">
      <c r="A3853" s="401">
        <v>4465</v>
      </c>
      <c r="B3853" s="411" t="s">
        <v>10993</v>
      </c>
      <c r="C3853" s="401" t="s">
        <v>1002</v>
      </c>
      <c r="D3853" s="600">
        <v>27.79</v>
      </c>
    </row>
    <row r="3854" spans="1:4" ht="25.5">
      <c r="A3854" s="401">
        <v>35273</v>
      </c>
      <c r="B3854" s="411" t="s">
        <v>10994</v>
      </c>
      <c r="C3854" s="401" t="s">
        <v>1002</v>
      </c>
      <c r="D3854" s="600">
        <v>30.71</v>
      </c>
    </row>
    <row r="3855" spans="1:4" ht="25.5">
      <c r="A3855" s="401">
        <v>4470</v>
      </c>
      <c r="B3855" s="411" t="s">
        <v>10995</v>
      </c>
      <c r="C3855" s="401" t="s">
        <v>1002</v>
      </c>
      <c r="D3855" s="600">
        <v>45.88</v>
      </c>
    </row>
    <row r="3856" spans="1:4" ht="25.5">
      <c r="A3856" s="401">
        <v>20204</v>
      </c>
      <c r="B3856" s="411" t="s">
        <v>10996</v>
      </c>
      <c r="C3856" s="401" t="s">
        <v>1002</v>
      </c>
      <c r="D3856" s="600">
        <v>40.950000000000003</v>
      </c>
    </row>
    <row r="3857" spans="1:4" ht="25.5">
      <c r="A3857" s="401">
        <v>20208</v>
      </c>
      <c r="B3857" s="411" t="s">
        <v>10997</v>
      </c>
      <c r="C3857" s="401" t="s">
        <v>1002</v>
      </c>
      <c r="D3857" s="600">
        <v>48.08</v>
      </c>
    </row>
    <row r="3858" spans="1:4" ht="25.5">
      <c r="A3858" s="401">
        <v>4437</v>
      </c>
      <c r="B3858" s="411" t="s">
        <v>10998</v>
      </c>
      <c r="C3858" s="401" t="s">
        <v>1002</v>
      </c>
      <c r="D3858" s="600">
        <v>33.229999999999997</v>
      </c>
    </row>
    <row r="3859" spans="1:4" ht="25.5">
      <c r="A3859" s="401">
        <v>14580</v>
      </c>
      <c r="B3859" s="411" t="s">
        <v>10999</v>
      </c>
      <c r="C3859" s="401" t="s">
        <v>1002</v>
      </c>
      <c r="D3859" s="600">
        <v>36.19</v>
      </c>
    </row>
    <row r="3860" spans="1:4">
      <c r="A3860" s="401">
        <v>40304</v>
      </c>
      <c r="B3860" s="411" t="s">
        <v>11000</v>
      </c>
      <c r="C3860" s="401" t="s">
        <v>995</v>
      </c>
      <c r="D3860" s="600">
        <v>13.8</v>
      </c>
    </row>
    <row r="3861" spans="1:4">
      <c r="A3861" s="401">
        <v>5065</v>
      </c>
      <c r="B3861" s="411" t="s">
        <v>11001</v>
      </c>
      <c r="C3861" s="401" t="s">
        <v>995</v>
      </c>
      <c r="D3861" s="600">
        <v>21.26</v>
      </c>
    </row>
    <row r="3862" spans="1:4">
      <c r="A3862" s="401">
        <v>5072</v>
      </c>
      <c r="B3862" s="411" t="s">
        <v>11002</v>
      </c>
      <c r="C3862" s="401" t="s">
        <v>995</v>
      </c>
      <c r="D3862" s="600">
        <v>19.670000000000002</v>
      </c>
    </row>
    <row r="3863" spans="1:4">
      <c r="A3863" s="401">
        <v>5066</v>
      </c>
      <c r="B3863" s="411" t="s">
        <v>11003</v>
      </c>
      <c r="C3863" s="401" t="s">
        <v>995</v>
      </c>
      <c r="D3863" s="600">
        <v>14.73</v>
      </c>
    </row>
    <row r="3864" spans="1:4">
      <c r="A3864" s="401">
        <v>5063</v>
      </c>
      <c r="B3864" s="411" t="s">
        <v>11004</v>
      </c>
      <c r="C3864" s="401" t="s">
        <v>995</v>
      </c>
      <c r="D3864" s="600">
        <v>13.34</v>
      </c>
    </row>
    <row r="3865" spans="1:4">
      <c r="A3865" s="401">
        <v>20247</v>
      </c>
      <c r="B3865" s="411" t="s">
        <v>11005</v>
      </c>
      <c r="C3865" s="401" t="s">
        <v>995</v>
      </c>
      <c r="D3865" s="600">
        <v>12.38</v>
      </c>
    </row>
    <row r="3866" spans="1:4">
      <c r="A3866" s="401">
        <v>5074</v>
      </c>
      <c r="B3866" s="411" t="s">
        <v>11006</v>
      </c>
      <c r="C3866" s="401" t="s">
        <v>995</v>
      </c>
      <c r="D3866" s="600">
        <v>12.52</v>
      </c>
    </row>
    <row r="3867" spans="1:4">
      <c r="A3867" s="401">
        <v>5067</v>
      </c>
      <c r="B3867" s="411" t="s">
        <v>11007</v>
      </c>
      <c r="C3867" s="401" t="s">
        <v>995</v>
      </c>
      <c r="D3867" s="600">
        <v>11.91</v>
      </c>
    </row>
    <row r="3868" spans="1:4">
      <c r="A3868" s="401">
        <v>5078</v>
      </c>
      <c r="B3868" s="411" t="s">
        <v>11008</v>
      </c>
      <c r="C3868" s="401" t="s">
        <v>995</v>
      </c>
      <c r="D3868" s="600">
        <v>11.78</v>
      </c>
    </row>
    <row r="3869" spans="1:4">
      <c r="A3869" s="401">
        <v>5068</v>
      </c>
      <c r="B3869" s="411" t="s">
        <v>11009</v>
      </c>
      <c r="C3869" s="401" t="s">
        <v>995</v>
      </c>
      <c r="D3869" s="600">
        <v>11.18</v>
      </c>
    </row>
    <row r="3870" spans="1:4">
      <c r="A3870" s="401">
        <v>5073</v>
      </c>
      <c r="B3870" s="411" t="s">
        <v>11010</v>
      </c>
      <c r="C3870" s="401" t="s">
        <v>995</v>
      </c>
      <c r="D3870" s="600">
        <v>11.39</v>
      </c>
    </row>
    <row r="3871" spans="1:4">
      <c r="A3871" s="401">
        <v>5069</v>
      </c>
      <c r="B3871" s="411" t="s">
        <v>11011</v>
      </c>
      <c r="C3871" s="401" t="s">
        <v>995</v>
      </c>
      <c r="D3871" s="600">
        <v>11.39</v>
      </c>
    </row>
    <row r="3872" spans="1:4">
      <c r="A3872" s="401">
        <v>5070</v>
      </c>
      <c r="B3872" s="411" t="s">
        <v>11012</v>
      </c>
      <c r="C3872" s="401" t="s">
        <v>995</v>
      </c>
      <c r="D3872" s="600">
        <v>11.52</v>
      </c>
    </row>
    <row r="3873" spans="1:4">
      <c r="A3873" s="401">
        <v>5071</v>
      </c>
      <c r="B3873" s="411" t="s">
        <v>11013</v>
      </c>
      <c r="C3873" s="401" t="s">
        <v>995</v>
      </c>
      <c r="D3873" s="600">
        <v>11.18</v>
      </c>
    </row>
    <row r="3874" spans="1:4">
      <c r="A3874" s="401">
        <v>5061</v>
      </c>
      <c r="B3874" s="411" t="s">
        <v>11014</v>
      </c>
      <c r="C3874" s="401" t="s">
        <v>995</v>
      </c>
      <c r="D3874" s="600">
        <v>10.99</v>
      </c>
    </row>
    <row r="3875" spans="1:4">
      <c r="A3875" s="401">
        <v>5075</v>
      </c>
      <c r="B3875" s="411" t="s">
        <v>11015</v>
      </c>
      <c r="C3875" s="401" t="s">
        <v>995</v>
      </c>
      <c r="D3875" s="600">
        <v>11.18</v>
      </c>
    </row>
    <row r="3876" spans="1:4">
      <c r="A3876" s="401">
        <v>39027</v>
      </c>
      <c r="B3876" s="411" t="s">
        <v>11016</v>
      </c>
      <c r="C3876" s="401" t="s">
        <v>995</v>
      </c>
      <c r="D3876" s="600">
        <v>11.17</v>
      </c>
    </row>
    <row r="3877" spans="1:4">
      <c r="A3877" s="401">
        <v>5062</v>
      </c>
      <c r="B3877" s="411" t="s">
        <v>11017</v>
      </c>
      <c r="C3877" s="401" t="s">
        <v>995</v>
      </c>
      <c r="D3877" s="600">
        <v>11.32</v>
      </c>
    </row>
    <row r="3878" spans="1:4">
      <c r="A3878" s="401">
        <v>40568</v>
      </c>
      <c r="B3878" s="411" t="s">
        <v>11018</v>
      </c>
      <c r="C3878" s="401" t="s">
        <v>995</v>
      </c>
      <c r="D3878" s="600">
        <v>11.26</v>
      </c>
    </row>
    <row r="3879" spans="1:4">
      <c r="A3879" s="401">
        <v>39026</v>
      </c>
      <c r="B3879" s="411" t="s">
        <v>11019</v>
      </c>
      <c r="C3879" s="401" t="s">
        <v>995</v>
      </c>
      <c r="D3879" s="600">
        <v>12.57</v>
      </c>
    </row>
    <row r="3880" spans="1:4">
      <c r="A3880" s="401">
        <v>11572</v>
      </c>
      <c r="B3880" s="411" t="s">
        <v>11020</v>
      </c>
      <c r="C3880" s="401" t="s">
        <v>998</v>
      </c>
      <c r="D3880" s="600">
        <v>16.82</v>
      </c>
    </row>
    <row r="3881" spans="1:4" ht="38.25">
      <c r="A3881" s="401">
        <v>42431</v>
      </c>
      <c r="B3881" s="411" t="s">
        <v>11021</v>
      </c>
      <c r="C3881" s="401" t="s">
        <v>998</v>
      </c>
      <c r="D3881" s="600">
        <v>2202.87</v>
      </c>
    </row>
    <row r="3882" spans="1:4">
      <c r="A3882" s="401">
        <v>11149</v>
      </c>
      <c r="B3882" s="411" t="s">
        <v>11022</v>
      </c>
      <c r="C3882" s="401" t="s">
        <v>1008</v>
      </c>
      <c r="D3882" s="600">
        <v>171.46</v>
      </c>
    </row>
    <row r="3883" spans="1:4" ht="25.5">
      <c r="A3883" s="401">
        <v>511</v>
      </c>
      <c r="B3883" s="411" t="s">
        <v>11023</v>
      </c>
      <c r="C3883" s="401" t="s">
        <v>997</v>
      </c>
      <c r="D3883" s="600">
        <v>15.79</v>
      </c>
    </row>
    <row r="3884" spans="1:4">
      <c r="A3884" s="401">
        <v>11174</v>
      </c>
      <c r="B3884" s="411" t="s">
        <v>11024</v>
      </c>
      <c r="C3884" s="401" t="s">
        <v>1009</v>
      </c>
      <c r="D3884" s="600">
        <v>486.82</v>
      </c>
    </row>
    <row r="3885" spans="1:4" ht="25.5">
      <c r="A3885" s="401">
        <v>37540</v>
      </c>
      <c r="B3885" s="411" t="s">
        <v>11025</v>
      </c>
      <c r="C3885" s="401" t="s">
        <v>998</v>
      </c>
      <c r="D3885" s="600">
        <v>59053.37</v>
      </c>
    </row>
    <row r="3886" spans="1:4" ht="25.5">
      <c r="A3886" s="401">
        <v>37548</v>
      </c>
      <c r="B3886" s="411" t="s">
        <v>11026</v>
      </c>
      <c r="C3886" s="401" t="s">
        <v>998</v>
      </c>
      <c r="D3886" s="600">
        <v>78274.95</v>
      </c>
    </row>
    <row r="3887" spans="1:4" ht="25.5">
      <c r="A3887" s="401">
        <v>39828</v>
      </c>
      <c r="B3887" s="411" t="s">
        <v>11027</v>
      </c>
      <c r="C3887" s="401" t="s">
        <v>998</v>
      </c>
      <c r="D3887" s="600">
        <v>469.57</v>
      </c>
    </row>
    <row r="3888" spans="1:4" ht="38.25">
      <c r="A3888" s="401">
        <v>12273</v>
      </c>
      <c r="B3888" s="411" t="s">
        <v>11028</v>
      </c>
      <c r="C3888" s="401" t="s">
        <v>998</v>
      </c>
      <c r="D3888" s="600">
        <v>52.29</v>
      </c>
    </row>
    <row r="3889" spans="1:4">
      <c r="A3889" s="401">
        <v>38392</v>
      </c>
      <c r="B3889" s="411" t="s">
        <v>11029</v>
      </c>
      <c r="C3889" s="401" t="s">
        <v>998</v>
      </c>
      <c r="D3889" s="600">
        <v>49.98</v>
      </c>
    </row>
    <row r="3890" spans="1:4">
      <c r="A3890" s="401">
        <v>11735</v>
      </c>
      <c r="B3890" s="411" t="s">
        <v>11030</v>
      </c>
      <c r="C3890" s="401" t="s">
        <v>998</v>
      </c>
      <c r="D3890" s="600">
        <v>3.83</v>
      </c>
    </row>
    <row r="3891" spans="1:4">
      <c r="A3891" s="401">
        <v>11733</v>
      </c>
      <c r="B3891" s="411" t="s">
        <v>11031</v>
      </c>
      <c r="C3891" s="401" t="s">
        <v>998</v>
      </c>
      <c r="D3891" s="600">
        <v>1.88</v>
      </c>
    </row>
    <row r="3892" spans="1:4">
      <c r="A3892" s="401">
        <v>11734</v>
      </c>
      <c r="B3892" s="411" t="s">
        <v>11032</v>
      </c>
      <c r="C3892" s="401" t="s">
        <v>998</v>
      </c>
      <c r="D3892" s="600">
        <v>2.89</v>
      </c>
    </row>
    <row r="3893" spans="1:4">
      <c r="A3893" s="401">
        <v>11737</v>
      </c>
      <c r="B3893" s="411" t="s">
        <v>11033</v>
      </c>
      <c r="C3893" s="401" t="s">
        <v>998</v>
      </c>
      <c r="D3893" s="600">
        <v>5.12</v>
      </c>
    </row>
    <row r="3894" spans="1:4">
      <c r="A3894" s="401">
        <v>11738</v>
      </c>
      <c r="B3894" s="411" t="s">
        <v>11034</v>
      </c>
      <c r="C3894" s="401" t="s">
        <v>998</v>
      </c>
      <c r="D3894" s="600">
        <v>8.32</v>
      </c>
    </row>
    <row r="3895" spans="1:4">
      <c r="A3895" s="401">
        <v>36143</v>
      </c>
      <c r="B3895" s="411" t="s">
        <v>11035</v>
      </c>
      <c r="C3895" s="401" t="s">
        <v>998</v>
      </c>
      <c r="D3895" s="600">
        <v>24.49</v>
      </c>
    </row>
    <row r="3896" spans="1:4">
      <c r="A3896" s="401">
        <v>36142</v>
      </c>
      <c r="B3896" s="411" t="s">
        <v>11036</v>
      </c>
      <c r="C3896" s="401" t="s">
        <v>998</v>
      </c>
      <c r="D3896" s="600">
        <v>1.79</v>
      </c>
    </row>
    <row r="3897" spans="1:4">
      <c r="A3897" s="401">
        <v>36146</v>
      </c>
      <c r="B3897" s="411" t="s">
        <v>11037</v>
      </c>
      <c r="C3897" s="401" t="s">
        <v>998</v>
      </c>
      <c r="D3897" s="600">
        <v>203.15</v>
      </c>
    </row>
    <row r="3898" spans="1:4" ht="25.5">
      <c r="A3898" s="401">
        <v>39015</v>
      </c>
      <c r="B3898" s="411" t="s">
        <v>11038</v>
      </c>
      <c r="C3898" s="401" t="s">
        <v>998</v>
      </c>
      <c r="D3898" s="600">
        <v>0.6</v>
      </c>
    </row>
    <row r="3899" spans="1:4">
      <c r="A3899" s="401">
        <v>38377</v>
      </c>
      <c r="B3899" s="411" t="s">
        <v>11039</v>
      </c>
      <c r="C3899" s="401" t="s">
        <v>998</v>
      </c>
      <c r="D3899" s="600">
        <v>23.3</v>
      </c>
    </row>
    <row r="3900" spans="1:4">
      <c r="A3900" s="401">
        <v>38376</v>
      </c>
      <c r="B3900" s="411" t="s">
        <v>11040</v>
      </c>
      <c r="C3900" s="401" t="s">
        <v>998</v>
      </c>
      <c r="D3900" s="600">
        <v>26.56</v>
      </c>
    </row>
    <row r="3901" spans="1:4">
      <c r="A3901" s="401">
        <v>38116</v>
      </c>
      <c r="B3901" s="411" t="s">
        <v>11041</v>
      </c>
      <c r="C3901" s="401" t="s">
        <v>998</v>
      </c>
      <c r="D3901" s="600">
        <v>3.45</v>
      </c>
    </row>
    <row r="3902" spans="1:4" ht="25.5">
      <c r="A3902" s="401">
        <v>38066</v>
      </c>
      <c r="B3902" s="411" t="s">
        <v>11042</v>
      </c>
      <c r="C3902" s="401" t="s">
        <v>998</v>
      </c>
      <c r="D3902" s="600">
        <v>5.7</v>
      </c>
    </row>
    <row r="3903" spans="1:4">
      <c r="A3903" s="401">
        <v>38117</v>
      </c>
      <c r="B3903" s="411" t="s">
        <v>11043</v>
      </c>
      <c r="C3903" s="401" t="s">
        <v>998</v>
      </c>
      <c r="D3903" s="600">
        <v>5.88</v>
      </c>
    </row>
    <row r="3904" spans="1:4" ht="25.5">
      <c r="A3904" s="401">
        <v>38067</v>
      </c>
      <c r="B3904" s="411" t="s">
        <v>11044</v>
      </c>
      <c r="C3904" s="401" t="s">
        <v>998</v>
      </c>
      <c r="D3904" s="600">
        <v>8.02</v>
      </c>
    </row>
    <row r="3905" spans="1:4" ht="25.5">
      <c r="A3905" s="401">
        <v>41757</v>
      </c>
      <c r="B3905" s="411" t="s">
        <v>11045</v>
      </c>
      <c r="C3905" s="401" t="s">
        <v>998</v>
      </c>
      <c r="D3905" s="600">
        <v>7486.7</v>
      </c>
    </row>
    <row r="3906" spans="1:4" ht="25.5">
      <c r="A3906" s="401">
        <v>5080</v>
      </c>
      <c r="B3906" s="411" t="s">
        <v>11046</v>
      </c>
      <c r="C3906" s="401" t="s">
        <v>998</v>
      </c>
      <c r="D3906" s="600">
        <v>11.92</v>
      </c>
    </row>
    <row r="3907" spans="1:4" ht="38.25">
      <c r="A3907" s="401">
        <v>11522</v>
      </c>
      <c r="B3907" s="411" t="s">
        <v>11047</v>
      </c>
      <c r="C3907" s="401" t="s">
        <v>998</v>
      </c>
      <c r="D3907" s="600">
        <v>14.91</v>
      </c>
    </row>
    <row r="3908" spans="1:4" ht="25.5">
      <c r="A3908" s="401">
        <v>38168</v>
      </c>
      <c r="B3908" s="411" t="s">
        <v>11048</v>
      </c>
      <c r="C3908" s="401" t="s">
        <v>998</v>
      </c>
      <c r="D3908" s="600">
        <v>138.65</v>
      </c>
    </row>
    <row r="3909" spans="1:4" ht="25.5">
      <c r="A3909" s="401">
        <v>13393</v>
      </c>
      <c r="B3909" s="411" t="s">
        <v>11049</v>
      </c>
      <c r="C3909" s="401" t="s">
        <v>998</v>
      </c>
      <c r="D3909" s="600">
        <v>290.81</v>
      </c>
    </row>
    <row r="3910" spans="1:4" ht="25.5">
      <c r="A3910" s="401">
        <v>13395</v>
      </c>
      <c r="B3910" s="411" t="s">
        <v>11050</v>
      </c>
      <c r="C3910" s="401" t="s">
        <v>998</v>
      </c>
      <c r="D3910" s="600">
        <v>407.54</v>
      </c>
    </row>
    <row r="3911" spans="1:4" ht="25.5">
      <c r="A3911" s="401">
        <v>12039</v>
      </c>
      <c r="B3911" s="411" t="s">
        <v>11051</v>
      </c>
      <c r="C3911" s="401" t="s">
        <v>998</v>
      </c>
      <c r="D3911" s="600">
        <v>428.29</v>
      </c>
    </row>
    <row r="3912" spans="1:4" ht="25.5">
      <c r="A3912" s="401">
        <v>13396</v>
      </c>
      <c r="B3912" s="411" t="s">
        <v>11052</v>
      </c>
      <c r="C3912" s="401" t="s">
        <v>998</v>
      </c>
      <c r="D3912" s="600">
        <v>601.5</v>
      </c>
    </row>
    <row r="3913" spans="1:4" ht="25.5">
      <c r="A3913" s="401">
        <v>12041</v>
      </c>
      <c r="B3913" s="411" t="s">
        <v>11053</v>
      </c>
      <c r="C3913" s="401" t="s">
        <v>998</v>
      </c>
      <c r="D3913" s="600">
        <v>491.16</v>
      </c>
    </row>
    <row r="3914" spans="1:4" ht="25.5">
      <c r="A3914" s="401">
        <v>12043</v>
      </c>
      <c r="B3914" s="411" t="s">
        <v>11054</v>
      </c>
      <c r="C3914" s="401" t="s">
        <v>998</v>
      </c>
      <c r="D3914" s="600">
        <v>1037.02</v>
      </c>
    </row>
    <row r="3915" spans="1:4" ht="25.5">
      <c r="A3915" s="401">
        <v>39762</v>
      </c>
      <c r="B3915" s="411" t="s">
        <v>11055</v>
      </c>
      <c r="C3915" s="401" t="s">
        <v>998</v>
      </c>
      <c r="D3915" s="600">
        <v>493.65</v>
      </c>
    </row>
    <row r="3916" spans="1:4" ht="25.5">
      <c r="A3916" s="401">
        <v>12042</v>
      </c>
      <c r="B3916" s="411" t="s">
        <v>11056</v>
      </c>
      <c r="C3916" s="401" t="s">
        <v>998</v>
      </c>
      <c r="D3916" s="600">
        <v>720.71</v>
      </c>
    </row>
    <row r="3917" spans="1:4" ht="25.5">
      <c r="A3917" s="401">
        <v>39763</v>
      </c>
      <c r="B3917" s="411" t="s">
        <v>11057</v>
      </c>
      <c r="C3917" s="401" t="s">
        <v>998</v>
      </c>
      <c r="D3917" s="600">
        <v>843.49</v>
      </c>
    </row>
    <row r="3918" spans="1:4" ht="25.5">
      <c r="A3918" s="401">
        <v>39760</v>
      </c>
      <c r="B3918" s="411" t="s">
        <v>12941</v>
      </c>
      <c r="C3918" s="401" t="s">
        <v>998</v>
      </c>
      <c r="D3918" s="600">
        <v>840.72</v>
      </c>
    </row>
    <row r="3919" spans="1:4" ht="25.5">
      <c r="A3919" s="401">
        <v>39756</v>
      </c>
      <c r="B3919" s="411" t="s">
        <v>11058</v>
      </c>
      <c r="C3919" s="401" t="s">
        <v>998</v>
      </c>
      <c r="D3919" s="600">
        <v>301.87</v>
      </c>
    </row>
    <row r="3920" spans="1:4" ht="25.5">
      <c r="A3920" s="401">
        <v>12038</v>
      </c>
      <c r="B3920" s="411" t="s">
        <v>11059</v>
      </c>
      <c r="C3920" s="401" t="s">
        <v>998</v>
      </c>
      <c r="D3920" s="600">
        <v>377.19</v>
      </c>
    </row>
    <row r="3921" spans="1:4" ht="25.5">
      <c r="A3921" s="401">
        <v>39757</v>
      </c>
      <c r="B3921" s="411" t="s">
        <v>11060</v>
      </c>
      <c r="C3921" s="401" t="s">
        <v>998</v>
      </c>
      <c r="D3921" s="600">
        <v>348.79</v>
      </c>
    </row>
    <row r="3922" spans="1:4" ht="25.5">
      <c r="A3922" s="401">
        <v>39758</v>
      </c>
      <c r="B3922" s="411" t="s">
        <v>11061</v>
      </c>
      <c r="C3922" s="401" t="s">
        <v>998</v>
      </c>
      <c r="D3922" s="600">
        <v>508.31</v>
      </c>
    </row>
    <row r="3923" spans="1:4" ht="25.5">
      <c r="A3923" s="401">
        <v>39759</v>
      </c>
      <c r="B3923" s="411" t="s">
        <v>11062</v>
      </c>
      <c r="C3923" s="401" t="s">
        <v>998</v>
      </c>
      <c r="D3923" s="600">
        <v>627.76</v>
      </c>
    </row>
    <row r="3924" spans="1:4" ht="25.5">
      <c r="A3924" s="401">
        <v>39761</v>
      </c>
      <c r="B3924" s="411" t="s">
        <v>11063</v>
      </c>
      <c r="C3924" s="401" t="s">
        <v>998</v>
      </c>
      <c r="D3924" s="600">
        <v>754.59</v>
      </c>
    </row>
    <row r="3925" spans="1:4" ht="25.5">
      <c r="A3925" s="401">
        <v>39805</v>
      </c>
      <c r="B3925" s="411" t="s">
        <v>11064</v>
      </c>
      <c r="C3925" s="401" t="s">
        <v>998</v>
      </c>
      <c r="D3925" s="600">
        <v>116.51</v>
      </c>
    </row>
    <row r="3926" spans="1:4" ht="25.5">
      <c r="A3926" s="401">
        <v>39806</v>
      </c>
      <c r="B3926" s="411" t="s">
        <v>11065</v>
      </c>
      <c r="C3926" s="401" t="s">
        <v>998</v>
      </c>
      <c r="D3926" s="600">
        <v>215.87</v>
      </c>
    </row>
    <row r="3927" spans="1:4" ht="25.5">
      <c r="A3927" s="401">
        <v>39807</v>
      </c>
      <c r="B3927" s="411" t="s">
        <v>11066</v>
      </c>
      <c r="C3927" s="401" t="s">
        <v>998</v>
      </c>
      <c r="D3927" s="600">
        <v>467.84</v>
      </c>
    </row>
    <row r="3928" spans="1:4" ht="25.5">
      <c r="A3928" s="401">
        <v>43100</v>
      </c>
      <c r="B3928" s="411" t="s">
        <v>11067</v>
      </c>
      <c r="C3928" s="401" t="s">
        <v>998</v>
      </c>
      <c r="D3928" s="600">
        <v>365.75</v>
      </c>
    </row>
    <row r="3929" spans="1:4" ht="25.5">
      <c r="A3929" s="401">
        <v>39804</v>
      </c>
      <c r="B3929" s="411" t="s">
        <v>11068</v>
      </c>
      <c r="C3929" s="401" t="s">
        <v>998</v>
      </c>
      <c r="D3929" s="600">
        <v>68.42</v>
      </c>
    </row>
    <row r="3930" spans="1:4" ht="25.5">
      <c r="A3930" s="401">
        <v>39796</v>
      </c>
      <c r="B3930" s="411" t="s">
        <v>11069</v>
      </c>
      <c r="C3930" s="401" t="s">
        <v>998</v>
      </c>
      <c r="D3930" s="600">
        <v>70.86</v>
      </c>
    </row>
    <row r="3931" spans="1:4" ht="25.5">
      <c r="A3931" s="401">
        <v>39797</v>
      </c>
      <c r="B3931" s="411" t="s">
        <v>11070</v>
      </c>
      <c r="C3931" s="401" t="s">
        <v>998</v>
      </c>
      <c r="D3931" s="600">
        <v>111.24</v>
      </c>
    </row>
    <row r="3932" spans="1:4" ht="25.5">
      <c r="A3932" s="401">
        <v>39798</v>
      </c>
      <c r="B3932" s="411" t="s">
        <v>11071</v>
      </c>
      <c r="C3932" s="401" t="s">
        <v>998</v>
      </c>
      <c r="D3932" s="600">
        <v>190.81</v>
      </c>
    </row>
    <row r="3933" spans="1:4" ht="25.5">
      <c r="A3933" s="401">
        <v>39794</v>
      </c>
      <c r="B3933" s="411" t="s">
        <v>11072</v>
      </c>
      <c r="C3933" s="401" t="s">
        <v>998</v>
      </c>
      <c r="D3933" s="600">
        <v>30.08</v>
      </c>
    </row>
    <row r="3934" spans="1:4" ht="25.5">
      <c r="A3934" s="401">
        <v>39795</v>
      </c>
      <c r="B3934" s="411" t="s">
        <v>11073</v>
      </c>
      <c r="C3934" s="401" t="s">
        <v>998</v>
      </c>
      <c r="D3934" s="600">
        <v>47.52</v>
      </c>
    </row>
    <row r="3935" spans="1:4" ht="25.5">
      <c r="A3935" s="401">
        <v>39799</v>
      </c>
      <c r="B3935" s="411" t="s">
        <v>11074</v>
      </c>
      <c r="C3935" s="401" t="s">
        <v>998</v>
      </c>
      <c r="D3935" s="600">
        <v>35.06</v>
      </c>
    </row>
    <row r="3936" spans="1:4" ht="25.5">
      <c r="A3936" s="401">
        <v>39801</v>
      </c>
      <c r="B3936" s="411" t="s">
        <v>11075</v>
      </c>
      <c r="C3936" s="401" t="s">
        <v>998</v>
      </c>
      <c r="D3936" s="600">
        <v>100.34</v>
      </c>
    </row>
    <row r="3937" spans="1:4" ht="25.5">
      <c r="A3937" s="401">
        <v>39802</v>
      </c>
      <c r="B3937" s="411" t="s">
        <v>11076</v>
      </c>
      <c r="C3937" s="401" t="s">
        <v>998</v>
      </c>
      <c r="D3937" s="600">
        <v>147.09</v>
      </c>
    </row>
    <row r="3938" spans="1:4" ht="25.5">
      <c r="A3938" s="401">
        <v>39803</v>
      </c>
      <c r="B3938" s="411" t="s">
        <v>11077</v>
      </c>
      <c r="C3938" s="401" t="s">
        <v>998</v>
      </c>
      <c r="D3938" s="600">
        <v>205.19</v>
      </c>
    </row>
    <row r="3939" spans="1:4" ht="25.5">
      <c r="A3939" s="401">
        <v>39800</v>
      </c>
      <c r="B3939" s="411" t="s">
        <v>11078</v>
      </c>
      <c r="C3939" s="401" t="s">
        <v>998</v>
      </c>
      <c r="D3939" s="600">
        <v>59.72</v>
      </c>
    </row>
    <row r="3940" spans="1:4">
      <c r="A3940" s="401">
        <v>4224</v>
      </c>
      <c r="B3940" s="411" t="s">
        <v>11079</v>
      </c>
      <c r="C3940" s="401" t="s">
        <v>997</v>
      </c>
      <c r="D3940" s="600">
        <v>12.75</v>
      </c>
    </row>
    <row r="3941" spans="1:4">
      <c r="A3941" s="401">
        <v>21059</v>
      </c>
      <c r="B3941" s="411" t="s">
        <v>11080</v>
      </c>
      <c r="C3941" s="401" t="s">
        <v>998</v>
      </c>
      <c r="D3941" s="600">
        <v>39.47</v>
      </c>
    </row>
    <row r="3942" spans="1:4">
      <c r="A3942" s="401">
        <v>11234</v>
      </c>
      <c r="B3942" s="411" t="s">
        <v>11081</v>
      </c>
      <c r="C3942" s="401" t="s">
        <v>998</v>
      </c>
      <c r="D3942" s="600">
        <v>59.49</v>
      </c>
    </row>
    <row r="3943" spans="1:4">
      <c r="A3943" s="401">
        <v>21060</v>
      </c>
      <c r="B3943" s="411" t="s">
        <v>11082</v>
      </c>
      <c r="C3943" s="401" t="s">
        <v>998</v>
      </c>
      <c r="D3943" s="600">
        <v>73.22</v>
      </c>
    </row>
    <row r="3944" spans="1:4">
      <c r="A3944" s="401">
        <v>21061</v>
      </c>
      <c r="B3944" s="411" t="s">
        <v>11083</v>
      </c>
      <c r="C3944" s="401" t="s">
        <v>998</v>
      </c>
      <c r="D3944" s="600">
        <v>91.53</v>
      </c>
    </row>
    <row r="3945" spans="1:4">
      <c r="A3945" s="401">
        <v>21062</v>
      </c>
      <c r="B3945" s="411" t="s">
        <v>11084</v>
      </c>
      <c r="C3945" s="401" t="s">
        <v>998</v>
      </c>
      <c r="D3945" s="600">
        <v>144.16</v>
      </c>
    </row>
    <row r="3946" spans="1:4">
      <c r="A3946" s="401">
        <v>11708</v>
      </c>
      <c r="B3946" s="411" t="s">
        <v>11085</v>
      </c>
      <c r="C3946" s="401" t="s">
        <v>998</v>
      </c>
      <c r="D3946" s="600">
        <v>15.73</v>
      </c>
    </row>
    <row r="3947" spans="1:4">
      <c r="A3947" s="401">
        <v>11709</v>
      </c>
      <c r="B3947" s="411" t="s">
        <v>11086</v>
      </c>
      <c r="C3947" s="401" t="s">
        <v>998</v>
      </c>
      <c r="D3947" s="600">
        <v>36.950000000000003</v>
      </c>
    </row>
    <row r="3948" spans="1:4">
      <c r="A3948" s="401">
        <v>11710</v>
      </c>
      <c r="B3948" s="411" t="s">
        <v>11087</v>
      </c>
      <c r="C3948" s="401" t="s">
        <v>998</v>
      </c>
      <c r="D3948" s="600">
        <v>84.95</v>
      </c>
    </row>
    <row r="3949" spans="1:4">
      <c r="A3949" s="401">
        <v>11707</v>
      </c>
      <c r="B3949" s="411" t="s">
        <v>11088</v>
      </c>
      <c r="C3949" s="401" t="s">
        <v>998</v>
      </c>
      <c r="D3949" s="600">
        <v>11.78</v>
      </c>
    </row>
    <row r="3950" spans="1:4">
      <c r="A3950" s="401">
        <v>11739</v>
      </c>
      <c r="B3950" s="411" t="s">
        <v>11089</v>
      </c>
      <c r="C3950" s="401" t="s">
        <v>998</v>
      </c>
      <c r="D3950" s="600">
        <v>5.58</v>
      </c>
    </row>
    <row r="3951" spans="1:4">
      <c r="A3951" s="401">
        <v>11711</v>
      </c>
      <c r="B3951" s="411" t="s">
        <v>11090</v>
      </c>
      <c r="C3951" s="401" t="s">
        <v>998</v>
      </c>
      <c r="D3951" s="600">
        <v>8.17</v>
      </c>
    </row>
    <row r="3952" spans="1:4">
      <c r="A3952" s="401">
        <v>5102</v>
      </c>
      <c r="B3952" s="411" t="s">
        <v>11091</v>
      </c>
      <c r="C3952" s="401" t="s">
        <v>998</v>
      </c>
      <c r="D3952" s="600">
        <v>7.9</v>
      </c>
    </row>
    <row r="3953" spans="1:4">
      <c r="A3953" s="401">
        <v>11741</v>
      </c>
      <c r="B3953" s="411" t="s">
        <v>11092</v>
      </c>
      <c r="C3953" s="401" t="s">
        <v>998</v>
      </c>
      <c r="D3953" s="600">
        <v>5.75</v>
      </c>
    </row>
    <row r="3954" spans="1:4">
      <c r="A3954" s="401">
        <v>11743</v>
      </c>
      <c r="B3954" s="411" t="s">
        <v>11093</v>
      </c>
      <c r="C3954" s="401" t="s">
        <v>998</v>
      </c>
      <c r="D3954" s="600">
        <v>5.22</v>
      </c>
    </row>
    <row r="3955" spans="1:4">
      <c r="A3955" s="401">
        <v>11745</v>
      </c>
      <c r="B3955" s="411" t="s">
        <v>11094</v>
      </c>
      <c r="C3955" s="401" t="s">
        <v>998</v>
      </c>
      <c r="D3955" s="600">
        <v>7.42</v>
      </c>
    </row>
    <row r="3956" spans="1:4">
      <c r="A3956" s="401">
        <v>25961</v>
      </c>
      <c r="B3956" s="411" t="s">
        <v>11095</v>
      </c>
      <c r="C3956" s="401" t="s">
        <v>1001</v>
      </c>
      <c r="D3956" s="600">
        <v>8</v>
      </c>
    </row>
    <row r="3957" spans="1:4">
      <c r="A3957" s="401">
        <v>40985</v>
      </c>
      <c r="B3957" s="411" t="s">
        <v>11096</v>
      </c>
      <c r="C3957" s="401" t="s">
        <v>1118</v>
      </c>
      <c r="D3957" s="600">
        <v>1420.78</v>
      </c>
    </row>
    <row r="3958" spans="1:4">
      <c r="A3958" s="401">
        <v>1088</v>
      </c>
      <c r="B3958" s="411" t="s">
        <v>11097</v>
      </c>
      <c r="C3958" s="401" t="s">
        <v>998</v>
      </c>
      <c r="D3958" s="600">
        <v>13.89</v>
      </c>
    </row>
    <row r="3959" spans="1:4">
      <c r="A3959" s="401">
        <v>1087</v>
      </c>
      <c r="B3959" s="411" t="s">
        <v>11098</v>
      </c>
      <c r="C3959" s="401" t="s">
        <v>998</v>
      </c>
      <c r="D3959" s="600">
        <v>17.350000000000001</v>
      </c>
    </row>
    <row r="3960" spans="1:4">
      <c r="A3960" s="401">
        <v>38777</v>
      </c>
      <c r="B3960" s="411" t="s">
        <v>11099</v>
      </c>
      <c r="C3960" s="401" t="s">
        <v>998</v>
      </c>
      <c r="D3960" s="600">
        <v>34.56</v>
      </c>
    </row>
    <row r="3961" spans="1:4">
      <c r="A3961" s="401">
        <v>1086</v>
      </c>
      <c r="B3961" s="411" t="s">
        <v>11100</v>
      </c>
      <c r="C3961" s="401" t="s">
        <v>998</v>
      </c>
      <c r="D3961" s="600">
        <v>18.239999999999998</v>
      </c>
    </row>
    <row r="3962" spans="1:4">
      <c r="A3962" s="401">
        <v>1079</v>
      </c>
      <c r="B3962" s="411" t="s">
        <v>11101</v>
      </c>
      <c r="C3962" s="401" t="s">
        <v>998</v>
      </c>
      <c r="D3962" s="600">
        <v>18.850000000000001</v>
      </c>
    </row>
    <row r="3963" spans="1:4" ht="25.5">
      <c r="A3963" s="401">
        <v>39374</v>
      </c>
      <c r="B3963" s="411" t="s">
        <v>11102</v>
      </c>
      <c r="C3963" s="401" t="s">
        <v>998</v>
      </c>
      <c r="D3963" s="600">
        <v>97.24</v>
      </c>
    </row>
    <row r="3964" spans="1:4">
      <c r="A3964" s="401">
        <v>1082</v>
      </c>
      <c r="B3964" s="411" t="s">
        <v>11103</v>
      </c>
      <c r="C3964" s="401" t="s">
        <v>998</v>
      </c>
      <c r="D3964" s="600">
        <v>118.54</v>
      </c>
    </row>
    <row r="3965" spans="1:4">
      <c r="A3965" s="401">
        <v>12316</v>
      </c>
      <c r="B3965" s="411" t="s">
        <v>11104</v>
      </c>
      <c r="C3965" s="401" t="s">
        <v>998</v>
      </c>
      <c r="D3965" s="600">
        <v>54.33</v>
      </c>
    </row>
    <row r="3966" spans="1:4">
      <c r="A3966" s="401">
        <v>12317</v>
      </c>
      <c r="B3966" s="411" t="s">
        <v>11105</v>
      </c>
      <c r="C3966" s="401" t="s">
        <v>998</v>
      </c>
      <c r="D3966" s="600">
        <v>64.790000000000006</v>
      </c>
    </row>
    <row r="3967" spans="1:4">
      <c r="A3967" s="401">
        <v>12318</v>
      </c>
      <c r="B3967" s="411" t="s">
        <v>11106</v>
      </c>
      <c r="C3967" s="401" t="s">
        <v>998</v>
      </c>
      <c r="D3967" s="600">
        <v>74.64</v>
      </c>
    </row>
    <row r="3968" spans="1:4">
      <c r="A3968" s="401">
        <v>5104</v>
      </c>
      <c r="B3968" s="411" t="s">
        <v>11107</v>
      </c>
      <c r="C3968" s="401" t="s">
        <v>995</v>
      </c>
      <c r="D3968" s="600">
        <v>46.94</v>
      </c>
    </row>
    <row r="3969" spans="1:4">
      <c r="A3969" s="401">
        <v>26023</v>
      </c>
      <c r="B3969" s="411" t="s">
        <v>11108</v>
      </c>
      <c r="C3969" s="401" t="s">
        <v>998</v>
      </c>
      <c r="D3969" s="600">
        <v>68.540000000000006</v>
      </c>
    </row>
    <row r="3970" spans="1:4">
      <c r="A3970" s="401">
        <v>2710</v>
      </c>
      <c r="B3970" s="411" t="s">
        <v>11109</v>
      </c>
      <c r="C3970" s="401" t="s">
        <v>998</v>
      </c>
      <c r="D3970" s="600">
        <v>54.74</v>
      </c>
    </row>
    <row r="3971" spans="1:4" ht="25.5">
      <c r="A3971" s="401">
        <v>14575</v>
      </c>
      <c r="B3971" s="411" t="s">
        <v>11110</v>
      </c>
      <c r="C3971" s="401" t="s">
        <v>998</v>
      </c>
      <c r="D3971" s="600">
        <v>3989417.97</v>
      </c>
    </row>
    <row r="3972" spans="1:4">
      <c r="A3972" s="401">
        <v>20034</v>
      </c>
      <c r="B3972" s="411" t="s">
        <v>11111</v>
      </c>
      <c r="C3972" s="401" t="s">
        <v>998</v>
      </c>
      <c r="D3972" s="600">
        <v>61.56</v>
      </c>
    </row>
    <row r="3973" spans="1:4">
      <c r="A3973" s="401">
        <v>20036</v>
      </c>
      <c r="B3973" s="411" t="s">
        <v>11112</v>
      </c>
      <c r="C3973" s="401" t="s">
        <v>998</v>
      </c>
      <c r="D3973" s="600">
        <v>118.41</v>
      </c>
    </row>
    <row r="3974" spans="1:4">
      <c r="A3974" s="401">
        <v>20037</v>
      </c>
      <c r="B3974" s="411" t="s">
        <v>11113</v>
      </c>
      <c r="C3974" s="401" t="s">
        <v>998</v>
      </c>
      <c r="D3974" s="600">
        <v>223.35</v>
      </c>
    </row>
    <row r="3975" spans="1:4">
      <c r="A3975" s="401">
        <v>20043</v>
      </c>
      <c r="B3975" s="411" t="s">
        <v>11114</v>
      </c>
      <c r="C3975" s="401" t="s">
        <v>998</v>
      </c>
      <c r="D3975" s="600">
        <v>5.0999999999999996</v>
      </c>
    </row>
    <row r="3976" spans="1:4">
      <c r="A3976" s="401">
        <v>20044</v>
      </c>
      <c r="B3976" s="411" t="s">
        <v>11115</v>
      </c>
      <c r="C3976" s="401" t="s">
        <v>998</v>
      </c>
      <c r="D3976" s="600">
        <v>5.96</v>
      </c>
    </row>
    <row r="3977" spans="1:4">
      <c r="A3977" s="401">
        <v>20042</v>
      </c>
      <c r="B3977" s="411" t="s">
        <v>11116</v>
      </c>
      <c r="C3977" s="401" t="s">
        <v>998</v>
      </c>
      <c r="D3977" s="600">
        <v>4.32</v>
      </c>
    </row>
    <row r="3978" spans="1:4">
      <c r="A3978" s="401">
        <v>20046</v>
      </c>
      <c r="B3978" s="411" t="s">
        <v>11117</v>
      </c>
      <c r="C3978" s="401" t="s">
        <v>998</v>
      </c>
      <c r="D3978" s="600">
        <v>12.66</v>
      </c>
    </row>
    <row r="3979" spans="1:4">
      <c r="A3979" s="401">
        <v>20047</v>
      </c>
      <c r="B3979" s="411" t="s">
        <v>11118</v>
      </c>
      <c r="C3979" s="401" t="s">
        <v>998</v>
      </c>
      <c r="D3979" s="600">
        <v>34.590000000000003</v>
      </c>
    </row>
    <row r="3980" spans="1:4">
      <c r="A3980" s="401">
        <v>20045</v>
      </c>
      <c r="B3980" s="411" t="s">
        <v>11119</v>
      </c>
      <c r="C3980" s="401" t="s">
        <v>998</v>
      </c>
      <c r="D3980" s="600">
        <v>5.2</v>
      </c>
    </row>
    <row r="3981" spans="1:4" ht="25.5">
      <c r="A3981" s="401">
        <v>20972</v>
      </c>
      <c r="B3981" s="411" t="s">
        <v>11120</v>
      </c>
      <c r="C3981" s="401" t="s">
        <v>998</v>
      </c>
      <c r="D3981" s="600">
        <v>87.02</v>
      </c>
    </row>
    <row r="3982" spans="1:4">
      <c r="A3982" s="401">
        <v>20032</v>
      </c>
      <c r="B3982" s="411" t="s">
        <v>11121</v>
      </c>
      <c r="C3982" s="401" t="s">
        <v>998</v>
      </c>
      <c r="D3982" s="600">
        <v>48.79</v>
      </c>
    </row>
    <row r="3983" spans="1:4">
      <c r="A3983" s="401">
        <v>11321</v>
      </c>
      <c r="B3983" s="411" t="s">
        <v>11122</v>
      </c>
      <c r="C3983" s="401" t="s">
        <v>998</v>
      </c>
      <c r="D3983" s="600">
        <v>22.24</v>
      </c>
    </row>
    <row r="3984" spans="1:4">
      <c r="A3984" s="401">
        <v>11323</v>
      </c>
      <c r="B3984" s="411" t="s">
        <v>11123</v>
      </c>
      <c r="C3984" s="401" t="s">
        <v>998</v>
      </c>
      <c r="D3984" s="600">
        <v>25.58</v>
      </c>
    </row>
    <row r="3985" spans="1:4">
      <c r="A3985" s="401">
        <v>20327</v>
      </c>
      <c r="B3985" s="411" t="s">
        <v>11124</v>
      </c>
      <c r="C3985" s="401" t="s">
        <v>998</v>
      </c>
      <c r="D3985" s="600">
        <v>14.52</v>
      </c>
    </row>
    <row r="3986" spans="1:4">
      <c r="A3986" s="401">
        <v>25966</v>
      </c>
      <c r="B3986" s="411" t="s">
        <v>11125</v>
      </c>
      <c r="C3986" s="401" t="s">
        <v>997</v>
      </c>
      <c r="D3986" s="600">
        <v>16.29</v>
      </c>
    </row>
    <row r="3987" spans="1:4" ht="38.25">
      <c r="A3987" s="401">
        <v>13390</v>
      </c>
      <c r="B3987" s="411" t="s">
        <v>11126</v>
      </c>
      <c r="C3987" s="401" t="s">
        <v>998</v>
      </c>
      <c r="D3987" s="600">
        <v>68.569999999999993</v>
      </c>
    </row>
    <row r="3988" spans="1:4">
      <c r="A3988" s="401">
        <v>6034</v>
      </c>
      <c r="B3988" s="411" t="s">
        <v>11127</v>
      </c>
      <c r="C3988" s="401" t="s">
        <v>998</v>
      </c>
      <c r="D3988" s="600">
        <v>4.6900000000000004</v>
      </c>
    </row>
    <row r="3989" spans="1:4">
      <c r="A3989" s="401">
        <v>6036</v>
      </c>
      <c r="B3989" s="411" t="s">
        <v>11128</v>
      </c>
      <c r="C3989" s="401" t="s">
        <v>998</v>
      </c>
      <c r="D3989" s="600">
        <v>6.39</v>
      </c>
    </row>
    <row r="3990" spans="1:4">
      <c r="A3990" s="401">
        <v>6031</v>
      </c>
      <c r="B3990" s="411" t="s">
        <v>11129</v>
      </c>
      <c r="C3990" s="401" t="s">
        <v>998</v>
      </c>
      <c r="D3990" s="600">
        <v>7.51</v>
      </c>
    </row>
    <row r="3991" spans="1:4">
      <c r="A3991" s="401">
        <v>6029</v>
      </c>
      <c r="B3991" s="411" t="s">
        <v>11130</v>
      </c>
      <c r="C3991" s="401" t="s">
        <v>998</v>
      </c>
      <c r="D3991" s="600">
        <v>7.59</v>
      </c>
    </row>
    <row r="3992" spans="1:4">
      <c r="A3992" s="401">
        <v>6033</v>
      </c>
      <c r="B3992" s="411" t="s">
        <v>11131</v>
      </c>
      <c r="C3992" s="401" t="s">
        <v>998</v>
      </c>
      <c r="D3992" s="600">
        <v>10</v>
      </c>
    </row>
    <row r="3993" spans="1:4">
      <c r="A3993" s="401">
        <v>11672</v>
      </c>
      <c r="B3993" s="411" t="s">
        <v>11132</v>
      </c>
      <c r="C3993" s="401" t="s">
        <v>998</v>
      </c>
      <c r="D3993" s="600">
        <v>21.76</v>
      </c>
    </row>
    <row r="3994" spans="1:4">
      <c r="A3994" s="401">
        <v>11669</v>
      </c>
      <c r="B3994" s="411" t="s">
        <v>11133</v>
      </c>
      <c r="C3994" s="401" t="s">
        <v>998</v>
      </c>
      <c r="D3994" s="600">
        <v>20.72</v>
      </c>
    </row>
    <row r="3995" spans="1:4">
      <c r="A3995" s="401">
        <v>11670</v>
      </c>
      <c r="B3995" s="411" t="s">
        <v>11134</v>
      </c>
      <c r="C3995" s="401" t="s">
        <v>998</v>
      </c>
      <c r="D3995" s="600">
        <v>7.93</v>
      </c>
    </row>
    <row r="3996" spans="1:4">
      <c r="A3996" s="401">
        <v>20055</v>
      </c>
      <c r="B3996" s="411" t="s">
        <v>11135</v>
      </c>
      <c r="C3996" s="401" t="s">
        <v>998</v>
      </c>
      <c r="D3996" s="600">
        <v>15.52</v>
      </c>
    </row>
    <row r="3997" spans="1:4">
      <c r="A3997" s="401">
        <v>11671</v>
      </c>
      <c r="B3997" s="411" t="s">
        <v>11136</v>
      </c>
      <c r="C3997" s="401" t="s">
        <v>998</v>
      </c>
      <c r="D3997" s="600">
        <v>33.299999999999997</v>
      </c>
    </row>
    <row r="3998" spans="1:4">
      <c r="A3998" s="401">
        <v>6032</v>
      </c>
      <c r="B3998" s="411" t="s">
        <v>11137</v>
      </c>
      <c r="C3998" s="401" t="s">
        <v>998</v>
      </c>
      <c r="D3998" s="600">
        <v>9.51</v>
      </c>
    </row>
    <row r="3999" spans="1:4">
      <c r="A3999" s="401">
        <v>11673</v>
      </c>
      <c r="B3999" s="411" t="s">
        <v>11138</v>
      </c>
      <c r="C3999" s="401" t="s">
        <v>998</v>
      </c>
      <c r="D3999" s="600">
        <v>7.49</v>
      </c>
    </row>
    <row r="4000" spans="1:4">
      <c r="A4000" s="401">
        <v>11674</v>
      </c>
      <c r="B4000" s="411" t="s">
        <v>11139</v>
      </c>
      <c r="C4000" s="401" t="s">
        <v>998</v>
      </c>
      <c r="D4000" s="600">
        <v>9.64</v>
      </c>
    </row>
    <row r="4001" spans="1:4">
      <c r="A4001" s="401">
        <v>11675</v>
      </c>
      <c r="B4001" s="411" t="s">
        <v>11140</v>
      </c>
      <c r="C4001" s="401" t="s">
        <v>998</v>
      </c>
      <c r="D4001" s="600">
        <v>15.31</v>
      </c>
    </row>
    <row r="4002" spans="1:4">
      <c r="A4002" s="401">
        <v>11676</v>
      </c>
      <c r="B4002" s="411" t="s">
        <v>11141</v>
      </c>
      <c r="C4002" s="401" t="s">
        <v>998</v>
      </c>
      <c r="D4002" s="600">
        <v>20.48</v>
      </c>
    </row>
    <row r="4003" spans="1:4">
      <c r="A4003" s="401">
        <v>11677</v>
      </c>
      <c r="B4003" s="411" t="s">
        <v>11142</v>
      </c>
      <c r="C4003" s="401" t="s">
        <v>998</v>
      </c>
      <c r="D4003" s="600">
        <v>21.15</v>
      </c>
    </row>
    <row r="4004" spans="1:4">
      <c r="A4004" s="401">
        <v>11678</v>
      </c>
      <c r="B4004" s="411" t="s">
        <v>11143</v>
      </c>
      <c r="C4004" s="401" t="s">
        <v>998</v>
      </c>
      <c r="D4004" s="600">
        <v>38.729999999999997</v>
      </c>
    </row>
    <row r="4005" spans="1:4">
      <c r="A4005" s="401">
        <v>6038</v>
      </c>
      <c r="B4005" s="411" t="s">
        <v>11144</v>
      </c>
      <c r="C4005" s="401" t="s">
        <v>998</v>
      </c>
      <c r="D4005" s="600">
        <v>2.4500000000000002</v>
      </c>
    </row>
    <row r="4006" spans="1:4">
      <c r="A4006" s="401">
        <v>11718</v>
      </c>
      <c r="B4006" s="411" t="s">
        <v>11145</v>
      </c>
      <c r="C4006" s="401" t="s">
        <v>998</v>
      </c>
      <c r="D4006" s="600">
        <v>7</v>
      </c>
    </row>
    <row r="4007" spans="1:4">
      <c r="A4007" s="401">
        <v>6037</v>
      </c>
      <c r="B4007" s="411" t="s">
        <v>11146</v>
      </c>
      <c r="C4007" s="401" t="s">
        <v>998</v>
      </c>
      <c r="D4007" s="600">
        <v>5.1100000000000003</v>
      </c>
    </row>
    <row r="4008" spans="1:4">
      <c r="A4008" s="401">
        <v>11719</v>
      </c>
      <c r="B4008" s="411" t="s">
        <v>11147</v>
      </c>
      <c r="C4008" s="401" t="s">
        <v>998</v>
      </c>
      <c r="D4008" s="600">
        <v>5.68</v>
      </c>
    </row>
    <row r="4009" spans="1:4">
      <c r="A4009" s="401">
        <v>6019</v>
      </c>
      <c r="B4009" s="411" t="s">
        <v>11148</v>
      </c>
      <c r="C4009" s="401" t="s">
        <v>998</v>
      </c>
      <c r="D4009" s="600">
        <v>31.7</v>
      </c>
    </row>
    <row r="4010" spans="1:4">
      <c r="A4010" s="401">
        <v>6010</v>
      </c>
      <c r="B4010" s="411" t="s">
        <v>11149</v>
      </c>
      <c r="C4010" s="401" t="s">
        <v>998</v>
      </c>
      <c r="D4010" s="600">
        <v>54.55</v>
      </c>
    </row>
    <row r="4011" spans="1:4">
      <c r="A4011" s="401">
        <v>6017</v>
      </c>
      <c r="B4011" s="411" t="s">
        <v>11150</v>
      </c>
      <c r="C4011" s="401" t="s">
        <v>998</v>
      </c>
      <c r="D4011" s="600">
        <v>43.2</v>
      </c>
    </row>
    <row r="4012" spans="1:4">
      <c r="A4012" s="401">
        <v>6020</v>
      </c>
      <c r="B4012" s="411" t="s">
        <v>11151</v>
      </c>
      <c r="C4012" s="401" t="s">
        <v>998</v>
      </c>
      <c r="D4012" s="600">
        <v>19.04</v>
      </c>
    </row>
    <row r="4013" spans="1:4">
      <c r="A4013" s="401">
        <v>6028</v>
      </c>
      <c r="B4013" s="411" t="s">
        <v>11152</v>
      </c>
      <c r="C4013" s="401" t="s">
        <v>998</v>
      </c>
      <c r="D4013" s="600">
        <v>75.98</v>
      </c>
    </row>
    <row r="4014" spans="1:4">
      <c r="A4014" s="401">
        <v>6011</v>
      </c>
      <c r="B4014" s="411" t="s">
        <v>11153</v>
      </c>
      <c r="C4014" s="401" t="s">
        <v>998</v>
      </c>
      <c r="D4014" s="600">
        <v>157.57</v>
      </c>
    </row>
    <row r="4015" spans="1:4">
      <c r="A4015" s="401">
        <v>6012</v>
      </c>
      <c r="B4015" s="411" t="s">
        <v>11154</v>
      </c>
      <c r="C4015" s="401" t="s">
        <v>998</v>
      </c>
      <c r="D4015" s="600">
        <v>190.77</v>
      </c>
    </row>
    <row r="4016" spans="1:4">
      <c r="A4016" s="401">
        <v>6016</v>
      </c>
      <c r="B4016" s="411" t="s">
        <v>11155</v>
      </c>
      <c r="C4016" s="401" t="s">
        <v>998</v>
      </c>
      <c r="D4016" s="600">
        <v>20.079999999999998</v>
      </c>
    </row>
    <row r="4017" spans="1:4">
      <c r="A4017" s="401">
        <v>6027</v>
      </c>
      <c r="B4017" s="411" t="s">
        <v>11156</v>
      </c>
      <c r="C4017" s="401" t="s">
        <v>998</v>
      </c>
      <c r="D4017" s="600">
        <v>397.5</v>
      </c>
    </row>
    <row r="4018" spans="1:4" ht="25.5">
      <c r="A4018" s="401">
        <v>6013</v>
      </c>
      <c r="B4018" s="411" t="s">
        <v>11157</v>
      </c>
      <c r="C4018" s="401" t="s">
        <v>998</v>
      </c>
      <c r="D4018" s="600">
        <v>59.98</v>
      </c>
    </row>
    <row r="4019" spans="1:4" ht="25.5">
      <c r="A4019" s="401">
        <v>6015</v>
      </c>
      <c r="B4019" s="411" t="s">
        <v>11158</v>
      </c>
      <c r="C4019" s="401" t="s">
        <v>998</v>
      </c>
      <c r="D4019" s="600">
        <v>87.22</v>
      </c>
    </row>
    <row r="4020" spans="1:4" ht="25.5">
      <c r="A4020" s="401">
        <v>6014</v>
      </c>
      <c r="B4020" s="411" t="s">
        <v>11159</v>
      </c>
      <c r="C4020" s="401" t="s">
        <v>998</v>
      </c>
      <c r="D4020" s="600">
        <v>83.39</v>
      </c>
    </row>
    <row r="4021" spans="1:4" ht="25.5">
      <c r="A4021" s="401">
        <v>6006</v>
      </c>
      <c r="B4021" s="411" t="s">
        <v>11160</v>
      </c>
      <c r="C4021" s="401" t="s">
        <v>998</v>
      </c>
      <c r="D4021" s="600">
        <v>43.43</v>
      </c>
    </row>
    <row r="4022" spans="1:4" ht="25.5">
      <c r="A4022" s="401">
        <v>6005</v>
      </c>
      <c r="B4022" s="411" t="s">
        <v>11161</v>
      </c>
      <c r="C4022" s="401" t="s">
        <v>998</v>
      </c>
      <c r="D4022" s="600">
        <v>49</v>
      </c>
    </row>
    <row r="4023" spans="1:4">
      <c r="A4023" s="401">
        <v>11756</v>
      </c>
      <c r="B4023" s="411" t="s">
        <v>11162</v>
      </c>
      <c r="C4023" s="401" t="s">
        <v>998</v>
      </c>
      <c r="D4023" s="600">
        <v>23.4</v>
      </c>
    </row>
    <row r="4024" spans="1:4" ht="38.25">
      <c r="A4024" s="401">
        <v>10904</v>
      </c>
      <c r="B4024" s="411" t="s">
        <v>11163</v>
      </c>
      <c r="C4024" s="401" t="s">
        <v>998</v>
      </c>
      <c r="D4024" s="600">
        <v>121.84</v>
      </c>
    </row>
    <row r="4025" spans="1:4">
      <c r="A4025" s="401">
        <v>11752</v>
      </c>
      <c r="B4025" s="411" t="s">
        <v>11164</v>
      </c>
      <c r="C4025" s="401" t="s">
        <v>998</v>
      </c>
      <c r="D4025" s="600">
        <v>13.49</v>
      </c>
    </row>
    <row r="4026" spans="1:4">
      <c r="A4026" s="401">
        <v>11753</v>
      </c>
      <c r="B4026" s="411" t="s">
        <v>11165</v>
      </c>
      <c r="C4026" s="401" t="s">
        <v>998</v>
      </c>
      <c r="D4026" s="600">
        <v>16.11</v>
      </c>
    </row>
    <row r="4027" spans="1:4" ht="25.5">
      <c r="A4027" s="401">
        <v>6021</v>
      </c>
      <c r="B4027" s="411" t="s">
        <v>11166</v>
      </c>
      <c r="C4027" s="401" t="s">
        <v>998</v>
      </c>
      <c r="D4027" s="600">
        <v>44.71</v>
      </c>
    </row>
    <row r="4028" spans="1:4" ht="25.5">
      <c r="A4028" s="401">
        <v>6024</v>
      </c>
      <c r="B4028" s="411" t="s">
        <v>11167</v>
      </c>
      <c r="C4028" s="401" t="s">
        <v>998</v>
      </c>
      <c r="D4028" s="600">
        <v>46.21</v>
      </c>
    </row>
    <row r="4029" spans="1:4">
      <c r="A4029" s="401">
        <v>38379</v>
      </c>
      <c r="B4029" s="411" t="s">
        <v>11168</v>
      </c>
      <c r="C4029" s="401" t="s">
        <v>1002</v>
      </c>
      <c r="D4029" s="600">
        <v>31.17</v>
      </c>
    </row>
    <row r="4030" spans="1:4" ht="25.5">
      <c r="A4030" s="401">
        <v>13897</v>
      </c>
      <c r="B4030" s="411" t="s">
        <v>11169</v>
      </c>
      <c r="C4030" s="401" t="s">
        <v>998</v>
      </c>
      <c r="D4030" s="600">
        <v>5934.87</v>
      </c>
    </row>
    <row r="4031" spans="1:4">
      <c r="A4031" s="401">
        <v>10640</v>
      </c>
      <c r="B4031" s="411" t="s">
        <v>11170</v>
      </c>
      <c r="C4031" s="401" t="s">
        <v>998</v>
      </c>
      <c r="D4031" s="600">
        <v>12853.69</v>
      </c>
    </row>
    <row r="4032" spans="1:4" ht="25.5">
      <c r="A4032" s="401">
        <v>11086</v>
      </c>
      <c r="B4032" s="411" t="s">
        <v>11171</v>
      </c>
      <c r="C4032" s="401" t="s">
        <v>996</v>
      </c>
      <c r="D4032" s="600">
        <v>71.92</v>
      </c>
    </row>
    <row r="4033" spans="1:4">
      <c r="A4033" s="401">
        <v>34356</v>
      </c>
      <c r="B4033" s="411" t="s">
        <v>11172</v>
      </c>
      <c r="C4033" s="401" t="s">
        <v>995</v>
      </c>
      <c r="D4033" s="600">
        <v>3.72</v>
      </c>
    </row>
    <row r="4034" spans="1:4">
      <c r="A4034" s="401">
        <v>34357</v>
      </c>
      <c r="B4034" s="411" t="s">
        <v>11173</v>
      </c>
      <c r="C4034" s="401" t="s">
        <v>995</v>
      </c>
      <c r="D4034" s="600">
        <v>4.13</v>
      </c>
    </row>
    <row r="4035" spans="1:4">
      <c r="A4035" s="401">
        <v>37329</v>
      </c>
      <c r="B4035" s="411" t="s">
        <v>11174</v>
      </c>
      <c r="C4035" s="401" t="s">
        <v>995</v>
      </c>
      <c r="D4035" s="600">
        <v>57.59</v>
      </c>
    </row>
    <row r="4036" spans="1:4">
      <c r="A4036" s="401">
        <v>37398</v>
      </c>
      <c r="B4036" s="411" t="s">
        <v>11175</v>
      </c>
      <c r="C4036" s="401" t="s">
        <v>995</v>
      </c>
      <c r="D4036" s="600">
        <v>73.709999999999994</v>
      </c>
    </row>
    <row r="4037" spans="1:4">
      <c r="A4037" s="401">
        <v>2510</v>
      </c>
      <c r="B4037" s="411" t="s">
        <v>11176</v>
      </c>
      <c r="C4037" s="401" t="s">
        <v>998</v>
      </c>
      <c r="D4037" s="600">
        <v>17.170000000000002</v>
      </c>
    </row>
    <row r="4038" spans="1:4" ht="25.5">
      <c r="A4038" s="401">
        <v>12359</v>
      </c>
      <c r="B4038" s="411" t="s">
        <v>11177</v>
      </c>
      <c r="C4038" s="401" t="s">
        <v>998</v>
      </c>
      <c r="D4038" s="600">
        <v>104.76</v>
      </c>
    </row>
    <row r="4039" spans="1:4">
      <c r="A4039" s="401">
        <v>5320</v>
      </c>
      <c r="B4039" s="411" t="s">
        <v>11178</v>
      </c>
      <c r="C4039" s="401" t="s">
        <v>997</v>
      </c>
      <c r="D4039" s="600">
        <v>32.590000000000003</v>
      </c>
    </row>
    <row r="4040" spans="1:4">
      <c r="A4040" s="401">
        <v>7353</v>
      </c>
      <c r="B4040" s="411" t="s">
        <v>11179</v>
      </c>
      <c r="C4040" s="401" t="s">
        <v>997</v>
      </c>
      <c r="D4040" s="600">
        <v>23.81</v>
      </c>
    </row>
    <row r="4041" spans="1:4">
      <c r="A4041" s="401">
        <v>36144</v>
      </c>
      <c r="B4041" s="411" t="s">
        <v>11180</v>
      </c>
      <c r="C4041" s="401" t="s">
        <v>998</v>
      </c>
      <c r="D4041" s="600">
        <v>1.33</v>
      </c>
    </row>
    <row r="4042" spans="1:4">
      <c r="A4042" s="401">
        <v>10518</v>
      </c>
      <c r="B4042" s="411" t="s">
        <v>11181</v>
      </c>
      <c r="C4042" s="401" t="s">
        <v>998</v>
      </c>
      <c r="D4042" s="600">
        <v>70.08</v>
      </c>
    </row>
    <row r="4043" spans="1:4" ht="51">
      <c r="A4043" s="401">
        <v>36530</v>
      </c>
      <c r="B4043" s="411" t="s">
        <v>11182</v>
      </c>
      <c r="C4043" s="401" t="s">
        <v>998</v>
      </c>
      <c r="D4043" s="600">
        <v>218963.41</v>
      </c>
    </row>
    <row r="4044" spans="1:4" ht="51">
      <c r="A4044" s="401">
        <v>6046</v>
      </c>
      <c r="B4044" s="411" t="s">
        <v>11183</v>
      </c>
      <c r="C4044" s="401" t="s">
        <v>998</v>
      </c>
      <c r="D4044" s="600">
        <v>237500</v>
      </c>
    </row>
    <row r="4045" spans="1:4" ht="51">
      <c r="A4045" s="401">
        <v>36531</v>
      </c>
      <c r="B4045" s="411" t="s">
        <v>11184</v>
      </c>
      <c r="C4045" s="401" t="s">
        <v>998</v>
      </c>
      <c r="D4045" s="600">
        <v>246189</v>
      </c>
    </row>
    <row r="4046" spans="1:4" ht="25.5">
      <c r="A4046" s="401">
        <v>34684</v>
      </c>
      <c r="B4046" s="411" t="s">
        <v>11185</v>
      </c>
      <c r="C4046" s="401" t="s">
        <v>1003</v>
      </c>
      <c r="D4046" s="600">
        <v>167.93</v>
      </c>
    </row>
    <row r="4047" spans="1:4" ht="25.5">
      <c r="A4047" s="401">
        <v>34683</v>
      </c>
      <c r="B4047" s="411" t="s">
        <v>11186</v>
      </c>
      <c r="C4047" s="401" t="s">
        <v>1003</v>
      </c>
      <c r="D4047" s="600">
        <v>104.95</v>
      </c>
    </row>
    <row r="4048" spans="1:4" ht="25.5">
      <c r="A4048" s="401">
        <v>533</v>
      </c>
      <c r="B4048" s="411" t="s">
        <v>11187</v>
      </c>
      <c r="C4048" s="401" t="s">
        <v>1003</v>
      </c>
      <c r="D4048" s="600">
        <v>10.56</v>
      </c>
    </row>
    <row r="4049" spans="1:4" ht="25.5">
      <c r="A4049" s="401">
        <v>10515</v>
      </c>
      <c r="B4049" s="411" t="s">
        <v>11188</v>
      </c>
      <c r="C4049" s="401" t="s">
        <v>1003</v>
      </c>
      <c r="D4049" s="600">
        <v>27.24</v>
      </c>
    </row>
    <row r="4050" spans="1:4" ht="25.5">
      <c r="A4050" s="401">
        <v>536</v>
      </c>
      <c r="B4050" s="411" t="s">
        <v>11189</v>
      </c>
      <c r="C4050" s="401" t="s">
        <v>1003</v>
      </c>
      <c r="D4050" s="600">
        <v>17.899999999999999</v>
      </c>
    </row>
    <row r="4051" spans="1:4" ht="25.5">
      <c r="A4051" s="401">
        <v>153</v>
      </c>
      <c r="B4051" s="411" t="s">
        <v>11190</v>
      </c>
      <c r="C4051" s="401" t="s">
        <v>997</v>
      </c>
      <c r="D4051" s="600">
        <v>67.98</v>
      </c>
    </row>
    <row r="4052" spans="1:4" ht="25.5">
      <c r="A4052" s="401">
        <v>34682</v>
      </c>
      <c r="B4052" s="411" t="s">
        <v>11191</v>
      </c>
      <c r="C4052" s="401" t="s">
        <v>1003</v>
      </c>
      <c r="D4052" s="600">
        <v>80.260000000000005</v>
      </c>
    </row>
    <row r="4053" spans="1:4" ht="25.5">
      <c r="A4053" s="401">
        <v>20205</v>
      </c>
      <c r="B4053" s="411" t="s">
        <v>11192</v>
      </c>
      <c r="C4053" s="401" t="s">
        <v>1002</v>
      </c>
      <c r="D4053" s="600">
        <v>1.48</v>
      </c>
    </row>
    <row r="4054" spans="1:4" ht="25.5">
      <c r="A4054" s="401">
        <v>4412</v>
      </c>
      <c r="B4054" s="411" t="s">
        <v>11193</v>
      </c>
      <c r="C4054" s="401" t="s">
        <v>1002</v>
      </c>
      <c r="D4054" s="600">
        <v>0.93</v>
      </c>
    </row>
    <row r="4055" spans="1:4" ht="25.5">
      <c r="A4055" s="401">
        <v>4408</v>
      </c>
      <c r="B4055" s="411" t="s">
        <v>11194</v>
      </c>
      <c r="C4055" s="401" t="s">
        <v>1002</v>
      </c>
      <c r="D4055" s="600">
        <v>1.26</v>
      </c>
    </row>
    <row r="4056" spans="1:4">
      <c r="A4056" s="401">
        <v>4505</v>
      </c>
      <c r="B4056" s="411" t="s">
        <v>11195</v>
      </c>
      <c r="C4056" s="401" t="s">
        <v>1002</v>
      </c>
      <c r="D4056" s="600">
        <v>2.48</v>
      </c>
    </row>
    <row r="4057" spans="1:4">
      <c r="A4057" s="401">
        <v>10559</v>
      </c>
      <c r="B4057" s="411" t="s">
        <v>11196</v>
      </c>
      <c r="C4057" s="401" t="s">
        <v>998</v>
      </c>
      <c r="D4057" s="600">
        <v>2365</v>
      </c>
    </row>
    <row r="4058" spans="1:4">
      <c r="A4058" s="401">
        <v>10664</v>
      </c>
      <c r="B4058" s="411" t="s">
        <v>11197</v>
      </c>
      <c r="C4058" s="401" t="s">
        <v>998</v>
      </c>
      <c r="D4058" s="600">
        <v>6427.56</v>
      </c>
    </row>
    <row r="4059" spans="1:4">
      <c r="A4059" s="401">
        <v>36250</v>
      </c>
      <c r="B4059" s="411" t="s">
        <v>11198</v>
      </c>
      <c r="C4059" s="401" t="s">
        <v>1002</v>
      </c>
      <c r="D4059" s="600">
        <v>2.59</v>
      </c>
    </row>
    <row r="4060" spans="1:4">
      <c r="A4060" s="401">
        <v>10857</v>
      </c>
      <c r="B4060" s="411" t="s">
        <v>11199</v>
      </c>
      <c r="C4060" s="401" t="s">
        <v>1002</v>
      </c>
      <c r="D4060" s="600">
        <v>9.9700000000000006</v>
      </c>
    </row>
    <row r="4061" spans="1:4">
      <c r="A4061" s="401">
        <v>4803</v>
      </c>
      <c r="B4061" s="411" t="s">
        <v>11200</v>
      </c>
      <c r="C4061" s="401" t="s">
        <v>1002</v>
      </c>
      <c r="D4061" s="600">
        <v>25.06</v>
      </c>
    </row>
    <row r="4062" spans="1:4" ht="25.5">
      <c r="A4062" s="401">
        <v>6186</v>
      </c>
      <c r="B4062" s="411" t="s">
        <v>11201</v>
      </c>
      <c r="C4062" s="401" t="s">
        <v>1002</v>
      </c>
      <c r="D4062" s="600">
        <v>10.130000000000001</v>
      </c>
    </row>
    <row r="4063" spans="1:4">
      <c r="A4063" s="401">
        <v>4829</v>
      </c>
      <c r="B4063" s="411" t="s">
        <v>11202</v>
      </c>
      <c r="C4063" s="401" t="s">
        <v>1002</v>
      </c>
      <c r="D4063" s="600">
        <v>36.659999999999997</v>
      </c>
    </row>
    <row r="4064" spans="1:4">
      <c r="A4064" s="401">
        <v>39829</v>
      </c>
      <c r="B4064" s="411" t="s">
        <v>11203</v>
      </c>
      <c r="C4064" s="401" t="s">
        <v>1002</v>
      </c>
      <c r="D4064" s="600">
        <v>20.37</v>
      </c>
    </row>
    <row r="4065" spans="1:4" ht="25.5">
      <c r="A4065" s="401">
        <v>20231</v>
      </c>
      <c r="B4065" s="411" t="s">
        <v>11204</v>
      </c>
      <c r="C4065" s="401" t="s">
        <v>1002</v>
      </c>
      <c r="D4065" s="600">
        <v>48.74</v>
      </c>
    </row>
    <row r="4066" spans="1:4">
      <c r="A4066" s="401">
        <v>4804</v>
      </c>
      <c r="B4066" s="411" t="s">
        <v>11205</v>
      </c>
      <c r="C4066" s="401" t="s">
        <v>1002</v>
      </c>
      <c r="D4066" s="600">
        <v>19.239999999999998</v>
      </c>
    </row>
    <row r="4067" spans="1:4">
      <c r="A4067" s="401">
        <v>34680</v>
      </c>
      <c r="B4067" s="411" t="s">
        <v>11206</v>
      </c>
      <c r="C4067" s="401" t="s">
        <v>1002</v>
      </c>
      <c r="D4067" s="600">
        <v>24.69</v>
      </c>
    </row>
    <row r="4068" spans="1:4" ht="25.5">
      <c r="A4068" s="401">
        <v>11573</v>
      </c>
      <c r="B4068" s="411" t="s">
        <v>11207</v>
      </c>
      <c r="C4068" s="401" t="s">
        <v>998</v>
      </c>
      <c r="D4068" s="600">
        <v>6.74</v>
      </c>
    </row>
    <row r="4069" spans="1:4">
      <c r="A4069" s="401">
        <v>38401</v>
      </c>
      <c r="B4069" s="411" t="s">
        <v>11208</v>
      </c>
      <c r="C4069" s="401" t="s">
        <v>998</v>
      </c>
      <c r="D4069" s="600">
        <v>12.08</v>
      </c>
    </row>
    <row r="4070" spans="1:4" ht="25.5">
      <c r="A4070" s="401">
        <v>38179</v>
      </c>
      <c r="B4070" s="411" t="s">
        <v>11209</v>
      </c>
      <c r="C4070" s="401" t="s">
        <v>998</v>
      </c>
      <c r="D4070" s="600">
        <v>29.57</v>
      </c>
    </row>
    <row r="4071" spans="1:4" ht="25.5">
      <c r="A4071" s="401">
        <v>11575</v>
      </c>
      <c r="B4071" s="411" t="s">
        <v>11210</v>
      </c>
      <c r="C4071" s="401" t="s">
        <v>998</v>
      </c>
      <c r="D4071" s="600">
        <v>31.91</v>
      </c>
    </row>
    <row r="4072" spans="1:4" ht="25.5">
      <c r="A4072" s="401">
        <v>20256</v>
      </c>
      <c r="B4072" s="411" t="s">
        <v>11211</v>
      </c>
      <c r="C4072" s="401" t="s">
        <v>998</v>
      </c>
      <c r="D4072" s="600">
        <v>0.33</v>
      </c>
    </row>
    <row r="4073" spans="1:4" ht="25.5">
      <c r="A4073" s="401">
        <v>14511</v>
      </c>
      <c r="B4073" s="411" t="s">
        <v>11212</v>
      </c>
      <c r="C4073" s="401" t="s">
        <v>998</v>
      </c>
      <c r="D4073" s="600">
        <v>492862.06</v>
      </c>
    </row>
    <row r="4074" spans="1:4" ht="25.5">
      <c r="A4074" s="401">
        <v>10642</v>
      </c>
      <c r="B4074" s="411" t="s">
        <v>11213</v>
      </c>
      <c r="C4074" s="401" t="s">
        <v>998</v>
      </c>
      <c r="D4074" s="600">
        <v>464300</v>
      </c>
    </row>
    <row r="4075" spans="1:4" ht="25.5">
      <c r="A4075" s="401">
        <v>14489</v>
      </c>
      <c r="B4075" s="411" t="s">
        <v>11214</v>
      </c>
      <c r="C4075" s="401" t="s">
        <v>998</v>
      </c>
      <c r="D4075" s="600">
        <v>411825.46</v>
      </c>
    </row>
    <row r="4076" spans="1:4" ht="25.5">
      <c r="A4076" s="401">
        <v>14513</v>
      </c>
      <c r="B4076" s="411" t="s">
        <v>11215</v>
      </c>
      <c r="C4076" s="401" t="s">
        <v>998</v>
      </c>
      <c r="D4076" s="600">
        <v>308878.87</v>
      </c>
    </row>
    <row r="4077" spans="1:4" ht="25.5">
      <c r="A4077" s="401">
        <v>13600</v>
      </c>
      <c r="B4077" s="411" t="s">
        <v>11216</v>
      </c>
      <c r="C4077" s="401" t="s">
        <v>998</v>
      </c>
      <c r="D4077" s="600">
        <v>398540.72</v>
      </c>
    </row>
    <row r="4078" spans="1:4" ht="25.5">
      <c r="A4078" s="401">
        <v>10646</v>
      </c>
      <c r="B4078" s="411" t="s">
        <v>11217</v>
      </c>
      <c r="C4078" s="401" t="s">
        <v>998</v>
      </c>
      <c r="D4078" s="600">
        <v>297085.55</v>
      </c>
    </row>
    <row r="4079" spans="1:4" ht="25.5">
      <c r="A4079" s="401">
        <v>6070</v>
      </c>
      <c r="B4079" s="411" t="s">
        <v>11218</v>
      </c>
      <c r="C4079" s="401" t="s">
        <v>998</v>
      </c>
      <c r="D4079" s="600">
        <v>405930.85</v>
      </c>
    </row>
    <row r="4080" spans="1:4" ht="25.5">
      <c r="A4080" s="401">
        <v>6069</v>
      </c>
      <c r="B4080" s="411" t="s">
        <v>11219</v>
      </c>
      <c r="C4080" s="401" t="s">
        <v>998</v>
      </c>
      <c r="D4080" s="600">
        <v>89676.24</v>
      </c>
    </row>
    <row r="4081" spans="1:4" ht="25.5">
      <c r="A4081" s="401">
        <v>14626</v>
      </c>
      <c r="B4081" s="411" t="s">
        <v>11220</v>
      </c>
      <c r="C4081" s="401" t="s">
        <v>998</v>
      </c>
      <c r="D4081" s="600">
        <v>444401.44</v>
      </c>
    </row>
    <row r="4082" spans="1:4" ht="25.5">
      <c r="A4082" s="401">
        <v>6067</v>
      </c>
      <c r="B4082" s="411" t="s">
        <v>11221</v>
      </c>
      <c r="C4082" s="401" t="s">
        <v>998</v>
      </c>
      <c r="D4082" s="600">
        <v>364807.14</v>
      </c>
    </row>
    <row r="4083" spans="1:4">
      <c r="A4083" s="401">
        <v>38393</v>
      </c>
      <c r="B4083" s="411" t="s">
        <v>11222</v>
      </c>
      <c r="C4083" s="401" t="s">
        <v>998</v>
      </c>
      <c r="D4083" s="600">
        <v>14</v>
      </c>
    </row>
    <row r="4084" spans="1:4">
      <c r="A4084" s="401">
        <v>38390</v>
      </c>
      <c r="B4084" s="411" t="s">
        <v>11223</v>
      </c>
      <c r="C4084" s="401" t="s">
        <v>998</v>
      </c>
      <c r="D4084" s="600">
        <v>31.05</v>
      </c>
    </row>
    <row r="4085" spans="1:4">
      <c r="A4085" s="401">
        <v>36532</v>
      </c>
      <c r="B4085" s="411" t="s">
        <v>11224</v>
      </c>
      <c r="C4085" s="401" t="s">
        <v>998</v>
      </c>
      <c r="D4085" s="600">
        <v>27524.48</v>
      </c>
    </row>
    <row r="4086" spans="1:4" ht="25.5">
      <c r="A4086" s="401">
        <v>11578</v>
      </c>
      <c r="B4086" s="411" t="s">
        <v>11225</v>
      </c>
      <c r="C4086" s="401" t="s">
        <v>998</v>
      </c>
      <c r="D4086" s="600">
        <v>10.25</v>
      </c>
    </row>
    <row r="4087" spans="1:4" ht="25.5">
      <c r="A4087" s="401">
        <v>11577</v>
      </c>
      <c r="B4087" s="411" t="s">
        <v>11226</v>
      </c>
      <c r="C4087" s="401" t="s">
        <v>998</v>
      </c>
      <c r="D4087" s="600">
        <v>9.7799999999999994</v>
      </c>
    </row>
    <row r="4088" spans="1:4" ht="38.25">
      <c r="A4088" s="401">
        <v>42432</v>
      </c>
      <c r="B4088" s="411" t="s">
        <v>11227</v>
      </c>
      <c r="C4088" s="401" t="s">
        <v>998</v>
      </c>
      <c r="D4088" s="600">
        <v>1349.51</v>
      </c>
    </row>
    <row r="4089" spans="1:4" ht="38.25">
      <c r="A4089" s="401">
        <v>42437</v>
      </c>
      <c r="B4089" s="411" t="s">
        <v>11228</v>
      </c>
      <c r="C4089" s="401" t="s">
        <v>998</v>
      </c>
      <c r="D4089" s="600">
        <v>1025.98</v>
      </c>
    </row>
    <row r="4090" spans="1:4">
      <c r="A4090" s="401">
        <v>1116</v>
      </c>
      <c r="B4090" s="411" t="s">
        <v>11229</v>
      </c>
      <c r="C4090" s="401" t="s">
        <v>1002</v>
      </c>
      <c r="D4090" s="600">
        <v>16.71</v>
      </c>
    </row>
    <row r="4091" spans="1:4">
      <c r="A4091" s="401">
        <v>1115</v>
      </c>
      <c r="B4091" s="411" t="s">
        <v>11230</v>
      </c>
      <c r="C4091" s="401" t="s">
        <v>1002</v>
      </c>
      <c r="D4091" s="600">
        <v>20.02</v>
      </c>
    </row>
    <row r="4092" spans="1:4">
      <c r="A4092" s="401">
        <v>1113</v>
      </c>
      <c r="B4092" s="411" t="s">
        <v>11231</v>
      </c>
      <c r="C4092" s="401" t="s">
        <v>1002</v>
      </c>
      <c r="D4092" s="600">
        <v>23.4</v>
      </c>
    </row>
    <row r="4093" spans="1:4">
      <c r="A4093" s="401">
        <v>1114</v>
      </c>
      <c r="B4093" s="411" t="s">
        <v>11232</v>
      </c>
      <c r="C4093" s="401" t="s">
        <v>1002</v>
      </c>
      <c r="D4093" s="600">
        <v>27.88</v>
      </c>
    </row>
    <row r="4094" spans="1:4">
      <c r="A4094" s="401">
        <v>40873</v>
      </c>
      <c r="B4094" s="411" t="s">
        <v>11233</v>
      </c>
      <c r="C4094" s="401" t="s">
        <v>1002</v>
      </c>
      <c r="D4094" s="600">
        <v>21.82</v>
      </c>
    </row>
    <row r="4095" spans="1:4">
      <c r="A4095" s="401">
        <v>20214</v>
      </c>
      <c r="B4095" s="411" t="s">
        <v>11234</v>
      </c>
      <c r="C4095" s="401" t="s">
        <v>998</v>
      </c>
      <c r="D4095" s="600">
        <v>31.28</v>
      </c>
    </row>
    <row r="4096" spans="1:4" ht="25.5">
      <c r="A4096" s="401">
        <v>11064</v>
      </c>
      <c r="B4096" s="411" t="s">
        <v>11235</v>
      </c>
      <c r="C4096" s="401" t="s">
        <v>998</v>
      </c>
      <c r="D4096" s="600">
        <v>13.26</v>
      </c>
    </row>
    <row r="4097" spans="1:4" ht="25.5">
      <c r="A4097" s="401">
        <v>7237</v>
      </c>
      <c r="B4097" s="411" t="s">
        <v>11236</v>
      </c>
      <c r="C4097" s="401" t="s">
        <v>998</v>
      </c>
      <c r="D4097" s="600">
        <v>18.09</v>
      </c>
    </row>
    <row r="4098" spans="1:4">
      <c r="A4098" s="401">
        <v>16</v>
      </c>
      <c r="B4098" s="411" t="s">
        <v>11237</v>
      </c>
      <c r="C4098" s="401" t="s">
        <v>995</v>
      </c>
      <c r="D4098" s="600">
        <v>6.79</v>
      </c>
    </row>
    <row r="4099" spans="1:4">
      <c r="A4099" s="401">
        <v>11757</v>
      </c>
      <c r="B4099" s="411" t="s">
        <v>11238</v>
      </c>
      <c r="C4099" s="401" t="s">
        <v>998</v>
      </c>
      <c r="D4099" s="600">
        <v>23.5</v>
      </c>
    </row>
    <row r="4100" spans="1:4" ht="25.5">
      <c r="A4100" s="401">
        <v>11758</v>
      </c>
      <c r="B4100" s="411" t="s">
        <v>11239</v>
      </c>
      <c r="C4100" s="401" t="s">
        <v>998</v>
      </c>
      <c r="D4100" s="600">
        <v>43.6</v>
      </c>
    </row>
    <row r="4101" spans="1:4">
      <c r="A4101" s="401">
        <v>37526</v>
      </c>
      <c r="B4101" s="411" t="s">
        <v>11240</v>
      </c>
      <c r="C4101" s="401" t="s">
        <v>998</v>
      </c>
      <c r="D4101" s="600">
        <v>2.4</v>
      </c>
    </row>
    <row r="4102" spans="1:4">
      <c r="A4102" s="401">
        <v>6076</v>
      </c>
      <c r="B4102" s="411" t="s">
        <v>11241</v>
      </c>
      <c r="C4102" s="401" t="s">
        <v>996</v>
      </c>
      <c r="D4102" s="600">
        <v>52.83</v>
      </c>
    </row>
    <row r="4103" spans="1:4">
      <c r="A4103" s="401">
        <v>13109</v>
      </c>
      <c r="B4103" s="411" t="s">
        <v>11242</v>
      </c>
      <c r="C4103" s="401" t="s">
        <v>998</v>
      </c>
      <c r="D4103" s="600">
        <v>175.12</v>
      </c>
    </row>
    <row r="4104" spans="1:4">
      <c r="A4104" s="401">
        <v>13110</v>
      </c>
      <c r="B4104" s="411" t="s">
        <v>11243</v>
      </c>
      <c r="C4104" s="401" t="s">
        <v>998</v>
      </c>
      <c r="D4104" s="600">
        <v>230.47</v>
      </c>
    </row>
    <row r="4105" spans="1:4">
      <c r="A4105" s="401">
        <v>7581</v>
      </c>
      <c r="B4105" s="411" t="s">
        <v>11244</v>
      </c>
      <c r="C4105" s="401" t="s">
        <v>998</v>
      </c>
      <c r="D4105" s="600">
        <v>2.57</v>
      </c>
    </row>
    <row r="4106" spans="1:4" ht="25.5">
      <c r="A4106" s="401">
        <v>20206</v>
      </c>
      <c r="B4106" s="411" t="s">
        <v>11245</v>
      </c>
      <c r="C4106" s="401" t="s">
        <v>1002</v>
      </c>
      <c r="D4106" s="600">
        <v>4.38</v>
      </c>
    </row>
    <row r="4107" spans="1:4" ht="25.5">
      <c r="A4107" s="401">
        <v>4460</v>
      </c>
      <c r="B4107" s="411" t="s">
        <v>11246</v>
      </c>
      <c r="C4107" s="401" t="s">
        <v>1002</v>
      </c>
      <c r="D4107" s="600">
        <v>5.25</v>
      </c>
    </row>
    <row r="4108" spans="1:4" ht="25.5">
      <c r="A4108" s="401">
        <v>4417</v>
      </c>
      <c r="B4108" s="411" t="s">
        <v>11247</v>
      </c>
      <c r="C4108" s="401" t="s">
        <v>1002</v>
      </c>
      <c r="D4108" s="600">
        <v>3.02</v>
      </c>
    </row>
    <row r="4109" spans="1:4" ht="25.5">
      <c r="A4109" s="401">
        <v>4517</v>
      </c>
      <c r="B4109" s="411" t="s">
        <v>11248</v>
      </c>
      <c r="C4109" s="401" t="s">
        <v>1002</v>
      </c>
      <c r="D4109" s="600">
        <v>2</v>
      </c>
    </row>
    <row r="4110" spans="1:4" ht="25.5">
      <c r="A4110" s="401">
        <v>4512</v>
      </c>
      <c r="B4110" s="411" t="s">
        <v>11249</v>
      </c>
      <c r="C4110" s="401" t="s">
        <v>1002</v>
      </c>
      <c r="D4110" s="600">
        <v>1.44</v>
      </c>
    </row>
    <row r="4111" spans="1:4" ht="25.5">
      <c r="A4111" s="401">
        <v>4415</v>
      </c>
      <c r="B4111" s="411" t="s">
        <v>11250</v>
      </c>
      <c r="C4111" s="401" t="s">
        <v>1002</v>
      </c>
      <c r="D4111" s="600">
        <v>2.5299999999999998</v>
      </c>
    </row>
    <row r="4112" spans="1:4">
      <c r="A4112" s="401">
        <v>37373</v>
      </c>
      <c r="B4112" s="411" t="s">
        <v>11251</v>
      </c>
      <c r="C4112" s="401" t="s">
        <v>1001</v>
      </c>
      <c r="D4112" s="600">
        <v>7.0000000000000007E-2</v>
      </c>
    </row>
    <row r="4113" spans="1:4">
      <c r="A4113" s="401">
        <v>40864</v>
      </c>
      <c r="B4113" s="411" t="s">
        <v>11252</v>
      </c>
      <c r="C4113" s="401" t="s">
        <v>1118</v>
      </c>
      <c r="D4113" s="600">
        <v>13.07</v>
      </c>
    </row>
    <row r="4114" spans="1:4" ht="25.5">
      <c r="A4114" s="401">
        <v>4734</v>
      </c>
      <c r="B4114" s="411" t="s">
        <v>11253</v>
      </c>
      <c r="C4114" s="401" t="s">
        <v>996</v>
      </c>
      <c r="D4114" s="600">
        <v>102.36</v>
      </c>
    </row>
    <row r="4115" spans="1:4">
      <c r="A4115" s="401">
        <v>6085</v>
      </c>
      <c r="B4115" s="411" t="s">
        <v>11254</v>
      </c>
      <c r="C4115" s="401" t="s">
        <v>997</v>
      </c>
      <c r="D4115" s="600">
        <v>4.0199999999999996</v>
      </c>
    </row>
    <row r="4116" spans="1:4">
      <c r="A4116" s="401">
        <v>38396</v>
      </c>
      <c r="B4116" s="411" t="s">
        <v>11255</v>
      </c>
      <c r="C4116" s="401" t="s">
        <v>998</v>
      </c>
      <c r="D4116" s="600">
        <v>544.79999999999995</v>
      </c>
    </row>
    <row r="4117" spans="1:4">
      <c r="A4117" s="401">
        <v>6090</v>
      </c>
      <c r="B4117" s="411" t="s">
        <v>11256</v>
      </c>
      <c r="C4117" s="401" t="s">
        <v>997</v>
      </c>
      <c r="D4117" s="600">
        <v>7.64</v>
      </c>
    </row>
    <row r="4118" spans="1:4">
      <c r="A4118" s="401">
        <v>11622</v>
      </c>
      <c r="B4118" s="411" t="s">
        <v>11257</v>
      </c>
      <c r="C4118" s="401" t="s">
        <v>995</v>
      </c>
      <c r="D4118" s="600">
        <v>51.22</v>
      </c>
    </row>
    <row r="4119" spans="1:4">
      <c r="A4119" s="401">
        <v>6094</v>
      </c>
      <c r="B4119" s="411" t="s">
        <v>11258</v>
      </c>
      <c r="C4119" s="401" t="s">
        <v>995</v>
      </c>
      <c r="D4119" s="600">
        <v>12.91</v>
      </c>
    </row>
    <row r="4120" spans="1:4" ht="25.5">
      <c r="A4120" s="401">
        <v>43143</v>
      </c>
      <c r="B4120" s="411" t="s">
        <v>11259</v>
      </c>
      <c r="C4120" s="401" t="s">
        <v>997</v>
      </c>
      <c r="D4120" s="600">
        <v>19.34</v>
      </c>
    </row>
    <row r="4121" spans="1:4">
      <c r="A4121" s="401">
        <v>7317</v>
      </c>
      <c r="B4121" s="411" t="s">
        <v>11260</v>
      </c>
      <c r="C4121" s="401" t="s">
        <v>995</v>
      </c>
      <c r="D4121" s="600">
        <v>20.170000000000002</v>
      </c>
    </row>
    <row r="4122" spans="1:4" ht="25.5">
      <c r="A4122" s="401">
        <v>142</v>
      </c>
      <c r="B4122" s="411" t="s">
        <v>11261</v>
      </c>
      <c r="C4122" s="401" t="s">
        <v>999</v>
      </c>
      <c r="D4122" s="600">
        <v>24.17</v>
      </c>
    </row>
    <row r="4123" spans="1:4" ht="25.5">
      <c r="A4123" s="401">
        <v>43142</v>
      </c>
      <c r="B4123" s="411" t="s">
        <v>11262</v>
      </c>
      <c r="C4123" s="401" t="s">
        <v>997</v>
      </c>
      <c r="D4123" s="600">
        <v>109.79</v>
      </c>
    </row>
    <row r="4124" spans="1:4">
      <c r="A4124" s="401">
        <v>38123</v>
      </c>
      <c r="B4124" s="411" t="s">
        <v>11263</v>
      </c>
      <c r="C4124" s="401" t="s">
        <v>995</v>
      </c>
      <c r="D4124" s="600">
        <v>67.239999999999995</v>
      </c>
    </row>
    <row r="4125" spans="1:4" ht="25.5">
      <c r="A4125" s="401">
        <v>42701</v>
      </c>
      <c r="B4125" s="411" t="s">
        <v>11264</v>
      </c>
      <c r="C4125" s="401" t="s">
        <v>998</v>
      </c>
      <c r="D4125" s="600">
        <v>28.62</v>
      </c>
    </row>
    <row r="4126" spans="1:4" ht="25.5">
      <c r="A4126" s="401">
        <v>42702</v>
      </c>
      <c r="B4126" s="411" t="s">
        <v>11265</v>
      </c>
      <c r="C4126" s="401" t="s">
        <v>998</v>
      </c>
      <c r="D4126" s="600">
        <v>50.87</v>
      </c>
    </row>
    <row r="4127" spans="1:4" ht="25.5">
      <c r="A4127" s="401">
        <v>37955</v>
      </c>
      <c r="B4127" s="411" t="s">
        <v>11266</v>
      </c>
      <c r="C4127" s="401" t="s">
        <v>998</v>
      </c>
      <c r="D4127" s="600">
        <v>65.92</v>
      </c>
    </row>
    <row r="4128" spans="1:4" ht="25.5">
      <c r="A4128" s="401">
        <v>42699</v>
      </c>
      <c r="B4128" s="411" t="s">
        <v>11267</v>
      </c>
      <c r="C4128" s="401" t="s">
        <v>998</v>
      </c>
      <c r="D4128" s="600">
        <v>17.48</v>
      </c>
    </row>
    <row r="4129" spans="1:4" ht="25.5">
      <c r="A4129" s="401">
        <v>42700</v>
      </c>
      <c r="B4129" s="411" t="s">
        <v>11268</v>
      </c>
      <c r="C4129" s="401" t="s">
        <v>998</v>
      </c>
      <c r="D4129" s="600">
        <v>49.85</v>
      </c>
    </row>
    <row r="4130" spans="1:4" ht="25.5">
      <c r="A4130" s="401">
        <v>37743</v>
      </c>
      <c r="B4130" s="411" t="s">
        <v>11269</v>
      </c>
      <c r="C4130" s="401" t="s">
        <v>998</v>
      </c>
      <c r="D4130" s="600">
        <v>131739.35</v>
      </c>
    </row>
    <row r="4131" spans="1:4" ht="25.5">
      <c r="A4131" s="401">
        <v>37744</v>
      </c>
      <c r="B4131" s="411" t="s">
        <v>11270</v>
      </c>
      <c r="C4131" s="401" t="s">
        <v>998</v>
      </c>
      <c r="D4131" s="600">
        <v>154900.69</v>
      </c>
    </row>
    <row r="4132" spans="1:4" ht="25.5">
      <c r="A4132" s="401">
        <v>37741</v>
      </c>
      <c r="B4132" s="411" t="s">
        <v>11271</v>
      </c>
      <c r="C4132" s="401" t="s">
        <v>998</v>
      </c>
      <c r="D4132" s="600">
        <v>119789.87</v>
      </c>
    </row>
    <row r="4133" spans="1:4" ht="25.5">
      <c r="A4133" s="401">
        <v>39396</v>
      </c>
      <c r="B4133" s="411" t="s">
        <v>11272</v>
      </c>
      <c r="C4133" s="401" t="s">
        <v>998</v>
      </c>
      <c r="D4133" s="600">
        <v>33.630000000000003</v>
      </c>
    </row>
    <row r="4134" spans="1:4" ht="25.5">
      <c r="A4134" s="401">
        <v>39392</v>
      </c>
      <c r="B4134" s="411" t="s">
        <v>11273</v>
      </c>
      <c r="C4134" s="401" t="s">
        <v>998</v>
      </c>
      <c r="D4134" s="600">
        <v>37.93</v>
      </c>
    </row>
    <row r="4135" spans="1:4" ht="25.5">
      <c r="A4135" s="401">
        <v>39393</v>
      </c>
      <c r="B4135" s="411" t="s">
        <v>11274</v>
      </c>
      <c r="C4135" s="401" t="s">
        <v>998</v>
      </c>
      <c r="D4135" s="600">
        <v>23.46</v>
      </c>
    </row>
    <row r="4136" spans="1:4" ht="25.5">
      <c r="A4136" s="401">
        <v>39394</v>
      </c>
      <c r="B4136" s="411" t="s">
        <v>11275</v>
      </c>
      <c r="C4136" s="401" t="s">
        <v>998</v>
      </c>
      <c r="D4136" s="600">
        <v>26.4</v>
      </c>
    </row>
    <row r="4137" spans="1:4" ht="25.5">
      <c r="A4137" s="401">
        <v>39395</v>
      </c>
      <c r="B4137" s="411" t="s">
        <v>11276</v>
      </c>
      <c r="C4137" s="401" t="s">
        <v>998</v>
      </c>
      <c r="D4137" s="600">
        <v>24.55</v>
      </c>
    </row>
    <row r="4138" spans="1:4" ht="25.5">
      <c r="A4138" s="401">
        <v>14618</v>
      </c>
      <c r="B4138" s="411" t="s">
        <v>11277</v>
      </c>
      <c r="C4138" s="401" t="s">
        <v>998</v>
      </c>
      <c r="D4138" s="600">
        <v>1248.02</v>
      </c>
    </row>
    <row r="4139" spans="1:4" ht="25.5">
      <c r="A4139" s="401">
        <v>40269</v>
      </c>
      <c r="B4139" s="411" t="s">
        <v>11278</v>
      </c>
      <c r="C4139" s="401" t="s">
        <v>998</v>
      </c>
      <c r="D4139" s="600">
        <v>5028.18</v>
      </c>
    </row>
    <row r="4140" spans="1:4">
      <c r="A4140" s="401">
        <v>6110</v>
      </c>
      <c r="B4140" s="411" t="s">
        <v>11279</v>
      </c>
      <c r="C4140" s="401" t="s">
        <v>1001</v>
      </c>
      <c r="D4140" s="600">
        <v>12.79</v>
      </c>
    </row>
    <row r="4141" spans="1:4">
      <c r="A4141" s="401">
        <v>40910</v>
      </c>
      <c r="B4141" s="411" t="s">
        <v>11280</v>
      </c>
      <c r="C4141" s="401" t="s">
        <v>1118</v>
      </c>
      <c r="D4141" s="600">
        <v>2266.4299999999998</v>
      </c>
    </row>
    <row r="4142" spans="1:4">
      <c r="A4142" s="401">
        <v>6111</v>
      </c>
      <c r="B4142" s="411" t="s">
        <v>11281</v>
      </c>
      <c r="C4142" s="401" t="s">
        <v>1001</v>
      </c>
      <c r="D4142" s="600">
        <v>9.51</v>
      </c>
    </row>
    <row r="4143" spans="1:4">
      <c r="A4143" s="401">
        <v>41084</v>
      </c>
      <c r="B4143" s="411" t="s">
        <v>11282</v>
      </c>
      <c r="C4143" s="401" t="s">
        <v>1118</v>
      </c>
      <c r="D4143" s="600">
        <v>1685.96</v>
      </c>
    </row>
    <row r="4144" spans="1:4">
      <c r="A4144" s="401">
        <v>25950</v>
      </c>
      <c r="B4144" s="411" t="s">
        <v>11283</v>
      </c>
      <c r="C4144" s="401" t="s">
        <v>996</v>
      </c>
      <c r="D4144" s="600">
        <v>40.630000000000003</v>
      </c>
    </row>
    <row r="4145" spans="1:4">
      <c r="A4145" s="401">
        <v>38637</v>
      </c>
      <c r="B4145" s="411" t="s">
        <v>11284</v>
      </c>
      <c r="C4145" s="401" t="s">
        <v>998</v>
      </c>
      <c r="D4145" s="600">
        <v>187.74</v>
      </c>
    </row>
    <row r="4146" spans="1:4">
      <c r="A4146" s="401">
        <v>6150</v>
      </c>
      <c r="B4146" s="411" t="s">
        <v>11285</v>
      </c>
      <c r="C4146" s="401" t="s">
        <v>998</v>
      </c>
      <c r="D4146" s="600">
        <v>190.04</v>
      </c>
    </row>
    <row r="4147" spans="1:4">
      <c r="A4147" s="401">
        <v>6136</v>
      </c>
      <c r="B4147" s="411" t="s">
        <v>11286</v>
      </c>
      <c r="C4147" s="401" t="s">
        <v>998</v>
      </c>
      <c r="D4147" s="600">
        <v>149.38</v>
      </c>
    </row>
    <row r="4148" spans="1:4">
      <c r="A4148" s="401">
        <v>38638</v>
      </c>
      <c r="B4148" s="411" t="s">
        <v>11287</v>
      </c>
      <c r="C4148" s="401" t="s">
        <v>998</v>
      </c>
      <c r="D4148" s="600">
        <v>158.19999999999999</v>
      </c>
    </row>
    <row r="4149" spans="1:4">
      <c r="A4149" s="401">
        <v>20262</v>
      </c>
      <c r="B4149" s="411" t="s">
        <v>11288</v>
      </c>
      <c r="C4149" s="401" t="s">
        <v>998</v>
      </c>
      <c r="D4149" s="600">
        <v>12.93</v>
      </c>
    </row>
    <row r="4150" spans="1:4">
      <c r="A4150" s="401">
        <v>6148</v>
      </c>
      <c r="B4150" s="411" t="s">
        <v>11289</v>
      </c>
      <c r="C4150" s="401" t="s">
        <v>998</v>
      </c>
      <c r="D4150" s="600">
        <v>8</v>
      </c>
    </row>
    <row r="4151" spans="1:4">
      <c r="A4151" s="401">
        <v>6145</v>
      </c>
      <c r="B4151" s="411" t="s">
        <v>11290</v>
      </c>
      <c r="C4151" s="401" t="s">
        <v>998</v>
      </c>
      <c r="D4151" s="600">
        <v>14.34</v>
      </c>
    </row>
    <row r="4152" spans="1:4">
      <c r="A4152" s="401">
        <v>6149</v>
      </c>
      <c r="B4152" s="411" t="s">
        <v>11291</v>
      </c>
      <c r="C4152" s="401" t="s">
        <v>998</v>
      </c>
      <c r="D4152" s="600">
        <v>13.52</v>
      </c>
    </row>
    <row r="4153" spans="1:4">
      <c r="A4153" s="401">
        <v>6146</v>
      </c>
      <c r="B4153" s="411" t="s">
        <v>11292</v>
      </c>
      <c r="C4153" s="401" t="s">
        <v>998</v>
      </c>
      <c r="D4153" s="600">
        <v>14.36</v>
      </c>
    </row>
    <row r="4154" spans="1:4">
      <c r="A4154" s="401">
        <v>26026</v>
      </c>
      <c r="B4154" s="411" t="s">
        <v>11293</v>
      </c>
      <c r="C4154" s="401" t="s">
        <v>995</v>
      </c>
      <c r="D4154" s="600">
        <v>2.0299999999999998</v>
      </c>
    </row>
    <row r="4155" spans="1:4">
      <c r="A4155" s="401">
        <v>39961</v>
      </c>
      <c r="B4155" s="411" t="s">
        <v>11294</v>
      </c>
      <c r="C4155" s="401" t="s">
        <v>998</v>
      </c>
      <c r="D4155" s="600">
        <v>15.97</v>
      </c>
    </row>
    <row r="4156" spans="1:4" ht="38.25">
      <c r="A4156" s="401">
        <v>42433</v>
      </c>
      <c r="B4156" s="411" t="s">
        <v>11295</v>
      </c>
      <c r="C4156" s="401" t="s">
        <v>998</v>
      </c>
      <c r="D4156" s="600">
        <v>2665.57</v>
      </c>
    </row>
    <row r="4157" spans="1:4" ht="38.25">
      <c r="A4157" s="401">
        <v>42434</v>
      </c>
      <c r="B4157" s="411" t="s">
        <v>11296</v>
      </c>
      <c r="C4157" s="401" t="s">
        <v>998</v>
      </c>
      <c r="D4157" s="600">
        <v>2880.54</v>
      </c>
    </row>
    <row r="4158" spans="1:4" ht="38.25">
      <c r="A4158" s="401">
        <v>42435</v>
      </c>
      <c r="B4158" s="411" t="s">
        <v>11297</v>
      </c>
      <c r="C4158" s="401" t="s">
        <v>998</v>
      </c>
      <c r="D4158" s="600">
        <v>1436.41</v>
      </c>
    </row>
    <row r="4159" spans="1:4">
      <c r="A4159" s="401">
        <v>38061</v>
      </c>
      <c r="B4159" s="411" t="s">
        <v>11298</v>
      </c>
      <c r="C4159" s="401" t="s">
        <v>998</v>
      </c>
      <c r="D4159" s="600">
        <v>53.63</v>
      </c>
    </row>
    <row r="4160" spans="1:4">
      <c r="A4160" s="401">
        <v>20250</v>
      </c>
      <c r="B4160" s="411" t="s">
        <v>11299</v>
      </c>
      <c r="C4160" s="401" t="s">
        <v>995</v>
      </c>
      <c r="D4160" s="600">
        <v>10.84</v>
      </c>
    </row>
    <row r="4161" spans="1:4" ht="38.25">
      <c r="A4161" s="401">
        <v>39965</v>
      </c>
      <c r="B4161" s="411" t="s">
        <v>11300</v>
      </c>
      <c r="C4161" s="401" t="s">
        <v>1003</v>
      </c>
      <c r="D4161" s="600">
        <v>1325.85</v>
      </c>
    </row>
    <row r="4162" spans="1:4" ht="51">
      <c r="A4162" s="401">
        <v>39964</v>
      </c>
      <c r="B4162" s="411" t="s">
        <v>11301</v>
      </c>
      <c r="C4162" s="401" t="s">
        <v>1003</v>
      </c>
      <c r="D4162" s="600">
        <v>1126.1600000000001</v>
      </c>
    </row>
    <row r="4163" spans="1:4">
      <c r="A4163" s="401">
        <v>7</v>
      </c>
      <c r="B4163" s="411" t="s">
        <v>11302</v>
      </c>
      <c r="C4163" s="401" t="s">
        <v>995</v>
      </c>
      <c r="D4163" s="600">
        <v>11.28</v>
      </c>
    </row>
    <row r="4164" spans="1:4">
      <c r="A4164" s="401">
        <v>13388</v>
      </c>
      <c r="B4164" s="411" t="s">
        <v>11303</v>
      </c>
      <c r="C4164" s="401" t="s">
        <v>995</v>
      </c>
      <c r="D4164" s="600">
        <v>60.83</v>
      </c>
    </row>
    <row r="4165" spans="1:4">
      <c r="A4165" s="401">
        <v>39914</v>
      </c>
      <c r="B4165" s="411" t="s">
        <v>11304</v>
      </c>
      <c r="C4165" s="401" t="s">
        <v>995</v>
      </c>
      <c r="D4165" s="600">
        <v>161.83000000000001</v>
      </c>
    </row>
    <row r="4166" spans="1:4" ht="25.5">
      <c r="A4166" s="401">
        <v>12732</v>
      </c>
      <c r="B4166" s="411" t="s">
        <v>11305</v>
      </c>
      <c r="C4166" s="401" t="s">
        <v>998</v>
      </c>
      <c r="D4166" s="600">
        <v>186.73</v>
      </c>
    </row>
    <row r="4167" spans="1:4">
      <c r="A4167" s="401">
        <v>6160</v>
      </c>
      <c r="B4167" s="411" t="s">
        <v>11306</v>
      </c>
      <c r="C4167" s="401" t="s">
        <v>1001</v>
      </c>
      <c r="D4167" s="600">
        <v>12.36</v>
      </c>
    </row>
    <row r="4168" spans="1:4">
      <c r="A4168" s="401">
        <v>41087</v>
      </c>
      <c r="B4168" s="411" t="s">
        <v>11307</v>
      </c>
      <c r="C4168" s="401" t="s">
        <v>1118</v>
      </c>
      <c r="D4168" s="600">
        <v>2191.4299999999998</v>
      </c>
    </row>
    <row r="4169" spans="1:4">
      <c r="A4169" s="401">
        <v>6166</v>
      </c>
      <c r="B4169" s="411" t="s">
        <v>11308</v>
      </c>
      <c r="C4169" s="401" t="s">
        <v>1001</v>
      </c>
      <c r="D4169" s="600">
        <v>16.559999999999999</v>
      </c>
    </row>
    <row r="4170" spans="1:4">
      <c r="A4170" s="401">
        <v>41088</v>
      </c>
      <c r="B4170" s="411" t="s">
        <v>11309</v>
      </c>
      <c r="C4170" s="401" t="s">
        <v>1118</v>
      </c>
      <c r="D4170" s="600">
        <v>2937.82</v>
      </c>
    </row>
    <row r="4171" spans="1:4" ht="25.5">
      <c r="A4171" s="401">
        <v>20232</v>
      </c>
      <c r="B4171" s="411" t="s">
        <v>11310</v>
      </c>
      <c r="C4171" s="401" t="s">
        <v>1002</v>
      </c>
      <c r="D4171" s="600">
        <v>69</v>
      </c>
    </row>
    <row r="4172" spans="1:4">
      <c r="A4172" s="401">
        <v>10856</v>
      </c>
      <c r="B4172" s="411" t="s">
        <v>11311</v>
      </c>
      <c r="C4172" s="401" t="s">
        <v>1002</v>
      </c>
      <c r="D4172" s="600">
        <v>67.91</v>
      </c>
    </row>
    <row r="4173" spans="1:4" ht="25.5">
      <c r="A4173" s="401">
        <v>4828</v>
      </c>
      <c r="B4173" s="411" t="s">
        <v>11312</v>
      </c>
      <c r="C4173" s="401" t="s">
        <v>1002</v>
      </c>
      <c r="D4173" s="600">
        <v>54.73</v>
      </c>
    </row>
    <row r="4174" spans="1:4">
      <c r="A4174" s="401">
        <v>20249</v>
      </c>
      <c r="B4174" s="411" t="s">
        <v>11313</v>
      </c>
      <c r="C4174" s="401" t="s">
        <v>1002</v>
      </c>
      <c r="D4174" s="600">
        <v>29.97</v>
      </c>
    </row>
    <row r="4175" spans="1:4">
      <c r="A4175" s="401">
        <v>11609</v>
      </c>
      <c r="B4175" s="411" t="s">
        <v>11314</v>
      </c>
      <c r="C4175" s="401" t="s">
        <v>997</v>
      </c>
      <c r="D4175" s="600">
        <v>8.51</v>
      </c>
    </row>
    <row r="4176" spans="1:4">
      <c r="A4176" s="401">
        <v>20083</v>
      </c>
      <c r="B4176" s="411" t="s">
        <v>11315</v>
      </c>
      <c r="C4176" s="401" t="s">
        <v>998</v>
      </c>
      <c r="D4176" s="600">
        <v>69.42</v>
      </c>
    </row>
    <row r="4177" spans="1:4">
      <c r="A4177" s="401">
        <v>20082</v>
      </c>
      <c r="B4177" s="411" t="s">
        <v>11316</v>
      </c>
      <c r="C4177" s="401" t="s">
        <v>998</v>
      </c>
      <c r="D4177" s="600">
        <v>27.04</v>
      </c>
    </row>
    <row r="4178" spans="1:4">
      <c r="A4178" s="401">
        <v>5318</v>
      </c>
      <c r="B4178" s="411" t="s">
        <v>11317</v>
      </c>
      <c r="C4178" s="401" t="s">
        <v>997</v>
      </c>
      <c r="D4178" s="600">
        <v>12.12</v>
      </c>
    </row>
    <row r="4179" spans="1:4">
      <c r="A4179" s="401">
        <v>10691</v>
      </c>
      <c r="B4179" s="411" t="s">
        <v>11318</v>
      </c>
      <c r="C4179" s="401" t="s">
        <v>997</v>
      </c>
      <c r="D4179" s="600">
        <v>37.76</v>
      </c>
    </row>
    <row r="4180" spans="1:4">
      <c r="A4180" s="401">
        <v>12295</v>
      </c>
      <c r="B4180" s="411" t="s">
        <v>11319</v>
      </c>
      <c r="C4180" s="401" t="s">
        <v>998</v>
      </c>
      <c r="D4180" s="600">
        <v>2.85</v>
      </c>
    </row>
    <row r="4181" spans="1:4">
      <c r="A4181" s="401">
        <v>12296</v>
      </c>
      <c r="B4181" s="411" t="s">
        <v>11320</v>
      </c>
      <c r="C4181" s="401" t="s">
        <v>998</v>
      </c>
      <c r="D4181" s="600">
        <v>3.7</v>
      </c>
    </row>
    <row r="4182" spans="1:4">
      <c r="A4182" s="401">
        <v>12294</v>
      </c>
      <c r="B4182" s="411" t="s">
        <v>11321</v>
      </c>
      <c r="C4182" s="401" t="s">
        <v>998</v>
      </c>
      <c r="D4182" s="600">
        <v>8.8800000000000008</v>
      </c>
    </row>
    <row r="4183" spans="1:4">
      <c r="A4183" s="401">
        <v>14543</v>
      </c>
      <c r="B4183" s="411" t="s">
        <v>11322</v>
      </c>
      <c r="C4183" s="401" t="s">
        <v>998</v>
      </c>
      <c r="D4183" s="600">
        <v>6.34</v>
      </c>
    </row>
    <row r="4184" spans="1:4">
      <c r="A4184" s="401">
        <v>13329</v>
      </c>
      <c r="B4184" s="411" t="s">
        <v>11323</v>
      </c>
      <c r="C4184" s="401" t="s">
        <v>998</v>
      </c>
      <c r="D4184" s="600">
        <v>3.72</v>
      </c>
    </row>
    <row r="4185" spans="1:4" ht="25.5">
      <c r="A4185" s="401">
        <v>21044</v>
      </c>
      <c r="B4185" s="411" t="s">
        <v>11324</v>
      </c>
      <c r="C4185" s="401" t="s">
        <v>998</v>
      </c>
      <c r="D4185" s="600">
        <v>27.64</v>
      </c>
    </row>
    <row r="4186" spans="1:4" ht="25.5">
      <c r="A4186" s="401">
        <v>21045</v>
      </c>
      <c r="B4186" s="411" t="s">
        <v>11325</v>
      </c>
      <c r="C4186" s="401" t="s">
        <v>998</v>
      </c>
      <c r="D4186" s="600">
        <v>37.86</v>
      </c>
    </row>
    <row r="4187" spans="1:4" ht="25.5">
      <c r="A4187" s="401">
        <v>21040</v>
      </c>
      <c r="B4187" s="411" t="s">
        <v>11326</v>
      </c>
      <c r="C4187" s="401" t="s">
        <v>998</v>
      </c>
      <c r="D4187" s="600">
        <v>27.05</v>
      </c>
    </row>
    <row r="4188" spans="1:4" ht="25.5">
      <c r="A4188" s="401">
        <v>21041</v>
      </c>
      <c r="B4188" s="411" t="s">
        <v>11327</v>
      </c>
      <c r="C4188" s="401" t="s">
        <v>998</v>
      </c>
      <c r="D4188" s="600">
        <v>32.65</v>
      </c>
    </row>
    <row r="4189" spans="1:4" ht="25.5">
      <c r="A4189" s="401">
        <v>21047</v>
      </c>
      <c r="B4189" s="411" t="s">
        <v>11328</v>
      </c>
      <c r="C4189" s="401" t="s">
        <v>998</v>
      </c>
      <c r="D4189" s="600">
        <v>40.75</v>
      </c>
    </row>
    <row r="4190" spans="1:4" ht="25.5">
      <c r="A4190" s="401">
        <v>21043</v>
      </c>
      <c r="B4190" s="411" t="s">
        <v>11329</v>
      </c>
      <c r="C4190" s="401" t="s">
        <v>998</v>
      </c>
      <c r="D4190" s="600">
        <v>39.68</v>
      </c>
    </row>
    <row r="4191" spans="1:4" ht="25.5">
      <c r="A4191" s="401">
        <v>21042</v>
      </c>
      <c r="B4191" s="411" t="s">
        <v>11330</v>
      </c>
      <c r="C4191" s="401" t="s">
        <v>998</v>
      </c>
      <c r="D4191" s="600">
        <v>31.41</v>
      </c>
    </row>
    <row r="4192" spans="1:4">
      <c r="A4192" s="401">
        <v>11895</v>
      </c>
      <c r="B4192" s="411" t="s">
        <v>11331</v>
      </c>
      <c r="C4192" s="401" t="s">
        <v>998</v>
      </c>
      <c r="D4192" s="600">
        <v>976.95</v>
      </c>
    </row>
    <row r="4193" spans="1:4">
      <c r="A4193" s="401">
        <v>11896</v>
      </c>
      <c r="B4193" s="411" t="s">
        <v>11332</v>
      </c>
      <c r="C4193" s="401" t="s">
        <v>998</v>
      </c>
      <c r="D4193" s="600">
        <v>5120.58</v>
      </c>
    </row>
    <row r="4194" spans="1:4">
      <c r="A4194" s="401">
        <v>11897</v>
      </c>
      <c r="B4194" s="411" t="s">
        <v>11333</v>
      </c>
      <c r="C4194" s="401" t="s">
        <v>998</v>
      </c>
      <c r="D4194" s="600">
        <v>6681.46</v>
      </c>
    </row>
    <row r="4195" spans="1:4">
      <c r="A4195" s="401">
        <v>11898</v>
      </c>
      <c r="B4195" s="411" t="s">
        <v>11334</v>
      </c>
      <c r="C4195" s="401" t="s">
        <v>998</v>
      </c>
      <c r="D4195" s="600">
        <v>7018.34</v>
      </c>
    </row>
    <row r="4196" spans="1:4">
      <c r="A4196" s="401">
        <v>3282</v>
      </c>
      <c r="B4196" s="411" t="s">
        <v>11335</v>
      </c>
      <c r="C4196" s="401" t="s">
        <v>998</v>
      </c>
      <c r="D4196" s="600">
        <v>710.25</v>
      </c>
    </row>
    <row r="4197" spans="1:4">
      <c r="A4197" s="401">
        <v>11899</v>
      </c>
      <c r="B4197" s="411" t="s">
        <v>11336</v>
      </c>
      <c r="C4197" s="401" t="s">
        <v>998</v>
      </c>
      <c r="D4197" s="600">
        <v>3464.25</v>
      </c>
    </row>
    <row r="4198" spans="1:4">
      <c r="A4198" s="401">
        <v>11900</v>
      </c>
      <c r="B4198" s="411" t="s">
        <v>11337</v>
      </c>
      <c r="C4198" s="401" t="s">
        <v>998</v>
      </c>
      <c r="D4198" s="600">
        <v>4750.01</v>
      </c>
    </row>
    <row r="4199" spans="1:4">
      <c r="A4199" s="401">
        <v>14149</v>
      </c>
      <c r="B4199" s="411" t="s">
        <v>11338</v>
      </c>
      <c r="C4199" s="401" t="s">
        <v>1120</v>
      </c>
      <c r="D4199" s="600">
        <v>156.94999999999999</v>
      </c>
    </row>
    <row r="4200" spans="1:4" ht="25.5">
      <c r="A4200" s="401">
        <v>38099</v>
      </c>
      <c r="B4200" s="411" t="s">
        <v>11339</v>
      </c>
      <c r="C4200" s="401" t="s">
        <v>998</v>
      </c>
      <c r="D4200" s="600">
        <v>0.9</v>
      </c>
    </row>
    <row r="4201" spans="1:4" ht="25.5">
      <c r="A4201" s="401">
        <v>38100</v>
      </c>
      <c r="B4201" s="411" t="s">
        <v>11340</v>
      </c>
      <c r="C4201" s="401" t="s">
        <v>998</v>
      </c>
      <c r="D4201" s="600">
        <v>1.48</v>
      </c>
    </row>
    <row r="4202" spans="1:4" ht="25.5">
      <c r="A4202" s="401">
        <v>20061</v>
      </c>
      <c r="B4202" s="411" t="s">
        <v>11341</v>
      </c>
      <c r="C4202" s="401" t="s">
        <v>998</v>
      </c>
      <c r="D4202" s="600">
        <v>2.63</v>
      </c>
    </row>
    <row r="4203" spans="1:4" ht="25.5">
      <c r="A4203" s="401">
        <v>7576</v>
      </c>
      <c r="B4203" s="411" t="s">
        <v>11342</v>
      </c>
      <c r="C4203" s="401" t="s">
        <v>998</v>
      </c>
      <c r="D4203" s="600">
        <v>105.5</v>
      </c>
    </row>
    <row r="4204" spans="1:4">
      <c r="A4204" s="401">
        <v>3384</v>
      </c>
      <c r="B4204" s="411" t="s">
        <v>11343</v>
      </c>
      <c r="C4204" s="401" t="s">
        <v>998</v>
      </c>
      <c r="D4204" s="600">
        <v>4.1399999999999997</v>
      </c>
    </row>
    <row r="4205" spans="1:4">
      <c r="A4205" s="401">
        <v>7572</v>
      </c>
      <c r="B4205" s="411" t="s">
        <v>11344</v>
      </c>
      <c r="C4205" s="401" t="s">
        <v>998</v>
      </c>
      <c r="D4205" s="600">
        <v>8.57</v>
      </c>
    </row>
    <row r="4206" spans="1:4">
      <c r="A4206" s="401">
        <v>3396</v>
      </c>
      <c r="B4206" s="411" t="s">
        <v>11345</v>
      </c>
      <c r="C4206" s="401" t="s">
        <v>998</v>
      </c>
      <c r="D4206" s="600">
        <v>6.07</v>
      </c>
    </row>
    <row r="4207" spans="1:4">
      <c r="A4207" s="401">
        <v>37590</v>
      </c>
      <c r="B4207" s="411" t="s">
        <v>11346</v>
      </c>
      <c r="C4207" s="401" t="s">
        <v>998</v>
      </c>
      <c r="D4207" s="600">
        <v>9.86</v>
      </c>
    </row>
    <row r="4208" spans="1:4">
      <c r="A4208" s="401">
        <v>37591</v>
      </c>
      <c r="B4208" s="411" t="s">
        <v>11347</v>
      </c>
      <c r="C4208" s="401" t="s">
        <v>998</v>
      </c>
      <c r="D4208" s="600">
        <v>11.85</v>
      </c>
    </row>
    <row r="4209" spans="1:4" ht="25.5">
      <c r="A4209" s="401">
        <v>12626</v>
      </c>
      <c r="B4209" s="411" t="s">
        <v>11348</v>
      </c>
      <c r="C4209" s="401" t="s">
        <v>998</v>
      </c>
      <c r="D4209" s="600">
        <v>12.64</v>
      </c>
    </row>
    <row r="4210" spans="1:4">
      <c r="A4210" s="401">
        <v>11033</v>
      </c>
      <c r="B4210" s="411" t="s">
        <v>11349</v>
      </c>
      <c r="C4210" s="401" t="s">
        <v>998</v>
      </c>
      <c r="D4210" s="600">
        <v>4.13</v>
      </c>
    </row>
    <row r="4211" spans="1:4">
      <c r="A4211" s="401">
        <v>390</v>
      </c>
      <c r="B4211" s="411" t="s">
        <v>11350</v>
      </c>
      <c r="C4211" s="401" t="s">
        <v>998</v>
      </c>
      <c r="D4211" s="600">
        <v>12.2</v>
      </c>
    </row>
    <row r="4212" spans="1:4" ht="38.25">
      <c r="A4212" s="401">
        <v>42436</v>
      </c>
      <c r="B4212" s="411" t="s">
        <v>11351</v>
      </c>
      <c r="C4212" s="401" t="s">
        <v>998</v>
      </c>
      <c r="D4212" s="600">
        <v>1503.52</v>
      </c>
    </row>
    <row r="4213" spans="1:4" ht="25.5">
      <c r="A4213" s="401">
        <v>6178</v>
      </c>
      <c r="B4213" s="411" t="s">
        <v>11352</v>
      </c>
      <c r="C4213" s="401" t="s">
        <v>1003</v>
      </c>
      <c r="D4213" s="600">
        <v>169.09</v>
      </c>
    </row>
    <row r="4214" spans="1:4" ht="25.5">
      <c r="A4214" s="401">
        <v>6180</v>
      </c>
      <c r="B4214" s="411" t="s">
        <v>11353</v>
      </c>
      <c r="C4214" s="401" t="s">
        <v>1003</v>
      </c>
      <c r="D4214" s="600">
        <v>182.5</v>
      </c>
    </row>
    <row r="4215" spans="1:4" ht="25.5">
      <c r="A4215" s="401">
        <v>6182</v>
      </c>
      <c r="B4215" s="411" t="s">
        <v>11354</v>
      </c>
      <c r="C4215" s="401" t="s">
        <v>1003</v>
      </c>
      <c r="D4215" s="600">
        <v>226.52</v>
      </c>
    </row>
    <row r="4216" spans="1:4" ht="25.5">
      <c r="A4216" s="401">
        <v>3993</v>
      </c>
      <c r="B4216" s="411" t="s">
        <v>11355</v>
      </c>
      <c r="C4216" s="401" t="s">
        <v>1003</v>
      </c>
      <c r="D4216" s="600">
        <v>56.78</v>
      </c>
    </row>
    <row r="4217" spans="1:4" ht="25.5">
      <c r="A4217" s="401">
        <v>3990</v>
      </c>
      <c r="B4217" s="411" t="s">
        <v>11356</v>
      </c>
      <c r="C4217" s="401" t="s">
        <v>1002</v>
      </c>
      <c r="D4217" s="600">
        <v>12.54</v>
      </c>
    </row>
    <row r="4218" spans="1:4" ht="25.5">
      <c r="A4218" s="401">
        <v>3992</v>
      </c>
      <c r="B4218" s="411" t="s">
        <v>11357</v>
      </c>
      <c r="C4218" s="401" t="s">
        <v>1002</v>
      </c>
      <c r="D4218" s="600">
        <v>15.4</v>
      </c>
    </row>
    <row r="4219" spans="1:4" ht="25.5">
      <c r="A4219" s="401">
        <v>4509</v>
      </c>
      <c r="B4219" s="411" t="s">
        <v>11358</v>
      </c>
      <c r="C4219" s="401" t="s">
        <v>1002</v>
      </c>
      <c r="D4219" s="600">
        <v>3.05</v>
      </c>
    </row>
    <row r="4220" spans="1:4" ht="25.5">
      <c r="A4220" s="401">
        <v>6194</v>
      </c>
      <c r="B4220" s="411" t="s">
        <v>11359</v>
      </c>
      <c r="C4220" s="401" t="s">
        <v>1002</v>
      </c>
      <c r="D4220" s="600">
        <v>4.1399999999999997</v>
      </c>
    </row>
    <row r="4221" spans="1:4">
      <c r="A4221" s="401">
        <v>6193</v>
      </c>
      <c r="B4221" s="411" t="s">
        <v>11360</v>
      </c>
      <c r="C4221" s="401" t="s">
        <v>1002</v>
      </c>
      <c r="D4221" s="600">
        <v>5.98</v>
      </c>
    </row>
    <row r="4222" spans="1:4" ht="25.5">
      <c r="A4222" s="401">
        <v>10567</v>
      </c>
      <c r="B4222" s="411" t="s">
        <v>11361</v>
      </c>
      <c r="C4222" s="401" t="s">
        <v>1002</v>
      </c>
      <c r="D4222" s="600">
        <v>6.86</v>
      </c>
    </row>
    <row r="4223" spans="1:4" ht="25.5">
      <c r="A4223" s="401">
        <v>6212</v>
      </c>
      <c r="B4223" s="411" t="s">
        <v>11362</v>
      </c>
      <c r="C4223" s="401" t="s">
        <v>1002</v>
      </c>
      <c r="D4223" s="600">
        <v>11.25</v>
      </c>
    </row>
    <row r="4224" spans="1:4">
      <c r="A4224" s="401">
        <v>6189</v>
      </c>
      <c r="B4224" s="411" t="s">
        <v>11363</v>
      </c>
      <c r="C4224" s="401" t="s">
        <v>1002</v>
      </c>
      <c r="D4224" s="600">
        <v>8.74</v>
      </c>
    </row>
    <row r="4225" spans="1:4">
      <c r="A4225" s="401">
        <v>6214</v>
      </c>
      <c r="B4225" s="411" t="s">
        <v>11364</v>
      </c>
      <c r="C4225" s="401" t="s">
        <v>1003</v>
      </c>
      <c r="D4225" s="600">
        <v>105.92</v>
      </c>
    </row>
    <row r="4226" spans="1:4" ht="25.5">
      <c r="A4226" s="401">
        <v>36153</v>
      </c>
      <c r="B4226" s="411" t="s">
        <v>11365</v>
      </c>
      <c r="C4226" s="401" t="s">
        <v>998</v>
      </c>
      <c r="D4226" s="600">
        <v>159.83000000000001</v>
      </c>
    </row>
    <row r="4227" spans="1:4">
      <c r="A4227" s="401">
        <v>10740</v>
      </c>
      <c r="B4227" s="411" t="s">
        <v>11366</v>
      </c>
      <c r="C4227" s="401" t="s">
        <v>998</v>
      </c>
      <c r="D4227" s="600">
        <v>9754.19</v>
      </c>
    </row>
    <row r="4228" spans="1:4">
      <c r="A4228" s="401">
        <v>13914</v>
      </c>
      <c r="B4228" s="411" t="s">
        <v>11367</v>
      </c>
      <c r="C4228" s="401" t="s">
        <v>998</v>
      </c>
      <c r="D4228" s="600">
        <v>705.75</v>
      </c>
    </row>
    <row r="4229" spans="1:4">
      <c r="A4229" s="401">
        <v>10742</v>
      </c>
      <c r="B4229" s="411" t="s">
        <v>11368</v>
      </c>
      <c r="C4229" s="401" t="s">
        <v>998</v>
      </c>
      <c r="D4229" s="600">
        <v>1029.3499999999999</v>
      </c>
    </row>
    <row r="4230" spans="1:4">
      <c r="A4230" s="401">
        <v>38465</v>
      </c>
      <c r="B4230" s="411" t="s">
        <v>11369</v>
      </c>
      <c r="C4230" s="401" t="s">
        <v>998</v>
      </c>
      <c r="D4230" s="600">
        <v>32.9</v>
      </c>
    </row>
    <row r="4231" spans="1:4">
      <c r="A4231" s="401">
        <v>7543</v>
      </c>
      <c r="B4231" s="411" t="s">
        <v>11370</v>
      </c>
      <c r="C4231" s="401" t="s">
        <v>998</v>
      </c>
      <c r="D4231" s="600">
        <v>3.78</v>
      </c>
    </row>
    <row r="4232" spans="1:4">
      <c r="A4232" s="401">
        <v>13255</v>
      </c>
      <c r="B4232" s="411" t="s">
        <v>11371</v>
      </c>
      <c r="C4232" s="401" t="s">
        <v>998</v>
      </c>
      <c r="D4232" s="600">
        <v>56.29</v>
      </c>
    </row>
    <row r="4233" spans="1:4">
      <c r="A4233" s="401">
        <v>39352</v>
      </c>
      <c r="B4233" s="411" t="s">
        <v>11372</v>
      </c>
      <c r="C4233" s="401" t="s">
        <v>998</v>
      </c>
      <c r="D4233" s="600">
        <v>2.33</v>
      </c>
    </row>
    <row r="4234" spans="1:4">
      <c r="A4234" s="401">
        <v>39346</v>
      </c>
      <c r="B4234" s="411" t="s">
        <v>11373</v>
      </c>
      <c r="C4234" s="401" t="s">
        <v>998</v>
      </c>
      <c r="D4234" s="600">
        <v>2.33</v>
      </c>
    </row>
    <row r="4235" spans="1:4">
      <c r="A4235" s="401">
        <v>39350</v>
      </c>
      <c r="B4235" s="411" t="s">
        <v>11374</v>
      </c>
      <c r="C4235" s="401" t="s">
        <v>998</v>
      </c>
      <c r="D4235" s="600">
        <v>2.5099999999999998</v>
      </c>
    </row>
    <row r="4236" spans="1:4">
      <c r="A4236" s="401">
        <v>39351</v>
      </c>
      <c r="B4236" s="411" t="s">
        <v>11375</v>
      </c>
      <c r="C4236" s="401" t="s">
        <v>998</v>
      </c>
      <c r="D4236" s="600">
        <v>2.91</v>
      </c>
    </row>
    <row r="4237" spans="1:4">
      <c r="A4237" s="401">
        <v>38952</v>
      </c>
      <c r="B4237" s="411" t="s">
        <v>11376</v>
      </c>
      <c r="C4237" s="401" t="s">
        <v>998</v>
      </c>
      <c r="D4237" s="600">
        <v>2.78</v>
      </c>
    </row>
    <row r="4238" spans="1:4">
      <c r="A4238" s="401">
        <v>38953</v>
      </c>
      <c r="B4238" s="411" t="s">
        <v>11377</v>
      </c>
      <c r="C4238" s="401" t="s">
        <v>998</v>
      </c>
      <c r="D4238" s="600">
        <v>4.3899999999999997</v>
      </c>
    </row>
    <row r="4239" spans="1:4">
      <c r="A4239" s="401">
        <v>38835</v>
      </c>
      <c r="B4239" s="411" t="s">
        <v>11378</v>
      </c>
      <c r="C4239" s="401" t="s">
        <v>998</v>
      </c>
      <c r="D4239" s="600">
        <v>3.94</v>
      </c>
    </row>
    <row r="4240" spans="1:4">
      <c r="A4240" s="401">
        <v>38837</v>
      </c>
      <c r="B4240" s="411" t="s">
        <v>11379</v>
      </c>
      <c r="C4240" s="401" t="s">
        <v>998</v>
      </c>
      <c r="D4240" s="600">
        <v>10.25</v>
      </c>
    </row>
    <row r="4241" spans="1:4">
      <c r="A4241" s="401">
        <v>38836</v>
      </c>
      <c r="B4241" s="411" t="s">
        <v>11380</v>
      </c>
      <c r="C4241" s="401" t="s">
        <v>998</v>
      </c>
      <c r="D4241" s="600">
        <v>5.67</v>
      </c>
    </row>
    <row r="4242" spans="1:4" ht="25.5">
      <c r="A4242" s="401">
        <v>2666</v>
      </c>
      <c r="B4242" s="411" t="s">
        <v>11381</v>
      </c>
      <c r="C4242" s="401" t="s">
        <v>998</v>
      </c>
      <c r="D4242" s="600">
        <v>5.26</v>
      </c>
    </row>
    <row r="4243" spans="1:4" ht="25.5">
      <c r="A4243" s="401">
        <v>2668</v>
      </c>
      <c r="B4243" s="411" t="s">
        <v>11382</v>
      </c>
      <c r="C4243" s="401" t="s">
        <v>998</v>
      </c>
      <c r="D4243" s="600">
        <v>6</v>
      </c>
    </row>
    <row r="4244" spans="1:4" ht="25.5">
      <c r="A4244" s="401">
        <v>2664</v>
      </c>
      <c r="B4244" s="411" t="s">
        <v>11383</v>
      </c>
      <c r="C4244" s="401" t="s">
        <v>998</v>
      </c>
      <c r="D4244" s="600">
        <v>8.85</v>
      </c>
    </row>
    <row r="4245" spans="1:4" ht="25.5">
      <c r="A4245" s="401">
        <v>2662</v>
      </c>
      <c r="B4245" s="411" t="s">
        <v>11384</v>
      </c>
      <c r="C4245" s="401" t="s">
        <v>998</v>
      </c>
      <c r="D4245" s="600">
        <v>10.86</v>
      </c>
    </row>
    <row r="4246" spans="1:4" ht="25.5">
      <c r="A4246" s="401">
        <v>20964</v>
      </c>
      <c r="B4246" s="411" t="s">
        <v>11385</v>
      </c>
      <c r="C4246" s="401" t="s">
        <v>998</v>
      </c>
      <c r="D4246" s="600">
        <v>47.57</v>
      </c>
    </row>
    <row r="4247" spans="1:4" ht="25.5">
      <c r="A4247" s="401">
        <v>10905</v>
      </c>
      <c r="B4247" s="411" t="s">
        <v>11386</v>
      </c>
      <c r="C4247" s="401" t="s">
        <v>998</v>
      </c>
      <c r="D4247" s="600">
        <v>63.82</v>
      </c>
    </row>
    <row r="4248" spans="1:4">
      <c r="A4248" s="401">
        <v>42703</v>
      </c>
      <c r="B4248" s="411" t="s">
        <v>11387</v>
      </c>
      <c r="C4248" s="401" t="s">
        <v>998</v>
      </c>
      <c r="D4248" s="600">
        <v>56.02</v>
      </c>
    </row>
    <row r="4249" spans="1:4">
      <c r="A4249" s="401">
        <v>42704</v>
      </c>
      <c r="B4249" s="411" t="s">
        <v>11388</v>
      </c>
      <c r="C4249" s="401" t="s">
        <v>998</v>
      </c>
      <c r="D4249" s="600">
        <v>86</v>
      </c>
    </row>
    <row r="4250" spans="1:4">
      <c r="A4250" s="401">
        <v>42705</v>
      </c>
      <c r="B4250" s="411" t="s">
        <v>11389</v>
      </c>
      <c r="C4250" s="401" t="s">
        <v>998</v>
      </c>
      <c r="D4250" s="600">
        <v>109.72</v>
      </c>
    </row>
    <row r="4251" spans="1:4">
      <c r="A4251" s="401">
        <v>42706</v>
      </c>
      <c r="B4251" s="411" t="s">
        <v>11390</v>
      </c>
      <c r="C4251" s="401" t="s">
        <v>998</v>
      </c>
      <c r="D4251" s="600">
        <v>135.88999999999999</v>
      </c>
    </row>
    <row r="4252" spans="1:4">
      <c r="A4252" s="401">
        <v>11289</v>
      </c>
      <c r="B4252" s="411" t="s">
        <v>11391</v>
      </c>
      <c r="C4252" s="401" t="s">
        <v>998</v>
      </c>
      <c r="D4252" s="600">
        <v>64.069999999999993</v>
      </c>
    </row>
    <row r="4253" spans="1:4">
      <c r="A4253" s="401">
        <v>11241</v>
      </c>
      <c r="B4253" s="411" t="s">
        <v>11392</v>
      </c>
      <c r="C4253" s="401" t="s">
        <v>998</v>
      </c>
      <c r="D4253" s="600">
        <v>160.18</v>
      </c>
    </row>
    <row r="4254" spans="1:4" ht="25.5">
      <c r="A4254" s="401">
        <v>11301</v>
      </c>
      <c r="B4254" s="411" t="s">
        <v>11393</v>
      </c>
      <c r="C4254" s="401" t="s">
        <v>998</v>
      </c>
      <c r="D4254" s="600">
        <v>406.18</v>
      </c>
    </row>
    <row r="4255" spans="1:4" ht="25.5">
      <c r="A4255" s="401">
        <v>21090</v>
      </c>
      <c r="B4255" s="411" t="s">
        <v>11394</v>
      </c>
      <c r="C4255" s="401" t="s">
        <v>998</v>
      </c>
      <c r="D4255" s="600">
        <v>497.72</v>
      </c>
    </row>
    <row r="4256" spans="1:4" ht="25.5">
      <c r="A4256" s="401">
        <v>14112</v>
      </c>
      <c r="B4256" s="411" t="s">
        <v>11395</v>
      </c>
      <c r="C4256" s="401" t="s">
        <v>998</v>
      </c>
      <c r="D4256" s="600">
        <v>207.66</v>
      </c>
    </row>
    <row r="4257" spans="1:4" ht="25.5">
      <c r="A4257" s="401">
        <v>11315</v>
      </c>
      <c r="B4257" s="411" t="s">
        <v>11396</v>
      </c>
      <c r="C4257" s="401" t="s">
        <v>998</v>
      </c>
      <c r="D4257" s="600">
        <v>97.25</v>
      </c>
    </row>
    <row r="4258" spans="1:4">
      <c r="A4258" s="401">
        <v>11292</v>
      </c>
      <c r="B4258" s="411" t="s">
        <v>11397</v>
      </c>
      <c r="C4258" s="401" t="s">
        <v>998</v>
      </c>
      <c r="D4258" s="600">
        <v>227.69</v>
      </c>
    </row>
    <row r="4259" spans="1:4" ht="25.5">
      <c r="A4259" s="401">
        <v>21071</v>
      </c>
      <c r="B4259" s="411" t="s">
        <v>11398</v>
      </c>
      <c r="C4259" s="401" t="s">
        <v>998</v>
      </c>
      <c r="D4259" s="600">
        <v>148.74</v>
      </c>
    </row>
    <row r="4260" spans="1:4" ht="25.5">
      <c r="A4260" s="401">
        <v>11293</v>
      </c>
      <c r="B4260" s="411" t="s">
        <v>11399</v>
      </c>
      <c r="C4260" s="401" t="s">
        <v>998</v>
      </c>
      <c r="D4260" s="600">
        <v>251.72</v>
      </c>
    </row>
    <row r="4261" spans="1:4" ht="25.5">
      <c r="A4261" s="401">
        <v>11316</v>
      </c>
      <c r="B4261" s="411" t="s">
        <v>11400</v>
      </c>
      <c r="C4261" s="401" t="s">
        <v>998</v>
      </c>
      <c r="D4261" s="600">
        <v>320.37</v>
      </c>
    </row>
    <row r="4262" spans="1:4" ht="25.5">
      <c r="A4262" s="401">
        <v>6243</v>
      </c>
      <c r="B4262" s="411" t="s">
        <v>11401</v>
      </c>
      <c r="C4262" s="401" t="s">
        <v>998</v>
      </c>
      <c r="D4262" s="600">
        <v>369</v>
      </c>
    </row>
    <row r="4263" spans="1:4" ht="25.5">
      <c r="A4263" s="401">
        <v>21079</v>
      </c>
      <c r="B4263" s="411" t="s">
        <v>11402</v>
      </c>
      <c r="C4263" s="401" t="s">
        <v>998</v>
      </c>
      <c r="D4263" s="600">
        <v>439.93</v>
      </c>
    </row>
    <row r="4264" spans="1:4" ht="25.5">
      <c r="A4264" s="401">
        <v>6240</v>
      </c>
      <c r="B4264" s="411" t="s">
        <v>11403</v>
      </c>
      <c r="C4264" s="401" t="s">
        <v>998</v>
      </c>
      <c r="D4264" s="600">
        <v>488.56</v>
      </c>
    </row>
    <row r="4265" spans="1:4" ht="25.5">
      <c r="A4265" s="401">
        <v>11296</v>
      </c>
      <c r="B4265" s="411" t="s">
        <v>11404</v>
      </c>
      <c r="C4265" s="401" t="s">
        <v>998</v>
      </c>
      <c r="D4265" s="600">
        <v>1556.66</v>
      </c>
    </row>
    <row r="4266" spans="1:4">
      <c r="A4266" s="401">
        <v>11299</v>
      </c>
      <c r="B4266" s="411" t="s">
        <v>11405</v>
      </c>
      <c r="C4266" s="401" t="s">
        <v>998</v>
      </c>
      <c r="D4266" s="600">
        <v>526.89</v>
      </c>
    </row>
    <row r="4267" spans="1:4" ht="25.5">
      <c r="A4267" s="401">
        <v>11066</v>
      </c>
      <c r="B4267" s="411" t="s">
        <v>11406</v>
      </c>
      <c r="C4267" s="401" t="s">
        <v>998</v>
      </c>
      <c r="D4267" s="600">
        <v>11</v>
      </c>
    </row>
    <row r="4268" spans="1:4" ht="25.5">
      <c r="A4268" s="401">
        <v>11065</v>
      </c>
      <c r="B4268" s="411" t="s">
        <v>11407</v>
      </c>
      <c r="C4268" s="401" t="s">
        <v>998</v>
      </c>
      <c r="D4268" s="600">
        <v>12.61</v>
      </c>
    </row>
    <row r="4269" spans="1:4">
      <c r="A4269" s="401">
        <v>11688</v>
      </c>
      <c r="B4269" s="411" t="s">
        <v>11408</v>
      </c>
      <c r="C4269" s="401" t="s">
        <v>998</v>
      </c>
      <c r="D4269" s="600">
        <v>365.16</v>
      </c>
    </row>
    <row r="4270" spans="1:4" ht="38.25">
      <c r="A4270" s="401">
        <v>37736</v>
      </c>
      <c r="B4270" s="411" t="s">
        <v>11409</v>
      </c>
      <c r="C4270" s="401" t="s">
        <v>998</v>
      </c>
      <c r="D4270" s="600">
        <v>55000</v>
      </c>
    </row>
    <row r="4271" spans="1:4" ht="25.5">
      <c r="A4271" s="401">
        <v>37739</v>
      </c>
      <c r="B4271" s="411" t="s">
        <v>11410</v>
      </c>
      <c r="C4271" s="401" t="s">
        <v>998</v>
      </c>
      <c r="D4271" s="600">
        <v>67692.3</v>
      </c>
    </row>
    <row r="4272" spans="1:4" ht="25.5">
      <c r="A4272" s="401">
        <v>37740</v>
      </c>
      <c r="B4272" s="411" t="s">
        <v>11411</v>
      </c>
      <c r="C4272" s="401" t="s">
        <v>998</v>
      </c>
      <c r="D4272" s="600">
        <v>38628.76</v>
      </c>
    </row>
    <row r="4273" spans="1:4" ht="25.5">
      <c r="A4273" s="401">
        <v>37738</v>
      </c>
      <c r="B4273" s="411" t="s">
        <v>11412</v>
      </c>
      <c r="C4273" s="401" t="s">
        <v>998</v>
      </c>
      <c r="D4273" s="600">
        <v>45894.65</v>
      </c>
    </row>
    <row r="4274" spans="1:4" ht="25.5">
      <c r="A4274" s="401">
        <v>37737</v>
      </c>
      <c r="B4274" s="411" t="s">
        <v>11413</v>
      </c>
      <c r="C4274" s="401" t="s">
        <v>998</v>
      </c>
      <c r="D4274" s="600">
        <v>36513.370000000003</v>
      </c>
    </row>
    <row r="4275" spans="1:4">
      <c r="A4275" s="401">
        <v>25014</v>
      </c>
      <c r="B4275" s="411" t="s">
        <v>11414</v>
      </c>
      <c r="C4275" s="401" t="s">
        <v>998</v>
      </c>
      <c r="D4275" s="600">
        <v>76475.75</v>
      </c>
    </row>
    <row r="4276" spans="1:4">
      <c r="A4276" s="401">
        <v>25013</v>
      </c>
      <c r="B4276" s="411" t="s">
        <v>11415</v>
      </c>
      <c r="C4276" s="401" t="s">
        <v>998</v>
      </c>
      <c r="D4276" s="600">
        <v>80154.679999999993</v>
      </c>
    </row>
    <row r="4277" spans="1:4">
      <c r="A4277" s="401">
        <v>14405</v>
      </c>
      <c r="B4277" s="411" t="s">
        <v>11416</v>
      </c>
      <c r="C4277" s="401" t="s">
        <v>998</v>
      </c>
      <c r="D4277" s="600">
        <v>94088.62</v>
      </c>
    </row>
    <row r="4278" spans="1:4">
      <c r="A4278" s="401">
        <v>36790</v>
      </c>
      <c r="B4278" s="411" t="s">
        <v>11417</v>
      </c>
      <c r="C4278" s="401" t="s">
        <v>998</v>
      </c>
      <c r="D4278" s="600">
        <v>187.64</v>
      </c>
    </row>
    <row r="4279" spans="1:4">
      <c r="A4279" s="401">
        <v>20271</v>
      </c>
      <c r="B4279" s="411" t="s">
        <v>11418</v>
      </c>
      <c r="C4279" s="401" t="s">
        <v>998</v>
      </c>
      <c r="D4279" s="600">
        <v>460.63</v>
      </c>
    </row>
    <row r="4280" spans="1:4">
      <c r="A4280" s="401">
        <v>10423</v>
      </c>
      <c r="B4280" s="411" t="s">
        <v>11419</v>
      </c>
      <c r="C4280" s="401" t="s">
        <v>998</v>
      </c>
      <c r="D4280" s="600">
        <v>285.69</v>
      </c>
    </row>
    <row r="4281" spans="1:4">
      <c r="A4281" s="401">
        <v>37589</v>
      </c>
      <c r="B4281" s="411" t="s">
        <v>11420</v>
      </c>
      <c r="C4281" s="401" t="s">
        <v>998</v>
      </c>
      <c r="D4281" s="600">
        <v>229.91</v>
      </c>
    </row>
    <row r="4282" spans="1:4" ht="25.5">
      <c r="A4282" s="401">
        <v>11690</v>
      </c>
      <c r="B4282" s="411" t="s">
        <v>11421</v>
      </c>
      <c r="C4282" s="401" t="s">
        <v>998</v>
      </c>
      <c r="D4282" s="600">
        <v>122.13</v>
      </c>
    </row>
    <row r="4283" spans="1:4">
      <c r="A4283" s="401">
        <v>20234</v>
      </c>
      <c r="B4283" s="411" t="s">
        <v>11422</v>
      </c>
      <c r="C4283" s="401" t="s">
        <v>998</v>
      </c>
      <c r="D4283" s="600">
        <v>154.56</v>
      </c>
    </row>
    <row r="4284" spans="1:4">
      <c r="A4284" s="401">
        <v>4763</v>
      </c>
      <c r="B4284" s="411" t="s">
        <v>11423</v>
      </c>
      <c r="C4284" s="401" t="s">
        <v>1001</v>
      </c>
      <c r="D4284" s="600">
        <v>15.68</v>
      </c>
    </row>
    <row r="4285" spans="1:4">
      <c r="A4285" s="401">
        <v>41070</v>
      </c>
      <c r="B4285" s="411" t="s">
        <v>11424</v>
      </c>
      <c r="C4285" s="401" t="s">
        <v>1118</v>
      </c>
      <c r="D4285" s="600">
        <v>2781.23</v>
      </c>
    </row>
    <row r="4286" spans="1:4">
      <c r="A4286" s="401">
        <v>14583</v>
      </c>
      <c r="B4286" s="411" t="s">
        <v>11425</v>
      </c>
      <c r="C4286" s="401" t="s">
        <v>996</v>
      </c>
      <c r="D4286" s="600">
        <v>15.7</v>
      </c>
    </row>
    <row r="4287" spans="1:4">
      <c r="A4287" s="401">
        <v>11457</v>
      </c>
      <c r="B4287" s="411" t="s">
        <v>11426</v>
      </c>
      <c r="C4287" s="401" t="s">
        <v>998</v>
      </c>
      <c r="D4287" s="600">
        <v>27.27</v>
      </c>
    </row>
    <row r="4288" spans="1:4">
      <c r="A4288" s="401">
        <v>21121</v>
      </c>
      <c r="B4288" s="411" t="s">
        <v>11427</v>
      </c>
      <c r="C4288" s="401" t="s">
        <v>998</v>
      </c>
      <c r="D4288" s="600">
        <v>3.92</v>
      </c>
    </row>
    <row r="4289" spans="1:4">
      <c r="A4289" s="401">
        <v>38010</v>
      </c>
      <c r="B4289" s="411" t="s">
        <v>11428</v>
      </c>
      <c r="C4289" s="401" t="s">
        <v>998</v>
      </c>
      <c r="D4289" s="600">
        <v>6.42</v>
      </c>
    </row>
    <row r="4290" spans="1:4">
      <c r="A4290" s="401">
        <v>38011</v>
      </c>
      <c r="B4290" s="411" t="s">
        <v>11429</v>
      </c>
      <c r="C4290" s="401" t="s">
        <v>998</v>
      </c>
      <c r="D4290" s="600">
        <v>11.84</v>
      </c>
    </row>
    <row r="4291" spans="1:4">
      <c r="A4291" s="401">
        <v>38012</v>
      </c>
      <c r="B4291" s="411" t="s">
        <v>11430</v>
      </c>
      <c r="C4291" s="401" t="s">
        <v>998</v>
      </c>
      <c r="D4291" s="600">
        <v>40.46</v>
      </c>
    </row>
    <row r="4292" spans="1:4">
      <c r="A4292" s="401">
        <v>38013</v>
      </c>
      <c r="B4292" s="411" t="s">
        <v>11431</v>
      </c>
      <c r="C4292" s="401" t="s">
        <v>998</v>
      </c>
      <c r="D4292" s="600">
        <v>52.52</v>
      </c>
    </row>
    <row r="4293" spans="1:4">
      <c r="A4293" s="401">
        <v>38014</v>
      </c>
      <c r="B4293" s="411" t="s">
        <v>11432</v>
      </c>
      <c r="C4293" s="401" t="s">
        <v>998</v>
      </c>
      <c r="D4293" s="600">
        <v>85.47</v>
      </c>
    </row>
    <row r="4294" spans="1:4">
      <c r="A4294" s="401">
        <v>38015</v>
      </c>
      <c r="B4294" s="411" t="s">
        <v>11433</v>
      </c>
      <c r="C4294" s="401" t="s">
        <v>998</v>
      </c>
      <c r="D4294" s="600">
        <v>206.38</v>
      </c>
    </row>
    <row r="4295" spans="1:4">
      <c r="A4295" s="401">
        <v>38016</v>
      </c>
      <c r="B4295" s="411" t="s">
        <v>11434</v>
      </c>
      <c r="C4295" s="401" t="s">
        <v>998</v>
      </c>
      <c r="D4295" s="600">
        <v>251.11</v>
      </c>
    </row>
    <row r="4296" spans="1:4">
      <c r="A4296" s="401">
        <v>12741</v>
      </c>
      <c r="B4296" s="411" t="s">
        <v>11435</v>
      </c>
      <c r="C4296" s="401" t="s">
        <v>998</v>
      </c>
      <c r="D4296" s="600">
        <v>896.62</v>
      </c>
    </row>
    <row r="4297" spans="1:4">
      <c r="A4297" s="401">
        <v>12733</v>
      </c>
      <c r="B4297" s="411" t="s">
        <v>11436</v>
      </c>
      <c r="C4297" s="401" t="s">
        <v>998</v>
      </c>
      <c r="D4297" s="600">
        <v>4.51</v>
      </c>
    </row>
    <row r="4298" spans="1:4">
      <c r="A4298" s="401">
        <v>12734</v>
      </c>
      <c r="B4298" s="411" t="s">
        <v>11437</v>
      </c>
      <c r="C4298" s="401" t="s">
        <v>998</v>
      </c>
      <c r="D4298" s="600">
        <v>9.61</v>
      </c>
    </row>
    <row r="4299" spans="1:4">
      <c r="A4299" s="401">
        <v>12735</v>
      </c>
      <c r="B4299" s="411" t="s">
        <v>11438</v>
      </c>
      <c r="C4299" s="401" t="s">
        <v>998</v>
      </c>
      <c r="D4299" s="600">
        <v>15.82</v>
      </c>
    </row>
    <row r="4300" spans="1:4">
      <c r="A4300" s="401">
        <v>12736</v>
      </c>
      <c r="B4300" s="411" t="s">
        <v>11439</v>
      </c>
      <c r="C4300" s="401" t="s">
        <v>998</v>
      </c>
      <c r="D4300" s="600">
        <v>36.159999999999997</v>
      </c>
    </row>
    <row r="4301" spans="1:4">
      <c r="A4301" s="401">
        <v>12737</v>
      </c>
      <c r="B4301" s="411" t="s">
        <v>11440</v>
      </c>
      <c r="C4301" s="401" t="s">
        <v>998</v>
      </c>
      <c r="D4301" s="600">
        <v>46.58</v>
      </c>
    </row>
    <row r="4302" spans="1:4">
      <c r="A4302" s="401">
        <v>12738</v>
      </c>
      <c r="B4302" s="411" t="s">
        <v>11441</v>
      </c>
      <c r="C4302" s="401" t="s">
        <v>998</v>
      </c>
      <c r="D4302" s="600">
        <v>92.07</v>
      </c>
    </row>
    <row r="4303" spans="1:4">
      <c r="A4303" s="401">
        <v>12739</v>
      </c>
      <c r="B4303" s="411" t="s">
        <v>11442</v>
      </c>
      <c r="C4303" s="401" t="s">
        <v>998</v>
      </c>
      <c r="D4303" s="600">
        <v>262.10000000000002</v>
      </c>
    </row>
    <row r="4304" spans="1:4">
      <c r="A4304" s="401">
        <v>12740</v>
      </c>
      <c r="B4304" s="411" t="s">
        <v>11443</v>
      </c>
      <c r="C4304" s="401" t="s">
        <v>998</v>
      </c>
      <c r="D4304" s="600">
        <v>410.08</v>
      </c>
    </row>
    <row r="4305" spans="1:4">
      <c r="A4305" s="401">
        <v>6297</v>
      </c>
      <c r="B4305" s="411" t="s">
        <v>11444</v>
      </c>
      <c r="C4305" s="401" t="s">
        <v>998</v>
      </c>
      <c r="D4305" s="600">
        <v>21.01</v>
      </c>
    </row>
    <row r="4306" spans="1:4">
      <c r="A4306" s="401">
        <v>6296</v>
      </c>
      <c r="B4306" s="411" t="s">
        <v>11445</v>
      </c>
      <c r="C4306" s="401" t="s">
        <v>998</v>
      </c>
      <c r="D4306" s="600">
        <v>16.579999999999998</v>
      </c>
    </row>
    <row r="4307" spans="1:4">
      <c r="A4307" s="401">
        <v>6294</v>
      </c>
      <c r="B4307" s="411" t="s">
        <v>11446</v>
      </c>
      <c r="C4307" s="401" t="s">
        <v>998</v>
      </c>
      <c r="D4307" s="600">
        <v>4.7300000000000004</v>
      </c>
    </row>
    <row r="4308" spans="1:4">
      <c r="A4308" s="401">
        <v>6323</v>
      </c>
      <c r="B4308" s="411" t="s">
        <v>11447</v>
      </c>
      <c r="C4308" s="401" t="s">
        <v>998</v>
      </c>
      <c r="D4308" s="600">
        <v>10.83</v>
      </c>
    </row>
    <row r="4309" spans="1:4">
      <c r="A4309" s="401">
        <v>6299</v>
      </c>
      <c r="B4309" s="411" t="s">
        <v>11448</v>
      </c>
      <c r="C4309" s="401" t="s">
        <v>998</v>
      </c>
      <c r="D4309" s="600">
        <v>63.19</v>
      </c>
    </row>
    <row r="4310" spans="1:4">
      <c r="A4310" s="401">
        <v>6298</v>
      </c>
      <c r="B4310" s="411" t="s">
        <v>11449</v>
      </c>
      <c r="C4310" s="401" t="s">
        <v>998</v>
      </c>
      <c r="D4310" s="600">
        <v>33.28</v>
      </c>
    </row>
    <row r="4311" spans="1:4">
      <c r="A4311" s="401">
        <v>6295</v>
      </c>
      <c r="B4311" s="411" t="s">
        <v>11450</v>
      </c>
      <c r="C4311" s="401" t="s">
        <v>998</v>
      </c>
      <c r="D4311" s="600">
        <v>6.73</v>
      </c>
    </row>
    <row r="4312" spans="1:4">
      <c r="A4312" s="401">
        <v>6322</v>
      </c>
      <c r="B4312" s="411" t="s">
        <v>11451</v>
      </c>
      <c r="C4312" s="401" t="s">
        <v>998</v>
      </c>
      <c r="D4312" s="600">
        <v>84.64</v>
      </c>
    </row>
    <row r="4313" spans="1:4">
      <c r="A4313" s="401">
        <v>6300</v>
      </c>
      <c r="B4313" s="411" t="s">
        <v>11452</v>
      </c>
      <c r="C4313" s="401" t="s">
        <v>998</v>
      </c>
      <c r="D4313" s="600">
        <v>156.05000000000001</v>
      </c>
    </row>
    <row r="4314" spans="1:4">
      <c r="A4314" s="401">
        <v>6321</v>
      </c>
      <c r="B4314" s="411" t="s">
        <v>11453</v>
      </c>
      <c r="C4314" s="401" t="s">
        <v>998</v>
      </c>
      <c r="D4314" s="600">
        <v>222.9</v>
      </c>
    </row>
    <row r="4315" spans="1:4">
      <c r="A4315" s="401">
        <v>6301</v>
      </c>
      <c r="B4315" s="411" t="s">
        <v>11454</v>
      </c>
      <c r="C4315" s="401" t="s">
        <v>998</v>
      </c>
      <c r="D4315" s="600">
        <v>522.47</v>
      </c>
    </row>
    <row r="4316" spans="1:4">
      <c r="A4316" s="401">
        <v>7105</v>
      </c>
      <c r="B4316" s="411" t="s">
        <v>11455</v>
      </c>
      <c r="C4316" s="401" t="s">
        <v>998</v>
      </c>
      <c r="D4316" s="600">
        <v>27.53</v>
      </c>
    </row>
    <row r="4317" spans="1:4">
      <c r="A4317" s="401">
        <v>20183</v>
      </c>
      <c r="B4317" s="411" t="s">
        <v>11456</v>
      </c>
      <c r="C4317" s="401" t="s">
        <v>998</v>
      </c>
      <c r="D4317" s="600">
        <v>36.25</v>
      </c>
    </row>
    <row r="4318" spans="1:4">
      <c r="A4318" s="401">
        <v>38448</v>
      </c>
      <c r="B4318" s="411" t="s">
        <v>11457</v>
      </c>
      <c r="C4318" s="401" t="s">
        <v>998</v>
      </c>
      <c r="D4318" s="600">
        <v>170.33</v>
      </c>
    </row>
    <row r="4319" spans="1:4">
      <c r="A4319" s="401">
        <v>20182</v>
      </c>
      <c r="B4319" s="411" t="s">
        <v>11458</v>
      </c>
      <c r="C4319" s="401" t="s">
        <v>998</v>
      </c>
      <c r="D4319" s="600">
        <v>20.69</v>
      </c>
    </row>
    <row r="4320" spans="1:4">
      <c r="A4320" s="401">
        <v>7119</v>
      </c>
      <c r="B4320" s="411" t="s">
        <v>11459</v>
      </c>
      <c r="C4320" s="401" t="s">
        <v>998</v>
      </c>
      <c r="D4320" s="600">
        <v>7.3</v>
      </c>
    </row>
    <row r="4321" spans="1:4">
      <c r="A4321" s="401">
        <v>7120</v>
      </c>
      <c r="B4321" s="411" t="s">
        <v>11460</v>
      </c>
      <c r="C4321" s="401" t="s">
        <v>998</v>
      </c>
      <c r="D4321" s="600">
        <v>5.01</v>
      </c>
    </row>
    <row r="4322" spans="1:4">
      <c r="A4322" s="401">
        <v>6319</v>
      </c>
      <c r="B4322" s="411" t="s">
        <v>11461</v>
      </c>
      <c r="C4322" s="401" t="s">
        <v>998</v>
      </c>
      <c r="D4322" s="600">
        <v>24.68</v>
      </c>
    </row>
    <row r="4323" spans="1:4">
      <c r="A4323" s="401">
        <v>6304</v>
      </c>
      <c r="B4323" s="411" t="s">
        <v>11462</v>
      </c>
      <c r="C4323" s="401" t="s">
        <v>998</v>
      </c>
      <c r="D4323" s="600">
        <v>24.68</v>
      </c>
    </row>
    <row r="4324" spans="1:4">
      <c r="A4324" s="401">
        <v>21116</v>
      </c>
      <c r="B4324" s="411" t="s">
        <v>11463</v>
      </c>
      <c r="C4324" s="401" t="s">
        <v>998</v>
      </c>
      <c r="D4324" s="600">
        <v>18.690000000000001</v>
      </c>
    </row>
    <row r="4325" spans="1:4">
      <c r="A4325" s="401">
        <v>6320</v>
      </c>
      <c r="B4325" s="411" t="s">
        <v>11464</v>
      </c>
      <c r="C4325" s="401" t="s">
        <v>998</v>
      </c>
      <c r="D4325" s="600">
        <v>12.71</v>
      </c>
    </row>
    <row r="4326" spans="1:4">
      <c r="A4326" s="401">
        <v>6303</v>
      </c>
      <c r="B4326" s="411" t="s">
        <v>11465</v>
      </c>
      <c r="C4326" s="401" t="s">
        <v>998</v>
      </c>
      <c r="D4326" s="600">
        <v>12.71</v>
      </c>
    </row>
    <row r="4327" spans="1:4">
      <c r="A4327" s="401">
        <v>6308</v>
      </c>
      <c r="B4327" s="411" t="s">
        <v>11466</v>
      </c>
      <c r="C4327" s="401" t="s">
        <v>998</v>
      </c>
      <c r="D4327" s="600">
        <v>68.3</v>
      </c>
    </row>
    <row r="4328" spans="1:4">
      <c r="A4328" s="401">
        <v>6317</v>
      </c>
      <c r="B4328" s="411" t="s">
        <v>11467</v>
      </c>
      <c r="C4328" s="401" t="s">
        <v>998</v>
      </c>
      <c r="D4328" s="600">
        <v>68.3</v>
      </c>
    </row>
    <row r="4329" spans="1:4">
      <c r="A4329" s="401">
        <v>6307</v>
      </c>
      <c r="B4329" s="411" t="s">
        <v>11468</v>
      </c>
      <c r="C4329" s="401" t="s">
        <v>998</v>
      </c>
      <c r="D4329" s="600">
        <v>68.3</v>
      </c>
    </row>
    <row r="4330" spans="1:4">
      <c r="A4330" s="401">
        <v>6309</v>
      </c>
      <c r="B4330" s="411" t="s">
        <v>11469</v>
      </c>
      <c r="C4330" s="401" t="s">
        <v>998</v>
      </c>
      <c r="D4330" s="600">
        <v>70.290000000000006</v>
      </c>
    </row>
    <row r="4331" spans="1:4">
      <c r="A4331" s="401">
        <v>6318</v>
      </c>
      <c r="B4331" s="411" t="s">
        <v>11470</v>
      </c>
      <c r="C4331" s="401" t="s">
        <v>998</v>
      </c>
      <c r="D4331" s="600">
        <v>36.840000000000003</v>
      </c>
    </row>
    <row r="4332" spans="1:4">
      <c r="A4332" s="401">
        <v>6306</v>
      </c>
      <c r="B4332" s="411" t="s">
        <v>11471</v>
      </c>
      <c r="C4332" s="401" t="s">
        <v>998</v>
      </c>
      <c r="D4332" s="600">
        <v>36.840000000000003</v>
      </c>
    </row>
    <row r="4333" spans="1:4">
      <c r="A4333" s="401">
        <v>6305</v>
      </c>
      <c r="B4333" s="411" t="s">
        <v>11472</v>
      </c>
      <c r="C4333" s="401" t="s">
        <v>998</v>
      </c>
      <c r="D4333" s="600">
        <v>36.840000000000003</v>
      </c>
    </row>
    <row r="4334" spans="1:4">
      <c r="A4334" s="401">
        <v>6302</v>
      </c>
      <c r="B4334" s="411" t="s">
        <v>11473</v>
      </c>
      <c r="C4334" s="401" t="s">
        <v>998</v>
      </c>
      <c r="D4334" s="600">
        <v>7.81</v>
      </c>
    </row>
    <row r="4335" spans="1:4">
      <c r="A4335" s="401">
        <v>6312</v>
      </c>
      <c r="B4335" s="411" t="s">
        <v>11474</v>
      </c>
      <c r="C4335" s="401" t="s">
        <v>998</v>
      </c>
      <c r="D4335" s="600">
        <v>98.25</v>
      </c>
    </row>
    <row r="4336" spans="1:4">
      <c r="A4336" s="401">
        <v>6311</v>
      </c>
      <c r="B4336" s="411" t="s">
        <v>11475</v>
      </c>
      <c r="C4336" s="401" t="s">
        <v>998</v>
      </c>
      <c r="D4336" s="600">
        <v>98.25</v>
      </c>
    </row>
    <row r="4337" spans="1:4">
      <c r="A4337" s="401">
        <v>6310</v>
      </c>
      <c r="B4337" s="411" t="s">
        <v>11476</v>
      </c>
      <c r="C4337" s="401" t="s">
        <v>998</v>
      </c>
      <c r="D4337" s="600">
        <v>98.25</v>
      </c>
    </row>
    <row r="4338" spans="1:4">
      <c r="A4338" s="401">
        <v>6314</v>
      </c>
      <c r="B4338" s="411" t="s">
        <v>11477</v>
      </c>
      <c r="C4338" s="401" t="s">
        <v>998</v>
      </c>
      <c r="D4338" s="600">
        <v>98.25</v>
      </c>
    </row>
    <row r="4339" spans="1:4">
      <c r="A4339" s="401">
        <v>6313</v>
      </c>
      <c r="B4339" s="411" t="s">
        <v>11478</v>
      </c>
      <c r="C4339" s="401" t="s">
        <v>998</v>
      </c>
      <c r="D4339" s="600">
        <v>98.25</v>
      </c>
    </row>
    <row r="4340" spans="1:4">
      <c r="A4340" s="401">
        <v>6315</v>
      </c>
      <c r="B4340" s="411" t="s">
        <v>11479</v>
      </c>
      <c r="C4340" s="401" t="s">
        <v>998</v>
      </c>
      <c r="D4340" s="600">
        <v>186.03</v>
      </c>
    </row>
    <row r="4341" spans="1:4">
      <c r="A4341" s="401">
        <v>6316</v>
      </c>
      <c r="B4341" s="411" t="s">
        <v>11480</v>
      </c>
      <c r="C4341" s="401" t="s">
        <v>998</v>
      </c>
      <c r="D4341" s="600">
        <v>186.03</v>
      </c>
    </row>
    <row r="4342" spans="1:4" ht="25.5">
      <c r="A4342" s="401">
        <v>38878</v>
      </c>
      <c r="B4342" s="411" t="s">
        <v>11481</v>
      </c>
      <c r="C4342" s="401" t="s">
        <v>998</v>
      </c>
      <c r="D4342" s="600">
        <v>14.42</v>
      </c>
    </row>
    <row r="4343" spans="1:4" ht="25.5">
      <c r="A4343" s="401">
        <v>38879</v>
      </c>
      <c r="B4343" s="411" t="s">
        <v>11482</v>
      </c>
      <c r="C4343" s="401" t="s">
        <v>998</v>
      </c>
      <c r="D4343" s="600">
        <v>27.04</v>
      </c>
    </row>
    <row r="4344" spans="1:4" ht="25.5">
      <c r="A4344" s="401">
        <v>38881</v>
      </c>
      <c r="B4344" s="411" t="s">
        <v>11483</v>
      </c>
      <c r="C4344" s="401" t="s">
        <v>998</v>
      </c>
      <c r="D4344" s="600">
        <v>14.15</v>
      </c>
    </row>
    <row r="4345" spans="1:4" ht="25.5">
      <c r="A4345" s="401">
        <v>38880</v>
      </c>
      <c r="B4345" s="411" t="s">
        <v>11484</v>
      </c>
      <c r="C4345" s="401" t="s">
        <v>998</v>
      </c>
      <c r="D4345" s="600">
        <v>14.83</v>
      </c>
    </row>
    <row r="4346" spans="1:4" ht="25.5">
      <c r="A4346" s="401">
        <v>38882</v>
      </c>
      <c r="B4346" s="411" t="s">
        <v>11485</v>
      </c>
      <c r="C4346" s="401" t="s">
        <v>998</v>
      </c>
      <c r="D4346" s="600">
        <v>15.35</v>
      </c>
    </row>
    <row r="4347" spans="1:4" ht="25.5">
      <c r="A4347" s="401">
        <v>38883</v>
      </c>
      <c r="B4347" s="411" t="s">
        <v>11486</v>
      </c>
      <c r="C4347" s="401" t="s">
        <v>998</v>
      </c>
      <c r="D4347" s="600">
        <v>22.71</v>
      </c>
    </row>
    <row r="4348" spans="1:4" ht="25.5">
      <c r="A4348" s="401">
        <v>38884</v>
      </c>
      <c r="B4348" s="411" t="s">
        <v>11487</v>
      </c>
      <c r="C4348" s="401" t="s">
        <v>998</v>
      </c>
      <c r="D4348" s="600">
        <v>24.65</v>
      </c>
    </row>
    <row r="4349" spans="1:4" ht="25.5">
      <c r="A4349" s="401">
        <v>38885</v>
      </c>
      <c r="B4349" s="411" t="s">
        <v>11488</v>
      </c>
      <c r="C4349" s="401" t="s">
        <v>998</v>
      </c>
      <c r="D4349" s="600">
        <v>23.85</v>
      </c>
    </row>
    <row r="4350" spans="1:4" ht="25.5">
      <c r="A4350" s="401">
        <v>38886</v>
      </c>
      <c r="B4350" s="411" t="s">
        <v>11489</v>
      </c>
      <c r="C4350" s="401" t="s">
        <v>998</v>
      </c>
      <c r="D4350" s="600">
        <v>25.74</v>
      </c>
    </row>
    <row r="4351" spans="1:4" ht="25.5">
      <c r="A4351" s="401">
        <v>38887</v>
      </c>
      <c r="B4351" s="411" t="s">
        <v>11490</v>
      </c>
      <c r="C4351" s="401" t="s">
        <v>998</v>
      </c>
      <c r="D4351" s="600">
        <v>23.12</v>
      </c>
    </row>
    <row r="4352" spans="1:4" ht="25.5">
      <c r="A4352" s="401">
        <v>38888</v>
      </c>
      <c r="B4352" s="411" t="s">
        <v>11491</v>
      </c>
      <c r="C4352" s="401" t="s">
        <v>998</v>
      </c>
      <c r="D4352" s="600">
        <v>27.48</v>
      </c>
    </row>
    <row r="4353" spans="1:4" ht="25.5">
      <c r="A4353" s="401">
        <v>38890</v>
      </c>
      <c r="B4353" s="411" t="s">
        <v>11492</v>
      </c>
      <c r="C4353" s="401" t="s">
        <v>998</v>
      </c>
      <c r="D4353" s="600">
        <v>40.85</v>
      </c>
    </row>
    <row r="4354" spans="1:4" ht="25.5">
      <c r="A4354" s="401">
        <v>38893</v>
      </c>
      <c r="B4354" s="411" t="s">
        <v>11493</v>
      </c>
      <c r="C4354" s="401" t="s">
        <v>998</v>
      </c>
      <c r="D4354" s="600">
        <v>32.85</v>
      </c>
    </row>
    <row r="4355" spans="1:4" ht="25.5">
      <c r="A4355" s="401">
        <v>38894</v>
      </c>
      <c r="B4355" s="411" t="s">
        <v>11494</v>
      </c>
      <c r="C4355" s="401" t="s">
        <v>998</v>
      </c>
      <c r="D4355" s="600">
        <v>41.72</v>
      </c>
    </row>
    <row r="4356" spans="1:4" ht="25.5">
      <c r="A4356" s="401">
        <v>38896</v>
      </c>
      <c r="B4356" s="411" t="s">
        <v>11495</v>
      </c>
      <c r="C4356" s="401" t="s">
        <v>998</v>
      </c>
      <c r="D4356" s="600">
        <v>42.55</v>
      </c>
    </row>
    <row r="4357" spans="1:4">
      <c r="A4357" s="401">
        <v>39324</v>
      </c>
      <c r="B4357" s="411" t="s">
        <v>11496</v>
      </c>
      <c r="C4357" s="401" t="s">
        <v>998</v>
      </c>
      <c r="D4357" s="600">
        <v>8.6999999999999993</v>
      </c>
    </row>
    <row r="4358" spans="1:4">
      <c r="A4358" s="401">
        <v>39325</v>
      </c>
      <c r="B4358" s="411" t="s">
        <v>11497</v>
      </c>
      <c r="C4358" s="401" t="s">
        <v>998</v>
      </c>
      <c r="D4358" s="600">
        <v>13.16</v>
      </c>
    </row>
    <row r="4359" spans="1:4">
      <c r="A4359" s="401">
        <v>39326</v>
      </c>
      <c r="B4359" s="411" t="s">
        <v>11498</v>
      </c>
      <c r="C4359" s="401" t="s">
        <v>998</v>
      </c>
      <c r="D4359" s="600">
        <v>33.9</v>
      </c>
    </row>
    <row r="4360" spans="1:4">
      <c r="A4360" s="401">
        <v>39327</v>
      </c>
      <c r="B4360" s="411" t="s">
        <v>11499</v>
      </c>
      <c r="C4360" s="401" t="s">
        <v>998</v>
      </c>
      <c r="D4360" s="600">
        <v>51.35</v>
      </c>
    </row>
    <row r="4361" spans="1:4" ht="25.5">
      <c r="A4361" s="401">
        <v>20176</v>
      </c>
      <c r="B4361" s="411" t="s">
        <v>11500</v>
      </c>
      <c r="C4361" s="401" t="s">
        <v>998</v>
      </c>
      <c r="D4361" s="600">
        <v>31.24</v>
      </c>
    </row>
    <row r="4362" spans="1:4" ht="25.5">
      <c r="A4362" s="401">
        <v>11378</v>
      </c>
      <c r="B4362" s="411" t="s">
        <v>11501</v>
      </c>
      <c r="C4362" s="401" t="s">
        <v>998</v>
      </c>
      <c r="D4362" s="600">
        <v>69.58</v>
      </c>
    </row>
    <row r="4363" spans="1:4" ht="25.5">
      <c r="A4363" s="401">
        <v>11379</v>
      </c>
      <c r="B4363" s="411" t="s">
        <v>11502</v>
      </c>
      <c r="C4363" s="401" t="s">
        <v>998</v>
      </c>
      <c r="D4363" s="600">
        <v>58.8</v>
      </c>
    </row>
    <row r="4364" spans="1:4">
      <c r="A4364" s="401">
        <v>11493</v>
      </c>
      <c r="B4364" s="411" t="s">
        <v>11503</v>
      </c>
      <c r="C4364" s="401" t="s">
        <v>998</v>
      </c>
      <c r="D4364" s="600">
        <v>33.909999999999997</v>
      </c>
    </row>
    <row r="4365" spans="1:4" ht="25.5">
      <c r="A4365" s="401">
        <v>42717</v>
      </c>
      <c r="B4365" s="411" t="s">
        <v>11504</v>
      </c>
      <c r="C4365" s="401" t="s">
        <v>998</v>
      </c>
      <c r="D4365" s="600">
        <v>333.38</v>
      </c>
    </row>
    <row r="4366" spans="1:4" ht="25.5">
      <c r="A4366" s="401">
        <v>42718</v>
      </c>
      <c r="B4366" s="411" t="s">
        <v>11505</v>
      </c>
      <c r="C4366" s="401" t="s">
        <v>998</v>
      </c>
      <c r="D4366" s="600">
        <v>370.12</v>
      </c>
    </row>
    <row r="4367" spans="1:4">
      <c r="A4367" s="401">
        <v>7106</v>
      </c>
      <c r="B4367" s="411" t="s">
        <v>11506</v>
      </c>
      <c r="C4367" s="401" t="s">
        <v>998</v>
      </c>
      <c r="D4367" s="600">
        <v>118.8</v>
      </c>
    </row>
    <row r="4368" spans="1:4">
      <c r="A4368" s="401">
        <v>7104</v>
      </c>
      <c r="B4368" s="411" t="s">
        <v>11507</v>
      </c>
      <c r="C4368" s="401" t="s">
        <v>998</v>
      </c>
      <c r="D4368" s="600">
        <v>2.4700000000000002</v>
      </c>
    </row>
    <row r="4369" spans="1:4">
      <c r="A4369" s="401">
        <v>7136</v>
      </c>
      <c r="B4369" s="411" t="s">
        <v>11508</v>
      </c>
      <c r="C4369" s="401" t="s">
        <v>998</v>
      </c>
      <c r="D4369" s="600">
        <v>4.6500000000000004</v>
      </c>
    </row>
    <row r="4370" spans="1:4">
      <c r="A4370" s="401">
        <v>7128</v>
      </c>
      <c r="B4370" s="411" t="s">
        <v>11509</v>
      </c>
      <c r="C4370" s="401" t="s">
        <v>998</v>
      </c>
      <c r="D4370" s="600">
        <v>7.63</v>
      </c>
    </row>
    <row r="4371" spans="1:4">
      <c r="A4371" s="401">
        <v>7108</v>
      </c>
      <c r="B4371" s="411" t="s">
        <v>11510</v>
      </c>
      <c r="C4371" s="401" t="s">
        <v>998</v>
      </c>
      <c r="D4371" s="600">
        <v>8.16</v>
      </c>
    </row>
    <row r="4372" spans="1:4">
      <c r="A4372" s="401">
        <v>7129</v>
      </c>
      <c r="B4372" s="411" t="s">
        <v>11511</v>
      </c>
      <c r="C4372" s="401" t="s">
        <v>998</v>
      </c>
      <c r="D4372" s="600">
        <v>6.78</v>
      </c>
    </row>
    <row r="4373" spans="1:4">
      <c r="A4373" s="401">
        <v>7130</v>
      </c>
      <c r="B4373" s="411" t="s">
        <v>11512</v>
      </c>
      <c r="C4373" s="401" t="s">
        <v>998</v>
      </c>
      <c r="D4373" s="600">
        <v>11.07</v>
      </c>
    </row>
    <row r="4374" spans="1:4">
      <c r="A4374" s="401">
        <v>7131</v>
      </c>
      <c r="B4374" s="411" t="s">
        <v>11513</v>
      </c>
      <c r="C4374" s="401" t="s">
        <v>998</v>
      </c>
      <c r="D4374" s="600">
        <v>13.58</v>
      </c>
    </row>
    <row r="4375" spans="1:4">
      <c r="A4375" s="401">
        <v>7132</v>
      </c>
      <c r="B4375" s="411" t="s">
        <v>11514</v>
      </c>
      <c r="C4375" s="401" t="s">
        <v>998</v>
      </c>
      <c r="D4375" s="600">
        <v>37.700000000000003</v>
      </c>
    </row>
    <row r="4376" spans="1:4">
      <c r="A4376" s="401">
        <v>7133</v>
      </c>
      <c r="B4376" s="411" t="s">
        <v>11515</v>
      </c>
      <c r="C4376" s="401" t="s">
        <v>998</v>
      </c>
      <c r="D4376" s="600">
        <v>58.55</v>
      </c>
    </row>
    <row r="4377" spans="1:4" ht="25.5">
      <c r="A4377" s="401">
        <v>37420</v>
      </c>
      <c r="B4377" s="411" t="s">
        <v>11516</v>
      </c>
      <c r="C4377" s="401" t="s">
        <v>998</v>
      </c>
      <c r="D4377" s="600">
        <v>36.49</v>
      </c>
    </row>
    <row r="4378" spans="1:4" ht="25.5">
      <c r="A4378" s="401">
        <v>37421</v>
      </c>
      <c r="B4378" s="411" t="s">
        <v>11517</v>
      </c>
      <c r="C4378" s="401" t="s">
        <v>998</v>
      </c>
      <c r="D4378" s="600">
        <v>49.87</v>
      </c>
    </row>
    <row r="4379" spans="1:4" ht="25.5">
      <c r="A4379" s="401">
        <v>37422</v>
      </c>
      <c r="B4379" s="411" t="s">
        <v>11518</v>
      </c>
      <c r="C4379" s="401" t="s">
        <v>998</v>
      </c>
      <c r="D4379" s="600">
        <v>46.68</v>
      </c>
    </row>
    <row r="4380" spans="1:4">
      <c r="A4380" s="401">
        <v>37443</v>
      </c>
      <c r="B4380" s="411" t="s">
        <v>11519</v>
      </c>
      <c r="C4380" s="401" t="s">
        <v>998</v>
      </c>
      <c r="D4380" s="600">
        <v>139.5</v>
      </c>
    </row>
    <row r="4381" spans="1:4">
      <c r="A4381" s="401">
        <v>37444</v>
      </c>
      <c r="B4381" s="411" t="s">
        <v>11520</v>
      </c>
      <c r="C4381" s="401" t="s">
        <v>998</v>
      </c>
      <c r="D4381" s="600">
        <v>141.87</v>
      </c>
    </row>
    <row r="4382" spans="1:4">
      <c r="A4382" s="401">
        <v>37445</v>
      </c>
      <c r="B4382" s="411" t="s">
        <v>11521</v>
      </c>
      <c r="C4382" s="401" t="s">
        <v>998</v>
      </c>
      <c r="D4382" s="600">
        <v>215.04</v>
      </c>
    </row>
    <row r="4383" spans="1:4">
      <c r="A4383" s="401">
        <v>37446</v>
      </c>
      <c r="B4383" s="411" t="s">
        <v>11522</v>
      </c>
      <c r="C4383" s="401" t="s">
        <v>998</v>
      </c>
      <c r="D4383" s="600">
        <v>234.43</v>
      </c>
    </row>
    <row r="4384" spans="1:4">
      <c r="A4384" s="401">
        <v>37447</v>
      </c>
      <c r="B4384" s="411" t="s">
        <v>11523</v>
      </c>
      <c r="C4384" s="401" t="s">
        <v>998</v>
      </c>
      <c r="D4384" s="600">
        <v>238.1</v>
      </c>
    </row>
    <row r="4385" spans="1:4">
      <c r="A4385" s="401">
        <v>37448</v>
      </c>
      <c r="B4385" s="411" t="s">
        <v>11524</v>
      </c>
      <c r="C4385" s="401" t="s">
        <v>998</v>
      </c>
      <c r="D4385" s="600">
        <v>326.58999999999997</v>
      </c>
    </row>
    <row r="4386" spans="1:4">
      <c r="A4386" s="401">
        <v>37440</v>
      </c>
      <c r="B4386" s="411" t="s">
        <v>11525</v>
      </c>
      <c r="C4386" s="401" t="s">
        <v>998</v>
      </c>
      <c r="D4386" s="600">
        <v>110.73</v>
      </c>
    </row>
    <row r="4387" spans="1:4">
      <c r="A4387" s="401">
        <v>37441</v>
      </c>
      <c r="B4387" s="411" t="s">
        <v>11526</v>
      </c>
      <c r="C4387" s="401" t="s">
        <v>998</v>
      </c>
      <c r="D4387" s="600">
        <v>110.73</v>
      </c>
    </row>
    <row r="4388" spans="1:4">
      <c r="A4388" s="401">
        <v>37442</v>
      </c>
      <c r="B4388" s="411" t="s">
        <v>11527</v>
      </c>
      <c r="C4388" s="401" t="s">
        <v>998</v>
      </c>
      <c r="D4388" s="600">
        <v>133.37</v>
      </c>
    </row>
    <row r="4389" spans="1:4">
      <c r="A4389" s="401">
        <v>38017</v>
      </c>
      <c r="B4389" s="411" t="s">
        <v>11528</v>
      </c>
      <c r="C4389" s="401" t="s">
        <v>998</v>
      </c>
      <c r="D4389" s="600">
        <v>12.37</v>
      </c>
    </row>
    <row r="4390" spans="1:4">
      <c r="A4390" s="401">
        <v>38018</v>
      </c>
      <c r="B4390" s="411" t="s">
        <v>11529</v>
      </c>
      <c r="C4390" s="401" t="s">
        <v>998</v>
      </c>
      <c r="D4390" s="600">
        <v>13.65</v>
      </c>
    </row>
    <row r="4391" spans="1:4" ht="25.5">
      <c r="A4391" s="401">
        <v>39895</v>
      </c>
      <c r="B4391" s="411" t="s">
        <v>11530</v>
      </c>
      <c r="C4391" s="401" t="s">
        <v>998</v>
      </c>
      <c r="D4391" s="600">
        <v>32.57</v>
      </c>
    </row>
    <row r="4392" spans="1:4" ht="25.5">
      <c r="A4392" s="401">
        <v>39896</v>
      </c>
      <c r="B4392" s="411" t="s">
        <v>11531</v>
      </c>
      <c r="C4392" s="401" t="s">
        <v>998</v>
      </c>
      <c r="D4392" s="600">
        <v>47.74</v>
      </c>
    </row>
    <row r="4393" spans="1:4">
      <c r="A4393" s="401">
        <v>38873</v>
      </c>
      <c r="B4393" s="411" t="s">
        <v>11532</v>
      </c>
      <c r="C4393" s="401" t="s">
        <v>998</v>
      </c>
      <c r="D4393" s="600">
        <v>12.79</v>
      </c>
    </row>
    <row r="4394" spans="1:4">
      <c r="A4394" s="401">
        <v>38874</v>
      </c>
      <c r="B4394" s="411" t="s">
        <v>11533</v>
      </c>
      <c r="C4394" s="401" t="s">
        <v>998</v>
      </c>
      <c r="D4394" s="600">
        <v>15.56</v>
      </c>
    </row>
    <row r="4395" spans="1:4">
      <c r="A4395" s="401">
        <v>38875</v>
      </c>
      <c r="B4395" s="411" t="s">
        <v>11534</v>
      </c>
      <c r="C4395" s="401" t="s">
        <v>998</v>
      </c>
      <c r="D4395" s="600">
        <v>27.5</v>
      </c>
    </row>
    <row r="4396" spans="1:4">
      <c r="A4396" s="401">
        <v>38876</v>
      </c>
      <c r="B4396" s="411" t="s">
        <v>11535</v>
      </c>
      <c r="C4396" s="401" t="s">
        <v>998</v>
      </c>
      <c r="D4396" s="600">
        <v>37</v>
      </c>
    </row>
    <row r="4397" spans="1:4" ht="25.5">
      <c r="A4397" s="401">
        <v>39000</v>
      </c>
      <c r="B4397" s="411" t="s">
        <v>11536</v>
      </c>
      <c r="C4397" s="401" t="s">
        <v>998</v>
      </c>
      <c r="D4397" s="600">
        <v>25.59</v>
      </c>
    </row>
    <row r="4398" spans="1:4">
      <c r="A4398" s="401">
        <v>38674</v>
      </c>
      <c r="B4398" s="411" t="s">
        <v>11537</v>
      </c>
      <c r="C4398" s="401" t="s">
        <v>998</v>
      </c>
      <c r="D4398" s="600">
        <v>43.01</v>
      </c>
    </row>
    <row r="4399" spans="1:4" ht="25.5">
      <c r="A4399" s="401">
        <v>38911</v>
      </c>
      <c r="B4399" s="411" t="s">
        <v>11538</v>
      </c>
      <c r="C4399" s="401" t="s">
        <v>998</v>
      </c>
      <c r="D4399" s="600">
        <v>45.88</v>
      </c>
    </row>
    <row r="4400" spans="1:4" ht="25.5">
      <c r="A4400" s="401">
        <v>38912</v>
      </c>
      <c r="B4400" s="411" t="s">
        <v>11539</v>
      </c>
      <c r="C4400" s="401" t="s">
        <v>998</v>
      </c>
      <c r="D4400" s="600">
        <v>58.31</v>
      </c>
    </row>
    <row r="4401" spans="1:4">
      <c r="A4401" s="401">
        <v>38019</v>
      </c>
      <c r="B4401" s="411" t="s">
        <v>11540</v>
      </c>
      <c r="C4401" s="401" t="s">
        <v>998</v>
      </c>
      <c r="D4401" s="600">
        <v>10.78</v>
      </c>
    </row>
    <row r="4402" spans="1:4">
      <c r="A4402" s="401">
        <v>38020</v>
      </c>
      <c r="B4402" s="411" t="s">
        <v>11541</v>
      </c>
      <c r="C4402" s="401" t="s">
        <v>998</v>
      </c>
      <c r="D4402" s="600">
        <v>13.65</v>
      </c>
    </row>
    <row r="4403" spans="1:4">
      <c r="A4403" s="401">
        <v>38454</v>
      </c>
      <c r="B4403" s="411" t="s">
        <v>11542</v>
      </c>
      <c r="C4403" s="401" t="s">
        <v>998</v>
      </c>
      <c r="D4403" s="600">
        <v>4.67</v>
      </c>
    </row>
    <row r="4404" spans="1:4">
      <c r="A4404" s="401">
        <v>38455</v>
      </c>
      <c r="B4404" s="411" t="s">
        <v>11543</v>
      </c>
      <c r="C4404" s="401" t="s">
        <v>998</v>
      </c>
      <c r="D4404" s="600">
        <v>4.2699999999999996</v>
      </c>
    </row>
    <row r="4405" spans="1:4">
      <c r="A4405" s="401">
        <v>38462</v>
      </c>
      <c r="B4405" s="411" t="s">
        <v>11544</v>
      </c>
      <c r="C4405" s="401" t="s">
        <v>998</v>
      </c>
      <c r="D4405" s="600">
        <v>120.68</v>
      </c>
    </row>
    <row r="4406" spans="1:4">
      <c r="A4406" s="401">
        <v>36362</v>
      </c>
      <c r="B4406" s="411" t="s">
        <v>11545</v>
      </c>
      <c r="C4406" s="401" t="s">
        <v>998</v>
      </c>
      <c r="D4406" s="600">
        <v>1.84</v>
      </c>
    </row>
    <row r="4407" spans="1:4">
      <c r="A4407" s="401">
        <v>36298</v>
      </c>
      <c r="B4407" s="411" t="s">
        <v>11546</v>
      </c>
      <c r="C4407" s="401" t="s">
        <v>998</v>
      </c>
      <c r="D4407" s="600">
        <v>2.72</v>
      </c>
    </row>
    <row r="4408" spans="1:4">
      <c r="A4408" s="401">
        <v>38456</v>
      </c>
      <c r="B4408" s="411" t="s">
        <v>11547</v>
      </c>
      <c r="C4408" s="401" t="s">
        <v>998</v>
      </c>
      <c r="D4408" s="600">
        <v>4.4400000000000004</v>
      </c>
    </row>
    <row r="4409" spans="1:4">
      <c r="A4409" s="401">
        <v>38457</v>
      </c>
      <c r="B4409" s="411" t="s">
        <v>11548</v>
      </c>
      <c r="C4409" s="401" t="s">
        <v>998</v>
      </c>
      <c r="D4409" s="600">
        <v>10</v>
      </c>
    </row>
    <row r="4410" spans="1:4">
      <c r="A4410" s="401">
        <v>38458</v>
      </c>
      <c r="B4410" s="411" t="s">
        <v>11549</v>
      </c>
      <c r="C4410" s="401" t="s">
        <v>998</v>
      </c>
      <c r="D4410" s="600">
        <v>13.41</v>
      </c>
    </row>
    <row r="4411" spans="1:4">
      <c r="A4411" s="401">
        <v>38459</v>
      </c>
      <c r="B4411" s="411" t="s">
        <v>11550</v>
      </c>
      <c r="C4411" s="401" t="s">
        <v>998</v>
      </c>
      <c r="D4411" s="600">
        <v>23.67</v>
      </c>
    </row>
    <row r="4412" spans="1:4">
      <c r="A4412" s="401">
        <v>38460</v>
      </c>
      <c r="B4412" s="411" t="s">
        <v>11551</v>
      </c>
      <c r="C4412" s="401" t="s">
        <v>998</v>
      </c>
      <c r="D4412" s="600">
        <v>49.44</v>
      </c>
    </row>
    <row r="4413" spans="1:4">
      <c r="A4413" s="401">
        <v>38461</v>
      </c>
      <c r="B4413" s="411" t="s">
        <v>11552</v>
      </c>
      <c r="C4413" s="401" t="s">
        <v>998</v>
      </c>
      <c r="D4413" s="600">
        <v>75.41</v>
      </c>
    </row>
    <row r="4414" spans="1:4">
      <c r="A4414" s="401">
        <v>7094</v>
      </c>
      <c r="B4414" s="411" t="s">
        <v>11553</v>
      </c>
      <c r="C4414" s="401" t="s">
        <v>998</v>
      </c>
      <c r="D4414" s="600">
        <v>8.56</v>
      </c>
    </row>
    <row r="4415" spans="1:4">
      <c r="A4415" s="401">
        <v>7116</v>
      </c>
      <c r="B4415" s="411" t="s">
        <v>11554</v>
      </c>
      <c r="C4415" s="401" t="s">
        <v>998</v>
      </c>
      <c r="D4415" s="600">
        <v>2.33</v>
      </c>
    </row>
    <row r="4416" spans="1:4">
      <c r="A4416" s="401">
        <v>7118</v>
      </c>
      <c r="B4416" s="411" t="s">
        <v>11555</v>
      </c>
      <c r="C4416" s="401" t="s">
        <v>998</v>
      </c>
      <c r="D4416" s="600">
        <v>18.89</v>
      </c>
    </row>
    <row r="4417" spans="1:4">
      <c r="A4417" s="401">
        <v>7117</v>
      </c>
      <c r="B4417" s="411" t="s">
        <v>11556</v>
      </c>
      <c r="C4417" s="401" t="s">
        <v>998</v>
      </c>
      <c r="D4417" s="600">
        <v>16.79</v>
      </c>
    </row>
    <row r="4418" spans="1:4">
      <c r="A4418" s="401">
        <v>7098</v>
      </c>
      <c r="B4418" s="411" t="s">
        <v>11557</v>
      </c>
      <c r="C4418" s="401" t="s">
        <v>998</v>
      </c>
      <c r="D4418" s="600">
        <v>2.34</v>
      </c>
    </row>
    <row r="4419" spans="1:4">
      <c r="A4419" s="401">
        <v>7110</v>
      </c>
      <c r="B4419" s="411" t="s">
        <v>11558</v>
      </c>
      <c r="C4419" s="401" t="s">
        <v>998</v>
      </c>
      <c r="D4419" s="600">
        <v>41.08</v>
      </c>
    </row>
    <row r="4420" spans="1:4">
      <c r="A4420" s="401">
        <v>7123</v>
      </c>
      <c r="B4420" s="411" t="s">
        <v>11559</v>
      </c>
      <c r="C4420" s="401" t="s">
        <v>998</v>
      </c>
      <c r="D4420" s="600">
        <v>3.01</v>
      </c>
    </row>
    <row r="4421" spans="1:4" ht="25.5">
      <c r="A4421" s="401">
        <v>7121</v>
      </c>
      <c r="B4421" s="411" t="s">
        <v>11560</v>
      </c>
      <c r="C4421" s="401" t="s">
        <v>998</v>
      </c>
      <c r="D4421" s="600">
        <v>7.42</v>
      </c>
    </row>
    <row r="4422" spans="1:4" ht="25.5">
      <c r="A4422" s="401">
        <v>7137</v>
      </c>
      <c r="B4422" s="411" t="s">
        <v>11561</v>
      </c>
      <c r="C4422" s="401" t="s">
        <v>998</v>
      </c>
      <c r="D4422" s="600">
        <v>6.68</v>
      </c>
    </row>
    <row r="4423" spans="1:4" ht="25.5">
      <c r="A4423" s="401">
        <v>7122</v>
      </c>
      <c r="B4423" s="411" t="s">
        <v>11562</v>
      </c>
      <c r="C4423" s="401" t="s">
        <v>998</v>
      </c>
      <c r="D4423" s="600">
        <v>8.35</v>
      </c>
    </row>
    <row r="4424" spans="1:4" ht="25.5">
      <c r="A4424" s="401">
        <v>7114</v>
      </c>
      <c r="B4424" s="411" t="s">
        <v>11563</v>
      </c>
      <c r="C4424" s="401" t="s">
        <v>998</v>
      </c>
      <c r="D4424" s="600">
        <v>12.87</v>
      </c>
    </row>
    <row r="4425" spans="1:4" ht="25.5">
      <c r="A4425" s="401">
        <v>7109</v>
      </c>
      <c r="B4425" s="411" t="s">
        <v>11564</v>
      </c>
      <c r="C4425" s="401" t="s">
        <v>998</v>
      </c>
      <c r="D4425" s="600">
        <v>2.25</v>
      </c>
    </row>
    <row r="4426" spans="1:4" ht="25.5">
      <c r="A4426" s="401">
        <v>7135</v>
      </c>
      <c r="B4426" s="411" t="s">
        <v>11565</v>
      </c>
      <c r="C4426" s="401" t="s">
        <v>998</v>
      </c>
      <c r="D4426" s="600">
        <v>3.52</v>
      </c>
    </row>
    <row r="4427" spans="1:4" ht="25.5">
      <c r="A4427" s="401">
        <v>37947</v>
      </c>
      <c r="B4427" s="411" t="s">
        <v>11566</v>
      </c>
      <c r="C4427" s="401" t="s">
        <v>998</v>
      </c>
      <c r="D4427" s="600">
        <v>3.56</v>
      </c>
    </row>
    <row r="4428" spans="1:4" ht="25.5">
      <c r="A4428" s="401">
        <v>7103</v>
      </c>
      <c r="B4428" s="411" t="s">
        <v>11567</v>
      </c>
      <c r="C4428" s="401" t="s">
        <v>998</v>
      </c>
      <c r="D4428" s="600">
        <v>8.16</v>
      </c>
    </row>
    <row r="4429" spans="1:4">
      <c r="A4429" s="401">
        <v>40419</v>
      </c>
      <c r="B4429" s="411" t="s">
        <v>11568</v>
      </c>
      <c r="C4429" s="401" t="s">
        <v>998</v>
      </c>
      <c r="D4429" s="600">
        <v>30.02</v>
      </c>
    </row>
    <row r="4430" spans="1:4">
      <c r="A4430" s="401">
        <v>40420</v>
      </c>
      <c r="B4430" s="411" t="s">
        <v>11569</v>
      </c>
      <c r="C4430" s="401" t="s">
        <v>998</v>
      </c>
      <c r="D4430" s="600">
        <v>43.79</v>
      </c>
    </row>
    <row r="4431" spans="1:4">
      <c r="A4431" s="401">
        <v>40421</v>
      </c>
      <c r="B4431" s="411" t="s">
        <v>11570</v>
      </c>
      <c r="C4431" s="401" t="s">
        <v>998</v>
      </c>
      <c r="D4431" s="600">
        <v>46.62</v>
      </c>
    </row>
    <row r="4432" spans="1:4">
      <c r="A4432" s="401">
        <v>7126</v>
      </c>
      <c r="B4432" s="411" t="s">
        <v>11571</v>
      </c>
      <c r="C4432" s="401" t="s">
        <v>998</v>
      </c>
      <c r="D4432" s="600">
        <v>17.13</v>
      </c>
    </row>
    <row r="4433" spans="1:4" ht="25.5">
      <c r="A4433" s="401">
        <v>38905</v>
      </c>
      <c r="B4433" s="411" t="s">
        <v>11572</v>
      </c>
      <c r="C4433" s="401" t="s">
        <v>998</v>
      </c>
      <c r="D4433" s="600">
        <v>14.38</v>
      </c>
    </row>
    <row r="4434" spans="1:4" ht="25.5">
      <c r="A4434" s="401">
        <v>38907</v>
      </c>
      <c r="B4434" s="411" t="s">
        <v>11573</v>
      </c>
      <c r="C4434" s="401" t="s">
        <v>998</v>
      </c>
      <c r="D4434" s="600">
        <v>15.29</v>
      </c>
    </row>
    <row r="4435" spans="1:4" ht="25.5">
      <c r="A4435" s="401">
        <v>38908</v>
      </c>
      <c r="B4435" s="411" t="s">
        <v>11574</v>
      </c>
      <c r="C4435" s="401" t="s">
        <v>998</v>
      </c>
      <c r="D4435" s="600">
        <v>17.21</v>
      </c>
    </row>
    <row r="4436" spans="1:4" ht="25.5">
      <c r="A4436" s="401">
        <v>38909</v>
      </c>
      <c r="B4436" s="411" t="s">
        <v>11575</v>
      </c>
      <c r="C4436" s="401" t="s">
        <v>998</v>
      </c>
      <c r="D4436" s="600">
        <v>24.75</v>
      </c>
    </row>
    <row r="4437" spans="1:4" ht="25.5">
      <c r="A4437" s="401">
        <v>38910</v>
      </c>
      <c r="B4437" s="411" t="s">
        <v>11576</v>
      </c>
      <c r="C4437" s="401" t="s">
        <v>998</v>
      </c>
      <c r="D4437" s="600">
        <v>26.73</v>
      </c>
    </row>
    <row r="4438" spans="1:4" ht="25.5">
      <c r="A4438" s="401">
        <v>38897</v>
      </c>
      <c r="B4438" s="411" t="s">
        <v>11577</v>
      </c>
      <c r="C4438" s="401" t="s">
        <v>998</v>
      </c>
      <c r="D4438" s="600">
        <v>14.44</v>
      </c>
    </row>
    <row r="4439" spans="1:4" ht="25.5">
      <c r="A4439" s="401">
        <v>38899</v>
      </c>
      <c r="B4439" s="411" t="s">
        <v>11578</v>
      </c>
      <c r="C4439" s="401" t="s">
        <v>998</v>
      </c>
      <c r="D4439" s="600">
        <v>16.239999999999998</v>
      </c>
    </row>
    <row r="4440" spans="1:4" ht="25.5">
      <c r="A4440" s="401">
        <v>38900</v>
      </c>
      <c r="B4440" s="411" t="s">
        <v>11579</v>
      </c>
      <c r="C4440" s="401" t="s">
        <v>998</v>
      </c>
      <c r="D4440" s="600">
        <v>16.93</v>
      </c>
    </row>
    <row r="4441" spans="1:4" ht="25.5">
      <c r="A4441" s="401">
        <v>38901</v>
      </c>
      <c r="B4441" s="411" t="s">
        <v>11580</v>
      </c>
      <c r="C4441" s="401" t="s">
        <v>998</v>
      </c>
      <c r="D4441" s="600">
        <v>27.7</v>
      </c>
    </row>
    <row r="4442" spans="1:4" ht="25.5">
      <c r="A4442" s="401">
        <v>38904</v>
      </c>
      <c r="B4442" s="411" t="s">
        <v>11581</v>
      </c>
      <c r="C4442" s="401" t="s">
        <v>998</v>
      </c>
      <c r="D4442" s="600">
        <v>45</v>
      </c>
    </row>
    <row r="4443" spans="1:4" ht="25.5">
      <c r="A4443" s="401">
        <v>38903</v>
      </c>
      <c r="B4443" s="411" t="s">
        <v>11582</v>
      </c>
      <c r="C4443" s="401" t="s">
        <v>998</v>
      </c>
      <c r="D4443" s="600">
        <v>44.71</v>
      </c>
    </row>
    <row r="4444" spans="1:4">
      <c r="A4444" s="401">
        <v>7091</v>
      </c>
      <c r="B4444" s="411" t="s">
        <v>11583</v>
      </c>
      <c r="C4444" s="401" t="s">
        <v>998</v>
      </c>
      <c r="D4444" s="600">
        <v>10.99</v>
      </c>
    </row>
    <row r="4445" spans="1:4">
      <c r="A4445" s="401">
        <v>11655</v>
      </c>
      <c r="B4445" s="411" t="s">
        <v>11584</v>
      </c>
      <c r="C4445" s="401" t="s">
        <v>998</v>
      </c>
      <c r="D4445" s="600">
        <v>10.5</v>
      </c>
    </row>
    <row r="4446" spans="1:4">
      <c r="A4446" s="401">
        <v>11656</v>
      </c>
      <c r="B4446" s="411" t="s">
        <v>11585</v>
      </c>
      <c r="C4446" s="401" t="s">
        <v>998</v>
      </c>
      <c r="D4446" s="600">
        <v>10.98</v>
      </c>
    </row>
    <row r="4447" spans="1:4">
      <c r="A4447" s="401">
        <v>37948</v>
      </c>
      <c r="B4447" s="411" t="s">
        <v>11586</v>
      </c>
      <c r="C4447" s="401" t="s">
        <v>998</v>
      </c>
      <c r="D4447" s="600">
        <v>2.2200000000000002</v>
      </c>
    </row>
    <row r="4448" spans="1:4">
      <c r="A4448" s="401">
        <v>7097</v>
      </c>
      <c r="B4448" s="411" t="s">
        <v>11587</v>
      </c>
      <c r="C4448" s="401" t="s">
        <v>998</v>
      </c>
      <c r="D4448" s="600">
        <v>4.88</v>
      </c>
    </row>
    <row r="4449" spans="1:4">
      <c r="A4449" s="401">
        <v>11657</v>
      </c>
      <c r="B4449" s="411" t="s">
        <v>11588</v>
      </c>
      <c r="C4449" s="401" t="s">
        <v>998</v>
      </c>
      <c r="D4449" s="600">
        <v>9.57</v>
      </c>
    </row>
    <row r="4450" spans="1:4">
      <c r="A4450" s="401">
        <v>11658</v>
      </c>
      <c r="B4450" s="411" t="s">
        <v>11589</v>
      </c>
      <c r="C4450" s="401" t="s">
        <v>998</v>
      </c>
      <c r="D4450" s="600">
        <v>9.75</v>
      </c>
    </row>
    <row r="4451" spans="1:4">
      <c r="A4451" s="401">
        <v>7146</v>
      </c>
      <c r="B4451" s="411" t="s">
        <v>11590</v>
      </c>
      <c r="C4451" s="401" t="s">
        <v>998</v>
      </c>
      <c r="D4451" s="600">
        <v>127.21</v>
      </c>
    </row>
    <row r="4452" spans="1:4">
      <c r="A4452" s="401">
        <v>7138</v>
      </c>
      <c r="B4452" s="411" t="s">
        <v>11591</v>
      </c>
      <c r="C4452" s="401" t="s">
        <v>998</v>
      </c>
      <c r="D4452" s="600">
        <v>0.72</v>
      </c>
    </row>
    <row r="4453" spans="1:4">
      <c r="A4453" s="401">
        <v>7139</v>
      </c>
      <c r="B4453" s="411" t="s">
        <v>11592</v>
      </c>
      <c r="C4453" s="401" t="s">
        <v>998</v>
      </c>
      <c r="D4453" s="600">
        <v>0.94</v>
      </c>
    </row>
    <row r="4454" spans="1:4">
      <c r="A4454" s="401">
        <v>7140</v>
      </c>
      <c r="B4454" s="411" t="s">
        <v>11593</v>
      </c>
      <c r="C4454" s="401" t="s">
        <v>998</v>
      </c>
      <c r="D4454" s="600">
        <v>3.14</v>
      </c>
    </row>
    <row r="4455" spans="1:4">
      <c r="A4455" s="401">
        <v>7141</v>
      </c>
      <c r="B4455" s="411" t="s">
        <v>11594</v>
      </c>
      <c r="C4455" s="401" t="s">
        <v>998</v>
      </c>
      <c r="D4455" s="600">
        <v>6.86</v>
      </c>
    </row>
    <row r="4456" spans="1:4">
      <c r="A4456" s="401">
        <v>7143</v>
      </c>
      <c r="B4456" s="411" t="s">
        <v>11595</v>
      </c>
      <c r="C4456" s="401" t="s">
        <v>998</v>
      </c>
      <c r="D4456" s="600">
        <v>22.86</v>
      </c>
    </row>
    <row r="4457" spans="1:4">
      <c r="A4457" s="401">
        <v>7144</v>
      </c>
      <c r="B4457" s="411" t="s">
        <v>11596</v>
      </c>
      <c r="C4457" s="401" t="s">
        <v>998</v>
      </c>
      <c r="D4457" s="600">
        <v>45.74</v>
      </c>
    </row>
    <row r="4458" spans="1:4">
      <c r="A4458" s="401">
        <v>7145</v>
      </c>
      <c r="B4458" s="411" t="s">
        <v>11597</v>
      </c>
      <c r="C4458" s="401" t="s">
        <v>998</v>
      </c>
      <c r="D4458" s="600">
        <v>75.010000000000005</v>
      </c>
    </row>
    <row r="4459" spans="1:4">
      <c r="A4459" s="401">
        <v>7142</v>
      </c>
      <c r="B4459" s="411" t="s">
        <v>11598</v>
      </c>
      <c r="C4459" s="401" t="s">
        <v>998</v>
      </c>
      <c r="D4459" s="600">
        <v>7.67</v>
      </c>
    </row>
    <row r="4460" spans="1:4">
      <c r="A4460" s="401">
        <v>3593</v>
      </c>
      <c r="B4460" s="411" t="s">
        <v>11599</v>
      </c>
      <c r="C4460" s="401" t="s">
        <v>998</v>
      </c>
      <c r="D4460" s="600">
        <v>45.6</v>
      </c>
    </row>
    <row r="4461" spans="1:4">
      <c r="A4461" s="401">
        <v>3588</v>
      </c>
      <c r="B4461" s="411" t="s">
        <v>11600</v>
      </c>
      <c r="C4461" s="401" t="s">
        <v>998</v>
      </c>
      <c r="D4461" s="600">
        <v>35.15</v>
      </c>
    </row>
    <row r="4462" spans="1:4">
      <c r="A4462" s="401">
        <v>3585</v>
      </c>
      <c r="B4462" s="411" t="s">
        <v>11601</v>
      </c>
      <c r="C4462" s="401" t="s">
        <v>998</v>
      </c>
      <c r="D4462" s="600">
        <v>10.85</v>
      </c>
    </row>
    <row r="4463" spans="1:4">
      <c r="A4463" s="401">
        <v>3587</v>
      </c>
      <c r="B4463" s="411" t="s">
        <v>11602</v>
      </c>
      <c r="C4463" s="401" t="s">
        <v>998</v>
      </c>
      <c r="D4463" s="600">
        <v>21.81</v>
      </c>
    </row>
    <row r="4464" spans="1:4">
      <c r="A4464" s="401">
        <v>3590</v>
      </c>
      <c r="B4464" s="411" t="s">
        <v>11603</v>
      </c>
      <c r="C4464" s="401" t="s">
        <v>998</v>
      </c>
      <c r="D4464" s="600">
        <v>129.47999999999999</v>
      </c>
    </row>
    <row r="4465" spans="1:4">
      <c r="A4465" s="401">
        <v>3589</v>
      </c>
      <c r="B4465" s="411" t="s">
        <v>11604</v>
      </c>
      <c r="C4465" s="401" t="s">
        <v>998</v>
      </c>
      <c r="D4465" s="600">
        <v>69.5</v>
      </c>
    </row>
    <row r="4466" spans="1:4">
      <c r="A4466" s="401">
        <v>3586</v>
      </c>
      <c r="B4466" s="411" t="s">
        <v>11605</v>
      </c>
      <c r="C4466" s="401" t="s">
        <v>998</v>
      </c>
      <c r="D4466" s="600">
        <v>14.22</v>
      </c>
    </row>
    <row r="4467" spans="1:4">
      <c r="A4467" s="401">
        <v>3592</v>
      </c>
      <c r="B4467" s="411" t="s">
        <v>11606</v>
      </c>
      <c r="C4467" s="401" t="s">
        <v>998</v>
      </c>
      <c r="D4467" s="600">
        <v>204.67</v>
      </c>
    </row>
    <row r="4468" spans="1:4">
      <c r="A4468" s="401">
        <v>3591</v>
      </c>
      <c r="B4468" s="411" t="s">
        <v>11607</v>
      </c>
      <c r="C4468" s="401" t="s">
        <v>998</v>
      </c>
      <c r="D4468" s="600">
        <v>328.09</v>
      </c>
    </row>
    <row r="4469" spans="1:4">
      <c r="A4469" s="401">
        <v>40396</v>
      </c>
      <c r="B4469" s="411" t="s">
        <v>11608</v>
      </c>
      <c r="C4469" s="401" t="s">
        <v>998</v>
      </c>
      <c r="D4469" s="600">
        <v>77.709999999999994</v>
      </c>
    </row>
    <row r="4470" spans="1:4">
      <c r="A4470" s="401">
        <v>40395</v>
      </c>
      <c r="B4470" s="411" t="s">
        <v>11609</v>
      </c>
      <c r="C4470" s="401" t="s">
        <v>998</v>
      </c>
      <c r="D4470" s="600">
        <v>59.64</v>
      </c>
    </row>
    <row r="4471" spans="1:4">
      <c r="A4471" s="401">
        <v>40392</v>
      </c>
      <c r="B4471" s="411" t="s">
        <v>11610</v>
      </c>
      <c r="C4471" s="401" t="s">
        <v>998</v>
      </c>
      <c r="D4471" s="600">
        <v>19.190000000000001</v>
      </c>
    </row>
    <row r="4472" spans="1:4">
      <c r="A4472" s="401">
        <v>40394</v>
      </c>
      <c r="B4472" s="411" t="s">
        <v>11611</v>
      </c>
      <c r="C4472" s="401" t="s">
        <v>998</v>
      </c>
      <c r="D4472" s="600">
        <v>38.83</v>
      </c>
    </row>
    <row r="4473" spans="1:4">
      <c r="A4473" s="401">
        <v>40398</v>
      </c>
      <c r="B4473" s="411" t="s">
        <v>11612</v>
      </c>
      <c r="C4473" s="401" t="s">
        <v>998</v>
      </c>
      <c r="D4473" s="600">
        <v>249.32</v>
      </c>
    </row>
    <row r="4474" spans="1:4">
      <c r="A4474" s="401">
        <v>40397</v>
      </c>
      <c r="B4474" s="411" t="s">
        <v>11613</v>
      </c>
      <c r="C4474" s="401" t="s">
        <v>998</v>
      </c>
      <c r="D4474" s="600">
        <v>127.68</v>
      </c>
    </row>
    <row r="4475" spans="1:4">
      <c r="A4475" s="401">
        <v>40393</v>
      </c>
      <c r="B4475" s="411" t="s">
        <v>11614</v>
      </c>
      <c r="C4475" s="401" t="s">
        <v>998</v>
      </c>
      <c r="D4475" s="600">
        <v>24.72</v>
      </c>
    </row>
    <row r="4476" spans="1:4">
      <c r="A4476" s="401">
        <v>40399</v>
      </c>
      <c r="B4476" s="411" t="s">
        <v>11615</v>
      </c>
      <c r="C4476" s="401" t="s">
        <v>998</v>
      </c>
      <c r="D4476" s="600">
        <v>407.89</v>
      </c>
    </row>
    <row r="4477" spans="1:4">
      <c r="A4477" s="401">
        <v>39322</v>
      </c>
      <c r="B4477" s="411" t="s">
        <v>11616</v>
      </c>
      <c r="C4477" s="401" t="s">
        <v>998</v>
      </c>
      <c r="D4477" s="600">
        <v>17.440000000000001</v>
      </c>
    </row>
    <row r="4478" spans="1:4">
      <c r="A4478" s="401">
        <v>39289</v>
      </c>
      <c r="B4478" s="411" t="s">
        <v>11617</v>
      </c>
      <c r="C4478" s="401" t="s">
        <v>998</v>
      </c>
      <c r="D4478" s="600">
        <v>20.89</v>
      </c>
    </row>
    <row r="4479" spans="1:4">
      <c r="A4479" s="401">
        <v>39290</v>
      </c>
      <c r="B4479" s="411" t="s">
        <v>11618</v>
      </c>
      <c r="C4479" s="401" t="s">
        <v>998</v>
      </c>
      <c r="D4479" s="600">
        <v>35.46</v>
      </c>
    </row>
    <row r="4480" spans="1:4">
      <c r="A4480" s="401">
        <v>39291</v>
      </c>
      <c r="B4480" s="411" t="s">
        <v>11619</v>
      </c>
      <c r="C4480" s="401" t="s">
        <v>998</v>
      </c>
      <c r="D4480" s="600">
        <v>53.09</v>
      </c>
    </row>
    <row r="4481" spans="1:4">
      <c r="A4481" s="401">
        <v>20174</v>
      </c>
      <c r="B4481" s="411" t="s">
        <v>11620</v>
      </c>
      <c r="C4481" s="401" t="s">
        <v>998</v>
      </c>
      <c r="D4481" s="600">
        <v>26.79</v>
      </c>
    </row>
    <row r="4482" spans="1:4">
      <c r="A4482" s="401">
        <v>41892</v>
      </c>
      <c r="B4482" s="411" t="s">
        <v>11621</v>
      </c>
      <c r="C4482" s="401" t="s">
        <v>998</v>
      </c>
      <c r="D4482" s="600">
        <v>87.56</v>
      </c>
    </row>
    <row r="4483" spans="1:4">
      <c r="A4483" s="401">
        <v>7048</v>
      </c>
      <c r="B4483" s="411" t="s">
        <v>11622</v>
      </c>
      <c r="C4483" s="401" t="s">
        <v>998</v>
      </c>
      <c r="D4483" s="600">
        <v>18.899999999999999</v>
      </c>
    </row>
    <row r="4484" spans="1:4">
      <c r="A4484" s="401">
        <v>7088</v>
      </c>
      <c r="B4484" s="411" t="s">
        <v>11623</v>
      </c>
      <c r="C4484" s="401" t="s">
        <v>998</v>
      </c>
      <c r="D4484" s="600">
        <v>41.33</v>
      </c>
    </row>
    <row r="4485" spans="1:4">
      <c r="A4485" s="401">
        <v>20179</v>
      </c>
      <c r="B4485" s="411" t="s">
        <v>11624</v>
      </c>
      <c r="C4485" s="401" t="s">
        <v>998</v>
      </c>
      <c r="D4485" s="600">
        <v>36.07</v>
      </c>
    </row>
    <row r="4486" spans="1:4">
      <c r="A4486" s="401">
        <v>20178</v>
      </c>
      <c r="B4486" s="411" t="s">
        <v>11625</v>
      </c>
      <c r="C4486" s="401" t="s">
        <v>998</v>
      </c>
      <c r="D4486" s="600">
        <v>31.87</v>
      </c>
    </row>
    <row r="4487" spans="1:4">
      <c r="A4487" s="401">
        <v>20180</v>
      </c>
      <c r="B4487" s="411" t="s">
        <v>11626</v>
      </c>
      <c r="C4487" s="401" t="s">
        <v>998</v>
      </c>
      <c r="D4487" s="600">
        <v>58.57</v>
      </c>
    </row>
    <row r="4488" spans="1:4">
      <c r="A4488" s="401">
        <v>20181</v>
      </c>
      <c r="B4488" s="411" t="s">
        <v>11627</v>
      </c>
      <c r="C4488" s="401" t="s">
        <v>998</v>
      </c>
      <c r="D4488" s="600">
        <v>86.89</v>
      </c>
    </row>
    <row r="4489" spans="1:4">
      <c r="A4489" s="401">
        <v>20177</v>
      </c>
      <c r="B4489" s="411" t="s">
        <v>11628</v>
      </c>
      <c r="C4489" s="401" t="s">
        <v>998</v>
      </c>
      <c r="D4489" s="600">
        <v>20.89</v>
      </c>
    </row>
    <row r="4490" spans="1:4">
      <c r="A4490" s="401">
        <v>7082</v>
      </c>
      <c r="B4490" s="411" t="s">
        <v>11629</v>
      </c>
      <c r="C4490" s="401" t="s">
        <v>998</v>
      </c>
      <c r="D4490" s="600">
        <v>35.909999999999997</v>
      </c>
    </row>
    <row r="4491" spans="1:4" ht="25.5">
      <c r="A4491" s="401">
        <v>42707</v>
      </c>
      <c r="B4491" s="411" t="s">
        <v>11630</v>
      </c>
      <c r="C4491" s="401" t="s">
        <v>998</v>
      </c>
      <c r="D4491" s="600">
        <v>97.53</v>
      </c>
    </row>
    <row r="4492" spans="1:4">
      <c r="A4492" s="401">
        <v>7069</v>
      </c>
      <c r="B4492" s="411" t="s">
        <v>11631</v>
      </c>
      <c r="C4492" s="401" t="s">
        <v>998</v>
      </c>
      <c r="D4492" s="600">
        <v>79.7</v>
      </c>
    </row>
    <row r="4493" spans="1:4" ht="25.5">
      <c r="A4493" s="401">
        <v>42708</v>
      </c>
      <c r="B4493" s="411" t="s">
        <v>11632</v>
      </c>
      <c r="C4493" s="401" t="s">
        <v>998</v>
      </c>
      <c r="D4493" s="600">
        <v>255.98</v>
      </c>
    </row>
    <row r="4494" spans="1:4">
      <c r="A4494" s="401">
        <v>7070</v>
      </c>
      <c r="B4494" s="411" t="s">
        <v>11633</v>
      </c>
      <c r="C4494" s="401" t="s">
        <v>998</v>
      </c>
      <c r="D4494" s="600">
        <v>114.13</v>
      </c>
    </row>
    <row r="4495" spans="1:4" ht="25.5">
      <c r="A4495" s="401">
        <v>42709</v>
      </c>
      <c r="B4495" s="411" t="s">
        <v>11634</v>
      </c>
      <c r="C4495" s="401" t="s">
        <v>998</v>
      </c>
      <c r="D4495" s="600">
        <v>382.84</v>
      </c>
    </row>
    <row r="4496" spans="1:4" ht="25.5">
      <c r="A4496" s="401">
        <v>42710</v>
      </c>
      <c r="B4496" s="411" t="s">
        <v>11635</v>
      </c>
      <c r="C4496" s="401" t="s">
        <v>998</v>
      </c>
      <c r="D4496" s="600">
        <v>1100.48</v>
      </c>
    </row>
    <row r="4497" spans="1:4" ht="25.5">
      <c r="A4497" s="401">
        <v>42716</v>
      </c>
      <c r="B4497" s="411" t="s">
        <v>11636</v>
      </c>
      <c r="C4497" s="401" t="s">
        <v>998</v>
      </c>
      <c r="D4497" s="600">
        <v>1369.73</v>
      </c>
    </row>
    <row r="4498" spans="1:4">
      <c r="A4498" s="401">
        <v>20172</v>
      </c>
      <c r="B4498" s="411" t="s">
        <v>11637</v>
      </c>
      <c r="C4498" s="401" t="s">
        <v>998</v>
      </c>
      <c r="D4498" s="600">
        <v>26.34</v>
      </c>
    </row>
    <row r="4499" spans="1:4">
      <c r="A4499" s="401">
        <v>40945</v>
      </c>
      <c r="B4499" s="411" t="s">
        <v>11638</v>
      </c>
      <c r="C4499" s="401" t="s">
        <v>1001</v>
      </c>
      <c r="D4499" s="600">
        <v>11.79</v>
      </c>
    </row>
    <row r="4500" spans="1:4">
      <c r="A4500" s="401">
        <v>40946</v>
      </c>
      <c r="B4500" s="411" t="s">
        <v>11639</v>
      </c>
      <c r="C4500" s="401" t="s">
        <v>1118</v>
      </c>
      <c r="D4500" s="600">
        <v>2090.42</v>
      </c>
    </row>
    <row r="4501" spans="1:4">
      <c r="A4501" s="401">
        <v>7153</v>
      </c>
      <c r="B4501" s="411" t="s">
        <v>11640</v>
      </c>
      <c r="C4501" s="401" t="s">
        <v>1001</v>
      </c>
      <c r="D4501" s="600">
        <v>18.399999999999999</v>
      </c>
    </row>
    <row r="4502" spans="1:4">
      <c r="A4502" s="401">
        <v>41089</v>
      </c>
      <c r="B4502" s="411" t="s">
        <v>11641</v>
      </c>
      <c r="C4502" s="401" t="s">
        <v>1118</v>
      </c>
      <c r="D4502" s="600">
        <v>3263.03</v>
      </c>
    </row>
    <row r="4503" spans="1:4">
      <c r="A4503" s="401">
        <v>40943</v>
      </c>
      <c r="B4503" s="411" t="s">
        <v>11642</v>
      </c>
      <c r="C4503" s="401" t="s">
        <v>1001</v>
      </c>
      <c r="D4503" s="600">
        <v>19.38</v>
      </c>
    </row>
    <row r="4504" spans="1:4">
      <c r="A4504" s="401">
        <v>40944</v>
      </c>
      <c r="B4504" s="411" t="s">
        <v>11643</v>
      </c>
      <c r="C4504" s="401" t="s">
        <v>1118</v>
      </c>
      <c r="D4504" s="600">
        <v>3436.4</v>
      </c>
    </row>
    <row r="4505" spans="1:4">
      <c r="A4505" s="401">
        <v>6175</v>
      </c>
      <c r="B4505" s="411" t="s">
        <v>11644</v>
      </c>
      <c r="C4505" s="401" t="s">
        <v>1001</v>
      </c>
      <c r="D4505" s="600">
        <v>16.39</v>
      </c>
    </row>
    <row r="4506" spans="1:4">
      <c r="A4506" s="401">
        <v>41092</v>
      </c>
      <c r="B4506" s="411" t="s">
        <v>11645</v>
      </c>
      <c r="C4506" s="401" t="s">
        <v>1118</v>
      </c>
      <c r="D4506" s="600">
        <v>2906.43</v>
      </c>
    </row>
    <row r="4507" spans="1:4" ht="25.5">
      <c r="A4507" s="401">
        <v>37712</v>
      </c>
      <c r="B4507" s="411" t="s">
        <v>11646</v>
      </c>
      <c r="C4507" s="401" t="s">
        <v>1003</v>
      </c>
      <c r="D4507" s="600">
        <v>61.49</v>
      </c>
    </row>
    <row r="4508" spans="1:4" ht="25.5">
      <c r="A4508" s="401">
        <v>34547</v>
      </c>
      <c r="B4508" s="411" t="s">
        <v>11647</v>
      </c>
      <c r="C4508" s="401" t="s">
        <v>1002</v>
      </c>
      <c r="D4508" s="600">
        <v>2.8</v>
      </c>
    </row>
    <row r="4509" spans="1:4" ht="25.5">
      <c r="A4509" s="401">
        <v>34548</v>
      </c>
      <c r="B4509" s="411" t="s">
        <v>11648</v>
      </c>
      <c r="C4509" s="401" t="s">
        <v>1002</v>
      </c>
      <c r="D4509" s="600">
        <v>4.5999999999999996</v>
      </c>
    </row>
    <row r="4510" spans="1:4" ht="25.5">
      <c r="A4510" s="401">
        <v>34558</v>
      </c>
      <c r="B4510" s="411" t="s">
        <v>11649</v>
      </c>
      <c r="C4510" s="401" t="s">
        <v>1002</v>
      </c>
      <c r="D4510" s="600">
        <v>2.2799999999999998</v>
      </c>
    </row>
    <row r="4511" spans="1:4" ht="25.5">
      <c r="A4511" s="401">
        <v>34550</v>
      </c>
      <c r="B4511" s="411" t="s">
        <v>11650</v>
      </c>
      <c r="C4511" s="401" t="s">
        <v>1002</v>
      </c>
      <c r="D4511" s="600">
        <v>1.21</v>
      </c>
    </row>
    <row r="4512" spans="1:4" ht="25.5">
      <c r="A4512" s="401">
        <v>34557</v>
      </c>
      <c r="B4512" s="411" t="s">
        <v>11651</v>
      </c>
      <c r="C4512" s="401" t="s">
        <v>1002</v>
      </c>
      <c r="D4512" s="600">
        <v>1.77</v>
      </c>
    </row>
    <row r="4513" spans="1:4" ht="25.5">
      <c r="A4513" s="401">
        <v>37411</v>
      </c>
      <c r="B4513" s="411" t="s">
        <v>11652</v>
      </c>
      <c r="C4513" s="401" t="s">
        <v>1003</v>
      </c>
      <c r="D4513" s="600">
        <v>12.98</v>
      </c>
    </row>
    <row r="4514" spans="1:4" ht="25.5">
      <c r="A4514" s="401">
        <v>39508</v>
      </c>
      <c r="B4514" s="411" t="s">
        <v>11653</v>
      </c>
      <c r="C4514" s="401" t="s">
        <v>1003</v>
      </c>
      <c r="D4514" s="600">
        <v>7.29</v>
      </c>
    </row>
    <row r="4515" spans="1:4" ht="25.5">
      <c r="A4515" s="401">
        <v>39507</v>
      </c>
      <c r="B4515" s="411" t="s">
        <v>11654</v>
      </c>
      <c r="C4515" s="401" t="s">
        <v>1003</v>
      </c>
      <c r="D4515" s="600">
        <v>10.87</v>
      </c>
    </row>
    <row r="4516" spans="1:4" ht="25.5">
      <c r="A4516" s="401">
        <v>7155</v>
      </c>
      <c r="B4516" s="411" t="s">
        <v>11655</v>
      </c>
      <c r="C4516" s="401" t="s">
        <v>1003</v>
      </c>
      <c r="D4516" s="600">
        <v>13.96</v>
      </c>
    </row>
    <row r="4517" spans="1:4" ht="25.5">
      <c r="A4517" s="401">
        <v>42406</v>
      </c>
      <c r="B4517" s="411" t="s">
        <v>11656</v>
      </c>
      <c r="C4517" s="401" t="s">
        <v>1003</v>
      </c>
      <c r="D4517" s="600">
        <v>16</v>
      </c>
    </row>
    <row r="4518" spans="1:4" ht="25.5">
      <c r="A4518" s="401">
        <v>7156</v>
      </c>
      <c r="B4518" s="411" t="s">
        <v>11657</v>
      </c>
      <c r="C4518" s="401" t="s">
        <v>1003</v>
      </c>
      <c r="D4518" s="600">
        <v>20.03</v>
      </c>
    </row>
    <row r="4519" spans="1:4" ht="25.5">
      <c r="A4519" s="401">
        <v>43127</v>
      </c>
      <c r="B4519" s="411" t="s">
        <v>11658</v>
      </c>
      <c r="C4519" s="401" t="s">
        <v>1003</v>
      </c>
      <c r="D4519" s="600">
        <v>28.66</v>
      </c>
    </row>
    <row r="4520" spans="1:4" ht="25.5">
      <c r="A4520" s="401">
        <v>10917</v>
      </c>
      <c r="B4520" s="411" t="s">
        <v>11659</v>
      </c>
      <c r="C4520" s="401" t="s">
        <v>1003</v>
      </c>
      <c r="D4520" s="600">
        <v>6.05</v>
      </c>
    </row>
    <row r="4521" spans="1:4" ht="25.5">
      <c r="A4521" s="401">
        <v>21141</v>
      </c>
      <c r="B4521" s="411" t="s">
        <v>11660</v>
      </c>
      <c r="C4521" s="401" t="s">
        <v>1003</v>
      </c>
      <c r="D4521" s="600">
        <v>9.36</v>
      </c>
    </row>
    <row r="4522" spans="1:4" ht="25.5">
      <c r="A4522" s="401">
        <v>39509</v>
      </c>
      <c r="B4522" s="411" t="s">
        <v>11661</v>
      </c>
      <c r="C4522" s="401" t="s">
        <v>1003</v>
      </c>
      <c r="D4522" s="600">
        <v>9.01</v>
      </c>
    </row>
    <row r="4523" spans="1:4">
      <c r="A4523" s="401">
        <v>25988</v>
      </c>
      <c r="B4523" s="411" t="s">
        <v>11662</v>
      </c>
      <c r="C4523" s="401" t="s">
        <v>1003</v>
      </c>
      <c r="D4523" s="600">
        <v>9.73</v>
      </c>
    </row>
    <row r="4524" spans="1:4" ht="25.5">
      <c r="A4524" s="401">
        <v>7167</v>
      </c>
      <c r="B4524" s="411" t="s">
        <v>11663</v>
      </c>
      <c r="C4524" s="401" t="s">
        <v>1003</v>
      </c>
      <c r="D4524" s="600">
        <v>18.03</v>
      </c>
    </row>
    <row r="4525" spans="1:4" ht="25.5">
      <c r="A4525" s="401">
        <v>10928</v>
      </c>
      <c r="B4525" s="411" t="s">
        <v>11664</v>
      </c>
      <c r="C4525" s="401" t="s">
        <v>1003</v>
      </c>
      <c r="D4525" s="600">
        <v>10.36</v>
      </c>
    </row>
    <row r="4526" spans="1:4" ht="25.5">
      <c r="A4526" s="401">
        <v>10933</v>
      </c>
      <c r="B4526" s="411" t="s">
        <v>11665</v>
      </c>
      <c r="C4526" s="401" t="s">
        <v>1003</v>
      </c>
      <c r="D4526" s="600">
        <v>15.62</v>
      </c>
    </row>
    <row r="4527" spans="1:4" ht="25.5">
      <c r="A4527" s="401">
        <v>7158</v>
      </c>
      <c r="B4527" s="411" t="s">
        <v>11666</v>
      </c>
      <c r="C4527" s="401" t="s">
        <v>1003</v>
      </c>
      <c r="D4527" s="600">
        <v>26.5</v>
      </c>
    </row>
    <row r="4528" spans="1:4" ht="25.5">
      <c r="A4528" s="401">
        <v>10927</v>
      </c>
      <c r="B4528" s="411" t="s">
        <v>11667</v>
      </c>
      <c r="C4528" s="401" t="s">
        <v>1003</v>
      </c>
      <c r="D4528" s="600">
        <v>16.940000000000001</v>
      </c>
    </row>
    <row r="4529" spans="1:4" ht="25.5">
      <c r="A4529" s="401">
        <v>7162</v>
      </c>
      <c r="B4529" s="411" t="s">
        <v>11668</v>
      </c>
      <c r="C4529" s="401" t="s">
        <v>1003</v>
      </c>
      <c r="D4529" s="600">
        <v>41.47</v>
      </c>
    </row>
    <row r="4530" spans="1:4" ht="25.5">
      <c r="A4530" s="401">
        <v>10932</v>
      </c>
      <c r="B4530" s="411" t="s">
        <v>11669</v>
      </c>
      <c r="C4530" s="401" t="s">
        <v>1003</v>
      </c>
      <c r="D4530" s="600">
        <v>72.13</v>
      </c>
    </row>
    <row r="4531" spans="1:4" ht="25.5">
      <c r="A4531" s="401">
        <v>10937</v>
      </c>
      <c r="B4531" s="411" t="s">
        <v>11670</v>
      </c>
      <c r="C4531" s="401" t="s">
        <v>1003</v>
      </c>
      <c r="D4531" s="600">
        <v>18.54</v>
      </c>
    </row>
    <row r="4532" spans="1:4" ht="25.5">
      <c r="A4532" s="401">
        <v>10935</v>
      </c>
      <c r="B4532" s="411" t="s">
        <v>11671</v>
      </c>
      <c r="C4532" s="401" t="s">
        <v>1003</v>
      </c>
      <c r="D4532" s="600">
        <v>32.15</v>
      </c>
    </row>
    <row r="4533" spans="1:4">
      <c r="A4533" s="401">
        <v>10931</v>
      </c>
      <c r="B4533" s="411" t="s">
        <v>11672</v>
      </c>
      <c r="C4533" s="401" t="s">
        <v>1003</v>
      </c>
      <c r="D4533" s="600">
        <v>9.0399999999999991</v>
      </c>
    </row>
    <row r="4534" spans="1:4">
      <c r="A4534" s="401">
        <v>7164</v>
      </c>
      <c r="B4534" s="411" t="s">
        <v>11673</v>
      </c>
      <c r="C4534" s="401" t="s">
        <v>1003</v>
      </c>
      <c r="D4534" s="600">
        <v>29.93</v>
      </c>
    </row>
    <row r="4535" spans="1:4">
      <c r="A4535" s="401">
        <v>36887</v>
      </c>
      <c r="B4535" s="411" t="s">
        <v>11674</v>
      </c>
      <c r="C4535" s="401" t="s">
        <v>1003</v>
      </c>
      <c r="D4535" s="600">
        <v>14.07</v>
      </c>
    </row>
    <row r="4536" spans="1:4" ht="38.25">
      <c r="A4536" s="401">
        <v>34630</v>
      </c>
      <c r="B4536" s="411" t="s">
        <v>11675</v>
      </c>
      <c r="C4536" s="401" t="s">
        <v>998</v>
      </c>
      <c r="D4536" s="600">
        <v>999.44</v>
      </c>
    </row>
    <row r="4537" spans="1:4">
      <c r="A4537" s="401">
        <v>7161</v>
      </c>
      <c r="B4537" s="411" t="s">
        <v>11676</v>
      </c>
      <c r="C4537" s="401" t="s">
        <v>1003</v>
      </c>
      <c r="D4537" s="600">
        <v>3.72</v>
      </c>
    </row>
    <row r="4538" spans="1:4" ht="25.5">
      <c r="A4538" s="401">
        <v>7170</v>
      </c>
      <c r="B4538" s="411" t="s">
        <v>11677</v>
      </c>
      <c r="C4538" s="401" t="s">
        <v>1003</v>
      </c>
      <c r="D4538" s="600">
        <v>2</v>
      </c>
    </row>
    <row r="4539" spans="1:4" ht="25.5">
      <c r="A4539" s="401">
        <v>37524</v>
      </c>
      <c r="B4539" s="411" t="s">
        <v>11678</v>
      </c>
      <c r="C4539" s="401" t="s">
        <v>1002</v>
      </c>
      <c r="D4539" s="600">
        <v>1.91</v>
      </c>
    </row>
    <row r="4540" spans="1:4" ht="25.5">
      <c r="A4540" s="401">
        <v>37525</v>
      </c>
      <c r="B4540" s="411" t="s">
        <v>11679</v>
      </c>
      <c r="C4540" s="401" t="s">
        <v>1002</v>
      </c>
      <c r="D4540" s="600">
        <v>2.2799999999999998</v>
      </c>
    </row>
    <row r="4541" spans="1:4" ht="25.5">
      <c r="A4541" s="401">
        <v>36789</v>
      </c>
      <c r="B4541" s="411" t="s">
        <v>11680</v>
      </c>
      <c r="C4541" s="401" t="s">
        <v>998</v>
      </c>
      <c r="D4541" s="600">
        <v>2.4700000000000002</v>
      </c>
    </row>
    <row r="4542" spans="1:4" ht="25.5">
      <c r="A4542" s="401">
        <v>7173</v>
      </c>
      <c r="B4542" s="411" t="s">
        <v>11681</v>
      </c>
      <c r="C4542" s="401" t="s">
        <v>1010</v>
      </c>
      <c r="D4542" s="600">
        <v>1600</v>
      </c>
    </row>
    <row r="4543" spans="1:4" ht="25.5">
      <c r="A4543" s="401">
        <v>7175</v>
      </c>
      <c r="B4543" s="411" t="s">
        <v>11682</v>
      </c>
      <c r="C4543" s="401" t="s">
        <v>998</v>
      </c>
      <c r="D4543" s="600">
        <v>1.81</v>
      </c>
    </row>
    <row r="4544" spans="1:4" ht="25.5">
      <c r="A4544" s="401">
        <v>40865</v>
      </c>
      <c r="B4544" s="411" t="s">
        <v>11683</v>
      </c>
      <c r="C4544" s="401" t="s">
        <v>998</v>
      </c>
      <c r="D4544" s="600">
        <v>2.12</v>
      </c>
    </row>
    <row r="4545" spans="1:4">
      <c r="A4545" s="401">
        <v>7184</v>
      </c>
      <c r="B4545" s="411" t="s">
        <v>11684</v>
      </c>
      <c r="C4545" s="401" t="s">
        <v>1003</v>
      </c>
      <c r="D4545" s="600">
        <v>28.05</v>
      </c>
    </row>
    <row r="4546" spans="1:4">
      <c r="A4546" s="401">
        <v>34458</v>
      </c>
      <c r="B4546" s="411" t="s">
        <v>11685</v>
      </c>
      <c r="C4546" s="401" t="s">
        <v>998</v>
      </c>
      <c r="D4546" s="600">
        <v>106.26</v>
      </c>
    </row>
    <row r="4547" spans="1:4">
      <c r="A4547" s="401">
        <v>34464</v>
      </c>
      <c r="B4547" s="411" t="s">
        <v>11686</v>
      </c>
      <c r="C4547" s="401" t="s">
        <v>998</v>
      </c>
      <c r="D4547" s="600">
        <v>142.56</v>
      </c>
    </row>
    <row r="4548" spans="1:4">
      <c r="A4548" s="401">
        <v>34468</v>
      </c>
      <c r="B4548" s="411" t="s">
        <v>11687</v>
      </c>
      <c r="C4548" s="401" t="s">
        <v>998</v>
      </c>
      <c r="D4548" s="600">
        <v>164.53</v>
      </c>
    </row>
    <row r="4549" spans="1:4">
      <c r="A4549" s="401">
        <v>34473</v>
      </c>
      <c r="B4549" s="411" t="s">
        <v>11688</v>
      </c>
      <c r="C4549" s="401" t="s">
        <v>998</v>
      </c>
      <c r="D4549" s="600">
        <v>134.56</v>
      </c>
    </row>
    <row r="4550" spans="1:4">
      <c r="A4550" s="401">
        <v>34480</v>
      </c>
      <c r="B4550" s="411" t="s">
        <v>11689</v>
      </c>
      <c r="C4550" s="401" t="s">
        <v>998</v>
      </c>
      <c r="D4550" s="600">
        <v>183.5</v>
      </c>
    </row>
    <row r="4551" spans="1:4">
      <c r="A4551" s="401">
        <v>34486</v>
      </c>
      <c r="B4551" s="411" t="s">
        <v>11690</v>
      </c>
      <c r="C4551" s="401" t="s">
        <v>998</v>
      </c>
      <c r="D4551" s="600">
        <v>205.52</v>
      </c>
    </row>
    <row r="4552" spans="1:4">
      <c r="A4552" s="401">
        <v>7202</v>
      </c>
      <c r="B4552" s="411" t="s">
        <v>11691</v>
      </c>
      <c r="C4552" s="401" t="s">
        <v>1003</v>
      </c>
      <c r="D4552" s="600">
        <v>42.11</v>
      </c>
    </row>
    <row r="4553" spans="1:4">
      <c r="A4553" s="401">
        <v>7190</v>
      </c>
      <c r="B4553" s="411" t="s">
        <v>11692</v>
      </c>
      <c r="C4553" s="401" t="s">
        <v>998</v>
      </c>
      <c r="D4553" s="600">
        <v>7.22</v>
      </c>
    </row>
    <row r="4554" spans="1:4">
      <c r="A4554" s="401">
        <v>34417</v>
      </c>
      <c r="B4554" s="411" t="s">
        <v>11693</v>
      </c>
      <c r="C4554" s="401" t="s">
        <v>998</v>
      </c>
      <c r="D4554" s="600">
        <v>12.56</v>
      </c>
    </row>
    <row r="4555" spans="1:4">
      <c r="A4555" s="401">
        <v>7191</v>
      </c>
      <c r="B4555" s="411" t="s">
        <v>11694</v>
      </c>
      <c r="C4555" s="401" t="s">
        <v>998</v>
      </c>
      <c r="D4555" s="600">
        <v>14.55</v>
      </c>
    </row>
    <row r="4556" spans="1:4">
      <c r="A4556" s="401">
        <v>7213</v>
      </c>
      <c r="B4556" s="411" t="s">
        <v>11694</v>
      </c>
      <c r="C4556" s="401" t="s">
        <v>1003</v>
      </c>
      <c r="D4556" s="600">
        <v>11.93</v>
      </c>
    </row>
    <row r="4557" spans="1:4">
      <c r="A4557" s="401">
        <v>7195</v>
      </c>
      <c r="B4557" s="411" t="s">
        <v>11695</v>
      </c>
      <c r="C4557" s="401" t="s">
        <v>998</v>
      </c>
      <c r="D4557" s="600">
        <v>34.68</v>
      </c>
    </row>
    <row r="4558" spans="1:4">
      <c r="A4558" s="401">
        <v>7186</v>
      </c>
      <c r="B4558" s="411" t="s">
        <v>11696</v>
      </c>
      <c r="C4558" s="401" t="s">
        <v>998</v>
      </c>
      <c r="D4558" s="600">
        <v>41.49</v>
      </c>
    </row>
    <row r="4559" spans="1:4">
      <c r="A4559" s="401">
        <v>7194</v>
      </c>
      <c r="B4559" s="411" t="s">
        <v>11697</v>
      </c>
      <c r="C4559" s="401" t="s">
        <v>1003</v>
      </c>
      <c r="D4559" s="600">
        <v>20.57</v>
      </c>
    </row>
    <row r="4560" spans="1:4">
      <c r="A4560" s="401">
        <v>7207</v>
      </c>
      <c r="B4560" s="411" t="s">
        <v>11697</v>
      </c>
      <c r="C4560" s="401" t="s">
        <v>998</v>
      </c>
      <c r="D4560" s="600">
        <v>55.22</v>
      </c>
    </row>
    <row r="4561" spans="1:4">
      <c r="A4561" s="401">
        <v>7197</v>
      </c>
      <c r="B4561" s="411" t="s">
        <v>11698</v>
      </c>
      <c r="C4561" s="401" t="s">
        <v>998</v>
      </c>
      <c r="D4561" s="600">
        <v>82.96</v>
      </c>
    </row>
    <row r="4562" spans="1:4">
      <c r="A4562" s="401">
        <v>7192</v>
      </c>
      <c r="B4562" s="411" t="s">
        <v>11699</v>
      </c>
      <c r="C4562" s="401" t="s">
        <v>998</v>
      </c>
      <c r="D4562" s="600">
        <v>45.63</v>
      </c>
    </row>
    <row r="4563" spans="1:4">
      <c r="A4563" s="401">
        <v>7193</v>
      </c>
      <c r="B4563" s="411" t="s">
        <v>11700</v>
      </c>
      <c r="C4563" s="401" t="s">
        <v>998</v>
      </c>
      <c r="D4563" s="600">
        <v>54.47</v>
      </c>
    </row>
    <row r="4564" spans="1:4">
      <c r="A4564" s="401">
        <v>7189</v>
      </c>
      <c r="B4564" s="411" t="s">
        <v>11701</v>
      </c>
      <c r="C4564" s="401" t="s">
        <v>998</v>
      </c>
      <c r="D4564" s="600">
        <v>76.5</v>
      </c>
    </row>
    <row r="4565" spans="1:4">
      <c r="A4565" s="401">
        <v>7198</v>
      </c>
      <c r="B4565" s="411" t="s">
        <v>11702</v>
      </c>
      <c r="C4565" s="401" t="s">
        <v>1003</v>
      </c>
      <c r="D4565" s="600">
        <v>28.48</v>
      </c>
    </row>
    <row r="4566" spans="1:4">
      <c r="A4566" s="401">
        <v>34402</v>
      </c>
      <c r="B4566" s="411" t="s">
        <v>11702</v>
      </c>
      <c r="C4566" s="401" t="s">
        <v>998</v>
      </c>
      <c r="D4566" s="600">
        <v>114.67</v>
      </c>
    </row>
    <row r="4567" spans="1:4">
      <c r="A4567" s="401">
        <v>7245</v>
      </c>
      <c r="B4567" s="411" t="s">
        <v>11703</v>
      </c>
      <c r="C4567" s="401" t="s">
        <v>998</v>
      </c>
      <c r="D4567" s="600">
        <v>38.549999999999997</v>
      </c>
    </row>
    <row r="4568" spans="1:4">
      <c r="A4568" s="401">
        <v>34425</v>
      </c>
      <c r="B4568" s="411" t="s">
        <v>11704</v>
      </c>
      <c r="C4568" s="401" t="s">
        <v>998</v>
      </c>
      <c r="D4568" s="600">
        <v>70.91</v>
      </c>
    </row>
    <row r="4569" spans="1:4">
      <c r="A4569" s="401">
        <v>7223</v>
      </c>
      <c r="B4569" s="411" t="s">
        <v>11705</v>
      </c>
      <c r="C4569" s="401" t="s">
        <v>998</v>
      </c>
      <c r="D4569" s="600">
        <v>82.64</v>
      </c>
    </row>
    <row r="4570" spans="1:4">
      <c r="A4570" s="401">
        <v>7234</v>
      </c>
      <c r="B4570" s="411" t="s">
        <v>11706</v>
      </c>
      <c r="C4570" s="401" t="s">
        <v>998</v>
      </c>
      <c r="D4570" s="600">
        <v>119.2</v>
      </c>
    </row>
    <row r="4571" spans="1:4">
      <c r="A4571" s="401">
        <v>7224</v>
      </c>
      <c r="B4571" s="411" t="s">
        <v>11707</v>
      </c>
      <c r="C4571" s="401" t="s">
        <v>998</v>
      </c>
      <c r="D4571" s="600">
        <v>131.66</v>
      </c>
    </row>
    <row r="4572" spans="1:4">
      <c r="A4572" s="401">
        <v>7221</v>
      </c>
      <c r="B4572" s="411" t="s">
        <v>11708</v>
      </c>
      <c r="C4572" s="401" t="s">
        <v>1003</v>
      </c>
      <c r="D4572" s="600">
        <v>64.02</v>
      </c>
    </row>
    <row r="4573" spans="1:4">
      <c r="A4573" s="401">
        <v>7210</v>
      </c>
      <c r="B4573" s="411" t="s">
        <v>11708</v>
      </c>
      <c r="C4573" s="401" t="s">
        <v>998</v>
      </c>
      <c r="D4573" s="600">
        <v>149.81</v>
      </c>
    </row>
    <row r="4574" spans="1:4">
      <c r="A4574" s="401">
        <v>7225</v>
      </c>
      <c r="B4574" s="411" t="s">
        <v>11709</v>
      </c>
      <c r="C4574" s="401" t="s">
        <v>998</v>
      </c>
      <c r="D4574" s="600">
        <v>166.46</v>
      </c>
    </row>
    <row r="4575" spans="1:4">
      <c r="A4575" s="401">
        <v>7226</v>
      </c>
      <c r="B4575" s="411" t="s">
        <v>11710</v>
      </c>
      <c r="C4575" s="401" t="s">
        <v>998</v>
      </c>
      <c r="D4575" s="600">
        <v>183.18</v>
      </c>
    </row>
    <row r="4576" spans="1:4">
      <c r="A4576" s="401">
        <v>7236</v>
      </c>
      <c r="B4576" s="411" t="s">
        <v>11711</v>
      </c>
      <c r="C4576" s="401" t="s">
        <v>998</v>
      </c>
      <c r="D4576" s="600">
        <v>199.78</v>
      </c>
    </row>
    <row r="4577" spans="1:4">
      <c r="A4577" s="401">
        <v>7227</v>
      </c>
      <c r="B4577" s="411" t="s">
        <v>11712</v>
      </c>
      <c r="C4577" s="401" t="s">
        <v>998</v>
      </c>
      <c r="D4577" s="600">
        <v>216.43</v>
      </c>
    </row>
    <row r="4578" spans="1:4">
      <c r="A4578" s="401">
        <v>7212</v>
      </c>
      <c r="B4578" s="411" t="s">
        <v>11713</v>
      </c>
      <c r="C4578" s="401" t="s">
        <v>998</v>
      </c>
      <c r="D4578" s="600">
        <v>239.64</v>
      </c>
    </row>
    <row r="4579" spans="1:4">
      <c r="A4579" s="401">
        <v>7229</v>
      </c>
      <c r="B4579" s="411" t="s">
        <v>11714</v>
      </c>
      <c r="C4579" s="401" t="s">
        <v>998</v>
      </c>
      <c r="D4579" s="600">
        <v>158.47999999999999</v>
      </c>
    </row>
    <row r="4580" spans="1:4">
      <c r="A4580" s="401">
        <v>7230</v>
      </c>
      <c r="B4580" s="411" t="s">
        <v>11715</v>
      </c>
      <c r="C4580" s="401" t="s">
        <v>998</v>
      </c>
      <c r="D4580" s="600">
        <v>252.54</v>
      </c>
    </row>
    <row r="4581" spans="1:4">
      <c r="A4581" s="401">
        <v>7231</v>
      </c>
      <c r="B4581" s="411" t="s">
        <v>11716</v>
      </c>
      <c r="C4581" s="401" t="s">
        <v>998</v>
      </c>
      <c r="D4581" s="600">
        <v>331.66</v>
      </c>
    </row>
    <row r="4582" spans="1:4">
      <c r="A4582" s="401">
        <v>7220</v>
      </c>
      <c r="B4582" s="411" t="s">
        <v>11717</v>
      </c>
      <c r="C4582" s="401" t="s">
        <v>998</v>
      </c>
      <c r="D4582" s="600">
        <v>407.75</v>
      </c>
    </row>
    <row r="4583" spans="1:4">
      <c r="A4583" s="401">
        <v>34447</v>
      </c>
      <c r="B4583" s="411" t="s">
        <v>11718</v>
      </c>
      <c r="C4583" s="401" t="s">
        <v>998</v>
      </c>
      <c r="D4583" s="600">
        <v>453.84</v>
      </c>
    </row>
    <row r="4584" spans="1:4">
      <c r="A4584" s="401">
        <v>7233</v>
      </c>
      <c r="B4584" s="411" t="s">
        <v>11719</v>
      </c>
      <c r="C4584" s="401" t="s">
        <v>998</v>
      </c>
      <c r="D4584" s="600">
        <v>508.09</v>
      </c>
    </row>
    <row r="4585" spans="1:4" ht="38.25">
      <c r="A4585" s="401">
        <v>40740</v>
      </c>
      <c r="B4585" s="411" t="s">
        <v>12942</v>
      </c>
      <c r="C4585" s="401" t="s">
        <v>1003</v>
      </c>
      <c r="D4585" s="600">
        <v>103.09</v>
      </c>
    </row>
    <row r="4586" spans="1:4" ht="25.5">
      <c r="A4586" s="401">
        <v>25007</v>
      </c>
      <c r="B4586" s="411" t="s">
        <v>11720</v>
      </c>
      <c r="C4586" s="401" t="s">
        <v>1003</v>
      </c>
      <c r="D4586" s="600">
        <v>29.5</v>
      </c>
    </row>
    <row r="4587" spans="1:4" ht="51">
      <c r="A4587" s="401">
        <v>43071</v>
      </c>
      <c r="B4587" s="411" t="s">
        <v>11721</v>
      </c>
      <c r="C4587" s="401" t="s">
        <v>1003</v>
      </c>
      <c r="D4587" s="600">
        <v>116.08</v>
      </c>
    </row>
    <row r="4588" spans="1:4" ht="51">
      <c r="A4588" s="401">
        <v>39520</v>
      </c>
      <c r="B4588" s="411" t="s">
        <v>11722</v>
      </c>
      <c r="C4588" s="401" t="s">
        <v>1003</v>
      </c>
      <c r="D4588" s="600">
        <v>94.7</v>
      </c>
    </row>
    <row r="4589" spans="1:4" ht="51">
      <c r="A4589" s="401">
        <v>39521</v>
      </c>
      <c r="B4589" s="411" t="s">
        <v>11723</v>
      </c>
      <c r="C4589" s="401" t="s">
        <v>1003</v>
      </c>
      <c r="D4589" s="600">
        <v>97.8</v>
      </c>
    </row>
    <row r="4590" spans="1:4" ht="38.25">
      <c r="A4590" s="401">
        <v>39522</v>
      </c>
      <c r="B4590" s="411" t="s">
        <v>11724</v>
      </c>
      <c r="C4590" s="401" t="s">
        <v>1003</v>
      </c>
      <c r="D4590" s="600">
        <v>100.99</v>
      </c>
    </row>
    <row r="4591" spans="1:4" ht="25.5">
      <c r="A4591" s="401">
        <v>7243</v>
      </c>
      <c r="B4591" s="411" t="s">
        <v>11725</v>
      </c>
      <c r="C4591" s="401" t="s">
        <v>1003</v>
      </c>
      <c r="D4591" s="600">
        <v>30.82</v>
      </c>
    </row>
    <row r="4592" spans="1:4" ht="25.5">
      <c r="A4592" s="401">
        <v>11067</v>
      </c>
      <c r="B4592" s="411" t="s">
        <v>11726</v>
      </c>
      <c r="C4592" s="401" t="s">
        <v>998</v>
      </c>
      <c r="D4592" s="600">
        <v>249.68</v>
      </c>
    </row>
    <row r="4593" spans="1:4" ht="25.5">
      <c r="A4593" s="401">
        <v>11068</v>
      </c>
      <c r="B4593" s="411" t="s">
        <v>11727</v>
      </c>
      <c r="C4593" s="401" t="s">
        <v>998</v>
      </c>
      <c r="D4593" s="600">
        <v>315.43</v>
      </c>
    </row>
    <row r="4594" spans="1:4">
      <c r="A4594" s="401">
        <v>7246</v>
      </c>
      <c r="B4594" s="411" t="s">
        <v>11728</v>
      </c>
      <c r="C4594" s="401" t="s">
        <v>998</v>
      </c>
      <c r="D4594" s="600">
        <v>35.869999999999997</v>
      </c>
    </row>
    <row r="4595" spans="1:4">
      <c r="A4595" s="401">
        <v>12869</v>
      </c>
      <c r="B4595" s="411" t="s">
        <v>11729</v>
      </c>
      <c r="C4595" s="401" t="s">
        <v>1001</v>
      </c>
      <c r="D4595" s="600">
        <v>13.95</v>
      </c>
    </row>
    <row r="4596" spans="1:4">
      <c r="A4596" s="401">
        <v>41097</v>
      </c>
      <c r="B4596" s="411" t="s">
        <v>11730</v>
      </c>
      <c r="C4596" s="401" t="s">
        <v>1118</v>
      </c>
      <c r="D4596" s="600">
        <v>2474.75</v>
      </c>
    </row>
    <row r="4597" spans="1:4" ht="25.5">
      <c r="A4597" s="401">
        <v>1574</v>
      </c>
      <c r="B4597" s="411" t="s">
        <v>11731</v>
      </c>
      <c r="C4597" s="401" t="s">
        <v>998</v>
      </c>
      <c r="D4597" s="600">
        <v>1.17</v>
      </c>
    </row>
    <row r="4598" spans="1:4" ht="25.5">
      <c r="A4598" s="401">
        <v>1581</v>
      </c>
      <c r="B4598" s="411" t="s">
        <v>11732</v>
      </c>
      <c r="C4598" s="401" t="s">
        <v>998</v>
      </c>
      <c r="D4598" s="600">
        <v>8.11</v>
      </c>
    </row>
    <row r="4599" spans="1:4" ht="25.5">
      <c r="A4599" s="401">
        <v>1575</v>
      </c>
      <c r="B4599" s="411" t="s">
        <v>11733</v>
      </c>
      <c r="C4599" s="401" t="s">
        <v>998</v>
      </c>
      <c r="D4599" s="600">
        <v>1.38</v>
      </c>
    </row>
    <row r="4600" spans="1:4" ht="25.5">
      <c r="A4600" s="401">
        <v>1570</v>
      </c>
      <c r="B4600" s="411" t="s">
        <v>11734</v>
      </c>
      <c r="C4600" s="401" t="s">
        <v>998</v>
      </c>
      <c r="D4600" s="600">
        <v>0.69</v>
      </c>
    </row>
    <row r="4601" spans="1:4" ht="25.5">
      <c r="A4601" s="401">
        <v>1576</v>
      </c>
      <c r="B4601" s="411" t="s">
        <v>11735</v>
      </c>
      <c r="C4601" s="401" t="s">
        <v>998</v>
      </c>
      <c r="D4601" s="600">
        <v>1.92</v>
      </c>
    </row>
    <row r="4602" spans="1:4" ht="25.5">
      <c r="A4602" s="401">
        <v>1577</v>
      </c>
      <c r="B4602" s="411" t="s">
        <v>11736</v>
      </c>
      <c r="C4602" s="401" t="s">
        <v>998</v>
      </c>
      <c r="D4602" s="600">
        <v>2.16</v>
      </c>
    </row>
    <row r="4603" spans="1:4" ht="25.5">
      <c r="A4603" s="401">
        <v>1571</v>
      </c>
      <c r="B4603" s="411" t="s">
        <v>11737</v>
      </c>
      <c r="C4603" s="401" t="s">
        <v>998</v>
      </c>
      <c r="D4603" s="600">
        <v>0.9</v>
      </c>
    </row>
    <row r="4604" spans="1:4" ht="25.5">
      <c r="A4604" s="401">
        <v>1578</v>
      </c>
      <c r="B4604" s="411" t="s">
        <v>11738</v>
      </c>
      <c r="C4604" s="401" t="s">
        <v>998</v>
      </c>
      <c r="D4604" s="600">
        <v>3.75</v>
      </c>
    </row>
    <row r="4605" spans="1:4" ht="25.5">
      <c r="A4605" s="401">
        <v>1573</v>
      </c>
      <c r="B4605" s="411" t="s">
        <v>11739</v>
      </c>
      <c r="C4605" s="401" t="s">
        <v>998</v>
      </c>
      <c r="D4605" s="600">
        <v>1.08</v>
      </c>
    </row>
    <row r="4606" spans="1:4" ht="25.5">
      <c r="A4606" s="401">
        <v>1579</v>
      </c>
      <c r="B4606" s="411" t="s">
        <v>11740</v>
      </c>
      <c r="C4606" s="401" t="s">
        <v>998</v>
      </c>
      <c r="D4606" s="600">
        <v>4.68</v>
      </c>
    </row>
    <row r="4607" spans="1:4" ht="25.5">
      <c r="A4607" s="401">
        <v>1580</v>
      </c>
      <c r="B4607" s="411" t="s">
        <v>11741</v>
      </c>
      <c r="C4607" s="401" t="s">
        <v>998</v>
      </c>
      <c r="D4607" s="600">
        <v>5.76</v>
      </c>
    </row>
    <row r="4608" spans="1:4" ht="25.5">
      <c r="A4608" s="401">
        <v>7571</v>
      </c>
      <c r="B4608" s="411" t="s">
        <v>11742</v>
      </c>
      <c r="C4608" s="401" t="s">
        <v>998</v>
      </c>
      <c r="D4608" s="600">
        <v>10.46</v>
      </c>
    </row>
    <row r="4609" spans="1:4">
      <c r="A4609" s="401">
        <v>39321</v>
      </c>
      <c r="B4609" s="411" t="s">
        <v>11743</v>
      </c>
      <c r="C4609" s="401" t="s">
        <v>998</v>
      </c>
      <c r="D4609" s="600">
        <v>12.1</v>
      </c>
    </row>
    <row r="4610" spans="1:4">
      <c r="A4610" s="401">
        <v>39319</v>
      </c>
      <c r="B4610" s="411" t="s">
        <v>11744</v>
      </c>
      <c r="C4610" s="401" t="s">
        <v>998</v>
      </c>
      <c r="D4610" s="600">
        <v>4.72</v>
      </c>
    </row>
    <row r="4611" spans="1:4">
      <c r="A4611" s="401">
        <v>39320</v>
      </c>
      <c r="B4611" s="411" t="s">
        <v>11745</v>
      </c>
      <c r="C4611" s="401" t="s">
        <v>998</v>
      </c>
      <c r="D4611" s="600">
        <v>7.85</v>
      </c>
    </row>
    <row r="4612" spans="1:4">
      <c r="A4612" s="401">
        <v>1591</v>
      </c>
      <c r="B4612" s="411" t="s">
        <v>11746</v>
      </c>
      <c r="C4612" s="401" t="s">
        <v>998</v>
      </c>
      <c r="D4612" s="600">
        <v>17.88</v>
      </c>
    </row>
    <row r="4613" spans="1:4" ht="25.5">
      <c r="A4613" s="401">
        <v>1547</v>
      </c>
      <c r="B4613" s="411" t="s">
        <v>11747</v>
      </c>
      <c r="C4613" s="401" t="s">
        <v>998</v>
      </c>
      <c r="D4613" s="600">
        <v>93.69</v>
      </c>
    </row>
    <row r="4614" spans="1:4">
      <c r="A4614" s="401">
        <v>38196</v>
      </c>
      <c r="B4614" s="411" t="s">
        <v>11748</v>
      </c>
      <c r="C4614" s="401" t="s">
        <v>998</v>
      </c>
      <c r="D4614" s="600">
        <v>18.25</v>
      </c>
    </row>
    <row r="4615" spans="1:4">
      <c r="A4615" s="401">
        <v>1543</v>
      </c>
      <c r="B4615" s="411" t="s">
        <v>11749</v>
      </c>
      <c r="C4615" s="401" t="s">
        <v>998</v>
      </c>
      <c r="D4615" s="600">
        <v>19.39</v>
      </c>
    </row>
    <row r="4616" spans="1:4">
      <c r="A4616" s="401">
        <v>1585</v>
      </c>
      <c r="B4616" s="411" t="s">
        <v>11750</v>
      </c>
      <c r="C4616" s="401" t="s">
        <v>998</v>
      </c>
      <c r="D4616" s="600">
        <v>3.75</v>
      </c>
    </row>
    <row r="4617" spans="1:4">
      <c r="A4617" s="401">
        <v>1593</v>
      </c>
      <c r="B4617" s="411" t="s">
        <v>11751</v>
      </c>
      <c r="C4617" s="401" t="s">
        <v>998</v>
      </c>
      <c r="D4617" s="600">
        <v>19.940000000000001</v>
      </c>
    </row>
    <row r="4618" spans="1:4">
      <c r="A4618" s="401">
        <v>11838</v>
      </c>
      <c r="B4618" s="411" t="s">
        <v>11752</v>
      </c>
      <c r="C4618" s="401" t="s">
        <v>998</v>
      </c>
      <c r="D4618" s="600">
        <v>26.31</v>
      </c>
    </row>
    <row r="4619" spans="1:4">
      <c r="A4619" s="401">
        <v>1594</v>
      </c>
      <c r="B4619" s="411" t="s">
        <v>11753</v>
      </c>
      <c r="C4619" s="401" t="s">
        <v>998</v>
      </c>
      <c r="D4619" s="600">
        <v>26.6</v>
      </c>
    </row>
    <row r="4620" spans="1:4">
      <c r="A4620" s="401">
        <v>1586</v>
      </c>
      <c r="B4620" s="411" t="s">
        <v>11754</v>
      </c>
      <c r="C4620" s="401" t="s">
        <v>998</v>
      </c>
      <c r="D4620" s="600">
        <v>4.75</v>
      </c>
    </row>
    <row r="4621" spans="1:4">
      <c r="A4621" s="401">
        <v>11839</v>
      </c>
      <c r="B4621" s="411" t="s">
        <v>11755</v>
      </c>
      <c r="C4621" s="401" t="s">
        <v>998</v>
      </c>
      <c r="D4621" s="600">
        <v>38.29</v>
      </c>
    </row>
    <row r="4622" spans="1:4">
      <c r="A4622" s="401">
        <v>1587</v>
      </c>
      <c r="B4622" s="411" t="s">
        <v>11756</v>
      </c>
      <c r="C4622" s="401" t="s">
        <v>998</v>
      </c>
      <c r="D4622" s="600">
        <v>4.84</v>
      </c>
    </row>
    <row r="4623" spans="1:4">
      <c r="A4623" s="401">
        <v>1545</v>
      </c>
      <c r="B4623" s="411" t="s">
        <v>11757</v>
      </c>
      <c r="C4623" s="401" t="s">
        <v>998</v>
      </c>
      <c r="D4623" s="600">
        <v>45.94</v>
      </c>
    </row>
    <row r="4624" spans="1:4">
      <c r="A4624" s="401">
        <v>1588</v>
      </c>
      <c r="B4624" s="411" t="s">
        <v>11758</v>
      </c>
      <c r="C4624" s="401" t="s">
        <v>998</v>
      </c>
      <c r="D4624" s="600">
        <v>6.64</v>
      </c>
    </row>
    <row r="4625" spans="1:4">
      <c r="A4625" s="401">
        <v>1535</v>
      </c>
      <c r="B4625" s="411" t="s">
        <v>11759</v>
      </c>
      <c r="C4625" s="401" t="s">
        <v>998</v>
      </c>
      <c r="D4625" s="600">
        <v>3.82</v>
      </c>
    </row>
    <row r="4626" spans="1:4">
      <c r="A4626" s="401">
        <v>1589</v>
      </c>
      <c r="B4626" s="411" t="s">
        <v>11760</v>
      </c>
      <c r="C4626" s="401" t="s">
        <v>998</v>
      </c>
      <c r="D4626" s="600">
        <v>6.85</v>
      </c>
    </row>
    <row r="4627" spans="1:4">
      <c r="A4627" s="401">
        <v>1546</v>
      </c>
      <c r="B4627" s="411" t="s">
        <v>11761</v>
      </c>
      <c r="C4627" s="401" t="s">
        <v>998</v>
      </c>
      <c r="D4627" s="600">
        <v>77.53</v>
      </c>
    </row>
    <row r="4628" spans="1:4">
      <c r="A4628" s="401">
        <v>1590</v>
      </c>
      <c r="B4628" s="411" t="s">
        <v>11762</v>
      </c>
      <c r="C4628" s="401" t="s">
        <v>998</v>
      </c>
      <c r="D4628" s="600">
        <v>12.06</v>
      </c>
    </row>
    <row r="4629" spans="1:4" ht="25.5">
      <c r="A4629" s="401">
        <v>1542</v>
      </c>
      <c r="B4629" s="411" t="s">
        <v>11763</v>
      </c>
      <c r="C4629" s="401" t="s">
        <v>998</v>
      </c>
      <c r="D4629" s="600">
        <v>15.97</v>
      </c>
    </row>
    <row r="4630" spans="1:4" ht="25.5">
      <c r="A4630" s="401">
        <v>38415</v>
      </c>
      <c r="B4630" s="411" t="s">
        <v>11764</v>
      </c>
      <c r="C4630" s="401" t="s">
        <v>998</v>
      </c>
      <c r="D4630" s="600">
        <v>925.46</v>
      </c>
    </row>
    <row r="4631" spans="1:4" ht="25.5">
      <c r="A4631" s="401">
        <v>38414</v>
      </c>
      <c r="B4631" s="411" t="s">
        <v>11765</v>
      </c>
      <c r="C4631" s="401" t="s">
        <v>998</v>
      </c>
      <c r="D4631" s="600">
        <v>1298.8900000000001</v>
      </c>
    </row>
    <row r="4632" spans="1:4">
      <c r="A4632" s="401">
        <v>38128</v>
      </c>
      <c r="B4632" s="411" t="s">
        <v>11766</v>
      </c>
      <c r="C4632" s="401" t="s">
        <v>995</v>
      </c>
      <c r="D4632" s="600">
        <v>0.51</v>
      </c>
    </row>
    <row r="4633" spans="1:4">
      <c r="A4633" s="401">
        <v>7253</v>
      </c>
      <c r="B4633" s="411" t="s">
        <v>11767</v>
      </c>
      <c r="C4633" s="401" t="s">
        <v>996</v>
      </c>
      <c r="D4633" s="600">
        <v>109.28</v>
      </c>
    </row>
    <row r="4634" spans="1:4">
      <c r="A4634" s="401">
        <v>4806</v>
      </c>
      <c r="B4634" s="411" t="s">
        <v>11768</v>
      </c>
      <c r="C4634" s="401" t="s">
        <v>1002</v>
      </c>
      <c r="D4634" s="600">
        <v>14.55</v>
      </c>
    </row>
    <row r="4635" spans="1:4">
      <c r="A4635" s="401">
        <v>34401</v>
      </c>
      <c r="B4635" s="411" t="s">
        <v>11769</v>
      </c>
      <c r="C4635" s="401" t="s">
        <v>998</v>
      </c>
      <c r="D4635" s="600">
        <v>1.1399999999999999</v>
      </c>
    </row>
    <row r="4636" spans="1:4">
      <c r="A4636" s="401">
        <v>7258</v>
      </c>
      <c r="B4636" s="411" t="s">
        <v>11770</v>
      </c>
      <c r="C4636" s="401" t="s">
        <v>998</v>
      </c>
      <c r="D4636" s="600">
        <v>0.36</v>
      </c>
    </row>
    <row r="4637" spans="1:4">
      <c r="A4637" s="401">
        <v>7260</v>
      </c>
      <c r="B4637" s="411" t="s">
        <v>11771</v>
      </c>
      <c r="C4637" s="401" t="s">
        <v>998</v>
      </c>
      <c r="D4637" s="600">
        <v>1.1100000000000001</v>
      </c>
    </row>
    <row r="4638" spans="1:4">
      <c r="A4638" s="401">
        <v>7256</v>
      </c>
      <c r="B4638" s="411" t="s">
        <v>11772</v>
      </c>
      <c r="C4638" s="401" t="s">
        <v>998</v>
      </c>
      <c r="D4638" s="600">
        <v>0.64</v>
      </c>
    </row>
    <row r="4639" spans="1:4">
      <c r="A4639" s="401">
        <v>34400</v>
      </c>
      <c r="B4639" s="411" t="s">
        <v>11773</v>
      </c>
      <c r="C4639" s="401" t="s">
        <v>998</v>
      </c>
      <c r="D4639" s="600">
        <v>2.79</v>
      </c>
    </row>
    <row r="4640" spans="1:4">
      <c r="A4640" s="401">
        <v>10617</v>
      </c>
      <c r="B4640" s="411" t="s">
        <v>11774</v>
      </c>
      <c r="C4640" s="401" t="s">
        <v>998</v>
      </c>
      <c r="D4640" s="600">
        <v>3.9</v>
      </c>
    </row>
    <row r="4641" spans="1:4" ht="25.5">
      <c r="A4641" s="401">
        <v>7274</v>
      </c>
      <c r="B4641" s="411" t="s">
        <v>11775</v>
      </c>
      <c r="C4641" s="401" t="s">
        <v>998</v>
      </c>
      <c r="D4641" s="600">
        <v>31.69</v>
      </c>
    </row>
    <row r="4642" spans="1:4" ht="25.5">
      <c r="A4642" s="401">
        <v>11663</v>
      </c>
      <c r="B4642" s="411" t="s">
        <v>11776</v>
      </c>
      <c r="C4642" s="401" t="s">
        <v>998</v>
      </c>
      <c r="D4642" s="600">
        <v>260.70999999999998</v>
      </c>
    </row>
    <row r="4643" spans="1:4">
      <c r="A4643" s="401">
        <v>154</v>
      </c>
      <c r="B4643" s="411" t="s">
        <v>11777</v>
      </c>
      <c r="C4643" s="401" t="s">
        <v>997</v>
      </c>
      <c r="D4643" s="600">
        <v>51.1</v>
      </c>
    </row>
    <row r="4644" spans="1:4" ht="25.5">
      <c r="A4644" s="401">
        <v>38121</v>
      </c>
      <c r="B4644" s="411" t="s">
        <v>11778</v>
      </c>
      <c r="C4644" s="401" t="s">
        <v>997</v>
      </c>
      <c r="D4644" s="600">
        <v>7.26</v>
      </c>
    </row>
    <row r="4645" spans="1:4">
      <c r="A4645" s="401">
        <v>7343</v>
      </c>
      <c r="B4645" s="411" t="s">
        <v>11779</v>
      </c>
      <c r="C4645" s="401" t="s">
        <v>997</v>
      </c>
      <c r="D4645" s="600">
        <v>7.35</v>
      </c>
    </row>
    <row r="4646" spans="1:4">
      <c r="A4646" s="401">
        <v>7350</v>
      </c>
      <c r="B4646" s="411" t="s">
        <v>11780</v>
      </c>
      <c r="C4646" s="401" t="s">
        <v>997</v>
      </c>
      <c r="D4646" s="600">
        <v>24.45</v>
      </c>
    </row>
    <row r="4647" spans="1:4">
      <c r="A4647" s="401">
        <v>7348</v>
      </c>
      <c r="B4647" s="411" t="s">
        <v>11781</v>
      </c>
      <c r="C4647" s="401" t="s">
        <v>997</v>
      </c>
      <c r="D4647" s="600">
        <v>13.72</v>
      </c>
    </row>
    <row r="4648" spans="1:4">
      <c r="A4648" s="401">
        <v>7356</v>
      </c>
      <c r="B4648" s="411" t="s">
        <v>11782</v>
      </c>
      <c r="C4648" s="401" t="s">
        <v>997</v>
      </c>
      <c r="D4648" s="600">
        <v>20.56</v>
      </c>
    </row>
    <row r="4649" spans="1:4" ht="25.5">
      <c r="A4649" s="401">
        <v>7313</v>
      </c>
      <c r="B4649" s="411" t="s">
        <v>11783</v>
      </c>
      <c r="C4649" s="401" t="s">
        <v>997</v>
      </c>
      <c r="D4649" s="600">
        <v>10.65</v>
      </c>
    </row>
    <row r="4650" spans="1:4">
      <c r="A4650" s="401">
        <v>7319</v>
      </c>
      <c r="B4650" s="411" t="s">
        <v>11784</v>
      </c>
      <c r="C4650" s="401" t="s">
        <v>997</v>
      </c>
      <c r="D4650" s="600">
        <v>6.09</v>
      </c>
    </row>
    <row r="4651" spans="1:4">
      <c r="A4651" s="401">
        <v>38119</v>
      </c>
      <c r="B4651" s="411" t="s">
        <v>11785</v>
      </c>
      <c r="C4651" s="401" t="s">
        <v>997</v>
      </c>
      <c r="D4651" s="600">
        <v>97.59</v>
      </c>
    </row>
    <row r="4652" spans="1:4">
      <c r="A4652" s="401">
        <v>7314</v>
      </c>
      <c r="B4652" s="411" t="s">
        <v>11786</v>
      </c>
      <c r="C4652" s="401" t="s">
        <v>997</v>
      </c>
      <c r="D4652" s="600">
        <v>105.17</v>
      </c>
    </row>
    <row r="4653" spans="1:4">
      <c r="A4653" s="401">
        <v>38131</v>
      </c>
      <c r="B4653" s="411" t="s">
        <v>11787</v>
      </c>
      <c r="C4653" s="401" t="s">
        <v>997</v>
      </c>
      <c r="D4653" s="600">
        <v>98.46</v>
      </c>
    </row>
    <row r="4654" spans="1:4">
      <c r="A4654" s="401">
        <v>7304</v>
      </c>
      <c r="B4654" s="411" t="s">
        <v>11788</v>
      </c>
      <c r="C4654" s="401" t="s">
        <v>997</v>
      </c>
      <c r="D4654" s="600">
        <v>54.96</v>
      </c>
    </row>
    <row r="4655" spans="1:4">
      <c r="A4655" s="401">
        <v>7293</v>
      </c>
      <c r="B4655" s="411" t="s">
        <v>11789</v>
      </c>
      <c r="C4655" s="401" t="s">
        <v>997</v>
      </c>
      <c r="D4655" s="600">
        <v>24.64</v>
      </c>
    </row>
    <row r="4656" spans="1:4">
      <c r="A4656" s="401">
        <v>7311</v>
      </c>
      <c r="B4656" s="411" t="s">
        <v>11790</v>
      </c>
      <c r="C4656" s="401" t="s">
        <v>997</v>
      </c>
      <c r="D4656" s="600">
        <v>23.83</v>
      </c>
    </row>
    <row r="4657" spans="1:4">
      <c r="A4657" s="401">
        <v>7292</v>
      </c>
      <c r="B4657" s="411" t="s">
        <v>11791</v>
      </c>
      <c r="C4657" s="401" t="s">
        <v>997</v>
      </c>
      <c r="D4657" s="600">
        <v>23.14</v>
      </c>
    </row>
    <row r="4658" spans="1:4">
      <c r="A4658" s="401">
        <v>7288</v>
      </c>
      <c r="B4658" s="411" t="s">
        <v>11792</v>
      </c>
      <c r="C4658" s="401" t="s">
        <v>997</v>
      </c>
      <c r="D4658" s="600">
        <v>26.22</v>
      </c>
    </row>
    <row r="4659" spans="1:4">
      <c r="A4659" s="401">
        <v>35693</v>
      </c>
      <c r="B4659" s="411" t="s">
        <v>11793</v>
      </c>
      <c r="C4659" s="401" t="s">
        <v>997</v>
      </c>
      <c r="D4659" s="600">
        <v>9.43</v>
      </c>
    </row>
    <row r="4660" spans="1:4">
      <c r="A4660" s="401">
        <v>35692</v>
      </c>
      <c r="B4660" s="411" t="s">
        <v>11794</v>
      </c>
      <c r="C4660" s="401" t="s">
        <v>997</v>
      </c>
      <c r="D4660" s="600">
        <v>50.56</v>
      </c>
    </row>
    <row r="4661" spans="1:4">
      <c r="A4661" s="401">
        <v>7342</v>
      </c>
      <c r="B4661" s="411" t="s">
        <v>11795</v>
      </c>
      <c r="C4661" s="401" t="s">
        <v>995</v>
      </c>
      <c r="D4661" s="600">
        <v>1.1599999999999999</v>
      </c>
    </row>
    <row r="4662" spans="1:4">
      <c r="A4662" s="401">
        <v>7306</v>
      </c>
      <c r="B4662" s="411" t="s">
        <v>11796</v>
      </c>
      <c r="C4662" s="401" t="s">
        <v>997</v>
      </c>
      <c r="D4662" s="600">
        <v>28.26</v>
      </c>
    </row>
    <row r="4663" spans="1:4" ht="25.5">
      <c r="A4663" s="401">
        <v>39574</v>
      </c>
      <c r="B4663" s="411" t="s">
        <v>11797</v>
      </c>
      <c r="C4663" s="401" t="s">
        <v>998</v>
      </c>
      <c r="D4663" s="600">
        <v>3.2</v>
      </c>
    </row>
    <row r="4664" spans="1:4" ht="25.5">
      <c r="A4664" s="401">
        <v>11060</v>
      </c>
      <c r="B4664" s="411" t="s">
        <v>11798</v>
      </c>
      <c r="C4664" s="401" t="s">
        <v>998</v>
      </c>
      <c r="D4664" s="600">
        <v>24.51</v>
      </c>
    </row>
    <row r="4665" spans="1:4">
      <c r="A4665" s="401">
        <v>37401</v>
      </c>
      <c r="B4665" s="411" t="s">
        <v>11799</v>
      </c>
      <c r="C4665" s="401" t="s">
        <v>998</v>
      </c>
      <c r="D4665" s="600">
        <v>45.39</v>
      </c>
    </row>
    <row r="4666" spans="1:4">
      <c r="A4666" s="401">
        <v>7525</v>
      </c>
      <c r="B4666" s="411" t="s">
        <v>11800</v>
      </c>
      <c r="C4666" s="401" t="s">
        <v>998</v>
      </c>
      <c r="D4666" s="600">
        <v>27.13</v>
      </c>
    </row>
    <row r="4667" spans="1:4">
      <c r="A4667" s="401">
        <v>7524</v>
      </c>
      <c r="B4667" s="411" t="s">
        <v>11801</v>
      </c>
      <c r="C4667" s="401" t="s">
        <v>998</v>
      </c>
      <c r="D4667" s="600">
        <v>25.56</v>
      </c>
    </row>
    <row r="4668" spans="1:4">
      <c r="A4668" s="401">
        <v>38105</v>
      </c>
      <c r="B4668" s="411" t="s">
        <v>11802</v>
      </c>
      <c r="C4668" s="401" t="s">
        <v>998</v>
      </c>
      <c r="D4668" s="600">
        <v>6.56</v>
      </c>
    </row>
    <row r="4669" spans="1:4" ht="25.5">
      <c r="A4669" s="401">
        <v>38084</v>
      </c>
      <c r="B4669" s="411" t="s">
        <v>11803</v>
      </c>
      <c r="C4669" s="401" t="s">
        <v>998</v>
      </c>
      <c r="D4669" s="600">
        <v>9.32</v>
      </c>
    </row>
    <row r="4670" spans="1:4">
      <c r="A4670" s="401">
        <v>38103</v>
      </c>
      <c r="B4670" s="411" t="s">
        <v>11804</v>
      </c>
      <c r="C4670" s="401" t="s">
        <v>998</v>
      </c>
      <c r="D4670" s="600">
        <v>9.86</v>
      </c>
    </row>
    <row r="4671" spans="1:4" ht="25.5">
      <c r="A4671" s="401">
        <v>38082</v>
      </c>
      <c r="B4671" s="411" t="s">
        <v>11805</v>
      </c>
      <c r="C4671" s="401" t="s">
        <v>998</v>
      </c>
      <c r="D4671" s="600">
        <v>12.14</v>
      </c>
    </row>
    <row r="4672" spans="1:4">
      <c r="A4672" s="401">
        <v>38104</v>
      </c>
      <c r="B4672" s="411" t="s">
        <v>11806</v>
      </c>
      <c r="C4672" s="401" t="s">
        <v>998</v>
      </c>
      <c r="D4672" s="600">
        <v>19.3</v>
      </c>
    </row>
    <row r="4673" spans="1:4" ht="25.5">
      <c r="A4673" s="401">
        <v>38083</v>
      </c>
      <c r="B4673" s="411" t="s">
        <v>11807</v>
      </c>
      <c r="C4673" s="401" t="s">
        <v>998</v>
      </c>
      <c r="D4673" s="600">
        <v>21.43</v>
      </c>
    </row>
    <row r="4674" spans="1:4">
      <c r="A4674" s="401">
        <v>38101</v>
      </c>
      <c r="B4674" s="411" t="s">
        <v>11808</v>
      </c>
      <c r="C4674" s="401" t="s">
        <v>998</v>
      </c>
      <c r="D4674" s="600">
        <v>4.6900000000000004</v>
      </c>
    </row>
    <row r="4675" spans="1:4" ht="25.5">
      <c r="A4675" s="401">
        <v>7528</v>
      </c>
      <c r="B4675" s="411" t="s">
        <v>11809</v>
      </c>
      <c r="C4675" s="401" t="s">
        <v>998</v>
      </c>
      <c r="D4675" s="600">
        <v>5.51</v>
      </c>
    </row>
    <row r="4676" spans="1:4">
      <c r="A4676" s="401">
        <v>12147</v>
      </c>
      <c r="B4676" s="411" t="s">
        <v>11810</v>
      </c>
      <c r="C4676" s="401" t="s">
        <v>998</v>
      </c>
      <c r="D4676" s="600">
        <v>8.4</v>
      </c>
    </row>
    <row r="4677" spans="1:4" ht="25.5">
      <c r="A4677" s="401">
        <v>38075</v>
      </c>
      <c r="B4677" s="411" t="s">
        <v>11811</v>
      </c>
      <c r="C4677" s="401" t="s">
        <v>998</v>
      </c>
      <c r="D4677" s="600">
        <v>9.5399999999999991</v>
      </c>
    </row>
    <row r="4678" spans="1:4">
      <c r="A4678" s="401">
        <v>38102</v>
      </c>
      <c r="B4678" s="411" t="s">
        <v>11812</v>
      </c>
      <c r="C4678" s="401" t="s">
        <v>998</v>
      </c>
      <c r="D4678" s="600">
        <v>6</v>
      </c>
    </row>
    <row r="4679" spans="1:4" ht="25.5">
      <c r="A4679" s="401">
        <v>38076</v>
      </c>
      <c r="B4679" s="411" t="s">
        <v>11813</v>
      </c>
      <c r="C4679" s="401" t="s">
        <v>998</v>
      </c>
      <c r="D4679" s="600">
        <v>10.7</v>
      </c>
    </row>
    <row r="4680" spans="1:4">
      <c r="A4680" s="401">
        <v>7592</v>
      </c>
      <c r="B4680" s="411" t="s">
        <v>11814</v>
      </c>
      <c r="C4680" s="401" t="s">
        <v>1001</v>
      </c>
      <c r="D4680" s="600">
        <v>12.36</v>
      </c>
    </row>
    <row r="4681" spans="1:4">
      <c r="A4681" s="401">
        <v>40820</v>
      </c>
      <c r="B4681" s="411" t="s">
        <v>11815</v>
      </c>
      <c r="C4681" s="401" t="s">
        <v>1118</v>
      </c>
      <c r="D4681" s="600">
        <v>2191.4299999999998</v>
      </c>
    </row>
    <row r="4682" spans="1:4">
      <c r="A4682" s="401">
        <v>11762</v>
      </c>
      <c r="B4682" s="411" t="s">
        <v>11816</v>
      </c>
      <c r="C4682" s="401" t="s">
        <v>998</v>
      </c>
      <c r="D4682" s="600">
        <v>56.42</v>
      </c>
    </row>
    <row r="4683" spans="1:4" ht="25.5">
      <c r="A4683" s="401">
        <v>13418</v>
      </c>
      <c r="B4683" s="411" t="s">
        <v>11817</v>
      </c>
      <c r="C4683" s="401" t="s">
        <v>998</v>
      </c>
      <c r="D4683" s="600">
        <v>15.76</v>
      </c>
    </row>
    <row r="4684" spans="1:4">
      <c r="A4684" s="401">
        <v>13984</v>
      </c>
      <c r="B4684" s="411" t="s">
        <v>11818</v>
      </c>
      <c r="C4684" s="401" t="s">
        <v>998</v>
      </c>
      <c r="D4684" s="600">
        <v>39.43</v>
      </c>
    </row>
    <row r="4685" spans="1:4" ht="25.5">
      <c r="A4685" s="401">
        <v>11772</v>
      </c>
      <c r="B4685" s="411" t="s">
        <v>11819</v>
      </c>
      <c r="C4685" s="401" t="s">
        <v>998</v>
      </c>
      <c r="D4685" s="600">
        <v>95.75</v>
      </c>
    </row>
    <row r="4686" spans="1:4">
      <c r="A4686" s="401">
        <v>36795</v>
      </c>
      <c r="B4686" s="411" t="s">
        <v>11820</v>
      </c>
      <c r="C4686" s="401" t="s">
        <v>998</v>
      </c>
      <c r="D4686" s="600">
        <v>615.87</v>
      </c>
    </row>
    <row r="4687" spans="1:4">
      <c r="A4687" s="401">
        <v>36796</v>
      </c>
      <c r="B4687" s="411" t="s">
        <v>11821</v>
      </c>
      <c r="C4687" s="401" t="s">
        <v>998</v>
      </c>
      <c r="D4687" s="600">
        <v>158.57</v>
      </c>
    </row>
    <row r="4688" spans="1:4">
      <c r="A4688" s="401">
        <v>36791</v>
      </c>
      <c r="B4688" s="411" t="s">
        <v>11822</v>
      </c>
      <c r="C4688" s="401" t="s">
        <v>998</v>
      </c>
      <c r="D4688" s="600">
        <v>81.7</v>
      </c>
    </row>
    <row r="4689" spans="1:4">
      <c r="A4689" s="401">
        <v>13415</v>
      </c>
      <c r="B4689" s="411" t="s">
        <v>11823</v>
      </c>
      <c r="C4689" s="401" t="s">
        <v>998</v>
      </c>
      <c r="D4689" s="600">
        <v>47.49</v>
      </c>
    </row>
    <row r="4690" spans="1:4">
      <c r="A4690" s="401">
        <v>36792</v>
      </c>
      <c r="B4690" s="411" t="s">
        <v>11824</v>
      </c>
      <c r="C4690" s="401" t="s">
        <v>998</v>
      </c>
      <c r="D4690" s="600">
        <v>156.16999999999999</v>
      </c>
    </row>
    <row r="4691" spans="1:4" ht="25.5">
      <c r="A4691" s="401">
        <v>11773</v>
      </c>
      <c r="B4691" s="411" t="s">
        <v>11825</v>
      </c>
      <c r="C4691" s="401" t="s">
        <v>998</v>
      </c>
      <c r="D4691" s="600">
        <v>91.41</v>
      </c>
    </row>
    <row r="4692" spans="1:4">
      <c r="A4692" s="401">
        <v>11775</v>
      </c>
      <c r="B4692" s="411" t="s">
        <v>11826</v>
      </c>
      <c r="C4692" s="401" t="s">
        <v>998</v>
      </c>
      <c r="D4692" s="600">
        <v>95.46</v>
      </c>
    </row>
    <row r="4693" spans="1:4" ht="25.5">
      <c r="A4693" s="401">
        <v>13983</v>
      </c>
      <c r="B4693" s="411" t="s">
        <v>11827</v>
      </c>
      <c r="C4693" s="401" t="s">
        <v>998</v>
      </c>
      <c r="D4693" s="600">
        <v>48.77</v>
      </c>
    </row>
    <row r="4694" spans="1:4" ht="25.5">
      <c r="A4694" s="401">
        <v>13416</v>
      </c>
      <c r="B4694" s="411" t="s">
        <v>11828</v>
      </c>
      <c r="C4694" s="401" t="s">
        <v>998</v>
      </c>
      <c r="D4694" s="600">
        <v>39.33</v>
      </c>
    </row>
    <row r="4695" spans="1:4">
      <c r="A4695" s="401">
        <v>13417</v>
      </c>
      <c r="B4695" s="411" t="s">
        <v>11829</v>
      </c>
      <c r="C4695" s="401" t="s">
        <v>998</v>
      </c>
      <c r="D4695" s="600">
        <v>34.69</v>
      </c>
    </row>
    <row r="4696" spans="1:4">
      <c r="A4696" s="401">
        <v>7604</v>
      </c>
      <c r="B4696" s="411" t="s">
        <v>11830</v>
      </c>
      <c r="C4696" s="401" t="s">
        <v>998</v>
      </c>
      <c r="D4696" s="600">
        <v>15.02</v>
      </c>
    </row>
    <row r="4697" spans="1:4" ht="25.5">
      <c r="A4697" s="401">
        <v>11763</v>
      </c>
      <c r="B4697" s="411" t="s">
        <v>11831</v>
      </c>
      <c r="C4697" s="401" t="s">
        <v>998</v>
      </c>
      <c r="D4697" s="600">
        <v>69.400000000000006</v>
      </c>
    </row>
    <row r="4698" spans="1:4" ht="25.5">
      <c r="A4698" s="401">
        <v>11764</v>
      </c>
      <c r="B4698" s="411" t="s">
        <v>11832</v>
      </c>
      <c r="C4698" s="401" t="s">
        <v>998</v>
      </c>
      <c r="D4698" s="600">
        <v>74.13</v>
      </c>
    </row>
    <row r="4699" spans="1:4" ht="25.5">
      <c r="A4699" s="401">
        <v>11829</v>
      </c>
      <c r="B4699" s="411" t="s">
        <v>11833</v>
      </c>
      <c r="C4699" s="401" t="s">
        <v>998</v>
      </c>
      <c r="D4699" s="600">
        <v>17.760000000000002</v>
      </c>
    </row>
    <row r="4700" spans="1:4" ht="25.5">
      <c r="A4700" s="401">
        <v>11825</v>
      </c>
      <c r="B4700" s="411" t="s">
        <v>11834</v>
      </c>
      <c r="C4700" s="401" t="s">
        <v>998</v>
      </c>
      <c r="D4700" s="600">
        <v>30.46</v>
      </c>
    </row>
    <row r="4701" spans="1:4" ht="25.5">
      <c r="A4701" s="401">
        <v>11767</v>
      </c>
      <c r="B4701" s="411" t="s">
        <v>11835</v>
      </c>
      <c r="C4701" s="401" t="s">
        <v>998</v>
      </c>
      <c r="D4701" s="600">
        <v>123.05</v>
      </c>
    </row>
    <row r="4702" spans="1:4" ht="25.5">
      <c r="A4702" s="401">
        <v>11830</v>
      </c>
      <c r="B4702" s="411" t="s">
        <v>11836</v>
      </c>
      <c r="C4702" s="401" t="s">
        <v>998</v>
      </c>
      <c r="D4702" s="600">
        <v>19.2</v>
      </c>
    </row>
    <row r="4703" spans="1:4" ht="25.5">
      <c r="A4703" s="401">
        <v>11766</v>
      </c>
      <c r="B4703" s="411" t="s">
        <v>11837</v>
      </c>
      <c r="C4703" s="401" t="s">
        <v>998</v>
      </c>
      <c r="D4703" s="600">
        <v>34.130000000000003</v>
      </c>
    </row>
    <row r="4704" spans="1:4" ht="25.5">
      <c r="A4704" s="401">
        <v>11765</v>
      </c>
      <c r="B4704" s="411" t="s">
        <v>11838</v>
      </c>
      <c r="C4704" s="401" t="s">
        <v>998</v>
      </c>
      <c r="D4704" s="600">
        <v>46.47</v>
      </c>
    </row>
    <row r="4705" spans="1:4" ht="25.5">
      <c r="A4705" s="401">
        <v>11824</v>
      </c>
      <c r="B4705" s="411" t="s">
        <v>11839</v>
      </c>
      <c r="C4705" s="401" t="s">
        <v>998</v>
      </c>
      <c r="D4705" s="600">
        <v>35.200000000000003</v>
      </c>
    </row>
    <row r="4706" spans="1:4">
      <c r="A4706" s="401">
        <v>11777</v>
      </c>
      <c r="B4706" s="411" t="s">
        <v>11840</v>
      </c>
      <c r="C4706" s="401" t="s">
        <v>998</v>
      </c>
      <c r="D4706" s="600">
        <v>132.69999999999999</v>
      </c>
    </row>
    <row r="4707" spans="1:4" ht="25.5">
      <c r="A4707" s="401">
        <v>7602</v>
      </c>
      <c r="B4707" s="411" t="s">
        <v>11841</v>
      </c>
      <c r="C4707" s="401" t="s">
        <v>998</v>
      </c>
      <c r="D4707" s="600">
        <v>14.89</v>
      </c>
    </row>
    <row r="4708" spans="1:4" ht="25.5">
      <c r="A4708" s="401">
        <v>7603</v>
      </c>
      <c r="B4708" s="411" t="s">
        <v>11842</v>
      </c>
      <c r="C4708" s="401" t="s">
        <v>998</v>
      </c>
      <c r="D4708" s="600">
        <v>14.44</v>
      </c>
    </row>
    <row r="4709" spans="1:4" ht="25.5">
      <c r="A4709" s="401">
        <v>11826</v>
      </c>
      <c r="B4709" s="411" t="s">
        <v>11843</v>
      </c>
      <c r="C4709" s="401" t="s">
        <v>998</v>
      </c>
      <c r="D4709" s="600">
        <v>29.56</v>
      </c>
    </row>
    <row r="4710" spans="1:4" ht="25.5">
      <c r="A4710" s="401">
        <v>7606</v>
      </c>
      <c r="B4710" s="411" t="s">
        <v>11844</v>
      </c>
      <c r="C4710" s="401" t="s">
        <v>998</v>
      </c>
      <c r="D4710" s="600">
        <v>30.8</v>
      </c>
    </row>
    <row r="4711" spans="1:4" ht="25.5">
      <c r="A4711" s="401">
        <v>40329</v>
      </c>
      <c r="B4711" s="411" t="s">
        <v>11845</v>
      </c>
      <c r="C4711" s="401" t="s">
        <v>998</v>
      </c>
      <c r="D4711" s="600">
        <v>14.9</v>
      </c>
    </row>
    <row r="4712" spans="1:4" ht="25.5">
      <c r="A4712" s="401">
        <v>11823</v>
      </c>
      <c r="B4712" s="411" t="s">
        <v>11846</v>
      </c>
      <c r="C4712" s="401" t="s">
        <v>998</v>
      </c>
      <c r="D4712" s="600">
        <v>6.44</v>
      </c>
    </row>
    <row r="4713" spans="1:4">
      <c r="A4713" s="401">
        <v>11822</v>
      </c>
      <c r="B4713" s="411" t="s">
        <v>11847</v>
      </c>
      <c r="C4713" s="401" t="s">
        <v>998</v>
      </c>
      <c r="D4713" s="600">
        <v>35.08</v>
      </c>
    </row>
    <row r="4714" spans="1:4">
      <c r="A4714" s="401">
        <v>11831</v>
      </c>
      <c r="B4714" s="411" t="s">
        <v>11848</v>
      </c>
      <c r="C4714" s="401" t="s">
        <v>998</v>
      </c>
      <c r="D4714" s="600">
        <v>26.64</v>
      </c>
    </row>
    <row r="4715" spans="1:4" ht="25.5">
      <c r="A4715" s="401">
        <v>7613</v>
      </c>
      <c r="B4715" s="411" t="s">
        <v>11849</v>
      </c>
      <c r="C4715" s="401" t="s">
        <v>998</v>
      </c>
      <c r="D4715" s="600">
        <v>55959.45</v>
      </c>
    </row>
    <row r="4716" spans="1:4" ht="25.5">
      <c r="A4716" s="401">
        <v>7619</v>
      </c>
      <c r="B4716" s="411" t="s">
        <v>11850</v>
      </c>
      <c r="C4716" s="401" t="s">
        <v>998</v>
      </c>
      <c r="D4716" s="600">
        <v>8650.1299999999992</v>
      </c>
    </row>
    <row r="4717" spans="1:4" ht="25.5">
      <c r="A4717" s="401">
        <v>12076</v>
      </c>
      <c r="B4717" s="411" t="s">
        <v>11851</v>
      </c>
      <c r="C4717" s="401" t="s">
        <v>998</v>
      </c>
      <c r="D4717" s="600">
        <v>3967.95</v>
      </c>
    </row>
    <row r="4718" spans="1:4" ht="25.5">
      <c r="A4718" s="401">
        <v>7614</v>
      </c>
      <c r="B4718" s="411" t="s">
        <v>11852</v>
      </c>
      <c r="C4718" s="401" t="s">
        <v>998</v>
      </c>
      <c r="D4718" s="600">
        <v>10909.88</v>
      </c>
    </row>
    <row r="4719" spans="1:4" ht="25.5">
      <c r="A4719" s="401">
        <v>7618</v>
      </c>
      <c r="B4719" s="411" t="s">
        <v>11853</v>
      </c>
      <c r="C4719" s="401" t="s">
        <v>998</v>
      </c>
      <c r="D4719" s="600">
        <v>70758.77</v>
      </c>
    </row>
    <row r="4720" spans="1:4" ht="25.5">
      <c r="A4720" s="401">
        <v>7620</v>
      </c>
      <c r="B4720" s="411" t="s">
        <v>11854</v>
      </c>
      <c r="C4720" s="401" t="s">
        <v>998</v>
      </c>
      <c r="D4720" s="600">
        <v>15304.95</v>
      </c>
    </row>
    <row r="4721" spans="1:4" ht="25.5">
      <c r="A4721" s="401">
        <v>7610</v>
      </c>
      <c r="B4721" s="411" t="s">
        <v>11855</v>
      </c>
      <c r="C4721" s="401" t="s">
        <v>998</v>
      </c>
      <c r="D4721" s="600">
        <v>4846.5600000000004</v>
      </c>
    </row>
    <row r="4722" spans="1:4" ht="25.5">
      <c r="A4722" s="401">
        <v>7615</v>
      </c>
      <c r="B4722" s="411" t="s">
        <v>11856</v>
      </c>
      <c r="C4722" s="401" t="s">
        <v>998</v>
      </c>
      <c r="D4722" s="600">
        <v>17855.78</v>
      </c>
    </row>
    <row r="4723" spans="1:4" ht="25.5">
      <c r="A4723" s="401">
        <v>7617</v>
      </c>
      <c r="B4723" s="411" t="s">
        <v>11857</v>
      </c>
      <c r="C4723" s="401" t="s">
        <v>998</v>
      </c>
      <c r="D4723" s="600">
        <v>5413.41</v>
      </c>
    </row>
    <row r="4724" spans="1:4" ht="25.5">
      <c r="A4724" s="401">
        <v>7616</v>
      </c>
      <c r="B4724" s="411" t="s">
        <v>11858</v>
      </c>
      <c r="C4724" s="401" t="s">
        <v>998</v>
      </c>
      <c r="D4724" s="600">
        <v>29137.8</v>
      </c>
    </row>
    <row r="4725" spans="1:4" ht="25.5">
      <c r="A4725" s="401">
        <v>7611</v>
      </c>
      <c r="B4725" s="411" t="s">
        <v>11859</v>
      </c>
      <c r="C4725" s="401" t="s">
        <v>998</v>
      </c>
      <c r="D4725" s="600">
        <v>7000.6</v>
      </c>
    </row>
    <row r="4726" spans="1:4" ht="25.5">
      <c r="A4726" s="401">
        <v>7612</v>
      </c>
      <c r="B4726" s="411" t="s">
        <v>11860</v>
      </c>
      <c r="C4726" s="401" t="s">
        <v>998</v>
      </c>
      <c r="D4726" s="600">
        <v>39967.47</v>
      </c>
    </row>
    <row r="4727" spans="1:4">
      <c r="A4727" s="401">
        <v>37371</v>
      </c>
      <c r="B4727" s="411" t="s">
        <v>11861</v>
      </c>
      <c r="C4727" s="401" t="s">
        <v>1001</v>
      </c>
      <c r="D4727" s="600">
        <v>0.71</v>
      </c>
    </row>
    <row r="4728" spans="1:4">
      <c r="A4728" s="401">
        <v>40861</v>
      </c>
      <c r="B4728" s="411" t="s">
        <v>11862</v>
      </c>
      <c r="C4728" s="401" t="s">
        <v>1118</v>
      </c>
      <c r="D4728" s="600">
        <v>133.68</v>
      </c>
    </row>
    <row r="4729" spans="1:4" ht="25.5">
      <c r="A4729" s="401">
        <v>36510</v>
      </c>
      <c r="B4729" s="411" t="s">
        <v>11863</v>
      </c>
      <c r="C4729" s="401" t="s">
        <v>998</v>
      </c>
      <c r="D4729" s="600">
        <v>573272.14</v>
      </c>
    </row>
    <row r="4730" spans="1:4" ht="25.5">
      <c r="A4730" s="401">
        <v>25020</v>
      </c>
      <c r="B4730" s="411" t="s">
        <v>11864</v>
      </c>
      <c r="C4730" s="401" t="s">
        <v>998</v>
      </c>
      <c r="D4730" s="600">
        <v>2361679.5499999998</v>
      </c>
    </row>
    <row r="4731" spans="1:4" ht="25.5">
      <c r="A4731" s="401">
        <v>7622</v>
      </c>
      <c r="B4731" s="411" t="s">
        <v>11865</v>
      </c>
      <c r="C4731" s="401" t="s">
        <v>998</v>
      </c>
      <c r="D4731" s="600">
        <v>556157.77</v>
      </c>
    </row>
    <row r="4732" spans="1:4" ht="25.5">
      <c r="A4732" s="401">
        <v>7624</v>
      </c>
      <c r="B4732" s="411" t="s">
        <v>11866</v>
      </c>
      <c r="C4732" s="401" t="s">
        <v>998</v>
      </c>
      <c r="D4732" s="600">
        <v>721000</v>
      </c>
    </row>
    <row r="4733" spans="1:4" ht="25.5">
      <c r="A4733" s="401">
        <v>7625</v>
      </c>
      <c r="B4733" s="411" t="s">
        <v>11867</v>
      </c>
      <c r="C4733" s="401" t="s">
        <v>998</v>
      </c>
      <c r="D4733" s="600">
        <v>716590.14</v>
      </c>
    </row>
    <row r="4734" spans="1:4" ht="25.5">
      <c r="A4734" s="401">
        <v>7623</v>
      </c>
      <c r="B4734" s="411" t="s">
        <v>11868</v>
      </c>
      <c r="C4734" s="401" t="s">
        <v>998</v>
      </c>
      <c r="D4734" s="600">
        <v>2361679.5499999998</v>
      </c>
    </row>
    <row r="4735" spans="1:4" ht="25.5">
      <c r="A4735" s="401">
        <v>36508</v>
      </c>
      <c r="B4735" s="411" t="s">
        <v>11869</v>
      </c>
      <c r="C4735" s="401" t="s">
        <v>998</v>
      </c>
      <c r="D4735" s="600">
        <v>1062141</v>
      </c>
    </row>
    <row r="4736" spans="1:4" ht="25.5">
      <c r="A4736" s="401">
        <v>36509</v>
      </c>
      <c r="B4736" s="411" t="s">
        <v>11870</v>
      </c>
      <c r="C4736" s="401" t="s">
        <v>998</v>
      </c>
      <c r="D4736" s="600">
        <v>582091.69999999995</v>
      </c>
    </row>
    <row r="4737" spans="1:4">
      <c r="A4737" s="401">
        <v>13238</v>
      </c>
      <c r="B4737" s="411" t="s">
        <v>11871</v>
      </c>
      <c r="C4737" s="401" t="s">
        <v>998</v>
      </c>
      <c r="D4737" s="600">
        <v>158971.95000000001</v>
      </c>
    </row>
    <row r="4738" spans="1:4">
      <c r="A4738" s="401">
        <v>36511</v>
      </c>
      <c r="B4738" s="411" t="s">
        <v>11872</v>
      </c>
      <c r="C4738" s="401" t="s">
        <v>998</v>
      </c>
      <c r="D4738" s="600">
        <v>184205.59</v>
      </c>
    </row>
    <row r="4739" spans="1:4">
      <c r="A4739" s="401">
        <v>36515</v>
      </c>
      <c r="B4739" s="411" t="s">
        <v>11873</v>
      </c>
      <c r="C4739" s="401" t="s">
        <v>998</v>
      </c>
      <c r="D4739" s="600">
        <v>54252.32</v>
      </c>
    </row>
    <row r="4740" spans="1:4">
      <c r="A4740" s="401">
        <v>10598</v>
      </c>
      <c r="B4740" s="411" t="s">
        <v>11874</v>
      </c>
      <c r="C4740" s="401" t="s">
        <v>998</v>
      </c>
      <c r="D4740" s="600">
        <v>87978.35</v>
      </c>
    </row>
    <row r="4741" spans="1:4">
      <c r="A4741" s="401">
        <v>7640</v>
      </c>
      <c r="B4741" s="411" t="s">
        <v>11875</v>
      </c>
      <c r="C4741" s="401" t="s">
        <v>998</v>
      </c>
      <c r="D4741" s="600">
        <v>135000</v>
      </c>
    </row>
    <row r="4742" spans="1:4">
      <c r="A4742" s="401">
        <v>36513</v>
      </c>
      <c r="B4742" s="411" t="s">
        <v>11876</v>
      </c>
      <c r="C4742" s="401" t="s">
        <v>998</v>
      </c>
      <c r="D4742" s="600">
        <v>130047.88</v>
      </c>
    </row>
    <row r="4743" spans="1:4">
      <c r="A4743" s="401">
        <v>36514</v>
      </c>
      <c r="B4743" s="411" t="s">
        <v>11877</v>
      </c>
      <c r="C4743" s="401" t="s">
        <v>998</v>
      </c>
      <c r="D4743" s="600">
        <v>145093.45000000001</v>
      </c>
    </row>
    <row r="4744" spans="1:4" ht="25.5">
      <c r="A4744" s="401">
        <v>36149</v>
      </c>
      <c r="B4744" s="411" t="s">
        <v>11878</v>
      </c>
      <c r="C4744" s="401" t="s">
        <v>998</v>
      </c>
      <c r="D4744" s="600">
        <v>140.41</v>
      </c>
    </row>
    <row r="4745" spans="1:4" ht="25.5">
      <c r="A4745" s="401">
        <v>42407</v>
      </c>
      <c r="B4745" s="411" t="s">
        <v>11879</v>
      </c>
      <c r="C4745" s="401" t="s">
        <v>1002</v>
      </c>
      <c r="D4745" s="600">
        <v>4.57</v>
      </c>
    </row>
    <row r="4746" spans="1:4">
      <c r="A4746" s="401">
        <v>11581</v>
      </c>
      <c r="B4746" s="411" t="s">
        <v>11880</v>
      </c>
      <c r="C4746" s="401" t="s">
        <v>1002</v>
      </c>
      <c r="D4746" s="600">
        <v>26.09</v>
      </c>
    </row>
    <row r="4747" spans="1:4">
      <c r="A4747" s="401">
        <v>11580</v>
      </c>
      <c r="B4747" s="411" t="s">
        <v>11881</v>
      </c>
      <c r="C4747" s="401" t="s">
        <v>1002</v>
      </c>
      <c r="D4747" s="600">
        <v>11.88</v>
      </c>
    </row>
    <row r="4748" spans="1:4" ht="25.5">
      <c r="A4748" s="401">
        <v>38177</v>
      </c>
      <c r="B4748" s="411" t="s">
        <v>11882</v>
      </c>
      <c r="C4748" s="401" t="s">
        <v>998</v>
      </c>
      <c r="D4748" s="600">
        <v>8.06</v>
      </c>
    </row>
    <row r="4749" spans="1:4">
      <c r="A4749" s="401">
        <v>10743</v>
      </c>
      <c r="B4749" s="411" t="s">
        <v>11883</v>
      </c>
      <c r="C4749" s="401" t="s">
        <v>998</v>
      </c>
      <c r="D4749" s="600">
        <v>569.85</v>
      </c>
    </row>
    <row r="4750" spans="1:4" ht="25.5">
      <c r="A4750" s="401">
        <v>39848</v>
      </c>
      <c r="B4750" s="411" t="s">
        <v>11884</v>
      </c>
      <c r="C4750" s="401" t="s">
        <v>1002</v>
      </c>
      <c r="D4750" s="600">
        <v>1.32</v>
      </c>
    </row>
    <row r="4751" spans="1:4">
      <c r="A4751" s="401">
        <v>20999</v>
      </c>
      <c r="B4751" s="411" t="s">
        <v>11885</v>
      </c>
      <c r="C4751" s="401" t="s">
        <v>1002</v>
      </c>
      <c r="D4751" s="600">
        <v>7.36</v>
      </c>
    </row>
    <row r="4752" spans="1:4">
      <c r="A4752" s="401">
        <v>21001</v>
      </c>
      <c r="B4752" s="411" t="s">
        <v>11886</v>
      </c>
      <c r="C4752" s="401" t="s">
        <v>1002</v>
      </c>
      <c r="D4752" s="600">
        <v>13.74</v>
      </c>
    </row>
    <row r="4753" spans="1:4">
      <c r="A4753" s="401">
        <v>21003</v>
      </c>
      <c r="B4753" s="411" t="s">
        <v>11887</v>
      </c>
      <c r="C4753" s="401" t="s">
        <v>1002</v>
      </c>
      <c r="D4753" s="600">
        <v>22.58</v>
      </c>
    </row>
    <row r="4754" spans="1:4">
      <c r="A4754" s="401">
        <v>21006</v>
      </c>
      <c r="B4754" s="411" t="s">
        <v>11888</v>
      </c>
      <c r="C4754" s="401" t="s">
        <v>1002</v>
      </c>
      <c r="D4754" s="600">
        <v>47.91</v>
      </c>
    </row>
    <row r="4755" spans="1:4" ht="25.5">
      <c r="A4755" s="401">
        <v>21019</v>
      </c>
      <c r="B4755" s="411" t="s">
        <v>11889</v>
      </c>
      <c r="C4755" s="401" t="s">
        <v>1002</v>
      </c>
      <c r="D4755" s="600">
        <v>16.649999999999999</v>
      </c>
    </row>
    <row r="4756" spans="1:4" ht="25.5">
      <c r="A4756" s="401">
        <v>21021</v>
      </c>
      <c r="B4756" s="411" t="s">
        <v>11890</v>
      </c>
      <c r="C4756" s="401" t="s">
        <v>1002</v>
      </c>
      <c r="D4756" s="600">
        <v>26.33</v>
      </c>
    </row>
    <row r="4757" spans="1:4" ht="25.5">
      <c r="A4757" s="401">
        <v>21024</v>
      </c>
      <c r="B4757" s="411" t="s">
        <v>11891</v>
      </c>
      <c r="C4757" s="401" t="s">
        <v>1002</v>
      </c>
      <c r="D4757" s="600">
        <v>56.41</v>
      </c>
    </row>
    <row r="4758" spans="1:4">
      <c r="A4758" s="401">
        <v>40624</v>
      </c>
      <c r="B4758" s="411" t="s">
        <v>11892</v>
      </c>
      <c r="C4758" s="401" t="s">
        <v>1002</v>
      </c>
      <c r="D4758" s="600">
        <v>42.26</v>
      </c>
    </row>
    <row r="4759" spans="1:4">
      <c r="A4759" s="401">
        <v>13127</v>
      </c>
      <c r="B4759" s="411" t="s">
        <v>11893</v>
      </c>
      <c r="C4759" s="401" t="s">
        <v>1002</v>
      </c>
      <c r="D4759" s="600">
        <v>18.850000000000001</v>
      </c>
    </row>
    <row r="4760" spans="1:4">
      <c r="A4760" s="401">
        <v>13137</v>
      </c>
      <c r="B4760" s="411" t="s">
        <v>11894</v>
      </c>
      <c r="C4760" s="401" t="s">
        <v>1002</v>
      </c>
      <c r="D4760" s="600">
        <v>25.01</v>
      </c>
    </row>
    <row r="4761" spans="1:4">
      <c r="A4761" s="401">
        <v>20989</v>
      </c>
      <c r="B4761" s="411" t="s">
        <v>11895</v>
      </c>
      <c r="C4761" s="401" t="s">
        <v>1002</v>
      </c>
      <c r="D4761" s="600">
        <v>896.15</v>
      </c>
    </row>
    <row r="4762" spans="1:4">
      <c r="A4762" s="401">
        <v>21147</v>
      </c>
      <c r="B4762" s="411" t="s">
        <v>11896</v>
      </c>
      <c r="C4762" s="401" t="s">
        <v>1002</v>
      </c>
      <c r="D4762" s="600">
        <v>84.02</v>
      </c>
    </row>
    <row r="4763" spans="1:4">
      <c r="A4763" s="401">
        <v>21148</v>
      </c>
      <c r="B4763" s="411" t="s">
        <v>11897</v>
      </c>
      <c r="C4763" s="401" t="s">
        <v>1002</v>
      </c>
      <c r="D4763" s="600">
        <v>51.86</v>
      </c>
    </row>
    <row r="4764" spans="1:4">
      <c r="A4764" s="401">
        <v>20984</v>
      </c>
      <c r="B4764" s="411" t="s">
        <v>11898</v>
      </c>
      <c r="C4764" s="401" t="s">
        <v>1002</v>
      </c>
      <c r="D4764" s="600">
        <v>1719.54</v>
      </c>
    </row>
    <row r="4765" spans="1:4">
      <c r="A4765" s="401">
        <v>13042</v>
      </c>
      <c r="B4765" s="411" t="s">
        <v>11899</v>
      </c>
      <c r="C4765" s="401" t="s">
        <v>1002</v>
      </c>
      <c r="D4765" s="600">
        <v>952.88</v>
      </c>
    </row>
    <row r="4766" spans="1:4">
      <c r="A4766" s="401">
        <v>21150</v>
      </c>
      <c r="B4766" s="411" t="s">
        <v>11900</v>
      </c>
      <c r="C4766" s="401" t="s">
        <v>1002</v>
      </c>
      <c r="D4766" s="600">
        <v>25.71</v>
      </c>
    </row>
    <row r="4767" spans="1:4">
      <c r="A4767" s="401">
        <v>13141</v>
      </c>
      <c r="B4767" s="411" t="s">
        <v>11901</v>
      </c>
      <c r="C4767" s="401" t="s">
        <v>1002</v>
      </c>
      <c r="D4767" s="600">
        <v>32.4</v>
      </c>
    </row>
    <row r="4768" spans="1:4">
      <c r="A4768" s="401">
        <v>21151</v>
      </c>
      <c r="B4768" s="411" t="s">
        <v>11902</v>
      </c>
      <c r="C4768" s="401" t="s">
        <v>1002</v>
      </c>
      <c r="D4768" s="600">
        <v>153.91999999999999</v>
      </c>
    </row>
    <row r="4769" spans="1:4">
      <c r="A4769" s="401">
        <v>13142</v>
      </c>
      <c r="B4769" s="411" t="s">
        <v>11903</v>
      </c>
      <c r="C4769" s="401" t="s">
        <v>1002</v>
      </c>
      <c r="D4769" s="600">
        <v>220.04</v>
      </c>
    </row>
    <row r="4770" spans="1:4">
      <c r="A4770" s="401">
        <v>20994</v>
      </c>
      <c r="B4770" s="411" t="s">
        <v>11904</v>
      </c>
      <c r="C4770" s="401" t="s">
        <v>1002</v>
      </c>
      <c r="D4770" s="600">
        <v>414.87</v>
      </c>
    </row>
    <row r="4771" spans="1:4">
      <c r="A4771" s="401">
        <v>7672</v>
      </c>
      <c r="B4771" s="411" t="s">
        <v>11905</v>
      </c>
      <c r="C4771" s="401" t="s">
        <v>1002</v>
      </c>
      <c r="D4771" s="600">
        <v>271.77999999999997</v>
      </c>
    </row>
    <row r="4772" spans="1:4">
      <c r="A4772" s="401">
        <v>20995</v>
      </c>
      <c r="B4772" s="411" t="s">
        <v>11906</v>
      </c>
      <c r="C4772" s="401" t="s">
        <v>1002</v>
      </c>
      <c r="D4772" s="600">
        <v>545.22</v>
      </c>
    </row>
    <row r="4773" spans="1:4">
      <c r="A4773" s="401">
        <v>7690</v>
      </c>
      <c r="B4773" s="411" t="s">
        <v>11907</v>
      </c>
      <c r="C4773" s="401" t="s">
        <v>1002</v>
      </c>
      <c r="D4773" s="600">
        <v>315.33</v>
      </c>
    </row>
    <row r="4774" spans="1:4">
      <c r="A4774" s="401">
        <v>20980</v>
      </c>
      <c r="B4774" s="411" t="s">
        <v>11908</v>
      </c>
      <c r="C4774" s="401" t="s">
        <v>1002</v>
      </c>
      <c r="D4774" s="600">
        <v>344</v>
      </c>
    </row>
    <row r="4775" spans="1:4">
      <c r="A4775" s="401">
        <v>7661</v>
      </c>
      <c r="B4775" s="411" t="s">
        <v>11909</v>
      </c>
      <c r="C4775" s="401" t="s">
        <v>1002</v>
      </c>
      <c r="D4775" s="600">
        <v>409.22</v>
      </c>
    </row>
    <row r="4776" spans="1:4" ht="25.5">
      <c r="A4776" s="401">
        <v>21016</v>
      </c>
      <c r="B4776" s="411" t="s">
        <v>11910</v>
      </c>
      <c r="C4776" s="401" t="s">
        <v>1002</v>
      </c>
      <c r="D4776" s="600">
        <v>97</v>
      </c>
    </row>
    <row r="4777" spans="1:4" ht="25.5">
      <c r="A4777" s="401">
        <v>21008</v>
      </c>
      <c r="B4777" s="411" t="s">
        <v>11911</v>
      </c>
      <c r="C4777" s="401" t="s">
        <v>1002</v>
      </c>
      <c r="D4777" s="600">
        <v>11.33</v>
      </c>
    </row>
    <row r="4778" spans="1:4" ht="25.5">
      <c r="A4778" s="401">
        <v>21009</v>
      </c>
      <c r="B4778" s="411" t="s">
        <v>11912</v>
      </c>
      <c r="C4778" s="401" t="s">
        <v>1002</v>
      </c>
      <c r="D4778" s="600">
        <v>14.75</v>
      </c>
    </row>
    <row r="4779" spans="1:4" ht="25.5">
      <c r="A4779" s="401">
        <v>21010</v>
      </c>
      <c r="B4779" s="411" t="s">
        <v>11913</v>
      </c>
      <c r="C4779" s="401" t="s">
        <v>1002</v>
      </c>
      <c r="D4779" s="600">
        <v>19.809999999999999</v>
      </c>
    </row>
    <row r="4780" spans="1:4" ht="25.5">
      <c r="A4780" s="401">
        <v>21011</v>
      </c>
      <c r="B4780" s="411" t="s">
        <v>11914</v>
      </c>
      <c r="C4780" s="401" t="s">
        <v>1002</v>
      </c>
      <c r="D4780" s="600">
        <v>28.87</v>
      </c>
    </row>
    <row r="4781" spans="1:4" ht="25.5">
      <c r="A4781" s="401">
        <v>21012</v>
      </c>
      <c r="B4781" s="411" t="s">
        <v>11915</v>
      </c>
      <c r="C4781" s="401" t="s">
        <v>1002</v>
      </c>
      <c r="D4781" s="600">
        <v>31.9</v>
      </c>
    </row>
    <row r="4782" spans="1:4" ht="25.5">
      <c r="A4782" s="401">
        <v>21013</v>
      </c>
      <c r="B4782" s="411" t="s">
        <v>11916</v>
      </c>
      <c r="C4782" s="401" t="s">
        <v>1002</v>
      </c>
      <c r="D4782" s="600">
        <v>41.63</v>
      </c>
    </row>
    <row r="4783" spans="1:4" ht="25.5">
      <c r="A4783" s="401">
        <v>21014</v>
      </c>
      <c r="B4783" s="411" t="s">
        <v>11917</v>
      </c>
      <c r="C4783" s="401" t="s">
        <v>1002</v>
      </c>
      <c r="D4783" s="600">
        <v>58.26</v>
      </c>
    </row>
    <row r="4784" spans="1:4" ht="25.5">
      <c r="A4784" s="401">
        <v>21015</v>
      </c>
      <c r="B4784" s="411" t="s">
        <v>11918</v>
      </c>
      <c r="C4784" s="401" t="s">
        <v>1002</v>
      </c>
      <c r="D4784" s="600">
        <v>66.930000000000007</v>
      </c>
    </row>
    <row r="4785" spans="1:4" ht="25.5">
      <c r="A4785" s="401">
        <v>7697</v>
      </c>
      <c r="B4785" s="411" t="s">
        <v>11919</v>
      </c>
      <c r="C4785" s="401" t="s">
        <v>1002</v>
      </c>
      <c r="D4785" s="600">
        <v>31.94</v>
      </c>
    </row>
    <row r="4786" spans="1:4" ht="25.5">
      <c r="A4786" s="401">
        <v>7698</v>
      </c>
      <c r="B4786" s="411" t="s">
        <v>11920</v>
      </c>
      <c r="C4786" s="401" t="s">
        <v>1002</v>
      </c>
      <c r="D4786" s="600">
        <v>27.49</v>
      </c>
    </row>
    <row r="4787" spans="1:4" ht="25.5">
      <c r="A4787" s="401">
        <v>7691</v>
      </c>
      <c r="B4787" s="411" t="s">
        <v>11921</v>
      </c>
      <c r="C4787" s="401" t="s">
        <v>1002</v>
      </c>
      <c r="D4787" s="600">
        <v>11.61</v>
      </c>
    </row>
    <row r="4788" spans="1:4" ht="25.5">
      <c r="A4788" s="401">
        <v>40626</v>
      </c>
      <c r="B4788" s="411" t="s">
        <v>11922</v>
      </c>
      <c r="C4788" s="401" t="s">
        <v>1002</v>
      </c>
      <c r="D4788" s="600">
        <v>21.8</v>
      </c>
    </row>
    <row r="4789" spans="1:4" ht="25.5">
      <c r="A4789" s="401">
        <v>7701</v>
      </c>
      <c r="B4789" s="411" t="s">
        <v>11923</v>
      </c>
      <c r="C4789" s="401" t="s">
        <v>1002</v>
      </c>
      <c r="D4789" s="600">
        <v>57.15</v>
      </c>
    </row>
    <row r="4790" spans="1:4" ht="25.5">
      <c r="A4790" s="401">
        <v>7696</v>
      </c>
      <c r="B4790" s="411" t="s">
        <v>11924</v>
      </c>
      <c r="C4790" s="401" t="s">
        <v>1002</v>
      </c>
      <c r="D4790" s="600">
        <v>46.05</v>
      </c>
    </row>
    <row r="4791" spans="1:4" ht="25.5">
      <c r="A4791" s="401">
        <v>7700</v>
      </c>
      <c r="B4791" s="411" t="s">
        <v>11925</v>
      </c>
      <c r="C4791" s="401" t="s">
        <v>1002</v>
      </c>
      <c r="D4791" s="600">
        <v>14.69</v>
      </c>
    </row>
    <row r="4792" spans="1:4" ht="25.5">
      <c r="A4792" s="401">
        <v>7694</v>
      </c>
      <c r="B4792" s="411" t="s">
        <v>11926</v>
      </c>
      <c r="C4792" s="401" t="s">
        <v>1002</v>
      </c>
      <c r="D4792" s="600">
        <v>76.91</v>
      </c>
    </row>
    <row r="4793" spans="1:4" ht="25.5">
      <c r="A4793" s="401">
        <v>7693</v>
      </c>
      <c r="B4793" s="411" t="s">
        <v>11927</v>
      </c>
      <c r="C4793" s="401" t="s">
        <v>1002</v>
      </c>
      <c r="D4793" s="600">
        <v>105.92</v>
      </c>
    </row>
    <row r="4794" spans="1:4" ht="25.5">
      <c r="A4794" s="401">
        <v>7692</v>
      </c>
      <c r="B4794" s="411" t="s">
        <v>11928</v>
      </c>
      <c r="C4794" s="401" t="s">
        <v>1002</v>
      </c>
      <c r="D4794" s="600">
        <v>158.59</v>
      </c>
    </row>
    <row r="4795" spans="1:4" ht="25.5">
      <c r="A4795" s="401">
        <v>7695</v>
      </c>
      <c r="B4795" s="411" t="s">
        <v>11929</v>
      </c>
      <c r="C4795" s="401" t="s">
        <v>1002</v>
      </c>
      <c r="D4795" s="600">
        <v>171.99</v>
      </c>
    </row>
    <row r="4796" spans="1:4">
      <c r="A4796" s="401">
        <v>13356</v>
      </c>
      <c r="B4796" s="411" t="s">
        <v>11930</v>
      </c>
      <c r="C4796" s="401" t="s">
        <v>1002</v>
      </c>
      <c r="D4796" s="600">
        <v>12.47</v>
      </c>
    </row>
    <row r="4797" spans="1:4">
      <c r="A4797" s="401">
        <v>36365</v>
      </c>
      <c r="B4797" s="411" t="s">
        <v>11931</v>
      </c>
      <c r="C4797" s="401" t="s">
        <v>1002</v>
      </c>
      <c r="D4797" s="600">
        <v>19.39</v>
      </c>
    </row>
    <row r="4798" spans="1:4">
      <c r="A4798" s="401">
        <v>41930</v>
      </c>
      <c r="B4798" s="411" t="s">
        <v>11932</v>
      </c>
      <c r="C4798" s="401" t="s">
        <v>1002</v>
      </c>
      <c r="D4798" s="600">
        <v>62.77</v>
      </c>
    </row>
    <row r="4799" spans="1:4">
      <c r="A4799" s="401">
        <v>41931</v>
      </c>
      <c r="B4799" s="411" t="s">
        <v>11933</v>
      </c>
      <c r="C4799" s="401" t="s">
        <v>1002</v>
      </c>
      <c r="D4799" s="600">
        <v>107.03</v>
      </c>
    </row>
    <row r="4800" spans="1:4">
      <c r="A4800" s="401">
        <v>41932</v>
      </c>
      <c r="B4800" s="411" t="s">
        <v>11934</v>
      </c>
      <c r="C4800" s="401" t="s">
        <v>1002</v>
      </c>
      <c r="D4800" s="600">
        <v>172.88</v>
      </c>
    </row>
    <row r="4801" spans="1:4">
      <c r="A4801" s="401">
        <v>41933</v>
      </c>
      <c r="B4801" s="411" t="s">
        <v>11935</v>
      </c>
      <c r="C4801" s="401" t="s">
        <v>1002</v>
      </c>
      <c r="D4801" s="600">
        <v>214.11</v>
      </c>
    </row>
    <row r="4802" spans="1:4">
      <c r="A4802" s="401">
        <v>41934</v>
      </c>
      <c r="B4802" s="411" t="s">
        <v>11936</v>
      </c>
      <c r="C4802" s="401" t="s">
        <v>1002</v>
      </c>
      <c r="D4802" s="600">
        <v>277.32</v>
      </c>
    </row>
    <row r="4803" spans="1:4">
      <c r="A4803" s="401">
        <v>41936</v>
      </c>
      <c r="B4803" s="411" t="s">
        <v>11937</v>
      </c>
      <c r="C4803" s="401" t="s">
        <v>1002</v>
      </c>
      <c r="D4803" s="600">
        <v>41.81</v>
      </c>
    </row>
    <row r="4804" spans="1:4" ht="25.5">
      <c r="A4804" s="401">
        <v>7720</v>
      </c>
      <c r="B4804" s="411" t="s">
        <v>11938</v>
      </c>
      <c r="C4804" s="401" t="s">
        <v>1002</v>
      </c>
      <c r="D4804" s="600">
        <v>457.03</v>
      </c>
    </row>
    <row r="4805" spans="1:4" ht="25.5">
      <c r="A4805" s="401">
        <v>40335</v>
      </c>
      <c r="B4805" s="411" t="s">
        <v>11939</v>
      </c>
      <c r="C4805" s="401" t="s">
        <v>1002</v>
      </c>
      <c r="D4805" s="600">
        <v>93.09</v>
      </c>
    </row>
    <row r="4806" spans="1:4" ht="25.5">
      <c r="A4806" s="401">
        <v>7740</v>
      </c>
      <c r="B4806" s="411" t="s">
        <v>11940</v>
      </c>
      <c r="C4806" s="401" t="s">
        <v>1002</v>
      </c>
      <c r="D4806" s="600">
        <v>127</v>
      </c>
    </row>
    <row r="4807" spans="1:4" ht="25.5">
      <c r="A4807" s="401">
        <v>7741</v>
      </c>
      <c r="B4807" s="411" t="s">
        <v>11941</v>
      </c>
      <c r="C4807" s="401" t="s">
        <v>1002</v>
      </c>
      <c r="D4807" s="600">
        <v>160.28</v>
      </c>
    </row>
    <row r="4808" spans="1:4" ht="25.5">
      <c r="A4808" s="401">
        <v>7774</v>
      </c>
      <c r="B4808" s="411" t="s">
        <v>11942</v>
      </c>
      <c r="C4808" s="401" t="s">
        <v>1002</v>
      </c>
      <c r="D4808" s="600">
        <v>215.77</v>
      </c>
    </row>
    <row r="4809" spans="1:4" ht="25.5">
      <c r="A4809" s="401">
        <v>7744</v>
      </c>
      <c r="B4809" s="411" t="s">
        <v>11943</v>
      </c>
      <c r="C4809" s="401" t="s">
        <v>1002</v>
      </c>
      <c r="D4809" s="600">
        <v>248.73</v>
      </c>
    </row>
    <row r="4810" spans="1:4" ht="25.5">
      <c r="A4810" s="401">
        <v>7773</v>
      </c>
      <c r="B4810" s="411" t="s">
        <v>11944</v>
      </c>
      <c r="C4810" s="401" t="s">
        <v>1002</v>
      </c>
      <c r="D4810" s="600">
        <v>309.76</v>
      </c>
    </row>
    <row r="4811" spans="1:4" ht="25.5">
      <c r="A4811" s="401">
        <v>7754</v>
      </c>
      <c r="B4811" s="411" t="s">
        <v>11945</v>
      </c>
      <c r="C4811" s="401" t="s">
        <v>1002</v>
      </c>
      <c r="D4811" s="600">
        <v>420.94</v>
      </c>
    </row>
    <row r="4812" spans="1:4" ht="25.5">
      <c r="A4812" s="401">
        <v>7735</v>
      </c>
      <c r="B4812" s="411" t="s">
        <v>11946</v>
      </c>
      <c r="C4812" s="401" t="s">
        <v>1002</v>
      </c>
      <c r="D4812" s="600">
        <v>576.95000000000005</v>
      </c>
    </row>
    <row r="4813" spans="1:4" ht="25.5">
      <c r="A4813" s="401">
        <v>7755</v>
      </c>
      <c r="B4813" s="411" t="s">
        <v>11947</v>
      </c>
      <c r="C4813" s="401" t="s">
        <v>1002</v>
      </c>
      <c r="D4813" s="600">
        <v>154.72</v>
      </c>
    </row>
    <row r="4814" spans="1:4" ht="25.5">
      <c r="A4814" s="401">
        <v>7776</v>
      </c>
      <c r="B4814" s="411" t="s">
        <v>11948</v>
      </c>
      <c r="C4814" s="401" t="s">
        <v>1002</v>
      </c>
      <c r="D4814" s="600">
        <v>201.38</v>
      </c>
    </row>
    <row r="4815" spans="1:4" ht="25.5">
      <c r="A4815" s="401">
        <v>7743</v>
      </c>
      <c r="B4815" s="411" t="s">
        <v>11949</v>
      </c>
      <c r="C4815" s="401" t="s">
        <v>1002</v>
      </c>
      <c r="D4815" s="600">
        <v>265.93</v>
      </c>
    </row>
    <row r="4816" spans="1:4" ht="25.5">
      <c r="A4816" s="401">
        <v>7733</v>
      </c>
      <c r="B4816" s="411" t="s">
        <v>11950</v>
      </c>
      <c r="C4816" s="401" t="s">
        <v>1002</v>
      </c>
      <c r="D4816" s="600">
        <v>296.54000000000002</v>
      </c>
    </row>
    <row r="4817" spans="1:4" ht="25.5">
      <c r="A4817" s="401">
        <v>7775</v>
      </c>
      <c r="B4817" s="411" t="s">
        <v>11951</v>
      </c>
      <c r="C4817" s="401" t="s">
        <v>1002</v>
      </c>
      <c r="D4817" s="600">
        <v>364.84</v>
      </c>
    </row>
    <row r="4818" spans="1:4" ht="25.5">
      <c r="A4818" s="401">
        <v>7734</v>
      </c>
      <c r="B4818" s="411" t="s">
        <v>11952</v>
      </c>
      <c r="C4818" s="401" t="s">
        <v>1002</v>
      </c>
      <c r="D4818" s="600">
        <v>527.44000000000005</v>
      </c>
    </row>
    <row r="4819" spans="1:4">
      <c r="A4819" s="401">
        <v>7753</v>
      </c>
      <c r="B4819" s="411" t="s">
        <v>11953</v>
      </c>
      <c r="C4819" s="401" t="s">
        <v>1002</v>
      </c>
      <c r="D4819" s="600">
        <v>267.42</v>
      </c>
    </row>
    <row r="4820" spans="1:4">
      <c r="A4820" s="401">
        <v>13256</v>
      </c>
      <c r="B4820" s="411" t="s">
        <v>11954</v>
      </c>
      <c r="C4820" s="401" t="s">
        <v>1002</v>
      </c>
      <c r="D4820" s="600">
        <v>312.17</v>
      </c>
    </row>
    <row r="4821" spans="1:4">
      <c r="A4821" s="401">
        <v>7757</v>
      </c>
      <c r="B4821" s="411" t="s">
        <v>11955</v>
      </c>
      <c r="C4821" s="401" t="s">
        <v>1002</v>
      </c>
      <c r="D4821" s="600">
        <v>378.99</v>
      </c>
    </row>
    <row r="4822" spans="1:4">
      <c r="A4822" s="401">
        <v>7758</v>
      </c>
      <c r="B4822" s="411" t="s">
        <v>11956</v>
      </c>
      <c r="C4822" s="401" t="s">
        <v>1002</v>
      </c>
      <c r="D4822" s="600">
        <v>563.71</v>
      </c>
    </row>
    <row r="4823" spans="1:4">
      <c r="A4823" s="401">
        <v>7759</v>
      </c>
      <c r="B4823" s="411" t="s">
        <v>11957</v>
      </c>
      <c r="C4823" s="401" t="s">
        <v>1002</v>
      </c>
      <c r="D4823" s="600">
        <v>1228.1199999999999</v>
      </c>
    </row>
    <row r="4824" spans="1:4">
      <c r="A4824" s="401">
        <v>40334</v>
      </c>
      <c r="B4824" s="411" t="s">
        <v>11958</v>
      </c>
      <c r="C4824" s="401" t="s">
        <v>1002</v>
      </c>
      <c r="D4824" s="600">
        <v>66.3</v>
      </c>
    </row>
    <row r="4825" spans="1:4">
      <c r="A4825" s="401">
        <v>7745</v>
      </c>
      <c r="B4825" s="411" t="s">
        <v>11959</v>
      </c>
      <c r="C4825" s="401" t="s">
        <v>1002</v>
      </c>
      <c r="D4825" s="600">
        <v>70.069999999999993</v>
      </c>
    </row>
    <row r="4826" spans="1:4">
      <c r="A4826" s="401">
        <v>7714</v>
      </c>
      <c r="B4826" s="411" t="s">
        <v>11960</v>
      </c>
      <c r="C4826" s="401" t="s">
        <v>1002</v>
      </c>
      <c r="D4826" s="600">
        <v>92.52</v>
      </c>
    </row>
    <row r="4827" spans="1:4">
      <c r="A4827" s="401">
        <v>7725</v>
      </c>
      <c r="B4827" s="411" t="s">
        <v>11961</v>
      </c>
      <c r="C4827" s="401" t="s">
        <v>1002</v>
      </c>
      <c r="D4827" s="600">
        <v>122.4</v>
      </c>
    </row>
    <row r="4828" spans="1:4">
      <c r="A4828" s="401">
        <v>7742</v>
      </c>
      <c r="B4828" s="411" t="s">
        <v>11962</v>
      </c>
      <c r="C4828" s="401" t="s">
        <v>1002</v>
      </c>
      <c r="D4828" s="600">
        <v>171.8</v>
      </c>
    </row>
    <row r="4829" spans="1:4">
      <c r="A4829" s="401">
        <v>7750</v>
      </c>
      <c r="B4829" s="411" t="s">
        <v>11963</v>
      </c>
      <c r="C4829" s="401" t="s">
        <v>1002</v>
      </c>
      <c r="D4829" s="600">
        <v>194.82</v>
      </c>
    </row>
    <row r="4830" spans="1:4">
      <c r="A4830" s="401">
        <v>7756</v>
      </c>
      <c r="B4830" s="411" t="s">
        <v>11964</v>
      </c>
      <c r="C4830" s="401" t="s">
        <v>1002</v>
      </c>
      <c r="D4830" s="600">
        <v>240.53</v>
      </c>
    </row>
    <row r="4831" spans="1:4">
      <c r="A4831" s="401">
        <v>7765</v>
      </c>
      <c r="B4831" s="411" t="s">
        <v>11965</v>
      </c>
      <c r="C4831" s="401" t="s">
        <v>1002</v>
      </c>
      <c r="D4831" s="600">
        <v>295.33</v>
      </c>
    </row>
    <row r="4832" spans="1:4">
      <c r="A4832" s="401">
        <v>12569</v>
      </c>
      <c r="B4832" s="411" t="s">
        <v>11966</v>
      </c>
      <c r="C4832" s="401" t="s">
        <v>1002</v>
      </c>
      <c r="D4832" s="600">
        <v>317.79000000000002</v>
      </c>
    </row>
    <row r="4833" spans="1:4">
      <c r="A4833" s="401">
        <v>7766</v>
      </c>
      <c r="B4833" s="411" t="s">
        <v>11967</v>
      </c>
      <c r="C4833" s="401" t="s">
        <v>1002</v>
      </c>
      <c r="D4833" s="600">
        <v>429.52</v>
      </c>
    </row>
    <row r="4834" spans="1:4">
      <c r="A4834" s="401">
        <v>7767</v>
      </c>
      <c r="B4834" s="411" t="s">
        <v>11968</v>
      </c>
      <c r="C4834" s="401" t="s">
        <v>1002</v>
      </c>
      <c r="D4834" s="600">
        <v>661.86</v>
      </c>
    </row>
    <row r="4835" spans="1:4">
      <c r="A4835" s="401">
        <v>7727</v>
      </c>
      <c r="B4835" s="411" t="s">
        <v>11969</v>
      </c>
      <c r="C4835" s="401" t="s">
        <v>1002</v>
      </c>
      <c r="D4835" s="600">
        <v>1437.35</v>
      </c>
    </row>
    <row r="4836" spans="1:4">
      <c r="A4836" s="401">
        <v>7760</v>
      </c>
      <c r="B4836" s="411" t="s">
        <v>11970</v>
      </c>
      <c r="C4836" s="401" t="s">
        <v>1002</v>
      </c>
      <c r="D4836" s="600">
        <v>69.73</v>
      </c>
    </row>
    <row r="4837" spans="1:4">
      <c r="A4837" s="401">
        <v>7761</v>
      </c>
      <c r="B4837" s="411" t="s">
        <v>11971</v>
      </c>
      <c r="C4837" s="401" t="s">
        <v>1002</v>
      </c>
      <c r="D4837" s="600">
        <v>74.11</v>
      </c>
    </row>
    <row r="4838" spans="1:4">
      <c r="A4838" s="401">
        <v>7752</v>
      </c>
      <c r="B4838" s="411" t="s">
        <v>11972</v>
      </c>
      <c r="C4838" s="401" t="s">
        <v>1002</v>
      </c>
      <c r="D4838" s="600">
        <v>89.77</v>
      </c>
    </row>
    <row r="4839" spans="1:4">
      <c r="A4839" s="401">
        <v>7762</v>
      </c>
      <c r="B4839" s="411" t="s">
        <v>11973</v>
      </c>
      <c r="C4839" s="401" t="s">
        <v>1002</v>
      </c>
      <c r="D4839" s="600">
        <v>117.45</v>
      </c>
    </row>
    <row r="4840" spans="1:4">
      <c r="A4840" s="401">
        <v>7722</v>
      </c>
      <c r="B4840" s="411" t="s">
        <v>11974</v>
      </c>
      <c r="C4840" s="401" t="s">
        <v>1002</v>
      </c>
      <c r="D4840" s="600">
        <v>181.12</v>
      </c>
    </row>
    <row r="4841" spans="1:4">
      <c r="A4841" s="401">
        <v>7763</v>
      </c>
      <c r="B4841" s="411" t="s">
        <v>11975</v>
      </c>
      <c r="C4841" s="401" t="s">
        <v>1002</v>
      </c>
      <c r="D4841" s="600">
        <v>201.84</v>
      </c>
    </row>
    <row r="4842" spans="1:4">
      <c r="A4842" s="401">
        <v>7764</v>
      </c>
      <c r="B4842" s="411" t="s">
        <v>11976</v>
      </c>
      <c r="C4842" s="401" t="s">
        <v>1002</v>
      </c>
      <c r="D4842" s="600">
        <v>303.19</v>
      </c>
    </row>
    <row r="4843" spans="1:4">
      <c r="A4843" s="401">
        <v>12572</v>
      </c>
      <c r="B4843" s="411" t="s">
        <v>11977</v>
      </c>
      <c r="C4843" s="401" t="s">
        <v>1002</v>
      </c>
      <c r="D4843" s="600">
        <v>397.51</v>
      </c>
    </row>
    <row r="4844" spans="1:4">
      <c r="A4844" s="401">
        <v>12573</v>
      </c>
      <c r="B4844" s="411" t="s">
        <v>11978</v>
      </c>
      <c r="C4844" s="401" t="s">
        <v>1002</v>
      </c>
      <c r="D4844" s="600">
        <v>417.73</v>
      </c>
    </row>
    <row r="4845" spans="1:4">
      <c r="A4845" s="401">
        <v>12574</v>
      </c>
      <c r="B4845" s="411" t="s">
        <v>11979</v>
      </c>
      <c r="C4845" s="401" t="s">
        <v>1002</v>
      </c>
      <c r="D4845" s="600">
        <v>542.79999999999995</v>
      </c>
    </row>
    <row r="4846" spans="1:4">
      <c r="A4846" s="401">
        <v>12575</v>
      </c>
      <c r="B4846" s="411" t="s">
        <v>11980</v>
      </c>
      <c r="C4846" s="401" t="s">
        <v>1002</v>
      </c>
      <c r="D4846" s="600">
        <v>796.72</v>
      </c>
    </row>
    <row r="4847" spans="1:4">
      <c r="A4847" s="401">
        <v>12576</v>
      </c>
      <c r="B4847" s="411" t="s">
        <v>11981</v>
      </c>
      <c r="C4847" s="401" t="s">
        <v>1002</v>
      </c>
      <c r="D4847" s="600">
        <v>84.22</v>
      </c>
    </row>
    <row r="4848" spans="1:4">
      <c r="A4848" s="401">
        <v>12577</v>
      </c>
      <c r="B4848" s="411" t="s">
        <v>11982</v>
      </c>
      <c r="C4848" s="401" t="s">
        <v>1002</v>
      </c>
      <c r="D4848" s="600">
        <v>108.92</v>
      </c>
    </row>
    <row r="4849" spans="1:4">
      <c r="A4849" s="401">
        <v>12578</v>
      </c>
      <c r="B4849" s="411" t="s">
        <v>11983</v>
      </c>
      <c r="C4849" s="401" t="s">
        <v>1002</v>
      </c>
      <c r="D4849" s="600">
        <v>146.09</v>
      </c>
    </row>
    <row r="4850" spans="1:4">
      <c r="A4850" s="401">
        <v>12579</v>
      </c>
      <c r="B4850" s="411" t="s">
        <v>11984</v>
      </c>
      <c r="C4850" s="401" t="s">
        <v>1002</v>
      </c>
      <c r="D4850" s="600">
        <v>213.92</v>
      </c>
    </row>
    <row r="4851" spans="1:4">
      <c r="A4851" s="401">
        <v>12580</v>
      </c>
      <c r="B4851" s="411" t="s">
        <v>11985</v>
      </c>
      <c r="C4851" s="401" t="s">
        <v>1002</v>
      </c>
      <c r="D4851" s="600">
        <v>276.14999999999998</v>
      </c>
    </row>
    <row r="4852" spans="1:4">
      <c r="A4852" s="401">
        <v>12581</v>
      </c>
      <c r="B4852" s="411" t="s">
        <v>11986</v>
      </c>
      <c r="C4852" s="401" t="s">
        <v>1002</v>
      </c>
      <c r="D4852" s="600">
        <v>377.86</v>
      </c>
    </row>
    <row r="4853" spans="1:4" ht="25.5">
      <c r="A4853" s="401">
        <v>41785</v>
      </c>
      <c r="B4853" s="411" t="s">
        <v>11987</v>
      </c>
      <c r="C4853" s="401" t="s">
        <v>1002</v>
      </c>
      <c r="D4853" s="600">
        <v>1105.5</v>
      </c>
    </row>
    <row r="4854" spans="1:4" ht="25.5">
      <c r="A4854" s="401">
        <v>41781</v>
      </c>
      <c r="B4854" s="411" t="s">
        <v>11988</v>
      </c>
      <c r="C4854" s="401" t="s">
        <v>1002</v>
      </c>
      <c r="D4854" s="600">
        <v>315.18</v>
      </c>
    </row>
    <row r="4855" spans="1:4" ht="25.5">
      <c r="A4855" s="401">
        <v>41783</v>
      </c>
      <c r="B4855" s="411" t="s">
        <v>11989</v>
      </c>
      <c r="C4855" s="401" t="s">
        <v>1002</v>
      </c>
      <c r="D4855" s="600">
        <v>831.72</v>
      </c>
    </row>
    <row r="4856" spans="1:4" ht="25.5">
      <c r="A4856" s="401">
        <v>41786</v>
      </c>
      <c r="B4856" s="411" t="s">
        <v>11990</v>
      </c>
      <c r="C4856" s="401" t="s">
        <v>1002</v>
      </c>
      <c r="D4856" s="600">
        <v>1735.07</v>
      </c>
    </row>
    <row r="4857" spans="1:4" ht="25.5">
      <c r="A4857" s="401">
        <v>41779</v>
      </c>
      <c r="B4857" s="411" t="s">
        <v>11991</v>
      </c>
      <c r="C4857" s="401" t="s">
        <v>1002</v>
      </c>
      <c r="D4857" s="600">
        <v>120.88</v>
      </c>
    </row>
    <row r="4858" spans="1:4" ht="25.5">
      <c r="A4858" s="401">
        <v>41780</v>
      </c>
      <c r="B4858" s="411" t="s">
        <v>11992</v>
      </c>
      <c r="C4858" s="401" t="s">
        <v>1002</v>
      </c>
      <c r="D4858" s="600">
        <v>142.97</v>
      </c>
    </row>
    <row r="4859" spans="1:4" ht="25.5">
      <c r="A4859" s="401">
        <v>41782</v>
      </c>
      <c r="B4859" s="411" t="s">
        <v>11993</v>
      </c>
      <c r="C4859" s="401" t="s">
        <v>1002</v>
      </c>
      <c r="D4859" s="600">
        <v>589.37</v>
      </c>
    </row>
    <row r="4860" spans="1:4">
      <c r="A4860" s="401">
        <v>38130</v>
      </c>
      <c r="B4860" s="411" t="s">
        <v>11994</v>
      </c>
      <c r="C4860" s="401" t="s">
        <v>1002</v>
      </c>
      <c r="D4860" s="600">
        <v>35.76</v>
      </c>
    </row>
    <row r="4861" spans="1:4">
      <c r="A4861" s="401">
        <v>21123</v>
      </c>
      <c r="B4861" s="411" t="s">
        <v>11995</v>
      </c>
      <c r="C4861" s="401" t="s">
        <v>1002</v>
      </c>
      <c r="D4861" s="600">
        <v>10.15</v>
      </c>
    </row>
    <row r="4862" spans="1:4">
      <c r="A4862" s="401">
        <v>21124</v>
      </c>
      <c r="B4862" s="411" t="s">
        <v>11996</v>
      </c>
      <c r="C4862" s="401" t="s">
        <v>1002</v>
      </c>
      <c r="D4862" s="600">
        <v>18</v>
      </c>
    </row>
    <row r="4863" spans="1:4">
      <c r="A4863" s="401">
        <v>21125</v>
      </c>
      <c r="B4863" s="411" t="s">
        <v>11997</v>
      </c>
      <c r="C4863" s="401" t="s">
        <v>1002</v>
      </c>
      <c r="D4863" s="600">
        <v>28.88</v>
      </c>
    </row>
    <row r="4864" spans="1:4">
      <c r="A4864" s="401">
        <v>38028</v>
      </c>
      <c r="B4864" s="411" t="s">
        <v>11998</v>
      </c>
      <c r="C4864" s="401" t="s">
        <v>1002</v>
      </c>
      <c r="D4864" s="600">
        <v>49.01</v>
      </c>
    </row>
    <row r="4865" spans="1:4">
      <c r="A4865" s="401">
        <v>38029</v>
      </c>
      <c r="B4865" s="411" t="s">
        <v>11999</v>
      </c>
      <c r="C4865" s="401" t="s">
        <v>1002</v>
      </c>
      <c r="D4865" s="600">
        <v>74.72</v>
      </c>
    </row>
    <row r="4866" spans="1:4">
      <c r="A4866" s="401">
        <v>38030</v>
      </c>
      <c r="B4866" s="411" t="s">
        <v>12000</v>
      </c>
      <c r="C4866" s="401" t="s">
        <v>1002</v>
      </c>
      <c r="D4866" s="600">
        <v>114.77</v>
      </c>
    </row>
    <row r="4867" spans="1:4">
      <c r="A4867" s="401">
        <v>38031</v>
      </c>
      <c r="B4867" s="411" t="s">
        <v>12001</v>
      </c>
      <c r="C4867" s="401" t="s">
        <v>1002</v>
      </c>
      <c r="D4867" s="600">
        <v>181.86</v>
      </c>
    </row>
    <row r="4868" spans="1:4" ht="38.25">
      <c r="A4868" s="401">
        <v>39735</v>
      </c>
      <c r="B4868" s="411" t="s">
        <v>12002</v>
      </c>
      <c r="C4868" s="401" t="s">
        <v>1002</v>
      </c>
      <c r="D4868" s="600">
        <v>77.28</v>
      </c>
    </row>
    <row r="4869" spans="1:4" ht="38.25">
      <c r="A4869" s="401">
        <v>39734</v>
      </c>
      <c r="B4869" s="411" t="s">
        <v>12003</v>
      </c>
      <c r="C4869" s="401" t="s">
        <v>1002</v>
      </c>
      <c r="D4869" s="600">
        <v>91.67</v>
      </c>
    </row>
    <row r="4870" spans="1:4" ht="38.25">
      <c r="A4870" s="401">
        <v>39736</v>
      </c>
      <c r="B4870" s="411" t="s">
        <v>12004</v>
      </c>
      <c r="C4870" s="401" t="s">
        <v>1002</v>
      </c>
      <c r="D4870" s="600">
        <v>104.62</v>
      </c>
    </row>
    <row r="4871" spans="1:4" ht="38.25">
      <c r="A4871" s="401">
        <v>39737</v>
      </c>
      <c r="B4871" s="411" t="s">
        <v>12005</v>
      </c>
      <c r="C4871" s="401" t="s">
        <v>1002</v>
      </c>
      <c r="D4871" s="600">
        <v>14.07</v>
      </c>
    </row>
    <row r="4872" spans="1:4" ht="38.25">
      <c r="A4872" s="401">
        <v>39738</v>
      </c>
      <c r="B4872" s="411" t="s">
        <v>12006</v>
      </c>
      <c r="C4872" s="401" t="s">
        <v>1002</v>
      </c>
      <c r="D4872" s="600">
        <v>5.09</v>
      </c>
    </row>
    <row r="4873" spans="1:4" ht="38.25">
      <c r="A4873" s="401">
        <v>39739</v>
      </c>
      <c r="B4873" s="411" t="s">
        <v>12007</v>
      </c>
      <c r="C4873" s="401" t="s">
        <v>1002</v>
      </c>
      <c r="D4873" s="600">
        <v>72.349999999999994</v>
      </c>
    </row>
    <row r="4874" spans="1:4" ht="38.25">
      <c r="A4874" s="401">
        <v>39733</v>
      </c>
      <c r="B4874" s="411" t="s">
        <v>12008</v>
      </c>
      <c r="C4874" s="401" t="s">
        <v>1002</v>
      </c>
      <c r="D4874" s="600">
        <v>125.2</v>
      </c>
    </row>
    <row r="4875" spans="1:4" ht="38.25">
      <c r="A4875" s="401">
        <v>39854</v>
      </c>
      <c r="B4875" s="411" t="s">
        <v>12009</v>
      </c>
      <c r="C4875" s="401" t="s">
        <v>1002</v>
      </c>
      <c r="D4875" s="600">
        <v>126.97</v>
      </c>
    </row>
    <row r="4876" spans="1:4" ht="38.25">
      <c r="A4876" s="401">
        <v>39740</v>
      </c>
      <c r="B4876" s="411" t="s">
        <v>12010</v>
      </c>
      <c r="C4876" s="401" t="s">
        <v>1002</v>
      </c>
      <c r="D4876" s="600">
        <v>69.47</v>
      </c>
    </row>
    <row r="4877" spans="1:4" ht="38.25">
      <c r="A4877" s="401">
        <v>39741</v>
      </c>
      <c r="B4877" s="411" t="s">
        <v>12011</v>
      </c>
      <c r="C4877" s="401" t="s">
        <v>1002</v>
      </c>
      <c r="D4877" s="600">
        <v>12.8</v>
      </c>
    </row>
    <row r="4878" spans="1:4" ht="38.25">
      <c r="A4878" s="401">
        <v>39853</v>
      </c>
      <c r="B4878" s="411" t="s">
        <v>12012</v>
      </c>
      <c r="C4878" s="401" t="s">
        <v>1002</v>
      </c>
      <c r="D4878" s="600">
        <v>16.809999999999999</v>
      </c>
    </row>
    <row r="4879" spans="1:4" ht="38.25">
      <c r="A4879" s="401">
        <v>39742</v>
      </c>
      <c r="B4879" s="411" t="s">
        <v>12013</v>
      </c>
      <c r="C4879" s="401" t="s">
        <v>1002</v>
      </c>
      <c r="D4879" s="600">
        <v>55.84</v>
      </c>
    </row>
    <row r="4880" spans="1:4" ht="25.5">
      <c r="A4880" s="401">
        <v>39749</v>
      </c>
      <c r="B4880" s="411" t="s">
        <v>12014</v>
      </c>
      <c r="C4880" s="401" t="s">
        <v>1002</v>
      </c>
      <c r="D4880" s="600">
        <v>62.94</v>
      </c>
    </row>
    <row r="4881" spans="1:4" ht="25.5">
      <c r="A4881" s="401">
        <v>39751</v>
      </c>
      <c r="B4881" s="411" t="s">
        <v>12015</v>
      </c>
      <c r="C4881" s="401" t="s">
        <v>1002</v>
      </c>
      <c r="D4881" s="600">
        <v>114.37</v>
      </c>
    </row>
    <row r="4882" spans="1:4" ht="25.5">
      <c r="A4882" s="401">
        <v>39750</v>
      </c>
      <c r="B4882" s="411" t="s">
        <v>12016</v>
      </c>
      <c r="C4882" s="401" t="s">
        <v>1002</v>
      </c>
      <c r="D4882" s="600">
        <v>95.06</v>
      </c>
    </row>
    <row r="4883" spans="1:4" ht="25.5">
      <c r="A4883" s="401">
        <v>39747</v>
      </c>
      <c r="B4883" s="411" t="s">
        <v>12017</v>
      </c>
      <c r="C4883" s="401" t="s">
        <v>1002</v>
      </c>
      <c r="D4883" s="600">
        <v>30.58</v>
      </c>
    </row>
    <row r="4884" spans="1:4" ht="25.5">
      <c r="A4884" s="401">
        <v>39753</v>
      </c>
      <c r="B4884" s="411" t="s">
        <v>12018</v>
      </c>
      <c r="C4884" s="401" t="s">
        <v>1002</v>
      </c>
      <c r="D4884" s="600">
        <v>210.53</v>
      </c>
    </row>
    <row r="4885" spans="1:4" ht="25.5">
      <c r="A4885" s="401">
        <v>39754</v>
      </c>
      <c r="B4885" s="411" t="s">
        <v>12019</v>
      </c>
      <c r="C4885" s="401" t="s">
        <v>1002</v>
      </c>
      <c r="D4885" s="600">
        <v>310.17</v>
      </c>
    </row>
    <row r="4886" spans="1:4" ht="25.5">
      <c r="A4886" s="401">
        <v>39748</v>
      </c>
      <c r="B4886" s="411" t="s">
        <v>12020</v>
      </c>
      <c r="C4886" s="401" t="s">
        <v>1002</v>
      </c>
      <c r="D4886" s="600">
        <v>49.47</v>
      </c>
    </row>
    <row r="4887" spans="1:4" ht="25.5">
      <c r="A4887" s="401">
        <v>39755</v>
      </c>
      <c r="B4887" s="411" t="s">
        <v>12021</v>
      </c>
      <c r="C4887" s="401" t="s">
        <v>1002</v>
      </c>
      <c r="D4887" s="600">
        <v>470.29</v>
      </c>
    </row>
    <row r="4888" spans="1:4">
      <c r="A4888" s="401">
        <v>12742</v>
      </c>
      <c r="B4888" s="411" t="s">
        <v>12022</v>
      </c>
      <c r="C4888" s="401" t="s">
        <v>1002</v>
      </c>
      <c r="D4888" s="600">
        <v>372.38</v>
      </c>
    </row>
    <row r="4889" spans="1:4">
      <c r="A4889" s="401">
        <v>12713</v>
      </c>
      <c r="B4889" s="411" t="s">
        <v>12023</v>
      </c>
      <c r="C4889" s="401" t="s">
        <v>1002</v>
      </c>
      <c r="D4889" s="600">
        <v>19.75</v>
      </c>
    </row>
    <row r="4890" spans="1:4">
      <c r="A4890" s="401">
        <v>12743</v>
      </c>
      <c r="B4890" s="411" t="s">
        <v>12024</v>
      </c>
      <c r="C4890" s="401" t="s">
        <v>1002</v>
      </c>
      <c r="D4890" s="600">
        <v>33.97</v>
      </c>
    </row>
    <row r="4891" spans="1:4">
      <c r="A4891" s="401">
        <v>12744</v>
      </c>
      <c r="B4891" s="411" t="s">
        <v>12025</v>
      </c>
      <c r="C4891" s="401" t="s">
        <v>1002</v>
      </c>
      <c r="D4891" s="600">
        <v>43.12</v>
      </c>
    </row>
    <row r="4892" spans="1:4">
      <c r="A4892" s="401">
        <v>12745</v>
      </c>
      <c r="B4892" s="411" t="s">
        <v>12026</v>
      </c>
      <c r="C4892" s="401" t="s">
        <v>1002</v>
      </c>
      <c r="D4892" s="600">
        <v>62.61</v>
      </c>
    </row>
    <row r="4893" spans="1:4">
      <c r="A4893" s="401">
        <v>12746</v>
      </c>
      <c r="B4893" s="411" t="s">
        <v>12027</v>
      </c>
      <c r="C4893" s="401" t="s">
        <v>1002</v>
      </c>
      <c r="D4893" s="600">
        <v>84.55</v>
      </c>
    </row>
    <row r="4894" spans="1:4">
      <c r="A4894" s="401">
        <v>12747</v>
      </c>
      <c r="B4894" s="411" t="s">
        <v>12028</v>
      </c>
      <c r="C4894" s="401" t="s">
        <v>1002</v>
      </c>
      <c r="D4894" s="600">
        <v>122.62</v>
      </c>
    </row>
    <row r="4895" spans="1:4">
      <c r="A4895" s="401">
        <v>12748</v>
      </c>
      <c r="B4895" s="411" t="s">
        <v>12029</v>
      </c>
      <c r="C4895" s="401" t="s">
        <v>1002</v>
      </c>
      <c r="D4895" s="600">
        <v>172.75</v>
      </c>
    </row>
    <row r="4896" spans="1:4">
      <c r="A4896" s="401">
        <v>12749</v>
      </c>
      <c r="B4896" s="411" t="s">
        <v>12030</v>
      </c>
      <c r="C4896" s="401" t="s">
        <v>1002</v>
      </c>
      <c r="D4896" s="600">
        <v>252.54</v>
      </c>
    </row>
    <row r="4897" spans="1:4" ht="25.5">
      <c r="A4897" s="401">
        <v>39726</v>
      </c>
      <c r="B4897" s="411" t="s">
        <v>12031</v>
      </c>
      <c r="C4897" s="401" t="s">
        <v>1002</v>
      </c>
      <c r="D4897" s="600">
        <v>82.95</v>
      </c>
    </row>
    <row r="4898" spans="1:4" ht="25.5">
      <c r="A4898" s="401">
        <v>39728</v>
      </c>
      <c r="B4898" s="411" t="s">
        <v>12032</v>
      </c>
      <c r="C4898" s="401" t="s">
        <v>1002</v>
      </c>
      <c r="D4898" s="600">
        <v>145.78</v>
      </c>
    </row>
    <row r="4899" spans="1:4" ht="25.5">
      <c r="A4899" s="401">
        <v>39727</v>
      </c>
      <c r="B4899" s="411" t="s">
        <v>12033</v>
      </c>
      <c r="C4899" s="401" t="s">
        <v>1002</v>
      </c>
      <c r="D4899" s="600">
        <v>119.97</v>
      </c>
    </row>
    <row r="4900" spans="1:4" ht="25.5">
      <c r="A4900" s="401">
        <v>39724</v>
      </c>
      <c r="B4900" s="411" t="s">
        <v>12034</v>
      </c>
      <c r="C4900" s="401" t="s">
        <v>1002</v>
      </c>
      <c r="D4900" s="600">
        <v>36.729999999999997</v>
      </c>
    </row>
    <row r="4901" spans="1:4" ht="25.5">
      <c r="A4901" s="401">
        <v>39729</v>
      </c>
      <c r="B4901" s="411" t="s">
        <v>12035</v>
      </c>
      <c r="C4901" s="401" t="s">
        <v>1002</v>
      </c>
      <c r="D4901" s="600">
        <v>201.88</v>
      </c>
    </row>
    <row r="4902" spans="1:4" ht="25.5">
      <c r="A4902" s="401">
        <v>39730</v>
      </c>
      <c r="B4902" s="411" t="s">
        <v>12036</v>
      </c>
      <c r="C4902" s="401" t="s">
        <v>1002</v>
      </c>
      <c r="D4902" s="600">
        <v>261.94</v>
      </c>
    </row>
    <row r="4903" spans="1:4" ht="25.5">
      <c r="A4903" s="401">
        <v>39731</v>
      </c>
      <c r="B4903" s="411" t="s">
        <v>12037</v>
      </c>
      <c r="C4903" s="401" t="s">
        <v>1002</v>
      </c>
      <c r="D4903" s="600">
        <v>387.95</v>
      </c>
    </row>
    <row r="4904" spans="1:4" ht="25.5">
      <c r="A4904" s="401">
        <v>39725</v>
      </c>
      <c r="B4904" s="411" t="s">
        <v>12038</v>
      </c>
      <c r="C4904" s="401" t="s">
        <v>1002</v>
      </c>
      <c r="D4904" s="600">
        <v>59.87</v>
      </c>
    </row>
    <row r="4905" spans="1:4" ht="25.5">
      <c r="A4905" s="401">
        <v>39732</v>
      </c>
      <c r="B4905" s="411" t="s">
        <v>12039</v>
      </c>
      <c r="C4905" s="401" t="s">
        <v>1002</v>
      </c>
      <c r="D4905" s="600">
        <v>571.04</v>
      </c>
    </row>
    <row r="4906" spans="1:4" ht="25.5">
      <c r="A4906" s="401">
        <v>39660</v>
      </c>
      <c r="B4906" s="411" t="s">
        <v>12040</v>
      </c>
      <c r="C4906" s="401" t="s">
        <v>1002</v>
      </c>
      <c r="D4906" s="600">
        <v>26.02</v>
      </c>
    </row>
    <row r="4907" spans="1:4" ht="25.5">
      <c r="A4907" s="401">
        <v>39662</v>
      </c>
      <c r="B4907" s="411" t="s">
        <v>12041</v>
      </c>
      <c r="C4907" s="401" t="s">
        <v>1002</v>
      </c>
      <c r="D4907" s="600">
        <v>12.47</v>
      </c>
    </row>
    <row r="4908" spans="1:4" ht="25.5">
      <c r="A4908" s="401">
        <v>39661</v>
      </c>
      <c r="B4908" s="411" t="s">
        <v>12042</v>
      </c>
      <c r="C4908" s="401" t="s">
        <v>1002</v>
      </c>
      <c r="D4908" s="600">
        <v>8.5</v>
      </c>
    </row>
    <row r="4909" spans="1:4" ht="25.5">
      <c r="A4909" s="401">
        <v>39666</v>
      </c>
      <c r="B4909" s="411" t="s">
        <v>12043</v>
      </c>
      <c r="C4909" s="401" t="s">
        <v>1002</v>
      </c>
      <c r="D4909" s="600">
        <v>39.14</v>
      </c>
    </row>
    <row r="4910" spans="1:4" ht="25.5">
      <c r="A4910" s="401">
        <v>39664</v>
      </c>
      <c r="B4910" s="411" t="s">
        <v>12044</v>
      </c>
      <c r="C4910" s="401" t="s">
        <v>1002</v>
      </c>
      <c r="D4910" s="600">
        <v>19.18</v>
      </c>
    </row>
    <row r="4911" spans="1:4" ht="25.5">
      <c r="A4911" s="401">
        <v>39663</v>
      </c>
      <c r="B4911" s="411" t="s">
        <v>12045</v>
      </c>
      <c r="C4911" s="401" t="s">
        <v>1002</v>
      </c>
      <c r="D4911" s="600">
        <v>15.33</v>
      </c>
    </row>
    <row r="4912" spans="1:4" ht="25.5">
      <c r="A4912" s="401">
        <v>39665</v>
      </c>
      <c r="B4912" s="411" t="s">
        <v>12046</v>
      </c>
      <c r="C4912" s="401" t="s">
        <v>1002</v>
      </c>
      <c r="D4912" s="600">
        <v>32.36</v>
      </c>
    </row>
    <row r="4913" spans="1:4" ht="25.5">
      <c r="A4913" s="401">
        <v>39752</v>
      </c>
      <c r="B4913" s="411" t="s">
        <v>12047</v>
      </c>
      <c r="C4913" s="401" t="s">
        <v>1002</v>
      </c>
      <c r="D4913" s="600">
        <v>162.74</v>
      </c>
    </row>
    <row r="4914" spans="1:4">
      <c r="A4914" s="401">
        <v>12583</v>
      </c>
      <c r="B4914" s="411" t="s">
        <v>12048</v>
      </c>
      <c r="C4914" s="401" t="s">
        <v>1002</v>
      </c>
      <c r="D4914" s="600">
        <v>23.89</v>
      </c>
    </row>
    <row r="4915" spans="1:4">
      <c r="A4915" s="401">
        <v>12584</v>
      </c>
      <c r="B4915" s="411" t="s">
        <v>12049</v>
      </c>
      <c r="C4915" s="401" t="s">
        <v>1002</v>
      </c>
      <c r="D4915" s="600">
        <v>22.99</v>
      </c>
    </row>
    <row r="4916" spans="1:4" ht="25.5">
      <c r="A4916" s="401">
        <v>13159</v>
      </c>
      <c r="B4916" s="411" t="s">
        <v>12050</v>
      </c>
      <c r="C4916" s="401" t="s">
        <v>1002</v>
      </c>
      <c r="D4916" s="600">
        <v>69.66</v>
      </c>
    </row>
    <row r="4917" spans="1:4" ht="25.5">
      <c r="A4917" s="401">
        <v>13168</v>
      </c>
      <c r="B4917" s="411" t="s">
        <v>12051</v>
      </c>
      <c r="C4917" s="401" t="s">
        <v>1002</v>
      </c>
      <c r="D4917" s="600">
        <v>104.74</v>
      </c>
    </row>
    <row r="4918" spans="1:4" ht="25.5">
      <c r="A4918" s="401">
        <v>13173</v>
      </c>
      <c r="B4918" s="411" t="s">
        <v>12052</v>
      </c>
      <c r="C4918" s="401" t="s">
        <v>1002</v>
      </c>
      <c r="D4918" s="600">
        <v>129.15</v>
      </c>
    </row>
    <row r="4919" spans="1:4" ht="25.5">
      <c r="A4919" s="401">
        <v>37449</v>
      </c>
      <c r="B4919" s="411" t="s">
        <v>12053</v>
      </c>
      <c r="C4919" s="401" t="s">
        <v>1002</v>
      </c>
      <c r="D4919" s="600">
        <v>21.35</v>
      </c>
    </row>
    <row r="4920" spans="1:4" ht="25.5">
      <c r="A4920" s="401">
        <v>37450</v>
      </c>
      <c r="B4920" s="411" t="s">
        <v>12054</v>
      </c>
      <c r="C4920" s="401" t="s">
        <v>1002</v>
      </c>
      <c r="D4920" s="600">
        <v>26.03</v>
      </c>
    </row>
    <row r="4921" spans="1:4" ht="25.5">
      <c r="A4921" s="401">
        <v>37451</v>
      </c>
      <c r="B4921" s="411" t="s">
        <v>12055</v>
      </c>
      <c r="C4921" s="401" t="s">
        <v>1002</v>
      </c>
      <c r="D4921" s="600">
        <v>39.86</v>
      </c>
    </row>
    <row r="4922" spans="1:4" ht="25.5">
      <c r="A4922" s="401">
        <v>37452</v>
      </c>
      <c r="B4922" s="411" t="s">
        <v>12056</v>
      </c>
      <c r="C4922" s="401" t="s">
        <v>1002</v>
      </c>
      <c r="D4922" s="600">
        <v>52.88</v>
      </c>
    </row>
    <row r="4923" spans="1:4" ht="25.5">
      <c r="A4923" s="401">
        <v>37453</v>
      </c>
      <c r="B4923" s="411" t="s">
        <v>12057</v>
      </c>
      <c r="C4923" s="401" t="s">
        <v>1002</v>
      </c>
      <c r="D4923" s="600">
        <v>66.349999999999994</v>
      </c>
    </row>
    <row r="4924" spans="1:4" ht="25.5">
      <c r="A4924" s="401">
        <v>7778</v>
      </c>
      <c r="B4924" s="411" t="s">
        <v>12058</v>
      </c>
      <c r="C4924" s="401" t="s">
        <v>1002</v>
      </c>
      <c r="D4924" s="600">
        <v>24.91</v>
      </c>
    </row>
    <row r="4925" spans="1:4" ht="25.5">
      <c r="A4925" s="401">
        <v>7796</v>
      </c>
      <c r="B4925" s="411" t="s">
        <v>12059</v>
      </c>
      <c r="C4925" s="401" t="s">
        <v>1002</v>
      </c>
      <c r="D4925" s="600">
        <v>30</v>
      </c>
    </row>
    <row r="4926" spans="1:4" ht="25.5">
      <c r="A4926" s="401">
        <v>7781</v>
      </c>
      <c r="B4926" s="411" t="s">
        <v>12060</v>
      </c>
      <c r="C4926" s="401" t="s">
        <v>1002</v>
      </c>
      <c r="D4926" s="600">
        <v>39.659999999999997</v>
      </c>
    </row>
    <row r="4927" spans="1:4" ht="25.5">
      <c r="A4927" s="401">
        <v>7795</v>
      </c>
      <c r="B4927" s="411" t="s">
        <v>12061</v>
      </c>
      <c r="C4927" s="401" t="s">
        <v>1002</v>
      </c>
      <c r="D4927" s="600">
        <v>57.45</v>
      </c>
    </row>
    <row r="4928" spans="1:4" ht="25.5">
      <c r="A4928" s="401">
        <v>7791</v>
      </c>
      <c r="B4928" s="411" t="s">
        <v>12062</v>
      </c>
      <c r="C4928" s="401" t="s">
        <v>1002</v>
      </c>
      <c r="D4928" s="600">
        <v>73.22</v>
      </c>
    </row>
    <row r="4929" spans="1:4" ht="25.5">
      <c r="A4929" s="401">
        <v>7783</v>
      </c>
      <c r="B4929" s="411" t="s">
        <v>12063</v>
      </c>
      <c r="C4929" s="401" t="s">
        <v>1002</v>
      </c>
      <c r="D4929" s="600">
        <v>27.96</v>
      </c>
    </row>
    <row r="4930" spans="1:4" ht="25.5">
      <c r="A4930" s="401">
        <v>7790</v>
      </c>
      <c r="B4930" s="411" t="s">
        <v>12064</v>
      </c>
      <c r="C4930" s="401" t="s">
        <v>1002</v>
      </c>
      <c r="D4930" s="600">
        <v>32.54</v>
      </c>
    </row>
    <row r="4931" spans="1:4" ht="25.5">
      <c r="A4931" s="401">
        <v>7785</v>
      </c>
      <c r="B4931" s="411" t="s">
        <v>12065</v>
      </c>
      <c r="C4931" s="401" t="s">
        <v>1002</v>
      </c>
      <c r="D4931" s="600">
        <v>42.71</v>
      </c>
    </row>
    <row r="4932" spans="1:4" ht="25.5">
      <c r="A4932" s="401">
        <v>7792</v>
      </c>
      <c r="B4932" s="411" t="s">
        <v>12066</v>
      </c>
      <c r="C4932" s="401" t="s">
        <v>1002</v>
      </c>
      <c r="D4932" s="600">
        <v>62.03</v>
      </c>
    </row>
    <row r="4933" spans="1:4" ht="25.5">
      <c r="A4933" s="401">
        <v>7793</v>
      </c>
      <c r="B4933" s="411" t="s">
        <v>12067</v>
      </c>
      <c r="C4933" s="401" t="s">
        <v>1002</v>
      </c>
      <c r="D4933" s="600">
        <v>80.05</v>
      </c>
    </row>
    <row r="4934" spans="1:4">
      <c r="A4934" s="401">
        <v>12613</v>
      </c>
      <c r="B4934" s="411" t="s">
        <v>12068</v>
      </c>
      <c r="C4934" s="401" t="s">
        <v>998</v>
      </c>
      <c r="D4934" s="600">
        <v>14.19</v>
      </c>
    </row>
    <row r="4935" spans="1:4" ht="25.5">
      <c r="A4935" s="401">
        <v>1031</v>
      </c>
      <c r="B4935" s="411" t="s">
        <v>12069</v>
      </c>
      <c r="C4935" s="401" t="s">
        <v>998</v>
      </c>
      <c r="D4935" s="600">
        <v>10.14</v>
      </c>
    </row>
    <row r="4936" spans="1:4" ht="25.5">
      <c r="A4936" s="401">
        <v>39707</v>
      </c>
      <c r="B4936" s="411" t="s">
        <v>12070</v>
      </c>
      <c r="C4936" s="401" t="s">
        <v>1002</v>
      </c>
      <c r="D4936" s="600">
        <v>3.09</v>
      </c>
    </row>
    <row r="4937" spans="1:4" ht="25.5">
      <c r="A4937" s="401">
        <v>39708</v>
      </c>
      <c r="B4937" s="411" t="s">
        <v>12071</v>
      </c>
      <c r="C4937" s="401" t="s">
        <v>1002</v>
      </c>
      <c r="D4937" s="600">
        <v>2.99</v>
      </c>
    </row>
    <row r="4938" spans="1:4" ht="25.5">
      <c r="A4938" s="401">
        <v>39710</v>
      </c>
      <c r="B4938" s="411" t="s">
        <v>12072</v>
      </c>
      <c r="C4938" s="401" t="s">
        <v>1002</v>
      </c>
      <c r="D4938" s="600">
        <v>2.1</v>
      </c>
    </row>
    <row r="4939" spans="1:4" ht="25.5">
      <c r="A4939" s="401">
        <v>39709</v>
      </c>
      <c r="B4939" s="411" t="s">
        <v>12073</v>
      </c>
      <c r="C4939" s="401" t="s">
        <v>1002</v>
      </c>
      <c r="D4939" s="600">
        <v>2.92</v>
      </c>
    </row>
    <row r="4940" spans="1:4" ht="25.5">
      <c r="A4940" s="401">
        <v>39711</v>
      </c>
      <c r="B4940" s="411" t="s">
        <v>12074</v>
      </c>
      <c r="C4940" s="401" t="s">
        <v>1002</v>
      </c>
      <c r="D4940" s="600">
        <v>3.28</v>
      </c>
    </row>
    <row r="4941" spans="1:4" ht="25.5">
      <c r="A4941" s="401">
        <v>39712</v>
      </c>
      <c r="B4941" s="411" t="s">
        <v>12075</v>
      </c>
      <c r="C4941" s="401" t="s">
        <v>1002</v>
      </c>
      <c r="D4941" s="600">
        <v>1.1499999999999999</v>
      </c>
    </row>
    <row r="4942" spans="1:4" ht="25.5">
      <c r="A4942" s="401">
        <v>39713</v>
      </c>
      <c r="B4942" s="411" t="s">
        <v>12076</v>
      </c>
      <c r="C4942" s="401" t="s">
        <v>1002</v>
      </c>
      <c r="D4942" s="600">
        <v>0.91</v>
      </c>
    </row>
    <row r="4943" spans="1:4" ht="25.5">
      <c r="A4943" s="401">
        <v>39714</v>
      </c>
      <c r="B4943" s="411" t="s">
        <v>12077</v>
      </c>
      <c r="C4943" s="401" t="s">
        <v>1002</v>
      </c>
      <c r="D4943" s="600">
        <v>2.08</v>
      </c>
    </row>
    <row r="4944" spans="1:4" ht="25.5">
      <c r="A4944" s="401">
        <v>39715</v>
      </c>
      <c r="B4944" s="411" t="s">
        <v>12078</v>
      </c>
      <c r="C4944" s="401" t="s">
        <v>1002</v>
      </c>
      <c r="D4944" s="600">
        <v>1.48</v>
      </c>
    </row>
    <row r="4945" spans="1:4" ht="25.5">
      <c r="A4945" s="401">
        <v>39716</v>
      </c>
      <c r="B4945" s="411" t="s">
        <v>12079</v>
      </c>
      <c r="C4945" s="401" t="s">
        <v>1002</v>
      </c>
      <c r="D4945" s="600">
        <v>1.1200000000000001</v>
      </c>
    </row>
    <row r="4946" spans="1:4" ht="25.5">
      <c r="A4946" s="401">
        <v>39718</v>
      </c>
      <c r="B4946" s="411" t="s">
        <v>12080</v>
      </c>
      <c r="C4946" s="401" t="s">
        <v>1002</v>
      </c>
      <c r="D4946" s="600">
        <v>1.91</v>
      </c>
    </row>
    <row r="4947" spans="1:4" ht="25.5">
      <c r="A4947" s="401">
        <v>9813</v>
      </c>
      <c r="B4947" s="411" t="s">
        <v>12081</v>
      </c>
      <c r="C4947" s="401" t="s">
        <v>1002</v>
      </c>
      <c r="D4947" s="600">
        <v>3.79</v>
      </c>
    </row>
    <row r="4948" spans="1:4" ht="25.5">
      <c r="A4948" s="401">
        <v>9815</v>
      </c>
      <c r="B4948" s="411" t="s">
        <v>12082</v>
      </c>
      <c r="C4948" s="401" t="s">
        <v>1002</v>
      </c>
      <c r="D4948" s="600">
        <v>7.48</v>
      </c>
    </row>
    <row r="4949" spans="1:4" ht="25.5">
      <c r="A4949" s="401">
        <v>25876</v>
      </c>
      <c r="B4949" s="411" t="s">
        <v>12083</v>
      </c>
      <c r="C4949" s="401" t="s">
        <v>1002</v>
      </c>
      <c r="D4949" s="600">
        <v>3724.3</v>
      </c>
    </row>
    <row r="4950" spans="1:4" ht="25.5">
      <c r="A4950" s="401">
        <v>25888</v>
      </c>
      <c r="B4950" s="411" t="s">
        <v>12084</v>
      </c>
      <c r="C4950" s="401" t="s">
        <v>1002</v>
      </c>
      <c r="D4950" s="600">
        <v>91.28</v>
      </c>
    </row>
    <row r="4951" spans="1:4" ht="25.5">
      <c r="A4951" s="401">
        <v>25874</v>
      </c>
      <c r="B4951" s="411" t="s">
        <v>12085</v>
      </c>
      <c r="C4951" s="401" t="s">
        <v>1002</v>
      </c>
      <c r="D4951" s="600">
        <v>6531.87</v>
      </c>
    </row>
    <row r="4952" spans="1:4" ht="25.5">
      <c r="A4952" s="401">
        <v>25877</v>
      </c>
      <c r="B4952" s="411" t="s">
        <v>12086</v>
      </c>
      <c r="C4952" s="401" t="s">
        <v>1002</v>
      </c>
      <c r="D4952" s="600">
        <v>8912.98</v>
      </c>
    </row>
    <row r="4953" spans="1:4" ht="25.5">
      <c r="A4953" s="401">
        <v>25878</v>
      </c>
      <c r="B4953" s="411" t="s">
        <v>12087</v>
      </c>
      <c r="C4953" s="401" t="s">
        <v>1002</v>
      </c>
      <c r="D4953" s="600">
        <v>195.93</v>
      </c>
    </row>
    <row r="4954" spans="1:4" ht="25.5">
      <c r="A4954" s="401">
        <v>25879</v>
      </c>
      <c r="B4954" s="411" t="s">
        <v>12088</v>
      </c>
      <c r="C4954" s="401" t="s">
        <v>1002</v>
      </c>
      <c r="D4954" s="600">
        <v>8455.02</v>
      </c>
    </row>
    <row r="4955" spans="1:4" ht="25.5">
      <c r="A4955" s="401">
        <v>25887</v>
      </c>
      <c r="B4955" s="411" t="s">
        <v>12089</v>
      </c>
      <c r="C4955" s="401" t="s">
        <v>1002</v>
      </c>
      <c r="D4955" s="600">
        <v>3377.92</v>
      </c>
    </row>
    <row r="4956" spans="1:4" ht="25.5">
      <c r="A4956" s="401">
        <v>25880</v>
      </c>
      <c r="B4956" s="411" t="s">
        <v>12090</v>
      </c>
      <c r="C4956" s="401" t="s">
        <v>1002</v>
      </c>
      <c r="D4956" s="600">
        <v>305.43</v>
      </c>
    </row>
    <row r="4957" spans="1:4" ht="25.5">
      <c r="A4957" s="401">
        <v>25881</v>
      </c>
      <c r="B4957" s="411" t="s">
        <v>12091</v>
      </c>
      <c r="C4957" s="401" t="s">
        <v>1002</v>
      </c>
      <c r="D4957" s="600">
        <v>748.38</v>
      </c>
    </row>
    <row r="4958" spans="1:4" ht="25.5">
      <c r="A4958" s="401">
        <v>25882</v>
      </c>
      <c r="B4958" s="411" t="s">
        <v>12092</v>
      </c>
      <c r="C4958" s="401" t="s">
        <v>1002</v>
      </c>
      <c r="D4958" s="600">
        <v>1205.3599999999999</v>
      </c>
    </row>
    <row r="4959" spans="1:4" ht="25.5">
      <c r="A4959" s="401">
        <v>25883</v>
      </c>
      <c r="B4959" s="411" t="s">
        <v>12093</v>
      </c>
      <c r="C4959" s="401" t="s">
        <v>1002</v>
      </c>
      <c r="D4959" s="600">
        <v>19.440000000000001</v>
      </c>
    </row>
    <row r="4960" spans="1:4" ht="25.5">
      <c r="A4960" s="401">
        <v>25884</v>
      </c>
      <c r="B4960" s="411" t="s">
        <v>12094</v>
      </c>
      <c r="C4960" s="401" t="s">
        <v>1002</v>
      </c>
      <c r="D4960" s="600">
        <v>2116.17</v>
      </c>
    </row>
    <row r="4961" spans="1:4" ht="25.5">
      <c r="A4961" s="401">
        <v>25885</v>
      </c>
      <c r="B4961" s="411" t="s">
        <v>12095</v>
      </c>
      <c r="C4961" s="401" t="s">
        <v>1002</v>
      </c>
      <c r="D4961" s="600">
        <v>3147.35</v>
      </c>
    </row>
    <row r="4962" spans="1:4" ht="25.5">
      <c r="A4962" s="401">
        <v>25889</v>
      </c>
      <c r="B4962" s="411" t="s">
        <v>12096</v>
      </c>
      <c r="C4962" s="401" t="s">
        <v>1002</v>
      </c>
      <c r="D4962" s="600">
        <v>1578.31</v>
      </c>
    </row>
    <row r="4963" spans="1:4" ht="25.5">
      <c r="A4963" s="401">
        <v>25886</v>
      </c>
      <c r="B4963" s="411" t="s">
        <v>12097</v>
      </c>
      <c r="C4963" s="401" t="s">
        <v>1002</v>
      </c>
      <c r="D4963" s="600">
        <v>43.49</v>
      </c>
    </row>
    <row r="4964" spans="1:4" ht="25.5">
      <c r="A4964" s="401">
        <v>25875</v>
      </c>
      <c r="B4964" s="411" t="s">
        <v>12098</v>
      </c>
      <c r="C4964" s="401" t="s">
        <v>1002</v>
      </c>
      <c r="D4964" s="600">
        <v>2059.17</v>
      </c>
    </row>
    <row r="4965" spans="1:4">
      <c r="A4965" s="401">
        <v>9876</v>
      </c>
      <c r="B4965" s="411" t="s">
        <v>12099</v>
      </c>
      <c r="C4965" s="401" t="s">
        <v>1002</v>
      </c>
      <c r="D4965" s="600">
        <v>15.44</v>
      </c>
    </row>
    <row r="4966" spans="1:4">
      <c r="A4966" s="401">
        <v>9877</v>
      </c>
      <c r="B4966" s="411" t="s">
        <v>12100</v>
      </c>
      <c r="C4966" s="401" t="s">
        <v>1002</v>
      </c>
      <c r="D4966" s="600">
        <v>54.09</v>
      </c>
    </row>
    <row r="4967" spans="1:4">
      <c r="A4967" s="401">
        <v>9878</v>
      </c>
      <c r="B4967" s="411" t="s">
        <v>12101</v>
      </c>
      <c r="C4967" s="401" t="s">
        <v>1002</v>
      </c>
      <c r="D4967" s="600">
        <v>70.459999999999994</v>
      </c>
    </row>
    <row r="4968" spans="1:4">
      <c r="A4968" s="401">
        <v>9879</v>
      </c>
      <c r="B4968" s="411" t="s">
        <v>12102</v>
      </c>
      <c r="C4968" s="401" t="s">
        <v>1002</v>
      </c>
      <c r="D4968" s="600">
        <v>168.17</v>
      </c>
    </row>
    <row r="4969" spans="1:4" ht="25.5">
      <c r="A4969" s="401">
        <v>42001</v>
      </c>
      <c r="B4969" s="411" t="s">
        <v>12103</v>
      </c>
      <c r="C4969" s="401" t="s">
        <v>1002</v>
      </c>
      <c r="D4969" s="600">
        <v>362.16</v>
      </c>
    </row>
    <row r="4970" spans="1:4" ht="38.25">
      <c r="A4970" s="401">
        <v>41998</v>
      </c>
      <c r="B4970" s="411" t="s">
        <v>12104</v>
      </c>
      <c r="C4970" s="401" t="s">
        <v>1002</v>
      </c>
      <c r="D4970" s="600">
        <v>892.48</v>
      </c>
    </row>
    <row r="4971" spans="1:4" ht="38.25">
      <c r="A4971" s="401">
        <v>41999</v>
      </c>
      <c r="B4971" s="411" t="s">
        <v>12105</v>
      </c>
      <c r="C4971" s="401" t="s">
        <v>1002</v>
      </c>
      <c r="D4971" s="600">
        <v>1637.15</v>
      </c>
    </row>
    <row r="4972" spans="1:4" ht="38.25">
      <c r="A4972" s="401">
        <v>42000</v>
      </c>
      <c r="B4972" s="411" t="s">
        <v>12106</v>
      </c>
      <c r="C4972" s="401" t="s">
        <v>1002</v>
      </c>
      <c r="D4972" s="600">
        <v>2795.75</v>
      </c>
    </row>
    <row r="4973" spans="1:4" ht="38.25">
      <c r="A4973" s="401">
        <v>38053</v>
      </c>
      <c r="B4973" s="411" t="s">
        <v>12107</v>
      </c>
      <c r="C4973" s="401" t="s">
        <v>1002</v>
      </c>
      <c r="D4973" s="600">
        <v>9.85</v>
      </c>
    </row>
    <row r="4974" spans="1:4" ht="38.25">
      <c r="A4974" s="401">
        <v>38054</v>
      </c>
      <c r="B4974" s="411" t="s">
        <v>12108</v>
      </c>
      <c r="C4974" s="401" t="s">
        <v>1002</v>
      </c>
      <c r="D4974" s="600">
        <v>16.93</v>
      </c>
    </row>
    <row r="4975" spans="1:4" ht="25.5">
      <c r="A4975" s="401">
        <v>38052</v>
      </c>
      <c r="B4975" s="411" t="s">
        <v>12109</v>
      </c>
      <c r="C4975" s="401" t="s">
        <v>1002</v>
      </c>
      <c r="D4975" s="600">
        <v>4.7699999999999996</v>
      </c>
    </row>
    <row r="4976" spans="1:4" ht="25.5">
      <c r="A4976" s="401">
        <v>38051</v>
      </c>
      <c r="B4976" s="411" t="s">
        <v>12110</v>
      </c>
      <c r="C4976" s="401" t="s">
        <v>1002</v>
      </c>
      <c r="D4976" s="600">
        <v>2.97</v>
      </c>
    </row>
    <row r="4977" spans="1:4">
      <c r="A4977" s="401">
        <v>38787</v>
      </c>
      <c r="B4977" s="411" t="s">
        <v>12111</v>
      </c>
      <c r="C4977" s="401" t="s">
        <v>1002</v>
      </c>
      <c r="D4977" s="600">
        <v>4.21</v>
      </c>
    </row>
    <row r="4978" spans="1:4">
      <c r="A4978" s="401">
        <v>38825</v>
      </c>
      <c r="B4978" s="411" t="s">
        <v>12112</v>
      </c>
      <c r="C4978" s="401" t="s">
        <v>1002</v>
      </c>
      <c r="D4978" s="600">
        <v>5.51</v>
      </c>
    </row>
    <row r="4979" spans="1:4">
      <c r="A4979" s="401">
        <v>38826</v>
      </c>
      <c r="B4979" s="411" t="s">
        <v>12113</v>
      </c>
      <c r="C4979" s="401" t="s">
        <v>1002</v>
      </c>
      <c r="D4979" s="600">
        <v>8.17</v>
      </c>
    </row>
    <row r="4980" spans="1:4">
      <c r="A4980" s="401">
        <v>38827</v>
      </c>
      <c r="B4980" s="411" t="s">
        <v>12114</v>
      </c>
      <c r="C4980" s="401" t="s">
        <v>1002</v>
      </c>
      <c r="D4980" s="600">
        <v>13.13</v>
      </c>
    </row>
    <row r="4981" spans="1:4">
      <c r="A4981" s="401">
        <v>38830</v>
      </c>
      <c r="B4981" s="411" t="s">
        <v>12115</v>
      </c>
      <c r="C4981" s="401" t="s">
        <v>1002</v>
      </c>
      <c r="D4981" s="600">
        <v>18.39</v>
      </c>
    </row>
    <row r="4982" spans="1:4">
      <c r="A4982" s="401">
        <v>38828</v>
      </c>
      <c r="B4982" s="411" t="s">
        <v>12116</v>
      </c>
      <c r="C4982" s="401" t="s">
        <v>1002</v>
      </c>
      <c r="D4982" s="600">
        <v>8.11</v>
      </c>
    </row>
    <row r="4983" spans="1:4">
      <c r="A4983" s="401">
        <v>38829</v>
      </c>
      <c r="B4983" s="411" t="s">
        <v>12117</v>
      </c>
      <c r="C4983" s="401" t="s">
        <v>1002</v>
      </c>
      <c r="D4983" s="600">
        <v>13.28</v>
      </c>
    </row>
    <row r="4984" spans="1:4">
      <c r="A4984" s="401">
        <v>38831</v>
      </c>
      <c r="B4984" s="411" t="s">
        <v>12118</v>
      </c>
      <c r="C4984" s="401" t="s">
        <v>1002</v>
      </c>
      <c r="D4984" s="600">
        <v>25.64</v>
      </c>
    </row>
    <row r="4985" spans="1:4">
      <c r="A4985" s="401">
        <v>36274</v>
      </c>
      <c r="B4985" s="411" t="s">
        <v>12119</v>
      </c>
      <c r="C4985" s="401" t="s">
        <v>1002</v>
      </c>
      <c r="D4985" s="600">
        <v>5.7</v>
      </c>
    </row>
    <row r="4986" spans="1:4">
      <c r="A4986" s="401">
        <v>36278</v>
      </c>
      <c r="B4986" s="411" t="s">
        <v>12120</v>
      </c>
      <c r="C4986" s="401" t="s">
        <v>1002</v>
      </c>
      <c r="D4986" s="600">
        <v>7.73</v>
      </c>
    </row>
    <row r="4987" spans="1:4">
      <c r="A4987" s="401">
        <v>38977</v>
      </c>
      <c r="B4987" s="411" t="s">
        <v>12121</v>
      </c>
      <c r="C4987" s="401" t="s">
        <v>1002</v>
      </c>
      <c r="D4987" s="600">
        <v>117.66</v>
      </c>
    </row>
    <row r="4988" spans="1:4">
      <c r="A4988" s="401">
        <v>38971</v>
      </c>
      <c r="B4988" s="411" t="s">
        <v>12122</v>
      </c>
      <c r="C4988" s="401" t="s">
        <v>1002</v>
      </c>
      <c r="D4988" s="600">
        <v>9.69</v>
      </c>
    </row>
    <row r="4989" spans="1:4">
      <c r="A4989" s="401">
        <v>38972</v>
      </c>
      <c r="B4989" s="411" t="s">
        <v>12123</v>
      </c>
      <c r="C4989" s="401" t="s">
        <v>1002</v>
      </c>
      <c r="D4989" s="600">
        <v>14.76</v>
      </c>
    </row>
    <row r="4990" spans="1:4">
      <c r="A4990" s="401">
        <v>38973</v>
      </c>
      <c r="B4990" s="411" t="s">
        <v>12124</v>
      </c>
      <c r="C4990" s="401" t="s">
        <v>1002</v>
      </c>
      <c r="D4990" s="600">
        <v>19.53</v>
      </c>
    </row>
    <row r="4991" spans="1:4">
      <c r="A4991" s="401">
        <v>38974</v>
      </c>
      <c r="B4991" s="411" t="s">
        <v>12125</v>
      </c>
      <c r="C4991" s="401" t="s">
        <v>1002</v>
      </c>
      <c r="D4991" s="600">
        <v>28.48</v>
      </c>
    </row>
    <row r="4992" spans="1:4">
      <c r="A4992" s="401">
        <v>38975</v>
      </c>
      <c r="B4992" s="411" t="s">
        <v>12126</v>
      </c>
      <c r="C4992" s="401" t="s">
        <v>1002</v>
      </c>
      <c r="D4992" s="600">
        <v>47.46</v>
      </c>
    </row>
    <row r="4993" spans="1:4">
      <c r="A4993" s="401">
        <v>38976</v>
      </c>
      <c r="B4993" s="411" t="s">
        <v>12127</v>
      </c>
      <c r="C4993" s="401" t="s">
        <v>1002</v>
      </c>
      <c r="D4993" s="600">
        <v>66.56</v>
      </c>
    </row>
    <row r="4994" spans="1:4">
      <c r="A4994" s="401">
        <v>38986</v>
      </c>
      <c r="B4994" s="411" t="s">
        <v>12128</v>
      </c>
      <c r="C4994" s="401" t="s">
        <v>1002</v>
      </c>
      <c r="D4994" s="600">
        <v>133.94999999999999</v>
      </c>
    </row>
    <row r="4995" spans="1:4">
      <c r="A4995" s="401">
        <v>38978</v>
      </c>
      <c r="B4995" s="411" t="s">
        <v>12129</v>
      </c>
      <c r="C4995" s="401" t="s">
        <v>1002</v>
      </c>
      <c r="D4995" s="600">
        <v>5.7</v>
      </c>
    </row>
    <row r="4996" spans="1:4">
      <c r="A4996" s="401">
        <v>38979</v>
      </c>
      <c r="B4996" s="411" t="s">
        <v>12130</v>
      </c>
      <c r="C4996" s="401" t="s">
        <v>1002</v>
      </c>
      <c r="D4996" s="600">
        <v>7.73</v>
      </c>
    </row>
    <row r="4997" spans="1:4">
      <c r="A4997" s="401">
        <v>38980</v>
      </c>
      <c r="B4997" s="411" t="s">
        <v>12131</v>
      </c>
      <c r="C4997" s="401" t="s">
        <v>1002</v>
      </c>
      <c r="D4997" s="600">
        <v>12.92</v>
      </c>
    </row>
    <row r="4998" spans="1:4">
      <c r="A4998" s="401">
        <v>38981</v>
      </c>
      <c r="B4998" s="411" t="s">
        <v>12132</v>
      </c>
      <c r="C4998" s="401" t="s">
        <v>1002</v>
      </c>
      <c r="D4998" s="600">
        <v>17.899999999999999</v>
      </c>
    </row>
    <row r="4999" spans="1:4">
      <c r="A4999" s="401">
        <v>38982</v>
      </c>
      <c r="B4999" s="411" t="s">
        <v>12133</v>
      </c>
      <c r="C4999" s="401" t="s">
        <v>1002</v>
      </c>
      <c r="D4999" s="600">
        <v>26.05</v>
      </c>
    </row>
    <row r="5000" spans="1:4">
      <c r="A5000" s="401">
        <v>38983</v>
      </c>
      <c r="B5000" s="411" t="s">
        <v>12134</v>
      </c>
      <c r="C5000" s="401" t="s">
        <v>1002</v>
      </c>
      <c r="D5000" s="600">
        <v>34.53</v>
      </c>
    </row>
    <row r="5001" spans="1:4">
      <c r="A5001" s="401">
        <v>38984</v>
      </c>
      <c r="B5001" s="411" t="s">
        <v>12135</v>
      </c>
      <c r="C5001" s="401" t="s">
        <v>1002</v>
      </c>
      <c r="D5001" s="600">
        <v>66.61</v>
      </c>
    </row>
    <row r="5002" spans="1:4">
      <c r="A5002" s="401">
        <v>38985</v>
      </c>
      <c r="B5002" s="411" t="s">
        <v>12136</v>
      </c>
      <c r="C5002" s="401" t="s">
        <v>1002</v>
      </c>
      <c r="D5002" s="600">
        <v>98.6</v>
      </c>
    </row>
    <row r="5003" spans="1:4">
      <c r="A5003" s="401">
        <v>9836</v>
      </c>
      <c r="B5003" s="411" t="s">
        <v>12137</v>
      </c>
      <c r="C5003" s="401" t="s">
        <v>1002</v>
      </c>
      <c r="D5003" s="600">
        <v>10.07</v>
      </c>
    </row>
    <row r="5004" spans="1:4">
      <c r="A5004" s="401">
        <v>20065</v>
      </c>
      <c r="B5004" s="411" t="s">
        <v>12138</v>
      </c>
      <c r="C5004" s="401" t="s">
        <v>1002</v>
      </c>
      <c r="D5004" s="600">
        <v>25.76</v>
      </c>
    </row>
    <row r="5005" spans="1:4">
      <c r="A5005" s="401">
        <v>9835</v>
      </c>
      <c r="B5005" s="411" t="s">
        <v>12139</v>
      </c>
      <c r="C5005" s="401" t="s">
        <v>1002</v>
      </c>
      <c r="D5005" s="600">
        <v>3.63</v>
      </c>
    </row>
    <row r="5006" spans="1:4">
      <c r="A5006" s="401">
        <v>38032</v>
      </c>
      <c r="B5006" s="411" t="s">
        <v>12140</v>
      </c>
      <c r="C5006" s="401" t="s">
        <v>1002</v>
      </c>
      <c r="D5006" s="600">
        <v>32.42</v>
      </c>
    </row>
    <row r="5007" spans="1:4">
      <c r="A5007" s="401">
        <v>38033</v>
      </c>
      <c r="B5007" s="411" t="s">
        <v>12141</v>
      </c>
      <c r="C5007" s="401" t="s">
        <v>1002</v>
      </c>
      <c r="D5007" s="600">
        <v>53.05</v>
      </c>
    </row>
    <row r="5008" spans="1:4">
      <c r="A5008" s="401">
        <v>38034</v>
      </c>
      <c r="B5008" s="411" t="s">
        <v>12142</v>
      </c>
      <c r="C5008" s="401" t="s">
        <v>1002</v>
      </c>
      <c r="D5008" s="600">
        <v>87.76</v>
      </c>
    </row>
    <row r="5009" spans="1:4">
      <c r="A5009" s="401">
        <v>38035</v>
      </c>
      <c r="B5009" s="411" t="s">
        <v>12143</v>
      </c>
      <c r="C5009" s="401" t="s">
        <v>1002</v>
      </c>
      <c r="D5009" s="600">
        <v>122.29</v>
      </c>
    </row>
    <row r="5010" spans="1:4">
      <c r="A5010" s="401">
        <v>38036</v>
      </c>
      <c r="B5010" s="411" t="s">
        <v>12144</v>
      </c>
      <c r="C5010" s="401" t="s">
        <v>1002</v>
      </c>
      <c r="D5010" s="600">
        <v>172.56</v>
      </c>
    </row>
    <row r="5011" spans="1:4">
      <c r="A5011" s="401">
        <v>38037</v>
      </c>
      <c r="B5011" s="411" t="s">
        <v>12145</v>
      </c>
      <c r="C5011" s="401" t="s">
        <v>1002</v>
      </c>
      <c r="D5011" s="600">
        <v>200.08</v>
      </c>
    </row>
    <row r="5012" spans="1:4" ht="25.5">
      <c r="A5012" s="401">
        <v>9850</v>
      </c>
      <c r="B5012" s="411" t="s">
        <v>12146</v>
      </c>
      <c r="C5012" s="401" t="s">
        <v>1002</v>
      </c>
      <c r="D5012" s="600">
        <v>95.5</v>
      </c>
    </row>
    <row r="5013" spans="1:4" ht="25.5">
      <c r="A5013" s="401">
        <v>9853</v>
      </c>
      <c r="B5013" s="411" t="s">
        <v>12147</v>
      </c>
      <c r="C5013" s="401" t="s">
        <v>1002</v>
      </c>
      <c r="D5013" s="600">
        <v>169.83</v>
      </c>
    </row>
    <row r="5014" spans="1:4" ht="25.5">
      <c r="A5014" s="401">
        <v>9854</v>
      </c>
      <c r="B5014" s="411" t="s">
        <v>12148</v>
      </c>
      <c r="C5014" s="401" t="s">
        <v>1002</v>
      </c>
      <c r="D5014" s="600">
        <v>74.41</v>
      </c>
    </row>
    <row r="5015" spans="1:4" ht="25.5">
      <c r="A5015" s="401">
        <v>9851</v>
      </c>
      <c r="B5015" s="411" t="s">
        <v>12149</v>
      </c>
      <c r="C5015" s="401" t="s">
        <v>1002</v>
      </c>
      <c r="D5015" s="600">
        <v>129.03</v>
      </c>
    </row>
    <row r="5016" spans="1:4" ht="25.5">
      <c r="A5016" s="401">
        <v>9855</v>
      </c>
      <c r="B5016" s="411" t="s">
        <v>12150</v>
      </c>
      <c r="C5016" s="401" t="s">
        <v>1002</v>
      </c>
      <c r="D5016" s="600">
        <v>215.81</v>
      </c>
    </row>
    <row r="5017" spans="1:4">
      <c r="A5017" s="401">
        <v>9825</v>
      </c>
      <c r="B5017" s="411" t="s">
        <v>12151</v>
      </c>
      <c r="C5017" s="401" t="s">
        <v>1002</v>
      </c>
      <c r="D5017" s="600">
        <v>35.49</v>
      </c>
    </row>
    <row r="5018" spans="1:4">
      <c r="A5018" s="401">
        <v>9828</v>
      </c>
      <c r="B5018" s="411" t="s">
        <v>12152</v>
      </c>
      <c r="C5018" s="401" t="s">
        <v>1002</v>
      </c>
      <c r="D5018" s="600">
        <v>95.5</v>
      </c>
    </row>
    <row r="5019" spans="1:4">
      <c r="A5019" s="401">
        <v>9829</v>
      </c>
      <c r="B5019" s="411" t="s">
        <v>12153</v>
      </c>
      <c r="C5019" s="401" t="s">
        <v>1002</v>
      </c>
      <c r="D5019" s="600">
        <v>161.85</v>
      </c>
    </row>
    <row r="5020" spans="1:4">
      <c r="A5020" s="401">
        <v>9826</v>
      </c>
      <c r="B5020" s="411" t="s">
        <v>12154</v>
      </c>
      <c r="C5020" s="401" t="s">
        <v>1002</v>
      </c>
      <c r="D5020" s="600">
        <v>246.39</v>
      </c>
    </row>
    <row r="5021" spans="1:4">
      <c r="A5021" s="401">
        <v>9827</v>
      </c>
      <c r="B5021" s="411" t="s">
        <v>12155</v>
      </c>
      <c r="C5021" s="401" t="s">
        <v>1002</v>
      </c>
      <c r="D5021" s="600">
        <v>349.87</v>
      </c>
    </row>
    <row r="5022" spans="1:4">
      <c r="A5022" s="401">
        <v>36374</v>
      </c>
      <c r="B5022" s="411" t="s">
        <v>12156</v>
      </c>
      <c r="C5022" s="401" t="s">
        <v>1002</v>
      </c>
      <c r="D5022" s="600">
        <v>42.53</v>
      </c>
    </row>
    <row r="5023" spans="1:4">
      <c r="A5023" s="401">
        <v>36084</v>
      </c>
      <c r="B5023" s="411" t="s">
        <v>12157</v>
      </c>
      <c r="C5023" s="401" t="s">
        <v>1002</v>
      </c>
      <c r="D5023" s="600">
        <v>12.6</v>
      </c>
    </row>
    <row r="5024" spans="1:4">
      <c r="A5024" s="401">
        <v>36373</v>
      </c>
      <c r="B5024" s="411" t="s">
        <v>12158</v>
      </c>
      <c r="C5024" s="401" t="s">
        <v>1002</v>
      </c>
      <c r="D5024" s="600">
        <v>26.16</v>
      </c>
    </row>
    <row r="5025" spans="1:4">
      <c r="A5025" s="401">
        <v>36377</v>
      </c>
      <c r="B5025" s="411" t="s">
        <v>12159</v>
      </c>
      <c r="C5025" s="401" t="s">
        <v>1002</v>
      </c>
      <c r="D5025" s="600">
        <v>51.02</v>
      </c>
    </row>
    <row r="5026" spans="1:4">
      <c r="A5026" s="401">
        <v>36375</v>
      </c>
      <c r="B5026" s="411" t="s">
        <v>12160</v>
      </c>
      <c r="C5026" s="401" t="s">
        <v>1002</v>
      </c>
      <c r="D5026" s="600">
        <v>15.55</v>
      </c>
    </row>
    <row r="5027" spans="1:4">
      <c r="A5027" s="401">
        <v>36376</v>
      </c>
      <c r="B5027" s="411" t="s">
        <v>12161</v>
      </c>
      <c r="C5027" s="401" t="s">
        <v>1002</v>
      </c>
      <c r="D5027" s="600">
        <v>30.53</v>
      </c>
    </row>
    <row r="5028" spans="1:4">
      <c r="A5028" s="401">
        <v>36380</v>
      </c>
      <c r="B5028" s="411" t="s">
        <v>12162</v>
      </c>
      <c r="C5028" s="401" t="s">
        <v>1002</v>
      </c>
      <c r="D5028" s="600">
        <v>63.79</v>
      </c>
    </row>
    <row r="5029" spans="1:4">
      <c r="A5029" s="401">
        <v>36378</v>
      </c>
      <c r="B5029" s="411" t="s">
        <v>12163</v>
      </c>
      <c r="C5029" s="401" t="s">
        <v>1002</v>
      </c>
      <c r="D5029" s="600">
        <v>19.11</v>
      </c>
    </row>
    <row r="5030" spans="1:4">
      <c r="A5030" s="401">
        <v>36379</v>
      </c>
      <c r="B5030" s="411" t="s">
        <v>12164</v>
      </c>
      <c r="C5030" s="401" t="s">
        <v>1002</v>
      </c>
      <c r="D5030" s="600">
        <v>38.53</v>
      </c>
    </row>
    <row r="5031" spans="1:4">
      <c r="A5031" s="401">
        <v>9859</v>
      </c>
      <c r="B5031" s="411" t="s">
        <v>12165</v>
      </c>
      <c r="C5031" s="401" t="s">
        <v>1002</v>
      </c>
      <c r="D5031" s="600">
        <v>7.6</v>
      </c>
    </row>
    <row r="5032" spans="1:4">
      <c r="A5032" s="401">
        <v>9838</v>
      </c>
      <c r="B5032" s="411" t="s">
        <v>12166</v>
      </c>
      <c r="C5032" s="401" t="s">
        <v>1002</v>
      </c>
      <c r="D5032" s="600">
        <v>6.18</v>
      </c>
    </row>
    <row r="5033" spans="1:4">
      <c r="A5033" s="401">
        <v>9837</v>
      </c>
      <c r="B5033" s="411" t="s">
        <v>12167</v>
      </c>
      <c r="C5033" s="401" t="s">
        <v>1002</v>
      </c>
      <c r="D5033" s="600">
        <v>8.92</v>
      </c>
    </row>
    <row r="5034" spans="1:4" ht="25.5">
      <c r="A5034" s="401">
        <v>9833</v>
      </c>
      <c r="B5034" s="411" t="s">
        <v>12168</v>
      </c>
      <c r="C5034" s="401" t="s">
        <v>1002</v>
      </c>
      <c r="D5034" s="600">
        <v>8.91</v>
      </c>
    </row>
    <row r="5035" spans="1:4" ht="25.5">
      <c r="A5035" s="401">
        <v>9830</v>
      </c>
      <c r="B5035" s="411" t="s">
        <v>12169</v>
      </c>
      <c r="C5035" s="401" t="s">
        <v>1002</v>
      </c>
      <c r="D5035" s="600">
        <v>4.7699999999999996</v>
      </c>
    </row>
    <row r="5036" spans="1:4" ht="25.5">
      <c r="A5036" s="401">
        <v>9834</v>
      </c>
      <c r="B5036" s="411" t="s">
        <v>12170</v>
      </c>
      <c r="C5036" s="401" t="s">
        <v>1002</v>
      </c>
      <c r="D5036" s="600">
        <v>24.81</v>
      </c>
    </row>
    <row r="5037" spans="1:4">
      <c r="A5037" s="401">
        <v>9863</v>
      </c>
      <c r="B5037" s="411" t="s">
        <v>12171</v>
      </c>
      <c r="C5037" s="401" t="s">
        <v>1002</v>
      </c>
      <c r="D5037" s="600">
        <v>54.86</v>
      </c>
    </row>
    <row r="5038" spans="1:4">
      <c r="A5038" s="401">
        <v>9860</v>
      </c>
      <c r="B5038" s="411" t="s">
        <v>12172</v>
      </c>
      <c r="C5038" s="401" t="s">
        <v>1002</v>
      </c>
      <c r="D5038" s="600">
        <v>35.22</v>
      </c>
    </row>
    <row r="5039" spans="1:4">
      <c r="A5039" s="401">
        <v>9862</v>
      </c>
      <c r="B5039" s="411" t="s">
        <v>12173</v>
      </c>
      <c r="C5039" s="401" t="s">
        <v>1002</v>
      </c>
      <c r="D5039" s="600">
        <v>24.85</v>
      </c>
    </row>
    <row r="5040" spans="1:4">
      <c r="A5040" s="401">
        <v>9861</v>
      </c>
      <c r="B5040" s="411" t="s">
        <v>12174</v>
      </c>
      <c r="C5040" s="401" t="s">
        <v>1002</v>
      </c>
      <c r="D5040" s="600">
        <v>19.97</v>
      </c>
    </row>
    <row r="5041" spans="1:4">
      <c r="A5041" s="401">
        <v>9856</v>
      </c>
      <c r="B5041" s="411" t="s">
        <v>12175</v>
      </c>
      <c r="C5041" s="401" t="s">
        <v>1002</v>
      </c>
      <c r="D5041" s="600">
        <v>5.37</v>
      </c>
    </row>
    <row r="5042" spans="1:4">
      <c r="A5042" s="401">
        <v>9866</v>
      </c>
      <c r="B5042" s="411" t="s">
        <v>12176</v>
      </c>
      <c r="C5042" s="401" t="s">
        <v>1002</v>
      </c>
      <c r="D5042" s="600">
        <v>14.75</v>
      </c>
    </row>
    <row r="5043" spans="1:4">
      <c r="A5043" s="401">
        <v>9857</v>
      </c>
      <c r="B5043" s="411" t="s">
        <v>12177</v>
      </c>
      <c r="C5043" s="401" t="s">
        <v>1002</v>
      </c>
      <c r="D5043" s="600">
        <v>70.95</v>
      </c>
    </row>
    <row r="5044" spans="1:4">
      <c r="A5044" s="401">
        <v>9864</v>
      </c>
      <c r="B5044" s="411" t="s">
        <v>12178</v>
      </c>
      <c r="C5044" s="401" t="s">
        <v>1002</v>
      </c>
      <c r="D5044" s="600">
        <v>85.66</v>
      </c>
    </row>
    <row r="5045" spans="1:4">
      <c r="A5045" s="401">
        <v>9865</v>
      </c>
      <c r="B5045" s="411" t="s">
        <v>12179</v>
      </c>
      <c r="C5045" s="401" t="s">
        <v>1002</v>
      </c>
      <c r="D5045" s="600">
        <v>123.19</v>
      </c>
    </row>
    <row r="5046" spans="1:4">
      <c r="A5046" s="401">
        <v>9858</v>
      </c>
      <c r="B5046" s="411" t="s">
        <v>12180</v>
      </c>
      <c r="C5046" s="401" t="s">
        <v>1002</v>
      </c>
      <c r="D5046" s="600">
        <v>129.15</v>
      </c>
    </row>
    <row r="5047" spans="1:4">
      <c r="A5047" s="401">
        <v>9841</v>
      </c>
      <c r="B5047" s="411" t="s">
        <v>12181</v>
      </c>
      <c r="C5047" s="401" t="s">
        <v>1002</v>
      </c>
      <c r="D5047" s="600">
        <v>24.85</v>
      </c>
    </row>
    <row r="5048" spans="1:4">
      <c r="A5048" s="401">
        <v>9840</v>
      </c>
      <c r="B5048" s="411" t="s">
        <v>12182</v>
      </c>
      <c r="C5048" s="401" t="s">
        <v>1002</v>
      </c>
      <c r="D5048" s="600">
        <v>50.51</v>
      </c>
    </row>
    <row r="5049" spans="1:4">
      <c r="A5049" s="401">
        <v>20067</v>
      </c>
      <c r="B5049" s="411" t="s">
        <v>12183</v>
      </c>
      <c r="C5049" s="401" t="s">
        <v>1002</v>
      </c>
      <c r="D5049" s="600">
        <v>8.68</v>
      </c>
    </row>
    <row r="5050" spans="1:4">
      <c r="A5050" s="401">
        <v>20068</v>
      </c>
      <c r="B5050" s="411" t="s">
        <v>12184</v>
      </c>
      <c r="C5050" s="401" t="s">
        <v>1002</v>
      </c>
      <c r="D5050" s="600">
        <v>10.82</v>
      </c>
    </row>
    <row r="5051" spans="1:4">
      <c r="A5051" s="401">
        <v>9839</v>
      </c>
      <c r="B5051" s="411" t="s">
        <v>12185</v>
      </c>
      <c r="C5051" s="401" t="s">
        <v>1002</v>
      </c>
      <c r="D5051" s="600">
        <v>14.18</v>
      </c>
    </row>
    <row r="5052" spans="1:4">
      <c r="A5052" s="401">
        <v>9870</v>
      </c>
      <c r="B5052" s="411" t="s">
        <v>12186</v>
      </c>
      <c r="C5052" s="401" t="s">
        <v>1002</v>
      </c>
      <c r="D5052" s="600">
        <v>59.82</v>
      </c>
    </row>
    <row r="5053" spans="1:4">
      <c r="A5053" s="401">
        <v>9867</v>
      </c>
      <c r="B5053" s="411" t="s">
        <v>12187</v>
      </c>
      <c r="C5053" s="401" t="s">
        <v>1002</v>
      </c>
      <c r="D5053" s="600">
        <v>2.2000000000000002</v>
      </c>
    </row>
    <row r="5054" spans="1:4">
      <c r="A5054" s="401">
        <v>9868</v>
      </c>
      <c r="B5054" s="411" t="s">
        <v>12188</v>
      </c>
      <c r="C5054" s="401" t="s">
        <v>1002</v>
      </c>
      <c r="D5054" s="600">
        <v>2.82</v>
      </c>
    </row>
    <row r="5055" spans="1:4">
      <c r="A5055" s="401">
        <v>9869</v>
      </c>
      <c r="B5055" s="411" t="s">
        <v>12189</v>
      </c>
      <c r="C5055" s="401" t="s">
        <v>1002</v>
      </c>
      <c r="D5055" s="600">
        <v>6.33</v>
      </c>
    </row>
    <row r="5056" spans="1:4">
      <c r="A5056" s="401">
        <v>9874</v>
      </c>
      <c r="B5056" s="411" t="s">
        <v>12190</v>
      </c>
      <c r="C5056" s="401" t="s">
        <v>1002</v>
      </c>
      <c r="D5056" s="600">
        <v>9.2200000000000006</v>
      </c>
    </row>
    <row r="5057" spans="1:4">
      <c r="A5057" s="401">
        <v>9875</v>
      </c>
      <c r="B5057" s="411" t="s">
        <v>12191</v>
      </c>
      <c r="C5057" s="401" t="s">
        <v>1002</v>
      </c>
      <c r="D5057" s="600">
        <v>10.56</v>
      </c>
    </row>
    <row r="5058" spans="1:4">
      <c r="A5058" s="401">
        <v>9873</v>
      </c>
      <c r="B5058" s="411" t="s">
        <v>12192</v>
      </c>
      <c r="C5058" s="401" t="s">
        <v>1002</v>
      </c>
      <c r="D5058" s="600">
        <v>17.809999999999999</v>
      </c>
    </row>
    <row r="5059" spans="1:4">
      <c r="A5059" s="401">
        <v>9871</v>
      </c>
      <c r="B5059" s="411" t="s">
        <v>12193</v>
      </c>
      <c r="C5059" s="401" t="s">
        <v>1002</v>
      </c>
      <c r="D5059" s="600">
        <v>29.84</v>
      </c>
    </row>
    <row r="5060" spans="1:4">
      <c r="A5060" s="401">
        <v>9872</v>
      </c>
      <c r="B5060" s="411" t="s">
        <v>12194</v>
      </c>
      <c r="C5060" s="401" t="s">
        <v>1002</v>
      </c>
      <c r="D5060" s="600">
        <v>37.29</v>
      </c>
    </row>
    <row r="5061" spans="1:4">
      <c r="A5061" s="401">
        <v>7667</v>
      </c>
      <c r="B5061" s="411" t="s">
        <v>12195</v>
      </c>
      <c r="C5061" s="401" t="s">
        <v>1002</v>
      </c>
      <c r="D5061" s="600">
        <v>1530.77</v>
      </c>
    </row>
    <row r="5062" spans="1:4">
      <c r="A5062" s="401">
        <v>7660</v>
      </c>
      <c r="B5062" s="411" t="s">
        <v>12196</v>
      </c>
      <c r="C5062" s="401" t="s">
        <v>1002</v>
      </c>
      <c r="D5062" s="600">
        <v>1951.37</v>
      </c>
    </row>
    <row r="5063" spans="1:4">
      <c r="A5063" s="401">
        <v>7676</v>
      </c>
      <c r="B5063" s="411" t="s">
        <v>12197</v>
      </c>
      <c r="C5063" s="401" t="s">
        <v>1002</v>
      </c>
      <c r="D5063" s="600">
        <v>1973.67</v>
      </c>
    </row>
    <row r="5064" spans="1:4">
      <c r="A5064" s="401">
        <v>12426</v>
      </c>
      <c r="B5064" s="411" t="s">
        <v>12198</v>
      </c>
      <c r="C5064" s="401" t="s">
        <v>998</v>
      </c>
      <c r="D5064" s="600">
        <v>22.78</v>
      </c>
    </row>
    <row r="5065" spans="1:4">
      <c r="A5065" s="401">
        <v>12425</v>
      </c>
      <c r="B5065" s="411" t="s">
        <v>12199</v>
      </c>
      <c r="C5065" s="401" t="s">
        <v>998</v>
      </c>
      <c r="D5065" s="600">
        <v>31.3</v>
      </c>
    </row>
    <row r="5066" spans="1:4">
      <c r="A5066" s="401">
        <v>12427</v>
      </c>
      <c r="B5066" s="411" t="s">
        <v>12200</v>
      </c>
      <c r="C5066" s="401" t="s">
        <v>998</v>
      </c>
      <c r="D5066" s="600">
        <v>129.93</v>
      </c>
    </row>
    <row r="5067" spans="1:4">
      <c r="A5067" s="401">
        <v>12428</v>
      </c>
      <c r="B5067" s="411" t="s">
        <v>12201</v>
      </c>
      <c r="C5067" s="401" t="s">
        <v>998</v>
      </c>
      <c r="D5067" s="600">
        <v>83.4</v>
      </c>
    </row>
    <row r="5068" spans="1:4">
      <c r="A5068" s="401">
        <v>12430</v>
      </c>
      <c r="B5068" s="411" t="s">
        <v>12202</v>
      </c>
      <c r="C5068" s="401" t="s">
        <v>998</v>
      </c>
      <c r="D5068" s="600">
        <v>27.93</v>
      </c>
    </row>
    <row r="5069" spans="1:4">
      <c r="A5069" s="401">
        <v>12429</v>
      </c>
      <c r="B5069" s="411" t="s">
        <v>12203</v>
      </c>
      <c r="C5069" s="401" t="s">
        <v>998</v>
      </c>
      <c r="D5069" s="600">
        <v>210.1</v>
      </c>
    </row>
    <row r="5070" spans="1:4">
      <c r="A5070" s="401">
        <v>12431</v>
      </c>
      <c r="B5070" s="411" t="s">
        <v>12204</v>
      </c>
      <c r="C5070" s="401" t="s">
        <v>998</v>
      </c>
      <c r="D5070" s="600">
        <v>357.56</v>
      </c>
    </row>
    <row r="5071" spans="1:4">
      <c r="A5071" s="401">
        <v>12432</v>
      </c>
      <c r="B5071" s="411" t="s">
        <v>12205</v>
      </c>
      <c r="C5071" s="401" t="s">
        <v>998</v>
      </c>
      <c r="D5071" s="600">
        <v>73.540000000000006</v>
      </c>
    </row>
    <row r="5072" spans="1:4">
      <c r="A5072" s="401">
        <v>12434</v>
      </c>
      <c r="B5072" s="411" t="s">
        <v>12206</v>
      </c>
      <c r="C5072" s="401" t="s">
        <v>998</v>
      </c>
      <c r="D5072" s="600">
        <v>23.96</v>
      </c>
    </row>
    <row r="5073" spans="1:4">
      <c r="A5073" s="401">
        <v>12433</v>
      </c>
      <c r="B5073" s="411" t="s">
        <v>12207</v>
      </c>
      <c r="C5073" s="401" t="s">
        <v>998</v>
      </c>
      <c r="D5073" s="600">
        <v>46.81</v>
      </c>
    </row>
    <row r="5074" spans="1:4">
      <c r="A5074" s="401">
        <v>12435</v>
      </c>
      <c r="B5074" s="411" t="s">
        <v>12208</v>
      </c>
      <c r="C5074" s="401" t="s">
        <v>998</v>
      </c>
      <c r="D5074" s="600">
        <v>144.88</v>
      </c>
    </row>
    <row r="5075" spans="1:4">
      <c r="A5075" s="401">
        <v>12437</v>
      </c>
      <c r="B5075" s="411" t="s">
        <v>12209</v>
      </c>
      <c r="C5075" s="401" t="s">
        <v>998</v>
      </c>
      <c r="D5075" s="600">
        <v>117.01</v>
      </c>
    </row>
    <row r="5076" spans="1:4">
      <c r="A5076" s="401">
        <v>12439</v>
      </c>
      <c r="B5076" s="411" t="s">
        <v>12210</v>
      </c>
      <c r="C5076" s="401" t="s">
        <v>998</v>
      </c>
      <c r="D5076" s="600">
        <v>37.549999999999997</v>
      </c>
    </row>
    <row r="5077" spans="1:4">
      <c r="A5077" s="401">
        <v>12438</v>
      </c>
      <c r="B5077" s="411" t="s">
        <v>12211</v>
      </c>
      <c r="C5077" s="401" t="s">
        <v>998</v>
      </c>
      <c r="D5077" s="600">
        <v>211.75</v>
      </c>
    </row>
    <row r="5078" spans="1:4">
      <c r="A5078" s="401">
        <v>12436</v>
      </c>
      <c r="B5078" s="411" t="s">
        <v>12212</v>
      </c>
      <c r="C5078" s="401" t="s">
        <v>998</v>
      </c>
      <c r="D5078" s="600">
        <v>267.49</v>
      </c>
    </row>
    <row r="5079" spans="1:4">
      <c r="A5079" s="401">
        <v>36357</v>
      </c>
      <c r="B5079" s="411" t="s">
        <v>12213</v>
      </c>
      <c r="C5079" s="401" t="s">
        <v>998</v>
      </c>
      <c r="D5079" s="600">
        <v>101.4</v>
      </c>
    </row>
    <row r="5080" spans="1:4">
      <c r="A5080" s="401">
        <v>12424</v>
      </c>
      <c r="B5080" s="411" t="s">
        <v>12214</v>
      </c>
      <c r="C5080" s="401" t="s">
        <v>998</v>
      </c>
      <c r="D5080" s="600">
        <v>48.2</v>
      </c>
    </row>
    <row r="5081" spans="1:4">
      <c r="A5081" s="401">
        <v>12440</v>
      </c>
      <c r="B5081" s="411" t="s">
        <v>12215</v>
      </c>
      <c r="C5081" s="401" t="s">
        <v>998</v>
      </c>
      <c r="D5081" s="600">
        <v>46.59</v>
      </c>
    </row>
    <row r="5082" spans="1:4">
      <c r="A5082" s="401">
        <v>9884</v>
      </c>
      <c r="B5082" s="411" t="s">
        <v>12216</v>
      </c>
      <c r="C5082" s="401" t="s">
        <v>998</v>
      </c>
      <c r="D5082" s="600">
        <v>34.75</v>
      </c>
    </row>
    <row r="5083" spans="1:4">
      <c r="A5083" s="401">
        <v>9888</v>
      </c>
      <c r="B5083" s="411" t="s">
        <v>12217</v>
      </c>
      <c r="C5083" s="401" t="s">
        <v>998</v>
      </c>
      <c r="D5083" s="600">
        <v>27.92</v>
      </c>
    </row>
    <row r="5084" spans="1:4">
      <c r="A5084" s="401">
        <v>9883</v>
      </c>
      <c r="B5084" s="411" t="s">
        <v>12218</v>
      </c>
      <c r="C5084" s="401" t="s">
        <v>998</v>
      </c>
      <c r="D5084" s="600">
        <v>12.18</v>
      </c>
    </row>
    <row r="5085" spans="1:4">
      <c r="A5085" s="401">
        <v>9886</v>
      </c>
      <c r="B5085" s="411" t="s">
        <v>12219</v>
      </c>
      <c r="C5085" s="401" t="s">
        <v>998</v>
      </c>
      <c r="D5085" s="600">
        <v>16.690000000000001</v>
      </c>
    </row>
    <row r="5086" spans="1:4">
      <c r="A5086" s="401">
        <v>9889</v>
      </c>
      <c r="B5086" s="411" t="s">
        <v>12220</v>
      </c>
      <c r="C5086" s="401" t="s">
        <v>998</v>
      </c>
      <c r="D5086" s="600">
        <v>84.54</v>
      </c>
    </row>
    <row r="5087" spans="1:4">
      <c r="A5087" s="401">
        <v>9887</v>
      </c>
      <c r="B5087" s="411" t="s">
        <v>12221</v>
      </c>
      <c r="C5087" s="401" t="s">
        <v>998</v>
      </c>
      <c r="D5087" s="600">
        <v>51.1</v>
      </c>
    </row>
    <row r="5088" spans="1:4">
      <c r="A5088" s="401">
        <v>9885</v>
      </c>
      <c r="B5088" s="411" t="s">
        <v>12222</v>
      </c>
      <c r="C5088" s="401" t="s">
        <v>998</v>
      </c>
      <c r="D5088" s="600">
        <v>16.13</v>
      </c>
    </row>
    <row r="5089" spans="1:4">
      <c r="A5089" s="401">
        <v>9890</v>
      </c>
      <c r="B5089" s="411" t="s">
        <v>12223</v>
      </c>
      <c r="C5089" s="401" t="s">
        <v>998</v>
      </c>
      <c r="D5089" s="600">
        <v>130.97999999999999</v>
      </c>
    </row>
    <row r="5090" spans="1:4">
      <c r="A5090" s="401">
        <v>9891</v>
      </c>
      <c r="B5090" s="411" t="s">
        <v>12224</v>
      </c>
      <c r="C5090" s="401" t="s">
        <v>998</v>
      </c>
      <c r="D5090" s="600">
        <v>183.87</v>
      </c>
    </row>
    <row r="5091" spans="1:4" ht="25.5">
      <c r="A5091" s="401">
        <v>39292</v>
      </c>
      <c r="B5091" s="411" t="s">
        <v>12225</v>
      </c>
      <c r="C5091" s="401" t="s">
        <v>998</v>
      </c>
      <c r="D5091" s="600">
        <v>8.08</v>
      </c>
    </row>
    <row r="5092" spans="1:4" ht="25.5">
      <c r="A5092" s="401">
        <v>39293</v>
      </c>
      <c r="B5092" s="411" t="s">
        <v>12226</v>
      </c>
      <c r="C5092" s="401" t="s">
        <v>998</v>
      </c>
      <c r="D5092" s="600">
        <v>13.04</v>
      </c>
    </row>
    <row r="5093" spans="1:4" ht="25.5">
      <c r="A5093" s="401">
        <v>39294</v>
      </c>
      <c r="B5093" s="411" t="s">
        <v>12227</v>
      </c>
      <c r="C5093" s="401" t="s">
        <v>998</v>
      </c>
      <c r="D5093" s="600">
        <v>13.04</v>
      </c>
    </row>
    <row r="5094" spans="1:4" ht="25.5">
      <c r="A5094" s="401">
        <v>39295</v>
      </c>
      <c r="B5094" s="411" t="s">
        <v>12228</v>
      </c>
      <c r="C5094" s="401" t="s">
        <v>998</v>
      </c>
      <c r="D5094" s="600">
        <v>22.24</v>
      </c>
    </row>
    <row r="5095" spans="1:4">
      <c r="A5095" s="401">
        <v>36313</v>
      </c>
      <c r="B5095" s="411" t="s">
        <v>12229</v>
      </c>
      <c r="C5095" s="401" t="s">
        <v>998</v>
      </c>
      <c r="D5095" s="600">
        <v>24.04</v>
      </c>
    </row>
    <row r="5096" spans="1:4">
      <c r="A5096" s="401">
        <v>36316</v>
      </c>
      <c r="B5096" s="411" t="s">
        <v>12230</v>
      </c>
      <c r="C5096" s="401" t="s">
        <v>998</v>
      </c>
      <c r="D5096" s="600">
        <v>29.15</v>
      </c>
    </row>
    <row r="5097" spans="1:4">
      <c r="A5097" s="401">
        <v>64</v>
      </c>
      <c r="B5097" s="411" t="s">
        <v>12231</v>
      </c>
      <c r="C5097" s="401" t="s">
        <v>998</v>
      </c>
      <c r="D5097" s="600">
        <v>4.34</v>
      </c>
    </row>
    <row r="5098" spans="1:4">
      <c r="A5098" s="401">
        <v>37423</v>
      </c>
      <c r="B5098" s="411" t="s">
        <v>12232</v>
      </c>
      <c r="C5098" s="401" t="s">
        <v>998</v>
      </c>
      <c r="D5098" s="600">
        <v>10.72</v>
      </c>
    </row>
    <row r="5099" spans="1:4">
      <c r="A5099" s="401">
        <v>39296</v>
      </c>
      <c r="B5099" s="411" t="s">
        <v>12233</v>
      </c>
      <c r="C5099" s="401" t="s">
        <v>998</v>
      </c>
      <c r="D5099" s="600">
        <v>6.24</v>
      </c>
    </row>
    <row r="5100" spans="1:4">
      <c r="A5100" s="401">
        <v>39297</v>
      </c>
      <c r="B5100" s="411" t="s">
        <v>12234</v>
      </c>
      <c r="C5100" s="401" t="s">
        <v>998</v>
      </c>
      <c r="D5100" s="600">
        <v>8.93</v>
      </c>
    </row>
    <row r="5101" spans="1:4">
      <c r="A5101" s="401">
        <v>39298</v>
      </c>
      <c r="B5101" s="411" t="s">
        <v>12235</v>
      </c>
      <c r="C5101" s="401" t="s">
        <v>998</v>
      </c>
      <c r="D5101" s="600">
        <v>15.72</v>
      </c>
    </row>
    <row r="5102" spans="1:4">
      <c r="A5102" s="401">
        <v>39299</v>
      </c>
      <c r="B5102" s="411" t="s">
        <v>12236</v>
      </c>
      <c r="C5102" s="401" t="s">
        <v>998</v>
      </c>
      <c r="D5102" s="600">
        <v>26.76</v>
      </c>
    </row>
    <row r="5103" spans="1:4">
      <c r="A5103" s="401">
        <v>9892</v>
      </c>
      <c r="B5103" s="411" t="s">
        <v>12237</v>
      </c>
      <c r="C5103" s="401" t="s">
        <v>998</v>
      </c>
      <c r="D5103" s="600">
        <v>4.79</v>
      </c>
    </row>
    <row r="5104" spans="1:4">
      <c r="A5104" s="401">
        <v>9893</v>
      </c>
      <c r="B5104" s="411" t="s">
        <v>12238</v>
      </c>
      <c r="C5104" s="401" t="s">
        <v>998</v>
      </c>
      <c r="D5104" s="600">
        <v>65.069999999999993</v>
      </c>
    </row>
    <row r="5105" spans="1:4">
      <c r="A5105" s="401">
        <v>9901</v>
      </c>
      <c r="B5105" s="411" t="s">
        <v>12239</v>
      </c>
      <c r="C5105" s="401" t="s">
        <v>998</v>
      </c>
      <c r="D5105" s="600">
        <v>28.88</v>
      </c>
    </row>
    <row r="5106" spans="1:4">
      <c r="A5106" s="401">
        <v>9896</v>
      </c>
      <c r="B5106" s="411" t="s">
        <v>12240</v>
      </c>
      <c r="C5106" s="401" t="s">
        <v>998</v>
      </c>
      <c r="D5106" s="600">
        <v>26.02</v>
      </c>
    </row>
    <row r="5107" spans="1:4">
      <c r="A5107" s="401">
        <v>9900</v>
      </c>
      <c r="B5107" s="411" t="s">
        <v>12241</v>
      </c>
      <c r="C5107" s="401" t="s">
        <v>998</v>
      </c>
      <c r="D5107" s="600">
        <v>15.79</v>
      </c>
    </row>
    <row r="5108" spans="1:4">
      <c r="A5108" s="401">
        <v>9898</v>
      </c>
      <c r="B5108" s="411" t="s">
        <v>12242</v>
      </c>
      <c r="C5108" s="401" t="s">
        <v>998</v>
      </c>
      <c r="D5108" s="600">
        <v>133.81</v>
      </c>
    </row>
    <row r="5109" spans="1:4">
      <c r="A5109" s="401">
        <v>9899</v>
      </c>
      <c r="B5109" s="411" t="s">
        <v>12243</v>
      </c>
      <c r="C5109" s="401" t="s">
        <v>998</v>
      </c>
      <c r="D5109" s="600">
        <v>8.6199999999999992</v>
      </c>
    </row>
    <row r="5110" spans="1:4">
      <c r="A5110" s="401">
        <v>9902</v>
      </c>
      <c r="B5110" s="411" t="s">
        <v>12244</v>
      </c>
      <c r="C5110" s="401" t="s">
        <v>998</v>
      </c>
      <c r="D5110" s="600">
        <v>169.44</v>
      </c>
    </row>
    <row r="5111" spans="1:4">
      <c r="A5111" s="401">
        <v>9908</v>
      </c>
      <c r="B5111" s="411" t="s">
        <v>12245</v>
      </c>
      <c r="C5111" s="401" t="s">
        <v>998</v>
      </c>
      <c r="D5111" s="600">
        <v>337.85</v>
      </c>
    </row>
    <row r="5112" spans="1:4">
      <c r="A5112" s="401">
        <v>9905</v>
      </c>
      <c r="B5112" s="411" t="s">
        <v>12246</v>
      </c>
      <c r="C5112" s="401" t="s">
        <v>998</v>
      </c>
      <c r="D5112" s="600">
        <v>5.64</v>
      </c>
    </row>
    <row r="5113" spans="1:4">
      <c r="A5113" s="401">
        <v>9906</v>
      </c>
      <c r="B5113" s="411" t="s">
        <v>12247</v>
      </c>
      <c r="C5113" s="401" t="s">
        <v>998</v>
      </c>
      <c r="D5113" s="600">
        <v>6.76</v>
      </c>
    </row>
    <row r="5114" spans="1:4">
      <c r="A5114" s="401">
        <v>9895</v>
      </c>
      <c r="B5114" s="411" t="s">
        <v>12248</v>
      </c>
      <c r="C5114" s="401" t="s">
        <v>998</v>
      </c>
      <c r="D5114" s="600">
        <v>11.09</v>
      </c>
    </row>
    <row r="5115" spans="1:4">
      <c r="A5115" s="401">
        <v>9894</v>
      </c>
      <c r="B5115" s="411" t="s">
        <v>12249</v>
      </c>
      <c r="C5115" s="401" t="s">
        <v>998</v>
      </c>
      <c r="D5115" s="600">
        <v>21.62</v>
      </c>
    </row>
    <row r="5116" spans="1:4">
      <c r="A5116" s="401">
        <v>9897</v>
      </c>
      <c r="B5116" s="411" t="s">
        <v>12250</v>
      </c>
      <c r="C5116" s="401" t="s">
        <v>998</v>
      </c>
      <c r="D5116" s="600">
        <v>23.41</v>
      </c>
    </row>
    <row r="5117" spans="1:4">
      <c r="A5117" s="401">
        <v>9910</v>
      </c>
      <c r="B5117" s="411" t="s">
        <v>12251</v>
      </c>
      <c r="C5117" s="401" t="s">
        <v>998</v>
      </c>
      <c r="D5117" s="600">
        <v>58.92</v>
      </c>
    </row>
    <row r="5118" spans="1:4">
      <c r="A5118" s="401">
        <v>9909</v>
      </c>
      <c r="B5118" s="411" t="s">
        <v>12252</v>
      </c>
      <c r="C5118" s="401" t="s">
        <v>998</v>
      </c>
      <c r="D5118" s="600">
        <v>118.89</v>
      </c>
    </row>
    <row r="5119" spans="1:4">
      <c r="A5119" s="401">
        <v>9907</v>
      </c>
      <c r="B5119" s="411" t="s">
        <v>12253</v>
      </c>
      <c r="C5119" s="401" t="s">
        <v>998</v>
      </c>
      <c r="D5119" s="600">
        <v>182.81</v>
      </c>
    </row>
    <row r="5120" spans="1:4" ht="25.5">
      <c r="A5120" s="401">
        <v>20973</v>
      </c>
      <c r="B5120" s="411" t="s">
        <v>12254</v>
      </c>
      <c r="C5120" s="401" t="s">
        <v>998</v>
      </c>
      <c r="D5120" s="600">
        <v>74.61</v>
      </c>
    </row>
    <row r="5121" spans="1:4" ht="25.5">
      <c r="A5121" s="401">
        <v>20974</v>
      </c>
      <c r="B5121" s="411" t="s">
        <v>12255</v>
      </c>
      <c r="C5121" s="401" t="s">
        <v>998</v>
      </c>
      <c r="D5121" s="600">
        <v>106.75</v>
      </c>
    </row>
    <row r="5122" spans="1:4">
      <c r="A5122" s="401">
        <v>37989</v>
      </c>
      <c r="B5122" s="411" t="s">
        <v>12256</v>
      </c>
      <c r="C5122" s="401" t="s">
        <v>998</v>
      </c>
      <c r="D5122" s="600">
        <v>14.05</v>
      </c>
    </row>
    <row r="5123" spans="1:4">
      <c r="A5123" s="401">
        <v>37990</v>
      </c>
      <c r="B5123" s="411" t="s">
        <v>12257</v>
      </c>
      <c r="C5123" s="401" t="s">
        <v>998</v>
      </c>
      <c r="D5123" s="600">
        <v>16.329999999999998</v>
      </c>
    </row>
    <row r="5124" spans="1:4">
      <c r="A5124" s="401">
        <v>37991</v>
      </c>
      <c r="B5124" s="411" t="s">
        <v>12258</v>
      </c>
      <c r="C5124" s="401" t="s">
        <v>998</v>
      </c>
      <c r="D5124" s="600">
        <v>25.84</v>
      </c>
    </row>
    <row r="5125" spans="1:4">
      <c r="A5125" s="401">
        <v>37992</v>
      </c>
      <c r="B5125" s="411" t="s">
        <v>12259</v>
      </c>
      <c r="C5125" s="401" t="s">
        <v>998</v>
      </c>
      <c r="D5125" s="600">
        <v>39.46</v>
      </c>
    </row>
    <row r="5126" spans="1:4">
      <c r="A5126" s="401">
        <v>37993</v>
      </c>
      <c r="B5126" s="411" t="s">
        <v>12260</v>
      </c>
      <c r="C5126" s="401" t="s">
        <v>998</v>
      </c>
      <c r="D5126" s="600">
        <v>58.57</v>
      </c>
    </row>
    <row r="5127" spans="1:4">
      <c r="A5127" s="401">
        <v>37994</v>
      </c>
      <c r="B5127" s="411" t="s">
        <v>12261</v>
      </c>
      <c r="C5127" s="401" t="s">
        <v>998</v>
      </c>
      <c r="D5127" s="600">
        <v>140.72999999999999</v>
      </c>
    </row>
    <row r="5128" spans="1:4">
      <c r="A5128" s="401">
        <v>37995</v>
      </c>
      <c r="B5128" s="411" t="s">
        <v>12262</v>
      </c>
      <c r="C5128" s="401" t="s">
        <v>998</v>
      </c>
      <c r="D5128" s="600">
        <v>204.26</v>
      </c>
    </row>
    <row r="5129" spans="1:4">
      <c r="A5129" s="401">
        <v>37996</v>
      </c>
      <c r="B5129" s="411" t="s">
        <v>12263</v>
      </c>
      <c r="C5129" s="401" t="s">
        <v>998</v>
      </c>
      <c r="D5129" s="600">
        <v>301.17</v>
      </c>
    </row>
    <row r="5130" spans="1:4">
      <c r="A5130" s="401">
        <v>13883</v>
      </c>
      <c r="B5130" s="411" t="s">
        <v>12264</v>
      </c>
      <c r="C5130" s="401" t="s">
        <v>998</v>
      </c>
      <c r="D5130" s="600">
        <v>83655.820000000007</v>
      </c>
    </row>
    <row r="5131" spans="1:4">
      <c r="A5131" s="401">
        <v>38604</v>
      </c>
      <c r="B5131" s="411" t="s">
        <v>12265</v>
      </c>
      <c r="C5131" s="401" t="s">
        <v>998</v>
      </c>
      <c r="D5131" s="600">
        <v>104192.22</v>
      </c>
    </row>
    <row r="5132" spans="1:4" ht="25.5">
      <c r="A5132" s="401">
        <v>10601</v>
      </c>
      <c r="B5132" s="411" t="s">
        <v>12266</v>
      </c>
      <c r="C5132" s="401" t="s">
        <v>998</v>
      </c>
      <c r="D5132" s="600">
        <v>2026746.48</v>
      </c>
    </row>
    <row r="5133" spans="1:4">
      <c r="A5133" s="401">
        <v>26034</v>
      </c>
      <c r="B5133" s="411" t="s">
        <v>12267</v>
      </c>
      <c r="C5133" s="401" t="s">
        <v>998</v>
      </c>
      <c r="D5133" s="600">
        <v>5336351.95</v>
      </c>
    </row>
    <row r="5134" spans="1:4">
      <c r="A5134" s="401">
        <v>13894</v>
      </c>
      <c r="B5134" s="411" t="s">
        <v>12268</v>
      </c>
      <c r="C5134" s="401" t="s">
        <v>998</v>
      </c>
      <c r="D5134" s="600">
        <v>392649.25</v>
      </c>
    </row>
    <row r="5135" spans="1:4">
      <c r="A5135" s="401">
        <v>13895</v>
      </c>
      <c r="B5135" s="411" t="s">
        <v>12269</v>
      </c>
      <c r="C5135" s="401" t="s">
        <v>998</v>
      </c>
      <c r="D5135" s="600">
        <v>527982.35</v>
      </c>
    </row>
    <row r="5136" spans="1:4">
      <c r="A5136" s="401">
        <v>13892</v>
      </c>
      <c r="B5136" s="411" t="s">
        <v>12270</v>
      </c>
      <c r="C5136" s="401" t="s">
        <v>998</v>
      </c>
      <c r="D5136" s="600">
        <v>647029.46</v>
      </c>
    </row>
    <row r="5137" spans="1:4">
      <c r="A5137" s="401">
        <v>9914</v>
      </c>
      <c r="B5137" s="411" t="s">
        <v>12271</v>
      </c>
      <c r="C5137" s="401" t="s">
        <v>998</v>
      </c>
      <c r="D5137" s="600">
        <v>700000</v>
      </c>
    </row>
    <row r="5138" spans="1:4" ht="38.25">
      <c r="A5138" s="401">
        <v>36485</v>
      </c>
      <c r="B5138" s="411" t="s">
        <v>12272</v>
      </c>
      <c r="C5138" s="401" t="s">
        <v>998</v>
      </c>
      <c r="D5138" s="600">
        <v>424438.89</v>
      </c>
    </row>
    <row r="5139" spans="1:4" ht="25.5">
      <c r="A5139" s="401">
        <v>9912</v>
      </c>
      <c r="B5139" s="411" t="s">
        <v>12273</v>
      </c>
      <c r="C5139" s="401" t="s">
        <v>998</v>
      </c>
      <c r="D5139" s="600">
        <v>1650000</v>
      </c>
    </row>
    <row r="5140" spans="1:4" ht="25.5">
      <c r="A5140" s="401">
        <v>9921</v>
      </c>
      <c r="B5140" s="411" t="s">
        <v>12274</v>
      </c>
      <c r="C5140" s="401" t="s">
        <v>998</v>
      </c>
      <c r="D5140" s="600">
        <v>851148.04</v>
      </c>
    </row>
    <row r="5141" spans="1:4" ht="25.5">
      <c r="A5141" s="401">
        <v>21112</v>
      </c>
      <c r="B5141" s="411" t="s">
        <v>12275</v>
      </c>
      <c r="C5141" s="401" t="s">
        <v>998</v>
      </c>
      <c r="D5141" s="600">
        <v>137.78</v>
      </c>
    </row>
    <row r="5142" spans="1:4">
      <c r="A5142" s="401">
        <v>10228</v>
      </c>
      <c r="B5142" s="411" t="s">
        <v>12276</v>
      </c>
      <c r="C5142" s="401" t="s">
        <v>998</v>
      </c>
      <c r="D5142" s="600">
        <v>160.06</v>
      </c>
    </row>
    <row r="5143" spans="1:4">
      <c r="A5143" s="401">
        <v>11781</v>
      </c>
      <c r="B5143" s="411" t="s">
        <v>12277</v>
      </c>
      <c r="C5143" s="401" t="s">
        <v>998</v>
      </c>
      <c r="D5143" s="600">
        <v>129.66</v>
      </c>
    </row>
    <row r="5144" spans="1:4">
      <c r="A5144" s="401">
        <v>11746</v>
      </c>
      <c r="B5144" s="411" t="s">
        <v>12278</v>
      </c>
      <c r="C5144" s="401" t="s">
        <v>998</v>
      </c>
      <c r="D5144" s="600">
        <v>44.48</v>
      </c>
    </row>
    <row r="5145" spans="1:4">
      <c r="A5145" s="401">
        <v>11751</v>
      </c>
      <c r="B5145" s="411" t="s">
        <v>12279</v>
      </c>
      <c r="C5145" s="401" t="s">
        <v>998</v>
      </c>
      <c r="D5145" s="600">
        <v>79.89</v>
      </c>
    </row>
    <row r="5146" spans="1:4">
      <c r="A5146" s="401">
        <v>11750</v>
      </c>
      <c r="B5146" s="411" t="s">
        <v>12280</v>
      </c>
      <c r="C5146" s="401" t="s">
        <v>998</v>
      </c>
      <c r="D5146" s="600">
        <v>66.290000000000006</v>
      </c>
    </row>
    <row r="5147" spans="1:4">
      <c r="A5147" s="401">
        <v>11748</v>
      </c>
      <c r="B5147" s="411" t="s">
        <v>12281</v>
      </c>
      <c r="C5147" s="401" t="s">
        <v>998</v>
      </c>
      <c r="D5147" s="600">
        <v>28.54</v>
      </c>
    </row>
    <row r="5148" spans="1:4">
      <c r="A5148" s="401">
        <v>11747</v>
      </c>
      <c r="B5148" s="411" t="s">
        <v>12282</v>
      </c>
      <c r="C5148" s="401" t="s">
        <v>998</v>
      </c>
      <c r="D5148" s="600">
        <v>123.19</v>
      </c>
    </row>
    <row r="5149" spans="1:4">
      <c r="A5149" s="401">
        <v>11749</v>
      </c>
      <c r="B5149" s="411" t="s">
        <v>12283</v>
      </c>
      <c r="C5149" s="401" t="s">
        <v>998</v>
      </c>
      <c r="D5149" s="600">
        <v>32.94</v>
      </c>
    </row>
    <row r="5150" spans="1:4" ht="25.5">
      <c r="A5150" s="401">
        <v>10236</v>
      </c>
      <c r="B5150" s="411" t="s">
        <v>12284</v>
      </c>
      <c r="C5150" s="401" t="s">
        <v>998</v>
      </c>
      <c r="D5150" s="600">
        <v>62.04</v>
      </c>
    </row>
    <row r="5151" spans="1:4" ht="25.5">
      <c r="A5151" s="401">
        <v>10233</v>
      </c>
      <c r="B5151" s="411" t="s">
        <v>12285</v>
      </c>
      <c r="C5151" s="401" t="s">
        <v>998</v>
      </c>
      <c r="D5151" s="600">
        <v>58.13</v>
      </c>
    </row>
    <row r="5152" spans="1:4" ht="25.5">
      <c r="A5152" s="401">
        <v>10234</v>
      </c>
      <c r="B5152" s="411" t="s">
        <v>12286</v>
      </c>
      <c r="C5152" s="401" t="s">
        <v>998</v>
      </c>
      <c r="D5152" s="600">
        <v>36.619999999999997</v>
      </c>
    </row>
    <row r="5153" spans="1:4" ht="25.5">
      <c r="A5153" s="401">
        <v>10231</v>
      </c>
      <c r="B5153" s="411" t="s">
        <v>12287</v>
      </c>
      <c r="C5153" s="401" t="s">
        <v>998</v>
      </c>
      <c r="D5153" s="600">
        <v>167.93</v>
      </c>
    </row>
    <row r="5154" spans="1:4" ht="25.5">
      <c r="A5154" s="401">
        <v>10232</v>
      </c>
      <c r="B5154" s="411" t="s">
        <v>12288</v>
      </c>
      <c r="C5154" s="401" t="s">
        <v>998</v>
      </c>
      <c r="D5154" s="600">
        <v>93.97</v>
      </c>
    </row>
    <row r="5155" spans="1:4" ht="25.5">
      <c r="A5155" s="401">
        <v>10229</v>
      </c>
      <c r="B5155" s="411" t="s">
        <v>12289</v>
      </c>
      <c r="C5155" s="401" t="s">
        <v>998</v>
      </c>
      <c r="D5155" s="600">
        <v>33.119999999999997</v>
      </c>
    </row>
    <row r="5156" spans="1:4" ht="25.5">
      <c r="A5156" s="401">
        <v>10235</v>
      </c>
      <c r="B5156" s="411" t="s">
        <v>12290</v>
      </c>
      <c r="C5156" s="401" t="s">
        <v>998</v>
      </c>
      <c r="D5156" s="600">
        <v>230.22</v>
      </c>
    </row>
    <row r="5157" spans="1:4" ht="25.5">
      <c r="A5157" s="401">
        <v>10230</v>
      </c>
      <c r="B5157" s="411" t="s">
        <v>12291</v>
      </c>
      <c r="C5157" s="401" t="s">
        <v>998</v>
      </c>
      <c r="D5157" s="600">
        <v>405.17</v>
      </c>
    </row>
    <row r="5158" spans="1:4" ht="25.5">
      <c r="A5158" s="401">
        <v>10409</v>
      </c>
      <c r="B5158" s="411" t="s">
        <v>12292</v>
      </c>
      <c r="C5158" s="401" t="s">
        <v>998</v>
      </c>
      <c r="D5158" s="600">
        <v>120.37</v>
      </c>
    </row>
    <row r="5159" spans="1:4" ht="25.5">
      <c r="A5159" s="401">
        <v>10411</v>
      </c>
      <c r="B5159" s="411" t="s">
        <v>12293</v>
      </c>
      <c r="C5159" s="401" t="s">
        <v>998</v>
      </c>
      <c r="D5159" s="600">
        <v>107.71</v>
      </c>
    </row>
    <row r="5160" spans="1:4" ht="25.5">
      <c r="A5160" s="401">
        <v>10404</v>
      </c>
      <c r="B5160" s="411" t="s">
        <v>12294</v>
      </c>
      <c r="C5160" s="401" t="s">
        <v>998</v>
      </c>
      <c r="D5160" s="600">
        <v>43.68</v>
      </c>
    </row>
    <row r="5161" spans="1:4" ht="25.5">
      <c r="A5161" s="401">
        <v>10410</v>
      </c>
      <c r="B5161" s="411" t="s">
        <v>12295</v>
      </c>
      <c r="C5161" s="401" t="s">
        <v>998</v>
      </c>
      <c r="D5161" s="600">
        <v>71.95</v>
      </c>
    </row>
    <row r="5162" spans="1:4" ht="25.5">
      <c r="A5162" s="401">
        <v>10405</v>
      </c>
      <c r="B5162" s="411" t="s">
        <v>12296</v>
      </c>
      <c r="C5162" s="401" t="s">
        <v>998</v>
      </c>
      <c r="D5162" s="600">
        <v>241.16</v>
      </c>
    </row>
    <row r="5163" spans="1:4" ht="25.5">
      <c r="A5163" s="401">
        <v>10408</v>
      </c>
      <c r="B5163" s="411" t="s">
        <v>12297</v>
      </c>
      <c r="C5163" s="401" t="s">
        <v>998</v>
      </c>
      <c r="D5163" s="600">
        <v>168.64</v>
      </c>
    </row>
    <row r="5164" spans="1:4" ht="25.5">
      <c r="A5164" s="401">
        <v>10412</v>
      </c>
      <c r="B5164" s="411" t="s">
        <v>12298</v>
      </c>
      <c r="C5164" s="401" t="s">
        <v>998</v>
      </c>
      <c r="D5164" s="600">
        <v>52.93</v>
      </c>
    </row>
    <row r="5165" spans="1:4" ht="25.5">
      <c r="A5165" s="401">
        <v>10406</v>
      </c>
      <c r="B5165" s="411" t="s">
        <v>12299</v>
      </c>
      <c r="C5165" s="401" t="s">
        <v>998</v>
      </c>
      <c r="D5165" s="600">
        <v>333.1</v>
      </c>
    </row>
    <row r="5166" spans="1:4" ht="25.5">
      <c r="A5166" s="401">
        <v>10407</v>
      </c>
      <c r="B5166" s="411" t="s">
        <v>12300</v>
      </c>
      <c r="C5166" s="401" t="s">
        <v>998</v>
      </c>
      <c r="D5166" s="600">
        <v>516.63</v>
      </c>
    </row>
    <row r="5167" spans="1:4" ht="25.5">
      <c r="A5167" s="401">
        <v>10416</v>
      </c>
      <c r="B5167" s="411" t="s">
        <v>12301</v>
      </c>
      <c r="C5167" s="401" t="s">
        <v>998</v>
      </c>
      <c r="D5167" s="600">
        <v>64.08</v>
      </c>
    </row>
    <row r="5168" spans="1:4" ht="25.5">
      <c r="A5168" s="401">
        <v>10419</v>
      </c>
      <c r="B5168" s="411" t="s">
        <v>12302</v>
      </c>
      <c r="C5168" s="401" t="s">
        <v>998</v>
      </c>
      <c r="D5168" s="600">
        <v>55.62</v>
      </c>
    </row>
    <row r="5169" spans="1:4" ht="25.5">
      <c r="A5169" s="401">
        <v>21092</v>
      </c>
      <c r="B5169" s="411" t="s">
        <v>12303</v>
      </c>
      <c r="C5169" s="401" t="s">
        <v>998</v>
      </c>
      <c r="D5169" s="600">
        <v>31.8</v>
      </c>
    </row>
    <row r="5170" spans="1:4" ht="25.5">
      <c r="A5170" s="401">
        <v>10418</v>
      </c>
      <c r="B5170" s="411" t="s">
        <v>12304</v>
      </c>
      <c r="C5170" s="401" t="s">
        <v>998</v>
      </c>
      <c r="D5170" s="600">
        <v>37.07</v>
      </c>
    </row>
    <row r="5171" spans="1:4" ht="25.5">
      <c r="A5171" s="401">
        <v>12657</v>
      </c>
      <c r="B5171" s="411" t="s">
        <v>12305</v>
      </c>
      <c r="C5171" s="401" t="s">
        <v>998</v>
      </c>
      <c r="D5171" s="600">
        <v>149.62</v>
      </c>
    </row>
    <row r="5172" spans="1:4" ht="25.5">
      <c r="A5172" s="401">
        <v>10417</v>
      </c>
      <c r="B5172" s="411" t="s">
        <v>12306</v>
      </c>
      <c r="C5172" s="401" t="s">
        <v>998</v>
      </c>
      <c r="D5172" s="600">
        <v>93.37</v>
      </c>
    </row>
    <row r="5173" spans="1:4" ht="25.5">
      <c r="A5173" s="401">
        <v>10413</v>
      </c>
      <c r="B5173" s="411" t="s">
        <v>12307</v>
      </c>
      <c r="C5173" s="401" t="s">
        <v>998</v>
      </c>
      <c r="D5173" s="600">
        <v>33.93</v>
      </c>
    </row>
    <row r="5174" spans="1:4" ht="25.5">
      <c r="A5174" s="401">
        <v>10414</v>
      </c>
      <c r="B5174" s="411" t="s">
        <v>12308</v>
      </c>
      <c r="C5174" s="401" t="s">
        <v>998</v>
      </c>
      <c r="D5174" s="600">
        <v>204.31</v>
      </c>
    </row>
    <row r="5175" spans="1:4" ht="25.5">
      <c r="A5175" s="401">
        <v>10415</v>
      </c>
      <c r="B5175" s="411" t="s">
        <v>12309</v>
      </c>
      <c r="C5175" s="401" t="s">
        <v>998</v>
      </c>
      <c r="D5175" s="600">
        <v>354.6</v>
      </c>
    </row>
    <row r="5176" spans="1:4">
      <c r="A5176" s="401">
        <v>38643</v>
      </c>
      <c r="B5176" s="411" t="s">
        <v>12310</v>
      </c>
      <c r="C5176" s="401" t="s">
        <v>998</v>
      </c>
      <c r="D5176" s="600">
        <v>37.340000000000003</v>
      </c>
    </row>
    <row r="5177" spans="1:4">
      <c r="A5177" s="401">
        <v>6157</v>
      </c>
      <c r="B5177" s="411" t="s">
        <v>12311</v>
      </c>
      <c r="C5177" s="401" t="s">
        <v>998</v>
      </c>
      <c r="D5177" s="600">
        <v>51.01</v>
      </c>
    </row>
    <row r="5178" spans="1:4">
      <c r="A5178" s="401">
        <v>37588</v>
      </c>
      <c r="B5178" s="411" t="s">
        <v>12312</v>
      </c>
      <c r="C5178" s="401" t="s">
        <v>998</v>
      </c>
      <c r="D5178" s="600">
        <v>21.46</v>
      </c>
    </row>
    <row r="5179" spans="1:4">
      <c r="A5179" s="401">
        <v>6152</v>
      </c>
      <c r="B5179" s="411" t="s">
        <v>12313</v>
      </c>
      <c r="C5179" s="401" t="s">
        <v>998</v>
      </c>
      <c r="D5179" s="600">
        <v>3.06</v>
      </c>
    </row>
    <row r="5180" spans="1:4">
      <c r="A5180" s="401">
        <v>6158</v>
      </c>
      <c r="B5180" s="411" t="s">
        <v>12314</v>
      </c>
      <c r="C5180" s="401" t="s">
        <v>998</v>
      </c>
      <c r="D5180" s="600">
        <v>3.7</v>
      </c>
    </row>
    <row r="5181" spans="1:4">
      <c r="A5181" s="401">
        <v>6153</v>
      </c>
      <c r="B5181" s="411" t="s">
        <v>12315</v>
      </c>
      <c r="C5181" s="401" t="s">
        <v>998</v>
      </c>
      <c r="D5181" s="600">
        <v>2.88</v>
      </c>
    </row>
    <row r="5182" spans="1:4">
      <c r="A5182" s="401">
        <v>6156</v>
      </c>
      <c r="B5182" s="411" t="s">
        <v>12316</v>
      </c>
      <c r="C5182" s="401" t="s">
        <v>998</v>
      </c>
      <c r="D5182" s="600">
        <v>3.65</v>
      </c>
    </row>
    <row r="5183" spans="1:4">
      <c r="A5183" s="401">
        <v>6154</v>
      </c>
      <c r="B5183" s="411" t="s">
        <v>12317</v>
      </c>
      <c r="C5183" s="401" t="s">
        <v>998</v>
      </c>
      <c r="D5183" s="600">
        <v>6.88</v>
      </c>
    </row>
    <row r="5184" spans="1:4" ht="25.5">
      <c r="A5184" s="401">
        <v>6155</v>
      </c>
      <c r="B5184" s="411" t="s">
        <v>12318</v>
      </c>
      <c r="C5184" s="401" t="s">
        <v>998</v>
      </c>
      <c r="D5184" s="600">
        <v>14.21</v>
      </c>
    </row>
    <row r="5185" spans="1:4">
      <c r="A5185" s="401">
        <v>38108</v>
      </c>
      <c r="B5185" s="411" t="s">
        <v>12319</v>
      </c>
      <c r="C5185" s="401" t="s">
        <v>998</v>
      </c>
      <c r="D5185" s="600">
        <v>28.69</v>
      </c>
    </row>
    <row r="5186" spans="1:4" ht="25.5">
      <c r="A5186" s="401">
        <v>38087</v>
      </c>
      <c r="B5186" s="411" t="s">
        <v>12320</v>
      </c>
      <c r="C5186" s="401" t="s">
        <v>998</v>
      </c>
      <c r="D5186" s="600">
        <v>36.909999999999997</v>
      </c>
    </row>
    <row r="5187" spans="1:4">
      <c r="A5187" s="401">
        <v>38109</v>
      </c>
      <c r="B5187" s="411" t="s">
        <v>12321</v>
      </c>
      <c r="C5187" s="401" t="s">
        <v>998</v>
      </c>
      <c r="D5187" s="600">
        <v>45.86</v>
      </c>
    </row>
    <row r="5188" spans="1:4" ht="25.5">
      <c r="A5188" s="401">
        <v>38088</v>
      </c>
      <c r="B5188" s="411" t="s">
        <v>12322</v>
      </c>
      <c r="C5188" s="401" t="s">
        <v>998</v>
      </c>
      <c r="D5188" s="600">
        <v>48.22</v>
      </c>
    </row>
    <row r="5189" spans="1:4">
      <c r="A5189" s="401">
        <v>38110</v>
      </c>
      <c r="B5189" s="411" t="s">
        <v>12323</v>
      </c>
      <c r="C5189" s="401" t="s">
        <v>998</v>
      </c>
      <c r="D5189" s="600">
        <v>17.64</v>
      </c>
    </row>
    <row r="5190" spans="1:4" ht="38.25">
      <c r="A5190" s="401">
        <v>38089</v>
      </c>
      <c r="B5190" s="411" t="s">
        <v>12324</v>
      </c>
      <c r="C5190" s="401" t="s">
        <v>998</v>
      </c>
      <c r="D5190" s="600">
        <v>30.74</v>
      </c>
    </row>
    <row r="5191" spans="1:4">
      <c r="A5191" s="401">
        <v>38111</v>
      </c>
      <c r="B5191" s="411" t="s">
        <v>12325</v>
      </c>
      <c r="C5191" s="401" t="s">
        <v>998</v>
      </c>
      <c r="D5191" s="600">
        <v>19.73</v>
      </c>
    </row>
    <row r="5192" spans="1:4" ht="38.25">
      <c r="A5192" s="401">
        <v>38090</v>
      </c>
      <c r="B5192" s="411" t="s">
        <v>12326</v>
      </c>
      <c r="C5192" s="401" t="s">
        <v>998</v>
      </c>
      <c r="D5192" s="600">
        <v>31.77</v>
      </c>
    </row>
    <row r="5193" spans="1:4">
      <c r="A5193" s="401">
        <v>11786</v>
      </c>
      <c r="B5193" s="411" t="s">
        <v>12327</v>
      </c>
      <c r="C5193" s="401" t="s">
        <v>998</v>
      </c>
      <c r="D5193" s="600">
        <v>237.62</v>
      </c>
    </row>
    <row r="5194" spans="1:4" ht="25.5">
      <c r="A5194" s="401">
        <v>13726</v>
      </c>
      <c r="B5194" s="411" t="s">
        <v>12328</v>
      </c>
      <c r="C5194" s="401" t="s">
        <v>998</v>
      </c>
      <c r="D5194" s="600">
        <v>35934.71</v>
      </c>
    </row>
    <row r="5195" spans="1:4">
      <c r="A5195" s="401">
        <v>38400</v>
      </c>
      <c r="B5195" s="411" t="s">
        <v>12329</v>
      </c>
      <c r="C5195" s="401" t="s">
        <v>998</v>
      </c>
      <c r="D5195" s="600">
        <v>16.91</v>
      </c>
    </row>
    <row r="5196" spans="1:4" ht="25.5">
      <c r="A5196" s="401">
        <v>12627</v>
      </c>
      <c r="B5196" s="411" t="s">
        <v>12330</v>
      </c>
      <c r="C5196" s="401" t="s">
        <v>998</v>
      </c>
      <c r="D5196" s="600">
        <v>0.36</v>
      </c>
    </row>
    <row r="5197" spans="1:4">
      <c r="A5197" s="401">
        <v>6138</v>
      </c>
      <c r="B5197" s="411" t="s">
        <v>12331</v>
      </c>
      <c r="C5197" s="401" t="s">
        <v>998</v>
      </c>
      <c r="D5197" s="600">
        <v>1.76</v>
      </c>
    </row>
    <row r="5198" spans="1:4">
      <c r="A5198" s="401">
        <v>39996</v>
      </c>
      <c r="B5198" s="411" t="s">
        <v>12332</v>
      </c>
      <c r="C5198" s="401" t="s">
        <v>1002</v>
      </c>
      <c r="D5198" s="600">
        <v>2.4</v>
      </c>
    </row>
    <row r="5199" spans="1:4" ht="25.5">
      <c r="A5199" s="401">
        <v>10478</v>
      </c>
      <c r="B5199" s="411" t="s">
        <v>12333</v>
      </c>
      <c r="C5199" s="401" t="s">
        <v>997</v>
      </c>
      <c r="D5199" s="600">
        <v>24.61</v>
      </c>
    </row>
    <row r="5200" spans="1:4">
      <c r="A5200" s="401">
        <v>10475</v>
      </c>
      <c r="B5200" s="411" t="s">
        <v>12334</v>
      </c>
      <c r="C5200" s="401" t="s">
        <v>997</v>
      </c>
      <c r="D5200" s="600">
        <v>21.65</v>
      </c>
    </row>
    <row r="5201" spans="1:4" ht="25.5">
      <c r="A5201" s="401">
        <v>10481</v>
      </c>
      <c r="B5201" s="411" t="s">
        <v>12335</v>
      </c>
      <c r="C5201" s="401" t="s">
        <v>997</v>
      </c>
      <c r="D5201" s="600">
        <v>23.61</v>
      </c>
    </row>
    <row r="5202" spans="1:4">
      <c r="A5202" s="401">
        <v>4031</v>
      </c>
      <c r="B5202" s="411" t="s">
        <v>12336</v>
      </c>
      <c r="C5202" s="401" t="s">
        <v>1003</v>
      </c>
      <c r="D5202" s="600">
        <v>22.94</v>
      </c>
    </row>
    <row r="5203" spans="1:4">
      <c r="A5203" s="401">
        <v>4030</v>
      </c>
      <c r="B5203" s="411" t="s">
        <v>12337</v>
      </c>
      <c r="C5203" s="401" t="s">
        <v>1003</v>
      </c>
      <c r="D5203" s="600">
        <v>4.88</v>
      </c>
    </row>
    <row r="5204" spans="1:4">
      <c r="A5204" s="401">
        <v>39399</v>
      </c>
      <c r="B5204" s="411" t="s">
        <v>12338</v>
      </c>
      <c r="C5204" s="401" t="s">
        <v>998</v>
      </c>
      <c r="D5204" s="600">
        <v>1029.28</v>
      </c>
    </row>
    <row r="5205" spans="1:4">
      <c r="A5205" s="401">
        <v>39400</v>
      </c>
      <c r="B5205" s="411" t="s">
        <v>12339</v>
      </c>
      <c r="C5205" s="401" t="s">
        <v>998</v>
      </c>
      <c r="D5205" s="600">
        <v>1118.78</v>
      </c>
    </row>
    <row r="5206" spans="1:4">
      <c r="A5206" s="401">
        <v>39401</v>
      </c>
      <c r="B5206" s="411" t="s">
        <v>12340</v>
      </c>
      <c r="C5206" s="401" t="s">
        <v>998</v>
      </c>
      <c r="D5206" s="600">
        <v>1255</v>
      </c>
    </row>
    <row r="5207" spans="1:4" ht="25.5">
      <c r="A5207" s="401">
        <v>11652</v>
      </c>
      <c r="B5207" s="411" t="s">
        <v>12341</v>
      </c>
      <c r="C5207" s="401" t="s">
        <v>998</v>
      </c>
      <c r="D5207" s="600">
        <v>2700</v>
      </c>
    </row>
    <row r="5208" spans="1:4" ht="25.5">
      <c r="A5208" s="401">
        <v>13896</v>
      </c>
      <c r="B5208" s="411" t="s">
        <v>12342</v>
      </c>
      <c r="C5208" s="401" t="s">
        <v>998</v>
      </c>
      <c r="D5208" s="600">
        <v>2422.13</v>
      </c>
    </row>
    <row r="5209" spans="1:4" ht="25.5">
      <c r="A5209" s="401">
        <v>13475</v>
      </c>
      <c r="B5209" s="411" t="s">
        <v>12343</v>
      </c>
      <c r="C5209" s="401" t="s">
        <v>998</v>
      </c>
      <c r="D5209" s="600">
        <v>2950.45</v>
      </c>
    </row>
    <row r="5210" spans="1:4" ht="25.5">
      <c r="A5210" s="401">
        <v>25971</v>
      </c>
      <c r="B5210" s="411" t="s">
        <v>12344</v>
      </c>
      <c r="C5210" s="401" t="s">
        <v>998</v>
      </c>
      <c r="D5210" s="600">
        <v>3202084.29</v>
      </c>
    </row>
    <row r="5211" spans="1:4" ht="25.5">
      <c r="A5211" s="401">
        <v>25970</v>
      </c>
      <c r="B5211" s="411" t="s">
        <v>12345</v>
      </c>
      <c r="C5211" s="401" t="s">
        <v>998</v>
      </c>
      <c r="D5211" s="600">
        <v>1348040.32</v>
      </c>
    </row>
    <row r="5212" spans="1:4" ht="25.5">
      <c r="A5212" s="401">
        <v>13476</v>
      </c>
      <c r="B5212" s="411" t="s">
        <v>12346</v>
      </c>
      <c r="C5212" s="401" t="s">
        <v>998</v>
      </c>
      <c r="D5212" s="600">
        <v>1357808.82</v>
      </c>
    </row>
    <row r="5213" spans="1:4" ht="25.5">
      <c r="A5213" s="401">
        <v>10488</v>
      </c>
      <c r="B5213" s="411" t="s">
        <v>12347</v>
      </c>
      <c r="C5213" s="401" t="s">
        <v>998</v>
      </c>
      <c r="D5213" s="600">
        <v>1645000</v>
      </c>
    </row>
    <row r="5214" spans="1:4" ht="25.5">
      <c r="A5214" s="401">
        <v>13606</v>
      </c>
      <c r="B5214" s="411" t="s">
        <v>12348</v>
      </c>
      <c r="C5214" s="401" t="s">
        <v>998</v>
      </c>
      <c r="D5214" s="600">
        <v>1457446.47</v>
      </c>
    </row>
    <row r="5215" spans="1:4">
      <c r="A5215" s="401">
        <v>10489</v>
      </c>
      <c r="B5215" s="411" t="s">
        <v>12349</v>
      </c>
      <c r="C5215" s="401" t="s">
        <v>1001</v>
      </c>
      <c r="D5215" s="600">
        <v>12.23</v>
      </c>
    </row>
    <row r="5216" spans="1:4">
      <c r="A5216" s="401">
        <v>41073</v>
      </c>
      <c r="B5216" s="411" t="s">
        <v>12350</v>
      </c>
      <c r="C5216" s="401" t="s">
        <v>1118</v>
      </c>
      <c r="D5216" s="600">
        <v>2171.73</v>
      </c>
    </row>
    <row r="5217" spans="1:4" ht="25.5">
      <c r="A5217" s="401">
        <v>34391</v>
      </c>
      <c r="B5217" s="411" t="s">
        <v>12351</v>
      </c>
      <c r="C5217" s="401" t="s">
        <v>1003</v>
      </c>
      <c r="D5217" s="600">
        <v>533.86</v>
      </c>
    </row>
    <row r="5218" spans="1:4" ht="25.5">
      <c r="A5218" s="401">
        <v>10496</v>
      </c>
      <c r="B5218" s="411" t="s">
        <v>12352</v>
      </c>
      <c r="C5218" s="401" t="s">
        <v>1003</v>
      </c>
      <c r="D5218" s="600">
        <v>464.72</v>
      </c>
    </row>
    <row r="5219" spans="1:4" ht="25.5">
      <c r="A5219" s="401">
        <v>10497</v>
      </c>
      <c r="B5219" s="411" t="s">
        <v>12353</v>
      </c>
      <c r="C5219" s="401" t="s">
        <v>1003</v>
      </c>
      <c r="D5219" s="600">
        <v>1208.27</v>
      </c>
    </row>
    <row r="5220" spans="1:4" ht="25.5">
      <c r="A5220" s="401">
        <v>10504</v>
      </c>
      <c r="B5220" s="411" t="s">
        <v>12354</v>
      </c>
      <c r="C5220" s="401" t="s">
        <v>1003</v>
      </c>
      <c r="D5220" s="600">
        <v>1412.75</v>
      </c>
    </row>
    <row r="5221" spans="1:4">
      <c r="A5221" s="401">
        <v>34390</v>
      </c>
      <c r="B5221" s="411" t="s">
        <v>12355</v>
      </c>
      <c r="C5221" s="401" t="s">
        <v>1003</v>
      </c>
      <c r="D5221" s="600">
        <v>416.39</v>
      </c>
    </row>
    <row r="5222" spans="1:4">
      <c r="A5222" s="401">
        <v>34389</v>
      </c>
      <c r="B5222" s="411" t="s">
        <v>12356</v>
      </c>
      <c r="C5222" s="401" t="s">
        <v>1003</v>
      </c>
      <c r="D5222" s="600">
        <v>130.12</v>
      </c>
    </row>
    <row r="5223" spans="1:4">
      <c r="A5223" s="401">
        <v>34388</v>
      </c>
      <c r="B5223" s="411" t="s">
        <v>12357</v>
      </c>
      <c r="C5223" s="401" t="s">
        <v>1003</v>
      </c>
      <c r="D5223" s="600">
        <v>184.93</v>
      </c>
    </row>
    <row r="5224" spans="1:4">
      <c r="A5224" s="401">
        <v>34387</v>
      </c>
      <c r="B5224" s="411" t="s">
        <v>12358</v>
      </c>
      <c r="C5224" s="401" t="s">
        <v>1003</v>
      </c>
      <c r="D5224" s="600">
        <v>300.20999999999998</v>
      </c>
    </row>
    <row r="5225" spans="1:4">
      <c r="A5225" s="401">
        <v>11188</v>
      </c>
      <c r="B5225" s="411" t="s">
        <v>12359</v>
      </c>
      <c r="C5225" s="401" t="s">
        <v>1003</v>
      </c>
      <c r="D5225" s="600">
        <v>148.71</v>
      </c>
    </row>
    <row r="5226" spans="1:4">
      <c r="A5226" s="401">
        <v>11189</v>
      </c>
      <c r="B5226" s="411" t="s">
        <v>12360</v>
      </c>
      <c r="C5226" s="401" t="s">
        <v>1003</v>
      </c>
      <c r="D5226" s="600">
        <v>223.06</v>
      </c>
    </row>
    <row r="5227" spans="1:4">
      <c r="A5227" s="401">
        <v>21107</v>
      </c>
      <c r="B5227" s="411" t="s">
        <v>12361</v>
      </c>
      <c r="C5227" s="401" t="s">
        <v>1003</v>
      </c>
      <c r="D5227" s="600">
        <v>160.52000000000001</v>
      </c>
    </row>
    <row r="5228" spans="1:4">
      <c r="A5228" s="401">
        <v>34386</v>
      </c>
      <c r="B5228" s="411" t="s">
        <v>12362</v>
      </c>
      <c r="C5228" s="401" t="s">
        <v>1003</v>
      </c>
      <c r="D5228" s="600">
        <v>278.83</v>
      </c>
    </row>
    <row r="5229" spans="1:4">
      <c r="A5229" s="401">
        <v>10490</v>
      </c>
      <c r="B5229" s="411" t="s">
        <v>12363</v>
      </c>
      <c r="C5229" s="401" t="s">
        <v>1003</v>
      </c>
      <c r="D5229" s="600">
        <v>83.65</v>
      </c>
    </row>
    <row r="5230" spans="1:4">
      <c r="A5230" s="401">
        <v>10492</v>
      </c>
      <c r="B5230" s="411" t="s">
        <v>12364</v>
      </c>
      <c r="C5230" s="401" t="s">
        <v>1003</v>
      </c>
      <c r="D5230" s="600">
        <v>111.53</v>
      </c>
    </row>
    <row r="5231" spans="1:4">
      <c r="A5231" s="401">
        <v>10493</v>
      </c>
      <c r="B5231" s="411" t="s">
        <v>12365</v>
      </c>
      <c r="C5231" s="401" t="s">
        <v>1003</v>
      </c>
      <c r="D5231" s="600">
        <v>130.12</v>
      </c>
    </row>
    <row r="5232" spans="1:4">
      <c r="A5232" s="401">
        <v>10491</v>
      </c>
      <c r="B5232" s="411" t="s">
        <v>12366</v>
      </c>
      <c r="C5232" s="401" t="s">
        <v>1003</v>
      </c>
      <c r="D5232" s="600">
        <v>158</v>
      </c>
    </row>
    <row r="5233" spans="1:4">
      <c r="A5233" s="401">
        <v>34385</v>
      </c>
      <c r="B5233" s="411" t="s">
        <v>12367</v>
      </c>
      <c r="C5233" s="401" t="s">
        <v>1003</v>
      </c>
      <c r="D5233" s="600">
        <v>230.5</v>
      </c>
    </row>
    <row r="5234" spans="1:4">
      <c r="A5234" s="401">
        <v>10499</v>
      </c>
      <c r="B5234" s="411" t="s">
        <v>12368</v>
      </c>
      <c r="C5234" s="401" t="s">
        <v>1003</v>
      </c>
      <c r="D5234" s="600">
        <v>92.94</v>
      </c>
    </row>
    <row r="5235" spans="1:4">
      <c r="A5235" s="401">
        <v>34384</v>
      </c>
      <c r="B5235" s="411" t="s">
        <v>12369</v>
      </c>
      <c r="C5235" s="401" t="s">
        <v>1003</v>
      </c>
      <c r="D5235" s="600">
        <v>278.83</v>
      </c>
    </row>
    <row r="5236" spans="1:4">
      <c r="A5236" s="401">
        <v>11185</v>
      </c>
      <c r="B5236" s="411" t="s">
        <v>12370</v>
      </c>
      <c r="C5236" s="401" t="s">
        <v>1003</v>
      </c>
      <c r="D5236" s="600">
        <v>288.12</v>
      </c>
    </row>
    <row r="5237" spans="1:4">
      <c r="A5237" s="401">
        <v>10507</v>
      </c>
      <c r="B5237" s="411" t="s">
        <v>12371</v>
      </c>
      <c r="C5237" s="401" t="s">
        <v>1003</v>
      </c>
      <c r="D5237" s="600">
        <v>315.14</v>
      </c>
    </row>
    <row r="5238" spans="1:4">
      <c r="A5238" s="401">
        <v>10505</v>
      </c>
      <c r="B5238" s="411" t="s">
        <v>12372</v>
      </c>
      <c r="C5238" s="401" t="s">
        <v>1003</v>
      </c>
      <c r="D5238" s="600">
        <v>185.95</v>
      </c>
    </row>
    <row r="5239" spans="1:4">
      <c r="A5239" s="401">
        <v>10506</v>
      </c>
      <c r="B5239" s="411" t="s">
        <v>12373</v>
      </c>
      <c r="C5239" s="401" t="s">
        <v>1003</v>
      </c>
      <c r="D5239" s="600">
        <v>242.75</v>
      </c>
    </row>
    <row r="5240" spans="1:4" ht="25.5">
      <c r="A5240" s="401">
        <v>5031</v>
      </c>
      <c r="B5240" s="411" t="s">
        <v>12374</v>
      </c>
      <c r="C5240" s="401" t="s">
        <v>1003</v>
      </c>
      <c r="D5240" s="600">
        <v>340.86</v>
      </c>
    </row>
    <row r="5241" spans="1:4">
      <c r="A5241" s="401">
        <v>10502</v>
      </c>
      <c r="B5241" s="411" t="s">
        <v>12375</v>
      </c>
      <c r="C5241" s="401" t="s">
        <v>1003</v>
      </c>
      <c r="D5241" s="600">
        <v>397.18</v>
      </c>
    </row>
    <row r="5242" spans="1:4">
      <c r="A5242" s="401">
        <v>10501</v>
      </c>
      <c r="B5242" s="411" t="s">
        <v>12376</v>
      </c>
      <c r="C5242" s="401" t="s">
        <v>1003</v>
      </c>
      <c r="D5242" s="600">
        <v>224.39</v>
      </c>
    </row>
    <row r="5243" spans="1:4">
      <c r="A5243" s="401">
        <v>10503</v>
      </c>
      <c r="B5243" s="411" t="s">
        <v>12377</v>
      </c>
      <c r="C5243" s="401" t="s">
        <v>1003</v>
      </c>
      <c r="D5243" s="600">
        <v>303.16000000000003</v>
      </c>
    </row>
    <row r="5244" spans="1:4" ht="25.5">
      <c r="A5244" s="401">
        <v>40270</v>
      </c>
      <c r="B5244" s="411" t="s">
        <v>12378</v>
      </c>
      <c r="C5244" s="401" t="s">
        <v>1002</v>
      </c>
      <c r="D5244" s="600">
        <v>49.28</v>
      </c>
    </row>
    <row r="5245" spans="1:4" ht="25.5">
      <c r="A5245" s="401">
        <v>20213</v>
      </c>
      <c r="B5245" s="411" t="s">
        <v>12379</v>
      </c>
      <c r="C5245" s="401" t="s">
        <v>1002</v>
      </c>
      <c r="D5245" s="600">
        <v>11.72</v>
      </c>
    </row>
    <row r="5246" spans="1:4" ht="25.5">
      <c r="A5246" s="401">
        <v>20211</v>
      </c>
      <c r="B5246" s="411" t="s">
        <v>12380</v>
      </c>
      <c r="C5246" s="401" t="s">
        <v>1002</v>
      </c>
      <c r="D5246" s="600">
        <v>17.309999999999999</v>
      </c>
    </row>
    <row r="5247" spans="1:4" ht="25.5">
      <c r="A5247" s="401">
        <v>4472</v>
      </c>
      <c r="B5247" s="411" t="s">
        <v>12381</v>
      </c>
      <c r="C5247" s="401" t="s">
        <v>1002</v>
      </c>
      <c r="D5247" s="600">
        <v>15.13</v>
      </c>
    </row>
    <row r="5248" spans="1:4" ht="25.5">
      <c r="A5248" s="401">
        <v>35272</v>
      </c>
      <c r="B5248" s="411" t="s">
        <v>12382</v>
      </c>
      <c r="C5248" s="401" t="s">
        <v>1002</v>
      </c>
      <c r="D5248" s="600">
        <v>19.87</v>
      </c>
    </row>
    <row r="5249" spans="1:4" ht="25.5">
      <c r="A5249" s="401">
        <v>4448</v>
      </c>
      <c r="B5249" s="411" t="s">
        <v>12383</v>
      </c>
      <c r="C5249" s="401" t="s">
        <v>1002</v>
      </c>
      <c r="D5249" s="600">
        <v>32.22</v>
      </c>
    </row>
    <row r="5250" spans="1:4" ht="25.5">
      <c r="A5250" s="401">
        <v>4425</v>
      </c>
      <c r="B5250" s="411" t="s">
        <v>12384</v>
      </c>
      <c r="C5250" s="401" t="s">
        <v>1002</v>
      </c>
      <c r="D5250" s="600">
        <v>11.11</v>
      </c>
    </row>
    <row r="5251" spans="1:4" ht="25.5">
      <c r="A5251" s="401">
        <v>4481</v>
      </c>
      <c r="B5251" s="411" t="s">
        <v>12385</v>
      </c>
      <c r="C5251" s="401" t="s">
        <v>1002</v>
      </c>
      <c r="D5251" s="600">
        <v>20.48</v>
      </c>
    </row>
    <row r="5252" spans="1:4">
      <c r="A5252" s="401">
        <v>34345</v>
      </c>
      <c r="B5252" s="411" t="s">
        <v>12386</v>
      </c>
      <c r="C5252" s="401" t="s">
        <v>1001</v>
      </c>
      <c r="D5252" s="600">
        <v>9.9</v>
      </c>
    </row>
    <row r="5253" spans="1:4">
      <c r="A5253" s="401">
        <v>41096</v>
      </c>
      <c r="B5253" s="411" t="s">
        <v>12387</v>
      </c>
      <c r="C5253" s="401" t="s">
        <v>1118</v>
      </c>
      <c r="D5253" s="600">
        <v>1757.69</v>
      </c>
    </row>
    <row r="5254" spans="1:4" ht="25.5">
      <c r="A5254" s="401">
        <v>41776</v>
      </c>
      <c r="B5254" s="411" t="s">
        <v>12388</v>
      </c>
      <c r="C5254" s="401" t="s">
        <v>1001</v>
      </c>
      <c r="D5254" s="600">
        <v>13.58</v>
      </c>
    </row>
    <row r="5255" spans="1:4">
      <c r="A5255" s="401">
        <v>11157</v>
      </c>
      <c r="B5255" s="411" t="s">
        <v>12389</v>
      </c>
      <c r="C5255" s="401" t="s">
        <v>1008</v>
      </c>
      <c r="D5255" s="600">
        <v>138.87</v>
      </c>
    </row>
    <row r="5256" spans="1:4" ht="40.5">
      <c r="A5256" s="402">
        <v>97141</v>
      </c>
      <c r="B5256" s="403" t="s">
        <v>4542</v>
      </c>
      <c r="C5256" s="402" t="s">
        <v>17</v>
      </c>
      <c r="D5256" s="601">
        <v>5.07</v>
      </c>
    </row>
    <row r="5257" spans="1:4" ht="40.5">
      <c r="A5257" s="402">
        <v>97142</v>
      </c>
      <c r="B5257" s="403" t="s">
        <v>4543</v>
      </c>
      <c r="C5257" s="402" t="s">
        <v>17</v>
      </c>
      <c r="D5257" s="601">
        <v>5.64</v>
      </c>
    </row>
    <row r="5258" spans="1:4" ht="40.5">
      <c r="A5258" s="402">
        <v>97143</v>
      </c>
      <c r="B5258" s="403" t="s">
        <v>4544</v>
      </c>
      <c r="C5258" s="402" t="s">
        <v>17</v>
      </c>
      <c r="D5258" s="601">
        <v>7.14</v>
      </c>
    </row>
    <row r="5259" spans="1:4" ht="40.5">
      <c r="A5259" s="402">
        <v>97144</v>
      </c>
      <c r="B5259" s="403" t="s">
        <v>4545</v>
      </c>
      <c r="C5259" s="402" t="s">
        <v>17</v>
      </c>
      <c r="D5259" s="601">
        <v>8.6199999999999992</v>
      </c>
    </row>
    <row r="5260" spans="1:4" ht="40.5">
      <c r="A5260" s="402">
        <v>97145</v>
      </c>
      <c r="B5260" s="403" t="s">
        <v>4546</v>
      </c>
      <c r="C5260" s="402" t="s">
        <v>17</v>
      </c>
      <c r="D5260" s="601">
        <v>10.119999999999999</v>
      </c>
    </row>
    <row r="5261" spans="1:4" ht="40.5">
      <c r="A5261" s="402">
        <v>97146</v>
      </c>
      <c r="B5261" s="403" t="s">
        <v>4547</v>
      </c>
      <c r="C5261" s="402" t="s">
        <v>17</v>
      </c>
      <c r="D5261" s="601">
        <v>11.62</v>
      </c>
    </row>
    <row r="5262" spans="1:4" ht="40.5">
      <c r="A5262" s="402">
        <v>97147</v>
      </c>
      <c r="B5262" s="403" t="s">
        <v>4548</v>
      </c>
      <c r="C5262" s="402" t="s">
        <v>17</v>
      </c>
      <c r="D5262" s="601">
        <v>13.13</v>
      </c>
    </row>
    <row r="5263" spans="1:4" ht="40.5">
      <c r="A5263" s="402">
        <v>97148</v>
      </c>
      <c r="B5263" s="403" t="s">
        <v>4549</v>
      </c>
      <c r="C5263" s="402" t="s">
        <v>17</v>
      </c>
      <c r="D5263" s="601">
        <v>14.64</v>
      </c>
    </row>
    <row r="5264" spans="1:4" ht="40.5">
      <c r="A5264" s="402">
        <v>97149</v>
      </c>
      <c r="B5264" s="403" t="s">
        <v>4550</v>
      </c>
      <c r="C5264" s="402" t="s">
        <v>17</v>
      </c>
      <c r="D5264" s="601">
        <v>16.170000000000002</v>
      </c>
    </row>
    <row r="5265" spans="1:4" ht="40.5">
      <c r="A5265" s="402">
        <v>97150</v>
      </c>
      <c r="B5265" s="403" t="s">
        <v>4551</v>
      </c>
      <c r="C5265" s="402" t="s">
        <v>17</v>
      </c>
      <c r="D5265" s="601">
        <v>19.739999999999998</v>
      </c>
    </row>
    <row r="5266" spans="1:4" ht="40.5">
      <c r="A5266" s="402">
        <v>97151</v>
      </c>
      <c r="B5266" s="403" t="s">
        <v>4552</v>
      </c>
      <c r="C5266" s="402" t="s">
        <v>17</v>
      </c>
      <c r="D5266" s="601">
        <v>23.09</v>
      </c>
    </row>
    <row r="5267" spans="1:4" ht="40.5">
      <c r="A5267" s="402">
        <v>97152</v>
      </c>
      <c r="B5267" s="403" t="s">
        <v>4553</v>
      </c>
      <c r="C5267" s="402" t="s">
        <v>17</v>
      </c>
      <c r="D5267" s="601">
        <v>26.18</v>
      </c>
    </row>
    <row r="5268" spans="1:4" ht="40.5">
      <c r="A5268" s="402">
        <v>97153</v>
      </c>
      <c r="B5268" s="403" t="s">
        <v>4554</v>
      </c>
      <c r="C5268" s="402" t="s">
        <v>17</v>
      </c>
      <c r="D5268" s="601">
        <v>29.41</v>
      </c>
    </row>
    <row r="5269" spans="1:4" ht="40.5">
      <c r="A5269" s="402">
        <v>97154</v>
      </c>
      <c r="B5269" s="403" t="s">
        <v>4555</v>
      </c>
      <c r="C5269" s="402" t="s">
        <v>17</v>
      </c>
      <c r="D5269" s="601">
        <v>32.69</v>
      </c>
    </row>
    <row r="5270" spans="1:4" ht="40.5">
      <c r="A5270" s="402">
        <v>97155</v>
      </c>
      <c r="B5270" s="403" t="s">
        <v>4556</v>
      </c>
      <c r="C5270" s="402" t="s">
        <v>17</v>
      </c>
      <c r="D5270" s="601">
        <v>35.979999999999997</v>
      </c>
    </row>
    <row r="5271" spans="1:4" ht="40.5">
      <c r="A5271" s="402">
        <v>97156</v>
      </c>
      <c r="B5271" s="403" t="s">
        <v>4557</v>
      </c>
      <c r="C5271" s="402" t="s">
        <v>17</v>
      </c>
      <c r="D5271" s="601">
        <v>43.01</v>
      </c>
    </row>
    <row r="5272" spans="1:4" ht="40.5">
      <c r="A5272" s="402">
        <v>97157</v>
      </c>
      <c r="B5272" s="403" t="s">
        <v>4558</v>
      </c>
      <c r="C5272" s="402" t="s">
        <v>17</v>
      </c>
      <c r="D5272" s="601">
        <v>3.09</v>
      </c>
    </row>
    <row r="5273" spans="1:4" ht="40.5">
      <c r="A5273" s="402">
        <v>97158</v>
      </c>
      <c r="B5273" s="403" t="s">
        <v>4559</v>
      </c>
      <c r="C5273" s="402" t="s">
        <v>17</v>
      </c>
      <c r="D5273" s="601">
        <v>3.45</v>
      </c>
    </row>
    <row r="5274" spans="1:4" ht="40.5">
      <c r="A5274" s="402">
        <v>97159</v>
      </c>
      <c r="B5274" s="403" t="s">
        <v>4560</v>
      </c>
      <c r="C5274" s="402" t="s">
        <v>17</v>
      </c>
      <c r="D5274" s="601">
        <v>4.3899999999999997</v>
      </c>
    </row>
    <row r="5275" spans="1:4" ht="40.5">
      <c r="A5275" s="402">
        <v>97160</v>
      </c>
      <c r="B5275" s="403" t="s">
        <v>4561</v>
      </c>
      <c r="C5275" s="402" t="s">
        <v>17</v>
      </c>
      <c r="D5275" s="601">
        <v>5.28</v>
      </c>
    </row>
    <row r="5276" spans="1:4" ht="40.5">
      <c r="A5276" s="402">
        <v>97161</v>
      </c>
      <c r="B5276" s="403" t="s">
        <v>4562</v>
      </c>
      <c r="C5276" s="402" t="s">
        <v>17</v>
      </c>
      <c r="D5276" s="601">
        <v>6.24</v>
      </c>
    </row>
    <row r="5277" spans="1:4" ht="40.5">
      <c r="A5277" s="402">
        <v>97162</v>
      </c>
      <c r="B5277" s="403" t="s">
        <v>4563</v>
      </c>
      <c r="C5277" s="402" t="s">
        <v>17</v>
      </c>
      <c r="D5277" s="601">
        <v>7.16</v>
      </c>
    </row>
    <row r="5278" spans="1:4" ht="40.5">
      <c r="A5278" s="402">
        <v>97163</v>
      </c>
      <c r="B5278" s="403" t="s">
        <v>4564</v>
      </c>
      <c r="C5278" s="402" t="s">
        <v>17</v>
      </c>
      <c r="D5278" s="601">
        <v>8.11</v>
      </c>
    </row>
    <row r="5279" spans="1:4" ht="40.5">
      <c r="A5279" s="402">
        <v>97164</v>
      </c>
      <c r="B5279" s="403" t="s">
        <v>4565</v>
      </c>
      <c r="C5279" s="402" t="s">
        <v>17</v>
      </c>
      <c r="D5279" s="601">
        <v>9.0500000000000007</v>
      </c>
    </row>
    <row r="5280" spans="1:4" ht="40.5">
      <c r="A5280" s="402">
        <v>97165</v>
      </c>
      <c r="B5280" s="403" t="s">
        <v>4566</v>
      </c>
      <c r="C5280" s="402" t="s">
        <v>17</v>
      </c>
      <c r="D5280" s="601">
        <v>10.01</v>
      </c>
    </row>
    <row r="5281" spans="1:4" ht="40.5">
      <c r="A5281" s="402">
        <v>97166</v>
      </c>
      <c r="B5281" s="403" t="s">
        <v>4567</v>
      </c>
      <c r="C5281" s="402" t="s">
        <v>17</v>
      </c>
      <c r="D5281" s="601">
        <v>12.2</v>
      </c>
    </row>
    <row r="5282" spans="1:4" ht="40.5">
      <c r="A5282" s="402">
        <v>97167</v>
      </c>
      <c r="B5282" s="403" t="s">
        <v>4568</v>
      </c>
      <c r="C5282" s="402" t="s">
        <v>17</v>
      </c>
      <c r="D5282" s="601">
        <v>14.31</v>
      </c>
    </row>
    <row r="5283" spans="1:4" ht="40.5">
      <c r="A5283" s="402">
        <v>97168</v>
      </c>
      <c r="B5283" s="403" t="s">
        <v>4569</v>
      </c>
      <c r="C5283" s="402" t="s">
        <v>17</v>
      </c>
      <c r="D5283" s="601">
        <v>16.149999999999999</v>
      </c>
    </row>
    <row r="5284" spans="1:4" ht="40.5">
      <c r="A5284" s="402">
        <v>97169</v>
      </c>
      <c r="B5284" s="403" t="s">
        <v>4570</v>
      </c>
      <c r="C5284" s="402" t="s">
        <v>17</v>
      </c>
      <c r="D5284" s="601">
        <v>18.14</v>
      </c>
    </row>
    <row r="5285" spans="1:4" ht="40.5">
      <c r="A5285" s="402">
        <v>97170</v>
      </c>
      <c r="B5285" s="403" t="s">
        <v>4571</v>
      </c>
      <c r="C5285" s="402" t="s">
        <v>17</v>
      </c>
      <c r="D5285" s="601">
        <v>20.170000000000002</v>
      </c>
    </row>
    <row r="5286" spans="1:4" ht="40.5">
      <c r="A5286" s="402">
        <v>97171</v>
      </c>
      <c r="B5286" s="403" t="s">
        <v>4572</v>
      </c>
      <c r="C5286" s="402" t="s">
        <v>17</v>
      </c>
      <c r="D5286" s="601">
        <v>22.22</v>
      </c>
    </row>
    <row r="5287" spans="1:4" ht="40.5">
      <c r="A5287" s="402">
        <v>97172</v>
      </c>
      <c r="B5287" s="403" t="s">
        <v>4573</v>
      </c>
      <c r="C5287" s="402" t="s">
        <v>17</v>
      </c>
      <c r="D5287" s="601">
        <v>26.75</v>
      </c>
    </row>
    <row r="5288" spans="1:4" ht="40.5">
      <c r="A5288" s="402">
        <v>97173</v>
      </c>
      <c r="B5288" s="403" t="s">
        <v>4574</v>
      </c>
      <c r="C5288" s="402" t="s">
        <v>17</v>
      </c>
      <c r="D5288" s="601">
        <v>20.77</v>
      </c>
    </row>
    <row r="5289" spans="1:4" ht="40.5">
      <c r="A5289" s="402">
        <v>97174</v>
      </c>
      <c r="B5289" s="403" t="s">
        <v>4575</v>
      </c>
      <c r="C5289" s="402" t="s">
        <v>17</v>
      </c>
      <c r="D5289" s="601">
        <v>24.01</v>
      </c>
    </row>
    <row r="5290" spans="1:4" ht="40.5">
      <c r="A5290" s="402">
        <v>97175</v>
      </c>
      <c r="B5290" s="403" t="s">
        <v>4576</v>
      </c>
      <c r="C5290" s="402" t="s">
        <v>17</v>
      </c>
      <c r="D5290" s="601">
        <v>27.26</v>
      </c>
    </row>
    <row r="5291" spans="1:4" ht="40.5">
      <c r="A5291" s="402">
        <v>97176</v>
      </c>
      <c r="B5291" s="403" t="s">
        <v>4577</v>
      </c>
      <c r="C5291" s="402" t="s">
        <v>17</v>
      </c>
      <c r="D5291" s="601">
        <v>30.5</v>
      </c>
    </row>
    <row r="5292" spans="1:4" ht="40.5">
      <c r="A5292" s="402">
        <v>97177</v>
      </c>
      <c r="B5292" s="403" t="s">
        <v>4578</v>
      </c>
      <c r="C5292" s="402" t="s">
        <v>17</v>
      </c>
      <c r="D5292" s="601">
        <v>36.99</v>
      </c>
    </row>
    <row r="5293" spans="1:4" ht="40.5">
      <c r="A5293" s="402">
        <v>97178</v>
      </c>
      <c r="B5293" s="403" t="s">
        <v>4579</v>
      </c>
      <c r="C5293" s="402" t="s">
        <v>17</v>
      </c>
      <c r="D5293" s="601">
        <v>43.48</v>
      </c>
    </row>
    <row r="5294" spans="1:4" ht="40.5">
      <c r="A5294" s="402">
        <v>97179</v>
      </c>
      <c r="B5294" s="403" t="s">
        <v>4580</v>
      </c>
      <c r="C5294" s="402" t="s">
        <v>17</v>
      </c>
      <c r="D5294" s="601">
        <v>49.96</v>
      </c>
    </row>
    <row r="5295" spans="1:4" ht="40.5">
      <c r="A5295" s="402">
        <v>97180</v>
      </c>
      <c r="B5295" s="403" t="s">
        <v>4581</v>
      </c>
      <c r="C5295" s="402" t="s">
        <v>17</v>
      </c>
      <c r="D5295" s="601">
        <v>56.46</v>
      </c>
    </row>
    <row r="5296" spans="1:4" ht="40.5">
      <c r="A5296" s="402">
        <v>97181</v>
      </c>
      <c r="B5296" s="403" t="s">
        <v>4582</v>
      </c>
      <c r="C5296" s="402" t="s">
        <v>17</v>
      </c>
      <c r="D5296" s="601">
        <v>65.260000000000005</v>
      </c>
    </row>
    <row r="5297" spans="1:4" ht="40.5">
      <c r="A5297" s="402">
        <v>97182</v>
      </c>
      <c r="B5297" s="403" t="s">
        <v>4583</v>
      </c>
      <c r="C5297" s="402" t="s">
        <v>17</v>
      </c>
      <c r="D5297" s="601">
        <v>71.989999999999995</v>
      </c>
    </row>
    <row r="5298" spans="1:4" ht="40.5">
      <c r="A5298" s="402">
        <v>97183</v>
      </c>
      <c r="B5298" s="403" t="s">
        <v>4584</v>
      </c>
      <c r="C5298" s="402" t="s">
        <v>17</v>
      </c>
      <c r="D5298" s="601">
        <v>16.89</v>
      </c>
    </row>
    <row r="5299" spans="1:4" ht="40.5">
      <c r="A5299" s="402">
        <v>97184</v>
      </c>
      <c r="B5299" s="403" t="s">
        <v>4585</v>
      </c>
      <c r="C5299" s="402" t="s">
        <v>17</v>
      </c>
      <c r="D5299" s="601">
        <v>19.559999999999999</v>
      </c>
    </row>
    <row r="5300" spans="1:4" ht="40.5">
      <c r="A5300" s="402">
        <v>97185</v>
      </c>
      <c r="B5300" s="403" t="s">
        <v>4586</v>
      </c>
      <c r="C5300" s="402" t="s">
        <v>17</v>
      </c>
      <c r="D5300" s="601">
        <v>22.24</v>
      </c>
    </row>
    <row r="5301" spans="1:4" ht="40.5">
      <c r="A5301" s="402">
        <v>97186</v>
      </c>
      <c r="B5301" s="403" t="s">
        <v>4587</v>
      </c>
      <c r="C5301" s="402" t="s">
        <v>17</v>
      </c>
      <c r="D5301" s="601">
        <v>24.92</v>
      </c>
    </row>
    <row r="5302" spans="1:4" ht="40.5">
      <c r="A5302" s="402">
        <v>97187</v>
      </c>
      <c r="B5302" s="403" t="s">
        <v>5106</v>
      </c>
      <c r="C5302" s="402" t="s">
        <v>17</v>
      </c>
      <c r="D5302" s="601">
        <v>30.29</v>
      </c>
    </row>
    <row r="5303" spans="1:4" ht="40.5">
      <c r="A5303" s="402">
        <v>97188</v>
      </c>
      <c r="B5303" s="403" t="s">
        <v>4588</v>
      </c>
      <c r="C5303" s="402" t="s">
        <v>17</v>
      </c>
      <c r="D5303" s="601">
        <v>35.659999999999997</v>
      </c>
    </row>
    <row r="5304" spans="1:4" ht="40.5">
      <c r="A5304" s="402">
        <v>97189</v>
      </c>
      <c r="B5304" s="403" t="s">
        <v>4589</v>
      </c>
      <c r="C5304" s="402" t="s">
        <v>17</v>
      </c>
      <c r="D5304" s="601">
        <v>41.02</v>
      </c>
    </row>
    <row r="5305" spans="1:4" ht="40.5">
      <c r="A5305" s="402">
        <v>97190</v>
      </c>
      <c r="B5305" s="403" t="s">
        <v>4590</v>
      </c>
      <c r="C5305" s="402" t="s">
        <v>17</v>
      </c>
      <c r="D5305" s="601">
        <v>46.39</v>
      </c>
    </row>
    <row r="5306" spans="1:4" ht="40.5">
      <c r="A5306" s="402">
        <v>97191</v>
      </c>
      <c r="B5306" s="403" t="s">
        <v>4591</v>
      </c>
      <c r="C5306" s="402" t="s">
        <v>17</v>
      </c>
      <c r="D5306" s="601">
        <v>53.49</v>
      </c>
    </row>
    <row r="5307" spans="1:4" ht="40.5">
      <c r="A5307" s="402">
        <v>97192</v>
      </c>
      <c r="B5307" s="403" t="s">
        <v>4592</v>
      </c>
      <c r="C5307" s="402" t="s">
        <v>17</v>
      </c>
      <c r="D5307" s="601">
        <v>59.04</v>
      </c>
    </row>
    <row r="5308" spans="1:4" ht="40.5">
      <c r="A5308" s="402">
        <v>90694</v>
      </c>
      <c r="B5308" s="403" t="s">
        <v>502</v>
      </c>
      <c r="C5308" s="402" t="s">
        <v>17</v>
      </c>
      <c r="D5308" s="601">
        <v>22.39</v>
      </c>
    </row>
    <row r="5309" spans="1:4" ht="40.5">
      <c r="A5309" s="402">
        <v>90695</v>
      </c>
      <c r="B5309" s="403" t="s">
        <v>503</v>
      </c>
      <c r="C5309" s="402" t="s">
        <v>17</v>
      </c>
      <c r="D5309" s="601">
        <v>46.44</v>
      </c>
    </row>
    <row r="5310" spans="1:4" ht="40.5">
      <c r="A5310" s="402">
        <v>90696</v>
      </c>
      <c r="B5310" s="403" t="s">
        <v>504</v>
      </c>
      <c r="C5310" s="402" t="s">
        <v>17</v>
      </c>
      <c r="D5310" s="601">
        <v>68.900000000000006</v>
      </c>
    </row>
    <row r="5311" spans="1:4" ht="40.5">
      <c r="A5311" s="402">
        <v>90697</v>
      </c>
      <c r="B5311" s="403" t="s">
        <v>505</v>
      </c>
      <c r="C5311" s="402" t="s">
        <v>17</v>
      </c>
      <c r="D5311" s="601">
        <v>115.89</v>
      </c>
    </row>
    <row r="5312" spans="1:4" ht="40.5">
      <c r="A5312" s="402">
        <v>90698</v>
      </c>
      <c r="B5312" s="403" t="s">
        <v>506</v>
      </c>
      <c r="C5312" s="402" t="s">
        <v>17</v>
      </c>
      <c r="D5312" s="601">
        <v>185.55</v>
      </c>
    </row>
    <row r="5313" spans="1:4" ht="40.5">
      <c r="A5313" s="402">
        <v>90699</v>
      </c>
      <c r="B5313" s="403" t="s">
        <v>507</v>
      </c>
      <c r="C5313" s="402" t="s">
        <v>17</v>
      </c>
      <c r="D5313" s="601">
        <v>229.35</v>
      </c>
    </row>
    <row r="5314" spans="1:4" ht="40.5">
      <c r="A5314" s="402">
        <v>90700</v>
      </c>
      <c r="B5314" s="403" t="s">
        <v>508</v>
      </c>
      <c r="C5314" s="402" t="s">
        <v>17</v>
      </c>
      <c r="D5314" s="601">
        <v>300.68</v>
      </c>
    </row>
    <row r="5315" spans="1:4" ht="40.5">
      <c r="A5315" s="402">
        <v>90701</v>
      </c>
      <c r="B5315" s="403" t="s">
        <v>2246</v>
      </c>
      <c r="C5315" s="402" t="s">
        <v>17</v>
      </c>
      <c r="D5315" s="601">
        <v>40.29</v>
      </c>
    </row>
    <row r="5316" spans="1:4" ht="40.5">
      <c r="A5316" s="402">
        <v>90702</v>
      </c>
      <c r="B5316" s="403" t="s">
        <v>2247</v>
      </c>
      <c r="C5316" s="402" t="s">
        <v>17</v>
      </c>
      <c r="D5316" s="601">
        <v>62.8</v>
      </c>
    </row>
    <row r="5317" spans="1:4" ht="40.5">
      <c r="A5317" s="402">
        <v>90703</v>
      </c>
      <c r="B5317" s="403" t="s">
        <v>2248</v>
      </c>
      <c r="C5317" s="402" t="s">
        <v>17</v>
      </c>
      <c r="D5317" s="601">
        <v>101.99</v>
      </c>
    </row>
    <row r="5318" spans="1:4" ht="40.5">
      <c r="A5318" s="402">
        <v>90704</v>
      </c>
      <c r="B5318" s="403" t="s">
        <v>2249</v>
      </c>
      <c r="C5318" s="402" t="s">
        <v>17</v>
      </c>
      <c r="D5318" s="601">
        <v>140.25</v>
      </c>
    </row>
    <row r="5319" spans="1:4" ht="40.5">
      <c r="A5319" s="402">
        <v>90705</v>
      </c>
      <c r="B5319" s="403" t="s">
        <v>2250</v>
      </c>
      <c r="C5319" s="402" t="s">
        <v>17</v>
      </c>
      <c r="D5319" s="601">
        <v>196.8</v>
      </c>
    </row>
    <row r="5320" spans="1:4" ht="40.5">
      <c r="A5320" s="402">
        <v>90706</v>
      </c>
      <c r="B5320" s="403" t="s">
        <v>2251</v>
      </c>
      <c r="C5320" s="402" t="s">
        <v>17</v>
      </c>
      <c r="D5320" s="601">
        <v>235.05</v>
      </c>
    </row>
    <row r="5321" spans="1:4" ht="40.5">
      <c r="A5321" s="402">
        <v>90708</v>
      </c>
      <c r="B5321" s="403" t="s">
        <v>2252</v>
      </c>
      <c r="C5321" s="402" t="s">
        <v>17</v>
      </c>
      <c r="D5321" s="601">
        <v>630.33000000000004</v>
      </c>
    </row>
    <row r="5322" spans="1:4" ht="40.5">
      <c r="A5322" s="402">
        <v>90709</v>
      </c>
      <c r="B5322" s="403" t="s">
        <v>509</v>
      </c>
      <c r="C5322" s="402" t="s">
        <v>17</v>
      </c>
      <c r="D5322" s="601">
        <v>23.78</v>
      </c>
    </row>
    <row r="5323" spans="1:4" ht="40.5">
      <c r="A5323" s="402">
        <v>90710</v>
      </c>
      <c r="B5323" s="403" t="s">
        <v>510</v>
      </c>
      <c r="C5323" s="402" t="s">
        <v>17</v>
      </c>
      <c r="D5323" s="601">
        <v>47.83</v>
      </c>
    </row>
    <row r="5324" spans="1:4" ht="40.5">
      <c r="A5324" s="402">
        <v>90711</v>
      </c>
      <c r="B5324" s="403" t="s">
        <v>511</v>
      </c>
      <c r="C5324" s="402" t="s">
        <v>17</v>
      </c>
      <c r="D5324" s="601">
        <v>70.28</v>
      </c>
    </row>
    <row r="5325" spans="1:4" ht="40.5">
      <c r="A5325" s="402">
        <v>90712</v>
      </c>
      <c r="B5325" s="403" t="s">
        <v>512</v>
      </c>
      <c r="C5325" s="402" t="s">
        <v>17</v>
      </c>
      <c r="D5325" s="601">
        <v>117.27</v>
      </c>
    </row>
    <row r="5326" spans="1:4" ht="40.5">
      <c r="A5326" s="402">
        <v>90713</v>
      </c>
      <c r="B5326" s="403" t="s">
        <v>513</v>
      </c>
      <c r="C5326" s="402" t="s">
        <v>17</v>
      </c>
      <c r="D5326" s="601">
        <v>186.93</v>
      </c>
    </row>
    <row r="5327" spans="1:4" ht="40.5">
      <c r="A5327" s="402">
        <v>90714</v>
      </c>
      <c r="B5327" s="403" t="s">
        <v>514</v>
      </c>
      <c r="C5327" s="402" t="s">
        <v>17</v>
      </c>
      <c r="D5327" s="601">
        <v>230.74</v>
      </c>
    </row>
    <row r="5328" spans="1:4" ht="40.5">
      <c r="A5328" s="402">
        <v>90715</v>
      </c>
      <c r="B5328" s="403" t="s">
        <v>515</v>
      </c>
      <c r="C5328" s="402" t="s">
        <v>17</v>
      </c>
      <c r="D5328" s="601">
        <v>303.57</v>
      </c>
    </row>
    <row r="5329" spans="1:4" ht="40.5">
      <c r="A5329" s="402">
        <v>90716</v>
      </c>
      <c r="B5329" s="403" t="s">
        <v>2253</v>
      </c>
      <c r="C5329" s="402" t="s">
        <v>17</v>
      </c>
      <c r="D5329" s="601">
        <v>41.68</v>
      </c>
    </row>
    <row r="5330" spans="1:4" ht="40.5">
      <c r="A5330" s="402">
        <v>90717</v>
      </c>
      <c r="B5330" s="403" t="s">
        <v>2254</v>
      </c>
      <c r="C5330" s="402" t="s">
        <v>17</v>
      </c>
      <c r="D5330" s="601">
        <v>64.180000000000007</v>
      </c>
    </row>
    <row r="5331" spans="1:4" ht="40.5">
      <c r="A5331" s="402">
        <v>90718</v>
      </c>
      <c r="B5331" s="403" t="s">
        <v>2255</v>
      </c>
      <c r="C5331" s="402" t="s">
        <v>17</v>
      </c>
      <c r="D5331" s="601">
        <v>103.37</v>
      </c>
    </row>
    <row r="5332" spans="1:4" ht="40.5">
      <c r="A5332" s="402">
        <v>90719</v>
      </c>
      <c r="B5332" s="403" t="s">
        <v>2256</v>
      </c>
      <c r="C5332" s="402" t="s">
        <v>17</v>
      </c>
      <c r="D5332" s="601">
        <v>141.63</v>
      </c>
    </row>
    <row r="5333" spans="1:4" ht="40.5">
      <c r="A5333" s="402">
        <v>90720</v>
      </c>
      <c r="B5333" s="403" t="s">
        <v>2257</v>
      </c>
      <c r="C5333" s="402" t="s">
        <v>17</v>
      </c>
      <c r="D5333" s="601">
        <v>198.18</v>
      </c>
    </row>
    <row r="5334" spans="1:4" ht="40.5">
      <c r="A5334" s="402">
        <v>90721</v>
      </c>
      <c r="B5334" s="403" t="s">
        <v>2258</v>
      </c>
      <c r="C5334" s="402" t="s">
        <v>17</v>
      </c>
      <c r="D5334" s="601">
        <v>237.96</v>
      </c>
    </row>
    <row r="5335" spans="1:4" ht="40.5">
      <c r="A5335" s="402">
        <v>90723</v>
      </c>
      <c r="B5335" s="403" t="s">
        <v>2259</v>
      </c>
      <c r="C5335" s="402" t="s">
        <v>17</v>
      </c>
      <c r="D5335" s="601">
        <v>632.14</v>
      </c>
    </row>
    <row r="5336" spans="1:4" ht="27">
      <c r="A5336" s="402">
        <v>90724</v>
      </c>
      <c r="B5336" s="403" t="s">
        <v>2260</v>
      </c>
      <c r="C5336" s="402" t="s">
        <v>35</v>
      </c>
      <c r="D5336" s="601">
        <v>16.41</v>
      </c>
    </row>
    <row r="5337" spans="1:4" ht="27">
      <c r="A5337" s="402">
        <v>90725</v>
      </c>
      <c r="B5337" s="403" t="s">
        <v>2261</v>
      </c>
      <c r="C5337" s="402" t="s">
        <v>35</v>
      </c>
      <c r="D5337" s="601">
        <v>20.309999999999999</v>
      </c>
    </row>
    <row r="5338" spans="1:4" ht="27">
      <c r="A5338" s="402">
        <v>90726</v>
      </c>
      <c r="B5338" s="403" t="s">
        <v>516</v>
      </c>
      <c r="C5338" s="402" t="s">
        <v>35</v>
      </c>
      <c r="D5338" s="601">
        <v>24.21</v>
      </c>
    </row>
    <row r="5339" spans="1:4" ht="27">
      <c r="A5339" s="402">
        <v>90727</v>
      </c>
      <c r="B5339" s="403" t="s">
        <v>2262</v>
      </c>
      <c r="C5339" s="402" t="s">
        <v>35</v>
      </c>
      <c r="D5339" s="601">
        <v>28.12</v>
      </c>
    </row>
    <row r="5340" spans="1:4" ht="27">
      <c r="A5340" s="402">
        <v>90728</v>
      </c>
      <c r="B5340" s="403" t="s">
        <v>2263</v>
      </c>
      <c r="C5340" s="402" t="s">
        <v>35</v>
      </c>
      <c r="D5340" s="601">
        <v>32.01</v>
      </c>
    </row>
    <row r="5341" spans="1:4" ht="27">
      <c r="A5341" s="402">
        <v>90729</v>
      </c>
      <c r="B5341" s="403" t="s">
        <v>2264</v>
      </c>
      <c r="C5341" s="402" t="s">
        <v>35</v>
      </c>
      <c r="D5341" s="601">
        <v>35.909999999999997</v>
      </c>
    </row>
    <row r="5342" spans="1:4" ht="27">
      <c r="A5342" s="402">
        <v>90730</v>
      </c>
      <c r="B5342" s="403" t="s">
        <v>2265</v>
      </c>
      <c r="C5342" s="402" t="s">
        <v>35</v>
      </c>
      <c r="D5342" s="601">
        <v>39.86</v>
      </c>
    </row>
    <row r="5343" spans="1:4" ht="27">
      <c r="A5343" s="402">
        <v>90731</v>
      </c>
      <c r="B5343" s="403" t="s">
        <v>2266</v>
      </c>
      <c r="C5343" s="402" t="s">
        <v>35</v>
      </c>
      <c r="D5343" s="601">
        <v>43.76</v>
      </c>
    </row>
    <row r="5344" spans="1:4" ht="27">
      <c r="A5344" s="402">
        <v>90732</v>
      </c>
      <c r="B5344" s="403" t="s">
        <v>2267</v>
      </c>
      <c r="C5344" s="402" t="s">
        <v>35</v>
      </c>
      <c r="D5344" s="601">
        <v>55.46</v>
      </c>
    </row>
    <row r="5345" spans="1:4" ht="40.5">
      <c r="A5345" s="402">
        <v>90733</v>
      </c>
      <c r="B5345" s="403" t="s">
        <v>2268</v>
      </c>
      <c r="C5345" s="402" t="s">
        <v>17</v>
      </c>
      <c r="D5345" s="601">
        <v>1.74</v>
      </c>
    </row>
    <row r="5346" spans="1:4" ht="40.5">
      <c r="A5346" s="402">
        <v>90734</v>
      </c>
      <c r="B5346" s="403" t="s">
        <v>2269</v>
      </c>
      <c r="C5346" s="402" t="s">
        <v>17</v>
      </c>
      <c r="D5346" s="601">
        <v>2.12</v>
      </c>
    </row>
    <row r="5347" spans="1:4" ht="40.5">
      <c r="A5347" s="402">
        <v>90735</v>
      </c>
      <c r="B5347" s="403" t="s">
        <v>2270</v>
      </c>
      <c r="C5347" s="402" t="s">
        <v>17</v>
      </c>
      <c r="D5347" s="601">
        <v>2.52</v>
      </c>
    </row>
    <row r="5348" spans="1:4" ht="40.5">
      <c r="A5348" s="402">
        <v>90736</v>
      </c>
      <c r="B5348" s="403" t="s">
        <v>2271</v>
      </c>
      <c r="C5348" s="402" t="s">
        <v>17</v>
      </c>
      <c r="D5348" s="601">
        <v>2.91</v>
      </c>
    </row>
    <row r="5349" spans="1:4" ht="40.5">
      <c r="A5349" s="402">
        <v>90737</v>
      </c>
      <c r="B5349" s="403" t="s">
        <v>2272</v>
      </c>
      <c r="C5349" s="402" t="s">
        <v>17</v>
      </c>
      <c r="D5349" s="601">
        <v>3.3</v>
      </c>
    </row>
    <row r="5350" spans="1:4" ht="40.5">
      <c r="A5350" s="402">
        <v>90738</v>
      </c>
      <c r="B5350" s="403" t="s">
        <v>2273</v>
      </c>
      <c r="C5350" s="402" t="s">
        <v>17</v>
      </c>
      <c r="D5350" s="601">
        <v>3.69</v>
      </c>
    </row>
    <row r="5351" spans="1:4" ht="40.5">
      <c r="A5351" s="402">
        <v>90739</v>
      </c>
      <c r="B5351" s="403" t="s">
        <v>2274</v>
      </c>
      <c r="C5351" s="402" t="s">
        <v>17</v>
      </c>
      <c r="D5351" s="601">
        <v>8.5299999999999994</v>
      </c>
    </row>
    <row r="5352" spans="1:4" ht="40.5">
      <c r="A5352" s="402">
        <v>90740</v>
      </c>
      <c r="B5352" s="403" t="s">
        <v>2275</v>
      </c>
      <c r="C5352" s="402" t="s">
        <v>17</v>
      </c>
      <c r="D5352" s="601">
        <v>3.88</v>
      </c>
    </row>
    <row r="5353" spans="1:4" ht="40.5">
      <c r="A5353" s="402">
        <v>90741</v>
      </c>
      <c r="B5353" s="403" t="s">
        <v>2276</v>
      </c>
      <c r="C5353" s="402" t="s">
        <v>17</v>
      </c>
      <c r="D5353" s="601">
        <v>4.28</v>
      </c>
    </row>
    <row r="5354" spans="1:4" ht="40.5">
      <c r="A5354" s="402">
        <v>90742</v>
      </c>
      <c r="B5354" s="403" t="s">
        <v>2277</v>
      </c>
      <c r="C5354" s="402" t="s">
        <v>17</v>
      </c>
      <c r="D5354" s="601">
        <v>4.67</v>
      </c>
    </row>
    <row r="5355" spans="1:4" ht="40.5">
      <c r="A5355" s="402">
        <v>90743</v>
      </c>
      <c r="B5355" s="403" t="s">
        <v>2278</v>
      </c>
      <c r="C5355" s="402" t="s">
        <v>17</v>
      </c>
      <c r="D5355" s="601">
        <v>5.0599999999999996</v>
      </c>
    </row>
    <row r="5356" spans="1:4" ht="40.5">
      <c r="A5356" s="402">
        <v>90744</v>
      </c>
      <c r="B5356" s="403" t="s">
        <v>2279</v>
      </c>
      <c r="C5356" s="402" t="s">
        <v>17</v>
      </c>
      <c r="D5356" s="601">
        <v>5.45</v>
      </c>
    </row>
    <row r="5357" spans="1:4" ht="40.5">
      <c r="A5357" s="402">
        <v>90745</v>
      </c>
      <c r="B5357" s="403" t="s">
        <v>2280</v>
      </c>
      <c r="C5357" s="402" t="s">
        <v>17</v>
      </c>
      <c r="D5357" s="601">
        <v>12.19</v>
      </c>
    </row>
    <row r="5358" spans="1:4" ht="40.5">
      <c r="A5358" s="402">
        <v>90746</v>
      </c>
      <c r="B5358" s="403" t="s">
        <v>2281</v>
      </c>
      <c r="C5358" s="402" t="s">
        <v>17</v>
      </c>
      <c r="D5358" s="601">
        <v>2.36</v>
      </c>
    </row>
    <row r="5359" spans="1:4" ht="40.5">
      <c r="A5359" s="402">
        <v>90747</v>
      </c>
      <c r="B5359" s="403" t="s">
        <v>2282</v>
      </c>
      <c r="C5359" s="402" t="s">
        <v>17</v>
      </c>
      <c r="D5359" s="601">
        <v>9.4700000000000006</v>
      </c>
    </row>
    <row r="5360" spans="1:4" ht="40.5">
      <c r="A5360" s="402">
        <v>90748</v>
      </c>
      <c r="B5360" s="403" t="s">
        <v>2283</v>
      </c>
      <c r="C5360" s="402" t="s">
        <v>17</v>
      </c>
      <c r="D5360" s="601">
        <v>3.13</v>
      </c>
    </row>
    <row r="5361" spans="1:4" ht="40.5">
      <c r="A5361" s="402">
        <v>90749</v>
      </c>
      <c r="B5361" s="403" t="s">
        <v>2284</v>
      </c>
      <c r="C5361" s="402" t="s">
        <v>17</v>
      </c>
      <c r="D5361" s="601">
        <v>3.51</v>
      </c>
    </row>
    <row r="5362" spans="1:4" ht="40.5">
      <c r="A5362" s="402">
        <v>90750</v>
      </c>
      <c r="B5362" s="403" t="s">
        <v>2285</v>
      </c>
      <c r="C5362" s="402" t="s">
        <v>17</v>
      </c>
      <c r="D5362" s="601">
        <v>3.9</v>
      </c>
    </row>
    <row r="5363" spans="1:4" ht="40.5">
      <c r="A5363" s="402">
        <v>90751</v>
      </c>
      <c r="B5363" s="403" t="s">
        <v>2286</v>
      </c>
      <c r="C5363" s="402" t="s">
        <v>17</v>
      </c>
      <c r="D5363" s="601">
        <v>4.29</v>
      </c>
    </row>
    <row r="5364" spans="1:4" ht="40.5">
      <c r="A5364" s="402">
        <v>90752</v>
      </c>
      <c r="B5364" s="403" t="s">
        <v>2287</v>
      </c>
      <c r="C5364" s="402" t="s">
        <v>17</v>
      </c>
      <c r="D5364" s="601">
        <v>4.68</v>
      </c>
    </row>
    <row r="5365" spans="1:4" ht="40.5">
      <c r="A5365" s="402">
        <v>90753</v>
      </c>
      <c r="B5365" s="403" t="s">
        <v>2288</v>
      </c>
      <c r="C5365" s="402" t="s">
        <v>17</v>
      </c>
      <c r="D5365" s="601">
        <v>5.08</v>
      </c>
    </row>
    <row r="5366" spans="1:4" ht="40.5">
      <c r="A5366" s="402">
        <v>90754</v>
      </c>
      <c r="B5366" s="403" t="s">
        <v>2289</v>
      </c>
      <c r="C5366" s="402" t="s">
        <v>17</v>
      </c>
      <c r="D5366" s="601">
        <v>11.42</v>
      </c>
    </row>
    <row r="5367" spans="1:4" ht="40.5">
      <c r="A5367" s="402">
        <v>90755</v>
      </c>
      <c r="B5367" s="403" t="s">
        <v>2290</v>
      </c>
      <c r="C5367" s="402" t="s">
        <v>17</v>
      </c>
      <c r="D5367" s="601">
        <v>5.27</v>
      </c>
    </row>
    <row r="5368" spans="1:4" ht="40.5">
      <c r="A5368" s="402">
        <v>90756</v>
      </c>
      <c r="B5368" s="403" t="s">
        <v>2291</v>
      </c>
      <c r="C5368" s="402" t="s">
        <v>17</v>
      </c>
      <c r="D5368" s="601">
        <v>5.66</v>
      </c>
    </row>
    <row r="5369" spans="1:4" ht="40.5">
      <c r="A5369" s="402">
        <v>90757</v>
      </c>
      <c r="B5369" s="403" t="s">
        <v>2292</v>
      </c>
      <c r="C5369" s="402" t="s">
        <v>17</v>
      </c>
      <c r="D5369" s="601">
        <v>6.05</v>
      </c>
    </row>
    <row r="5370" spans="1:4" ht="40.5">
      <c r="A5370" s="402">
        <v>90758</v>
      </c>
      <c r="B5370" s="403" t="s">
        <v>2293</v>
      </c>
      <c r="C5370" s="402" t="s">
        <v>17</v>
      </c>
      <c r="D5370" s="601">
        <v>6.44</v>
      </c>
    </row>
    <row r="5371" spans="1:4" ht="40.5">
      <c r="A5371" s="402">
        <v>90759</v>
      </c>
      <c r="B5371" s="403" t="s">
        <v>2294</v>
      </c>
      <c r="C5371" s="402" t="s">
        <v>17</v>
      </c>
      <c r="D5371" s="601">
        <v>6.83</v>
      </c>
    </row>
    <row r="5372" spans="1:4" ht="40.5">
      <c r="A5372" s="402">
        <v>90760</v>
      </c>
      <c r="B5372" s="403" t="s">
        <v>2295</v>
      </c>
      <c r="C5372" s="402" t="s">
        <v>17</v>
      </c>
      <c r="D5372" s="601">
        <v>15.1</v>
      </c>
    </row>
    <row r="5373" spans="1:4" ht="40.5">
      <c r="A5373" s="402">
        <v>90761</v>
      </c>
      <c r="B5373" s="403" t="s">
        <v>2296</v>
      </c>
      <c r="C5373" s="402" t="s">
        <v>17</v>
      </c>
      <c r="D5373" s="601">
        <v>2.9</v>
      </c>
    </row>
    <row r="5374" spans="1:4" ht="40.5">
      <c r="A5374" s="402">
        <v>90762</v>
      </c>
      <c r="B5374" s="403" t="s">
        <v>2297</v>
      </c>
      <c r="C5374" s="402" t="s">
        <v>17</v>
      </c>
      <c r="D5374" s="601">
        <v>11.28</v>
      </c>
    </row>
    <row r="5375" spans="1:4" ht="40.5">
      <c r="A5375" s="402">
        <v>94869</v>
      </c>
      <c r="B5375" s="403" t="s">
        <v>3517</v>
      </c>
      <c r="C5375" s="402" t="s">
        <v>17</v>
      </c>
      <c r="D5375" s="601">
        <v>128.59</v>
      </c>
    </row>
    <row r="5376" spans="1:4" ht="40.5">
      <c r="A5376" s="402">
        <v>94870</v>
      </c>
      <c r="B5376" s="403" t="s">
        <v>3518</v>
      </c>
      <c r="C5376" s="402" t="s">
        <v>17</v>
      </c>
      <c r="D5376" s="601">
        <v>0.56999999999999995</v>
      </c>
    </row>
    <row r="5377" spans="1:4" ht="40.5">
      <c r="A5377" s="402">
        <v>94871</v>
      </c>
      <c r="B5377" s="403" t="s">
        <v>3519</v>
      </c>
      <c r="C5377" s="402" t="s">
        <v>17</v>
      </c>
      <c r="D5377" s="601">
        <v>152.34</v>
      </c>
    </row>
    <row r="5378" spans="1:4" ht="40.5">
      <c r="A5378" s="402">
        <v>94872</v>
      </c>
      <c r="B5378" s="403" t="s">
        <v>3520</v>
      </c>
      <c r="C5378" s="402" t="s">
        <v>17</v>
      </c>
      <c r="D5378" s="601">
        <v>1.01</v>
      </c>
    </row>
    <row r="5379" spans="1:4" ht="40.5">
      <c r="A5379" s="402">
        <v>94875</v>
      </c>
      <c r="B5379" s="403" t="s">
        <v>3521</v>
      </c>
      <c r="C5379" s="402" t="s">
        <v>17</v>
      </c>
      <c r="D5379" s="601">
        <v>890.7</v>
      </c>
    </row>
    <row r="5380" spans="1:4" ht="40.5">
      <c r="A5380" s="402">
        <v>94876</v>
      </c>
      <c r="B5380" s="403" t="s">
        <v>3522</v>
      </c>
      <c r="C5380" s="402" t="s">
        <v>17</v>
      </c>
      <c r="D5380" s="601">
        <v>14.36</v>
      </c>
    </row>
    <row r="5381" spans="1:4" ht="40.5">
      <c r="A5381" s="402">
        <v>94878</v>
      </c>
      <c r="B5381" s="403" t="s">
        <v>3523</v>
      </c>
      <c r="C5381" s="402" t="s">
        <v>17</v>
      </c>
      <c r="D5381" s="601">
        <v>16.850000000000001</v>
      </c>
    </row>
    <row r="5382" spans="1:4" ht="40.5">
      <c r="A5382" s="402">
        <v>94879</v>
      </c>
      <c r="B5382" s="403" t="s">
        <v>3524</v>
      </c>
      <c r="C5382" s="402" t="s">
        <v>17</v>
      </c>
      <c r="D5382" s="601">
        <v>1187.49</v>
      </c>
    </row>
    <row r="5383" spans="1:4" ht="40.5">
      <c r="A5383" s="402">
        <v>94880</v>
      </c>
      <c r="B5383" s="403" t="s">
        <v>3525</v>
      </c>
      <c r="C5383" s="402" t="s">
        <v>17</v>
      </c>
      <c r="D5383" s="601">
        <v>20.63</v>
      </c>
    </row>
    <row r="5384" spans="1:4" ht="40.5">
      <c r="A5384" s="402">
        <v>94881</v>
      </c>
      <c r="B5384" s="403" t="s">
        <v>3526</v>
      </c>
      <c r="C5384" s="402" t="s">
        <v>17</v>
      </c>
      <c r="D5384" s="601">
        <v>1852.39</v>
      </c>
    </row>
    <row r="5385" spans="1:4" ht="40.5">
      <c r="A5385" s="402">
        <v>94882</v>
      </c>
      <c r="B5385" s="403" t="s">
        <v>3527</v>
      </c>
      <c r="C5385" s="402" t="s">
        <v>17</v>
      </c>
      <c r="D5385" s="601">
        <v>24.48</v>
      </c>
    </row>
    <row r="5386" spans="1:4" ht="40.5">
      <c r="A5386" s="402">
        <v>94884</v>
      </c>
      <c r="B5386" s="403" t="s">
        <v>3528</v>
      </c>
      <c r="C5386" s="402" t="s">
        <v>17</v>
      </c>
      <c r="D5386" s="601">
        <v>32.28</v>
      </c>
    </row>
    <row r="5387" spans="1:4" ht="40.5">
      <c r="A5387" s="402">
        <v>94885</v>
      </c>
      <c r="B5387" s="403" t="s">
        <v>3529</v>
      </c>
      <c r="C5387" s="402" t="s">
        <v>17</v>
      </c>
      <c r="D5387" s="601">
        <v>128.77000000000001</v>
      </c>
    </row>
    <row r="5388" spans="1:4" ht="40.5">
      <c r="A5388" s="402">
        <v>94886</v>
      </c>
      <c r="B5388" s="403" t="s">
        <v>3530</v>
      </c>
      <c r="C5388" s="402" t="s">
        <v>17</v>
      </c>
      <c r="D5388" s="601">
        <v>0.75</v>
      </c>
    </row>
    <row r="5389" spans="1:4" ht="40.5">
      <c r="A5389" s="402">
        <v>94887</v>
      </c>
      <c r="B5389" s="403" t="s">
        <v>3531</v>
      </c>
      <c r="C5389" s="402" t="s">
        <v>17</v>
      </c>
      <c r="D5389" s="601">
        <v>152.61000000000001</v>
      </c>
    </row>
    <row r="5390" spans="1:4" ht="40.5">
      <c r="A5390" s="402">
        <v>94888</v>
      </c>
      <c r="B5390" s="403" t="s">
        <v>3532</v>
      </c>
      <c r="C5390" s="402" t="s">
        <v>17</v>
      </c>
      <c r="D5390" s="601">
        <v>1.28</v>
      </c>
    </row>
    <row r="5391" spans="1:4" ht="40.5">
      <c r="A5391" s="402">
        <v>94891</v>
      </c>
      <c r="B5391" s="403" t="s">
        <v>3533</v>
      </c>
      <c r="C5391" s="402" t="s">
        <v>17</v>
      </c>
      <c r="D5391" s="601">
        <v>893.02</v>
      </c>
    </row>
    <row r="5392" spans="1:4" ht="40.5">
      <c r="A5392" s="402">
        <v>94892</v>
      </c>
      <c r="B5392" s="403" t="s">
        <v>3534</v>
      </c>
      <c r="C5392" s="402" t="s">
        <v>17</v>
      </c>
      <c r="D5392" s="601">
        <v>16.68</v>
      </c>
    </row>
    <row r="5393" spans="1:4" ht="40.5">
      <c r="A5393" s="402">
        <v>94894</v>
      </c>
      <c r="B5393" s="403" t="s">
        <v>3535</v>
      </c>
      <c r="C5393" s="402" t="s">
        <v>17</v>
      </c>
      <c r="D5393" s="601">
        <v>19.36</v>
      </c>
    </row>
    <row r="5394" spans="1:4" ht="40.5">
      <c r="A5394" s="402">
        <v>94895</v>
      </c>
      <c r="B5394" s="403" t="s">
        <v>3536</v>
      </c>
      <c r="C5394" s="402" t="s">
        <v>17</v>
      </c>
      <c r="D5394" s="601">
        <v>1190.25</v>
      </c>
    </row>
    <row r="5395" spans="1:4" ht="40.5">
      <c r="A5395" s="402">
        <v>94896</v>
      </c>
      <c r="B5395" s="403" t="s">
        <v>3537</v>
      </c>
      <c r="C5395" s="402" t="s">
        <v>17</v>
      </c>
      <c r="D5395" s="601">
        <v>23.39</v>
      </c>
    </row>
    <row r="5396" spans="1:4" ht="40.5">
      <c r="A5396" s="402">
        <v>94897</v>
      </c>
      <c r="B5396" s="403" t="s">
        <v>3538</v>
      </c>
      <c r="C5396" s="402" t="s">
        <v>17</v>
      </c>
      <c r="D5396" s="601">
        <v>1855.34</v>
      </c>
    </row>
    <row r="5397" spans="1:4" ht="40.5">
      <c r="A5397" s="402">
        <v>94898</v>
      </c>
      <c r="B5397" s="403" t="s">
        <v>3539</v>
      </c>
      <c r="C5397" s="402" t="s">
        <v>17</v>
      </c>
      <c r="D5397" s="601">
        <v>27.43</v>
      </c>
    </row>
    <row r="5398" spans="1:4" ht="40.5">
      <c r="A5398" s="402">
        <v>94900</v>
      </c>
      <c r="B5398" s="403" t="s">
        <v>3540</v>
      </c>
      <c r="C5398" s="402" t="s">
        <v>17</v>
      </c>
      <c r="D5398" s="601">
        <v>35.520000000000003</v>
      </c>
    </row>
    <row r="5399" spans="1:4" ht="40.5">
      <c r="A5399" s="402">
        <v>97121</v>
      </c>
      <c r="B5399" s="403" t="s">
        <v>4522</v>
      </c>
      <c r="C5399" s="402" t="s">
        <v>17</v>
      </c>
      <c r="D5399" s="601">
        <v>1.36</v>
      </c>
    </row>
    <row r="5400" spans="1:4" ht="40.5">
      <c r="A5400" s="402">
        <v>97122</v>
      </c>
      <c r="B5400" s="403" t="s">
        <v>4523</v>
      </c>
      <c r="C5400" s="402" t="s">
        <v>17</v>
      </c>
      <c r="D5400" s="601">
        <v>1.9</v>
      </c>
    </row>
    <row r="5401" spans="1:4" ht="40.5">
      <c r="A5401" s="402">
        <v>97123</v>
      </c>
      <c r="B5401" s="403" t="s">
        <v>4524</v>
      </c>
      <c r="C5401" s="402" t="s">
        <v>17</v>
      </c>
      <c r="D5401" s="601">
        <v>2.42</v>
      </c>
    </row>
    <row r="5402" spans="1:4" ht="40.5">
      <c r="A5402" s="402">
        <v>97124</v>
      </c>
      <c r="B5402" s="403" t="s">
        <v>4525</v>
      </c>
      <c r="C5402" s="402" t="s">
        <v>17</v>
      </c>
      <c r="D5402" s="601">
        <v>0.63</v>
      </c>
    </row>
    <row r="5403" spans="1:4" ht="40.5">
      <c r="A5403" s="402">
        <v>97125</v>
      </c>
      <c r="B5403" s="403" t="s">
        <v>4526</v>
      </c>
      <c r="C5403" s="402" t="s">
        <v>17</v>
      </c>
      <c r="D5403" s="601">
        <v>0.9</v>
      </c>
    </row>
    <row r="5404" spans="1:4" ht="40.5">
      <c r="A5404" s="402">
        <v>97126</v>
      </c>
      <c r="B5404" s="403" t="s">
        <v>4527</v>
      </c>
      <c r="C5404" s="402" t="s">
        <v>17</v>
      </c>
      <c r="D5404" s="601">
        <v>1.1599999999999999</v>
      </c>
    </row>
    <row r="5405" spans="1:4" ht="40.5">
      <c r="A5405" s="402">
        <v>92833</v>
      </c>
      <c r="B5405" s="403" t="s">
        <v>3017</v>
      </c>
      <c r="C5405" s="402" t="s">
        <v>17</v>
      </c>
      <c r="D5405" s="601">
        <v>144.76</v>
      </c>
    </row>
    <row r="5406" spans="1:4" ht="40.5">
      <c r="A5406" s="402">
        <v>92834</v>
      </c>
      <c r="B5406" s="403" t="s">
        <v>3018</v>
      </c>
      <c r="C5406" s="402" t="s">
        <v>17</v>
      </c>
      <c r="D5406" s="601">
        <v>5.27</v>
      </c>
    </row>
    <row r="5407" spans="1:4" ht="40.5">
      <c r="A5407" s="402">
        <v>92835</v>
      </c>
      <c r="B5407" s="403" t="s">
        <v>3019</v>
      </c>
      <c r="C5407" s="402" t="s">
        <v>17</v>
      </c>
      <c r="D5407" s="601">
        <v>189.19</v>
      </c>
    </row>
    <row r="5408" spans="1:4" ht="40.5">
      <c r="A5408" s="402">
        <v>92836</v>
      </c>
      <c r="B5408" s="403" t="s">
        <v>3020</v>
      </c>
      <c r="C5408" s="402" t="s">
        <v>17</v>
      </c>
      <c r="D5408" s="601">
        <v>6.74</v>
      </c>
    </row>
    <row r="5409" spans="1:4" ht="40.5">
      <c r="A5409" s="402">
        <v>92837</v>
      </c>
      <c r="B5409" s="403" t="s">
        <v>3021</v>
      </c>
      <c r="C5409" s="402" t="s">
        <v>17</v>
      </c>
      <c r="D5409" s="601">
        <v>238.65</v>
      </c>
    </row>
    <row r="5410" spans="1:4" ht="40.5">
      <c r="A5410" s="402">
        <v>92838</v>
      </c>
      <c r="B5410" s="403" t="s">
        <v>3022</v>
      </c>
      <c r="C5410" s="402" t="s">
        <v>17</v>
      </c>
      <c r="D5410" s="601">
        <v>8.09</v>
      </c>
    </row>
    <row r="5411" spans="1:4" ht="40.5">
      <c r="A5411" s="402">
        <v>92839</v>
      </c>
      <c r="B5411" s="403" t="s">
        <v>3023</v>
      </c>
      <c r="C5411" s="402" t="s">
        <v>17</v>
      </c>
      <c r="D5411" s="601">
        <v>312.16000000000003</v>
      </c>
    </row>
    <row r="5412" spans="1:4" ht="40.5">
      <c r="A5412" s="402">
        <v>92840</v>
      </c>
      <c r="B5412" s="403" t="s">
        <v>3024</v>
      </c>
      <c r="C5412" s="402" t="s">
        <v>17</v>
      </c>
      <c r="D5412" s="601">
        <v>9.59</v>
      </c>
    </row>
    <row r="5413" spans="1:4" ht="40.5">
      <c r="A5413" s="402">
        <v>92841</v>
      </c>
      <c r="B5413" s="403" t="s">
        <v>3025</v>
      </c>
      <c r="C5413" s="402" t="s">
        <v>17</v>
      </c>
      <c r="D5413" s="601">
        <v>352.05</v>
      </c>
    </row>
    <row r="5414" spans="1:4" ht="40.5">
      <c r="A5414" s="402">
        <v>92842</v>
      </c>
      <c r="B5414" s="403" t="s">
        <v>3026</v>
      </c>
      <c r="C5414" s="402" t="s">
        <v>17</v>
      </c>
      <c r="D5414" s="601">
        <v>10.94</v>
      </c>
    </row>
    <row r="5415" spans="1:4" ht="40.5">
      <c r="A5415" s="402">
        <v>92844</v>
      </c>
      <c r="B5415" s="403" t="s">
        <v>3027</v>
      </c>
      <c r="C5415" s="402" t="s">
        <v>17</v>
      </c>
      <c r="D5415" s="601">
        <v>12.45</v>
      </c>
    </row>
    <row r="5416" spans="1:4" ht="40.5">
      <c r="A5416" s="402">
        <v>92846</v>
      </c>
      <c r="B5416" s="403" t="s">
        <v>3028</v>
      </c>
      <c r="C5416" s="402" t="s">
        <v>17</v>
      </c>
      <c r="D5416" s="601">
        <v>13.8</v>
      </c>
    </row>
    <row r="5417" spans="1:4" ht="40.5">
      <c r="A5417" s="402">
        <v>92847</v>
      </c>
      <c r="B5417" s="403" t="s">
        <v>3029</v>
      </c>
      <c r="C5417" s="402" t="s">
        <v>17</v>
      </c>
      <c r="D5417" s="601">
        <v>609.38</v>
      </c>
    </row>
    <row r="5418" spans="1:4" ht="40.5">
      <c r="A5418" s="402">
        <v>92848</v>
      </c>
      <c r="B5418" s="403" t="s">
        <v>3030</v>
      </c>
      <c r="C5418" s="402" t="s">
        <v>17</v>
      </c>
      <c r="D5418" s="601">
        <v>15.3</v>
      </c>
    </row>
    <row r="5419" spans="1:4" ht="40.5">
      <c r="A5419" s="402">
        <v>92849</v>
      </c>
      <c r="B5419" s="403" t="s">
        <v>3031</v>
      </c>
      <c r="C5419" s="402" t="s">
        <v>17</v>
      </c>
      <c r="D5419" s="601">
        <v>149.41</v>
      </c>
    </row>
    <row r="5420" spans="1:4" ht="40.5">
      <c r="A5420" s="402">
        <v>92850</v>
      </c>
      <c r="B5420" s="403" t="s">
        <v>3032</v>
      </c>
      <c r="C5420" s="402" t="s">
        <v>17</v>
      </c>
      <c r="D5420" s="601">
        <v>9.99</v>
      </c>
    </row>
    <row r="5421" spans="1:4" ht="40.5">
      <c r="A5421" s="402">
        <v>92851</v>
      </c>
      <c r="B5421" s="403" t="s">
        <v>3033</v>
      </c>
      <c r="C5421" s="402" t="s">
        <v>17</v>
      </c>
      <c r="D5421" s="601">
        <v>194.98</v>
      </c>
    </row>
    <row r="5422" spans="1:4" ht="40.5">
      <c r="A5422" s="402">
        <v>92852</v>
      </c>
      <c r="B5422" s="403" t="s">
        <v>3034</v>
      </c>
      <c r="C5422" s="402" t="s">
        <v>17</v>
      </c>
      <c r="D5422" s="601">
        <v>12.62</v>
      </c>
    </row>
    <row r="5423" spans="1:4" ht="40.5">
      <c r="A5423" s="402">
        <v>92853</v>
      </c>
      <c r="B5423" s="403" t="s">
        <v>3035</v>
      </c>
      <c r="C5423" s="402" t="s">
        <v>17</v>
      </c>
      <c r="D5423" s="601">
        <v>245.81</v>
      </c>
    </row>
    <row r="5424" spans="1:4" ht="40.5">
      <c r="A5424" s="402">
        <v>92854</v>
      </c>
      <c r="B5424" s="403" t="s">
        <v>3036</v>
      </c>
      <c r="C5424" s="402" t="s">
        <v>17</v>
      </c>
      <c r="D5424" s="601">
        <v>15.36</v>
      </c>
    </row>
    <row r="5425" spans="1:4" ht="40.5">
      <c r="A5425" s="402">
        <v>92855</v>
      </c>
      <c r="B5425" s="403" t="s">
        <v>3037</v>
      </c>
      <c r="C5425" s="402" t="s">
        <v>17</v>
      </c>
      <c r="D5425" s="601">
        <v>320.55</v>
      </c>
    </row>
    <row r="5426" spans="1:4" ht="40.5">
      <c r="A5426" s="402">
        <v>92856</v>
      </c>
      <c r="B5426" s="403" t="s">
        <v>3038</v>
      </c>
      <c r="C5426" s="402" t="s">
        <v>17</v>
      </c>
      <c r="D5426" s="601">
        <v>18.100000000000001</v>
      </c>
    </row>
    <row r="5427" spans="1:4" ht="40.5">
      <c r="A5427" s="402">
        <v>92857</v>
      </c>
      <c r="B5427" s="403" t="s">
        <v>3039</v>
      </c>
      <c r="C5427" s="402" t="s">
        <v>17</v>
      </c>
      <c r="D5427" s="601">
        <v>361.7</v>
      </c>
    </row>
    <row r="5428" spans="1:4" ht="40.5">
      <c r="A5428" s="402">
        <v>92858</v>
      </c>
      <c r="B5428" s="403" t="s">
        <v>3040</v>
      </c>
      <c r="C5428" s="402" t="s">
        <v>17</v>
      </c>
      <c r="D5428" s="601">
        <v>20.73</v>
      </c>
    </row>
    <row r="5429" spans="1:4" ht="40.5">
      <c r="A5429" s="402">
        <v>92860</v>
      </c>
      <c r="B5429" s="403" t="s">
        <v>3041</v>
      </c>
      <c r="C5429" s="402" t="s">
        <v>17</v>
      </c>
      <c r="D5429" s="601">
        <v>23.54</v>
      </c>
    </row>
    <row r="5430" spans="1:4" ht="40.5">
      <c r="A5430" s="402">
        <v>92862</v>
      </c>
      <c r="B5430" s="403" t="s">
        <v>3042</v>
      </c>
      <c r="C5430" s="402" t="s">
        <v>17</v>
      </c>
      <c r="D5430" s="601">
        <v>26.27</v>
      </c>
    </row>
    <row r="5431" spans="1:4" ht="40.5">
      <c r="A5431" s="402">
        <v>92863</v>
      </c>
      <c r="B5431" s="403" t="s">
        <v>3043</v>
      </c>
      <c r="C5431" s="402" t="s">
        <v>17</v>
      </c>
      <c r="D5431" s="601">
        <v>622.89</v>
      </c>
    </row>
    <row r="5432" spans="1:4" ht="40.5">
      <c r="A5432" s="402">
        <v>92864</v>
      </c>
      <c r="B5432" s="403" t="s">
        <v>3044</v>
      </c>
      <c r="C5432" s="402" t="s">
        <v>17</v>
      </c>
      <c r="D5432" s="601">
        <v>29.01</v>
      </c>
    </row>
    <row r="5433" spans="1:4" ht="40.5">
      <c r="A5433" s="402">
        <v>92210</v>
      </c>
      <c r="B5433" s="403" t="s">
        <v>2621</v>
      </c>
      <c r="C5433" s="402" t="s">
        <v>17</v>
      </c>
      <c r="D5433" s="601">
        <v>102.82</v>
      </c>
    </row>
    <row r="5434" spans="1:4" ht="40.5">
      <c r="A5434" s="402">
        <v>92211</v>
      </c>
      <c r="B5434" s="403" t="s">
        <v>2622</v>
      </c>
      <c r="C5434" s="402" t="s">
        <v>17</v>
      </c>
      <c r="D5434" s="601">
        <v>132.63</v>
      </c>
    </row>
    <row r="5435" spans="1:4" ht="40.5">
      <c r="A5435" s="402">
        <v>92212</v>
      </c>
      <c r="B5435" s="403" t="s">
        <v>2623</v>
      </c>
      <c r="C5435" s="402" t="s">
        <v>17</v>
      </c>
      <c r="D5435" s="601">
        <v>170.62</v>
      </c>
    </row>
    <row r="5436" spans="1:4" ht="40.5">
      <c r="A5436" s="402">
        <v>92213</v>
      </c>
      <c r="B5436" s="403" t="s">
        <v>2624</v>
      </c>
      <c r="C5436" s="402" t="s">
        <v>17</v>
      </c>
      <c r="D5436" s="601">
        <v>228.62</v>
      </c>
    </row>
    <row r="5437" spans="1:4" ht="40.5">
      <c r="A5437" s="402">
        <v>92214</v>
      </c>
      <c r="B5437" s="403" t="s">
        <v>2625</v>
      </c>
      <c r="C5437" s="402" t="s">
        <v>17</v>
      </c>
      <c r="D5437" s="601">
        <v>260.83</v>
      </c>
    </row>
    <row r="5438" spans="1:4" ht="40.5">
      <c r="A5438" s="402">
        <v>92215</v>
      </c>
      <c r="B5438" s="403" t="s">
        <v>2626</v>
      </c>
      <c r="C5438" s="402" t="s">
        <v>17</v>
      </c>
      <c r="D5438" s="601">
        <v>316.83999999999997</v>
      </c>
    </row>
    <row r="5439" spans="1:4" ht="40.5">
      <c r="A5439" s="402">
        <v>92216</v>
      </c>
      <c r="B5439" s="403" t="s">
        <v>2627</v>
      </c>
      <c r="C5439" s="402" t="s">
        <v>17</v>
      </c>
      <c r="D5439" s="601">
        <v>355.01</v>
      </c>
    </row>
    <row r="5440" spans="1:4" ht="40.5">
      <c r="A5440" s="402">
        <v>92219</v>
      </c>
      <c r="B5440" s="403" t="s">
        <v>2628</v>
      </c>
      <c r="C5440" s="402" t="s">
        <v>17</v>
      </c>
      <c r="D5440" s="601">
        <v>108.7</v>
      </c>
    </row>
    <row r="5441" spans="1:4" ht="40.5">
      <c r="A5441" s="402">
        <v>92220</v>
      </c>
      <c r="B5441" s="403" t="s">
        <v>2629</v>
      </c>
      <c r="C5441" s="402" t="s">
        <v>17</v>
      </c>
      <c r="D5441" s="601">
        <v>139.9</v>
      </c>
    </row>
    <row r="5442" spans="1:4" ht="40.5">
      <c r="A5442" s="402">
        <v>92221</v>
      </c>
      <c r="B5442" s="403" t="s">
        <v>2630</v>
      </c>
      <c r="C5442" s="402" t="s">
        <v>17</v>
      </c>
      <c r="D5442" s="601">
        <v>179.15</v>
      </c>
    </row>
    <row r="5443" spans="1:4" ht="40.5">
      <c r="A5443" s="402">
        <v>92222</v>
      </c>
      <c r="B5443" s="403" t="s">
        <v>2631</v>
      </c>
      <c r="C5443" s="402" t="s">
        <v>17</v>
      </c>
      <c r="D5443" s="601">
        <v>238.52</v>
      </c>
    </row>
    <row r="5444" spans="1:4" ht="40.5">
      <c r="A5444" s="402">
        <v>92223</v>
      </c>
      <c r="B5444" s="403" t="s">
        <v>2632</v>
      </c>
      <c r="C5444" s="402" t="s">
        <v>17</v>
      </c>
      <c r="D5444" s="601">
        <v>271.92</v>
      </c>
    </row>
    <row r="5445" spans="1:4" ht="40.5">
      <c r="A5445" s="402">
        <v>92224</v>
      </c>
      <c r="B5445" s="403" t="s">
        <v>2633</v>
      </c>
      <c r="C5445" s="402" t="s">
        <v>17</v>
      </c>
      <c r="D5445" s="601">
        <v>329.15</v>
      </c>
    </row>
    <row r="5446" spans="1:4" ht="40.5">
      <c r="A5446" s="402">
        <v>92226</v>
      </c>
      <c r="B5446" s="403" t="s">
        <v>2634</v>
      </c>
      <c r="C5446" s="402" t="s">
        <v>17</v>
      </c>
      <c r="D5446" s="601">
        <v>368.78</v>
      </c>
    </row>
    <row r="5447" spans="1:4" ht="40.5">
      <c r="A5447" s="402">
        <v>92808</v>
      </c>
      <c r="B5447" s="403" t="s">
        <v>2993</v>
      </c>
      <c r="C5447" s="402" t="s">
        <v>17</v>
      </c>
      <c r="D5447" s="601">
        <v>23.86</v>
      </c>
    </row>
    <row r="5448" spans="1:4" ht="40.5">
      <c r="A5448" s="402">
        <v>92809</v>
      </c>
      <c r="B5448" s="403" t="s">
        <v>2994</v>
      </c>
      <c r="C5448" s="402" t="s">
        <v>17</v>
      </c>
      <c r="D5448" s="601">
        <v>30.65</v>
      </c>
    </row>
    <row r="5449" spans="1:4" ht="40.5">
      <c r="A5449" s="402">
        <v>92810</v>
      </c>
      <c r="B5449" s="403" t="s">
        <v>2995</v>
      </c>
      <c r="C5449" s="402" t="s">
        <v>17</v>
      </c>
      <c r="D5449" s="601">
        <v>37.340000000000003</v>
      </c>
    </row>
    <row r="5450" spans="1:4" ht="40.5">
      <c r="A5450" s="402">
        <v>92811</v>
      </c>
      <c r="B5450" s="403" t="s">
        <v>2996</v>
      </c>
      <c r="C5450" s="402" t="s">
        <v>17</v>
      </c>
      <c r="D5450" s="601">
        <v>44.55</v>
      </c>
    </row>
    <row r="5451" spans="1:4" ht="40.5">
      <c r="A5451" s="402">
        <v>92812</v>
      </c>
      <c r="B5451" s="403" t="s">
        <v>2997</v>
      </c>
      <c r="C5451" s="402" t="s">
        <v>17</v>
      </c>
      <c r="D5451" s="601">
        <v>51.67</v>
      </c>
    </row>
    <row r="5452" spans="1:4" ht="40.5">
      <c r="A5452" s="402">
        <v>92813</v>
      </c>
      <c r="B5452" s="403" t="s">
        <v>2998</v>
      </c>
      <c r="C5452" s="402" t="s">
        <v>17</v>
      </c>
      <c r="D5452" s="601">
        <v>60.17</v>
      </c>
    </row>
    <row r="5453" spans="1:4" ht="40.5">
      <c r="A5453" s="402">
        <v>92814</v>
      </c>
      <c r="B5453" s="403" t="s">
        <v>2999</v>
      </c>
      <c r="C5453" s="402" t="s">
        <v>17</v>
      </c>
      <c r="D5453" s="601">
        <v>69.099999999999994</v>
      </c>
    </row>
    <row r="5454" spans="1:4" ht="40.5">
      <c r="A5454" s="402">
        <v>92815</v>
      </c>
      <c r="B5454" s="403" t="s">
        <v>3000</v>
      </c>
      <c r="C5454" s="402" t="s">
        <v>17</v>
      </c>
      <c r="D5454" s="601">
        <v>79.569999999999993</v>
      </c>
    </row>
    <row r="5455" spans="1:4" ht="40.5">
      <c r="A5455" s="402">
        <v>92816</v>
      </c>
      <c r="B5455" s="403" t="s">
        <v>3001</v>
      </c>
      <c r="C5455" s="402" t="s">
        <v>17</v>
      </c>
      <c r="D5455" s="601">
        <v>489.92</v>
      </c>
    </row>
    <row r="5456" spans="1:4" ht="40.5">
      <c r="A5456" s="402">
        <v>92817</v>
      </c>
      <c r="B5456" s="403" t="s">
        <v>3002</v>
      </c>
      <c r="C5456" s="402" t="s">
        <v>17</v>
      </c>
      <c r="D5456" s="601">
        <v>99.57</v>
      </c>
    </row>
    <row r="5457" spans="1:4" ht="40.5">
      <c r="A5457" s="402">
        <v>92818</v>
      </c>
      <c r="B5457" s="403" t="s">
        <v>3003</v>
      </c>
      <c r="C5457" s="402" t="s">
        <v>17</v>
      </c>
      <c r="D5457" s="601">
        <v>714.66</v>
      </c>
    </row>
    <row r="5458" spans="1:4" ht="40.5">
      <c r="A5458" s="402">
        <v>92819</v>
      </c>
      <c r="B5458" s="403" t="s">
        <v>3004</v>
      </c>
      <c r="C5458" s="402" t="s">
        <v>17</v>
      </c>
      <c r="D5458" s="601">
        <v>134.04</v>
      </c>
    </row>
    <row r="5459" spans="1:4" ht="40.5">
      <c r="A5459" s="402">
        <v>92820</v>
      </c>
      <c r="B5459" s="403" t="s">
        <v>3005</v>
      </c>
      <c r="C5459" s="402" t="s">
        <v>17</v>
      </c>
      <c r="D5459" s="601">
        <v>28.45</v>
      </c>
    </row>
    <row r="5460" spans="1:4" ht="40.5">
      <c r="A5460" s="402">
        <v>92821</v>
      </c>
      <c r="B5460" s="403" t="s">
        <v>3006</v>
      </c>
      <c r="C5460" s="402" t="s">
        <v>17</v>
      </c>
      <c r="D5460" s="601">
        <v>36.53</v>
      </c>
    </row>
    <row r="5461" spans="1:4" ht="40.5">
      <c r="A5461" s="402">
        <v>92822</v>
      </c>
      <c r="B5461" s="403" t="s">
        <v>3007</v>
      </c>
      <c r="C5461" s="402" t="s">
        <v>17</v>
      </c>
      <c r="D5461" s="601">
        <v>44.61</v>
      </c>
    </row>
    <row r="5462" spans="1:4" ht="40.5">
      <c r="A5462" s="402">
        <v>92824</v>
      </c>
      <c r="B5462" s="403" t="s">
        <v>3008</v>
      </c>
      <c r="C5462" s="402" t="s">
        <v>17</v>
      </c>
      <c r="D5462" s="601">
        <v>53.08</v>
      </c>
    </row>
    <row r="5463" spans="1:4" ht="40.5">
      <c r="A5463" s="402">
        <v>92825</v>
      </c>
      <c r="B5463" s="403" t="s">
        <v>3009</v>
      </c>
      <c r="C5463" s="402" t="s">
        <v>17</v>
      </c>
      <c r="D5463" s="601">
        <v>61.57</v>
      </c>
    </row>
    <row r="5464" spans="1:4" ht="40.5">
      <c r="A5464" s="402">
        <v>92826</v>
      </c>
      <c r="B5464" s="403" t="s">
        <v>3010</v>
      </c>
      <c r="C5464" s="402" t="s">
        <v>17</v>
      </c>
      <c r="D5464" s="601">
        <v>71.260000000000005</v>
      </c>
    </row>
    <row r="5465" spans="1:4" ht="40.5">
      <c r="A5465" s="402">
        <v>92827</v>
      </c>
      <c r="B5465" s="403" t="s">
        <v>3011</v>
      </c>
      <c r="C5465" s="402" t="s">
        <v>17</v>
      </c>
      <c r="D5465" s="601">
        <v>81.41</v>
      </c>
    </row>
    <row r="5466" spans="1:4" ht="40.5">
      <c r="A5466" s="402">
        <v>92828</v>
      </c>
      <c r="B5466" s="403" t="s">
        <v>3012</v>
      </c>
      <c r="C5466" s="402" t="s">
        <v>17</v>
      </c>
      <c r="D5466" s="601">
        <v>93.34</v>
      </c>
    </row>
    <row r="5467" spans="1:4" ht="40.5">
      <c r="A5467" s="402">
        <v>92829</v>
      </c>
      <c r="B5467" s="403" t="s">
        <v>3013</v>
      </c>
      <c r="C5467" s="402" t="s">
        <v>17</v>
      </c>
      <c r="D5467" s="601">
        <v>506.14</v>
      </c>
    </row>
    <row r="5468" spans="1:4" ht="40.5">
      <c r="A5468" s="402">
        <v>92830</v>
      </c>
      <c r="B5468" s="403" t="s">
        <v>3014</v>
      </c>
      <c r="C5468" s="402" t="s">
        <v>17</v>
      </c>
      <c r="D5468" s="601">
        <v>115.79</v>
      </c>
    </row>
    <row r="5469" spans="1:4" ht="40.5">
      <c r="A5469" s="402">
        <v>92831</v>
      </c>
      <c r="B5469" s="403" t="s">
        <v>3015</v>
      </c>
      <c r="C5469" s="402" t="s">
        <v>17</v>
      </c>
      <c r="D5469" s="601">
        <v>734.55</v>
      </c>
    </row>
    <row r="5470" spans="1:4" ht="40.5">
      <c r="A5470" s="402">
        <v>92832</v>
      </c>
      <c r="B5470" s="403" t="s">
        <v>3016</v>
      </c>
      <c r="C5470" s="402" t="s">
        <v>17</v>
      </c>
      <c r="D5470" s="601">
        <v>153.93</v>
      </c>
    </row>
    <row r="5471" spans="1:4" ht="40.5">
      <c r="A5471" s="402">
        <v>95565</v>
      </c>
      <c r="B5471" s="403" t="s">
        <v>3741</v>
      </c>
      <c r="C5471" s="402" t="s">
        <v>17</v>
      </c>
      <c r="D5471" s="601">
        <v>91.8</v>
      </c>
    </row>
    <row r="5472" spans="1:4" ht="40.5">
      <c r="A5472" s="402">
        <v>95566</v>
      </c>
      <c r="B5472" s="403" t="s">
        <v>3742</v>
      </c>
      <c r="C5472" s="402" t="s">
        <v>17</v>
      </c>
      <c r="D5472" s="601">
        <v>96.33</v>
      </c>
    </row>
    <row r="5473" spans="1:4" ht="40.5">
      <c r="A5473" s="402">
        <v>95567</v>
      </c>
      <c r="B5473" s="403" t="s">
        <v>3743</v>
      </c>
      <c r="C5473" s="402" t="s">
        <v>17</v>
      </c>
      <c r="D5473" s="601">
        <v>54.42</v>
      </c>
    </row>
    <row r="5474" spans="1:4" ht="40.5">
      <c r="A5474" s="402">
        <v>95568</v>
      </c>
      <c r="B5474" s="403" t="s">
        <v>3744</v>
      </c>
      <c r="C5474" s="402" t="s">
        <v>17</v>
      </c>
      <c r="D5474" s="601">
        <v>71.05</v>
      </c>
    </row>
    <row r="5475" spans="1:4" ht="40.5">
      <c r="A5475" s="402">
        <v>95569</v>
      </c>
      <c r="B5475" s="403" t="s">
        <v>3745</v>
      </c>
      <c r="C5475" s="402" t="s">
        <v>17</v>
      </c>
      <c r="D5475" s="601">
        <v>95.99</v>
      </c>
    </row>
    <row r="5476" spans="1:4" ht="40.5">
      <c r="A5476" s="402">
        <v>95570</v>
      </c>
      <c r="B5476" s="403" t="s">
        <v>3746</v>
      </c>
      <c r="C5476" s="402" t="s">
        <v>17</v>
      </c>
      <c r="D5476" s="601">
        <v>58.95</v>
      </c>
    </row>
    <row r="5477" spans="1:4" ht="40.5">
      <c r="A5477" s="402">
        <v>95571</v>
      </c>
      <c r="B5477" s="403" t="s">
        <v>3747</v>
      </c>
      <c r="C5477" s="402" t="s">
        <v>17</v>
      </c>
      <c r="D5477" s="601">
        <v>76.849999999999994</v>
      </c>
    </row>
    <row r="5478" spans="1:4" ht="40.5">
      <c r="A5478" s="402">
        <v>95572</v>
      </c>
      <c r="B5478" s="403" t="s">
        <v>3748</v>
      </c>
      <c r="C5478" s="402" t="s">
        <v>17</v>
      </c>
      <c r="D5478" s="601">
        <v>103.15</v>
      </c>
    </row>
    <row r="5479" spans="1:4" ht="40.5">
      <c r="A5479" s="402">
        <v>97127</v>
      </c>
      <c r="B5479" s="403" t="s">
        <v>4528</v>
      </c>
      <c r="C5479" s="402" t="s">
        <v>17</v>
      </c>
      <c r="D5479" s="601">
        <v>3.49</v>
      </c>
    </row>
    <row r="5480" spans="1:4" ht="40.5">
      <c r="A5480" s="402">
        <v>97128</v>
      </c>
      <c r="B5480" s="403" t="s">
        <v>4529</v>
      </c>
      <c r="C5480" s="402" t="s">
        <v>17</v>
      </c>
      <c r="D5480" s="601">
        <v>6.52</v>
      </c>
    </row>
    <row r="5481" spans="1:4" ht="40.5">
      <c r="A5481" s="402">
        <v>97129</v>
      </c>
      <c r="B5481" s="403" t="s">
        <v>4530</v>
      </c>
      <c r="C5481" s="402" t="s">
        <v>17</v>
      </c>
      <c r="D5481" s="601">
        <v>8.01</v>
      </c>
    </row>
    <row r="5482" spans="1:4" ht="40.5">
      <c r="A5482" s="402">
        <v>97130</v>
      </c>
      <c r="B5482" s="403" t="s">
        <v>4531</v>
      </c>
      <c r="C5482" s="402" t="s">
        <v>17</v>
      </c>
      <c r="D5482" s="601">
        <v>9.51</v>
      </c>
    </row>
    <row r="5483" spans="1:4" ht="40.5">
      <c r="A5483" s="402">
        <v>97131</v>
      </c>
      <c r="B5483" s="403" t="s">
        <v>4532</v>
      </c>
      <c r="C5483" s="402" t="s">
        <v>17</v>
      </c>
      <c r="D5483" s="601">
        <v>11.02</v>
      </c>
    </row>
    <row r="5484" spans="1:4" ht="40.5">
      <c r="A5484" s="402">
        <v>97132</v>
      </c>
      <c r="B5484" s="403" t="s">
        <v>4533</v>
      </c>
      <c r="C5484" s="402" t="s">
        <v>17</v>
      </c>
      <c r="D5484" s="601">
        <v>12.5</v>
      </c>
    </row>
    <row r="5485" spans="1:4" ht="40.5">
      <c r="A5485" s="402">
        <v>97133</v>
      </c>
      <c r="B5485" s="403" t="s">
        <v>4534</v>
      </c>
      <c r="C5485" s="402" t="s">
        <v>17</v>
      </c>
      <c r="D5485" s="601">
        <v>15.51</v>
      </c>
    </row>
    <row r="5486" spans="1:4" ht="40.5">
      <c r="A5486" s="402">
        <v>97134</v>
      </c>
      <c r="B5486" s="403" t="s">
        <v>4535</v>
      </c>
      <c r="C5486" s="402" t="s">
        <v>17</v>
      </c>
      <c r="D5486" s="601">
        <v>1.7</v>
      </c>
    </row>
    <row r="5487" spans="1:4" ht="40.5">
      <c r="A5487" s="402">
        <v>97135</v>
      </c>
      <c r="B5487" s="403" t="s">
        <v>4536</v>
      </c>
      <c r="C5487" s="402" t="s">
        <v>17</v>
      </c>
      <c r="D5487" s="601">
        <v>3.39</v>
      </c>
    </row>
    <row r="5488" spans="1:4" ht="40.5">
      <c r="A5488" s="402">
        <v>97136</v>
      </c>
      <c r="B5488" s="403" t="s">
        <v>4537</v>
      </c>
      <c r="C5488" s="402" t="s">
        <v>17</v>
      </c>
      <c r="D5488" s="601">
        <v>4.18</v>
      </c>
    </row>
    <row r="5489" spans="1:4" ht="40.5">
      <c r="A5489" s="402">
        <v>97137</v>
      </c>
      <c r="B5489" s="403" t="s">
        <v>4538</v>
      </c>
      <c r="C5489" s="402" t="s">
        <v>17</v>
      </c>
      <c r="D5489" s="601">
        <v>4.96</v>
      </c>
    </row>
    <row r="5490" spans="1:4" ht="40.5">
      <c r="A5490" s="402">
        <v>97138</v>
      </c>
      <c r="B5490" s="403" t="s">
        <v>4539</v>
      </c>
      <c r="C5490" s="402" t="s">
        <v>17</v>
      </c>
      <c r="D5490" s="601">
        <v>5.75</v>
      </c>
    </row>
    <row r="5491" spans="1:4" ht="40.5">
      <c r="A5491" s="402">
        <v>97139</v>
      </c>
      <c r="B5491" s="403" t="s">
        <v>4540</v>
      </c>
      <c r="C5491" s="402" t="s">
        <v>17</v>
      </c>
      <c r="D5491" s="601">
        <v>6.52</v>
      </c>
    </row>
    <row r="5492" spans="1:4" ht="40.5">
      <c r="A5492" s="402">
        <v>97140</v>
      </c>
      <c r="B5492" s="403" t="s">
        <v>4541</v>
      </c>
      <c r="C5492" s="402" t="s">
        <v>17</v>
      </c>
      <c r="D5492" s="601">
        <v>8.08</v>
      </c>
    </row>
    <row r="5493" spans="1:4" ht="27">
      <c r="A5493" s="402">
        <v>93206</v>
      </c>
      <c r="B5493" s="403" t="s">
        <v>3170</v>
      </c>
      <c r="C5493" s="402" t="s">
        <v>48</v>
      </c>
      <c r="D5493" s="601">
        <v>788.92</v>
      </c>
    </row>
    <row r="5494" spans="1:4" ht="27">
      <c r="A5494" s="402">
        <v>93207</v>
      </c>
      <c r="B5494" s="403" t="s">
        <v>3171</v>
      </c>
      <c r="C5494" s="402" t="s">
        <v>48</v>
      </c>
      <c r="D5494" s="601">
        <v>686.09</v>
      </c>
    </row>
    <row r="5495" spans="1:4" ht="27">
      <c r="A5495" s="402">
        <v>93208</v>
      </c>
      <c r="B5495" s="403" t="s">
        <v>3172</v>
      </c>
      <c r="C5495" s="402" t="s">
        <v>48</v>
      </c>
      <c r="D5495" s="601">
        <v>521.30999999999995</v>
      </c>
    </row>
    <row r="5496" spans="1:4" ht="27">
      <c r="A5496" s="402">
        <v>93209</v>
      </c>
      <c r="B5496" s="403" t="s">
        <v>3173</v>
      </c>
      <c r="C5496" s="402" t="s">
        <v>48</v>
      </c>
      <c r="D5496" s="601">
        <v>622.95000000000005</v>
      </c>
    </row>
    <row r="5497" spans="1:4" ht="27">
      <c r="A5497" s="402">
        <v>93210</v>
      </c>
      <c r="B5497" s="403" t="s">
        <v>891</v>
      </c>
      <c r="C5497" s="402" t="s">
        <v>48</v>
      </c>
      <c r="D5497" s="601">
        <v>357.18</v>
      </c>
    </row>
    <row r="5498" spans="1:4" ht="27">
      <c r="A5498" s="402">
        <v>93211</v>
      </c>
      <c r="B5498" s="403" t="s">
        <v>3174</v>
      </c>
      <c r="C5498" s="402" t="s">
        <v>48</v>
      </c>
      <c r="D5498" s="601">
        <v>373.97</v>
      </c>
    </row>
    <row r="5499" spans="1:4" ht="27">
      <c r="A5499" s="402">
        <v>93212</v>
      </c>
      <c r="B5499" s="403" t="s">
        <v>3175</v>
      </c>
      <c r="C5499" s="402" t="s">
        <v>48</v>
      </c>
      <c r="D5499" s="601">
        <v>609.01</v>
      </c>
    </row>
    <row r="5500" spans="1:4" ht="27">
      <c r="A5500" s="402">
        <v>93213</v>
      </c>
      <c r="B5500" s="403" t="s">
        <v>3176</v>
      </c>
      <c r="C5500" s="402" t="s">
        <v>48</v>
      </c>
      <c r="D5500" s="601">
        <v>689.76</v>
      </c>
    </row>
    <row r="5501" spans="1:4" ht="27">
      <c r="A5501" s="402">
        <v>93214</v>
      </c>
      <c r="B5501" s="403" t="s">
        <v>4596</v>
      </c>
      <c r="C5501" s="402" t="s">
        <v>35</v>
      </c>
      <c r="D5501" s="601">
        <v>3397.41</v>
      </c>
    </row>
    <row r="5502" spans="1:4" ht="27">
      <c r="A5502" s="402">
        <v>93243</v>
      </c>
      <c r="B5502" s="403" t="s">
        <v>4597</v>
      </c>
      <c r="C5502" s="402" t="s">
        <v>35</v>
      </c>
      <c r="D5502" s="601">
        <v>5121.95</v>
      </c>
    </row>
    <row r="5503" spans="1:4" ht="27">
      <c r="A5503" s="402">
        <v>93582</v>
      </c>
      <c r="B5503" s="403" t="s">
        <v>3258</v>
      </c>
      <c r="C5503" s="402" t="s">
        <v>48</v>
      </c>
      <c r="D5503" s="601">
        <v>163.92</v>
      </c>
    </row>
    <row r="5504" spans="1:4" ht="27">
      <c r="A5504" s="402">
        <v>93583</v>
      </c>
      <c r="B5504" s="403" t="s">
        <v>3259</v>
      </c>
      <c r="C5504" s="402" t="s">
        <v>48</v>
      </c>
      <c r="D5504" s="601">
        <v>279.47000000000003</v>
      </c>
    </row>
    <row r="5505" spans="1:4" ht="27">
      <c r="A5505" s="402">
        <v>93584</v>
      </c>
      <c r="B5505" s="403" t="s">
        <v>3260</v>
      </c>
      <c r="C5505" s="402" t="s">
        <v>48</v>
      </c>
      <c r="D5505" s="601">
        <v>541.53</v>
      </c>
    </row>
    <row r="5506" spans="1:4" ht="27">
      <c r="A5506" s="402">
        <v>93585</v>
      </c>
      <c r="B5506" s="403" t="s">
        <v>3261</v>
      </c>
      <c r="C5506" s="402" t="s">
        <v>48</v>
      </c>
      <c r="D5506" s="601">
        <v>704.63</v>
      </c>
    </row>
    <row r="5507" spans="1:4" ht="27">
      <c r="A5507" s="402">
        <v>98441</v>
      </c>
      <c r="B5507" s="403" t="s">
        <v>4719</v>
      </c>
      <c r="C5507" s="402" t="s">
        <v>48</v>
      </c>
      <c r="D5507" s="601">
        <v>70.45</v>
      </c>
    </row>
    <row r="5508" spans="1:4" ht="27">
      <c r="A5508" s="402">
        <v>98442</v>
      </c>
      <c r="B5508" s="403" t="s">
        <v>4720</v>
      </c>
      <c r="C5508" s="402" t="s">
        <v>48</v>
      </c>
      <c r="D5508" s="601">
        <v>72.67</v>
      </c>
    </row>
    <row r="5509" spans="1:4" ht="27">
      <c r="A5509" s="402">
        <v>98443</v>
      </c>
      <c r="B5509" s="403" t="s">
        <v>4721</v>
      </c>
      <c r="C5509" s="402" t="s">
        <v>48</v>
      </c>
      <c r="D5509" s="601">
        <v>60.17</v>
      </c>
    </row>
    <row r="5510" spans="1:4" ht="27">
      <c r="A5510" s="402">
        <v>98444</v>
      </c>
      <c r="B5510" s="403" t="s">
        <v>4722</v>
      </c>
      <c r="C5510" s="402" t="s">
        <v>48</v>
      </c>
      <c r="D5510" s="601">
        <v>61.75</v>
      </c>
    </row>
    <row r="5511" spans="1:4" ht="27">
      <c r="A5511" s="402">
        <v>98445</v>
      </c>
      <c r="B5511" s="403" t="s">
        <v>4723</v>
      </c>
      <c r="C5511" s="402" t="s">
        <v>48</v>
      </c>
      <c r="D5511" s="601">
        <v>84.44</v>
      </c>
    </row>
    <row r="5512" spans="1:4" ht="27">
      <c r="A5512" s="402">
        <v>98446</v>
      </c>
      <c r="B5512" s="403" t="s">
        <v>4724</v>
      </c>
      <c r="C5512" s="402" t="s">
        <v>48</v>
      </c>
      <c r="D5512" s="601">
        <v>109.5</v>
      </c>
    </row>
    <row r="5513" spans="1:4" ht="27">
      <c r="A5513" s="402">
        <v>98447</v>
      </c>
      <c r="B5513" s="403" t="s">
        <v>4725</v>
      </c>
      <c r="C5513" s="402" t="s">
        <v>48</v>
      </c>
      <c r="D5513" s="601">
        <v>70.290000000000006</v>
      </c>
    </row>
    <row r="5514" spans="1:4" ht="27">
      <c r="A5514" s="402">
        <v>98448</v>
      </c>
      <c r="B5514" s="403" t="s">
        <v>4726</v>
      </c>
      <c r="C5514" s="402" t="s">
        <v>48</v>
      </c>
      <c r="D5514" s="601">
        <v>89.17</v>
      </c>
    </row>
    <row r="5515" spans="1:4" ht="27">
      <c r="A5515" s="402">
        <v>98449</v>
      </c>
      <c r="B5515" s="403" t="s">
        <v>4727</v>
      </c>
      <c r="C5515" s="402" t="s">
        <v>48</v>
      </c>
      <c r="D5515" s="601">
        <v>91.32</v>
      </c>
    </row>
    <row r="5516" spans="1:4" ht="27">
      <c r="A5516" s="402">
        <v>98450</v>
      </c>
      <c r="B5516" s="403" t="s">
        <v>4728</v>
      </c>
      <c r="C5516" s="402" t="s">
        <v>48</v>
      </c>
      <c r="D5516" s="601">
        <v>94.54</v>
      </c>
    </row>
    <row r="5517" spans="1:4" ht="27">
      <c r="A5517" s="402">
        <v>98451</v>
      </c>
      <c r="B5517" s="403" t="s">
        <v>4729</v>
      </c>
      <c r="C5517" s="402" t="s">
        <v>48</v>
      </c>
      <c r="D5517" s="601">
        <v>79.150000000000006</v>
      </c>
    </row>
    <row r="5518" spans="1:4" ht="27">
      <c r="A5518" s="402">
        <v>98452</v>
      </c>
      <c r="B5518" s="403" t="s">
        <v>4730</v>
      </c>
      <c r="C5518" s="402" t="s">
        <v>48</v>
      </c>
      <c r="D5518" s="601">
        <v>81.11</v>
      </c>
    </row>
    <row r="5519" spans="1:4" ht="27">
      <c r="A5519" s="402">
        <v>98453</v>
      </c>
      <c r="B5519" s="403" t="s">
        <v>4731</v>
      </c>
      <c r="C5519" s="402" t="s">
        <v>48</v>
      </c>
      <c r="D5519" s="601">
        <v>109.04</v>
      </c>
    </row>
    <row r="5520" spans="1:4" ht="27">
      <c r="A5520" s="402">
        <v>98454</v>
      </c>
      <c r="B5520" s="403" t="s">
        <v>4732</v>
      </c>
      <c r="C5520" s="402" t="s">
        <v>48</v>
      </c>
      <c r="D5520" s="601">
        <v>143.19999999999999</v>
      </c>
    </row>
    <row r="5521" spans="1:4" ht="27">
      <c r="A5521" s="402">
        <v>98455</v>
      </c>
      <c r="B5521" s="403" t="s">
        <v>4733</v>
      </c>
      <c r="C5521" s="402" t="s">
        <v>48</v>
      </c>
      <c r="D5521" s="601">
        <v>92.99</v>
      </c>
    </row>
    <row r="5522" spans="1:4" ht="27">
      <c r="A5522" s="402">
        <v>98456</v>
      </c>
      <c r="B5522" s="403" t="s">
        <v>4734</v>
      </c>
      <c r="C5522" s="402" t="s">
        <v>48</v>
      </c>
      <c r="D5522" s="601">
        <v>120.34</v>
      </c>
    </row>
    <row r="5523" spans="1:4" ht="13.5">
      <c r="A5523" s="402">
        <v>98458</v>
      </c>
      <c r="B5523" s="403" t="s">
        <v>4735</v>
      </c>
      <c r="C5523" s="402" t="s">
        <v>48</v>
      </c>
      <c r="D5523" s="601">
        <v>66.849999999999994</v>
      </c>
    </row>
    <row r="5524" spans="1:4" ht="13.5">
      <c r="A5524" s="402">
        <v>98459</v>
      </c>
      <c r="B5524" s="403" t="s">
        <v>4736</v>
      </c>
      <c r="C5524" s="402" t="s">
        <v>48</v>
      </c>
      <c r="D5524" s="601">
        <v>56</v>
      </c>
    </row>
    <row r="5525" spans="1:4" ht="13.5">
      <c r="A5525" s="402">
        <v>98460</v>
      </c>
      <c r="B5525" s="403" t="s">
        <v>4737</v>
      </c>
      <c r="C5525" s="402" t="s">
        <v>48</v>
      </c>
      <c r="D5525" s="601">
        <v>65.11</v>
      </c>
    </row>
    <row r="5526" spans="1:4" ht="27">
      <c r="A5526" s="402">
        <v>98461</v>
      </c>
      <c r="B5526" s="403" t="s">
        <v>4738</v>
      </c>
      <c r="C5526" s="402" t="s">
        <v>35</v>
      </c>
      <c r="D5526" s="601">
        <v>2859.16</v>
      </c>
    </row>
    <row r="5527" spans="1:4" ht="27">
      <c r="A5527" s="402">
        <v>98462</v>
      </c>
      <c r="B5527" s="403" t="s">
        <v>4739</v>
      </c>
      <c r="C5527" s="402" t="s">
        <v>35</v>
      </c>
      <c r="D5527" s="601">
        <v>4198.57</v>
      </c>
    </row>
    <row r="5528" spans="1:4" ht="27">
      <c r="A5528" s="402">
        <v>5631</v>
      </c>
      <c r="B5528" s="403" t="s">
        <v>1016</v>
      </c>
      <c r="C5528" s="402" t="s">
        <v>44</v>
      </c>
      <c r="D5528" s="601">
        <v>108.12</v>
      </c>
    </row>
    <row r="5529" spans="1:4" ht="54">
      <c r="A5529" s="402">
        <v>5678</v>
      </c>
      <c r="B5529" s="403" t="s">
        <v>1023</v>
      </c>
      <c r="C5529" s="402" t="s">
        <v>44</v>
      </c>
      <c r="D5529" s="601">
        <v>78.23</v>
      </c>
    </row>
    <row r="5530" spans="1:4" ht="54">
      <c r="A5530" s="402">
        <v>5680</v>
      </c>
      <c r="B5530" s="403" t="s">
        <v>1025</v>
      </c>
      <c r="C5530" s="402" t="s">
        <v>44</v>
      </c>
      <c r="D5530" s="601">
        <v>72.38</v>
      </c>
    </row>
    <row r="5531" spans="1:4" ht="40.5">
      <c r="A5531" s="402">
        <v>5684</v>
      </c>
      <c r="B5531" s="403" t="s">
        <v>1027</v>
      </c>
      <c r="C5531" s="402" t="s">
        <v>44</v>
      </c>
      <c r="D5531" s="601">
        <v>82.24</v>
      </c>
    </row>
    <row r="5532" spans="1:4" ht="27">
      <c r="A5532" s="402">
        <v>5689</v>
      </c>
      <c r="B5532" s="403" t="s">
        <v>62</v>
      </c>
      <c r="C5532" s="402" t="s">
        <v>44</v>
      </c>
      <c r="D5532" s="601">
        <v>3.19</v>
      </c>
    </row>
    <row r="5533" spans="1:4" ht="27">
      <c r="A5533" s="402">
        <v>5795</v>
      </c>
      <c r="B5533" s="403" t="s">
        <v>71</v>
      </c>
      <c r="C5533" s="402" t="s">
        <v>44</v>
      </c>
      <c r="D5533" s="601">
        <v>15.1</v>
      </c>
    </row>
    <row r="5534" spans="1:4" ht="40.5">
      <c r="A5534" s="402">
        <v>5811</v>
      </c>
      <c r="B5534" s="403" t="s">
        <v>1055</v>
      </c>
      <c r="C5534" s="402" t="s">
        <v>44</v>
      </c>
      <c r="D5534" s="601">
        <v>108.99</v>
      </c>
    </row>
    <row r="5535" spans="1:4" ht="27">
      <c r="A5535" s="402">
        <v>5823</v>
      </c>
      <c r="B5535" s="403" t="s">
        <v>73</v>
      </c>
      <c r="C5535" s="402" t="s">
        <v>44</v>
      </c>
      <c r="D5535" s="601">
        <v>163</v>
      </c>
    </row>
    <row r="5536" spans="1:4" ht="54">
      <c r="A5536" s="402">
        <v>5824</v>
      </c>
      <c r="B5536" s="403" t="s">
        <v>1056</v>
      </c>
      <c r="C5536" s="402" t="s">
        <v>44</v>
      </c>
      <c r="D5536" s="601">
        <v>102.74</v>
      </c>
    </row>
    <row r="5537" spans="1:4" ht="27">
      <c r="A5537" s="402">
        <v>5835</v>
      </c>
      <c r="B5537" s="403" t="s">
        <v>1058</v>
      </c>
      <c r="C5537" s="402" t="s">
        <v>44</v>
      </c>
      <c r="D5537" s="601">
        <v>247.53</v>
      </c>
    </row>
    <row r="5538" spans="1:4" ht="27">
      <c r="A5538" s="402">
        <v>5839</v>
      </c>
      <c r="B5538" s="403" t="s">
        <v>1060</v>
      </c>
      <c r="C5538" s="402" t="s">
        <v>44</v>
      </c>
      <c r="D5538" s="601">
        <v>4.79</v>
      </c>
    </row>
    <row r="5539" spans="1:4" ht="27">
      <c r="A5539" s="402">
        <v>5843</v>
      </c>
      <c r="B5539" s="403" t="s">
        <v>75</v>
      </c>
      <c r="C5539" s="402" t="s">
        <v>44</v>
      </c>
      <c r="D5539" s="601">
        <v>128.54</v>
      </c>
    </row>
    <row r="5540" spans="1:4" ht="27">
      <c r="A5540" s="402">
        <v>5847</v>
      </c>
      <c r="B5540" s="403" t="s">
        <v>1062</v>
      </c>
      <c r="C5540" s="402" t="s">
        <v>44</v>
      </c>
      <c r="D5540" s="601">
        <v>138.22999999999999</v>
      </c>
    </row>
    <row r="5541" spans="1:4" ht="27">
      <c r="A5541" s="402">
        <v>5851</v>
      </c>
      <c r="B5541" s="403" t="s">
        <v>77</v>
      </c>
      <c r="C5541" s="402" t="s">
        <v>44</v>
      </c>
      <c r="D5541" s="601">
        <v>131.87</v>
      </c>
    </row>
    <row r="5542" spans="1:4" ht="27">
      <c r="A5542" s="402">
        <v>5855</v>
      </c>
      <c r="B5542" s="403" t="s">
        <v>1064</v>
      </c>
      <c r="C5542" s="402" t="s">
        <v>44</v>
      </c>
      <c r="D5542" s="601">
        <v>352.24</v>
      </c>
    </row>
    <row r="5543" spans="1:4" ht="40.5">
      <c r="A5543" s="402">
        <v>5863</v>
      </c>
      <c r="B5543" s="403" t="s">
        <v>1066</v>
      </c>
      <c r="C5543" s="402" t="s">
        <v>44</v>
      </c>
      <c r="D5543" s="601">
        <v>11.41</v>
      </c>
    </row>
    <row r="5544" spans="1:4" ht="27">
      <c r="A5544" s="402">
        <v>5867</v>
      </c>
      <c r="B5544" s="403" t="s">
        <v>1068</v>
      </c>
      <c r="C5544" s="402" t="s">
        <v>44</v>
      </c>
      <c r="D5544" s="601">
        <v>82.35</v>
      </c>
    </row>
    <row r="5545" spans="1:4" ht="54">
      <c r="A5545" s="402">
        <v>5875</v>
      </c>
      <c r="B5545" s="403" t="s">
        <v>1070</v>
      </c>
      <c r="C5545" s="402" t="s">
        <v>44</v>
      </c>
      <c r="D5545" s="601">
        <v>72.66</v>
      </c>
    </row>
    <row r="5546" spans="1:4" ht="40.5">
      <c r="A5546" s="402">
        <v>5879</v>
      </c>
      <c r="B5546" s="403" t="s">
        <v>1072</v>
      </c>
      <c r="C5546" s="402" t="s">
        <v>44</v>
      </c>
      <c r="D5546" s="601">
        <v>71.650000000000006</v>
      </c>
    </row>
    <row r="5547" spans="1:4" ht="40.5">
      <c r="A5547" s="402">
        <v>5882</v>
      </c>
      <c r="B5547" s="403" t="s">
        <v>1074</v>
      </c>
      <c r="C5547" s="402" t="s">
        <v>44</v>
      </c>
      <c r="D5547" s="601">
        <v>74.19</v>
      </c>
    </row>
    <row r="5548" spans="1:4" ht="40.5">
      <c r="A5548" s="402">
        <v>5890</v>
      </c>
      <c r="B5548" s="403" t="s">
        <v>79</v>
      </c>
      <c r="C5548" s="402" t="s">
        <v>44</v>
      </c>
      <c r="D5548" s="601">
        <v>103.92</v>
      </c>
    </row>
    <row r="5549" spans="1:4" ht="40.5">
      <c r="A5549" s="402">
        <v>5894</v>
      </c>
      <c r="B5549" s="403" t="s">
        <v>1076</v>
      </c>
      <c r="C5549" s="402" t="s">
        <v>44</v>
      </c>
      <c r="D5549" s="601">
        <v>100.83</v>
      </c>
    </row>
    <row r="5550" spans="1:4" ht="40.5">
      <c r="A5550" s="402">
        <v>5901</v>
      </c>
      <c r="B5550" s="403" t="s">
        <v>1078</v>
      </c>
      <c r="C5550" s="402" t="s">
        <v>44</v>
      </c>
      <c r="D5550" s="601">
        <v>159.11000000000001</v>
      </c>
    </row>
    <row r="5551" spans="1:4" ht="27">
      <c r="A5551" s="402">
        <v>5909</v>
      </c>
      <c r="B5551" s="403" t="s">
        <v>81</v>
      </c>
      <c r="C5551" s="402" t="s">
        <v>44</v>
      </c>
      <c r="D5551" s="601">
        <v>21.94</v>
      </c>
    </row>
    <row r="5552" spans="1:4" ht="27">
      <c r="A5552" s="402">
        <v>5921</v>
      </c>
      <c r="B5552" s="403" t="s">
        <v>1080</v>
      </c>
      <c r="C5552" s="402" t="s">
        <v>44</v>
      </c>
      <c r="D5552" s="601">
        <v>2.4900000000000002</v>
      </c>
    </row>
    <row r="5553" spans="1:4" ht="40.5">
      <c r="A5553" s="402">
        <v>5928</v>
      </c>
      <c r="B5553" s="403" t="s">
        <v>1082</v>
      </c>
      <c r="C5553" s="402" t="s">
        <v>44</v>
      </c>
      <c r="D5553" s="601">
        <v>133.16</v>
      </c>
    </row>
    <row r="5554" spans="1:4" ht="27">
      <c r="A5554" s="402">
        <v>5932</v>
      </c>
      <c r="B5554" s="403" t="s">
        <v>83</v>
      </c>
      <c r="C5554" s="402" t="s">
        <v>44</v>
      </c>
      <c r="D5554" s="601">
        <v>123.34</v>
      </c>
    </row>
    <row r="5555" spans="1:4" ht="27">
      <c r="A5555" s="402">
        <v>5940</v>
      </c>
      <c r="B5555" s="403" t="s">
        <v>1084</v>
      </c>
      <c r="C5555" s="402" t="s">
        <v>44</v>
      </c>
      <c r="D5555" s="601">
        <v>109.04</v>
      </c>
    </row>
    <row r="5556" spans="1:4" ht="27">
      <c r="A5556" s="402">
        <v>5944</v>
      </c>
      <c r="B5556" s="403" t="s">
        <v>1086</v>
      </c>
      <c r="C5556" s="402" t="s">
        <v>44</v>
      </c>
      <c r="D5556" s="601">
        <v>123.72</v>
      </c>
    </row>
    <row r="5557" spans="1:4" ht="27">
      <c r="A5557" s="402">
        <v>5953</v>
      </c>
      <c r="B5557" s="403" t="s">
        <v>86</v>
      </c>
      <c r="C5557" s="402" t="s">
        <v>44</v>
      </c>
      <c r="D5557" s="601">
        <v>31.1</v>
      </c>
    </row>
    <row r="5558" spans="1:4" ht="40.5">
      <c r="A5558" s="402">
        <v>6259</v>
      </c>
      <c r="B5558" s="403" t="s">
        <v>1089</v>
      </c>
      <c r="C5558" s="402" t="s">
        <v>44</v>
      </c>
      <c r="D5558" s="601">
        <v>131.58000000000001</v>
      </c>
    </row>
    <row r="5559" spans="1:4" ht="40.5">
      <c r="A5559" s="402">
        <v>6879</v>
      </c>
      <c r="B5559" s="403" t="s">
        <v>1091</v>
      </c>
      <c r="C5559" s="402" t="s">
        <v>44</v>
      </c>
      <c r="D5559" s="601">
        <v>107.49</v>
      </c>
    </row>
    <row r="5560" spans="1:4" ht="27">
      <c r="A5560" s="402">
        <v>7030</v>
      </c>
      <c r="B5560" s="403" t="s">
        <v>1093</v>
      </c>
      <c r="C5560" s="402" t="s">
        <v>44</v>
      </c>
      <c r="D5560" s="601">
        <v>125.51</v>
      </c>
    </row>
    <row r="5561" spans="1:4" ht="40.5">
      <c r="A5561" s="402">
        <v>7042</v>
      </c>
      <c r="B5561" s="403" t="s">
        <v>1102</v>
      </c>
      <c r="C5561" s="402" t="s">
        <v>44</v>
      </c>
      <c r="D5561" s="601">
        <v>6.69</v>
      </c>
    </row>
    <row r="5562" spans="1:4" ht="40.5">
      <c r="A5562" s="402">
        <v>7049</v>
      </c>
      <c r="B5562" s="403" t="s">
        <v>1108</v>
      </c>
      <c r="C5562" s="402" t="s">
        <v>44</v>
      </c>
      <c r="D5562" s="601">
        <v>114.26</v>
      </c>
    </row>
    <row r="5563" spans="1:4" ht="40.5">
      <c r="A5563" s="402">
        <v>67826</v>
      </c>
      <c r="B5563" s="403" t="s">
        <v>1145</v>
      </c>
      <c r="C5563" s="402" t="s">
        <v>44</v>
      </c>
      <c r="D5563" s="601">
        <v>96.41</v>
      </c>
    </row>
    <row r="5564" spans="1:4" ht="27">
      <c r="A5564" s="402">
        <v>73417</v>
      </c>
      <c r="B5564" s="403" t="s">
        <v>1185</v>
      </c>
      <c r="C5564" s="402" t="s">
        <v>44</v>
      </c>
      <c r="D5564" s="601">
        <v>104.75</v>
      </c>
    </row>
    <row r="5565" spans="1:4" ht="40.5">
      <c r="A5565" s="402">
        <v>73436</v>
      </c>
      <c r="B5565" s="403" t="s">
        <v>153</v>
      </c>
      <c r="C5565" s="402" t="s">
        <v>44</v>
      </c>
      <c r="D5565" s="601">
        <v>110.69</v>
      </c>
    </row>
    <row r="5566" spans="1:4" ht="54">
      <c r="A5566" s="402">
        <v>73467</v>
      </c>
      <c r="B5566" s="403" t="s">
        <v>1186</v>
      </c>
      <c r="C5566" s="402" t="s">
        <v>44</v>
      </c>
      <c r="D5566" s="601">
        <v>88.59</v>
      </c>
    </row>
    <row r="5567" spans="1:4" ht="40.5">
      <c r="A5567" s="402">
        <v>73536</v>
      </c>
      <c r="B5567" s="403" t="s">
        <v>1187</v>
      </c>
      <c r="C5567" s="402" t="s">
        <v>44</v>
      </c>
      <c r="D5567" s="601">
        <v>5.66</v>
      </c>
    </row>
    <row r="5568" spans="1:4" ht="40.5">
      <c r="A5568" s="402">
        <v>83362</v>
      </c>
      <c r="B5568" s="403" t="s">
        <v>1196</v>
      </c>
      <c r="C5568" s="402" t="s">
        <v>44</v>
      </c>
      <c r="D5568" s="601">
        <v>158.91999999999999</v>
      </c>
    </row>
    <row r="5569" spans="1:4" ht="27">
      <c r="A5569" s="402">
        <v>83765</v>
      </c>
      <c r="B5569" s="403" t="s">
        <v>1217</v>
      </c>
      <c r="C5569" s="402" t="s">
        <v>44</v>
      </c>
      <c r="D5569" s="601">
        <v>67.27</v>
      </c>
    </row>
    <row r="5570" spans="1:4" ht="27">
      <c r="A5570" s="402">
        <v>87445</v>
      </c>
      <c r="B5570" s="403" t="s">
        <v>218</v>
      </c>
      <c r="C5570" s="402" t="s">
        <v>44</v>
      </c>
      <c r="D5570" s="601">
        <v>2.93</v>
      </c>
    </row>
    <row r="5571" spans="1:4" ht="27">
      <c r="A5571" s="402">
        <v>88386</v>
      </c>
      <c r="B5571" s="403" t="s">
        <v>1521</v>
      </c>
      <c r="C5571" s="402" t="s">
        <v>44</v>
      </c>
      <c r="D5571" s="601">
        <v>3.97</v>
      </c>
    </row>
    <row r="5572" spans="1:4" ht="27">
      <c r="A5572" s="402">
        <v>88393</v>
      </c>
      <c r="B5572" s="403" t="s">
        <v>1527</v>
      </c>
      <c r="C5572" s="402" t="s">
        <v>44</v>
      </c>
      <c r="D5572" s="601">
        <v>5.51</v>
      </c>
    </row>
    <row r="5573" spans="1:4" ht="27">
      <c r="A5573" s="402">
        <v>88399</v>
      </c>
      <c r="B5573" s="403" t="s">
        <v>1533</v>
      </c>
      <c r="C5573" s="402" t="s">
        <v>44</v>
      </c>
      <c r="D5573" s="601">
        <v>2.88</v>
      </c>
    </row>
    <row r="5574" spans="1:4" ht="27">
      <c r="A5574" s="402">
        <v>88418</v>
      </c>
      <c r="B5574" s="403" t="s">
        <v>302</v>
      </c>
      <c r="C5574" s="402" t="s">
        <v>44</v>
      </c>
      <c r="D5574" s="601">
        <v>12.19</v>
      </c>
    </row>
    <row r="5575" spans="1:4" ht="27">
      <c r="A5575" s="402">
        <v>88433</v>
      </c>
      <c r="B5575" s="403" t="s">
        <v>1551</v>
      </c>
      <c r="C5575" s="402" t="s">
        <v>44</v>
      </c>
      <c r="D5575" s="601">
        <v>14.91</v>
      </c>
    </row>
    <row r="5576" spans="1:4" ht="27">
      <c r="A5576" s="402">
        <v>88830</v>
      </c>
      <c r="B5576" s="403" t="s">
        <v>1579</v>
      </c>
      <c r="C5576" s="402" t="s">
        <v>44</v>
      </c>
      <c r="D5576" s="601">
        <v>1.47</v>
      </c>
    </row>
    <row r="5577" spans="1:4" ht="27">
      <c r="A5577" s="402">
        <v>88843</v>
      </c>
      <c r="B5577" s="403" t="s">
        <v>1589</v>
      </c>
      <c r="C5577" s="402" t="s">
        <v>44</v>
      </c>
      <c r="D5577" s="601">
        <v>110.4</v>
      </c>
    </row>
    <row r="5578" spans="1:4" ht="27">
      <c r="A5578" s="402">
        <v>88907</v>
      </c>
      <c r="B5578" s="403" t="s">
        <v>1605</v>
      </c>
      <c r="C5578" s="402" t="s">
        <v>44</v>
      </c>
      <c r="D5578" s="601">
        <v>128.29</v>
      </c>
    </row>
    <row r="5579" spans="1:4" ht="40.5">
      <c r="A5579" s="402">
        <v>89021</v>
      </c>
      <c r="B5579" s="403" t="s">
        <v>1617</v>
      </c>
      <c r="C5579" s="402" t="s">
        <v>44</v>
      </c>
      <c r="D5579" s="601">
        <v>2.14</v>
      </c>
    </row>
    <row r="5580" spans="1:4" ht="27">
      <c r="A5580" s="402">
        <v>89028</v>
      </c>
      <c r="B5580" s="403" t="s">
        <v>332</v>
      </c>
      <c r="C5580" s="402" t="s">
        <v>44</v>
      </c>
      <c r="D5580" s="601">
        <v>115.78</v>
      </c>
    </row>
    <row r="5581" spans="1:4" ht="27">
      <c r="A5581" s="402">
        <v>89032</v>
      </c>
      <c r="B5581" s="403" t="s">
        <v>1626</v>
      </c>
      <c r="C5581" s="402" t="s">
        <v>44</v>
      </c>
      <c r="D5581" s="601">
        <v>99.48</v>
      </c>
    </row>
    <row r="5582" spans="1:4" ht="27">
      <c r="A5582" s="402">
        <v>89035</v>
      </c>
      <c r="B5582" s="403" t="s">
        <v>335</v>
      </c>
      <c r="C5582" s="402" t="s">
        <v>44</v>
      </c>
      <c r="D5582" s="601">
        <v>94.47</v>
      </c>
    </row>
    <row r="5583" spans="1:4" ht="27">
      <c r="A5583" s="402">
        <v>89225</v>
      </c>
      <c r="B5583" s="403" t="s">
        <v>1648</v>
      </c>
      <c r="C5583" s="402" t="s">
        <v>44</v>
      </c>
      <c r="D5583" s="601">
        <v>3.95</v>
      </c>
    </row>
    <row r="5584" spans="1:4" ht="27">
      <c r="A5584" s="402">
        <v>89234</v>
      </c>
      <c r="B5584" s="403" t="s">
        <v>1654</v>
      </c>
      <c r="C5584" s="402" t="s">
        <v>44</v>
      </c>
      <c r="D5584" s="601">
        <v>376.43</v>
      </c>
    </row>
    <row r="5585" spans="1:4" ht="27">
      <c r="A5585" s="402">
        <v>89242</v>
      </c>
      <c r="B5585" s="403" t="s">
        <v>1661</v>
      </c>
      <c r="C5585" s="402" t="s">
        <v>44</v>
      </c>
      <c r="D5585" s="601">
        <v>886.02</v>
      </c>
    </row>
    <row r="5586" spans="1:4" ht="27">
      <c r="A5586" s="402">
        <v>89250</v>
      </c>
      <c r="B5586" s="403" t="s">
        <v>349</v>
      </c>
      <c r="C5586" s="402" t="s">
        <v>44</v>
      </c>
      <c r="D5586" s="601">
        <v>768.03</v>
      </c>
    </row>
    <row r="5587" spans="1:4" ht="27">
      <c r="A5587" s="402">
        <v>89257</v>
      </c>
      <c r="B5587" s="403" t="s">
        <v>1666</v>
      </c>
      <c r="C5587" s="402" t="s">
        <v>44</v>
      </c>
      <c r="D5587" s="601">
        <v>212.11</v>
      </c>
    </row>
    <row r="5588" spans="1:4" ht="40.5">
      <c r="A5588" s="402">
        <v>89272</v>
      </c>
      <c r="B5588" s="403" t="s">
        <v>1679</v>
      </c>
      <c r="C5588" s="402" t="s">
        <v>44</v>
      </c>
      <c r="D5588" s="601">
        <v>104.24</v>
      </c>
    </row>
    <row r="5589" spans="1:4" ht="27">
      <c r="A5589" s="402">
        <v>89278</v>
      </c>
      <c r="B5589" s="403" t="s">
        <v>1685</v>
      </c>
      <c r="C5589" s="402" t="s">
        <v>44</v>
      </c>
      <c r="D5589" s="601">
        <v>6.94</v>
      </c>
    </row>
    <row r="5590" spans="1:4" ht="27">
      <c r="A5590" s="402">
        <v>89843</v>
      </c>
      <c r="B5590" s="403" t="s">
        <v>448</v>
      </c>
      <c r="C5590" s="402" t="s">
        <v>44</v>
      </c>
      <c r="D5590" s="601">
        <v>111.6</v>
      </c>
    </row>
    <row r="5591" spans="1:4" ht="40.5">
      <c r="A5591" s="402">
        <v>89876</v>
      </c>
      <c r="B5591" s="403" t="s">
        <v>456</v>
      </c>
      <c r="C5591" s="402" t="s">
        <v>44</v>
      </c>
      <c r="D5591" s="601">
        <v>169.31</v>
      </c>
    </row>
    <row r="5592" spans="1:4" ht="40.5">
      <c r="A5592" s="402">
        <v>89883</v>
      </c>
      <c r="B5592" s="403" t="s">
        <v>463</v>
      </c>
      <c r="C5592" s="402" t="s">
        <v>44</v>
      </c>
      <c r="D5592" s="601">
        <v>187.41</v>
      </c>
    </row>
    <row r="5593" spans="1:4" ht="27">
      <c r="A5593" s="402">
        <v>90586</v>
      </c>
      <c r="B5593" s="403" t="s">
        <v>2193</v>
      </c>
      <c r="C5593" s="402" t="s">
        <v>44</v>
      </c>
      <c r="D5593" s="601">
        <v>1.59</v>
      </c>
    </row>
    <row r="5594" spans="1:4" ht="27">
      <c r="A5594" s="402">
        <v>90625</v>
      </c>
      <c r="B5594" s="403" t="s">
        <v>485</v>
      </c>
      <c r="C5594" s="402" t="s">
        <v>44</v>
      </c>
      <c r="D5594" s="601">
        <v>7.39</v>
      </c>
    </row>
    <row r="5595" spans="1:4" ht="27">
      <c r="A5595" s="402">
        <v>90631</v>
      </c>
      <c r="B5595" s="403" t="s">
        <v>490</v>
      </c>
      <c r="C5595" s="402" t="s">
        <v>44</v>
      </c>
      <c r="D5595" s="601">
        <v>81.739999999999995</v>
      </c>
    </row>
    <row r="5596" spans="1:4" ht="40.5">
      <c r="A5596" s="402">
        <v>90637</v>
      </c>
      <c r="B5596" s="403" t="s">
        <v>496</v>
      </c>
      <c r="C5596" s="402" t="s">
        <v>44</v>
      </c>
      <c r="D5596" s="601">
        <v>11.49</v>
      </c>
    </row>
    <row r="5597" spans="1:4" ht="27">
      <c r="A5597" s="402">
        <v>90643</v>
      </c>
      <c r="B5597" s="403" t="s">
        <v>2200</v>
      </c>
      <c r="C5597" s="402" t="s">
        <v>44</v>
      </c>
      <c r="D5597" s="601">
        <v>14.57</v>
      </c>
    </row>
    <row r="5598" spans="1:4" ht="40.5">
      <c r="A5598" s="402">
        <v>90650</v>
      </c>
      <c r="B5598" s="403" t="s">
        <v>2206</v>
      </c>
      <c r="C5598" s="402" t="s">
        <v>44</v>
      </c>
      <c r="D5598" s="601">
        <v>9.1</v>
      </c>
    </row>
    <row r="5599" spans="1:4" ht="27">
      <c r="A5599" s="402">
        <v>90656</v>
      </c>
      <c r="B5599" s="403" t="s">
        <v>498</v>
      </c>
      <c r="C5599" s="402" t="s">
        <v>44</v>
      </c>
      <c r="D5599" s="601">
        <v>11.43</v>
      </c>
    </row>
    <row r="5600" spans="1:4" ht="27">
      <c r="A5600" s="402">
        <v>90662</v>
      </c>
      <c r="B5600" s="403" t="s">
        <v>500</v>
      </c>
      <c r="C5600" s="402" t="s">
        <v>44</v>
      </c>
      <c r="D5600" s="601">
        <v>11.87</v>
      </c>
    </row>
    <row r="5601" spans="1:4" ht="40.5">
      <c r="A5601" s="402">
        <v>90668</v>
      </c>
      <c r="B5601" s="403" t="s">
        <v>2220</v>
      </c>
      <c r="C5601" s="402" t="s">
        <v>44</v>
      </c>
      <c r="D5601" s="601">
        <v>16.420000000000002</v>
      </c>
    </row>
    <row r="5602" spans="1:4" ht="54">
      <c r="A5602" s="402">
        <v>90674</v>
      </c>
      <c r="B5602" s="403" t="s">
        <v>2226</v>
      </c>
      <c r="C5602" s="402" t="s">
        <v>44</v>
      </c>
      <c r="D5602" s="601">
        <v>344.01</v>
      </c>
    </row>
    <row r="5603" spans="1:4" ht="40.5">
      <c r="A5603" s="402">
        <v>90680</v>
      </c>
      <c r="B5603" s="403" t="s">
        <v>2232</v>
      </c>
      <c r="C5603" s="402" t="s">
        <v>44</v>
      </c>
      <c r="D5603" s="601">
        <v>207.69</v>
      </c>
    </row>
    <row r="5604" spans="1:4" ht="27">
      <c r="A5604" s="402">
        <v>90686</v>
      </c>
      <c r="B5604" s="403" t="s">
        <v>2238</v>
      </c>
      <c r="C5604" s="402" t="s">
        <v>44</v>
      </c>
      <c r="D5604" s="601">
        <v>92.6</v>
      </c>
    </row>
    <row r="5605" spans="1:4" ht="27">
      <c r="A5605" s="402">
        <v>90692</v>
      </c>
      <c r="B5605" s="403" t="s">
        <v>2244</v>
      </c>
      <c r="C5605" s="402" t="s">
        <v>44</v>
      </c>
      <c r="D5605" s="601">
        <v>74.819999999999993</v>
      </c>
    </row>
    <row r="5606" spans="1:4" ht="27">
      <c r="A5606" s="402">
        <v>90964</v>
      </c>
      <c r="B5606" s="403" t="s">
        <v>543</v>
      </c>
      <c r="C5606" s="402" t="s">
        <v>44</v>
      </c>
      <c r="D5606" s="601">
        <v>15.53</v>
      </c>
    </row>
    <row r="5607" spans="1:4" ht="27">
      <c r="A5607" s="402">
        <v>90972</v>
      </c>
      <c r="B5607" s="403" t="s">
        <v>2321</v>
      </c>
      <c r="C5607" s="402" t="s">
        <v>44</v>
      </c>
      <c r="D5607" s="601">
        <v>40.28</v>
      </c>
    </row>
    <row r="5608" spans="1:4" ht="27">
      <c r="A5608" s="402">
        <v>90979</v>
      </c>
      <c r="B5608" s="403" t="s">
        <v>548</v>
      </c>
      <c r="C5608" s="402" t="s">
        <v>44</v>
      </c>
      <c r="D5608" s="601">
        <v>104.09</v>
      </c>
    </row>
    <row r="5609" spans="1:4" ht="27">
      <c r="A5609" s="402">
        <v>90991</v>
      </c>
      <c r="B5609" s="403" t="s">
        <v>2324</v>
      </c>
      <c r="C5609" s="402" t="s">
        <v>44</v>
      </c>
      <c r="D5609" s="601">
        <v>105.18</v>
      </c>
    </row>
    <row r="5610" spans="1:4" ht="27">
      <c r="A5610" s="402">
        <v>90999</v>
      </c>
      <c r="B5610" s="403" t="s">
        <v>2332</v>
      </c>
      <c r="C5610" s="402" t="s">
        <v>44</v>
      </c>
      <c r="D5610" s="601">
        <v>53.42</v>
      </c>
    </row>
    <row r="5611" spans="1:4" ht="40.5">
      <c r="A5611" s="402">
        <v>91031</v>
      </c>
      <c r="B5611" s="403" t="s">
        <v>555</v>
      </c>
      <c r="C5611" s="402" t="s">
        <v>44</v>
      </c>
      <c r="D5611" s="601">
        <v>127.36</v>
      </c>
    </row>
    <row r="5612" spans="1:4" ht="27">
      <c r="A5612" s="402">
        <v>91277</v>
      </c>
      <c r="B5612" s="403" t="s">
        <v>2398</v>
      </c>
      <c r="C5612" s="402" t="s">
        <v>44</v>
      </c>
      <c r="D5612" s="601">
        <v>6.26</v>
      </c>
    </row>
    <row r="5613" spans="1:4" ht="40.5">
      <c r="A5613" s="402">
        <v>91283</v>
      </c>
      <c r="B5613" s="403" t="s">
        <v>2404</v>
      </c>
      <c r="C5613" s="402" t="s">
        <v>44</v>
      </c>
      <c r="D5613" s="601">
        <v>14.57</v>
      </c>
    </row>
    <row r="5614" spans="1:4" ht="40.5">
      <c r="A5614" s="402">
        <v>91386</v>
      </c>
      <c r="B5614" s="403" t="s">
        <v>2420</v>
      </c>
      <c r="C5614" s="402" t="s">
        <v>44</v>
      </c>
      <c r="D5614" s="601">
        <v>136.18</v>
      </c>
    </row>
    <row r="5615" spans="1:4" ht="27">
      <c r="A5615" s="402">
        <v>91533</v>
      </c>
      <c r="B5615" s="403" t="s">
        <v>2447</v>
      </c>
      <c r="C5615" s="402" t="s">
        <v>44</v>
      </c>
      <c r="D5615" s="601">
        <v>18.739999999999998</v>
      </c>
    </row>
    <row r="5616" spans="1:4" ht="40.5">
      <c r="A5616" s="402">
        <v>91634</v>
      </c>
      <c r="B5616" s="403" t="s">
        <v>2454</v>
      </c>
      <c r="C5616" s="402" t="s">
        <v>44</v>
      </c>
      <c r="D5616" s="601">
        <v>117.7</v>
      </c>
    </row>
    <row r="5617" spans="1:4" ht="40.5">
      <c r="A5617" s="402">
        <v>91645</v>
      </c>
      <c r="B5617" s="403" t="s">
        <v>2461</v>
      </c>
      <c r="C5617" s="402" t="s">
        <v>44</v>
      </c>
      <c r="D5617" s="601">
        <v>244.38</v>
      </c>
    </row>
    <row r="5618" spans="1:4" ht="27">
      <c r="A5618" s="402">
        <v>91692</v>
      </c>
      <c r="B5618" s="403" t="s">
        <v>2467</v>
      </c>
      <c r="C5618" s="402" t="s">
        <v>44</v>
      </c>
      <c r="D5618" s="601">
        <v>16.2</v>
      </c>
    </row>
    <row r="5619" spans="1:4" ht="27">
      <c r="A5619" s="402">
        <v>92043</v>
      </c>
      <c r="B5619" s="403" t="s">
        <v>2606</v>
      </c>
      <c r="C5619" s="402" t="s">
        <v>44</v>
      </c>
      <c r="D5619" s="601">
        <v>8</v>
      </c>
    </row>
    <row r="5620" spans="1:4" ht="54">
      <c r="A5620" s="402">
        <v>92106</v>
      </c>
      <c r="B5620" s="403" t="s">
        <v>2612</v>
      </c>
      <c r="C5620" s="402" t="s">
        <v>44</v>
      </c>
      <c r="D5620" s="601">
        <v>163.83000000000001</v>
      </c>
    </row>
    <row r="5621" spans="1:4" ht="27">
      <c r="A5621" s="402">
        <v>92112</v>
      </c>
      <c r="B5621" s="403" t="s">
        <v>609</v>
      </c>
      <c r="C5621" s="402" t="s">
        <v>44</v>
      </c>
      <c r="D5621" s="601">
        <v>2.2999999999999998</v>
      </c>
    </row>
    <row r="5622" spans="1:4" ht="13.5">
      <c r="A5622" s="402">
        <v>92118</v>
      </c>
      <c r="B5622" s="403" t="s">
        <v>614</v>
      </c>
      <c r="C5622" s="402" t="s">
        <v>44</v>
      </c>
      <c r="D5622" s="601">
        <v>0.16</v>
      </c>
    </row>
    <row r="5623" spans="1:4" ht="27">
      <c r="A5623" s="402">
        <v>92138</v>
      </c>
      <c r="B5623" s="403" t="s">
        <v>2619</v>
      </c>
      <c r="C5623" s="402" t="s">
        <v>44</v>
      </c>
      <c r="D5623" s="601">
        <v>53.88</v>
      </c>
    </row>
    <row r="5624" spans="1:4" ht="27">
      <c r="A5624" s="402">
        <v>92145</v>
      </c>
      <c r="B5624" s="403" t="s">
        <v>624</v>
      </c>
      <c r="C5624" s="402" t="s">
        <v>44</v>
      </c>
      <c r="D5624" s="601">
        <v>44.38</v>
      </c>
    </row>
    <row r="5625" spans="1:4" ht="40.5">
      <c r="A5625" s="402">
        <v>92242</v>
      </c>
      <c r="B5625" s="403" t="s">
        <v>2640</v>
      </c>
      <c r="C5625" s="402" t="s">
        <v>44</v>
      </c>
      <c r="D5625" s="601">
        <v>213.79</v>
      </c>
    </row>
    <row r="5626" spans="1:4" ht="27">
      <c r="A5626" s="402">
        <v>92716</v>
      </c>
      <c r="B5626" s="403" t="s">
        <v>2917</v>
      </c>
      <c r="C5626" s="402" t="s">
        <v>44</v>
      </c>
      <c r="D5626" s="601">
        <v>26.74</v>
      </c>
    </row>
    <row r="5627" spans="1:4" ht="27">
      <c r="A5627" s="402">
        <v>92960</v>
      </c>
      <c r="B5627" s="403" t="s">
        <v>3097</v>
      </c>
      <c r="C5627" s="402" t="s">
        <v>44</v>
      </c>
      <c r="D5627" s="601">
        <v>13.32</v>
      </c>
    </row>
    <row r="5628" spans="1:4" ht="27">
      <c r="A5628" s="402">
        <v>92966</v>
      </c>
      <c r="B5628" s="403" t="s">
        <v>3101</v>
      </c>
      <c r="C5628" s="402" t="s">
        <v>44</v>
      </c>
      <c r="D5628" s="601">
        <v>15.2</v>
      </c>
    </row>
    <row r="5629" spans="1:4" ht="54">
      <c r="A5629" s="402">
        <v>93224</v>
      </c>
      <c r="B5629" s="403" t="s">
        <v>3181</v>
      </c>
      <c r="C5629" s="402" t="s">
        <v>44</v>
      </c>
      <c r="D5629" s="601">
        <v>511.31</v>
      </c>
    </row>
    <row r="5630" spans="1:4" ht="27">
      <c r="A5630" s="402">
        <v>93233</v>
      </c>
      <c r="B5630" s="403" t="s">
        <v>678</v>
      </c>
      <c r="C5630" s="402" t="s">
        <v>44</v>
      </c>
      <c r="D5630" s="601">
        <v>5.99</v>
      </c>
    </row>
    <row r="5631" spans="1:4" ht="27">
      <c r="A5631" s="402">
        <v>93272</v>
      </c>
      <c r="B5631" s="403" t="s">
        <v>3192</v>
      </c>
      <c r="C5631" s="402" t="s">
        <v>44</v>
      </c>
      <c r="D5631" s="601">
        <v>74.09</v>
      </c>
    </row>
    <row r="5632" spans="1:4" ht="27">
      <c r="A5632" s="402">
        <v>93281</v>
      </c>
      <c r="B5632" s="403" t="s">
        <v>3198</v>
      </c>
      <c r="C5632" s="402" t="s">
        <v>44</v>
      </c>
      <c r="D5632" s="601">
        <v>14.18</v>
      </c>
    </row>
    <row r="5633" spans="1:4" ht="27">
      <c r="A5633" s="402">
        <v>93287</v>
      </c>
      <c r="B5633" s="403" t="s">
        <v>3204</v>
      </c>
      <c r="C5633" s="402" t="s">
        <v>44</v>
      </c>
      <c r="D5633" s="601">
        <v>337.75</v>
      </c>
    </row>
    <row r="5634" spans="1:4" ht="40.5">
      <c r="A5634" s="402">
        <v>93402</v>
      </c>
      <c r="B5634" s="403" t="s">
        <v>907</v>
      </c>
      <c r="C5634" s="402" t="s">
        <v>44</v>
      </c>
      <c r="D5634" s="601">
        <v>130.86000000000001</v>
      </c>
    </row>
    <row r="5635" spans="1:4" ht="54">
      <c r="A5635" s="402">
        <v>93408</v>
      </c>
      <c r="B5635" s="403" t="s">
        <v>6587</v>
      </c>
      <c r="C5635" s="402" t="s">
        <v>44</v>
      </c>
      <c r="D5635" s="601">
        <v>50.99</v>
      </c>
    </row>
    <row r="5636" spans="1:4" ht="27">
      <c r="A5636" s="402">
        <v>93415</v>
      </c>
      <c r="B5636" s="403" t="s">
        <v>3235</v>
      </c>
      <c r="C5636" s="402" t="s">
        <v>44</v>
      </c>
      <c r="D5636" s="601">
        <v>9.75</v>
      </c>
    </row>
    <row r="5637" spans="1:4" ht="27">
      <c r="A5637" s="402">
        <v>93421</v>
      </c>
      <c r="B5637" s="403" t="s">
        <v>683</v>
      </c>
      <c r="C5637" s="402" t="s">
        <v>44</v>
      </c>
      <c r="D5637" s="601">
        <v>42.03</v>
      </c>
    </row>
    <row r="5638" spans="1:4" ht="27">
      <c r="A5638" s="402">
        <v>93427</v>
      </c>
      <c r="B5638" s="403" t="s">
        <v>3244</v>
      </c>
      <c r="C5638" s="402" t="s">
        <v>44</v>
      </c>
      <c r="D5638" s="601">
        <v>94.88</v>
      </c>
    </row>
    <row r="5639" spans="1:4" ht="27">
      <c r="A5639" s="402">
        <v>93433</v>
      </c>
      <c r="B5639" s="403" t="s">
        <v>3250</v>
      </c>
      <c r="C5639" s="402" t="s">
        <v>44</v>
      </c>
      <c r="D5639" s="601">
        <v>1810.87</v>
      </c>
    </row>
    <row r="5640" spans="1:4" ht="27">
      <c r="A5640" s="402">
        <v>93439</v>
      </c>
      <c r="B5640" s="403" t="s">
        <v>3256</v>
      </c>
      <c r="C5640" s="402" t="s">
        <v>44</v>
      </c>
      <c r="D5640" s="601">
        <v>98.78</v>
      </c>
    </row>
    <row r="5641" spans="1:4" ht="27">
      <c r="A5641" s="402">
        <v>95121</v>
      </c>
      <c r="B5641" s="403" t="s">
        <v>3568</v>
      </c>
      <c r="C5641" s="402" t="s">
        <v>44</v>
      </c>
      <c r="D5641" s="601">
        <v>206.04</v>
      </c>
    </row>
    <row r="5642" spans="1:4" ht="27">
      <c r="A5642" s="402">
        <v>95127</v>
      </c>
      <c r="B5642" s="403" t="s">
        <v>732</v>
      </c>
      <c r="C5642" s="402" t="s">
        <v>44</v>
      </c>
      <c r="D5642" s="601">
        <v>118.88</v>
      </c>
    </row>
    <row r="5643" spans="1:4" ht="27">
      <c r="A5643" s="402">
        <v>95133</v>
      </c>
      <c r="B5643" s="403" t="s">
        <v>3575</v>
      </c>
      <c r="C5643" s="402" t="s">
        <v>44</v>
      </c>
      <c r="D5643" s="601">
        <v>94.61</v>
      </c>
    </row>
    <row r="5644" spans="1:4" ht="27">
      <c r="A5644" s="402">
        <v>95139</v>
      </c>
      <c r="B5644" s="403" t="s">
        <v>3579</v>
      </c>
      <c r="C5644" s="402" t="s">
        <v>44</v>
      </c>
      <c r="D5644" s="601">
        <v>0.06</v>
      </c>
    </row>
    <row r="5645" spans="1:4" ht="27">
      <c r="A5645" s="402">
        <v>95212</v>
      </c>
      <c r="B5645" s="403" t="s">
        <v>3586</v>
      </c>
      <c r="C5645" s="402" t="s">
        <v>44</v>
      </c>
      <c r="D5645" s="601">
        <v>81.209999999999994</v>
      </c>
    </row>
    <row r="5646" spans="1:4" ht="27">
      <c r="A5646" s="402">
        <v>95218</v>
      </c>
      <c r="B5646" s="403" t="s">
        <v>3592</v>
      </c>
      <c r="C5646" s="402" t="s">
        <v>44</v>
      </c>
      <c r="D5646" s="601">
        <v>20.34</v>
      </c>
    </row>
    <row r="5647" spans="1:4" ht="13.5">
      <c r="A5647" s="402">
        <v>95258</v>
      </c>
      <c r="B5647" s="403" t="s">
        <v>737</v>
      </c>
      <c r="C5647" s="402" t="s">
        <v>44</v>
      </c>
      <c r="D5647" s="601">
        <v>14.69</v>
      </c>
    </row>
    <row r="5648" spans="1:4" ht="27">
      <c r="A5648" s="402">
        <v>95264</v>
      </c>
      <c r="B5648" s="403" t="s">
        <v>3605</v>
      </c>
      <c r="C5648" s="402" t="s">
        <v>44</v>
      </c>
      <c r="D5648" s="601">
        <v>4.93</v>
      </c>
    </row>
    <row r="5649" spans="1:4" ht="27">
      <c r="A5649" s="402">
        <v>95270</v>
      </c>
      <c r="B5649" s="403" t="s">
        <v>3611</v>
      </c>
      <c r="C5649" s="402" t="s">
        <v>44</v>
      </c>
      <c r="D5649" s="601">
        <v>6.28</v>
      </c>
    </row>
    <row r="5650" spans="1:4" ht="27">
      <c r="A5650" s="402">
        <v>95276</v>
      </c>
      <c r="B5650" s="403" t="s">
        <v>3617</v>
      </c>
      <c r="C5650" s="402" t="s">
        <v>44</v>
      </c>
      <c r="D5650" s="601">
        <v>2.82</v>
      </c>
    </row>
    <row r="5651" spans="1:4" ht="27">
      <c r="A5651" s="402">
        <v>95282</v>
      </c>
      <c r="B5651" s="403" t="s">
        <v>3623</v>
      </c>
      <c r="C5651" s="402" t="s">
        <v>44</v>
      </c>
      <c r="D5651" s="601">
        <v>6.26</v>
      </c>
    </row>
    <row r="5652" spans="1:4" ht="40.5">
      <c r="A5652" s="402">
        <v>95620</v>
      </c>
      <c r="B5652" s="403" t="s">
        <v>3768</v>
      </c>
      <c r="C5652" s="402" t="s">
        <v>44</v>
      </c>
      <c r="D5652" s="601">
        <v>14.1</v>
      </c>
    </row>
    <row r="5653" spans="1:4" ht="27">
      <c r="A5653" s="402">
        <v>95631</v>
      </c>
      <c r="B5653" s="403" t="s">
        <v>3776</v>
      </c>
      <c r="C5653" s="402" t="s">
        <v>44</v>
      </c>
      <c r="D5653" s="601">
        <v>118.41</v>
      </c>
    </row>
    <row r="5654" spans="1:4" ht="27">
      <c r="A5654" s="402">
        <v>95702</v>
      </c>
      <c r="B5654" s="403" t="s">
        <v>3797</v>
      </c>
      <c r="C5654" s="402" t="s">
        <v>44</v>
      </c>
      <c r="D5654" s="601">
        <v>26.82</v>
      </c>
    </row>
    <row r="5655" spans="1:4" ht="27">
      <c r="A5655" s="402">
        <v>95708</v>
      </c>
      <c r="B5655" s="403" t="s">
        <v>3803</v>
      </c>
      <c r="C5655" s="402" t="s">
        <v>44</v>
      </c>
      <c r="D5655" s="601">
        <v>97.31</v>
      </c>
    </row>
    <row r="5656" spans="1:4" ht="40.5">
      <c r="A5656" s="402">
        <v>95714</v>
      </c>
      <c r="B5656" s="403" t="s">
        <v>3809</v>
      </c>
      <c r="C5656" s="402" t="s">
        <v>44</v>
      </c>
      <c r="D5656" s="601">
        <v>131.69999999999999</v>
      </c>
    </row>
    <row r="5657" spans="1:4" ht="40.5">
      <c r="A5657" s="402">
        <v>95720</v>
      </c>
      <c r="B5657" s="403" t="s">
        <v>3815</v>
      </c>
      <c r="C5657" s="402" t="s">
        <v>44</v>
      </c>
      <c r="D5657" s="601">
        <v>129.22</v>
      </c>
    </row>
    <row r="5658" spans="1:4" ht="27">
      <c r="A5658" s="402">
        <v>95872</v>
      </c>
      <c r="B5658" s="403" t="s">
        <v>831</v>
      </c>
      <c r="C5658" s="402" t="s">
        <v>44</v>
      </c>
      <c r="D5658" s="601">
        <v>160.80000000000001</v>
      </c>
    </row>
    <row r="5659" spans="1:4" ht="27">
      <c r="A5659" s="402">
        <v>96013</v>
      </c>
      <c r="B5659" s="403" t="s">
        <v>3895</v>
      </c>
      <c r="C5659" s="402" t="s">
        <v>44</v>
      </c>
      <c r="D5659" s="601">
        <v>132.80000000000001</v>
      </c>
    </row>
    <row r="5660" spans="1:4" ht="27">
      <c r="A5660" s="402">
        <v>96020</v>
      </c>
      <c r="B5660" s="403" t="s">
        <v>3901</v>
      </c>
      <c r="C5660" s="402" t="s">
        <v>44</v>
      </c>
      <c r="D5660" s="601">
        <v>132.56</v>
      </c>
    </row>
    <row r="5661" spans="1:4" ht="27">
      <c r="A5661" s="402">
        <v>96028</v>
      </c>
      <c r="B5661" s="403" t="s">
        <v>971</v>
      </c>
      <c r="C5661" s="402" t="s">
        <v>44</v>
      </c>
      <c r="D5661" s="601">
        <v>98.49</v>
      </c>
    </row>
    <row r="5662" spans="1:4" ht="27">
      <c r="A5662" s="402">
        <v>96035</v>
      </c>
      <c r="B5662" s="403" t="s">
        <v>3907</v>
      </c>
      <c r="C5662" s="402" t="s">
        <v>44</v>
      </c>
      <c r="D5662" s="601">
        <v>143.35</v>
      </c>
    </row>
    <row r="5663" spans="1:4" ht="27">
      <c r="A5663" s="402">
        <v>96157</v>
      </c>
      <c r="B5663" s="403" t="s">
        <v>3936</v>
      </c>
      <c r="C5663" s="402" t="s">
        <v>44</v>
      </c>
      <c r="D5663" s="601">
        <v>98.73</v>
      </c>
    </row>
    <row r="5664" spans="1:4" ht="27">
      <c r="A5664" s="402">
        <v>96158</v>
      </c>
      <c r="B5664" s="403" t="s">
        <v>978</v>
      </c>
      <c r="C5664" s="402" t="s">
        <v>44</v>
      </c>
      <c r="D5664" s="601">
        <v>81.569999999999993</v>
      </c>
    </row>
    <row r="5665" spans="1:4" ht="27">
      <c r="A5665" s="402">
        <v>96245</v>
      </c>
      <c r="B5665" s="403" t="s">
        <v>3942</v>
      </c>
      <c r="C5665" s="402" t="s">
        <v>44</v>
      </c>
      <c r="D5665" s="601">
        <v>60.51</v>
      </c>
    </row>
    <row r="5666" spans="1:4" ht="27">
      <c r="A5666" s="402">
        <v>96303</v>
      </c>
      <c r="B5666" s="403" t="s">
        <v>3953</v>
      </c>
      <c r="C5666" s="402" t="s">
        <v>44</v>
      </c>
      <c r="D5666" s="601">
        <v>126.72</v>
      </c>
    </row>
    <row r="5667" spans="1:4" ht="40.5">
      <c r="A5667" s="402">
        <v>96309</v>
      </c>
      <c r="B5667" s="403" t="s">
        <v>3959</v>
      </c>
      <c r="C5667" s="402" t="s">
        <v>44</v>
      </c>
      <c r="D5667" s="601">
        <v>1.28</v>
      </c>
    </row>
    <row r="5668" spans="1:4" ht="27">
      <c r="A5668" s="402">
        <v>96463</v>
      </c>
      <c r="B5668" s="403" t="s">
        <v>3981</v>
      </c>
      <c r="C5668" s="402" t="s">
        <v>44</v>
      </c>
      <c r="D5668" s="601">
        <v>110.81</v>
      </c>
    </row>
    <row r="5669" spans="1:4" ht="40.5">
      <c r="A5669" s="402">
        <v>98764</v>
      </c>
      <c r="B5669" s="403" t="s">
        <v>5107</v>
      </c>
      <c r="C5669" s="402" t="s">
        <v>44</v>
      </c>
      <c r="D5669" s="601">
        <v>3.96</v>
      </c>
    </row>
    <row r="5670" spans="1:4" ht="40.5">
      <c r="A5670" s="402">
        <v>99833</v>
      </c>
      <c r="B5670" s="403" t="s">
        <v>5341</v>
      </c>
      <c r="C5670" s="402" t="s">
        <v>44</v>
      </c>
      <c r="D5670" s="601">
        <v>1.69</v>
      </c>
    </row>
    <row r="5671" spans="1:4" ht="27">
      <c r="A5671" s="402">
        <v>100641</v>
      </c>
      <c r="B5671" s="403" t="s">
        <v>6588</v>
      </c>
      <c r="C5671" s="402" t="s">
        <v>44</v>
      </c>
      <c r="D5671" s="601">
        <v>432.96</v>
      </c>
    </row>
    <row r="5672" spans="1:4" ht="27">
      <c r="A5672" s="402">
        <v>100647</v>
      </c>
      <c r="B5672" s="403" t="s">
        <v>6589</v>
      </c>
      <c r="C5672" s="402" t="s">
        <v>44</v>
      </c>
      <c r="D5672" s="601">
        <v>884.61</v>
      </c>
    </row>
    <row r="5673" spans="1:4" ht="27">
      <c r="A5673" s="402">
        <v>5632</v>
      </c>
      <c r="B5673" s="403" t="s">
        <v>1017</v>
      </c>
      <c r="C5673" s="402" t="s">
        <v>61</v>
      </c>
      <c r="D5673" s="601">
        <v>43.48</v>
      </c>
    </row>
    <row r="5674" spans="1:4" ht="54">
      <c r="A5674" s="402">
        <v>5679</v>
      </c>
      <c r="B5674" s="403" t="s">
        <v>1024</v>
      </c>
      <c r="C5674" s="402" t="s">
        <v>61</v>
      </c>
      <c r="D5674" s="601">
        <v>32.1</v>
      </c>
    </row>
    <row r="5675" spans="1:4" ht="54">
      <c r="A5675" s="402">
        <v>5681</v>
      </c>
      <c r="B5675" s="403" t="s">
        <v>1026</v>
      </c>
      <c r="C5675" s="402" t="s">
        <v>61</v>
      </c>
      <c r="D5675" s="601">
        <v>30.37</v>
      </c>
    </row>
    <row r="5676" spans="1:4" ht="40.5">
      <c r="A5676" s="402">
        <v>5685</v>
      </c>
      <c r="B5676" s="403" t="s">
        <v>1028</v>
      </c>
      <c r="C5676" s="402" t="s">
        <v>61</v>
      </c>
      <c r="D5676" s="601">
        <v>31.49</v>
      </c>
    </row>
    <row r="5677" spans="1:4" ht="27">
      <c r="A5677" s="402">
        <v>5690</v>
      </c>
      <c r="B5677" s="403" t="s">
        <v>1029</v>
      </c>
      <c r="C5677" s="402" t="s">
        <v>61</v>
      </c>
      <c r="D5677" s="601">
        <v>1.98</v>
      </c>
    </row>
    <row r="5678" spans="1:4" ht="40.5">
      <c r="A5678" s="402">
        <v>5806</v>
      </c>
      <c r="B5678" s="403" t="s">
        <v>1054</v>
      </c>
      <c r="C5678" s="402" t="s">
        <v>61</v>
      </c>
      <c r="D5678" s="601">
        <v>0.16</v>
      </c>
    </row>
    <row r="5679" spans="1:4" ht="54">
      <c r="A5679" s="402">
        <v>5826</v>
      </c>
      <c r="B5679" s="403" t="s">
        <v>1057</v>
      </c>
      <c r="C5679" s="402" t="s">
        <v>61</v>
      </c>
      <c r="D5679" s="601">
        <v>24.56</v>
      </c>
    </row>
    <row r="5680" spans="1:4" ht="27">
      <c r="A5680" s="402">
        <v>5829</v>
      </c>
      <c r="B5680" s="403" t="s">
        <v>74</v>
      </c>
      <c r="C5680" s="402" t="s">
        <v>61</v>
      </c>
      <c r="D5680" s="601">
        <v>108.73</v>
      </c>
    </row>
    <row r="5681" spans="1:4" ht="27">
      <c r="A5681" s="402">
        <v>5837</v>
      </c>
      <c r="B5681" s="403" t="s">
        <v>1059</v>
      </c>
      <c r="C5681" s="402" t="s">
        <v>61</v>
      </c>
      <c r="D5681" s="601">
        <v>93.55</v>
      </c>
    </row>
    <row r="5682" spans="1:4" ht="27">
      <c r="A5682" s="402">
        <v>5841</v>
      </c>
      <c r="B5682" s="403" t="s">
        <v>1061</v>
      </c>
      <c r="C5682" s="402" t="s">
        <v>61</v>
      </c>
      <c r="D5682" s="601">
        <v>2.2799999999999998</v>
      </c>
    </row>
    <row r="5683" spans="1:4" ht="27">
      <c r="A5683" s="402">
        <v>5845</v>
      </c>
      <c r="B5683" s="403" t="s">
        <v>76</v>
      </c>
      <c r="C5683" s="402" t="s">
        <v>61</v>
      </c>
      <c r="D5683" s="601">
        <v>24.73</v>
      </c>
    </row>
    <row r="5684" spans="1:4" ht="27">
      <c r="A5684" s="402">
        <v>5849</v>
      </c>
      <c r="B5684" s="403" t="s">
        <v>1063</v>
      </c>
      <c r="C5684" s="402" t="s">
        <v>61</v>
      </c>
      <c r="D5684" s="601">
        <v>40.85</v>
      </c>
    </row>
    <row r="5685" spans="1:4" ht="27">
      <c r="A5685" s="402">
        <v>5853</v>
      </c>
      <c r="B5685" s="403" t="s">
        <v>78</v>
      </c>
      <c r="C5685" s="402" t="s">
        <v>61</v>
      </c>
      <c r="D5685" s="601">
        <v>41.02</v>
      </c>
    </row>
    <row r="5686" spans="1:4" ht="27">
      <c r="A5686" s="402">
        <v>5857</v>
      </c>
      <c r="B5686" s="403" t="s">
        <v>1065</v>
      </c>
      <c r="C5686" s="402" t="s">
        <v>61</v>
      </c>
      <c r="D5686" s="601">
        <v>103.53</v>
      </c>
    </row>
    <row r="5687" spans="1:4" ht="40.5">
      <c r="A5687" s="402">
        <v>5865</v>
      </c>
      <c r="B5687" s="403" t="s">
        <v>1067</v>
      </c>
      <c r="C5687" s="402" t="s">
        <v>61</v>
      </c>
      <c r="D5687" s="601">
        <v>5.43</v>
      </c>
    </row>
    <row r="5688" spans="1:4" ht="27">
      <c r="A5688" s="402">
        <v>5869</v>
      </c>
      <c r="B5688" s="403" t="s">
        <v>1069</v>
      </c>
      <c r="C5688" s="402" t="s">
        <v>61</v>
      </c>
      <c r="D5688" s="601">
        <v>35.6</v>
      </c>
    </row>
    <row r="5689" spans="1:4" ht="54">
      <c r="A5689" s="402">
        <v>5877</v>
      </c>
      <c r="B5689" s="403" t="s">
        <v>1071</v>
      </c>
      <c r="C5689" s="402" t="s">
        <v>61</v>
      </c>
      <c r="D5689" s="601">
        <v>31.55</v>
      </c>
    </row>
    <row r="5690" spans="1:4" ht="40.5">
      <c r="A5690" s="402">
        <v>5881</v>
      </c>
      <c r="B5690" s="403" t="s">
        <v>1073</v>
      </c>
      <c r="C5690" s="402" t="s">
        <v>61</v>
      </c>
      <c r="D5690" s="601">
        <v>38.1</v>
      </c>
    </row>
    <row r="5691" spans="1:4" ht="40.5">
      <c r="A5691" s="402">
        <v>5884</v>
      </c>
      <c r="B5691" s="403" t="s">
        <v>1075</v>
      </c>
      <c r="C5691" s="402" t="s">
        <v>61</v>
      </c>
      <c r="D5691" s="601">
        <v>31.97</v>
      </c>
    </row>
    <row r="5692" spans="1:4" ht="40.5">
      <c r="A5692" s="402">
        <v>5892</v>
      </c>
      <c r="B5692" s="403" t="s">
        <v>80</v>
      </c>
      <c r="C5692" s="402" t="s">
        <v>61</v>
      </c>
      <c r="D5692" s="601">
        <v>25.6</v>
      </c>
    </row>
    <row r="5693" spans="1:4" ht="40.5">
      <c r="A5693" s="402">
        <v>5896</v>
      </c>
      <c r="B5693" s="403" t="s">
        <v>1077</v>
      </c>
      <c r="C5693" s="402" t="s">
        <v>61</v>
      </c>
      <c r="D5693" s="601">
        <v>23.79</v>
      </c>
    </row>
    <row r="5694" spans="1:4" ht="40.5">
      <c r="A5694" s="402">
        <v>5903</v>
      </c>
      <c r="B5694" s="403" t="s">
        <v>1079</v>
      </c>
      <c r="C5694" s="402" t="s">
        <v>61</v>
      </c>
      <c r="D5694" s="601">
        <v>30.79</v>
      </c>
    </row>
    <row r="5695" spans="1:4" ht="27">
      <c r="A5695" s="402">
        <v>5911</v>
      </c>
      <c r="B5695" s="403" t="s">
        <v>82</v>
      </c>
      <c r="C5695" s="402" t="s">
        <v>61</v>
      </c>
      <c r="D5695" s="601">
        <v>17.36</v>
      </c>
    </row>
    <row r="5696" spans="1:4" ht="27">
      <c r="A5696" s="402">
        <v>5923</v>
      </c>
      <c r="B5696" s="403" t="s">
        <v>1081</v>
      </c>
      <c r="C5696" s="402" t="s">
        <v>61</v>
      </c>
      <c r="D5696" s="601">
        <v>1.55</v>
      </c>
    </row>
    <row r="5697" spans="1:4" ht="40.5">
      <c r="A5697" s="402">
        <v>5930</v>
      </c>
      <c r="B5697" s="403" t="s">
        <v>1083</v>
      </c>
      <c r="C5697" s="402" t="s">
        <v>61</v>
      </c>
      <c r="D5697" s="601">
        <v>28.86</v>
      </c>
    </row>
    <row r="5698" spans="1:4" ht="27">
      <c r="A5698" s="402">
        <v>5934</v>
      </c>
      <c r="B5698" s="403" t="s">
        <v>84</v>
      </c>
      <c r="C5698" s="402" t="s">
        <v>61</v>
      </c>
      <c r="D5698" s="601">
        <v>43.5</v>
      </c>
    </row>
    <row r="5699" spans="1:4" ht="27">
      <c r="A5699" s="402">
        <v>5942</v>
      </c>
      <c r="B5699" s="403" t="s">
        <v>1085</v>
      </c>
      <c r="C5699" s="402" t="s">
        <v>61</v>
      </c>
      <c r="D5699" s="601">
        <v>38.79</v>
      </c>
    </row>
    <row r="5700" spans="1:4" ht="27">
      <c r="A5700" s="402">
        <v>5946</v>
      </c>
      <c r="B5700" s="403" t="s">
        <v>1087</v>
      </c>
      <c r="C5700" s="402" t="s">
        <v>61</v>
      </c>
      <c r="D5700" s="601">
        <v>48.26</v>
      </c>
    </row>
    <row r="5701" spans="1:4" ht="27">
      <c r="A5701" s="402">
        <v>5952</v>
      </c>
      <c r="B5701" s="403" t="s">
        <v>85</v>
      </c>
      <c r="C5701" s="402" t="s">
        <v>61</v>
      </c>
      <c r="D5701" s="601">
        <v>13.17</v>
      </c>
    </row>
    <row r="5702" spans="1:4" ht="27">
      <c r="A5702" s="402">
        <v>5954</v>
      </c>
      <c r="B5702" s="403" t="s">
        <v>87</v>
      </c>
      <c r="C5702" s="402" t="s">
        <v>61</v>
      </c>
      <c r="D5702" s="601">
        <v>2.65</v>
      </c>
    </row>
    <row r="5703" spans="1:4" ht="40.5">
      <c r="A5703" s="402">
        <v>5961</v>
      </c>
      <c r="B5703" s="403" t="s">
        <v>1088</v>
      </c>
      <c r="C5703" s="402" t="s">
        <v>61</v>
      </c>
      <c r="D5703" s="601">
        <v>29.87</v>
      </c>
    </row>
    <row r="5704" spans="1:4" ht="40.5">
      <c r="A5704" s="402">
        <v>6260</v>
      </c>
      <c r="B5704" s="403" t="s">
        <v>1090</v>
      </c>
      <c r="C5704" s="402" t="s">
        <v>61</v>
      </c>
      <c r="D5704" s="601">
        <v>27.13</v>
      </c>
    </row>
    <row r="5705" spans="1:4" ht="40.5">
      <c r="A5705" s="402">
        <v>6880</v>
      </c>
      <c r="B5705" s="403" t="s">
        <v>1092</v>
      </c>
      <c r="C5705" s="402" t="s">
        <v>61</v>
      </c>
      <c r="D5705" s="601">
        <v>41.64</v>
      </c>
    </row>
    <row r="5706" spans="1:4" ht="27">
      <c r="A5706" s="402">
        <v>7031</v>
      </c>
      <c r="B5706" s="403" t="s">
        <v>1094</v>
      </c>
      <c r="C5706" s="402" t="s">
        <v>61</v>
      </c>
      <c r="D5706" s="601">
        <v>3.75</v>
      </c>
    </row>
    <row r="5707" spans="1:4" ht="40.5">
      <c r="A5707" s="402">
        <v>7043</v>
      </c>
      <c r="B5707" s="403" t="s">
        <v>1103</v>
      </c>
      <c r="C5707" s="402" t="s">
        <v>61</v>
      </c>
      <c r="D5707" s="601">
        <v>0.21</v>
      </c>
    </row>
    <row r="5708" spans="1:4" ht="40.5">
      <c r="A5708" s="402">
        <v>7050</v>
      </c>
      <c r="B5708" s="403" t="s">
        <v>1109</v>
      </c>
      <c r="C5708" s="402" t="s">
        <v>61</v>
      </c>
      <c r="D5708" s="601">
        <v>38.46</v>
      </c>
    </row>
    <row r="5709" spans="1:4" ht="40.5">
      <c r="A5709" s="402">
        <v>67827</v>
      </c>
      <c r="B5709" s="403" t="s">
        <v>1146</v>
      </c>
      <c r="C5709" s="402" t="s">
        <v>61</v>
      </c>
      <c r="D5709" s="601">
        <v>29.12</v>
      </c>
    </row>
    <row r="5710" spans="1:4" ht="27">
      <c r="A5710" s="402">
        <v>73395</v>
      </c>
      <c r="B5710" s="403" t="s">
        <v>1184</v>
      </c>
      <c r="C5710" s="402" t="s">
        <v>61</v>
      </c>
      <c r="D5710" s="601">
        <v>5.18</v>
      </c>
    </row>
    <row r="5711" spans="1:4" ht="27">
      <c r="A5711" s="402">
        <v>83766</v>
      </c>
      <c r="B5711" s="403" t="s">
        <v>1218</v>
      </c>
      <c r="C5711" s="402" t="s">
        <v>61</v>
      </c>
      <c r="D5711" s="601">
        <v>28.39</v>
      </c>
    </row>
    <row r="5712" spans="1:4" ht="27">
      <c r="A5712" s="402">
        <v>84013</v>
      </c>
      <c r="B5712" s="403" t="s">
        <v>1219</v>
      </c>
      <c r="C5712" s="402" t="s">
        <v>61</v>
      </c>
      <c r="D5712" s="601">
        <v>42.23</v>
      </c>
    </row>
    <row r="5713" spans="1:4" ht="27">
      <c r="A5713" s="402">
        <v>87446</v>
      </c>
      <c r="B5713" s="403" t="s">
        <v>219</v>
      </c>
      <c r="C5713" s="402" t="s">
        <v>61</v>
      </c>
      <c r="D5713" s="601">
        <v>0.34</v>
      </c>
    </row>
    <row r="5714" spans="1:4" ht="27">
      <c r="A5714" s="402">
        <v>88392</v>
      </c>
      <c r="B5714" s="403" t="s">
        <v>1526</v>
      </c>
      <c r="C5714" s="402" t="s">
        <v>61</v>
      </c>
      <c r="D5714" s="601">
        <v>0.68</v>
      </c>
    </row>
    <row r="5715" spans="1:4" ht="27">
      <c r="A5715" s="402">
        <v>88398</v>
      </c>
      <c r="B5715" s="403" t="s">
        <v>1532</v>
      </c>
      <c r="C5715" s="402" t="s">
        <v>61</v>
      </c>
      <c r="D5715" s="601">
        <v>0.81</v>
      </c>
    </row>
    <row r="5716" spans="1:4" ht="27">
      <c r="A5716" s="402">
        <v>88404</v>
      </c>
      <c r="B5716" s="403" t="s">
        <v>1538</v>
      </c>
      <c r="C5716" s="402" t="s">
        <v>61</v>
      </c>
      <c r="D5716" s="601">
        <v>0.64</v>
      </c>
    </row>
    <row r="5717" spans="1:4" ht="27">
      <c r="A5717" s="402">
        <v>88430</v>
      </c>
      <c r="B5717" s="403" t="s">
        <v>307</v>
      </c>
      <c r="C5717" s="402" t="s">
        <v>61</v>
      </c>
      <c r="D5717" s="601">
        <v>4.21</v>
      </c>
    </row>
    <row r="5718" spans="1:4" ht="27">
      <c r="A5718" s="402">
        <v>88438</v>
      </c>
      <c r="B5718" s="403" t="s">
        <v>1556</v>
      </c>
      <c r="C5718" s="402" t="s">
        <v>61</v>
      </c>
      <c r="D5718" s="601">
        <v>5.59</v>
      </c>
    </row>
    <row r="5719" spans="1:4" ht="27">
      <c r="A5719" s="402">
        <v>88831</v>
      </c>
      <c r="B5719" s="403" t="s">
        <v>1580</v>
      </c>
      <c r="C5719" s="402" t="s">
        <v>61</v>
      </c>
      <c r="D5719" s="601">
        <v>0.25</v>
      </c>
    </row>
    <row r="5720" spans="1:4" ht="27">
      <c r="A5720" s="402">
        <v>88844</v>
      </c>
      <c r="B5720" s="403" t="s">
        <v>1590</v>
      </c>
      <c r="C5720" s="402" t="s">
        <v>61</v>
      </c>
      <c r="D5720" s="601">
        <v>35.729999999999997</v>
      </c>
    </row>
    <row r="5721" spans="1:4" ht="27">
      <c r="A5721" s="402">
        <v>88908</v>
      </c>
      <c r="B5721" s="403" t="s">
        <v>1606</v>
      </c>
      <c r="C5721" s="402" t="s">
        <v>61</v>
      </c>
      <c r="D5721" s="601">
        <v>46.51</v>
      </c>
    </row>
    <row r="5722" spans="1:4" ht="40.5">
      <c r="A5722" s="402">
        <v>89022</v>
      </c>
      <c r="B5722" s="403" t="s">
        <v>1618</v>
      </c>
      <c r="C5722" s="402" t="s">
        <v>61</v>
      </c>
      <c r="D5722" s="601">
        <v>0.28999999999999998</v>
      </c>
    </row>
    <row r="5723" spans="1:4" ht="27">
      <c r="A5723" s="402">
        <v>89027</v>
      </c>
      <c r="B5723" s="403" t="s">
        <v>331</v>
      </c>
      <c r="C5723" s="402" t="s">
        <v>61</v>
      </c>
      <c r="D5723" s="601">
        <v>3.05</v>
      </c>
    </row>
    <row r="5724" spans="1:4" ht="27">
      <c r="A5724" s="402">
        <v>89031</v>
      </c>
      <c r="B5724" s="403" t="s">
        <v>1625</v>
      </c>
      <c r="C5724" s="402" t="s">
        <v>61</v>
      </c>
      <c r="D5724" s="601">
        <v>34.74</v>
      </c>
    </row>
    <row r="5725" spans="1:4" ht="27">
      <c r="A5725" s="402">
        <v>89036</v>
      </c>
      <c r="B5725" s="403" t="s">
        <v>336</v>
      </c>
      <c r="C5725" s="402" t="s">
        <v>61</v>
      </c>
      <c r="D5725" s="601">
        <v>21.74</v>
      </c>
    </row>
    <row r="5726" spans="1:4" ht="27">
      <c r="A5726" s="402">
        <v>89218</v>
      </c>
      <c r="B5726" s="403" t="s">
        <v>341</v>
      </c>
      <c r="C5726" s="402" t="s">
        <v>61</v>
      </c>
      <c r="D5726" s="601">
        <v>47.07</v>
      </c>
    </row>
    <row r="5727" spans="1:4" ht="27">
      <c r="A5727" s="402">
        <v>89226</v>
      </c>
      <c r="B5727" s="403" t="s">
        <v>1649</v>
      </c>
      <c r="C5727" s="402" t="s">
        <v>61</v>
      </c>
      <c r="D5727" s="601">
        <v>1.05</v>
      </c>
    </row>
    <row r="5728" spans="1:4" ht="27">
      <c r="A5728" s="402">
        <v>89235</v>
      </c>
      <c r="B5728" s="403" t="s">
        <v>1655</v>
      </c>
      <c r="C5728" s="402" t="s">
        <v>61</v>
      </c>
      <c r="D5728" s="601">
        <v>122.23</v>
      </c>
    </row>
    <row r="5729" spans="1:4" ht="27">
      <c r="A5729" s="402">
        <v>89243</v>
      </c>
      <c r="B5729" s="403" t="s">
        <v>1662</v>
      </c>
      <c r="C5729" s="402" t="s">
        <v>61</v>
      </c>
      <c r="D5729" s="601">
        <v>264.27999999999997</v>
      </c>
    </row>
    <row r="5730" spans="1:4" ht="27">
      <c r="A5730" s="402">
        <v>89251</v>
      </c>
      <c r="B5730" s="403" t="s">
        <v>350</v>
      </c>
      <c r="C5730" s="402" t="s">
        <v>61</v>
      </c>
      <c r="D5730" s="601">
        <v>231.73</v>
      </c>
    </row>
    <row r="5731" spans="1:4" ht="27">
      <c r="A5731" s="402">
        <v>89258</v>
      </c>
      <c r="B5731" s="403" t="s">
        <v>1667</v>
      </c>
      <c r="C5731" s="402" t="s">
        <v>61</v>
      </c>
      <c r="D5731" s="601">
        <v>79.53</v>
      </c>
    </row>
    <row r="5732" spans="1:4" ht="40.5">
      <c r="A5732" s="402">
        <v>89273</v>
      </c>
      <c r="B5732" s="403" t="s">
        <v>1680</v>
      </c>
      <c r="C5732" s="402" t="s">
        <v>61</v>
      </c>
      <c r="D5732" s="601">
        <v>46.05</v>
      </c>
    </row>
    <row r="5733" spans="1:4" ht="27">
      <c r="A5733" s="402">
        <v>89279</v>
      </c>
      <c r="B5733" s="403" t="s">
        <v>1686</v>
      </c>
      <c r="C5733" s="402" t="s">
        <v>61</v>
      </c>
      <c r="D5733" s="601">
        <v>1.27</v>
      </c>
    </row>
    <row r="5734" spans="1:4" ht="40.5">
      <c r="A5734" s="402">
        <v>89877</v>
      </c>
      <c r="B5734" s="403" t="s">
        <v>457</v>
      </c>
      <c r="C5734" s="402" t="s">
        <v>61</v>
      </c>
      <c r="D5734" s="601">
        <v>37.770000000000003</v>
      </c>
    </row>
    <row r="5735" spans="1:4" ht="40.5">
      <c r="A5735" s="402">
        <v>89884</v>
      </c>
      <c r="B5735" s="403" t="s">
        <v>464</v>
      </c>
      <c r="C5735" s="402" t="s">
        <v>61</v>
      </c>
      <c r="D5735" s="601">
        <v>39.14</v>
      </c>
    </row>
    <row r="5736" spans="1:4" ht="27">
      <c r="A5736" s="402">
        <v>90587</v>
      </c>
      <c r="B5736" s="403" t="s">
        <v>2194</v>
      </c>
      <c r="C5736" s="402" t="s">
        <v>61</v>
      </c>
      <c r="D5736" s="601">
        <v>0.34</v>
      </c>
    </row>
    <row r="5737" spans="1:4" ht="27">
      <c r="A5737" s="402">
        <v>90626</v>
      </c>
      <c r="B5737" s="403" t="s">
        <v>486</v>
      </c>
      <c r="C5737" s="402" t="s">
        <v>61</v>
      </c>
      <c r="D5737" s="601">
        <v>2.29</v>
      </c>
    </row>
    <row r="5738" spans="1:4" ht="27">
      <c r="A5738" s="402">
        <v>90632</v>
      </c>
      <c r="B5738" s="403" t="s">
        <v>491</v>
      </c>
      <c r="C5738" s="402" t="s">
        <v>61</v>
      </c>
      <c r="D5738" s="601">
        <v>41.16</v>
      </c>
    </row>
    <row r="5739" spans="1:4" ht="40.5">
      <c r="A5739" s="402">
        <v>90638</v>
      </c>
      <c r="B5739" s="403" t="s">
        <v>497</v>
      </c>
      <c r="C5739" s="402" t="s">
        <v>61</v>
      </c>
      <c r="D5739" s="601">
        <v>3.24</v>
      </c>
    </row>
    <row r="5740" spans="1:4" ht="27">
      <c r="A5740" s="402">
        <v>90644</v>
      </c>
      <c r="B5740" s="403" t="s">
        <v>2201</v>
      </c>
      <c r="C5740" s="402" t="s">
        <v>61</v>
      </c>
      <c r="D5740" s="601">
        <v>4.8499999999999996</v>
      </c>
    </row>
    <row r="5741" spans="1:4" ht="40.5">
      <c r="A5741" s="402">
        <v>90651</v>
      </c>
      <c r="B5741" s="403" t="s">
        <v>2207</v>
      </c>
      <c r="C5741" s="402" t="s">
        <v>61</v>
      </c>
      <c r="D5741" s="601">
        <v>0.61</v>
      </c>
    </row>
    <row r="5742" spans="1:4" ht="27">
      <c r="A5742" s="402">
        <v>90657</v>
      </c>
      <c r="B5742" s="403" t="s">
        <v>499</v>
      </c>
      <c r="C5742" s="402" t="s">
        <v>61</v>
      </c>
      <c r="D5742" s="601">
        <v>3.15</v>
      </c>
    </row>
    <row r="5743" spans="1:4" ht="27">
      <c r="A5743" s="402">
        <v>90663</v>
      </c>
      <c r="B5743" s="403" t="s">
        <v>501</v>
      </c>
      <c r="C5743" s="402" t="s">
        <v>61</v>
      </c>
      <c r="D5743" s="601">
        <v>3.37</v>
      </c>
    </row>
    <row r="5744" spans="1:4" ht="40.5">
      <c r="A5744" s="402">
        <v>90669</v>
      </c>
      <c r="B5744" s="403" t="s">
        <v>2221</v>
      </c>
      <c r="C5744" s="402" t="s">
        <v>61</v>
      </c>
      <c r="D5744" s="601">
        <v>4.2</v>
      </c>
    </row>
    <row r="5745" spans="1:4" ht="54">
      <c r="A5745" s="402">
        <v>90675</v>
      </c>
      <c r="B5745" s="403" t="s">
        <v>2227</v>
      </c>
      <c r="C5745" s="402" t="s">
        <v>61</v>
      </c>
      <c r="D5745" s="601">
        <v>140.09</v>
      </c>
    </row>
    <row r="5746" spans="1:4" ht="40.5">
      <c r="A5746" s="402">
        <v>90681</v>
      </c>
      <c r="B5746" s="403" t="s">
        <v>2233</v>
      </c>
      <c r="C5746" s="402" t="s">
        <v>61</v>
      </c>
      <c r="D5746" s="601">
        <v>84.03</v>
      </c>
    </row>
    <row r="5747" spans="1:4" ht="27">
      <c r="A5747" s="402">
        <v>90687</v>
      </c>
      <c r="B5747" s="403" t="s">
        <v>2239</v>
      </c>
      <c r="C5747" s="402" t="s">
        <v>61</v>
      </c>
      <c r="D5747" s="601">
        <v>38.32</v>
      </c>
    </row>
    <row r="5748" spans="1:4" ht="27">
      <c r="A5748" s="402">
        <v>90693</v>
      </c>
      <c r="B5748" s="403" t="s">
        <v>2245</v>
      </c>
      <c r="C5748" s="402" t="s">
        <v>61</v>
      </c>
      <c r="D5748" s="601">
        <v>29.36</v>
      </c>
    </row>
    <row r="5749" spans="1:4" ht="27">
      <c r="A5749" s="402">
        <v>90965</v>
      </c>
      <c r="B5749" s="403" t="s">
        <v>544</v>
      </c>
      <c r="C5749" s="402" t="s">
        <v>61</v>
      </c>
      <c r="D5749" s="601">
        <v>3.54</v>
      </c>
    </row>
    <row r="5750" spans="1:4" ht="27">
      <c r="A5750" s="402">
        <v>90973</v>
      </c>
      <c r="B5750" s="403" t="s">
        <v>2322</v>
      </c>
      <c r="C5750" s="402" t="s">
        <v>61</v>
      </c>
      <c r="D5750" s="601">
        <v>3.55</v>
      </c>
    </row>
    <row r="5751" spans="1:4" ht="27">
      <c r="A5751" s="402">
        <v>90982</v>
      </c>
      <c r="B5751" s="403" t="s">
        <v>549</v>
      </c>
      <c r="C5751" s="402" t="s">
        <v>61</v>
      </c>
      <c r="D5751" s="601">
        <v>9.0299999999999994</v>
      </c>
    </row>
    <row r="5752" spans="1:4" ht="27">
      <c r="A5752" s="402">
        <v>91001</v>
      </c>
      <c r="B5752" s="403" t="s">
        <v>2334</v>
      </c>
      <c r="C5752" s="402" t="s">
        <v>61</v>
      </c>
      <c r="D5752" s="601">
        <v>4.21</v>
      </c>
    </row>
    <row r="5753" spans="1:4" ht="40.5">
      <c r="A5753" s="402">
        <v>91032</v>
      </c>
      <c r="B5753" s="403" t="s">
        <v>556</v>
      </c>
      <c r="C5753" s="402" t="s">
        <v>61</v>
      </c>
      <c r="D5753" s="601">
        <v>28.89</v>
      </c>
    </row>
    <row r="5754" spans="1:4" ht="27">
      <c r="A5754" s="402">
        <v>91278</v>
      </c>
      <c r="B5754" s="403" t="s">
        <v>2399</v>
      </c>
      <c r="C5754" s="402" t="s">
        <v>61</v>
      </c>
      <c r="D5754" s="601">
        <v>0.44</v>
      </c>
    </row>
    <row r="5755" spans="1:4" ht="40.5">
      <c r="A5755" s="402">
        <v>91285</v>
      </c>
      <c r="B5755" s="403" t="s">
        <v>2405</v>
      </c>
      <c r="C5755" s="402" t="s">
        <v>61</v>
      </c>
      <c r="D5755" s="601">
        <v>0.85</v>
      </c>
    </row>
    <row r="5756" spans="1:4" ht="40.5">
      <c r="A5756" s="402">
        <v>91387</v>
      </c>
      <c r="B5756" s="403" t="s">
        <v>2421</v>
      </c>
      <c r="C5756" s="402" t="s">
        <v>61</v>
      </c>
      <c r="D5756" s="601">
        <v>31.98</v>
      </c>
    </row>
    <row r="5757" spans="1:4" ht="54">
      <c r="A5757" s="402">
        <v>91395</v>
      </c>
      <c r="B5757" s="403" t="s">
        <v>2425</v>
      </c>
      <c r="C5757" s="402" t="s">
        <v>61</v>
      </c>
      <c r="D5757" s="601">
        <v>26.53</v>
      </c>
    </row>
    <row r="5758" spans="1:4" ht="40.5">
      <c r="A5758" s="402">
        <v>91486</v>
      </c>
      <c r="B5758" s="403" t="s">
        <v>2435</v>
      </c>
      <c r="C5758" s="402" t="s">
        <v>61</v>
      </c>
      <c r="D5758" s="601">
        <v>31.93</v>
      </c>
    </row>
    <row r="5759" spans="1:4" ht="27">
      <c r="A5759" s="402">
        <v>91534</v>
      </c>
      <c r="B5759" s="403" t="s">
        <v>2448</v>
      </c>
      <c r="C5759" s="402" t="s">
        <v>61</v>
      </c>
      <c r="D5759" s="601">
        <v>14.15</v>
      </c>
    </row>
    <row r="5760" spans="1:4" ht="40.5">
      <c r="A5760" s="402">
        <v>91635</v>
      </c>
      <c r="B5760" s="403" t="s">
        <v>2455</v>
      </c>
      <c r="C5760" s="402" t="s">
        <v>61</v>
      </c>
      <c r="D5760" s="601">
        <v>27.92</v>
      </c>
    </row>
    <row r="5761" spans="1:4" ht="40.5">
      <c r="A5761" s="402">
        <v>91646</v>
      </c>
      <c r="B5761" s="403" t="s">
        <v>2462</v>
      </c>
      <c r="C5761" s="402" t="s">
        <v>61</v>
      </c>
      <c r="D5761" s="601">
        <v>43.57</v>
      </c>
    </row>
    <row r="5762" spans="1:4" ht="27">
      <c r="A5762" s="402">
        <v>91693</v>
      </c>
      <c r="B5762" s="403" t="s">
        <v>2468</v>
      </c>
      <c r="C5762" s="402" t="s">
        <v>61</v>
      </c>
      <c r="D5762" s="601">
        <v>13.58</v>
      </c>
    </row>
    <row r="5763" spans="1:4" ht="27">
      <c r="A5763" s="402">
        <v>92044</v>
      </c>
      <c r="B5763" s="403" t="s">
        <v>2607</v>
      </c>
      <c r="C5763" s="402" t="s">
        <v>61</v>
      </c>
      <c r="D5763" s="601">
        <v>4.5599999999999996</v>
      </c>
    </row>
    <row r="5764" spans="1:4" ht="54">
      <c r="A5764" s="402">
        <v>92107</v>
      </c>
      <c r="B5764" s="403" t="s">
        <v>2613</v>
      </c>
      <c r="C5764" s="402" t="s">
        <v>61</v>
      </c>
      <c r="D5764" s="601">
        <v>32.71</v>
      </c>
    </row>
    <row r="5765" spans="1:4" ht="27">
      <c r="A5765" s="402">
        <v>92113</v>
      </c>
      <c r="B5765" s="403" t="s">
        <v>610</v>
      </c>
      <c r="C5765" s="402" t="s">
        <v>61</v>
      </c>
      <c r="D5765" s="601">
        <v>0.76</v>
      </c>
    </row>
    <row r="5766" spans="1:4" ht="13.5">
      <c r="A5766" s="402">
        <v>92119</v>
      </c>
      <c r="B5766" s="403" t="s">
        <v>615</v>
      </c>
      <c r="C5766" s="402" t="s">
        <v>61</v>
      </c>
      <c r="D5766" s="601">
        <v>7.0000000000000007E-2</v>
      </c>
    </row>
    <row r="5767" spans="1:4" ht="27">
      <c r="A5767" s="402">
        <v>92139</v>
      </c>
      <c r="B5767" s="403" t="s">
        <v>2620</v>
      </c>
      <c r="C5767" s="402" t="s">
        <v>61</v>
      </c>
      <c r="D5767" s="601">
        <v>22.83</v>
      </c>
    </row>
    <row r="5768" spans="1:4" ht="27">
      <c r="A5768" s="402">
        <v>92146</v>
      </c>
      <c r="B5768" s="403" t="s">
        <v>625</v>
      </c>
      <c r="C5768" s="402" t="s">
        <v>61</v>
      </c>
      <c r="D5768" s="601">
        <v>16.3</v>
      </c>
    </row>
    <row r="5769" spans="1:4" ht="40.5">
      <c r="A5769" s="402">
        <v>92243</v>
      </c>
      <c r="B5769" s="403" t="s">
        <v>2641</v>
      </c>
      <c r="C5769" s="402" t="s">
        <v>61</v>
      </c>
      <c r="D5769" s="601">
        <v>36.64</v>
      </c>
    </row>
    <row r="5770" spans="1:4" ht="27">
      <c r="A5770" s="402">
        <v>92717</v>
      </c>
      <c r="B5770" s="403" t="s">
        <v>2918</v>
      </c>
      <c r="C5770" s="402" t="s">
        <v>61</v>
      </c>
      <c r="D5770" s="601">
        <v>0.3</v>
      </c>
    </row>
    <row r="5771" spans="1:4" ht="27">
      <c r="A5771" s="402">
        <v>92961</v>
      </c>
      <c r="B5771" s="403" t="s">
        <v>3098</v>
      </c>
      <c r="C5771" s="402" t="s">
        <v>61</v>
      </c>
      <c r="D5771" s="601">
        <v>4.1900000000000004</v>
      </c>
    </row>
    <row r="5772" spans="1:4" ht="27">
      <c r="A5772" s="402">
        <v>92967</v>
      </c>
      <c r="B5772" s="403" t="s">
        <v>3102</v>
      </c>
      <c r="C5772" s="402" t="s">
        <v>61</v>
      </c>
      <c r="D5772" s="601">
        <v>13.22</v>
      </c>
    </row>
    <row r="5773" spans="1:4" ht="54">
      <c r="A5773" s="402">
        <v>93225</v>
      </c>
      <c r="B5773" s="403" t="s">
        <v>3182</v>
      </c>
      <c r="C5773" s="402" t="s">
        <v>61</v>
      </c>
      <c r="D5773" s="601">
        <v>210.36</v>
      </c>
    </row>
    <row r="5774" spans="1:4" ht="27">
      <c r="A5774" s="402">
        <v>93234</v>
      </c>
      <c r="B5774" s="403" t="s">
        <v>679</v>
      </c>
      <c r="C5774" s="402" t="s">
        <v>61</v>
      </c>
      <c r="D5774" s="601">
        <v>0.31</v>
      </c>
    </row>
    <row r="5775" spans="1:4" ht="40.5">
      <c r="A5775" s="402">
        <v>93244</v>
      </c>
      <c r="B5775" s="403" t="s">
        <v>680</v>
      </c>
      <c r="C5775" s="402" t="s">
        <v>61</v>
      </c>
      <c r="D5775" s="601">
        <v>32.21</v>
      </c>
    </row>
    <row r="5776" spans="1:4" ht="27">
      <c r="A5776" s="402">
        <v>93274</v>
      </c>
      <c r="B5776" s="403" t="s">
        <v>3193</v>
      </c>
      <c r="C5776" s="402" t="s">
        <v>61</v>
      </c>
      <c r="D5776" s="601">
        <v>40.08</v>
      </c>
    </row>
    <row r="5777" spans="1:4" ht="27">
      <c r="A5777" s="402">
        <v>93282</v>
      </c>
      <c r="B5777" s="403" t="s">
        <v>3199</v>
      </c>
      <c r="C5777" s="402" t="s">
        <v>61</v>
      </c>
      <c r="D5777" s="601">
        <v>13.29</v>
      </c>
    </row>
    <row r="5778" spans="1:4" ht="27">
      <c r="A5778" s="402">
        <v>93288</v>
      </c>
      <c r="B5778" s="403" t="s">
        <v>3205</v>
      </c>
      <c r="C5778" s="402" t="s">
        <v>61</v>
      </c>
      <c r="D5778" s="601">
        <v>77.05</v>
      </c>
    </row>
    <row r="5779" spans="1:4" ht="40.5">
      <c r="A5779" s="402">
        <v>93403</v>
      </c>
      <c r="B5779" s="403" t="s">
        <v>3230</v>
      </c>
      <c r="C5779" s="402" t="s">
        <v>61</v>
      </c>
      <c r="D5779" s="601">
        <v>27.92</v>
      </c>
    </row>
    <row r="5780" spans="1:4" ht="54">
      <c r="A5780" s="402">
        <v>93409</v>
      </c>
      <c r="B5780" s="403" t="s">
        <v>6590</v>
      </c>
      <c r="C5780" s="402" t="s">
        <v>61</v>
      </c>
      <c r="D5780" s="601">
        <v>19.97</v>
      </c>
    </row>
    <row r="5781" spans="1:4" ht="27">
      <c r="A5781" s="402">
        <v>93416</v>
      </c>
      <c r="B5781" s="403" t="s">
        <v>3236</v>
      </c>
      <c r="C5781" s="402" t="s">
        <v>61</v>
      </c>
      <c r="D5781" s="601">
        <v>0.24</v>
      </c>
    </row>
    <row r="5782" spans="1:4" ht="27">
      <c r="A5782" s="402">
        <v>93422</v>
      </c>
      <c r="B5782" s="403" t="s">
        <v>684</v>
      </c>
      <c r="C5782" s="402" t="s">
        <v>61</v>
      </c>
      <c r="D5782" s="601">
        <v>3.25</v>
      </c>
    </row>
    <row r="5783" spans="1:4" ht="27">
      <c r="A5783" s="402">
        <v>93428</v>
      </c>
      <c r="B5783" s="403" t="s">
        <v>3245</v>
      </c>
      <c r="C5783" s="402" t="s">
        <v>61</v>
      </c>
      <c r="D5783" s="601">
        <v>4.6100000000000003</v>
      </c>
    </row>
    <row r="5784" spans="1:4" ht="27">
      <c r="A5784" s="402">
        <v>93434</v>
      </c>
      <c r="B5784" s="403" t="s">
        <v>3251</v>
      </c>
      <c r="C5784" s="402" t="s">
        <v>61</v>
      </c>
      <c r="D5784" s="601">
        <v>149.58000000000001</v>
      </c>
    </row>
    <row r="5785" spans="1:4" ht="27">
      <c r="A5785" s="402">
        <v>93440</v>
      </c>
      <c r="B5785" s="403" t="s">
        <v>3257</v>
      </c>
      <c r="C5785" s="402" t="s">
        <v>61</v>
      </c>
      <c r="D5785" s="601">
        <v>76.02</v>
      </c>
    </row>
    <row r="5786" spans="1:4" ht="27">
      <c r="A5786" s="402">
        <v>95122</v>
      </c>
      <c r="B5786" s="403" t="s">
        <v>3569</v>
      </c>
      <c r="C5786" s="402" t="s">
        <v>61</v>
      </c>
      <c r="D5786" s="601">
        <v>111.86</v>
      </c>
    </row>
    <row r="5787" spans="1:4" ht="27">
      <c r="A5787" s="402">
        <v>95128</v>
      </c>
      <c r="B5787" s="403" t="s">
        <v>733</v>
      </c>
      <c r="C5787" s="402" t="s">
        <v>61</v>
      </c>
      <c r="D5787" s="601">
        <v>26.68</v>
      </c>
    </row>
    <row r="5788" spans="1:4" ht="27">
      <c r="A5788" s="402">
        <v>95140</v>
      </c>
      <c r="B5788" s="403" t="s">
        <v>3580</v>
      </c>
      <c r="C5788" s="402" t="s">
        <v>61</v>
      </c>
      <c r="D5788" s="601">
        <v>0.04</v>
      </c>
    </row>
    <row r="5789" spans="1:4" ht="27">
      <c r="A5789" s="402">
        <v>95213</v>
      </c>
      <c r="B5789" s="403" t="s">
        <v>3587</v>
      </c>
      <c r="C5789" s="402" t="s">
        <v>61</v>
      </c>
      <c r="D5789" s="601">
        <v>43.68</v>
      </c>
    </row>
    <row r="5790" spans="1:4" ht="27">
      <c r="A5790" s="402">
        <v>95219</v>
      </c>
      <c r="B5790" s="403" t="s">
        <v>3593</v>
      </c>
      <c r="C5790" s="402" t="s">
        <v>61</v>
      </c>
      <c r="D5790" s="601">
        <v>19.46</v>
      </c>
    </row>
    <row r="5791" spans="1:4" ht="13.5">
      <c r="A5791" s="402">
        <v>95259</v>
      </c>
      <c r="B5791" s="403" t="s">
        <v>738</v>
      </c>
      <c r="C5791" s="402" t="s">
        <v>61</v>
      </c>
      <c r="D5791" s="601">
        <v>12.98</v>
      </c>
    </row>
    <row r="5792" spans="1:4" ht="27">
      <c r="A5792" s="402">
        <v>95265</v>
      </c>
      <c r="B5792" s="403" t="s">
        <v>3606</v>
      </c>
      <c r="C5792" s="402" t="s">
        <v>61</v>
      </c>
      <c r="D5792" s="601">
        <v>0.61</v>
      </c>
    </row>
    <row r="5793" spans="1:4" ht="27">
      <c r="A5793" s="402">
        <v>95271</v>
      </c>
      <c r="B5793" s="403" t="s">
        <v>3612</v>
      </c>
      <c r="C5793" s="402" t="s">
        <v>61</v>
      </c>
      <c r="D5793" s="601">
        <v>0.46</v>
      </c>
    </row>
    <row r="5794" spans="1:4" ht="27">
      <c r="A5794" s="402">
        <v>95277</v>
      </c>
      <c r="B5794" s="403" t="s">
        <v>3618</v>
      </c>
      <c r="C5794" s="402" t="s">
        <v>61</v>
      </c>
      <c r="D5794" s="601">
        <v>0.45</v>
      </c>
    </row>
    <row r="5795" spans="1:4" ht="27">
      <c r="A5795" s="402">
        <v>95283</v>
      </c>
      <c r="B5795" s="403" t="s">
        <v>3624</v>
      </c>
      <c r="C5795" s="402" t="s">
        <v>61</v>
      </c>
      <c r="D5795" s="601">
        <v>0.5</v>
      </c>
    </row>
    <row r="5796" spans="1:4" ht="40.5">
      <c r="A5796" s="402">
        <v>95621</v>
      </c>
      <c r="B5796" s="403" t="s">
        <v>3769</v>
      </c>
      <c r="C5796" s="402" t="s">
        <v>61</v>
      </c>
      <c r="D5796" s="601">
        <v>12.7</v>
      </c>
    </row>
    <row r="5797" spans="1:4" ht="27">
      <c r="A5797" s="402">
        <v>95632</v>
      </c>
      <c r="B5797" s="403" t="s">
        <v>3777</v>
      </c>
      <c r="C5797" s="402" t="s">
        <v>61</v>
      </c>
      <c r="D5797" s="601">
        <v>40.43</v>
      </c>
    </row>
    <row r="5798" spans="1:4" ht="27">
      <c r="A5798" s="402">
        <v>95703</v>
      </c>
      <c r="B5798" s="403" t="s">
        <v>3798</v>
      </c>
      <c r="C5798" s="402" t="s">
        <v>61</v>
      </c>
      <c r="D5798" s="601">
        <v>18.59</v>
      </c>
    </row>
    <row r="5799" spans="1:4" ht="27">
      <c r="A5799" s="402">
        <v>95709</v>
      </c>
      <c r="B5799" s="403" t="s">
        <v>3804</v>
      </c>
      <c r="C5799" s="402" t="s">
        <v>61</v>
      </c>
      <c r="D5799" s="601">
        <v>40.01</v>
      </c>
    </row>
    <row r="5800" spans="1:4" ht="40.5">
      <c r="A5800" s="402">
        <v>95715</v>
      </c>
      <c r="B5800" s="403" t="s">
        <v>3810</v>
      </c>
      <c r="C5800" s="402" t="s">
        <v>61</v>
      </c>
      <c r="D5800" s="601">
        <v>48.13</v>
      </c>
    </row>
    <row r="5801" spans="1:4" ht="40.5">
      <c r="A5801" s="402">
        <v>95721</v>
      </c>
      <c r="B5801" s="403" t="s">
        <v>3816</v>
      </c>
      <c r="C5801" s="402" t="s">
        <v>61</v>
      </c>
      <c r="D5801" s="601">
        <v>46.95</v>
      </c>
    </row>
    <row r="5802" spans="1:4" ht="27">
      <c r="A5802" s="402">
        <v>95873</v>
      </c>
      <c r="B5802" s="403" t="s">
        <v>832</v>
      </c>
      <c r="C5802" s="402" t="s">
        <v>61</v>
      </c>
      <c r="D5802" s="601">
        <v>7.36</v>
      </c>
    </row>
    <row r="5803" spans="1:4" ht="27">
      <c r="A5803" s="402">
        <v>96014</v>
      </c>
      <c r="B5803" s="403" t="s">
        <v>3896</v>
      </c>
      <c r="C5803" s="402" t="s">
        <v>61</v>
      </c>
      <c r="D5803" s="601">
        <v>26.9</v>
      </c>
    </row>
    <row r="5804" spans="1:4" ht="27">
      <c r="A5804" s="402">
        <v>96021</v>
      </c>
      <c r="B5804" s="403" t="s">
        <v>3902</v>
      </c>
      <c r="C5804" s="402" t="s">
        <v>61</v>
      </c>
      <c r="D5804" s="601">
        <v>26.78</v>
      </c>
    </row>
    <row r="5805" spans="1:4" ht="27">
      <c r="A5805" s="402">
        <v>96029</v>
      </c>
      <c r="B5805" s="403" t="s">
        <v>972</v>
      </c>
      <c r="C5805" s="402" t="s">
        <v>61</v>
      </c>
      <c r="D5805" s="601">
        <v>23.79</v>
      </c>
    </row>
    <row r="5806" spans="1:4" ht="27">
      <c r="A5806" s="402">
        <v>96036</v>
      </c>
      <c r="B5806" s="403" t="s">
        <v>3908</v>
      </c>
      <c r="C5806" s="402" t="s">
        <v>61</v>
      </c>
      <c r="D5806" s="601">
        <v>34.85</v>
      </c>
    </row>
    <row r="5807" spans="1:4" ht="27">
      <c r="A5807" s="402">
        <v>96155</v>
      </c>
      <c r="B5807" s="403" t="s">
        <v>3935</v>
      </c>
      <c r="C5807" s="402" t="s">
        <v>61</v>
      </c>
      <c r="D5807" s="601">
        <v>23.91</v>
      </c>
    </row>
    <row r="5808" spans="1:4" ht="27">
      <c r="A5808" s="402">
        <v>96156</v>
      </c>
      <c r="B5808" s="403" t="s">
        <v>979</v>
      </c>
      <c r="C5808" s="402" t="s">
        <v>61</v>
      </c>
      <c r="D5808" s="601">
        <v>32.520000000000003</v>
      </c>
    </row>
    <row r="5809" spans="1:4" ht="27">
      <c r="A5809" s="402">
        <v>96159</v>
      </c>
      <c r="B5809" s="403" t="s">
        <v>3937</v>
      </c>
      <c r="C5809" s="402" t="s">
        <v>61</v>
      </c>
      <c r="D5809" s="601">
        <v>39.21</v>
      </c>
    </row>
    <row r="5810" spans="1:4" ht="27">
      <c r="A5810" s="402">
        <v>96246</v>
      </c>
      <c r="B5810" s="403" t="s">
        <v>3943</v>
      </c>
      <c r="C5810" s="402" t="s">
        <v>61</v>
      </c>
      <c r="D5810" s="601">
        <v>32.94</v>
      </c>
    </row>
    <row r="5811" spans="1:4" ht="27">
      <c r="A5811" s="402">
        <v>96302</v>
      </c>
      <c r="B5811" s="403" t="s">
        <v>3952</v>
      </c>
      <c r="C5811" s="402" t="s">
        <v>61</v>
      </c>
      <c r="D5811" s="601">
        <v>54.76</v>
      </c>
    </row>
    <row r="5812" spans="1:4" ht="27">
      <c r="A5812" s="402">
        <v>96308</v>
      </c>
      <c r="B5812" s="403" t="s">
        <v>3958</v>
      </c>
      <c r="C5812" s="402" t="s">
        <v>61</v>
      </c>
      <c r="D5812" s="601">
        <v>0.12</v>
      </c>
    </row>
    <row r="5813" spans="1:4" ht="27">
      <c r="A5813" s="402">
        <v>96464</v>
      </c>
      <c r="B5813" s="403" t="s">
        <v>3982</v>
      </c>
      <c r="C5813" s="402" t="s">
        <v>61</v>
      </c>
      <c r="D5813" s="601">
        <v>43.37</v>
      </c>
    </row>
    <row r="5814" spans="1:4" ht="40.5">
      <c r="A5814" s="402">
        <v>98765</v>
      </c>
      <c r="B5814" s="403" t="s">
        <v>5108</v>
      </c>
      <c r="C5814" s="402" t="s">
        <v>61</v>
      </c>
      <c r="D5814" s="601">
        <v>0.12</v>
      </c>
    </row>
    <row r="5815" spans="1:4" ht="40.5">
      <c r="A5815" s="402">
        <v>99834</v>
      </c>
      <c r="B5815" s="403" t="s">
        <v>5342</v>
      </c>
      <c r="C5815" s="402" t="s">
        <v>61</v>
      </c>
      <c r="D5815" s="601">
        <v>0.32</v>
      </c>
    </row>
    <row r="5816" spans="1:4" ht="27">
      <c r="A5816" s="402">
        <v>100642</v>
      </c>
      <c r="B5816" s="403" t="s">
        <v>6591</v>
      </c>
      <c r="C5816" s="402" t="s">
        <v>61</v>
      </c>
      <c r="D5816" s="601">
        <v>109.87</v>
      </c>
    </row>
    <row r="5817" spans="1:4" ht="27">
      <c r="A5817" s="402">
        <v>100648</v>
      </c>
      <c r="B5817" s="403" t="s">
        <v>6592</v>
      </c>
      <c r="C5817" s="402" t="s">
        <v>61</v>
      </c>
      <c r="D5817" s="601">
        <v>266.08999999999997</v>
      </c>
    </row>
    <row r="5818" spans="1:4" ht="40.5">
      <c r="A5818" s="402">
        <v>5089</v>
      </c>
      <c r="B5818" s="403" t="s">
        <v>60</v>
      </c>
      <c r="C5818" s="402" t="s">
        <v>23</v>
      </c>
      <c r="D5818" s="601">
        <v>20.6</v>
      </c>
    </row>
    <row r="5819" spans="1:4" ht="27">
      <c r="A5819" s="402">
        <v>5627</v>
      </c>
      <c r="B5819" s="403" t="s">
        <v>1012</v>
      </c>
      <c r="C5819" s="402" t="s">
        <v>23</v>
      </c>
      <c r="D5819" s="601">
        <v>23.8</v>
      </c>
    </row>
    <row r="5820" spans="1:4" ht="27">
      <c r="A5820" s="402">
        <v>5628</v>
      </c>
      <c r="B5820" s="403" t="s">
        <v>1013</v>
      </c>
      <c r="C5820" s="402" t="s">
        <v>23</v>
      </c>
      <c r="D5820" s="601">
        <v>3.23</v>
      </c>
    </row>
    <row r="5821" spans="1:4" ht="27">
      <c r="A5821" s="402">
        <v>5629</v>
      </c>
      <c r="B5821" s="403" t="s">
        <v>1014</v>
      </c>
      <c r="C5821" s="402" t="s">
        <v>23</v>
      </c>
      <c r="D5821" s="601">
        <v>29.75</v>
      </c>
    </row>
    <row r="5822" spans="1:4" ht="27">
      <c r="A5822" s="402">
        <v>5630</v>
      </c>
      <c r="B5822" s="403" t="s">
        <v>1015</v>
      </c>
      <c r="C5822" s="402" t="s">
        <v>23</v>
      </c>
      <c r="D5822" s="601">
        <v>34.89</v>
      </c>
    </row>
    <row r="5823" spans="1:4" ht="27">
      <c r="A5823" s="402">
        <v>5658</v>
      </c>
      <c r="B5823" s="403" t="s">
        <v>1018</v>
      </c>
      <c r="C5823" s="402" t="s">
        <v>23</v>
      </c>
      <c r="D5823" s="601">
        <v>1.21</v>
      </c>
    </row>
    <row r="5824" spans="1:4" ht="54">
      <c r="A5824" s="402">
        <v>5664</v>
      </c>
      <c r="B5824" s="403" t="s">
        <v>1019</v>
      </c>
      <c r="C5824" s="402" t="s">
        <v>23</v>
      </c>
      <c r="D5824" s="601">
        <v>17.23</v>
      </c>
    </row>
    <row r="5825" spans="1:4" ht="54">
      <c r="A5825" s="402">
        <v>5667</v>
      </c>
      <c r="B5825" s="403" t="s">
        <v>1020</v>
      </c>
      <c r="C5825" s="402" t="s">
        <v>23</v>
      </c>
      <c r="D5825" s="601">
        <v>15.32</v>
      </c>
    </row>
    <row r="5826" spans="1:4" ht="54">
      <c r="A5826" s="402">
        <v>5668</v>
      </c>
      <c r="B5826" s="403" t="s">
        <v>1021</v>
      </c>
      <c r="C5826" s="402" t="s">
        <v>23</v>
      </c>
      <c r="D5826" s="601">
        <v>26.69</v>
      </c>
    </row>
    <row r="5827" spans="1:4" ht="40.5">
      <c r="A5827" s="402">
        <v>5674</v>
      </c>
      <c r="B5827" s="403" t="s">
        <v>1022</v>
      </c>
      <c r="C5827" s="402" t="s">
        <v>23</v>
      </c>
      <c r="D5827" s="601">
        <v>19.809999999999999</v>
      </c>
    </row>
    <row r="5828" spans="1:4" ht="40.5">
      <c r="A5828" s="402">
        <v>5692</v>
      </c>
      <c r="B5828" s="403" t="s">
        <v>1030</v>
      </c>
      <c r="C5828" s="402" t="s">
        <v>23</v>
      </c>
      <c r="D5828" s="601">
        <v>0.17</v>
      </c>
    </row>
    <row r="5829" spans="1:4" ht="40.5">
      <c r="A5829" s="402">
        <v>5693</v>
      </c>
      <c r="B5829" s="403" t="s">
        <v>1031</v>
      </c>
      <c r="C5829" s="402" t="s">
        <v>23</v>
      </c>
      <c r="D5829" s="601">
        <v>5.33</v>
      </c>
    </row>
    <row r="5830" spans="1:4" ht="40.5">
      <c r="A5830" s="402">
        <v>5695</v>
      </c>
      <c r="B5830" s="403" t="s">
        <v>1032</v>
      </c>
      <c r="C5830" s="402" t="s">
        <v>23</v>
      </c>
      <c r="D5830" s="601">
        <v>24.27</v>
      </c>
    </row>
    <row r="5831" spans="1:4" ht="27">
      <c r="A5831" s="402">
        <v>5703</v>
      </c>
      <c r="B5831" s="403" t="s">
        <v>63</v>
      </c>
      <c r="C5831" s="402" t="s">
        <v>23</v>
      </c>
      <c r="D5831" s="601">
        <v>19.27</v>
      </c>
    </row>
    <row r="5832" spans="1:4" ht="54">
      <c r="A5832" s="402">
        <v>5705</v>
      </c>
      <c r="B5832" s="403" t="s">
        <v>1033</v>
      </c>
      <c r="C5832" s="402" t="s">
        <v>23</v>
      </c>
      <c r="D5832" s="601">
        <v>15.1</v>
      </c>
    </row>
    <row r="5833" spans="1:4" ht="27">
      <c r="A5833" s="402">
        <v>5707</v>
      </c>
      <c r="B5833" s="403" t="s">
        <v>1034</v>
      </c>
      <c r="C5833" s="402" t="s">
        <v>23</v>
      </c>
      <c r="D5833" s="601">
        <v>42.55</v>
      </c>
    </row>
    <row r="5834" spans="1:4" ht="27">
      <c r="A5834" s="402">
        <v>5710</v>
      </c>
      <c r="B5834" s="403" t="s">
        <v>1035</v>
      </c>
      <c r="C5834" s="402" t="s">
        <v>23</v>
      </c>
      <c r="D5834" s="601">
        <v>105.77</v>
      </c>
    </row>
    <row r="5835" spans="1:4" ht="40.5">
      <c r="A5835" s="402">
        <v>5711</v>
      </c>
      <c r="B5835" s="403" t="s">
        <v>1036</v>
      </c>
      <c r="C5835" s="402" t="s">
        <v>23</v>
      </c>
      <c r="D5835" s="601">
        <v>48.21</v>
      </c>
    </row>
    <row r="5836" spans="1:4" ht="27">
      <c r="A5836" s="402">
        <v>5714</v>
      </c>
      <c r="B5836" s="403" t="s">
        <v>64</v>
      </c>
      <c r="C5836" s="402" t="s">
        <v>23</v>
      </c>
      <c r="D5836" s="601">
        <v>7.87</v>
      </c>
    </row>
    <row r="5837" spans="1:4" ht="27">
      <c r="A5837" s="402">
        <v>5715</v>
      </c>
      <c r="B5837" s="403" t="s">
        <v>65</v>
      </c>
      <c r="C5837" s="402" t="s">
        <v>23</v>
      </c>
      <c r="D5837" s="601">
        <v>64.86</v>
      </c>
    </row>
    <row r="5838" spans="1:4" ht="27">
      <c r="A5838" s="402">
        <v>5718</v>
      </c>
      <c r="B5838" s="403" t="s">
        <v>1037</v>
      </c>
      <c r="C5838" s="402" t="s">
        <v>23</v>
      </c>
      <c r="D5838" s="601">
        <v>57.54</v>
      </c>
    </row>
    <row r="5839" spans="1:4" ht="27">
      <c r="A5839" s="402">
        <v>5721</v>
      </c>
      <c r="B5839" s="403" t="s">
        <v>66</v>
      </c>
      <c r="C5839" s="402" t="s">
        <v>23</v>
      </c>
      <c r="D5839" s="601">
        <v>50.77</v>
      </c>
    </row>
    <row r="5840" spans="1:4" ht="27">
      <c r="A5840" s="402">
        <v>5722</v>
      </c>
      <c r="B5840" s="403" t="s">
        <v>1038</v>
      </c>
      <c r="C5840" s="402" t="s">
        <v>23</v>
      </c>
      <c r="D5840" s="601">
        <v>117.41</v>
      </c>
    </row>
    <row r="5841" spans="1:4" ht="27">
      <c r="A5841" s="402">
        <v>5724</v>
      </c>
      <c r="B5841" s="403" t="s">
        <v>1039</v>
      </c>
      <c r="C5841" s="402" t="s">
        <v>23</v>
      </c>
      <c r="D5841" s="601">
        <v>30.92</v>
      </c>
    </row>
    <row r="5842" spans="1:4" ht="40.5">
      <c r="A5842" s="402">
        <v>5727</v>
      </c>
      <c r="B5842" s="403" t="s">
        <v>1040</v>
      </c>
      <c r="C5842" s="402" t="s">
        <v>23</v>
      </c>
      <c r="D5842" s="601">
        <v>5.98</v>
      </c>
    </row>
    <row r="5843" spans="1:4" ht="27">
      <c r="A5843" s="402">
        <v>5729</v>
      </c>
      <c r="B5843" s="403" t="s">
        <v>1041</v>
      </c>
      <c r="C5843" s="402" t="s">
        <v>23</v>
      </c>
      <c r="D5843" s="601">
        <v>24.33</v>
      </c>
    </row>
    <row r="5844" spans="1:4" ht="40.5">
      <c r="A5844" s="402">
        <v>5730</v>
      </c>
      <c r="B5844" s="403" t="s">
        <v>1042</v>
      </c>
      <c r="C5844" s="402" t="s">
        <v>23</v>
      </c>
      <c r="D5844" s="601">
        <v>22.42</v>
      </c>
    </row>
    <row r="5845" spans="1:4" ht="54">
      <c r="A5845" s="402">
        <v>5735</v>
      </c>
      <c r="B5845" s="403" t="s">
        <v>1043</v>
      </c>
      <c r="C5845" s="402" t="s">
        <v>23</v>
      </c>
      <c r="D5845" s="601">
        <v>16.62</v>
      </c>
    </row>
    <row r="5846" spans="1:4" ht="54">
      <c r="A5846" s="402">
        <v>5736</v>
      </c>
      <c r="B5846" s="403" t="s">
        <v>1044</v>
      </c>
      <c r="C5846" s="402" t="s">
        <v>23</v>
      </c>
      <c r="D5846" s="601">
        <v>24.49</v>
      </c>
    </row>
    <row r="5847" spans="1:4" ht="40.5">
      <c r="A5847" s="402">
        <v>5738</v>
      </c>
      <c r="B5847" s="403" t="s">
        <v>1045</v>
      </c>
      <c r="C5847" s="402" t="s">
        <v>23</v>
      </c>
      <c r="D5847" s="601">
        <v>21.63</v>
      </c>
    </row>
    <row r="5848" spans="1:4" ht="40.5">
      <c r="A5848" s="402">
        <v>5739</v>
      </c>
      <c r="B5848" s="403" t="s">
        <v>1046</v>
      </c>
      <c r="C5848" s="402" t="s">
        <v>23</v>
      </c>
      <c r="D5848" s="601">
        <v>27.07</v>
      </c>
    </row>
    <row r="5849" spans="1:4" ht="40.5">
      <c r="A5849" s="402">
        <v>5741</v>
      </c>
      <c r="B5849" s="403" t="s">
        <v>1047</v>
      </c>
      <c r="C5849" s="402" t="s">
        <v>23</v>
      </c>
      <c r="D5849" s="601">
        <v>27.29</v>
      </c>
    </row>
    <row r="5850" spans="1:4" ht="40.5">
      <c r="A5850" s="402">
        <v>5742</v>
      </c>
      <c r="B5850" s="403" t="s">
        <v>1048</v>
      </c>
      <c r="C5850" s="402" t="s">
        <v>23</v>
      </c>
      <c r="D5850" s="601">
        <v>14.93</v>
      </c>
    </row>
    <row r="5851" spans="1:4" ht="40.5">
      <c r="A5851" s="402">
        <v>5747</v>
      </c>
      <c r="B5851" s="403" t="s">
        <v>1049</v>
      </c>
      <c r="C5851" s="402" t="s">
        <v>23</v>
      </c>
      <c r="D5851" s="601">
        <v>85.63</v>
      </c>
    </row>
    <row r="5852" spans="1:4" ht="40.5">
      <c r="A5852" s="402">
        <v>5751</v>
      </c>
      <c r="B5852" s="403" t="s">
        <v>67</v>
      </c>
      <c r="C5852" s="402" t="s">
        <v>23</v>
      </c>
      <c r="D5852" s="601">
        <v>16.57</v>
      </c>
    </row>
    <row r="5853" spans="1:4" ht="40.5">
      <c r="A5853" s="402">
        <v>5754</v>
      </c>
      <c r="B5853" s="403" t="s">
        <v>1050</v>
      </c>
      <c r="C5853" s="402" t="s">
        <v>23</v>
      </c>
      <c r="D5853" s="601">
        <v>13.96</v>
      </c>
    </row>
    <row r="5854" spans="1:4" ht="40.5">
      <c r="A5854" s="402">
        <v>5763</v>
      </c>
      <c r="B5854" s="403" t="s">
        <v>1051</v>
      </c>
      <c r="C5854" s="402" t="s">
        <v>23</v>
      </c>
      <c r="D5854" s="601">
        <v>24.13</v>
      </c>
    </row>
    <row r="5855" spans="1:4" ht="27">
      <c r="A5855" s="402">
        <v>5765</v>
      </c>
      <c r="B5855" s="403" t="s">
        <v>68</v>
      </c>
      <c r="C5855" s="402" t="s">
        <v>23</v>
      </c>
      <c r="D5855" s="601">
        <v>1.92</v>
      </c>
    </row>
    <row r="5856" spans="1:4" ht="27">
      <c r="A5856" s="402">
        <v>5766</v>
      </c>
      <c r="B5856" s="403" t="s">
        <v>69</v>
      </c>
      <c r="C5856" s="402" t="s">
        <v>23</v>
      </c>
      <c r="D5856" s="601">
        <v>2.66</v>
      </c>
    </row>
    <row r="5857" spans="1:4" ht="27">
      <c r="A5857" s="402">
        <v>5779</v>
      </c>
      <c r="B5857" s="403" t="s">
        <v>70</v>
      </c>
      <c r="C5857" s="402" t="s">
        <v>23</v>
      </c>
      <c r="D5857" s="601">
        <v>34.520000000000003</v>
      </c>
    </row>
    <row r="5858" spans="1:4" ht="27">
      <c r="A5858" s="402">
        <v>5787</v>
      </c>
      <c r="B5858" s="403" t="s">
        <v>1052</v>
      </c>
      <c r="C5858" s="402" t="s">
        <v>23</v>
      </c>
      <c r="D5858" s="601">
        <v>38.1</v>
      </c>
    </row>
    <row r="5859" spans="1:4" ht="27">
      <c r="A5859" s="402">
        <v>5797</v>
      </c>
      <c r="B5859" s="403" t="s">
        <v>72</v>
      </c>
      <c r="C5859" s="402" t="s">
        <v>23</v>
      </c>
      <c r="D5859" s="601">
        <v>2.92</v>
      </c>
    </row>
    <row r="5860" spans="1:4" ht="40.5">
      <c r="A5860" s="402">
        <v>5800</v>
      </c>
      <c r="B5860" s="403" t="s">
        <v>1053</v>
      </c>
      <c r="C5860" s="402" t="s">
        <v>23</v>
      </c>
      <c r="D5860" s="601">
        <v>0.28999999999999998</v>
      </c>
    </row>
    <row r="5861" spans="1:4" ht="27">
      <c r="A5861" s="402">
        <v>7032</v>
      </c>
      <c r="B5861" s="403" t="s">
        <v>1095</v>
      </c>
      <c r="C5861" s="402" t="s">
        <v>23</v>
      </c>
      <c r="D5861" s="601">
        <v>3.22</v>
      </c>
    </row>
    <row r="5862" spans="1:4" ht="27">
      <c r="A5862" s="402">
        <v>7033</v>
      </c>
      <c r="B5862" s="403" t="s">
        <v>1096</v>
      </c>
      <c r="C5862" s="402" t="s">
        <v>23</v>
      </c>
      <c r="D5862" s="601">
        <v>0.53</v>
      </c>
    </row>
    <row r="5863" spans="1:4" ht="27">
      <c r="A5863" s="402">
        <v>7034</v>
      </c>
      <c r="B5863" s="403" t="s">
        <v>1097</v>
      </c>
      <c r="C5863" s="402" t="s">
        <v>23</v>
      </c>
      <c r="D5863" s="601">
        <v>6.04</v>
      </c>
    </row>
    <row r="5864" spans="1:4" ht="27">
      <c r="A5864" s="402">
        <v>7035</v>
      </c>
      <c r="B5864" s="403" t="s">
        <v>1098</v>
      </c>
      <c r="C5864" s="402" t="s">
        <v>23</v>
      </c>
      <c r="D5864" s="601">
        <v>115.72</v>
      </c>
    </row>
    <row r="5865" spans="1:4" ht="40.5">
      <c r="A5865" s="402">
        <v>7038</v>
      </c>
      <c r="B5865" s="403" t="s">
        <v>1099</v>
      </c>
      <c r="C5865" s="402" t="s">
        <v>23</v>
      </c>
      <c r="D5865" s="601">
        <v>24.74</v>
      </c>
    </row>
    <row r="5866" spans="1:4" ht="27">
      <c r="A5866" s="402">
        <v>7039</v>
      </c>
      <c r="B5866" s="403" t="s">
        <v>1100</v>
      </c>
      <c r="C5866" s="402" t="s">
        <v>23</v>
      </c>
      <c r="D5866" s="601">
        <v>3.43</v>
      </c>
    </row>
    <row r="5867" spans="1:4" ht="40.5">
      <c r="A5867" s="402">
        <v>7040</v>
      </c>
      <c r="B5867" s="403" t="s">
        <v>1101</v>
      </c>
      <c r="C5867" s="402" t="s">
        <v>23</v>
      </c>
      <c r="D5867" s="601">
        <v>30.96</v>
      </c>
    </row>
    <row r="5868" spans="1:4" ht="40.5">
      <c r="A5868" s="402">
        <v>7044</v>
      </c>
      <c r="B5868" s="403" t="s">
        <v>1104</v>
      </c>
      <c r="C5868" s="402" t="s">
        <v>23</v>
      </c>
      <c r="D5868" s="601">
        <v>0.19</v>
      </c>
    </row>
    <row r="5869" spans="1:4" ht="40.5">
      <c r="A5869" s="402">
        <v>7045</v>
      </c>
      <c r="B5869" s="403" t="s">
        <v>1105</v>
      </c>
      <c r="C5869" s="402" t="s">
        <v>23</v>
      </c>
      <c r="D5869" s="601">
        <v>0.02</v>
      </c>
    </row>
    <row r="5870" spans="1:4" ht="40.5">
      <c r="A5870" s="402">
        <v>7046</v>
      </c>
      <c r="B5870" s="403" t="s">
        <v>1106</v>
      </c>
      <c r="C5870" s="402" t="s">
        <v>23</v>
      </c>
      <c r="D5870" s="601">
        <v>0.21</v>
      </c>
    </row>
    <row r="5871" spans="1:4" ht="40.5">
      <c r="A5871" s="402">
        <v>7047</v>
      </c>
      <c r="B5871" s="403" t="s">
        <v>1107</v>
      </c>
      <c r="C5871" s="402" t="s">
        <v>23</v>
      </c>
      <c r="D5871" s="601">
        <v>6.27</v>
      </c>
    </row>
    <row r="5872" spans="1:4" ht="40.5">
      <c r="A5872" s="402">
        <v>7051</v>
      </c>
      <c r="B5872" s="403" t="s">
        <v>1110</v>
      </c>
      <c r="C5872" s="402" t="s">
        <v>23</v>
      </c>
      <c r="D5872" s="601">
        <v>21.95</v>
      </c>
    </row>
    <row r="5873" spans="1:4" ht="40.5">
      <c r="A5873" s="402">
        <v>7052</v>
      </c>
      <c r="B5873" s="403" t="s">
        <v>1111</v>
      </c>
      <c r="C5873" s="402" t="s">
        <v>23</v>
      </c>
      <c r="D5873" s="601">
        <v>3.04</v>
      </c>
    </row>
    <row r="5874" spans="1:4" ht="40.5">
      <c r="A5874" s="402">
        <v>7053</v>
      </c>
      <c r="B5874" s="403" t="s">
        <v>1112</v>
      </c>
      <c r="C5874" s="402" t="s">
        <v>23</v>
      </c>
      <c r="D5874" s="601">
        <v>27.46</v>
      </c>
    </row>
    <row r="5875" spans="1:4" ht="40.5">
      <c r="A5875" s="402">
        <v>7054</v>
      </c>
      <c r="B5875" s="403" t="s">
        <v>1113</v>
      </c>
      <c r="C5875" s="402" t="s">
        <v>23</v>
      </c>
      <c r="D5875" s="601">
        <v>48.34</v>
      </c>
    </row>
    <row r="5876" spans="1:4" ht="40.5">
      <c r="A5876" s="402">
        <v>7058</v>
      </c>
      <c r="B5876" s="403" t="s">
        <v>1114</v>
      </c>
      <c r="C5876" s="402" t="s">
        <v>23</v>
      </c>
      <c r="D5876" s="601">
        <v>12.35</v>
      </c>
    </row>
    <row r="5877" spans="1:4" ht="40.5">
      <c r="A5877" s="402">
        <v>7059</v>
      </c>
      <c r="B5877" s="403" t="s">
        <v>1115</v>
      </c>
      <c r="C5877" s="402" t="s">
        <v>23</v>
      </c>
      <c r="D5877" s="601">
        <v>2.2799999999999998</v>
      </c>
    </row>
    <row r="5878" spans="1:4" ht="40.5">
      <c r="A5878" s="402">
        <v>7060</v>
      </c>
      <c r="B5878" s="403" t="s">
        <v>1116</v>
      </c>
      <c r="C5878" s="402" t="s">
        <v>23</v>
      </c>
      <c r="D5878" s="601">
        <v>23.17</v>
      </c>
    </row>
    <row r="5879" spans="1:4" ht="40.5">
      <c r="A5879" s="402">
        <v>7061</v>
      </c>
      <c r="B5879" s="403" t="s">
        <v>1117</v>
      </c>
      <c r="C5879" s="402" t="s">
        <v>23</v>
      </c>
      <c r="D5879" s="601">
        <v>44.12</v>
      </c>
    </row>
    <row r="5880" spans="1:4" ht="27">
      <c r="A5880" s="402">
        <v>7063</v>
      </c>
      <c r="B5880" s="403" t="s">
        <v>91</v>
      </c>
      <c r="C5880" s="402" t="s">
        <v>23</v>
      </c>
      <c r="D5880" s="601">
        <v>9.81</v>
      </c>
    </row>
    <row r="5881" spans="1:4" ht="27">
      <c r="A5881" s="402">
        <v>7064</v>
      </c>
      <c r="B5881" s="403" t="s">
        <v>92</v>
      </c>
      <c r="C5881" s="402" t="s">
        <v>23</v>
      </c>
      <c r="D5881" s="601">
        <v>1.36</v>
      </c>
    </row>
    <row r="5882" spans="1:4" ht="27">
      <c r="A5882" s="402">
        <v>7065</v>
      </c>
      <c r="B5882" s="403" t="s">
        <v>93</v>
      </c>
      <c r="C5882" s="402" t="s">
        <v>23</v>
      </c>
      <c r="D5882" s="601">
        <v>10.73</v>
      </c>
    </row>
    <row r="5883" spans="1:4" ht="27">
      <c r="A5883" s="402">
        <v>7066</v>
      </c>
      <c r="B5883" s="403" t="s">
        <v>94</v>
      </c>
      <c r="C5883" s="402" t="s">
        <v>23</v>
      </c>
      <c r="D5883" s="601">
        <v>93.08</v>
      </c>
    </row>
    <row r="5884" spans="1:4" ht="54">
      <c r="A5884" s="402">
        <v>53786</v>
      </c>
      <c r="B5884" s="403" t="s">
        <v>1122</v>
      </c>
      <c r="C5884" s="402" t="s">
        <v>23</v>
      </c>
      <c r="D5884" s="601">
        <v>28.9</v>
      </c>
    </row>
    <row r="5885" spans="1:4" ht="40.5">
      <c r="A5885" s="402">
        <v>53788</v>
      </c>
      <c r="B5885" s="403" t="s">
        <v>1123</v>
      </c>
      <c r="C5885" s="402" t="s">
        <v>23</v>
      </c>
      <c r="D5885" s="601">
        <v>30.94</v>
      </c>
    </row>
    <row r="5886" spans="1:4" ht="40.5">
      <c r="A5886" s="402">
        <v>53792</v>
      </c>
      <c r="B5886" s="403" t="s">
        <v>1124</v>
      </c>
      <c r="C5886" s="402" t="s">
        <v>23</v>
      </c>
      <c r="D5886" s="601">
        <v>54.85</v>
      </c>
    </row>
    <row r="5887" spans="1:4" ht="27">
      <c r="A5887" s="402">
        <v>53794</v>
      </c>
      <c r="B5887" s="403" t="s">
        <v>101</v>
      </c>
      <c r="C5887" s="402" t="s">
        <v>23</v>
      </c>
      <c r="D5887" s="601">
        <v>35</v>
      </c>
    </row>
    <row r="5888" spans="1:4" ht="54">
      <c r="A5888" s="402">
        <v>53797</v>
      </c>
      <c r="B5888" s="403" t="s">
        <v>1125</v>
      </c>
      <c r="C5888" s="402" t="s">
        <v>23</v>
      </c>
      <c r="D5888" s="601">
        <v>63.08</v>
      </c>
    </row>
    <row r="5889" spans="1:4" ht="27">
      <c r="A5889" s="402">
        <v>53804</v>
      </c>
      <c r="B5889" s="403" t="s">
        <v>1126</v>
      </c>
      <c r="C5889" s="402" t="s">
        <v>23</v>
      </c>
      <c r="D5889" s="601">
        <v>2.5099999999999998</v>
      </c>
    </row>
    <row r="5890" spans="1:4" ht="27">
      <c r="A5890" s="402">
        <v>53806</v>
      </c>
      <c r="B5890" s="403" t="s">
        <v>1127</v>
      </c>
      <c r="C5890" s="402" t="s">
        <v>23</v>
      </c>
      <c r="D5890" s="601">
        <v>39.840000000000003</v>
      </c>
    </row>
    <row r="5891" spans="1:4" ht="27">
      <c r="A5891" s="402">
        <v>53810</v>
      </c>
      <c r="B5891" s="403" t="s">
        <v>102</v>
      </c>
      <c r="C5891" s="402" t="s">
        <v>23</v>
      </c>
      <c r="D5891" s="601">
        <v>40.08</v>
      </c>
    </row>
    <row r="5892" spans="1:4" ht="27">
      <c r="A5892" s="402">
        <v>53814</v>
      </c>
      <c r="B5892" s="403" t="s">
        <v>1128</v>
      </c>
      <c r="C5892" s="402" t="s">
        <v>23</v>
      </c>
      <c r="D5892" s="601">
        <v>131.30000000000001</v>
      </c>
    </row>
    <row r="5893" spans="1:4" ht="27">
      <c r="A5893" s="402">
        <v>53817</v>
      </c>
      <c r="B5893" s="403" t="s">
        <v>1129</v>
      </c>
      <c r="C5893" s="402" t="s">
        <v>23</v>
      </c>
      <c r="D5893" s="601">
        <v>33.82</v>
      </c>
    </row>
    <row r="5894" spans="1:4" ht="40.5">
      <c r="A5894" s="402">
        <v>53818</v>
      </c>
      <c r="B5894" s="403" t="s">
        <v>1130</v>
      </c>
      <c r="C5894" s="402" t="s">
        <v>23</v>
      </c>
      <c r="D5894" s="601">
        <v>4.7699999999999996</v>
      </c>
    </row>
    <row r="5895" spans="1:4" ht="40.5">
      <c r="A5895" s="402">
        <v>53827</v>
      </c>
      <c r="B5895" s="403" t="s">
        <v>103</v>
      </c>
      <c r="C5895" s="402" t="s">
        <v>23</v>
      </c>
      <c r="D5895" s="601">
        <v>61.75</v>
      </c>
    </row>
    <row r="5896" spans="1:4" ht="40.5">
      <c r="A5896" s="402">
        <v>53829</v>
      </c>
      <c r="B5896" s="403" t="s">
        <v>1131</v>
      </c>
      <c r="C5896" s="402" t="s">
        <v>23</v>
      </c>
      <c r="D5896" s="601">
        <v>63.08</v>
      </c>
    </row>
    <row r="5897" spans="1:4" ht="40.5">
      <c r="A5897" s="402">
        <v>53831</v>
      </c>
      <c r="B5897" s="403" t="s">
        <v>1132</v>
      </c>
      <c r="C5897" s="402" t="s">
        <v>23</v>
      </c>
      <c r="D5897" s="601">
        <v>104.19</v>
      </c>
    </row>
    <row r="5898" spans="1:4" ht="27">
      <c r="A5898" s="402">
        <v>53840</v>
      </c>
      <c r="B5898" s="403" t="s">
        <v>1133</v>
      </c>
      <c r="C5898" s="402" t="s">
        <v>23</v>
      </c>
      <c r="D5898" s="601">
        <v>1.36</v>
      </c>
    </row>
    <row r="5899" spans="1:4" ht="27">
      <c r="A5899" s="402">
        <v>53841</v>
      </c>
      <c r="B5899" s="403" t="s">
        <v>1134</v>
      </c>
      <c r="C5899" s="402" t="s">
        <v>23</v>
      </c>
      <c r="D5899" s="601">
        <v>0.94</v>
      </c>
    </row>
    <row r="5900" spans="1:4" ht="27">
      <c r="A5900" s="402">
        <v>53849</v>
      </c>
      <c r="B5900" s="403" t="s">
        <v>1135</v>
      </c>
      <c r="C5900" s="402" t="s">
        <v>23</v>
      </c>
      <c r="D5900" s="601">
        <v>45.32</v>
      </c>
    </row>
    <row r="5901" spans="1:4" ht="27">
      <c r="A5901" s="402">
        <v>53857</v>
      </c>
      <c r="B5901" s="403" t="s">
        <v>1136</v>
      </c>
      <c r="C5901" s="402" t="s">
        <v>23</v>
      </c>
      <c r="D5901" s="601">
        <v>26.94</v>
      </c>
    </row>
    <row r="5902" spans="1:4" ht="27">
      <c r="A5902" s="402">
        <v>53858</v>
      </c>
      <c r="B5902" s="403" t="s">
        <v>1137</v>
      </c>
      <c r="C5902" s="402" t="s">
        <v>23</v>
      </c>
      <c r="D5902" s="601">
        <v>43.31</v>
      </c>
    </row>
    <row r="5903" spans="1:4" ht="27">
      <c r="A5903" s="402">
        <v>53861</v>
      </c>
      <c r="B5903" s="403" t="s">
        <v>1138</v>
      </c>
      <c r="C5903" s="402" t="s">
        <v>23</v>
      </c>
      <c r="D5903" s="601">
        <v>37.36</v>
      </c>
    </row>
    <row r="5904" spans="1:4" ht="27">
      <c r="A5904" s="402">
        <v>53863</v>
      </c>
      <c r="B5904" s="403" t="s">
        <v>1139</v>
      </c>
      <c r="C5904" s="402" t="s">
        <v>23</v>
      </c>
      <c r="D5904" s="601">
        <v>1.93</v>
      </c>
    </row>
    <row r="5905" spans="1:4" ht="27">
      <c r="A5905" s="402">
        <v>53865</v>
      </c>
      <c r="B5905" s="403" t="s">
        <v>1140</v>
      </c>
      <c r="C5905" s="402" t="s">
        <v>23</v>
      </c>
      <c r="D5905" s="601">
        <v>25.53</v>
      </c>
    </row>
    <row r="5906" spans="1:4" ht="40.5">
      <c r="A5906" s="402">
        <v>53866</v>
      </c>
      <c r="B5906" s="403" t="s">
        <v>1141</v>
      </c>
      <c r="C5906" s="402" t="s">
        <v>23</v>
      </c>
      <c r="D5906" s="601">
        <v>1.56</v>
      </c>
    </row>
    <row r="5907" spans="1:4" ht="40.5">
      <c r="A5907" s="402">
        <v>53882</v>
      </c>
      <c r="B5907" s="403" t="s">
        <v>1142</v>
      </c>
      <c r="C5907" s="402" t="s">
        <v>23</v>
      </c>
      <c r="D5907" s="601">
        <v>18.82</v>
      </c>
    </row>
    <row r="5908" spans="1:4" ht="40.5">
      <c r="A5908" s="402">
        <v>55263</v>
      </c>
      <c r="B5908" s="403" t="s">
        <v>1143</v>
      </c>
      <c r="C5908" s="402" t="s">
        <v>23</v>
      </c>
      <c r="D5908" s="601">
        <v>34.89</v>
      </c>
    </row>
    <row r="5909" spans="1:4" ht="27">
      <c r="A5909" s="402">
        <v>73303</v>
      </c>
      <c r="B5909" s="403" t="s">
        <v>1180</v>
      </c>
      <c r="C5909" s="402" t="s">
        <v>23</v>
      </c>
      <c r="D5909" s="601">
        <v>4.3899999999999997</v>
      </c>
    </row>
    <row r="5910" spans="1:4" ht="27">
      <c r="A5910" s="402">
        <v>73307</v>
      </c>
      <c r="B5910" s="403" t="s">
        <v>1181</v>
      </c>
      <c r="C5910" s="402" t="s">
        <v>23</v>
      </c>
      <c r="D5910" s="601">
        <v>3.91</v>
      </c>
    </row>
    <row r="5911" spans="1:4" ht="40.5">
      <c r="A5911" s="402">
        <v>73309</v>
      </c>
      <c r="B5911" s="403" t="s">
        <v>148</v>
      </c>
      <c r="C5911" s="402" t="s">
        <v>23</v>
      </c>
      <c r="D5911" s="601">
        <v>16.46</v>
      </c>
    </row>
    <row r="5912" spans="1:4" ht="27">
      <c r="A5912" s="402">
        <v>73311</v>
      </c>
      <c r="B5912" s="403" t="s">
        <v>149</v>
      </c>
      <c r="C5912" s="402" t="s">
        <v>23</v>
      </c>
      <c r="D5912" s="601">
        <v>96.45</v>
      </c>
    </row>
    <row r="5913" spans="1:4" ht="40.5">
      <c r="A5913" s="402">
        <v>73313</v>
      </c>
      <c r="B5913" s="403" t="s">
        <v>150</v>
      </c>
      <c r="C5913" s="402" t="s">
        <v>23</v>
      </c>
      <c r="D5913" s="601">
        <v>2.2799999999999998</v>
      </c>
    </row>
    <row r="5914" spans="1:4" ht="40.5">
      <c r="A5914" s="402">
        <v>73315</v>
      </c>
      <c r="B5914" s="403" t="s">
        <v>151</v>
      </c>
      <c r="C5914" s="402" t="s">
        <v>23</v>
      </c>
      <c r="D5914" s="601">
        <v>30.94</v>
      </c>
    </row>
    <row r="5915" spans="1:4" ht="54">
      <c r="A5915" s="402">
        <v>73335</v>
      </c>
      <c r="B5915" s="403" t="s">
        <v>1182</v>
      </c>
      <c r="C5915" s="402" t="s">
        <v>23</v>
      </c>
      <c r="D5915" s="601">
        <v>17.940000000000001</v>
      </c>
    </row>
    <row r="5916" spans="1:4" ht="54">
      <c r="A5916" s="402">
        <v>73340</v>
      </c>
      <c r="B5916" s="403" t="s">
        <v>1183</v>
      </c>
      <c r="C5916" s="402" t="s">
        <v>23</v>
      </c>
      <c r="D5916" s="601">
        <v>44.12</v>
      </c>
    </row>
    <row r="5917" spans="1:4" ht="40.5">
      <c r="A5917" s="402">
        <v>83361</v>
      </c>
      <c r="B5917" s="403" t="s">
        <v>1195</v>
      </c>
      <c r="C5917" s="402" t="s">
        <v>23</v>
      </c>
      <c r="D5917" s="601">
        <v>10.78</v>
      </c>
    </row>
    <row r="5918" spans="1:4" ht="27">
      <c r="A5918" s="402">
        <v>83761</v>
      </c>
      <c r="B5918" s="403" t="s">
        <v>1213</v>
      </c>
      <c r="C5918" s="402" t="s">
        <v>23</v>
      </c>
      <c r="D5918" s="601">
        <v>9.36</v>
      </c>
    </row>
    <row r="5919" spans="1:4" ht="27">
      <c r="A5919" s="402">
        <v>83762</v>
      </c>
      <c r="B5919" s="403" t="s">
        <v>1214</v>
      </c>
      <c r="C5919" s="402" t="s">
        <v>23</v>
      </c>
      <c r="D5919" s="601">
        <v>11.7</v>
      </c>
    </row>
    <row r="5920" spans="1:4" ht="27">
      <c r="A5920" s="402">
        <v>83763</v>
      </c>
      <c r="B5920" s="403" t="s">
        <v>1215</v>
      </c>
      <c r="C5920" s="402" t="s">
        <v>23</v>
      </c>
      <c r="D5920" s="601">
        <v>27.18</v>
      </c>
    </row>
    <row r="5921" spans="1:4" ht="27">
      <c r="A5921" s="402">
        <v>83764</v>
      </c>
      <c r="B5921" s="403" t="s">
        <v>1216</v>
      </c>
      <c r="C5921" s="402" t="s">
        <v>23</v>
      </c>
      <c r="D5921" s="601">
        <v>1.05</v>
      </c>
    </row>
    <row r="5922" spans="1:4" ht="27">
      <c r="A5922" s="402">
        <v>87026</v>
      </c>
      <c r="B5922" s="403" t="s">
        <v>1229</v>
      </c>
      <c r="C5922" s="402" t="s">
        <v>23</v>
      </c>
      <c r="D5922" s="601">
        <v>0.19</v>
      </c>
    </row>
    <row r="5923" spans="1:4" ht="27">
      <c r="A5923" s="402">
        <v>87441</v>
      </c>
      <c r="B5923" s="403" t="s">
        <v>215</v>
      </c>
      <c r="C5923" s="402" t="s">
        <v>23</v>
      </c>
      <c r="D5923" s="601">
        <v>0.31</v>
      </c>
    </row>
    <row r="5924" spans="1:4" ht="27">
      <c r="A5924" s="402">
        <v>87442</v>
      </c>
      <c r="B5924" s="403" t="s">
        <v>216</v>
      </c>
      <c r="C5924" s="402" t="s">
        <v>23</v>
      </c>
      <c r="D5924" s="601">
        <v>0.03</v>
      </c>
    </row>
    <row r="5925" spans="1:4" ht="27">
      <c r="A5925" s="402">
        <v>87443</v>
      </c>
      <c r="B5925" s="403" t="s">
        <v>217</v>
      </c>
      <c r="C5925" s="402" t="s">
        <v>23</v>
      </c>
      <c r="D5925" s="601">
        <v>0.28999999999999998</v>
      </c>
    </row>
    <row r="5926" spans="1:4" ht="27">
      <c r="A5926" s="402">
        <v>87444</v>
      </c>
      <c r="B5926" s="403" t="s">
        <v>1287</v>
      </c>
      <c r="C5926" s="402" t="s">
        <v>23</v>
      </c>
      <c r="D5926" s="601">
        <v>2.2999999999999998</v>
      </c>
    </row>
    <row r="5927" spans="1:4" ht="27">
      <c r="A5927" s="402">
        <v>88387</v>
      </c>
      <c r="B5927" s="403" t="s">
        <v>1522</v>
      </c>
      <c r="C5927" s="402" t="s">
        <v>23</v>
      </c>
      <c r="D5927" s="601">
        <v>0.61</v>
      </c>
    </row>
    <row r="5928" spans="1:4" ht="27">
      <c r="A5928" s="402">
        <v>88389</v>
      </c>
      <c r="B5928" s="403" t="s">
        <v>1523</v>
      </c>
      <c r="C5928" s="402" t="s">
        <v>23</v>
      </c>
      <c r="D5928" s="601">
        <v>7.0000000000000007E-2</v>
      </c>
    </row>
    <row r="5929" spans="1:4" ht="27">
      <c r="A5929" s="402">
        <v>88390</v>
      </c>
      <c r="B5929" s="403" t="s">
        <v>1524</v>
      </c>
      <c r="C5929" s="402" t="s">
        <v>23</v>
      </c>
      <c r="D5929" s="601">
        <v>0.76</v>
      </c>
    </row>
    <row r="5930" spans="1:4" ht="27">
      <c r="A5930" s="402">
        <v>88391</v>
      </c>
      <c r="B5930" s="403" t="s">
        <v>1525</v>
      </c>
      <c r="C5930" s="402" t="s">
        <v>23</v>
      </c>
      <c r="D5930" s="601">
        <v>2.5299999999999998</v>
      </c>
    </row>
    <row r="5931" spans="1:4" ht="27">
      <c r="A5931" s="402">
        <v>88394</v>
      </c>
      <c r="B5931" s="403" t="s">
        <v>1528</v>
      </c>
      <c r="C5931" s="402" t="s">
        <v>23</v>
      </c>
      <c r="D5931" s="601">
        <v>0.73</v>
      </c>
    </row>
    <row r="5932" spans="1:4" ht="27">
      <c r="A5932" s="402">
        <v>88395</v>
      </c>
      <c r="B5932" s="403" t="s">
        <v>1529</v>
      </c>
      <c r="C5932" s="402" t="s">
        <v>23</v>
      </c>
      <c r="D5932" s="601">
        <v>0.08</v>
      </c>
    </row>
    <row r="5933" spans="1:4" ht="27">
      <c r="A5933" s="402">
        <v>88396</v>
      </c>
      <c r="B5933" s="403" t="s">
        <v>1530</v>
      </c>
      <c r="C5933" s="402" t="s">
        <v>23</v>
      </c>
      <c r="D5933" s="601">
        <v>0.91</v>
      </c>
    </row>
    <row r="5934" spans="1:4" ht="27">
      <c r="A5934" s="402">
        <v>88397</v>
      </c>
      <c r="B5934" s="403" t="s">
        <v>1531</v>
      </c>
      <c r="C5934" s="402" t="s">
        <v>23</v>
      </c>
      <c r="D5934" s="601">
        <v>3.79</v>
      </c>
    </row>
    <row r="5935" spans="1:4" ht="27">
      <c r="A5935" s="402">
        <v>88400</v>
      </c>
      <c r="B5935" s="403" t="s">
        <v>1534</v>
      </c>
      <c r="C5935" s="402" t="s">
        <v>23</v>
      </c>
      <c r="D5935" s="601">
        <v>0.57999999999999996</v>
      </c>
    </row>
    <row r="5936" spans="1:4" ht="27">
      <c r="A5936" s="402">
        <v>88401</v>
      </c>
      <c r="B5936" s="403" t="s">
        <v>1535</v>
      </c>
      <c r="C5936" s="402" t="s">
        <v>23</v>
      </c>
      <c r="D5936" s="601">
        <v>0.06</v>
      </c>
    </row>
    <row r="5937" spans="1:4" ht="27">
      <c r="A5937" s="402">
        <v>88402</v>
      </c>
      <c r="B5937" s="403" t="s">
        <v>1536</v>
      </c>
      <c r="C5937" s="402" t="s">
        <v>23</v>
      </c>
      <c r="D5937" s="601">
        <v>0.72</v>
      </c>
    </row>
    <row r="5938" spans="1:4" ht="27">
      <c r="A5938" s="402">
        <v>88403</v>
      </c>
      <c r="B5938" s="403" t="s">
        <v>1537</v>
      </c>
      <c r="C5938" s="402" t="s">
        <v>23</v>
      </c>
      <c r="D5938" s="601">
        <v>1.52</v>
      </c>
    </row>
    <row r="5939" spans="1:4" ht="27">
      <c r="A5939" s="402">
        <v>88419</v>
      </c>
      <c r="B5939" s="403" t="s">
        <v>303</v>
      </c>
      <c r="C5939" s="402" t="s">
        <v>23</v>
      </c>
      <c r="D5939" s="601">
        <v>3.77</v>
      </c>
    </row>
    <row r="5940" spans="1:4" ht="27">
      <c r="A5940" s="402">
        <v>88422</v>
      </c>
      <c r="B5940" s="403" t="s">
        <v>304</v>
      </c>
      <c r="C5940" s="402" t="s">
        <v>23</v>
      </c>
      <c r="D5940" s="601">
        <v>0.44</v>
      </c>
    </row>
    <row r="5941" spans="1:4" ht="27">
      <c r="A5941" s="402">
        <v>88425</v>
      </c>
      <c r="B5941" s="403" t="s">
        <v>306</v>
      </c>
      <c r="C5941" s="402" t="s">
        <v>23</v>
      </c>
      <c r="D5941" s="601">
        <v>4.13</v>
      </c>
    </row>
    <row r="5942" spans="1:4" ht="27">
      <c r="A5942" s="402">
        <v>88427</v>
      </c>
      <c r="B5942" s="403" t="s">
        <v>1548</v>
      </c>
      <c r="C5942" s="402" t="s">
        <v>23</v>
      </c>
      <c r="D5942" s="601">
        <v>3.85</v>
      </c>
    </row>
    <row r="5943" spans="1:4" ht="27">
      <c r="A5943" s="402">
        <v>88434</v>
      </c>
      <c r="B5943" s="403" t="s">
        <v>1552</v>
      </c>
      <c r="C5943" s="402" t="s">
        <v>23</v>
      </c>
      <c r="D5943" s="601">
        <v>5</v>
      </c>
    </row>
    <row r="5944" spans="1:4" ht="27">
      <c r="A5944" s="402">
        <v>88435</v>
      </c>
      <c r="B5944" s="403" t="s">
        <v>1553</v>
      </c>
      <c r="C5944" s="402" t="s">
        <v>23</v>
      </c>
      <c r="D5944" s="601">
        <v>0.59</v>
      </c>
    </row>
    <row r="5945" spans="1:4" ht="27">
      <c r="A5945" s="402">
        <v>88436</v>
      </c>
      <c r="B5945" s="403" t="s">
        <v>1554</v>
      </c>
      <c r="C5945" s="402" t="s">
        <v>23</v>
      </c>
      <c r="D5945" s="601">
        <v>5.47</v>
      </c>
    </row>
    <row r="5946" spans="1:4" ht="27">
      <c r="A5946" s="402">
        <v>88437</v>
      </c>
      <c r="B5946" s="403" t="s">
        <v>1555</v>
      </c>
      <c r="C5946" s="402" t="s">
        <v>23</v>
      </c>
      <c r="D5946" s="601">
        <v>3.85</v>
      </c>
    </row>
    <row r="5947" spans="1:4" ht="27">
      <c r="A5947" s="402">
        <v>88569</v>
      </c>
      <c r="B5947" s="403" t="s">
        <v>326</v>
      </c>
      <c r="C5947" s="402" t="s">
        <v>23</v>
      </c>
      <c r="D5947" s="601">
        <v>2.46</v>
      </c>
    </row>
    <row r="5948" spans="1:4" ht="27">
      <c r="A5948" s="402">
        <v>88570</v>
      </c>
      <c r="B5948" s="403" t="s">
        <v>327</v>
      </c>
      <c r="C5948" s="402" t="s">
        <v>23</v>
      </c>
      <c r="D5948" s="601">
        <v>0.53</v>
      </c>
    </row>
    <row r="5949" spans="1:4" ht="40.5">
      <c r="A5949" s="402">
        <v>88826</v>
      </c>
      <c r="B5949" s="403" t="s">
        <v>1575</v>
      </c>
      <c r="C5949" s="402" t="s">
        <v>23</v>
      </c>
      <c r="D5949" s="601">
        <v>0.23</v>
      </c>
    </row>
    <row r="5950" spans="1:4" ht="27">
      <c r="A5950" s="402">
        <v>88827</v>
      </c>
      <c r="B5950" s="403" t="s">
        <v>1576</v>
      </c>
      <c r="C5950" s="402" t="s">
        <v>23</v>
      </c>
      <c r="D5950" s="601">
        <v>0.02</v>
      </c>
    </row>
    <row r="5951" spans="1:4" ht="27">
      <c r="A5951" s="402">
        <v>88828</v>
      </c>
      <c r="B5951" s="403" t="s">
        <v>1577</v>
      </c>
      <c r="C5951" s="402" t="s">
        <v>23</v>
      </c>
      <c r="D5951" s="601">
        <v>0.21</v>
      </c>
    </row>
    <row r="5952" spans="1:4" ht="40.5">
      <c r="A5952" s="402">
        <v>88829</v>
      </c>
      <c r="B5952" s="403" t="s">
        <v>1578</v>
      </c>
      <c r="C5952" s="402" t="s">
        <v>23</v>
      </c>
      <c r="D5952" s="601">
        <v>1.01</v>
      </c>
    </row>
    <row r="5953" spans="1:4" ht="27">
      <c r="A5953" s="402">
        <v>88832</v>
      </c>
      <c r="B5953" s="403" t="s">
        <v>1581</v>
      </c>
      <c r="C5953" s="402" t="s">
        <v>23</v>
      </c>
      <c r="D5953" s="601">
        <v>22.7</v>
      </c>
    </row>
    <row r="5954" spans="1:4" ht="27">
      <c r="A5954" s="402">
        <v>88834</v>
      </c>
      <c r="B5954" s="403" t="s">
        <v>1582</v>
      </c>
      <c r="C5954" s="402" t="s">
        <v>23</v>
      </c>
      <c r="D5954" s="601">
        <v>3.08</v>
      </c>
    </row>
    <row r="5955" spans="1:4" ht="27">
      <c r="A5955" s="402">
        <v>88835</v>
      </c>
      <c r="B5955" s="403" t="s">
        <v>1583</v>
      </c>
      <c r="C5955" s="402" t="s">
        <v>23</v>
      </c>
      <c r="D5955" s="601">
        <v>28.38</v>
      </c>
    </row>
    <row r="5956" spans="1:4" ht="27">
      <c r="A5956" s="402">
        <v>88836</v>
      </c>
      <c r="B5956" s="403" t="s">
        <v>1584</v>
      </c>
      <c r="C5956" s="402" t="s">
        <v>23</v>
      </c>
      <c r="D5956" s="601">
        <v>34.57</v>
      </c>
    </row>
    <row r="5957" spans="1:4" ht="27">
      <c r="A5957" s="402">
        <v>88839</v>
      </c>
      <c r="B5957" s="403" t="s">
        <v>1585</v>
      </c>
      <c r="C5957" s="402" t="s">
        <v>23</v>
      </c>
      <c r="D5957" s="601">
        <v>18.100000000000001</v>
      </c>
    </row>
    <row r="5958" spans="1:4" ht="27">
      <c r="A5958" s="402">
        <v>88840</v>
      </c>
      <c r="B5958" s="403" t="s">
        <v>1586</v>
      </c>
      <c r="C5958" s="402" t="s">
        <v>23</v>
      </c>
      <c r="D5958" s="601">
        <v>4.07</v>
      </c>
    </row>
    <row r="5959" spans="1:4" ht="27">
      <c r="A5959" s="402">
        <v>88841</v>
      </c>
      <c r="B5959" s="403" t="s">
        <v>1587</v>
      </c>
      <c r="C5959" s="402" t="s">
        <v>23</v>
      </c>
      <c r="D5959" s="601">
        <v>32.36</v>
      </c>
    </row>
    <row r="5960" spans="1:4" ht="27">
      <c r="A5960" s="402">
        <v>88842</v>
      </c>
      <c r="B5960" s="403" t="s">
        <v>1588</v>
      </c>
      <c r="C5960" s="402" t="s">
        <v>23</v>
      </c>
      <c r="D5960" s="601">
        <v>42.31</v>
      </c>
    </row>
    <row r="5961" spans="1:4" ht="40.5">
      <c r="A5961" s="402">
        <v>88847</v>
      </c>
      <c r="B5961" s="403" t="s">
        <v>1591</v>
      </c>
      <c r="C5961" s="402" t="s">
        <v>23</v>
      </c>
      <c r="D5961" s="601">
        <v>14.55</v>
      </c>
    </row>
    <row r="5962" spans="1:4" ht="40.5">
      <c r="A5962" s="402">
        <v>88848</v>
      </c>
      <c r="B5962" s="403" t="s">
        <v>1592</v>
      </c>
      <c r="C5962" s="402" t="s">
        <v>23</v>
      </c>
      <c r="D5962" s="601">
        <v>3.05</v>
      </c>
    </row>
    <row r="5963" spans="1:4" ht="40.5">
      <c r="A5963" s="402">
        <v>88853</v>
      </c>
      <c r="B5963" s="403" t="s">
        <v>1593</v>
      </c>
      <c r="C5963" s="402" t="s">
        <v>23</v>
      </c>
      <c r="D5963" s="601">
        <v>0.15</v>
      </c>
    </row>
    <row r="5964" spans="1:4" ht="40.5">
      <c r="A5964" s="402">
        <v>88854</v>
      </c>
      <c r="B5964" s="403" t="s">
        <v>1594</v>
      </c>
      <c r="C5964" s="402" t="s">
        <v>23</v>
      </c>
      <c r="D5964" s="601">
        <v>0.01</v>
      </c>
    </row>
    <row r="5965" spans="1:4" ht="27">
      <c r="A5965" s="402">
        <v>88855</v>
      </c>
      <c r="B5965" s="403" t="s">
        <v>1595</v>
      </c>
      <c r="C5965" s="402" t="s">
        <v>23</v>
      </c>
      <c r="D5965" s="601">
        <v>1.74</v>
      </c>
    </row>
    <row r="5966" spans="1:4" ht="27">
      <c r="A5966" s="402">
        <v>88856</v>
      </c>
      <c r="B5966" s="403" t="s">
        <v>1596</v>
      </c>
      <c r="C5966" s="402" t="s">
        <v>23</v>
      </c>
      <c r="D5966" s="601">
        <v>0.24</v>
      </c>
    </row>
    <row r="5967" spans="1:4" ht="54">
      <c r="A5967" s="402">
        <v>88857</v>
      </c>
      <c r="B5967" s="403" t="s">
        <v>1597</v>
      </c>
      <c r="C5967" s="402" t="s">
        <v>23</v>
      </c>
      <c r="D5967" s="601">
        <v>13.78</v>
      </c>
    </row>
    <row r="5968" spans="1:4" ht="54">
      <c r="A5968" s="402">
        <v>88858</v>
      </c>
      <c r="B5968" s="403" t="s">
        <v>1598</v>
      </c>
      <c r="C5968" s="402" t="s">
        <v>23</v>
      </c>
      <c r="D5968" s="601">
        <v>1.87</v>
      </c>
    </row>
    <row r="5969" spans="1:4" ht="54">
      <c r="A5969" s="402">
        <v>88859</v>
      </c>
      <c r="B5969" s="403" t="s">
        <v>1599</v>
      </c>
      <c r="C5969" s="402" t="s">
        <v>23</v>
      </c>
      <c r="D5969" s="601">
        <v>12.26</v>
      </c>
    </row>
    <row r="5970" spans="1:4" ht="54">
      <c r="A5970" s="402">
        <v>88860</v>
      </c>
      <c r="B5970" s="403" t="s">
        <v>1600</v>
      </c>
      <c r="C5970" s="402" t="s">
        <v>23</v>
      </c>
      <c r="D5970" s="601">
        <v>1.66</v>
      </c>
    </row>
    <row r="5971" spans="1:4" ht="27">
      <c r="A5971" s="402">
        <v>88900</v>
      </c>
      <c r="B5971" s="403" t="s">
        <v>1601</v>
      </c>
      <c r="C5971" s="402" t="s">
        <v>23</v>
      </c>
      <c r="D5971" s="601">
        <v>26.47</v>
      </c>
    </row>
    <row r="5972" spans="1:4" ht="27">
      <c r="A5972" s="402">
        <v>88902</v>
      </c>
      <c r="B5972" s="403" t="s">
        <v>1602</v>
      </c>
      <c r="C5972" s="402" t="s">
        <v>23</v>
      </c>
      <c r="D5972" s="601">
        <v>3.59</v>
      </c>
    </row>
    <row r="5973" spans="1:4" ht="27">
      <c r="A5973" s="402">
        <v>88903</v>
      </c>
      <c r="B5973" s="403" t="s">
        <v>1603</v>
      </c>
      <c r="C5973" s="402" t="s">
        <v>23</v>
      </c>
      <c r="D5973" s="601">
        <v>33.090000000000003</v>
      </c>
    </row>
    <row r="5974" spans="1:4" ht="27">
      <c r="A5974" s="402">
        <v>88904</v>
      </c>
      <c r="B5974" s="403" t="s">
        <v>1604</v>
      </c>
      <c r="C5974" s="402" t="s">
        <v>23</v>
      </c>
      <c r="D5974" s="601">
        <v>48.69</v>
      </c>
    </row>
    <row r="5975" spans="1:4" ht="27">
      <c r="A5975" s="402">
        <v>89009</v>
      </c>
      <c r="B5975" s="403" t="s">
        <v>329</v>
      </c>
      <c r="C5975" s="402" t="s">
        <v>23</v>
      </c>
      <c r="D5975" s="601">
        <v>22.42</v>
      </c>
    </row>
    <row r="5976" spans="1:4" ht="27">
      <c r="A5976" s="402">
        <v>89010</v>
      </c>
      <c r="B5976" s="403" t="s">
        <v>330</v>
      </c>
      <c r="C5976" s="402" t="s">
        <v>23</v>
      </c>
      <c r="D5976" s="601">
        <v>5.04</v>
      </c>
    </row>
    <row r="5977" spans="1:4" ht="54">
      <c r="A5977" s="402">
        <v>89011</v>
      </c>
      <c r="B5977" s="403" t="s">
        <v>1607</v>
      </c>
      <c r="C5977" s="402" t="s">
        <v>23</v>
      </c>
      <c r="D5977" s="601">
        <v>13.3</v>
      </c>
    </row>
    <row r="5978" spans="1:4" ht="54">
      <c r="A5978" s="402">
        <v>89012</v>
      </c>
      <c r="B5978" s="403" t="s">
        <v>1608</v>
      </c>
      <c r="C5978" s="402" t="s">
        <v>23</v>
      </c>
      <c r="D5978" s="601">
        <v>1.8</v>
      </c>
    </row>
    <row r="5979" spans="1:4" ht="27">
      <c r="A5979" s="402">
        <v>89013</v>
      </c>
      <c r="B5979" s="403" t="s">
        <v>1609</v>
      </c>
      <c r="C5979" s="402" t="s">
        <v>23</v>
      </c>
      <c r="D5979" s="601">
        <v>73.44</v>
      </c>
    </row>
    <row r="5980" spans="1:4" ht="27">
      <c r="A5980" s="402">
        <v>89014</v>
      </c>
      <c r="B5980" s="403" t="s">
        <v>1610</v>
      </c>
      <c r="C5980" s="402" t="s">
        <v>23</v>
      </c>
      <c r="D5980" s="601">
        <v>16.53</v>
      </c>
    </row>
    <row r="5981" spans="1:4" ht="27">
      <c r="A5981" s="402">
        <v>89015</v>
      </c>
      <c r="B5981" s="403" t="s">
        <v>1611</v>
      </c>
      <c r="C5981" s="402" t="s">
        <v>23</v>
      </c>
      <c r="D5981" s="601">
        <v>2.0099999999999998</v>
      </c>
    </row>
    <row r="5982" spans="1:4" ht="27">
      <c r="A5982" s="402">
        <v>89016</v>
      </c>
      <c r="B5982" s="403" t="s">
        <v>1612</v>
      </c>
      <c r="C5982" s="402" t="s">
        <v>23</v>
      </c>
      <c r="D5982" s="601">
        <v>0.27</v>
      </c>
    </row>
    <row r="5983" spans="1:4" ht="27">
      <c r="A5983" s="402">
        <v>89017</v>
      </c>
      <c r="B5983" s="403" t="s">
        <v>1613</v>
      </c>
      <c r="C5983" s="402" t="s">
        <v>23</v>
      </c>
      <c r="D5983" s="601">
        <v>22.28</v>
      </c>
    </row>
    <row r="5984" spans="1:4" ht="27">
      <c r="A5984" s="402">
        <v>89018</v>
      </c>
      <c r="B5984" s="403" t="s">
        <v>1614</v>
      </c>
      <c r="C5984" s="402" t="s">
        <v>23</v>
      </c>
      <c r="D5984" s="601">
        <v>5.01</v>
      </c>
    </row>
    <row r="5985" spans="1:4" ht="40.5">
      <c r="A5985" s="402">
        <v>89019</v>
      </c>
      <c r="B5985" s="403" t="s">
        <v>1615</v>
      </c>
      <c r="C5985" s="402" t="s">
        <v>23</v>
      </c>
      <c r="D5985" s="601">
        <v>0.26</v>
      </c>
    </row>
    <row r="5986" spans="1:4" ht="40.5">
      <c r="A5986" s="402">
        <v>89020</v>
      </c>
      <c r="B5986" s="403" t="s">
        <v>1616</v>
      </c>
      <c r="C5986" s="402" t="s">
        <v>23</v>
      </c>
      <c r="D5986" s="601">
        <v>0.03</v>
      </c>
    </row>
    <row r="5987" spans="1:4" ht="27">
      <c r="A5987" s="402">
        <v>89023</v>
      </c>
      <c r="B5987" s="403" t="s">
        <v>1619</v>
      </c>
      <c r="C5987" s="402" t="s">
        <v>23</v>
      </c>
      <c r="D5987" s="601">
        <v>2.62</v>
      </c>
    </row>
    <row r="5988" spans="1:4" ht="27">
      <c r="A5988" s="402">
        <v>89024</v>
      </c>
      <c r="B5988" s="403" t="s">
        <v>1620</v>
      </c>
      <c r="C5988" s="402" t="s">
        <v>23</v>
      </c>
      <c r="D5988" s="601">
        <v>0.43</v>
      </c>
    </row>
    <row r="5989" spans="1:4" ht="27">
      <c r="A5989" s="402">
        <v>89025</v>
      </c>
      <c r="B5989" s="403" t="s">
        <v>1621</v>
      </c>
      <c r="C5989" s="402" t="s">
        <v>23</v>
      </c>
      <c r="D5989" s="601">
        <v>4.91</v>
      </c>
    </row>
    <row r="5990" spans="1:4" ht="27">
      <c r="A5990" s="402">
        <v>89026</v>
      </c>
      <c r="B5990" s="403" t="s">
        <v>1622</v>
      </c>
      <c r="C5990" s="402" t="s">
        <v>23</v>
      </c>
      <c r="D5990" s="601">
        <v>107.82</v>
      </c>
    </row>
    <row r="5991" spans="1:4" ht="27">
      <c r="A5991" s="402">
        <v>89029</v>
      </c>
      <c r="B5991" s="403" t="s">
        <v>1623</v>
      </c>
      <c r="C5991" s="402" t="s">
        <v>23</v>
      </c>
      <c r="D5991" s="601">
        <v>17.29</v>
      </c>
    </row>
    <row r="5992" spans="1:4" ht="27">
      <c r="A5992" s="402">
        <v>89030</v>
      </c>
      <c r="B5992" s="403" t="s">
        <v>1624</v>
      </c>
      <c r="C5992" s="402" t="s">
        <v>23</v>
      </c>
      <c r="D5992" s="601">
        <v>3.89</v>
      </c>
    </row>
    <row r="5993" spans="1:4" ht="27">
      <c r="A5993" s="402">
        <v>89033</v>
      </c>
      <c r="B5993" s="403" t="s">
        <v>333</v>
      </c>
      <c r="C5993" s="402" t="s">
        <v>23</v>
      </c>
      <c r="D5993" s="601">
        <v>7.19</v>
      </c>
    </row>
    <row r="5994" spans="1:4" ht="27">
      <c r="A5994" s="402">
        <v>89034</v>
      </c>
      <c r="B5994" s="403" t="s">
        <v>334</v>
      </c>
      <c r="C5994" s="402" t="s">
        <v>23</v>
      </c>
      <c r="D5994" s="601">
        <v>0.99</v>
      </c>
    </row>
    <row r="5995" spans="1:4" ht="27">
      <c r="A5995" s="402">
        <v>89128</v>
      </c>
      <c r="B5995" s="403" t="s">
        <v>1633</v>
      </c>
      <c r="C5995" s="402" t="s">
        <v>23</v>
      </c>
      <c r="D5995" s="601">
        <v>21.55</v>
      </c>
    </row>
    <row r="5996" spans="1:4" ht="27">
      <c r="A5996" s="402">
        <v>89129</v>
      </c>
      <c r="B5996" s="403" t="s">
        <v>1634</v>
      </c>
      <c r="C5996" s="402" t="s">
        <v>23</v>
      </c>
      <c r="D5996" s="601">
        <v>2.92</v>
      </c>
    </row>
    <row r="5997" spans="1:4" ht="27">
      <c r="A5997" s="402">
        <v>89130</v>
      </c>
      <c r="B5997" s="403" t="s">
        <v>1635</v>
      </c>
      <c r="C5997" s="402" t="s">
        <v>23</v>
      </c>
      <c r="D5997" s="601">
        <v>29.89</v>
      </c>
    </row>
    <row r="5998" spans="1:4" ht="27">
      <c r="A5998" s="402">
        <v>89131</v>
      </c>
      <c r="B5998" s="403" t="s">
        <v>1636</v>
      </c>
      <c r="C5998" s="402" t="s">
        <v>23</v>
      </c>
      <c r="D5998" s="601">
        <v>4.05</v>
      </c>
    </row>
    <row r="5999" spans="1:4" ht="40.5">
      <c r="A5999" s="402">
        <v>89210</v>
      </c>
      <c r="B5999" s="403" t="s">
        <v>1642</v>
      </c>
      <c r="C5999" s="402" t="s">
        <v>23</v>
      </c>
      <c r="D5999" s="601">
        <v>15.83</v>
      </c>
    </row>
    <row r="6000" spans="1:4" ht="40.5">
      <c r="A6000" s="402">
        <v>89211</v>
      </c>
      <c r="B6000" s="403" t="s">
        <v>1643</v>
      </c>
      <c r="C6000" s="402" t="s">
        <v>23</v>
      </c>
      <c r="D6000" s="601">
        <v>2.19</v>
      </c>
    </row>
    <row r="6001" spans="1:4" ht="27">
      <c r="A6001" s="402">
        <v>89212</v>
      </c>
      <c r="B6001" s="403" t="s">
        <v>337</v>
      </c>
      <c r="C6001" s="402" t="s">
        <v>23</v>
      </c>
      <c r="D6001" s="601">
        <v>15.18</v>
      </c>
    </row>
    <row r="6002" spans="1:4" ht="27">
      <c r="A6002" s="402">
        <v>89213</v>
      </c>
      <c r="B6002" s="403" t="s">
        <v>338</v>
      </c>
      <c r="C6002" s="402" t="s">
        <v>23</v>
      </c>
      <c r="D6002" s="601">
        <v>2.39</v>
      </c>
    </row>
    <row r="6003" spans="1:4" ht="27">
      <c r="A6003" s="402">
        <v>89214</v>
      </c>
      <c r="B6003" s="403" t="s">
        <v>339</v>
      </c>
      <c r="C6003" s="402" t="s">
        <v>23</v>
      </c>
      <c r="D6003" s="601">
        <v>14.25</v>
      </c>
    </row>
    <row r="6004" spans="1:4" ht="27">
      <c r="A6004" s="402">
        <v>89215</v>
      </c>
      <c r="B6004" s="403" t="s">
        <v>340</v>
      </c>
      <c r="C6004" s="402" t="s">
        <v>23</v>
      </c>
      <c r="D6004" s="601">
        <v>50.28</v>
      </c>
    </row>
    <row r="6005" spans="1:4" ht="40.5">
      <c r="A6005" s="402">
        <v>89221</v>
      </c>
      <c r="B6005" s="403" t="s">
        <v>1644</v>
      </c>
      <c r="C6005" s="402" t="s">
        <v>23</v>
      </c>
      <c r="D6005" s="601">
        <v>0.94</v>
      </c>
    </row>
    <row r="6006" spans="1:4" ht="27">
      <c r="A6006" s="402">
        <v>89222</v>
      </c>
      <c r="B6006" s="403" t="s">
        <v>1645</v>
      </c>
      <c r="C6006" s="402" t="s">
        <v>23</v>
      </c>
      <c r="D6006" s="601">
        <v>0.11</v>
      </c>
    </row>
    <row r="6007" spans="1:4" ht="27">
      <c r="A6007" s="402">
        <v>89223</v>
      </c>
      <c r="B6007" s="403" t="s">
        <v>1646</v>
      </c>
      <c r="C6007" s="402" t="s">
        <v>23</v>
      </c>
      <c r="D6007" s="601">
        <v>0.88</v>
      </c>
    </row>
    <row r="6008" spans="1:4" ht="40.5">
      <c r="A6008" s="402">
        <v>89224</v>
      </c>
      <c r="B6008" s="403" t="s">
        <v>1647</v>
      </c>
      <c r="C6008" s="402" t="s">
        <v>23</v>
      </c>
      <c r="D6008" s="601">
        <v>2.02</v>
      </c>
    </row>
    <row r="6009" spans="1:4" ht="27">
      <c r="A6009" s="402">
        <v>89228</v>
      </c>
      <c r="B6009" s="403" t="s">
        <v>342</v>
      </c>
      <c r="C6009" s="402" t="s">
        <v>23</v>
      </c>
      <c r="D6009" s="601">
        <v>21.48</v>
      </c>
    </row>
    <row r="6010" spans="1:4" ht="27">
      <c r="A6010" s="402">
        <v>89229</v>
      </c>
      <c r="B6010" s="403" t="s">
        <v>343</v>
      </c>
      <c r="C6010" s="402" t="s">
        <v>23</v>
      </c>
      <c r="D6010" s="601">
        <v>3.86</v>
      </c>
    </row>
    <row r="6011" spans="1:4" ht="27">
      <c r="A6011" s="402">
        <v>89230</v>
      </c>
      <c r="B6011" s="403" t="s">
        <v>1650</v>
      </c>
      <c r="C6011" s="402" t="s">
        <v>23</v>
      </c>
      <c r="D6011" s="601">
        <v>91.78</v>
      </c>
    </row>
    <row r="6012" spans="1:4" ht="27">
      <c r="A6012" s="402">
        <v>89231</v>
      </c>
      <c r="B6012" s="403" t="s">
        <v>1651</v>
      </c>
      <c r="C6012" s="402" t="s">
        <v>23</v>
      </c>
      <c r="D6012" s="601">
        <v>14.54</v>
      </c>
    </row>
    <row r="6013" spans="1:4" ht="27">
      <c r="A6013" s="402">
        <v>89232</v>
      </c>
      <c r="B6013" s="403" t="s">
        <v>1652</v>
      </c>
      <c r="C6013" s="402" t="s">
        <v>23</v>
      </c>
      <c r="D6013" s="601">
        <v>163.71</v>
      </c>
    </row>
    <row r="6014" spans="1:4" ht="27">
      <c r="A6014" s="402">
        <v>89233</v>
      </c>
      <c r="B6014" s="403" t="s">
        <v>1653</v>
      </c>
      <c r="C6014" s="402" t="s">
        <v>23</v>
      </c>
      <c r="D6014" s="601">
        <v>90.49</v>
      </c>
    </row>
    <row r="6015" spans="1:4" ht="27">
      <c r="A6015" s="402">
        <v>89236</v>
      </c>
      <c r="B6015" s="403" t="s">
        <v>1656</v>
      </c>
      <c r="C6015" s="402" t="s">
        <v>23</v>
      </c>
      <c r="D6015" s="601">
        <v>214.4</v>
      </c>
    </row>
    <row r="6016" spans="1:4" ht="27">
      <c r="A6016" s="402">
        <v>89237</v>
      </c>
      <c r="B6016" s="403" t="s">
        <v>1657</v>
      </c>
      <c r="C6016" s="402" t="s">
        <v>23</v>
      </c>
      <c r="D6016" s="601">
        <v>33.97</v>
      </c>
    </row>
    <row r="6017" spans="1:4" ht="27">
      <c r="A6017" s="402">
        <v>89238</v>
      </c>
      <c r="B6017" s="403" t="s">
        <v>1658</v>
      </c>
      <c r="C6017" s="402" t="s">
        <v>23</v>
      </c>
      <c r="D6017" s="601">
        <v>382.44</v>
      </c>
    </row>
    <row r="6018" spans="1:4" ht="27">
      <c r="A6018" s="402">
        <v>89239</v>
      </c>
      <c r="B6018" s="403" t="s">
        <v>1659</v>
      </c>
      <c r="C6018" s="402" t="s">
        <v>23</v>
      </c>
      <c r="D6018" s="601">
        <v>239.3</v>
      </c>
    </row>
    <row r="6019" spans="1:4" ht="27">
      <c r="A6019" s="402">
        <v>89240</v>
      </c>
      <c r="B6019" s="403" t="s">
        <v>1660</v>
      </c>
      <c r="C6019" s="402" t="s">
        <v>23</v>
      </c>
      <c r="D6019" s="601">
        <v>65.8</v>
      </c>
    </row>
    <row r="6020" spans="1:4" ht="27">
      <c r="A6020" s="402">
        <v>89241</v>
      </c>
      <c r="B6020" s="403" t="s">
        <v>344</v>
      </c>
      <c r="C6020" s="402" t="s">
        <v>23</v>
      </c>
      <c r="D6020" s="601">
        <v>11.84</v>
      </c>
    </row>
    <row r="6021" spans="1:4" ht="27">
      <c r="A6021" s="402">
        <v>89246</v>
      </c>
      <c r="B6021" s="403" t="s">
        <v>345</v>
      </c>
      <c r="C6021" s="402" t="s">
        <v>23</v>
      </c>
      <c r="D6021" s="601">
        <v>186.3</v>
      </c>
    </row>
    <row r="6022" spans="1:4" ht="27">
      <c r="A6022" s="402">
        <v>89247</v>
      </c>
      <c r="B6022" s="403" t="s">
        <v>346</v>
      </c>
      <c r="C6022" s="402" t="s">
        <v>23</v>
      </c>
      <c r="D6022" s="601">
        <v>29.52</v>
      </c>
    </row>
    <row r="6023" spans="1:4" ht="27">
      <c r="A6023" s="402">
        <v>89248</v>
      </c>
      <c r="B6023" s="403" t="s">
        <v>347</v>
      </c>
      <c r="C6023" s="402" t="s">
        <v>23</v>
      </c>
      <c r="D6023" s="601">
        <v>332.31</v>
      </c>
    </row>
    <row r="6024" spans="1:4" ht="27">
      <c r="A6024" s="402">
        <v>89249</v>
      </c>
      <c r="B6024" s="403" t="s">
        <v>348</v>
      </c>
      <c r="C6024" s="402" t="s">
        <v>23</v>
      </c>
      <c r="D6024" s="601">
        <v>203.99</v>
      </c>
    </row>
    <row r="6025" spans="1:4" ht="27">
      <c r="A6025" s="402">
        <v>89253</v>
      </c>
      <c r="B6025" s="403" t="s">
        <v>1663</v>
      </c>
      <c r="C6025" s="402" t="s">
        <v>23</v>
      </c>
      <c r="D6025" s="601">
        <v>53.92</v>
      </c>
    </row>
    <row r="6026" spans="1:4" ht="27">
      <c r="A6026" s="402">
        <v>89254</v>
      </c>
      <c r="B6026" s="403" t="s">
        <v>351</v>
      </c>
      <c r="C6026" s="402" t="s">
        <v>23</v>
      </c>
      <c r="D6026" s="601">
        <v>9.6999999999999993</v>
      </c>
    </row>
    <row r="6027" spans="1:4" ht="27">
      <c r="A6027" s="402">
        <v>89255</v>
      </c>
      <c r="B6027" s="403" t="s">
        <v>1664</v>
      </c>
      <c r="C6027" s="402" t="s">
        <v>23</v>
      </c>
      <c r="D6027" s="601">
        <v>86.67</v>
      </c>
    </row>
    <row r="6028" spans="1:4" ht="40.5">
      <c r="A6028" s="402">
        <v>89256</v>
      </c>
      <c r="B6028" s="403" t="s">
        <v>1665</v>
      </c>
      <c r="C6028" s="402" t="s">
        <v>23</v>
      </c>
      <c r="D6028" s="601">
        <v>45.91</v>
      </c>
    </row>
    <row r="6029" spans="1:4" ht="40.5">
      <c r="A6029" s="402">
        <v>89259</v>
      </c>
      <c r="B6029" s="403" t="s">
        <v>1668</v>
      </c>
      <c r="C6029" s="402" t="s">
        <v>23</v>
      </c>
      <c r="D6029" s="601">
        <v>9.9499999999999993</v>
      </c>
    </row>
    <row r="6030" spans="1:4" ht="40.5">
      <c r="A6030" s="402">
        <v>89260</v>
      </c>
      <c r="B6030" s="403" t="s">
        <v>1669</v>
      </c>
      <c r="C6030" s="402" t="s">
        <v>23</v>
      </c>
      <c r="D6030" s="601">
        <v>2.08</v>
      </c>
    </row>
    <row r="6031" spans="1:4" ht="40.5">
      <c r="A6031" s="402">
        <v>89262</v>
      </c>
      <c r="B6031" s="403" t="s">
        <v>1670</v>
      </c>
      <c r="C6031" s="402" t="s">
        <v>23</v>
      </c>
      <c r="D6031" s="601">
        <v>18.670000000000002</v>
      </c>
    </row>
    <row r="6032" spans="1:4" ht="54">
      <c r="A6032" s="402">
        <v>89264</v>
      </c>
      <c r="B6032" s="403" t="s">
        <v>1671</v>
      </c>
      <c r="C6032" s="402" t="s">
        <v>23</v>
      </c>
      <c r="D6032" s="601">
        <v>8.0500000000000007</v>
      </c>
    </row>
    <row r="6033" spans="1:4" ht="54">
      <c r="A6033" s="402">
        <v>89265</v>
      </c>
      <c r="B6033" s="403" t="s">
        <v>1672</v>
      </c>
      <c r="C6033" s="402" t="s">
        <v>23</v>
      </c>
      <c r="D6033" s="601">
        <v>1.68</v>
      </c>
    </row>
    <row r="6034" spans="1:4" ht="54">
      <c r="A6034" s="402">
        <v>89266</v>
      </c>
      <c r="B6034" s="403" t="s">
        <v>1673</v>
      </c>
      <c r="C6034" s="402" t="s">
        <v>23</v>
      </c>
      <c r="D6034" s="601">
        <v>0.64</v>
      </c>
    </row>
    <row r="6035" spans="1:4" ht="40.5">
      <c r="A6035" s="402">
        <v>89267</v>
      </c>
      <c r="B6035" s="403" t="s">
        <v>1674</v>
      </c>
      <c r="C6035" s="402" t="s">
        <v>23</v>
      </c>
      <c r="D6035" s="601">
        <v>26.42</v>
      </c>
    </row>
    <row r="6036" spans="1:4" ht="27">
      <c r="A6036" s="402">
        <v>89268</v>
      </c>
      <c r="B6036" s="403" t="s">
        <v>1675</v>
      </c>
      <c r="C6036" s="402" t="s">
        <v>23</v>
      </c>
      <c r="D6036" s="601">
        <v>4.75</v>
      </c>
    </row>
    <row r="6037" spans="1:4" ht="40.5">
      <c r="A6037" s="402">
        <v>89269</v>
      </c>
      <c r="B6037" s="403" t="s">
        <v>1676</v>
      </c>
      <c r="C6037" s="402" t="s">
        <v>23</v>
      </c>
      <c r="D6037" s="601">
        <v>1.84</v>
      </c>
    </row>
    <row r="6038" spans="1:4" ht="40.5">
      <c r="A6038" s="402">
        <v>89270</v>
      </c>
      <c r="B6038" s="403" t="s">
        <v>1677</v>
      </c>
      <c r="C6038" s="402" t="s">
        <v>23</v>
      </c>
      <c r="D6038" s="601">
        <v>42.48</v>
      </c>
    </row>
    <row r="6039" spans="1:4" ht="40.5">
      <c r="A6039" s="402">
        <v>89271</v>
      </c>
      <c r="B6039" s="403" t="s">
        <v>1678</v>
      </c>
      <c r="C6039" s="402" t="s">
        <v>23</v>
      </c>
      <c r="D6039" s="601">
        <v>15.71</v>
      </c>
    </row>
    <row r="6040" spans="1:4" ht="27">
      <c r="A6040" s="402">
        <v>89274</v>
      </c>
      <c r="B6040" s="403" t="s">
        <v>1681</v>
      </c>
      <c r="C6040" s="402" t="s">
        <v>23</v>
      </c>
      <c r="D6040" s="601">
        <v>1.1399999999999999</v>
      </c>
    </row>
    <row r="6041" spans="1:4" ht="27">
      <c r="A6041" s="402">
        <v>89275</v>
      </c>
      <c r="B6041" s="403" t="s">
        <v>1682</v>
      </c>
      <c r="C6041" s="402" t="s">
        <v>23</v>
      </c>
      <c r="D6041" s="601">
        <v>0.13</v>
      </c>
    </row>
    <row r="6042" spans="1:4" ht="27">
      <c r="A6042" s="402">
        <v>89276</v>
      </c>
      <c r="B6042" s="403" t="s">
        <v>1683</v>
      </c>
      <c r="C6042" s="402" t="s">
        <v>23</v>
      </c>
      <c r="D6042" s="601">
        <v>1.07</v>
      </c>
    </row>
    <row r="6043" spans="1:4" ht="27">
      <c r="A6043" s="402">
        <v>89277</v>
      </c>
      <c r="B6043" s="403" t="s">
        <v>1684</v>
      </c>
      <c r="C6043" s="402" t="s">
        <v>23</v>
      </c>
      <c r="D6043" s="601">
        <v>4.5999999999999996</v>
      </c>
    </row>
    <row r="6044" spans="1:4" ht="27">
      <c r="A6044" s="402">
        <v>89280</v>
      </c>
      <c r="B6044" s="403" t="s">
        <v>1687</v>
      </c>
      <c r="C6044" s="402" t="s">
        <v>23</v>
      </c>
      <c r="D6044" s="601">
        <v>19.440000000000001</v>
      </c>
    </row>
    <row r="6045" spans="1:4" ht="27">
      <c r="A6045" s="402">
        <v>89281</v>
      </c>
      <c r="B6045" s="403" t="s">
        <v>1688</v>
      </c>
      <c r="C6045" s="402" t="s">
        <v>23</v>
      </c>
      <c r="D6045" s="601">
        <v>2.69</v>
      </c>
    </row>
    <row r="6046" spans="1:4" ht="40.5">
      <c r="A6046" s="402">
        <v>89870</v>
      </c>
      <c r="B6046" s="403" t="s">
        <v>451</v>
      </c>
      <c r="C6046" s="402" t="s">
        <v>23</v>
      </c>
      <c r="D6046" s="601">
        <v>19.22</v>
      </c>
    </row>
    <row r="6047" spans="1:4" ht="40.5">
      <c r="A6047" s="402">
        <v>89871</v>
      </c>
      <c r="B6047" s="403" t="s">
        <v>452</v>
      </c>
      <c r="C6047" s="402" t="s">
        <v>23</v>
      </c>
      <c r="D6047" s="601">
        <v>3.55</v>
      </c>
    </row>
    <row r="6048" spans="1:4" ht="40.5">
      <c r="A6048" s="402">
        <v>89872</v>
      </c>
      <c r="B6048" s="403" t="s">
        <v>453</v>
      </c>
      <c r="C6048" s="402" t="s">
        <v>23</v>
      </c>
      <c r="D6048" s="601">
        <v>1.39</v>
      </c>
    </row>
    <row r="6049" spans="1:4" ht="40.5">
      <c r="A6049" s="402">
        <v>89873</v>
      </c>
      <c r="B6049" s="403" t="s">
        <v>454</v>
      </c>
      <c r="C6049" s="402" t="s">
        <v>23</v>
      </c>
      <c r="D6049" s="601">
        <v>36.06</v>
      </c>
    </row>
    <row r="6050" spans="1:4" ht="40.5">
      <c r="A6050" s="402">
        <v>89874</v>
      </c>
      <c r="B6050" s="403" t="s">
        <v>455</v>
      </c>
      <c r="C6050" s="402" t="s">
        <v>23</v>
      </c>
      <c r="D6050" s="601">
        <v>95.48</v>
      </c>
    </row>
    <row r="6051" spans="1:4" ht="40.5">
      <c r="A6051" s="402">
        <v>89878</v>
      </c>
      <c r="B6051" s="403" t="s">
        <v>458</v>
      </c>
      <c r="C6051" s="402" t="s">
        <v>23</v>
      </c>
      <c r="D6051" s="601">
        <v>20.32</v>
      </c>
    </row>
    <row r="6052" spans="1:4" ht="40.5">
      <c r="A6052" s="402">
        <v>89879</v>
      </c>
      <c r="B6052" s="403" t="s">
        <v>459</v>
      </c>
      <c r="C6052" s="402" t="s">
        <v>23</v>
      </c>
      <c r="D6052" s="601">
        <v>3.75</v>
      </c>
    </row>
    <row r="6053" spans="1:4" ht="40.5">
      <c r="A6053" s="402">
        <v>89880</v>
      </c>
      <c r="B6053" s="403" t="s">
        <v>460</v>
      </c>
      <c r="C6053" s="402" t="s">
        <v>23</v>
      </c>
      <c r="D6053" s="601">
        <v>1.46</v>
      </c>
    </row>
    <row r="6054" spans="1:4" ht="40.5">
      <c r="A6054" s="402">
        <v>89881</v>
      </c>
      <c r="B6054" s="403" t="s">
        <v>461</v>
      </c>
      <c r="C6054" s="402" t="s">
        <v>23</v>
      </c>
      <c r="D6054" s="601">
        <v>38.11</v>
      </c>
    </row>
    <row r="6055" spans="1:4" ht="40.5">
      <c r="A6055" s="402">
        <v>89882</v>
      </c>
      <c r="B6055" s="403" t="s">
        <v>462</v>
      </c>
      <c r="C6055" s="402" t="s">
        <v>23</v>
      </c>
      <c r="D6055" s="601">
        <v>110.16</v>
      </c>
    </row>
    <row r="6056" spans="1:4" ht="27">
      <c r="A6056" s="402">
        <v>90582</v>
      </c>
      <c r="B6056" s="403" t="s">
        <v>2189</v>
      </c>
      <c r="C6056" s="402" t="s">
        <v>23</v>
      </c>
      <c r="D6056" s="601">
        <v>0.31</v>
      </c>
    </row>
    <row r="6057" spans="1:4" ht="27">
      <c r="A6057" s="402">
        <v>90583</v>
      </c>
      <c r="B6057" s="403" t="s">
        <v>2190</v>
      </c>
      <c r="C6057" s="402" t="s">
        <v>23</v>
      </c>
      <c r="D6057" s="601">
        <v>0.03</v>
      </c>
    </row>
    <row r="6058" spans="1:4" ht="27">
      <c r="A6058" s="402">
        <v>90584</v>
      </c>
      <c r="B6058" s="403" t="s">
        <v>2191</v>
      </c>
      <c r="C6058" s="402" t="s">
        <v>23</v>
      </c>
      <c r="D6058" s="601">
        <v>0.24</v>
      </c>
    </row>
    <row r="6059" spans="1:4" ht="27">
      <c r="A6059" s="402">
        <v>90585</v>
      </c>
      <c r="B6059" s="403" t="s">
        <v>2192</v>
      </c>
      <c r="C6059" s="402" t="s">
        <v>23</v>
      </c>
      <c r="D6059" s="601">
        <v>1.01</v>
      </c>
    </row>
    <row r="6060" spans="1:4" ht="27">
      <c r="A6060" s="402">
        <v>90621</v>
      </c>
      <c r="B6060" s="403" t="s">
        <v>481</v>
      </c>
      <c r="C6060" s="402" t="s">
        <v>23</v>
      </c>
      <c r="D6060" s="601">
        <v>2.0499999999999998</v>
      </c>
    </row>
    <row r="6061" spans="1:4" ht="27">
      <c r="A6061" s="402">
        <v>90622</v>
      </c>
      <c r="B6061" s="403" t="s">
        <v>482</v>
      </c>
      <c r="C6061" s="402" t="s">
        <v>23</v>
      </c>
      <c r="D6061" s="601">
        <v>0.24</v>
      </c>
    </row>
    <row r="6062" spans="1:4" ht="27">
      <c r="A6062" s="402">
        <v>90623</v>
      </c>
      <c r="B6062" s="403" t="s">
        <v>483</v>
      </c>
      <c r="C6062" s="402" t="s">
        <v>23</v>
      </c>
      <c r="D6062" s="601">
        <v>2.57</v>
      </c>
    </row>
    <row r="6063" spans="1:4" ht="27">
      <c r="A6063" s="402">
        <v>90624</v>
      </c>
      <c r="B6063" s="403" t="s">
        <v>484</v>
      </c>
      <c r="C6063" s="402" t="s">
        <v>23</v>
      </c>
      <c r="D6063" s="601">
        <v>2.5299999999999998</v>
      </c>
    </row>
    <row r="6064" spans="1:4" ht="27">
      <c r="A6064" s="402">
        <v>90627</v>
      </c>
      <c r="B6064" s="403" t="s">
        <v>487</v>
      </c>
      <c r="C6064" s="402" t="s">
        <v>23</v>
      </c>
      <c r="D6064" s="601">
        <v>24.22</v>
      </c>
    </row>
    <row r="6065" spans="1:4" ht="27">
      <c r="A6065" s="402">
        <v>90628</v>
      </c>
      <c r="B6065" s="403" t="s">
        <v>488</v>
      </c>
      <c r="C6065" s="402" t="s">
        <v>23</v>
      </c>
      <c r="D6065" s="601">
        <v>3.45</v>
      </c>
    </row>
    <row r="6066" spans="1:4" ht="27">
      <c r="A6066" s="402">
        <v>90629</v>
      </c>
      <c r="B6066" s="403" t="s">
        <v>489</v>
      </c>
      <c r="C6066" s="402" t="s">
        <v>23</v>
      </c>
      <c r="D6066" s="601">
        <v>30.31</v>
      </c>
    </row>
    <row r="6067" spans="1:4" ht="27">
      <c r="A6067" s="402">
        <v>90630</v>
      </c>
      <c r="B6067" s="403" t="s">
        <v>2195</v>
      </c>
      <c r="C6067" s="402" t="s">
        <v>23</v>
      </c>
      <c r="D6067" s="601">
        <v>10.27</v>
      </c>
    </row>
    <row r="6068" spans="1:4" ht="40.5">
      <c r="A6068" s="402">
        <v>90633</v>
      </c>
      <c r="B6068" s="403" t="s">
        <v>492</v>
      </c>
      <c r="C6068" s="402" t="s">
        <v>23</v>
      </c>
      <c r="D6068" s="601">
        <v>2.9</v>
      </c>
    </row>
    <row r="6069" spans="1:4" ht="40.5">
      <c r="A6069" s="402">
        <v>90634</v>
      </c>
      <c r="B6069" s="403" t="s">
        <v>493</v>
      </c>
      <c r="C6069" s="402" t="s">
        <v>23</v>
      </c>
      <c r="D6069" s="601">
        <v>0.34</v>
      </c>
    </row>
    <row r="6070" spans="1:4" ht="40.5">
      <c r="A6070" s="402">
        <v>90635</v>
      </c>
      <c r="B6070" s="403" t="s">
        <v>494</v>
      </c>
      <c r="C6070" s="402" t="s">
        <v>23</v>
      </c>
      <c r="D6070" s="601">
        <v>3.18</v>
      </c>
    </row>
    <row r="6071" spans="1:4" ht="40.5">
      <c r="A6071" s="402">
        <v>90636</v>
      </c>
      <c r="B6071" s="403" t="s">
        <v>495</v>
      </c>
      <c r="C6071" s="402" t="s">
        <v>23</v>
      </c>
      <c r="D6071" s="601">
        <v>5.07</v>
      </c>
    </row>
    <row r="6072" spans="1:4" ht="27">
      <c r="A6072" s="402">
        <v>90639</v>
      </c>
      <c r="B6072" s="403" t="s">
        <v>2196</v>
      </c>
      <c r="C6072" s="402" t="s">
        <v>23</v>
      </c>
      <c r="D6072" s="601">
        <v>4.34</v>
      </c>
    </row>
    <row r="6073" spans="1:4" ht="27">
      <c r="A6073" s="402">
        <v>90640</v>
      </c>
      <c r="B6073" s="403" t="s">
        <v>2197</v>
      </c>
      <c r="C6073" s="402" t="s">
        <v>23</v>
      </c>
      <c r="D6073" s="601">
        <v>0.51</v>
      </c>
    </row>
    <row r="6074" spans="1:4" ht="27">
      <c r="A6074" s="402">
        <v>90641</v>
      </c>
      <c r="B6074" s="403" t="s">
        <v>2198</v>
      </c>
      <c r="C6074" s="402" t="s">
        <v>23</v>
      </c>
      <c r="D6074" s="601">
        <v>4.74</v>
      </c>
    </row>
    <row r="6075" spans="1:4" ht="27">
      <c r="A6075" s="402">
        <v>90642</v>
      </c>
      <c r="B6075" s="403" t="s">
        <v>2199</v>
      </c>
      <c r="C6075" s="402" t="s">
        <v>23</v>
      </c>
      <c r="D6075" s="601">
        <v>4.9800000000000004</v>
      </c>
    </row>
    <row r="6076" spans="1:4" ht="40.5">
      <c r="A6076" s="402">
        <v>90646</v>
      </c>
      <c r="B6076" s="403" t="s">
        <v>2202</v>
      </c>
      <c r="C6076" s="402" t="s">
        <v>23</v>
      </c>
      <c r="D6076" s="601">
        <v>0.55000000000000004</v>
      </c>
    </row>
    <row r="6077" spans="1:4" ht="40.5">
      <c r="A6077" s="402">
        <v>90647</v>
      </c>
      <c r="B6077" s="403" t="s">
        <v>2203</v>
      </c>
      <c r="C6077" s="402" t="s">
        <v>23</v>
      </c>
      <c r="D6077" s="601">
        <v>0.06</v>
      </c>
    </row>
    <row r="6078" spans="1:4" ht="40.5">
      <c r="A6078" s="402">
        <v>90648</v>
      </c>
      <c r="B6078" s="403" t="s">
        <v>2204</v>
      </c>
      <c r="C6078" s="402" t="s">
        <v>23</v>
      </c>
      <c r="D6078" s="601">
        <v>0.6</v>
      </c>
    </row>
    <row r="6079" spans="1:4" ht="40.5">
      <c r="A6079" s="402">
        <v>90649</v>
      </c>
      <c r="B6079" s="403" t="s">
        <v>2205</v>
      </c>
      <c r="C6079" s="402" t="s">
        <v>23</v>
      </c>
      <c r="D6079" s="601">
        <v>7.89</v>
      </c>
    </row>
    <row r="6080" spans="1:4" ht="27">
      <c r="A6080" s="402">
        <v>90652</v>
      </c>
      <c r="B6080" s="403" t="s">
        <v>2208</v>
      </c>
      <c r="C6080" s="402" t="s">
        <v>23</v>
      </c>
      <c r="D6080" s="601">
        <v>2.82</v>
      </c>
    </row>
    <row r="6081" spans="1:4" ht="27">
      <c r="A6081" s="402">
        <v>90653</v>
      </c>
      <c r="B6081" s="403" t="s">
        <v>2209</v>
      </c>
      <c r="C6081" s="402" t="s">
        <v>23</v>
      </c>
      <c r="D6081" s="601">
        <v>0.33</v>
      </c>
    </row>
    <row r="6082" spans="1:4" ht="27">
      <c r="A6082" s="402">
        <v>90654</v>
      </c>
      <c r="B6082" s="403" t="s">
        <v>2210</v>
      </c>
      <c r="C6082" s="402" t="s">
        <v>23</v>
      </c>
      <c r="D6082" s="601">
        <v>3.09</v>
      </c>
    </row>
    <row r="6083" spans="1:4" ht="27">
      <c r="A6083" s="402">
        <v>90655</v>
      </c>
      <c r="B6083" s="403" t="s">
        <v>2211</v>
      </c>
      <c r="C6083" s="402" t="s">
        <v>23</v>
      </c>
      <c r="D6083" s="601">
        <v>5.19</v>
      </c>
    </row>
    <row r="6084" spans="1:4" ht="27">
      <c r="A6084" s="402">
        <v>90658</v>
      </c>
      <c r="B6084" s="403" t="s">
        <v>2212</v>
      </c>
      <c r="C6084" s="402" t="s">
        <v>23</v>
      </c>
      <c r="D6084" s="601">
        <v>3.02</v>
      </c>
    </row>
    <row r="6085" spans="1:4" ht="27">
      <c r="A6085" s="402">
        <v>90659</v>
      </c>
      <c r="B6085" s="403" t="s">
        <v>2213</v>
      </c>
      <c r="C6085" s="402" t="s">
        <v>23</v>
      </c>
      <c r="D6085" s="601">
        <v>0.35</v>
      </c>
    </row>
    <row r="6086" spans="1:4" ht="27">
      <c r="A6086" s="402">
        <v>90660</v>
      </c>
      <c r="B6086" s="403" t="s">
        <v>2214</v>
      </c>
      <c r="C6086" s="402" t="s">
        <v>23</v>
      </c>
      <c r="D6086" s="601">
        <v>3.31</v>
      </c>
    </row>
    <row r="6087" spans="1:4" ht="27">
      <c r="A6087" s="402">
        <v>90661</v>
      </c>
      <c r="B6087" s="403" t="s">
        <v>2215</v>
      </c>
      <c r="C6087" s="402" t="s">
        <v>23</v>
      </c>
      <c r="D6087" s="601">
        <v>5.19</v>
      </c>
    </row>
    <row r="6088" spans="1:4" ht="40.5">
      <c r="A6088" s="402">
        <v>90664</v>
      </c>
      <c r="B6088" s="403" t="s">
        <v>2216</v>
      </c>
      <c r="C6088" s="402" t="s">
        <v>23</v>
      </c>
      <c r="D6088" s="601">
        <v>3.77</v>
      </c>
    </row>
    <row r="6089" spans="1:4" ht="40.5">
      <c r="A6089" s="402">
        <v>90665</v>
      </c>
      <c r="B6089" s="403" t="s">
        <v>2217</v>
      </c>
      <c r="C6089" s="402" t="s">
        <v>23</v>
      </c>
      <c r="D6089" s="601">
        <v>0.43</v>
      </c>
    </row>
    <row r="6090" spans="1:4" ht="40.5">
      <c r="A6090" s="402">
        <v>90666</v>
      </c>
      <c r="B6090" s="403" t="s">
        <v>2218</v>
      </c>
      <c r="C6090" s="402" t="s">
        <v>23</v>
      </c>
      <c r="D6090" s="601">
        <v>4.12</v>
      </c>
    </row>
    <row r="6091" spans="1:4" ht="40.5">
      <c r="A6091" s="402">
        <v>90667</v>
      </c>
      <c r="B6091" s="403" t="s">
        <v>2219</v>
      </c>
      <c r="C6091" s="402" t="s">
        <v>23</v>
      </c>
      <c r="D6091" s="601">
        <v>8.1</v>
      </c>
    </row>
    <row r="6092" spans="1:4" ht="54">
      <c r="A6092" s="402">
        <v>90670</v>
      </c>
      <c r="B6092" s="403" t="s">
        <v>2222</v>
      </c>
      <c r="C6092" s="402" t="s">
        <v>23</v>
      </c>
      <c r="D6092" s="601">
        <v>111.17</v>
      </c>
    </row>
    <row r="6093" spans="1:4" ht="40.5">
      <c r="A6093" s="402">
        <v>90671</v>
      </c>
      <c r="B6093" s="403" t="s">
        <v>2223</v>
      </c>
      <c r="C6093" s="402" t="s">
        <v>23</v>
      </c>
      <c r="D6093" s="601">
        <v>15.43</v>
      </c>
    </row>
    <row r="6094" spans="1:4" ht="54">
      <c r="A6094" s="402">
        <v>90672</v>
      </c>
      <c r="B6094" s="403" t="s">
        <v>2224</v>
      </c>
      <c r="C6094" s="402" t="s">
        <v>23</v>
      </c>
      <c r="D6094" s="601">
        <v>139.12</v>
      </c>
    </row>
    <row r="6095" spans="1:4" ht="54">
      <c r="A6095" s="402">
        <v>90673</v>
      </c>
      <c r="B6095" s="403" t="s">
        <v>2225</v>
      </c>
      <c r="C6095" s="402" t="s">
        <v>23</v>
      </c>
      <c r="D6095" s="601">
        <v>64.8</v>
      </c>
    </row>
    <row r="6096" spans="1:4" ht="40.5">
      <c r="A6096" s="402">
        <v>90676</v>
      </c>
      <c r="B6096" s="403" t="s">
        <v>2228</v>
      </c>
      <c r="C6096" s="402" t="s">
        <v>23</v>
      </c>
      <c r="D6096" s="601">
        <v>59.13</v>
      </c>
    </row>
    <row r="6097" spans="1:4" ht="40.5">
      <c r="A6097" s="402">
        <v>90677</v>
      </c>
      <c r="B6097" s="403" t="s">
        <v>2229</v>
      </c>
      <c r="C6097" s="402" t="s">
        <v>23</v>
      </c>
      <c r="D6097" s="601">
        <v>8.1999999999999993</v>
      </c>
    </row>
    <row r="6098" spans="1:4" ht="40.5">
      <c r="A6098" s="402">
        <v>90678</v>
      </c>
      <c r="B6098" s="403" t="s">
        <v>2230</v>
      </c>
      <c r="C6098" s="402" t="s">
        <v>23</v>
      </c>
      <c r="D6098" s="601">
        <v>74</v>
      </c>
    </row>
    <row r="6099" spans="1:4" ht="54">
      <c r="A6099" s="402">
        <v>90679</v>
      </c>
      <c r="B6099" s="403" t="s">
        <v>2231</v>
      </c>
      <c r="C6099" s="402" t="s">
        <v>23</v>
      </c>
      <c r="D6099" s="601">
        <v>49.66</v>
      </c>
    </row>
    <row r="6100" spans="1:4" ht="27">
      <c r="A6100" s="402">
        <v>90682</v>
      </c>
      <c r="B6100" s="403" t="s">
        <v>2234</v>
      </c>
      <c r="C6100" s="402" t="s">
        <v>23</v>
      </c>
      <c r="D6100" s="601">
        <v>21.46</v>
      </c>
    </row>
    <row r="6101" spans="1:4" ht="27">
      <c r="A6101" s="402">
        <v>90683</v>
      </c>
      <c r="B6101" s="403" t="s">
        <v>2235</v>
      </c>
      <c r="C6101" s="402" t="s">
        <v>23</v>
      </c>
      <c r="D6101" s="601">
        <v>2.54</v>
      </c>
    </row>
    <row r="6102" spans="1:4" ht="27">
      <c r="A6102" s="402">
        <v>90684</v>
      </c>
      <c r="B6102" s="403" t="s">
        <v>2236</v>
      </c>
      <c r="C6102" s="402" t="s">
        <v>23</v>
      </c>
      <c r="D6102" s="601">
        <v>23.47</v>
      </c>
    </row>
    <row r="6103" spans="1:4" ht="27">
      <c r="A6103" s="402">
        <v>90685</v>
      </c>
      <c r="B6103" s="403" t="s">
        <v>2237</v>
      </c>
      <c r="C6103" s="402" t="s">
        <v>23</v>
      </c>
      <c r="D6103" s="601">
        <v>30.81</v>
      </c>
    </row>
    <row r="6104" spans="1:4" ht="27">
      <c r="A6104" s="402">
        <v>90688</v>
      </c>
      <c r="B6104" s="403" t="s">
        <v>2240</v>
      </c>
      <c r="C6104" s="402" t="s">
        <v>23</v>
      </c>
      <c r="D6104" s="601">
        <v>13.66</v>
      </c>
    </row>
    <row r="6105" spans="1:4" ht="27">
      <c r="A6105" s="402">
        <v>90689</v>
      </c>
      <c r="B6105" s="403" t="s">
        <v>2241</v>
      </c>
      <c r="C6105" s="402" t="s">
        <v>23</v>
      </c>
      <c r="D6105" s="601">
        <v>1.38</v>
      </c>
    </row>
    <row r="6106" spans="1:4" ht="27">
      <c r="A6106" s="402">
        <v>90690</v>
      </c>
      <c r="B6106" s="403" t="s">
        <v>2242</v>
      </c>
      <c r="C6106" s="402" t="s">
        <v>23</v>
      </c>
      <c r="D6106" s="601">
        <v>17.079999999999998</v>
      </c>
    </row>
    <row r="6107" spans="1:4" ht="27">
      <c r="A6107" s="402">
        <v>90691</v>
      </c>
      <c r="B6107" s="403" t="s">
        <v>2243</v>
      </c>
      <c r="C6107" s="402" t="s">
        <v>23</v>
      </c>
      <c r="D6107" s="601">
        <v>28.38</v>
      </c>
    </row>
    <row r="6108" spans="1:4" ht="27">
      <c r="A6108" s="402">
        <v>90957</v>
      </c>
      <c r="B6108" s="403" t="s">
        <v>538</v>
      </c>
      <c r="C6108" s="402" t="s">
        <v>23</v>
      </c>
      <c r="D6108" s="601">
        <v>2.33</v>
      </c>
    </row>
    <row r="6109" spans="1:4" ht="27">
      <c r="A6109" s="402">
        <v>90958</v>
      </c>
      <c r="B6109" s="403" t="s">
        <v>539</v>
      </c>
      <c r="C6109" s="402" t="s">
        <v>23</v>
      </c>
      <c r="D6109" s="601">
        <v>0.32</v>
      </c>
    </row>
    <row r="6110" spans="1:4" ht="27">
      <c r="A6110" s="402">
        <v>90960</v>
      </c>
      <c r="B6110" s="403" t="s">
        <v>540</v>
      </c>
      <c r="C6110" s="402" t="s">
        <v>23</v>
      </c>
      <c r="D6110" s="601">
        <v>3.11</v>
      </c>
    </row>
    <row r="6111" spans="1:4" ht="27">
      <c r="A6111" s="402">
        <v>90961</v>
      </c>
      <c r="B6111" s="403" t="s">
        <v>541</v>
      </c>
      <c r="C6111" s="402" t="s">
        <v>23</v>
      </c>
      <c r="D6111" s="601">
        <v>0.43</v>
      </c>
    </row>
    <row r="6112" spans="1:4" ht="27">
      <c r="A6112" s="402">
        <v>90962</v>
      </c>
      <c r="B6112" s="403" t="s">
        <v>542</v>
      </c>
      <c r="C6112" s="402" t="s">
        <v>23</v>
      </c>
      <c r="D6112" s="601">
        <v>3.89</v>
      </c>
    </row>
    <row r="6113" spans="1:4" ht="27">
      <c r="A6113" s="402">
        <v>90963</v>
      </c>
      <c r="B6113" s="403" t="s">
        <v>2316</v>
      </c>
      <c r="C6113" s="402" t="s">
        <v>23</v>
      </c>
      <c r="D6113" s="601">
        <v>8.1</v>
      </c>
    </row>
    <row r="6114" spans="1:4" ht="27">
      <c r="A6114" s="402">
        <v>90968</v>
      </c>
      <c r="B6114" s="403" t="s">
        <v>2317</v>
      </c>
      <c r="C6114" s="402" t="s">
        <v>23</v>
      </c>
      <c r="D6114" s="601">
        <v>3.12</v>
      </c>
    </row>
    <row r="6115" spans="1:4" ht="27">
      <c r="A6115" s="402">
        <v>90969</v>
      </c>
      <c r="B6115" s="403" t="s">
        <v>2318</v>
      </c>
      <c r="C6115" s="402" t="s">
        <v>23</v>
      </c>
      <c r="D6115" s="601">
        <v>0.43</v>
      </c>
    </row>
    <row r="6116" spans="1:4" ht="27">
      <c r="A6116" s="402">
        <v>90970</v>
      </c>
      <c r="B6116" s="403" t="s">
        <v>2319</v>
      </c>
      <c r="C6116" s="402" t="s">
        <v>23</v>
      </c>
      <c r="D6116" s="601">
        <v>3.91</v>
      </c>
    </row>
    <row r="6117" spans="1:4" ht="27">
      <c r="A6117" s="402">
        <v>90971</v>
      </c>
      <c r="B6117" s="403" t="s">
        <v>2320</v>
      </c>
      <c r="C6117" s="402" t="s">
        <v>23</v>
      </c>
      <c r="D6117" s="601">
        <v>32.82</v>
      </c>
    </row>
    <row r="6118" spans="1:4" ht="27">
      <c r="A6118" s="402">
        <v>90975</v>
      </c>
      <c r="B6118" s="403" t="s">
        <v>545</v>
      </c>
      <c r="C6118" s="402" t="s">
        <v>23</v>
      </c>
      <c r="D6118" s="601">
        <v>7.93</v>
      </c>
    </row>
    <row r="6119" spans="1:4" ht="27">
      <c r="A6119" s="402">
        <v>90976</v>
      </c>
      <c r="B6119" s="403" t="s">
        <v>546</v>
      </c>
      <c r="C6119" s="402" t="s">
        <v>23</v>
      </c>
      <c r="D6119" s="601">
        <v>1.1000000000000001</v>
      </c>
    </row>
    <row r="6120" spans="1:4" ht="27">
      <c r="A6120" s="402">
        <v>90977</v>
      </c>
      <c r="B6120" s="403" t="s">
        <v>547</v>
      </c>
      <c r="C6120" s="402" t="s">
        <v>23</v>
      </c>
      <c r="D6120" s="601">
        <v>9.92</v>
      </c>
    </row>
    <row r="6121" spans="1:4" ht="27">
      <c r="A6121" s="402">
        <v>90978</v>
      </c>
      <c r="B6121" s="403" t="s">
        <v>2323</v>
      </c>
      <c r="C6121" s="402" t="s">
        <v>23</v>
      </c>
      <c r="D6121" s="601">
        <v>85.14</v>
      </c>
    </row>
    <row r="6122" spans="1:4" ht="27">
      <c r="A6122" s="402">
        <v>90992</v>
      </c>
      <c r="B6122" s="403" t="s">
        <v>2325</v>
      </c>
      <c r="C6122" s="402" t="s">
        <v>23</v>
      </c>
      <c r="D6122" s="601">
        <v>3.7</v>
      </c>
    </row>
    <row r="6123" spans="1:4" ht="27">
      <c r="A6123" s="402">
        <v>90993</v>
      </c>
      <c r="B6123" s="403" t="s">
        <v>2326</v>
      </c>
      <c r="C6123" s="402" t="s">
        <v>23</v>
      </c>
      <c r="D6123" s="601">
        <v>0.51</v>
      </c>
    </row>
    <row r="6124" spans="1:4" ht="27">
      <c r="A6124" s="402">
        <v>90994</v>
      </c>
      <c r="B6124" s="403" t="s">
        <v>2327</v>
      </c>
      <c r="C6124" s="402" t="s">
        <v>23</v>
      </c>
      <c r="D6124" s="601">
        <v>4.63</v>
      </c>
    </row>
    <row r="6125" spans="1:4" ht="27">
      <c r="A6125" s="402">
        <v>90995</v>
      </c>
      <c r="B6125" s="403" t="s">
        <v>2328</v>
      </c>
      <c r="C6125" s="402" t="s">
        <v>23</v>
      </c>
      <c r="D6125" s="601">
        <v>44.58</v>
      </c>
    </row>
    <row r="6126" spans="1:4" ht="40.5">
      <c r="A6126" s="402">
        <v>91021</v>
      </c>
      <c r="B6126" s="403" t="s">
        <v>2342</v>
      </c>
      <c r="C6126" s="402" t="s">
        <v>23</v>
      </c>
      <c r="D6126" s="601">
        <v>3.21</v>
      </c>
    </row>
    <row r="6127" spans="1:4" ht="40.5">
      <c r="A6127" s="402">
        <v>91026</v>
      </c>
      <c r="B6127" s="403" t="s">
        <v>550</v>
      </c>
      <c r="C6127" s="402" t="s">
        <v>23</v>
      </c>
      <c r="D6127" s="601">
        <v>11.39</v>
      </c>
    </row>
    <row r="6128" spans="1:4" ht="40.5">
      <c r="A6128" s="402">
        <v>91027</v>
      </c>
      <c r="B6128" s="403" t="s">
        <v>551</v>
      </c>
      <c r="C6128" s="402" t="s">
        <v>23</v>
      </c>
      <c r="D6128" s="601">
        <v>2.39</v>
      </c>
    </row>
    <row r="6129" spans="1:4" ht="40.5">
      <c r="A6129" s="402">
        <v>91028</v>
      </c>
      <c r="B6129" s="403" t="s">
        <v>552</v>
      </c>
      <c r="C6129" s="402" t="s">
        <v>23</v>
      </c>
      <c r="D6129" s="601">
        <v>0.92</v>
      </c>
    </row>
    <row r="6130" spans="1:4" ht="40.5">
      <c r="A6130" s="402">
        <v>91029</v>
      </c>
      <c r="B6130" s="403" t="s">
        <v>553</v>
      </c>
      <c r="C6130" s="402" t="s">
        <v>23</v>
      </c>
      <c r="D6130" s="601">
        <v>21.36</v>
      </c>
    </row>
    <row r="6131" spans="1:4" ht="40.5">
      <c r="A6131" s="402">
        <v>91030</v>
      </c>
      <c r="B6131" s="403" t="s">
        <v>554</v>
      </c>
      <c r="C6131" s="402" t="s">
        <v>23</v>
      </c>
      <c r="D6131" s="601">
        <v>77.11</v>
      </c>
    </row>
    <row r="6132" spans="1:4" ht="27">
      <c r="A6132" s="402">
        <v>91273</v>
      </c>
      <c r="B6132" s="403" t="s">
        <v>2394</v>
      </c>
      <c r="C6132" s="402" t="s">
        <v>23</v>
      </c>
      <c r="D6132" s="601">
        <v>0.39</v>
      </c>
    </row>
    <row r="6133" spans="1:4" ht="27">
      <c r="A6133" s="402">
        <v>91274</v>
      </c>
      <c r="B6133" s="403" t="s">
        <v>2395</v>
      </c>
      <c r="C6133" s="402" t="s">
        <v>23</v>
      </c>
      <c r="D6133" s="601">
        <v>0.05</v>
      </c>
    </row>
    <row r="6134" spans="1:4" ht="27">
      <c r="A6134" s="402">
        <v>91275</v>
      </c>
      <c r="B6134" s="403" t="s">
        <v>2396</v>
      </c>
      <c r="C6134" s="402" t="s">
        <v>23</v>
      </c>
      <c r="D6134" s="601">
        <v>0.49</v>
      </c>
    </row>
    <row r="6135" spans="1:4" ht="27">
      <c r="A6135" s="402">
        <v>91276</v>
      </c>
      <c r="B6135" s="403" t="s">
        <v>2397</v>
      </c>
      <c r="C6135" s="402" t="s">
        <v>23</v>
      </c>
      <c r="D6135" s="601">
        <v>5.33</v>
      </c>
    </row>
    <row r="6136" spans="1:4" ht="40.5">
      <c r="A6136" s="402">
        <v>91279</v>
      </c>
      <c r="B6136" s="403" t="s">
        <v>2400</v>
      </c>
      <c r="C6136" s="402" t="s">
        <v>23</v>
      </c>
      <c r="D6136" s="601">
        <v>0.77</v>
      </c>
    </row>
    <row r="6137" spans="1:4" ht="40.5">
      <c r="A6137" s="402">
        <v>91280</v>
      </c>
      <c r="B6137" s="403" t="s">
        <v>2401</v>
      </c>
      <c r="C6137" s="402" t="s">
        <v>23</v>
      </c>
      <c r="D6137" s="601">
        <v>0.08</v>
      </c>
    </row>
    <row r="6138" spans="1:4" ht="40.5">
      <c r="A6138" s="402">
        <v>91281</v>
      </c>
      <c r="B6138" s="403" t="s">
        <v>2402</v>
      </c>
      <c r="C6138" s="402" t="s">
        <v>23</v>
      </c>
      <c r="D6138" s="601">
        <v>0.96</v>
      </c>
    </row>
    <row r="6139" spans="1:4" ht="40.5">
      <c r="A6139" s="402">
        <v>91282</v>
      </c>
      <c r="B6139" s="403" t="s">
        <v>2403</v>
      </c>
      <c r="C6139" s="402" t="s">
        <v>23</v>
      </c>
      <c r="D6139" s="601">
        <v>12.76</v>
      </c>
    </row>
    <row r="6140" spans="1:4" ht="40.5">
      <c r="A6140" s="402">
        <v>91354</v>
      </c>
      <c r="B6140" s="403" t="s">
        <v>566</v>
      </c>
      <c r="C6140" s="402" t="s">
        <v>23</v>
      </c>
      <c r="D6140" s="601">
        <v>8.84</v>
      </c>
    </row>
    <row r="6141" spans="1:4" ht="40.5">
      <c r="A6141" s="402">
        <v>91355</v>
      </c>
      <c r="B6141" s="403" t="s">
        <v>567</v>
      </c>
      <c r="C6141" s="402" t="s">
        <v>23</v>
      </c>
      <c r="D6141" s="601">
        <v>1.85</v>
      </c>
    </row>
    <row r="6142" spans="1:4" ht="40.5">
      <c r="A6142" s="402">
        <v>91356</v>
      </c>
      <c r="B6142" s="403" t="s">
        <v>568</v>
      </c>
      <c r="C6142" s="402" t="s">
        <v>23</v>
      </c>
      <c r="D6142" s="601">
        <v>0.72</v>
      </c>
    </row>
    <row r="6143" spans="1:4" ht="40.5">
      <c r="A6143" s="402">
        <v>91359</v>
      </c>
      <c r="B6143" s="403" t="s">
        <v>2406</v>
      </c>
      <c r="C6143" s="402" t="s">
        <v>23</v>
      </c>
      <c r="D6143" s="601">
        <v>10.029999999999999</v>
      </c>
    </row>
    <row r="6144" spans="1:4" ht="40.5">
      <c r="A6144" s="402">
        <v>91360</v>
      </c>
      <c r="B6144" s="403" t="s">
        <v>2407</v>
      </c>
      <c r="C6144" s="402" t="s">
        <v>23</v>
      </c>
      <c r="D6144" s="601">
        <v>2.1</v>
      </c>
    </row>
    <row r="6145" spans="1:4" ht="40.5">
      <c r="A6145" s="402">
        <v>91361</v>
      </c>
      <c r="B6145" s="403" t="s">
        <v>2408</v>
      </c>
      <c r="C6145" s="402" t="s">
        <v>23</v>
      </c>
      <c r="D6145" s="601">
        <v>0.81</v>
      </c>
    </row>
    <row r="6146" spans="1:4" ht="40.5">
      <c r="A6146" s="402">
        <v>91367</v>
      </c>
      <c r="B6146" s="403" t="s">
        <v>2409</v>
      </c>
      <c r="C6146" s="402" t="s">
        <v>23</v>
      </c>
      <c r="D6146" s="601">
        <v>12.94</v>
      </c>
    </row>
    <row r="6147" spans="1:4" ht="40.5">
      <c r="A6147" s="402">
        <v>91368</v>
      </c>
      <c r="B6147" s="403" t="s">
        <v>2410</v>
      </c>
      <c r="C6147" s="402" t="s">
        <v>23</v>
      </c>
      <c r="D6147" s="601">
        <v>2.39</v>
      </c>
    </row>
    <row r="6148" spans="1:4" ht="40.5">
      <c r="A6148" s="402">
        <v>91369</v>
      </c>
      <c r="B6148" s="403" t="s">
        <v>2411</v>
      </c>
      <c r="C6148" s="402" t="s">
        <v>23</v>
      </c>
      <c r="D6148" s="601">
        <v>0.93</v>
      </c>
    </row>
    <row r="6149" spans="1:4" ht="40.5">
      <c r="A6149" s="402">
        <v>91375</v>
      </c>
      <c r="B6149" s="403" t="s">
        <v>2412</v>
      </c>
      <c r="C6149" s="402" t="s">
        <v>23</v>
      </c>
      <c r="D6149" s="601">
        <v>7.44</v>
      </c>
    </row>
    <row r="6150" spans="1:4" ht="40.5">
      <c r="A6150" s="402">
        <v>91376</v>
      </c>
      <c r="B6150" s="403" t="s">
        <v>2413</v>
      </c>
      <c r="C6150" s="402" t="s">
        <v>23</v>
      </c>
      <c r="D6150" s="601">
        <v>1.56</v>
      </c>
    </row>
    <row r="6151" spans="1:4" ht="40.5">
      <c r="A6151" s="402">
        <v>91377</v>
      </c>
      <c r="B6151" s="403" t="s">
        <v>2414</v>
      </c>
      <c r="C6151" s="402" t="s">
        <v>23</v>
      </c>
      <c r="D6151" s="601">
        <v>0.6</v>
      </c>
    </row>
    <row r="6152" spans="1:4" ht="40.5">
      <c r="A6152" s="402">
        <v>91380</v>
      </c>
      <c r="B6152" s="403" t="s">
        <v>2415</v>
      </c>
      <c r="C6152" s="402" t="s">
        <v>23</v>
      </c>
      <c r="D6152" s="601">
        <v>14.62</v>
      </c>
    </row>
    <row r="6153" spans="1:4" ht="40.5">
      <c r="A6153" s="402">
        <v>91381</v>
      </c>
      <c r="B6153" s="403" t="s">
        <v>2416</v>
      </c>
      <c r="C6153" s="402" t="s">
        <v>23</v>
      </c>
      <c r="D6153" s="601">
        <v>2.7</v>
      </c>
    </row>
    <row r="6154" spans="1:4" ht="40.5">
      <c r="A6154" s="402">
        <v>91382</v>
      </c>
      <c r="B6154" s="403" t="s">
        <v>2417</v>
      </c>
      <c r="C6154" s="402" t="s">
        <v>23</v>
      </c>
      <c r="D6154" s="601">
        <v>1.05</v>
      </c>
    </row>
    <row r="6155" spans="1:4" ht="40.5">
      <c r="A6155" s="402">
        <v>91383</v>
      </c>
      <c r="B6155" s="403" t="s">
        <v>2418</v>
      </c>
      <c r="C6155" s="402" t="s">
        <v>23</v>
      </c>
      <c r="D6155" s="601">
        <v>27.42</v>
      </c>
    </row>
    <row r="6156" spans="1:4" ht="40.5">
      <c r="A6156" s="402">
        <v>91384</v>
      </c>
      <c r="B6156" s="403" t="s">
        <v>2419</v>
      </c>
      <c r="C6156" s="402" t="s">
        <v>23</v>
      </c>
      <c r="D6156" s="601">
        <v>76.78</v>
      </c>
    </row>
    <row r="6157" spans="1:4" ht="54">
      <c r="A6157" s="402">
        <v>91390</v>
      </c>
      <c r="B6157" s="403" t="s">
        <v>2422</v>
      </c>
      <c r="C6157" s="402" t="s">
        <v>23</v>
      </c>
      <c r="D6157" s="601">
        <v>9.57</v>
      </c>
    </row>
    <row r="6158" spans="1:4" ht="54">
      <c r="A6158" s="402">
        <v>91391</v>
      </c>
      <c r="B6158" s="403" t="s">
        <v>2423</v>
      </c>
      <c r="C6158" s="402" t="s">
        <v>23</v>
      </c>
      <c r="D6158" s="601">
        <v>2</v>
      </c>
    </row>
    <row r="6159" spans="1:4" ht="54">
      <c r="A6159" s="402">
        <v>91392</v>
      </c>
      <c r="B6159" s="403" t="s">
        <v>2424</v>
      </c>
      <c r="C6159" s="402" t="s">
        <v>23</v>
      </c>
      <c r="D6159" s="601">
        <v>0.77</v>
      </c>
    </row>
    <row r="6160" spans="1:4" ht="40.5">
      <c r="A6160" s="402">
        <v>91396</v>
      </c>
      <c r="B6160" s="403" t="s">
        <v>2426</v>
      </c>
      <c r="C6160" s="402" t="s">
        <v>23</v>
      </c>
      <c r="D6160" s="601">
        <v>12.87</v>
      </c>
    </row>
    <row r="6161" spans="1:4" ht="40.5">
      <c r="A6161" s="402">
        <v>91397</v>
      </c>
      <c r="B6161" s="403" t="s">
        <v>2427</v>
      </c>
      <c r="C6161" s="402" t="s">
        <v>23</v>
      </c>
      <c r="D6161" s="601">
        <v>2.69</v>
      </c>
    </row>
    <row r="6162" spans="1:4" ht="40.5">
      <c r="A6162" s="402">
        <v>91398</v>
      </c>
      <c r="B6162" s="403" t="s">
        <v>2428</v>
      </c>
      <c r="C6162" s="402" t="s">
        <v>23</v>
      </c>
      <c r="D6162" s="601">
        <v>1.04</v>
      </c>
    </row>
    <row r="6163" spans="1:4" ht="40.5">
      <c r="A6163" s="402">
        <v>91402</v>
      </c>
      <c r="B6163" s="403" t="s">
        <v>2429</v>
      </c>
      <c r="C6163" s="402" t="s">
        <v>23</v>
      </c>
      <c r="D6163" s="601">
        <v>0.88</v>
      </c>
    </row>
    <row r="6164" spans="1:4" ht="40.5">
      <c r="A6164" s="402">
        <v>91466</v>
      </c>
      <c r="B6164" s="403" t="s">
        <v>2430</v>
      </c>
      <c r="C6164" s="402" t="s">
        <v>23</v>
      </c>
      <c r="D6164" s="601">
        <v>0.8</v>
      </c>
    </row>
    <row r="6165" spans="1:4" ht="40.5">
      <c r="A6165" s="402">
        <v>91467</v>
      </c>
      <c r="B6165" s="403" t="s">
        <v>2431</v>
      </c>
      <c r="C6165" s="402" t="s">
        <v>23</v>
      </c>
      <c r="D6165" s="601">
        <v>85.63</v>
      </c>
    </row>
    <row r="6166" spans="1:4" ht="40.5">
      <c r="A6166" s="402">
        <v>91468</v>
      </c>
      <c r="B6166" s="403" t="s">
        <v>2432</v>
      </c>
      <c r="C6166" s="402" t="s">
        <v>23</v>
      </c>
      <c r="D6166" s="601">
        <v>13.81</v>
      </c>
    </row>
    <row r="6167" spans="1:4" ht="40.5">
      <c r="A6167" s="402">
        <v>91469</v>
      </c>
      <c r="B6167" s="403" t="s">
        <v>569</v>
      </c>
      <c r="C6167" s="402" t="s">
        <v>23</v>
      </c>
      <c r="D6167" s="601">
        <v>2.98</v>
      </c>
    </row>
    <row r="6168" spans="1:4" ht="54">
      <c r="A6168" s="402">
        <v>91484</v>
      </c>
      <c r="B6168" s="403" t="s">
        <v>2433</v>
      </c>
      <c r="C6168" s="402" t="s">
        <v>23</v>
      </c>
      <c r="D6168" s="601">
        <v>0.95</v>
      </c>
    </row>
    <row r="6169" spans="1:4" ht="54">
      <c r="A6169" s="402">
        <v>91485</v>
      </c>
      <c r="B6169" s="403" t="s">
        <v>2434</v>
      </c>
      <c r="C6169" s="402" t="s">
        <v>23</v>
      </c>
      <c r="D6169" s="601">
        <v>116.21</v>
      </c>
    </row>
    <row r="6170" spans="1:4" ht="27">
      <c r="A6170" s="402">
        <v>91529</v>
      </c>
      <c r="B6170" s="403" t="s">
        <v>2443</v>
      </c>
      <c r="C6170" s="402" t="s">
        <v>23</v>
      </c>
      <c r="D6170" s="601">
        <v>0.57999999999999996</v>
      </c>
    </row>
    <row r="6171" spans="1:4" ht="27">
      <c r="A6171" s="402">
        <v>91530</v>
      </c>
      <c r="B6171" s="403" t="s">
        <v>2444</v>
      </c>
      <c r="C6171" s="402" t="s">
        <v>23</v>
      </c>
      <c r="D6171" s="601">
        <v>0.08</v>
      </c>
    </row>
    <row r="6172" spans="1:4" ht="27">
      <c r="A6172" s="402">
        <v>91531</v>
      </c>
      <c r="B6172" s="403" t="s">
        <v>2445</v>
      </c>
      <c r="C6172" s="402" t="s">
        <v>23</v>
      </c>
      <c r="D6172" s="601">
        <v>0.72</v>
      </c>
    </row>
    <row r="6173" spans="1:4" ht="27">
      <c r="A6173" s="402">
        <v>91532</v>
      </c>
      <c r="B6173" s="403" t="s">
        <v>2446</v>
      </c>
      <c r="C6173" s="402" t="s">
        <v>23</v>
      </c>
      <c r="D6173" s="601">
        <v>3.87</v>
      </c>
    </row>
    <row r="6174" spans="1:4" ht="40.5">
      <c r="A6174" s="402">
        <v>91629</v>
      </c>
      <c r="B6174" s="403" t="s">
        <v>2449</v>
      </c>
      <c r="C6174" s="402" t="s">
        <v>23</v>
      </c>
      <c r="D6174" s="601">
        <v>9.2200000000000006</v>
      </c>
    </row>
    <row r="6175" spans="1:4" ht="40.5">
      <c r="A6175" s="402">
        <v>91630</v>
      </c>
      <c r="B6175" s="403" t="s">
        <v>2450</v>
      </c>
      <c r="C6175" s="402" t="s">
        <v>23</v>
      </c>
      <c r="D6175" s="601">
        <v>1.93</v>
      </c>
    </row>
    <row r="6176" spans="1:4" ht="40.5">
      <c r="A6176" s="402">
        <v>91631</v>
      </c>
      <c r="B6176" s="403" t="s">
        <v>2451</v>
      </c>
      <c r="C6176" s="402" t="s">
        <v>23</v>
      </c>
      <c r="D6176" s="601">
        <v>0.74</v>
      </c>
    </row>
    <row r="6177" spans="1:4" ht="40.5">
      <c r="A6177" s="402">
        <v>91632</v>
      </c>
      <c r="B6177" s="403" t="s">
        <v>2452</v>
      </c>
      <c r="C6177" s="402" t="s">
        <v>23</v>
      </c>
      <c r="D6177" s="601">
        <v>17.309999999999999</v>
      </c>
    </row>
    <row r="6178" spans="1:4" ht="40.5">
      <c r="A6178" s="402">
        <v>91633</v>
      </c>
      <c r="B6178" s="403" t="s">
        <v>2453</v>
      </c>
      <c r="C6178" s="402" t="s">
        <v>23</v>
      </c>
      <c r="D6178" s="601">
        <v>72.47</v>
      </c>
    </row>
    <row r="6179" spans="1:4" ht="40.5">
      <c r="A6179" s="402">
        <v>91640</v>
      </c>
      <c r="B6179" s="403" t="s">
        <v>2456</v>
      </c>
      <c r="C6179" s="402" t="s">
        <v>23</v>
      </c>
      <c r="D6179" s="601">
        <v>20.11</v>
      </c>
    </row>
    <row r="6180" spans="1:4" ht="40.5">
      <c r="A6180" s="402">
        <v>91641</v>
      </c>
      <c r="B6180" s="403" t="s">
        <v>2457</v>
      </c>
      <c r="C6180" s="402" t="s">
        <v>23</v>
      </c>
      <c r="D6180" s="601">
        <v>4.21</v>
      </c>
    </row>
    <row r="6181" spans="1:4" ht="40.5">
      <c r="A6181" s="402">
        <v>91642</v>
      </c>
      <c r="B6181" s="403" t="s">
        <v>2458</v>
      </c>
      <c r="C6181" s="402" t="s">
        <v>23</v>
      </c>
      <c r="D6181" s="601">
        <v>1.63</v>
      </c>
    </row>
    <row r="6182" spans="1:4" ht="40.5">
      <c r="A6182" s="402">
        <v>91643</v>
      </c>
      <c r="B6182" s="403" t="s">
        <v>2459</v>
      </c>
      <c r="C6182" s="402" t="s">
        <v>23</v>
      </c>
      <c r="D6182" s="601">
        <v>37.71</v>
      </c>
    </row>
    <row r="6183" spans="1:4" ht="54">
      <c r="A6183" s="402">
        <v>91644</v>
      </c>
      <c r="B6183" s="403" t="s">
        <v>2460</v>
      </c>
      <c r="C6183" s="402" t="s">
        <v>23</v>
      </c>
      <c r="D6183" s="601">
        <v>163.1</v>
      </c>
    </row>
    <row r="6184" spans="1:4" ht="27">
      <c r="A6184" s="402">
        <v>91688</v>
      </c>
      <c r="B6184" s="403" t="s">
        <v>2463</v>
      </c>
      <c r="C6184" s="402" t="s">
        <v>23</v>
      </c>
      <c r="D6184" s="601">
        <v>0.08</v>
      </c>
    </row>
    <row r="6185" spans="1:4" ht="27">
      <c r="A6185" s="402">
        <v>91689</v>
      </c>
      <c r="B6185" s="403" t="s">
        <v>2464</v>
      </c>
      <c r="C6185" s="402" t="s">
        <v>23</v>
      </c>
      <c r="D6185" s="601">
        <v>0.01</v>
      </c>
    </row>
    <row r="6186" spans="1:4" ht="27">
      <c r="A6186" s="402">
        <v>91690</v>
      </c>
      <c r="B6186" s="403" t="s">
        <v>2465</v>
      </c>
      <c r="C6186" s="402" t="s">
        <v>23</v>
      </c>
      <c r="D6186" s="601">
        <v>0.06</v>
      </c>
    </row>
    <row r="6187" spans="1:4" ht="27">
      <c r="A6187" s="402">
        <v>91691</v>
      </c>
      <c r="B6187" s="403" t="s">
        <v>2466</v>
      </c>
      <c r="C6187" s="402" t="s">
        <v>23</v>
      </c>
      <c r="D6187" s="601">
        <v>2.56</v>
      </c>
    </row>
    <row r="6188" spans="1:4" ht="27">
      <c r="A6188" s="402">
        <v>92040</v>
      </c>
      <c r="B6188" s="403" t="s">
        <v>2603</v>
      </c>
      <c r="C6188" s="402" t="s">
        <v>23</v>
      </c>
      <c r="D6188" s="601">
        <v>4.13</v>
      </c>
    </row>
    <row r="6189" spans="1:4" ht="27">
      <c r="A6189" s="402">
        <v>92041</v>
      </c>
      <c r="B6189" s="403" t="s">
        <v>2604</v>
      </c>
      <c r="C6189" s="402" t="s">
        <v>23</v>
      </c>
      <c r="D6189" s="601">
        <v>0.43</v>
      </c>
    </row>
    <row r="6190" spans="1:4" ht="27">
      <c r="A6190" s="402">
        <v>92042</v>
      </c>
      <c r="B6190" s="403" t="s">
        <v>2605</v>
      </c>
      <c r="C6190" s="402" t="s">
        <v>23</v>
      </c>
      <c r="D6190" s="601">
        <v>3.44</v>
      </c>
    </row>
    <row r="6191" spans="1:4" ht="54">
      <c r="A6191" s="402">
        <v>92101</v>
      </c>
      <c r="B6191" s="403" t="s">
        <v>2608</v>
      </c>
      <c r="C6191" s="402" t="s">
        <v>23</v>
      </c>
      <c r="D6191" s="601">
        <v>14.36</v>
      </c>
    </row>
    <row r="6192" spans="1:4" ht="54">
      <c r="A6192" s="402">
        <v>92102</v>
      </c>
      <c r="B6192" s="403" t="s">
        <v>2609</v>
      </c>
      <c r="C6192" s="402" t="s">
        <v>23</v>
      </c>
      <c r="D6192" s="601">
        <v>3</v>
      </c>
    </row>
    <row r="6193" spans="1:4" ht="54">
      <c r="A6193" s="402">
        <v>92103</v>
      </c>
      <c r="B6193" s="403" t="s">
        <v>2610</v>
      </c>
      <c r="C6193" s="402" t="s">
        <v>23</v>
      </c>
      <c r="D6193" s="601">
        <v>1.1599999999999999</v>
      </c>
    </row>
    <row r="6194" spans="1:4" ht="54">
      <c r="A6194" s="402">
        <v>92104</v>
      </c>
      <c r="B6194" s="403" t="s">
        <v>2611</v>
      </c>
      <c r="C6194" s="402" t="s">
        <v>23</v>
      </c>
      <c r="D6194" s="601">
        <v>26.93</v>
      </c>
    </row>
    <row r="6195" spans="1:4" ht="54">
      <c r="A6195" s="402">
        <v>92105</v>
      </c>
      <c r="B6195" s="403" t="s">
        <v>5343</v>
      </c>
      <c r="C6195" s="402" t="s">
        <v>23</v>
      </c>
      <c r="D6195" s="601">
        <v>104.19</v>
      </c>
    </row>
    <row r="6196" spans="1:4" ht="27">
      <c r="A6196" s="402">
        <v>92108</v>
      </c>
      <c r="B6196" s="403" t="s">
        <v>605</v>
      </c>
      <c r="C6196" s="402" t="s">
        <v>23</v>
      </c>
      <c r="D6196" s="601">
        <v>0.68</v>
      </c>
    </row>
    <row r="6197" spans="1:4" ht="27">
      <c r="A6197" s="402">
        <v>92109</v>
      </c>
      <c r="B6197" s="403" t="s">
        <v>606</v>
      </c>
      <c r="C6197" s="402" t="s">
        <v>23</v>
      </c>
      <c r="D6197" s="601">
        <v>0.08</v>
      </c>
    </row>
    <row r="6198" spans="1:4" ht="27">
      <c r="A6198" s="402">
        <v>92110</v>
      </c>
      <c r="B6198" s="403" t="s">
        <v>607</v>
      </c>
      <c r="C6198" s="402" t="s">
        <v>23</v>
      </c>
      <c r="D6198" s="601">
        <v>0.53</v>
      </c>
    </row>
    <row r="6199" spans="1:4" ht="27">
      <c r="A6199" s="402">
        <v>92111</v>
      </c>
      <c r="B6199" s="403" t="s">
        <v>608</v>
      </c>
      <c r="C6199" s="402" t="s">
        <v>23</v>
      </c>
      <c r="D6199" s="601">
        <v>1.01</v>
      </c>
    </row>
    <row r="6200" spans="1:4" ht="13.5">
      <c r="A6200" s="402">
        <v>92114</v>
      </c>
      <c r="B6200" s="403" t="s">
        <v>611</v>
      </c>
      <c r="C6200" s="402" t="s">
        <v>23</v>
      </c>
      <c r="D6200" s="601">
        <v>7.0000000000000007E-2</v>
      </c>
    </row>
    <row r="6201" spans="1:4" ht="13.5">
      <c r="A6201" s="402">
        <v>92115</v>
      </c>
      <c r="B6201" s="403" t="s">
        <v>612</v>
      </c>
      <c r="C6201" s="402" t="s">
        <v>23</v>
      </c>
      <c r="D6201" s="601">
        <v>0</v>
      </c>
    </row>
    <row r="6202" spans="1:4" ht="13.5">
      <c r="A6202" s="402">
        <v>92116</v>
      </c>
      <c r="B6202" s="403" t="s">
        <v>613</v>
      </c>
      <c r="C6202" s="402" t="s">
        <v>23</v>
      </c>
      <c r="D6202" s="601">
        <v>0.09</v>
      </c>
    </row>
    <row r="6203" spans="1:4" ht="27">
      <c r="A6203" s="402">
        <v>92133</v>
      </c>
      <c r="B6203" s="403" t="s">
        <v>2614</v>
      </c>
      <c r="C6203" s="402" t="s">
        <v>23</v>
      </c>
      <c r="D6203" s="601">
        <v>7.69</v>
      </c>
    </row>
    <row r="6204" spans="1:4" ht="27">
      <c r="A6204" s="402">
        <v>92134</v>
      </c>
      <c r="B6204" s="403" t="s">
        <v>2615</v>
      </c>
      <c r="C6204" s="402" t="s">
        <v>23</v>
      </c>
      <c r="D6204" s="601">
        <v>1.21</v>
      </c>
    </row>
    <row r="6205" spans="1:4" ht="27">
      <c r="A6205" s="402">
        <v>92135</v>
      </c>
      <c r="B6205" s="403" t="s">
        <v>2616</v>
      </c>
      <c r="C6205" s="402" t="s">
        <v>23</v>
      </c>
      <c r="D6205" s="601">
        <v>0.48</v>
      </c>
    </row>
    <row r="6206" spans="1:4" ht="27">
      <c r="A6206" s="402">
        <v>92136</v>
      </c>
      <c r="B6206" s="403" t="s">
        <v>2617</v>
      </c>
      <c r="C6206" s="402" t="s">
        <v>23</v>
      </c>
      <c r="D6206" s="601">
        <v>9.61</v>
      </c>
    </row>
    <row r="6207" spans="1:4" ht="27">
      <c r="A6207" s="402">
        <v>92137</v>
      </c>
      <c r="B6207" s="403" t="s">
        <v>2618</v>
      </c>
      <c r="C6207" s="402" t="s">
        <v>23</v>
      </c>
      <c r="D6207" s="601">
        <v>21.44</v>
      </c>
    </row>
    <row r="6208" spans="1:4" ht="27">
      <c r="A6208" s="402">
        <v>92140</v>
      </c>
      <c r="B6208" s="403" t="s">
        <v>619</v>
      </c>
      <c r="C6208" s="402" t="s">
        <v>23</v>
      </c>
      <c r="D6208" s="601">
        <v>2.34</v>
      </c>
    </row>
    <row r="6209" spans="1:4" ht="27">
      <c r="A6209" s="402">
        <v>92141</v>
      </c>
      <c r="B6209" s="403" t="s">
        <v>620</v>
      </c>
      <c r="C6209" s="402" t="s">
        <v>23</v>
      </c>
      <c r="D6209" s="601">
        <v>0.37</v>
      </c>
    </row>
    <row r="6210" spans="1:4" ht="27">
      <c r="A6210" s="402">
        <v>92142</v>
      </c>
      <c r="B6210" s="403" t="s">
        <v>621</v>
      </c>
      <c r="C6210" s="402" t="s">
        <v>23</v>
      </c>
      <c r="D6210" s="601">
        <v>0.14000000000000001</v>
      </c>
    </row>
    <row r="6211" spans="1:4" ht="27">
      <c r="A6211" s="402">
        <v>92143</v>
      </c>
      <c r="B6211" s="403" t="s">
        <v>622</v>
      </c>
      <c r="C6211" s="402" t="s">
        <v>23</v>
      </c>
      <c r="D6211" s="601">
        <v>2.93</v>
      </c>
    </row>
    <row r="6212" spans="1:4" ht="27">
      <c r="A6212" s="402">
        <v>92144</v>
      </c>
      <c r="B6212" s="403" t="s">
        <v>623</v>
      </c>
      <c r="C6212" s="402" t="s">
        <v>23</v>
      </c>
      <c r="D6212" s="601">
        <v>25.15</v>
      </c>
    </row>
    <row r="6213" spans="1:4" ht="40.5">
      <c r="A6213" s="402">
        <v>92237</v>
      </c>
      <c r="B6213" s="403" t="s">
        <v>2635</v>
      </c>
      <c r="C6213" s="402" t="s">
        <v>23</v>
      </c>
      <c r="D6213" s="601">
        <v>14.74</v>
      </c>
    </row>
    <row r="6214" spans="1:4" ht="40.5">
      <c r="A6214" s="402">
        <v>92238</v>
      </c>
      <c r="B6214" s="403" t="s">
        <v>2636</v>
      </c>
      <c r="C6214" s="402" t="s">
        <v>23</v>
      </c>
      <c r="D6214" s="601">
        <v>3.09</v>
      </c>
    </row>
    <row r="6215" spans="1:4" ht="40.5">
      <c r="A6215" s="402">
        <v>92239</v>
      </c>
      <c r="B6215" s="403" t="s">
        <v>2637</v>
      </c>
      <c r="C6215" s="402" t="s">
        <v>23</v>
      </c>
      <c r="D6215" s="601">
        <v>1.19</v>
      </c>
    </row>
    <row r="6216" spans="1:4" ht="40.5">
      <c r="A6216" s="402">
        <v>92240</v>
      </c>
      <c r="B6216" s="403" t="s">
        <v>2638</v>
      </c>
      <c r="C6216" s="402" t="s">
        <v>23</v>
      </c>
      <c r="D6216" s="601">
        <v>27.63</v>
      </c>
    </row>
    <row r="6217" spans="1:4" ht="40.5">
      <c r="A6217" s="402">
        <v>92241</v>
      </c>
      <c r="B6217" s="403" t="s">
        <v>2639</v>
      </c>
      <c r="C6217" s="402" t="s">
        <v>23</v>
      </c>
      <c r="D6217" s="601">
        <v>149.52000000000001</v>
      </c>
    </row>
    <row r="6218" spans="1:4" ht="27">
      <c r="A6218" s="402">
        <v>92712</v>
      </c>
      <c r="B6218" s="403" t="s">
        <v>2913</v>
      </c>
      <c r="C6218" s="402" t="s">
        <v>23</v>
      </c>
      <c r="D6218" s="601">
        <v>0.27</v>
      </c>
    </row>
    <row r="6219" spans="1:4" ht="27">
      <c r="A6219" s="402">
        <v>92713</v>
      </c>
      <c r="B6219" s="403" t="s">
        <v>2914</v>
      </c>
      <c r="C6219" s="402" t="s">
        <v>23</v>
      </c>
      <c r="D6219" s="601">
        <v>0.03</v>
      </c>
    </row>
    <row r="6220" spans="1:4" ht="27">
      <c r="A6220" s="402">
        <v>92714</v>
      </c>
      <c r="B6220" s="403" t="s">
        <v>2915</v>
      </c>
      <c r="C6220" s="402" t="s">
        <v>23</v>
      </c>
      <c r="D6220" s="601">
        <v>0.34</v>
      </c>
    </row>
    <row r="6221" spans="1:4" ht="27">
      <c r="A6221" s="402">
        <v>92715</v>
      </c>
      <c r="B6221" s="403" t="s">
        <v>2916</v>
      </c>
      <c r="C6221" s="402" t="s">
        <v>23</v>
      </c>
      <c r="D6221" s="601">
        <v>26.1</v>
      </c>
    </row>
    <row r="6222" spans="1:4" ht="27">
      <c r="A6222" s="402">
        <v>92956</v>
      </c>
      <c r="B6222" s="403" t="s">
        <v>3093</v>
      </c>
      <c r="C6222" s="402" t="s">
        <v>23</v>
      </c>
      <c r="D6222" s="601">
        <v>3.75</v>
      </c>
    </row>
    <row r="6223" spans="1:4" ht="27">
      <c r="A6223" s="402">
        <v>92957</v>
      </c>
      <c r="B6223" s="403" t="s">
        <v>3094</v>
      </c>
      <c r="C6223" s="402" t="s">
        <v>23</v>
      </c>
      <c r="D6223" s="601">
        <v>0.44</v>
      </c>
    </row>
    <row r="6224" spans="1:4" ht="27">
      <c r="A6224" s="402">
        <v>92958</v>
      </c>
      <c r="B6224" s="403" t="s">
        <v>3095</v>
      </c>
      <c r="C6224" s="402" t="s">
        <v>23</v>
      </c>
      <c r="D6224" s="601">
        <v>4.1100000000000003</v>
      </c>
    </row>
    <row r="6225" spans="1:4" ht="27">
      <c r="A6225" s="402">
        <v>92959</v>
      </c>
      <c r="B6225" s="403" t="s">
        <v>3096</v>
      </c>
      <c r="C6225" s="402" t="s">
        <v>23</v>
      </c>
      <c r="D6225" s="601">
        <v>5.0199999999999996</v>
      </c>
    </row>
    <row r="6226" spans="1:4" ht="27">
      <c r="A6226" s="402">
        <v>92963</v>
      </c>
      <c r="B6226" s="403" t="s">
        <v>3099</v>
      </c>
      <c r="C6226" s="402" t="s">
        <v>23</v>
      </c>
      <c r="D6226" s="601">
        <v>1.59</v>
      </c>
    </row>
    <row r="6227" spans="1:4" ht="27">
      <c r="A6227" s="402">
        <v>92964</v>
      </c>
      <c r="B6227" s="403" t="s">
        <v>663</v>
      </c>
      <c r="C6227" s="402" t="s">
        <v>23</v>
      </c>
      <c r="D6227" s="601">
        <v>0.18</v>
      </c>
    </row>
    <row r="6228" spans="1:4" ht="27">
      <c r="A6228" s="402">
        <v>92965</v>
      </c>
      <c r="B6228" s="403" t="s">
        <v>3100</v>
      </c>
      <c r="C6228" s="402" t="s">
        <v>23</v>
      </c>
      <c r="D6228" s="601">
        <v>1.98</v>
      </c>
    </row>
    <row r="6229" spans="1:4" ht="54">
      <c r="A6229" s="402">
        <v>93220</v>
      </c>
      <c r="B6229" s="403" t="s">
        <v>3177</v>
      </c>
      <c r="C6229" s="402" t="s">
        <v>23</v>
      </c>
      <c r="D6229" s="601">
        <v>172.87</v>
      </c>
    </row>
    <row r="6230" spans="1:4" ht="40.5">
      <c r="A6230" s="402">
        <v>93221</v>
      </c>
      <c r="B6230" s="403" t="s">
        <v>3178</v>
      </c>
      <c r="C6230" s="402" t="s">
        <v>23</v>
      </c>
      <c r="D6230" s="601">
        <v>24</v>
      </c>
    </row>
    <row r="6231" spans="1:4" ht="54">
      <c r="A6231" s="402">
        <v>93222</v>
      </c>
      <c r="B6231" s="403" t="s">
        <v>3179</v>
      </c>
      <c r="C6231" s="402" t="s">
        <v>23</v>
      </c>
      <c r="D6231" s="601">
        <v>216.33</v>
      </c>
    </row>
    <row r="6232" spans="1:4" ht="54">
      <c r="A6232" s="402">
        <v>93223</v>
      </c>
      <c r="B6232" s="403" t="s">
        <v>3180</v>
      </c>
      <c r="C6232" s="402" t="s">
        <v>23</v>
      </c>
      <c r="D6232" s="601">
        <v>84.62</v>
      </c>
    </row>
    <row r="6233" spans="1:4" ht="27">
      <c r="A6233" s="402">
        <v>93229</v>
      </c>
      <c r="B6233" s="403" t="s">
        <v>675</v>
      </c>
      <c r="C6233" s="402" t="s">
        <v>23</v>
      </c>
      <c r="D6233" s="601">
        <v>0.28000000000000003</v>
      </c>
    </row>
    <row r="6234" spans="1:4" ht="27">
      <c r="A6234" s="402">
        <v>93230</v>
      </c>
      <c r="B6234" s="403" t="s">
        <v>676</v>
      </c>
      <c r="C6234" s="402" t="s">
        <v>23</v>
      </c>
      <c r="D6234" s="601">
        <v>0.03</v>
      </c>
    </row>
    <row r="6235" spans="1:4" ht="27">
      <c r="A6235" s="402">
        <v>93231</v>
      </c>
      <c r="B6235" s="403" t="s">
        <v>677</v>
      </c>
      <c r="C6235" s="402" t="s">
        <v>23</v>
      </c>
      <c r="D6235" s="601">
        <v>0.27</v>
      </c>
    </row>
    <row r="6236" spans="1:4" ht="27">
      <c r="A6236" s="402">
        <v>93232</v>
      </c>
      <c r="B6236" s="403" t="s">
        <v>3183</v>
      </c>
      <c r="C6236" s="402" t="s">
        <v>23</v>
      </c>
      <c r="D6236" s="601">
        <v>5.41</v>
      </c>
    </row>
    <row r="6237" spans="1:4" ht="27">
      <c r="A6237" s="402">
        <v>93235</v>
      </c>
      <c r="B6237" s="403" t="s">
        <v>3184</v>
      </c>
      <c r="C6237" s="402" t="s">
        <v>23</v>
      </c>
      <c r="D6237" s="601">
        <v>0.79</v>
      </c>
    </row>
    <row r="6238" spans="1:4" ht="40.5">
      <c r="A6238" s="402">
        <v>93238</v>
      </c>
      <c r="B6238" s="403" t="s">
        <v>3185</v>
      </c>
      <c r="C6238" s="402" t="s">
        <v>23</v>
      </c>
      <c r="D6238" s="601">
        <v>0.66</v>
      </c>
    </row>
    <row r="6239" spans="1:4" ht="40.5">
      <c r="A6239" s="402">
        <v>93239</v>
      </c>
      <c r="B6239" s="403" t="s">
        <v>3186</v>
      </c>
      <c r="C6239" s="402" t="s">
        <v>23</v>
      </c>
      <c r="D6239" s="601">
        <v>3</v>
      </c>
    </row>
    <row r="6240" spans="1:4" ht="40.5">
      <c r="A6240" s="402">
        <v>93240</v>
      </c>
      <c r="B6240" s="403" t="s">
        <v>3187</v>
      </c>
      <c r="C6240" s="402" t="s">
        <v>23</v>
      </c>
      <c r="D6240" s="601">
        <v>6.48</v>
      </c>
    </row>
    <row r="6241" spans="1:4" ht="27">
      <c r="A6241" s="402">
        <v>93267</v>
      </c>
      <c r="B6241" s="403" t="s">
        <v>3188</v>
      </c>
      <c r="C6241" s="402" t="s">
        <v>23</v>
      </c>
      <c r="D6241" s="601">
        <v>24.17</v>
      </c>
    </row>
    <row r="6242" spans="1:4" ht="27">
      <c r="A6242" s="402">
        <v>93269</v>
      </c>
      <c r="B6242" s="403" t="s">
        <v>3189</v>
      </c>
      <c r="C6242" s="402" t="s">
        <v>23</v>
      </c>
      <c r="D6242" s="601">
        <v>2.87</v>
      </c>
    </row>
    <row r="6243" spans="1:4" ht="27">
      <c r="A6243" s="402">
        <v>93270</v>
      </c>
      <c r="B6243" s="403" t="s">
        <v>3190</v>
      </c>
      <c r="C6243" s="402" t="s">
        <v>23</v>
      </c>
      <c r="D6243" s="601">
        <v>26.44</v>
      </c>
    </row>
    <row r="6244" spans="1:4" ht="27">
      <c r="A6244" s="402">
        <v>93271</v>
      </c>
      <c r="B6244" s="403" t="s">
        <v>3191</v>
      </c>
      <c r="C6244" s="402" t="s">
        <v>23</v>
      </c>
      <c r="D6244" s="601">
        <v>7.57</v>
      </c>
    </row>
    <row r="6245" spans="1:4" ht="27">
      <c r="A6245" s="402">
        <v>93277</v>
      </c>
      <c r="B6245" s="403" t="s">
        <v>3194</v>
      </c>
      <c r="C6245" s="402" t="s">
        <v>23</v>
      </c>
      <c r="D6245" s="601">
        <v>0.27</v>
      </c>
    </row>
    <row r="6246" spans="1:4" ht="27">
      <c r="A6246" s="402">
        <v>93278</v>
      </c>
      <c r="B6246" s="403" t="s">
        <v>3195</v>
      </c>
      <c r="C6246" s="402" t="s">
        <v>23</v>
      </c>
      <c r="D6246" s="601">
        <v>0.03</v>
      </c>
    </row>
    <row r="6247" spans="1:4" ht="27">
      <c r="A6247" s="402">
        <v>93279</v>
      </c>
      <c r="B6247" s="403" t="s">
        <v>3196</v>
      </c>
      <c r="C6247" s="402" t="s">
        <v>23</v>
      </c>
      <c r="D6247" s="601">
        <v>0.26</v>
      </c>
    </row>
    <row r="6248" spans="1:4" ht="27">
      <c r="A6248" s="402">
        <v>93280</v>
      </c>
      <c r="B6248" s="403" t="s">
        <v>3197</v>
      </c>
      <c r="C6248" s="402" t="s">
        <v>23</v>
      </c>
      <c r="D6248" s="601">
        <v>0.63</v>
      </c>
    </row>
    <row r="6249" spans="1:4" ht="27">
      <c r="A6249" s="402">
        <v>93283</v>
      </c>
      <c r="B6249" s="403" t="s">
        <v>3200</v>
      </c>
      <c r="C6249" s="402" t="s">
        <v>23</v>
      </c>
      <c r="D6249" s="601">
        <v>50.81</v>
      </c>
    </row>
    <row r="6250" spans="1:4" ht="27">
      <c r="A6250" s="402">
        <v>93284</v>
      </c>
      <c r="B6250" s="403" t="s">
        <v>3201</v>
      </c>
      <c r="C6250" s="402" t="s">
        <v>23</v>
      </c>
      <c r="D6250" s="601">
        <v>9.65</v>
      </c>
    </row>
    <row r="6251" spans="1:4" ht="27">
      <c r="A6251" s="402">
        <v>93285</v>
      </c>
      <c r="B6251" s="403" t="s">
        <v>3202</v>
      </c>
      <c r="C6251" s="402" t="s">
        <v>23</v>
      </c>
      <c r="D6251" s="601">
        <v>81.69</v>
      </c>
    </row>
    <row r="6252" spans="1:4" ht="27">
      <c r="A6252" s="402">
        <v>93286</v>
      </c>
      <c r="B6252" s="403" t="s">
        <v>3203</v>
      </c>
      <c r="C6252" s="402" t="s">
        <v>23</v>
      </c>
      <c r="D6252" s="601">
        <v>179.01</v>
      </c>
    </row>
    <row r="6253" spans="1:4" ht="27">
      <c r="A6253" s="402">
        <v>93296</v>
      </c>
      <c r="B6253" s="403" t="s">
        <v>3206</v>
      </c>
      <c r="C6253" s="402" t="s">
        <v>23</v>
      </c>
      <c r="D6253" s="601">
        <v>3.55</v>
      </c>
    </row>
    <row r="6254" spans="1:4" ht="40.5">
      <c r="A6254" s="402">
        <v>93397</v>
      </c>
      <c r="B6254" s="403" t="s">
        <v>3225</v>
      </c>
      <c r="C6254" s="402" t="s">
        <v>23</v>
      </c>
      <c r="D6254" s="601">
        <v>9.2200000000000006</v>
      </c>
    </row>
    <row r="6255" spans="1:4" ht="40.5">
      <c r="A6255" s="402">
        <v>93398</v>
      </c>
      <c r="B6255" s="403" t="s">
        <v>3226</v>
      </c>
      <c r="C6255" s="402" t="s">
        <v>23</v>
      </c>
      <c r="D6255" s="601">
        <v>1.93</v>
      </c>
    </row>
    <row r="6256" spans="1:4" ht="40.5">
      <c r="A6256" s="402">
        <v>93399</v>
      </c>
      <c r="B6256" s="403" t="s">
        <v>3227</v>
      </c>
      <c r="C6256" s="402" t="s">
        <v>23</v>
      </c>
      <c r="D6256" s="601">
        <v>0.74</v>
      </c>
    </row>
    <row r="6257" spans="1:4" ht="40.5">
      <c r="A6257" s="402">
        <v>93400</v>
      </c>
      <c r="B6257" s="403" t="s">
        <v>3228</v>
      </c>
      <c r="C6257" s="402" t="s">
        <v>23</v>
      </c>
      <c r="D6257" s="601">
        <v>17.309999999999999</v>
      </c>
    </row>
    <row r="6258" spans="1:4" ht="40.5">
      <c r="A6258" s="402">
        <v>93401</v>
      </c>
      <c r="B6258" s="403" t="s">
        <v>3229</v>
      </c>
      <c r="C6258" s="402" t="s">
        <v>23</v>
      </c>
      <c r="D6258" s="601">
        <v>85.63</v>
      </c>
    </row>
    <row r="6259" spans="1:4" ht="54">
      <c r="A6259" s="402">
        <v>93404</v>
      </c>
      <c r="B6259" s="403" t="s">
        <v>6593</v>
      </c>
      <c r="C6259" s="402" t="s">
        <v>23</v>
      </c>
      <c r="D6259" s="601">
        <v>4.3899999999999997</v>
      </c>
    </row>
    <row r="6260" spans="1:4" ht="40.5">
      <c r="A6260" s="402">
        <v>93405</v>
      </c>
      <c r="B6260" s="403" t="s">
        <v>6594</v>
      </c>
      <c r="C6260" s="402" t="s">
        <v>23</v>
      </c>
      <c r="D6260" s="601">
        <v>0.44</v>
      </c>
    </row>
    <row r="6261" spans="1:4" ht="54">
      <c r="A6261" s="402">
        <v>93406</v>
      </c>
      <c r="B6261" s="403" t="s">
        <v>6595</v>
      </c>
      <c r="C6261" s="402" t="s">
        <v>23</v>
      </c>
      <c r="D6261" s="601">
        <v>5.49</v>
      </c>
    </row>
    <row r="6262" spans="1:4" ht="54">
      <c r="A6262" s="402">
        <v>93407</v>
      </c>
      <c r="B6262" s="403" t="s">
        <v>6596</v>
      </c>
      <c r="C6262" s="402" t="s">
        <v>23</v>
      </c>
      <c r="D6262" s="601">
        <v>25.53</v>
      </c>
    </row>
    <row r="6263" spans="1:4" ht="27">
      <c r="A6263" s="402">
        <v>93411</v>
      </c>
      <c r="B6263" s="403" t="s">
        <v>3231</v>
      </c>
      <c r="C6263" s="402" t="s">
        <v>23</v>
      </c>
      <c r="D6263" s="601">
        <v>0.21</v>
      </c>
    </row>
    <row r="6264" spans="1:4" ht="27">
      <c r="A6264" s="402">
        <v>93412</v>
      </c>
      <c r="B6264" s="403" t="s">
        <v>3232</v>
      </c>
      <c r="C6264" s="402" t="s">
        <v>23</v>
      </c>
      <c r="D6264" s="601">
        <v>0.03</v>
      </c>
    </row>
    <row r="6265" spans="1:4" ht="27">
      <c r="A6265" s="402">
        <v>93413</v>
      </c>
      <c r="B6265" s="403" t="s">
        <v>3233</v>
      </c>
      <c r="C6265" s="402" t="s">
        <v>23</v>
      </c>
      <c r="D6265" s="601">
        <v>0.18</v>
      </c>
    </row>
    <row r="6266" spans="1:4" ht="27">
      <c r="A6266" s="402">
        <v>93414</v>
      </c>
      <c r="B6266" s="403" t="s">
        <v>3234</v>
      </c>
      <c r="C6266" s="402" t="s">
        <v>23</v>
      </c>
      <c r="D6266" s="601">
        <v>9.33</v>
      </c>
    </row>
    <row r="6267" spans="1:4" ht="27">
      <c r="A6267" s="402">
        <v>93417</v>
      </c>
      <c r="B6267" s="403" t="s">
        <v>3237</v>
      </c>
      <c r="C6267" s="402" t="s">
        <v>23</v>
      </c>
      <c r="D6267" s="601">
        <v>2.76</v>
      </c>
    </row>
    <row r="6268" spans="1:4" ht="13.5">
      <c r="A6268" s="402">
        <v>93418</v>
      </c>
      <c r="B6268" s="403" t="s">
        <v>3238</v>
      </c>
      <c r="C6268" s="402" t="s">
        <v>23</v>
      </c>
      <c r="D6268" s="601">
        <v>0.49</v>
      </c>
    </row>
    <row r="6269" spans="1:4" ht="27">
      <c r="A6269" s="402">
        <v>93419</v>
      </c>
      <c r="B6269" s="403" t="s">
        <v>682</v>
      </c>
      <c r="C6269" s="402" t="s">
        <v>23</v>
      </c>
      <c r="D6269" s="601">
        <v>2.46</v>
      </c>
    </row>
    <row r="6270" spans="1:4" ht="27">
      <c r="A6270" s="402">
        <v>93420</v>
      </c>
      <c r="B6270" s="403" t="s">
        <v>3239</v>
      </c>
      <c r="C6270" s="402" t="s">
        <v>23</v>
      </c>
      <c r="D6270" s="601">
        <v>36.32</v>
      </c>
    </row>
    <row r="6271" spans="1:4" ht="27">
      <c r="A6271" s="402">
        <v>93423</v>
      </c>
      <c r="B6271" s="403" t="s">
        <v>3240</v>
      </c>
      <c r="C6271" s="402" t="s">
        <v>23</v>
      </c>
      <c r="D6271" s="601">
        <v>3.91</v>
      </c>
    </row>
    <row r="6272" spans="1:4" ht="27">
      <c r="A6272" s="402">
        <v>93424</v>
      </c>
      <c r="B6272" s="403" t="s">
        <v>3241</v>
      </c>
      <c r="C6272" s="402" t="s">
        <v>23</v>
      </c>
      <c r="D6272" s="601">
        <v>0.7</v>
      </c>
    </row>
    <row r="6273" spans="1:4" ht="27">
      <c r="A6273" s="402">
        <v>93425</v>
      </c>
      <c r="B6273" s="403" t="s">
        <v>3242</v>
      </c>
      <c r="C6273" s="402" t="s">
        <v>23</v>
      </c>
      <c r="D6273" s="601">
        <v>3.48</v>
      </c>
    </row>
    <row r="6274" spans="1:4" ht="27">
      <c r="A6274" s="402">
        <v>93426</v>
      </c>
      <c r="B6274" s="403" t="s">
        <v>3243</v>
      </c>
      <c r="C6274" s="402" t="s">
        <v>23</v>
      </c>
      <c r="D6274" s="601">
        <v>86.79</v>
      </c>
    </row>
    <row r="6275" spans="1:4" ht="27">
      <c r="A6275" s="402">
        <v>93429</v>
      </c>
      <c r="B6275" s="403" t="s">
        <v>3246</v>
      </c>
      <c r="C6275" s="402" t="s">
        <v>23</v>
      </c>
      <c r="D6275" s="601">
        <v>66</v>
      </c>
    </row>
    <row r="6276" spans="1:4" ht="27">
      <c r="A6276" s="402">
        <v>93430</v>
      </c>
      <c r="B6276" s="403" t="s">
        <v>3247</v>
      </c>
      <c r="C6276" s="402" t="s">
        <v>23</v>
      </c>
      <c r="D6276" s="601">
        <v>11.88</v>
      </c>
    </row>
    <row r="6277" spans="1:4" ht="27">
      <c r="A6277" s="402">
        <v>93431</v>
      </c>
      <c r="B6277" s="403" t="s">
        <v>3248</v>
      </c>
      <c r="C6277" s="402" t="s">
        <v>23</v>
      </c>
      <c r="D6277" s="601">
        <v>106.09</v>
      </c>
    </row>
    <row r="6278" spans="1:4" ht="27">
      <c r="A6278" s="402">
        <v>93432</v>
      </c>
      <c r="B6278" s="403" t="s">
        <v>3249</v>
      </c>
      <c r="C6278" s="402" t="s">
        <v>23</v>
      </c>
      <c r="D6278" s="601">
        <v>1555.2</v>
      </c>
    </row>
    <row r="6279" spans="1:4" ht="27">
      <c r="A6279" s="402">
        <v>93435</v>
      </c>
      <c r="B6279" s="403" t="s">
        <v>3252</v>
      </c>
      <c r="C6279" s="402" t="s">
        <v>23</v>
      </c>
      <c r="D6279" s="601">
        <v>3.57</v>
      </c>
    </row>
    <row r="6280" spans="1:4" ht="27">
      <c r="A6280" s="402">
        <v>93436</v>
      </c>
      <c r="B6280" s="403" t="s">
        <v>3253</v>
      </c>
      <c r="C6280" s="402" t="s">
        <v>23</v>
      </c>
      <c r="D6280" s="601">
        <v>0.75</v>
      </c>
    </row>
    <row r="6281" spans="1:4" ht="27">
      <c r="A6281" s="402">
        <v>93437</v>
      </c>
      <c r="B6281" s="403" t="s">
        <v>3254</v>
      </c>
      <c r="C6281" s="402" t="s">
        <v>23</v>
      </c>
      <c r="D6281" s="601">
        <v>6.69</v>
      </c>
    </row>
    <row r="6282" spans="1:4" ht="27">
      <c r="A6282" s="402">
        <v>93438</v>
      </c>
      <c r="B6282" s="403" t="s">
        <v>3255</v>
      </c>
      <c r="C6282" s="402" t="s">
        <v>23</v>
      </c>
      <c r="D6282" s="601">
        <v>16.07</v>
      </c>
    </row>
    <row r="6283" spans="1:4" ht="27">
      <c r="A6283" s="402">
        <v>95114</v>
      </c>
      <c r="B6283" s="403" t="s">
        <v>3563</v>
      </c>
      <c r="C6283" s="402" t="s">
        <v>23</v>
      </c>
      <c r="D6283" s="601">
        <v>1.54</v>
      </c>
    </row>
    <row r="6284" spans="1:4" ht="27">
      <c r="A6284" s="402">
        <v>95115</v>
      </c>
      <c r="B6284" s="403" t="s">
        <v>3564</v>
      </c>
      <c r="C6284" s="402" t="s">
        <v>23</v>
      </c>
      <c r="D6284" s="601">
        <v>0.18</v>
      </c>
    </row>
    <row r="6285" spans="1:4" ht="27">
      <c r="A6285" s="402">
        <v>95116</v>
      </c>
      <c r="B6285" s="403" t="s">
        <v>727</v>
      </c>
      <c r="C6285" s="402" t="s">
        <v>23</v>
      </c>
      <c r="D6285" s="601">
        <v>31.99</v>
      </c>
    </row>
    <row r="6286" spans="1:4" ht="27">
      <c r="A6286" s="402">
        <v>95117</v>
      </c>
      <c r="B6286" s="403" t="s">
        <v>728</v>
      </c>
      <c r="C6286" s="402" t="s">
        <v>23</v>
      </c>
      <c r="D6286" s="601">
        <v>5.04</v>
      </c>
    </row>
    <row r="6287" spans="1:4" ht="27">
      <c r="A6287" s="402">
        <v>95118</v>
      </c>
      <c r="B6287" s="403" t="s">
        <v>3565</v>
      </c>
      <c r="C6287" s="402" t="s">
        <v>23</v>
      </c>
      <c r="D6287" s="601">
        <v>34.04</v>
      </c>
    </row>
    <row r="6288" spans="1:4" ht="27">
      <c r="A6288" s="402">
        <v>95119</v>
      </c>
      <c r="B6288" s="403" t="s">
        <v>3566</v>
      </c>
      <c r="C6288" s="402" t="s">
        <v>23</v>
      </c>
      <c r="D6288" s="601">
        <v>6.12</v>
      </c>
    </row>
    <row r="6289" spans="1:4" ht="27">
      <c r="A6289" s="402">
        <v>95120</v>
      </c>
      <c r="B6289" s="403" t="s">
        <v>3567</v>
      </c>
      <c r="C6289" s="402" t="s">
        <v>23</v>
      </c>
      <c r="D6289" s="601">
        <v>51.63</v>
      </c>
    </row>
    <row r="6290" spans="1:4" ht="27">
      <c r="A6290" s="402">
        <v>95123</v>
      </c>
      <c r="B6290" s="403" t="s">
        <v>729</v>
      </c>
      <c r="C6290" s="402" t="s">
        <v>23</v>
      </c>
      <c r="D6290" s="601">
        <v>11.4</v>
      </c>
    </row>
    <row r="6291" spans="1:4" ht="27">
      <c r="A6291" s="402">
        <v>95124</v>
      </c>
      <c r="B6291" s="403" t="s">
        <v>730</v>
      </c>
      <c r="C6291" s="402" t="s">
        <v>23</v>
      </c>
      <c r="D6291" s="601">
        <v>1.79</v>
      </c>
    </row>
    <row r="6292" spans="1:4" ht="27">
      <c r="A6292" s="402">
        <v>95125</v>
      </c>
      <c r="B6292" s="403" t="s">
        <v>731</v>
      </c>
      <c r="C6292" s="402" t="s">
        <v>23</v>
      </c>
      <c r="D6292" s="601">
        <v>12.47</v>
      </c>
    </row>
    <row r="6293" spans="1:4" ht="27">
      <c r="A6293" s="402">
        <v>95126</v>
      </c>
      <c r="B6293" s="403" t="s">
        <v>3570</v>
      </c>
      <c r="C6293" s="402" t="s">
        <v>23</v>
      </c>
      <c r="D6293" s="601">
        <v>79.73</v>
      </c>
    </row>
    <row r="6294" spans="1:4" ht="27">
      <c r="A6294" s="402">
        <v>95129</v>
      </c>
      <c r="B6294" s="403" t="s">
        <v>3571</v>
      </c>
      <c r="C6294" s="402" t="s">
        <v>23</v>
      </c>
      <c r="D6294" s="601">
        <v>20.23</v>
      </c>
    </row>
    <row r="6295" spans="1:4" ht="27">
      <c r="A6295" s="402">
        <v>95130</v>
      </c>
      <c r="B6295" s="403" t="s">
        <v>3572</v>
      </c>
      <c r="C6295" s="402" t="s">
        <v>23</v>
      </c>
      <c r="D6295" s="601">
        <v>3.64</v>
      </c>
    </row>
    <row r="6296" spans="1:4" ht="27">
      <c r="A6296" s="402">
        <v>95131</v>
      </c>
      <c r="B6296" s="403" t="s">
        <v>3573</v>
      </c>
      <c r="C6296" s="402" t="s">
        <v>23</v>
      </c>
      <c r="D6296" s="601">
        <v>37.94</v>
      </c>
    </row>
    <row r="6297" spans="1:4" ht="27">
      <c r="A6297" s="402">
        <v>95132</v>
      </c>
      <c r="B6297" s="403" t="s">
        <v>3574</v>
      </c>
      <c r="C6297" s="402" t="s">
        <v>23</v>
      </c>
      <c r="D6297" s="601">
        <v>17.46</v>
      </c>
    </row>
    <row r="6298" spans="1:4" ht="27">
      <c r="A6298" s="402">
        <v>95136</v>
      </c>
      <c r="B6298" s="403" t="s">
        <v>3576</v>
      </c>
      <c r="C6298" s="402" t="s">
        <v>23</v>
      </c>
      <c r="D6298" s="601">
        <v>0.03</v>
      </c>
    </row>
    <row r="6299" spans="1:4" ht="27">
      <c r="A6299" s="402">
        <v>95137</v>
      </c>
      <c r="B6299" s="403" t="s">
        <v>3577</v>
      </c>
      <c r="C6299" s="402" t="s">
        <v>23</v>
      </c>
      <c r="D6299" s="601">
        <v>0.01</v>
      </c>
    </row>
    <row r="6300" spans="1:4" ht="27">
      <c r="A6300" s="402">
        <v>95138</v>
      </c>
      <c r="B6300" s="403" t="s">
        <v>3578</v>
      </c>
      <c r="C6300" s="402" t="s">
        <v>23</v>
      </c>
      <c r="D6300" s="601">
        <v>0.02</v>
      </c>
    </row>
    <row r="6301" spans="1:4" ht="27">
      <c r="A6301" s="402">
        <v>95208</v>
      </c>
      <c r="B6301" s="403" t="s">
        <v>3582</v>
      </c>
      <c r="C6301" s="402" t="s">
        <v>23</v>
      </c>
      <c r="D6301" s="601">
        <v>27.39</v>
      </c>
    </row>
    <row r="6302" spans="1:4" ht="27">
      <c r="A6302" s="402">
        <v>95209</v>
      </c>
      <c r="B6302" s="403" t="s">
        <v>3583</v>
      </c>
      <c r="C6302" s="402" t="s">
        <v>23</v>
      </c>
      <c r="D6302" s="601">
        <v>3.25</v>
      </c>
    </row>
    <row r="6303" spans="1:4" ht="27">
      <c r="A6303" s="402">
        <v>95210</v>
      </c>
      <c r="B6303" s="403" t="s">
        <v>3584</v>
      </c>
      <c r="C6303" s="402" t="s">
        <v>23</v>
      </c>
      <c r="D6303" s="601">
        <v>29.96</v>
      </c>
    </row>
    <row r="6304" spans="1:4" ht="27">
      <c r="A6304" s="402">
        <v>95211</v>
      </c>
      <c r="B6304" s="403" t="s">
        <v>3585</v>
      </c>
      <c r="C6304" s="402" t="s">
        <v>23</v>
      </c>
      <c r="D6304" s="601">
        <v>7.57</v>
      </c>
    </row>
    <row r="6305" spans="1:4" ht="27">
      <c r="A6305" s="402">
        <v>95214</v>
      </c>
      <c r="B6305" s="403" t="s">
        <v>3588</v>
      </c>
      <c r="C6305" s="402" t="s">
        <v>23</v>
      </c>
      <c r="D6305" s="601">
        <v>0.53</v>
      </c>
    </row>
    <row r="6306" spans="1:4" ht="27">
      <c r="A6306" s="402">
        <v>95215</v>
      </c>
      <c r="B6306" s="403" t="s">
        <v>3589</v>
      </c>
      <c r="C6306" s="402" t="s">
        <v>23</v>
      </c>
      <c r="D6306" s="601">
        <v>0.05</v>
      </c>
    </row>
    <row r="6307" spans="1:4" ht="27">
      <c r="A6307" s="402">
        <v>95216</v>
      </c>
      <c r="B6307" s="403" t="s">
        <v>3590</v>
      </c>
      <c r="C6307" s="402" t="s">
        <v>23</v>
      </c>
      <c r="D6307" s="601">
        <v>0.37</v>
      </c>
    </row>
    <row r="6308" spans="1:4" ht="27">
      <c r="A6308" s="402">
        <v>95217</v>
      </c>
      <c r="B6308" s="403" t="s">
        <v>3591</v>
      </c>
      <c r="C6308" s="402" t="s">
        <v>23</v>
      </c>
      <c r="D6308" s="601">
        <v>0.51</v>
      </c>
    </row>
    <row r="6309" spans="1:4" ht="13.5">
      <c r="A6309" s="402">
        <v>95255</v>
      </c>
      <c r="B6309" s="403" t="s">
        <v>734</v>
      </c>
      <c r="C6309" s="402" t="s">
        <v>23</v>
      </c>
      <c r="D6309" s="601">
        <v>1.37</v>
      </c>
    </row>
    <row r="6310" spans="1:4" ht="13.5">
      <c r="A6310" s="402">
        <v>95256</v>
      </c>
      <c r="B6310" s="403" t="s">
        <v>735</v>
      </c>
      <c r="C6310" s="402" t="s">
        <v>23</v>
      </c>
      <c r="D6310" s="601">
        <v>0.16</v>
      </c>
    </row>
    <row r="6311" spans="1:4" ht="13.5">
      <c r="A6311" s="402">
        <v>95257</v>
      </c>
      <c r="B6311" s="403" t="s">
        <v>736</v>
      </c>
      <c r="C6311" s="402" t="s">
        <v>23</v>
      </c>
      <c r="D6311" s="601">
        <v>1.71</v>
      </c>
    </row>
    <row r="6312" spans="1:4" ht="27">
      <c r="A6312" s="402">
        <v>95260</v>
      </c>
      <c r="B6312" s="403" t="s">
        <v>3601</v>
      </c>
      <c r="C6312" s="402" t="s">
        <v>23</v>
      </c>
      <c r="D6312" s="601">
        <v>0.46</v>
      </c>
    </row>
    <row r="6313" spans="1:4" ht="27">
      <c r="A6313" s="402">
        <v>95261</v>
      </c>
      <c r="B6313" s="403" t="s">
        <v>3602</v>
      </c>
      <c r="C6313" s="402" t="s">
        <v>23</v>
      </c>
      <c r="D6313" s="601">
        <v>0.15</v>
      </c>
    </row>
    <row r="6314" spans="1:4" ht="27">
      <c r="A6314" s="402">
        <v>95262</v>
      </c>
      <c r="B6314" s="403" t="s">
        <v>3603</v>
      </c>
      <c r="C6314" s="402" t="s">
        <v>23</v>
      </c>
      <c r="D6314" s="601">
        <v>1.43</v>
      </c>
    </row>
    <row r="6315" spans="1:4" ht="27">
      <c r="A6315" s="402">
        <v>95263</v>
      </c>
      <c r="B6315" s="403" t="s">
        <v>3604</v>
      </c>
      <c r="C6315" s="402" t="s">
        <v>23</v>
      </c>
      <c r="D6315" s="601">
        <v>2.89</v>
      </c>
    </row>
    <row r="6316" spans="1:4" ht="27">
      <c r="A6316" s="402">
        <v>95266</v>
      </c>
      <c r="B6316" s="403" t="s">
        <v>3607</v>
      </c>
      <c r="C6316" s="402" t="s">
        <v>23</v>
      </c>
      <c r="D6316" s="601">
        <v>0.42</v>
      </c>
    </row>
    <row r="6317" spans="1:4" ht="27">
      <c r="A6317" s="402">
        <v>95267</v>
      </c>
      <c r="B6317" s="403" t="s">
        <v>3608</v>
      </c>
      <c r="C6317" s="402" t="s">
        <v>23</v>
      </c>
      <c r="D6317" s="601">
        <v>0.04</v>
      </c>
    </row>
    <row r="6318" spans="1:4" ht="27">
      <c r="A6318" s="402">
        <v>95268</v>
      </c>
      <c r="B6318" s="403" t="s">
        <v>3609</v>
      </c>
      <c r="C6318" s="402" t="s">
        <v>23</v>
      </c>
      <c r="D6318" s="601">
        <v>0.41</v>
      </c>
    </row>
    <row r="6319" spans="1:4" ht="27">
      <c r="A6319" s="402">
        <v>95269</v>
      </c>
      <c r="B6319" s="403" t="s">
        <v>3610</v>
      </c>
      <c r="C6319" s="402" t="s">
        <v>23</v>
      </c>
      <c r="D6319" s="601">
        <v>5.41</v>
      </c>
    </row>
    <row r="6320" spans="1:4" ht="27">
      <c r="A6320" s="402">
        <v>95272</v>
      </c>
      <c r="B6320" s="403" t="s">
        <v>3613</v>
      </c>
      <c r="C6320" s="402" t="s">
        <v>23</v>
      </c>
      <c r="D6320" s="601">
        <v>0.41</v>
      </c>
    </row>
    <row r="6321" spans="1:4" ht="27">
      <c r="A6321" s="402">
        <v>95273</v>
      </c>
      <c r="B6321" s="403" t="s">
        <v>3614</v>
      </c>
      <c r="C6321" s="402" t="s">
        <v>23</v>
      </c>
      <c r="D6321" s="601">
        <v>0.04</v>
      </c>
    </row>
    <row r="6322" spans="1:4" ht="27">
      <c r="A6322" s="402">
        <v>95274</v>
      </c>
      <c r="B6322" s="403" t="s">
        <v>3615</v>
      </c>
      <c r="C6322" s="402" t="s">
        <v>23</v>
      </c>
      <c r="D6322" s="601">
        <v>0.32</v>
      </c>
    </row>
    <row r="6323" spans="1:4" ht="27">
      <c r="A6323" s="402">
        <v>95275</v>
      </c>
      <c r="B6323" s="403" t="s">
        <v>3616</v>
      </c>
      <c r="C6323" s="402" t="s">
        <v>23</v>
      </c>
      <c r="D6323" s="601">
        <v>2.0499999999999998</v>
      </c>
    </row>
    <row r="6324" spans="1:4" ht="27">
      <c r="A6324" s="402">
        <v>95278</v>
      </c>
      <c r="B6324" s="403" t="s">
        <v>3619</v>
      </c>
      <c r="C6324" s="402" t="s">
        <v>23</v>
      </c>
      <c r="D6324" s="601">
        <v>0.45</v>
      </c>
    </row>
    <row r="6325" spans="1:4" ht="27">
      <c r="A6325" s="402">
        <v>95279</v>
      </c>
      <c r="B6325" s="403" t="s">
        <v>3620</v>
      </c>
      <c r="C6325" s="402" t="s">
        <v>23</v>
      </c>
      <c r="D6325" s="601">
        <v>0.05</v>
      </c>
    </row>
    <row r="6326" spans="1:4" ht="27">
      <c r="A6326" s="402">
        <v>95280</v>
      </c>
      <c r="B6326" s="403" t="s">
        <v>3621</v>
      </c>
      <c r="C6326" s="402" t="s">
        <v>23</v>
      </c>
      <c r="D6326" s="601">
        <v>0.35</v>
      </c>
    </row>
    <row r="6327" spans="1:4" ht="27">
      <c r="A6327" s="402">
        <v>95281</v>
      </c>
      <c r="B6327" s="403" t="s">
        <v>3622</v>
      </c>
      <c r="C6327" s="402" t="s">
        <v>23</v>
      </c>
      <c r="D6327" s="601">
        <v>5.41</v>
      </c>
    </row>
    <row r="6328" spans="1:4" ht="40.5">
      <c r="A6328" s="402">
        <v>95617</v>
      </c>
      <c r="B6328" s="403" t="s">
        <v>3765</v>
      </c>
      <c r="C6328" s="402" t="s">
        <v>23</v>
      </c>
      <c r="D6328" s="601">
        <v>1.1200000000000001</v>
      </c>
    </row>
    <row r="6329" spans="1:4" ht="27">
      <c r="A6329" s="402">
        <v>95618</v>
      </c>
      <c r="B6329" s="403" t="s">
        <v>3766</v>
      </c>
      <c r="C6329" s="402" t="s">
        <v>23</v>
      </c>
      <c r="D6329" s="601">
        <v>0.13</v>
      </c>
    </row>
    <row r="6330" spans="1:4" ht="40.5">
      <c r="A6330" s="402">
        <v>95619</v>
      </c>
      <c r="B6330" s="403" t="s">
        <v>3767</v>
      </c>
      <c r="C6330" s="402" t="s">
        <v>23</v>
      </c>
      <c r="D6330" s="601">
        <v>1.4</v>
      </c>
    </row>
    <row r="6331" spans="1:4" ht="27">
      <c r="A6331" s="402">
        <v>95627</v>
      </c>
      <c r="B6331" s="403" t="s">
        <v>3772</v>
      </c>
      <c r="C6331" s="402" t="s">
        <v>23</v>
      </c>
      <c r="D6331" s="601">
        <v>23.68</v>
      </c>
    </row>
    <row r="6332" spans="1:4" ht="27">
      <c r="A6332" s="402">
        <v>95628</v>
      </c>
      <c r="B6332" s="403" t="s">
        <v>3773</v>
      </c>
      <c r="C6332" s="402" t="s">
        <v>23</v>
      </c>
      <c r="D6332" s="601">
        <v>3.28</v>
      </c>
    </row>
    <row r="6333" spans="1:4" ht="27">
      <c r="A6333" s="402">
        <v>95629</v>
      </c>
      <c r="B6333" s="403" t="s">
        <v>3774</v>
      </c>
      <c r="C6333" s="402" t="s">
        <v>23</v>
      </c>
      <c r="D6333" s="601">
        <v>29.64</v>
      </c>
    </row>
    <row r="6334" spans="1:4" ht="40.5">
      <c r="A6334" s="402">
        <v>95630</v>
      </c>
      <c r="B6334" s="403" t="s">
        <v>3775</v>
      </c>
      <c r="C6334" s="402" t="s">
        <v>23</v>
      </c>
      <c r="D6334" s="601">
        <v>48.34</v>
      </c>
    </row>
    <row r="6335" spans="1:4" ht="27">
      <c r="A6335" s="402">
        <v>95698</v>
      </c>
      <c r="B6335" s="403" t="s">
        <v>3793</v>
      </c>
      <c r="C6335" s="402" t="s">
        <v>23</v>
      </c>
      <c r="D6335" s="601">
        <v>4.5599999999999996</v>
      </c>
    </row>
    <row r="6336" spans="1:4" ht="27">
      <c r="A6336" s="402">
        <v>95699</v>
      </c>
      <c r="B6336" s="403" t="s">
        <v>3794</v>
      </c>
      <c r="C6336" s="402" t="s">
        <v>23</v>
      </c>
      <c r="D6336" s="601">
        <v>0.54</v>
      </c>
    </row>
    <row r="6337" spans="1:4" ht="27">
      <c r="A6337" s="402">
        <v>95700</v>
      </c>
      <c r="B6337" s="403" t="s">
        <v>3795</v>
      </c>
      <c r="C6337" s="402" t="s">
        <v>23</v>
      </c>
      <c r="D6337" s="601">
        <v>5.7</v>
      </c>
    </row>
    <row r="6338" spans="1:4" ht="27">
      <c r="A6338" s="402">
        <v>95701</v>
      </c>
      <c r="B6338" s="403" t="s">
        <v>3796</v>
      </c>
      <c r="C6338" s="402" t="s">
        <v>23</v>
      </c>
      <c r="D6338" s="601">
        <v>2.5299999999999998</v>
      </c>
    </row>
    <row r="6339" spans="1:4" ht="27">
      <c r="A6339" s="402">
        <v>95704</v>
      </c>
      <c r="B6339" s="403" t="s">
        <v>3799</v>
      </c>
      <c r="C6339" s="402" t="s">
        <v>23</v>
      </c>
      <c r="D6339" s="601">
        <v>23.21</v>
      </c>
    </row>
    <row r="6340" spans="1:4" ht="27">
      <c r="A6340" s="402">
        <v>95705</v>
      </c>
      <c r="B6340" s="403" t="s">
        <v>3800</v>
      </c>
      <c r="C6340" s="402" t="s">
        <v>23</v>
      </c>
      <c r="D6340" s="601">
        <v>3.31</v>
      </c>
    </row>
    <row r="6341" spans="1:4" ht="27">
      <c r="A6341" s="402">
        <v>95706</v>
      </c>
      <c r="B6341" s="403" t="s">
        <v>3801</v>
      </c>
      <c r="C6341" s="402" t="s">
        <v>23</v>
      </c>
      <c r="D6341" s="601">
        <v>29.05</v>
      </c>
    </row>
    <row r="6342" spans="1:4" ht="27">
      <c r="A6342" s="402">
        <v>95707</v>
      </c>
      <c r="B6342" s="403" t="s">
        <v>3802</v>
      </c>
      <c r="C6342" s="402" t="s">
        <v>23</v>
      </c>
      <c r="D6342" s="601">
        <v>28.25</v>
      </c>
    </row>
    <row r="6343" spans="1:4" ht="40.5">
      <c r="A6343" s="402">
        <v>95710</v>
      </c>
      <c r="B6343" s="403" t="s">
        <v>3805</v>
      </c>
      <c r="C6343" s="402" t="s">
        <v>23</v>
      </c>
      <c r="D6343" s="601">
        <v>27.9</v>
      </c>
    </row>
    <row r="6344" spans="1:4" ht="40.5">
      <c r="A6344" s="402">
        <v>95711</v>
      </c>
      <c r="B6344" s="403" t="s">
        <v>3806</v>
      </c>
      <c r="C6344" s="402" t="s">
        <v>23</v>
      </c>
      <c r="D6344" s="601">
        <v>3.78</v>
      </c>
    </row>
    <row r="6345" spans="1:4" ht="40.5">
      <c r="A6345" s="402">
        <v>95712</v>
      </c>
      <c r="B6345" s="403" t="s">
        <v>3807</v>
      </c>
      <c r="C6345" s="402" t="s">
        <v>23</v>
      </c>
      <c r="D6345" s="601">
        <v>34.880000000000003</v>
      </c>
    </row>
    <row r="6346" spans="1:4" ht="40.5">
      <c r="A6346" s="402">
        <v>95713</v>
      </c>
      <c r="B6346" s="403" t="s">
        <v>3808</v>
      </c>
      <c r="C6346" s="402" t="s">
        <v>23</v>
      </c>
      <c r="D6346" s="601">
        <v>48.69</v>
      </c>
    </row>
    <row r="6347" spans="1:4" ht="40.5">
      <c r="A6347" s="402">
        <v>95716</v>
      </c>
      <c r="B6347" s="403" t="s">
        <v>3811</v>
      </c>
      <c r="C6347" s="402" t="s">
        <v>23</v>
      </c>
      <c r="D6347" s="601">
        <v>26.86</v>
      </c>
    </row>
    <row r="6348" spans="1:4" ht="40.5">
      <c r="A6348" s="402">
        <v>95717</v>
      </c>
      <c r="B6348" s="403" t="s">
        <v>3812</v>
      </c>
      <c r="C6348" s="402" t="s">
        <v>23</v>
      </c>
      <c r="D6348" s="601">
        <v>3.64</v>
      </c>
    </row>
    <row r="6349" spans="1:4" ht="40.5">
      <c r="A6349" s="402">
        <v>95718</v>
      </c>
      <c r="B6349" s="403" t="s">
        <v>3813</v>
      </c>
      <c r="C6349" s="402" t="s">
        <v>23</v>
      </c>
      <c r="D6349" s="601">
        <v>33.58</v>
      </c>
    </row>
    <row r="6350" spans="1:4" ht="40.5">
      <c r="A6350" s="402">
        <v>95719</v>
      </c>
      <c r="B6350" s="403" t="s">
        <v>3814</v>
      </c>
      <c r="C6350" s="402" t="s">
        <v>23</v>
      </c>
      <c r="D6350" s="601">
        <v>48.69</v>
      </c>
    </row>
    <row r="6351" spans="1:4" ht="27">
      <c r="A6351" s="402">
        <v>95869</v>
      </c>
      <c r="B6351" s="403" t="s">
        <v>828</v>
      </c>
      <c r="C6351" s="402" t="s">
        <v>23</v>
      </c>
      <c r="D6351" s="601">
        <v>1.1200000000000001</v>
      </c>
    </row>
    <row r="6352" spans="1:4" ht="27">
      <c r="A6352" s="402">
        <v>95870</v>
      </c>
      <c r="B6352" s="403" t="s">
        <v>829</v>
      </c>
      <c r="C6352" s="402" t="s">
        <v>23</v>
      </c>
      <c r="D6352" s="601">
        <v>5.57</v>
      </c>
    </row>
    <row r="6353" spans="1:4" ht="27">
      <c r="A6353" s="402">
        <v>95871</v>
      </c>
      <c r="B6353" s="403" t="s">
        <v>830</v>
      </c>
      <c r="C6353" s="402" t="s">
        <v>23</v>
      </c>
      <c r="D6353" s="601">
        <v>147.87</v>
      </c>
    </row>
    <row r="6354" spans="1:4" ht="27">
      <c r="A6354" s="402">
        <v>95874</v>
      </c>
      <c r="B6354" s="403" t="s">
        <v>833</v>
      </c>
      <c r="C6354" s="402" t="s">
        <v>23</v>
      </c>
      <c r="D6354" s="601">
        <v>6.24</v>
      </c>
    </row>
    <row r="6355" spans="1:4" ht="27">
      <c r="A6355" s="402">
        <v>96008</v>
      </c>
      <c r="B6355" s="403" t="s">
        <v>3891</v>
      </c>
      <c r="C6355" s="402" t="s">
        <v>23</v>
      </c>
      <c r="D6355" s="601">
        <v>11.72</v>
      </c>
    </row>
    <row r="6356" spans="1:4" ht="27">
      <c r="A6356" s="402">
        <v>96009</v>
      </c>
      <c r="B6356" s="403" t="s">
        <v>3892</v>
      </c>
      <c r="C6356" s="402" t="s">
        <v>23</v>
      </c>
      <c r="D6356" s="601">
        <v>1.62</v>
      </c>
    </row>
    <row r="6357" spans="1:4" ht="27">
      <c r="A6357" s="402">
        <v>96011</v>
      </c>
      <c r="B6357" s="403" t="s">
        <v>3893</v>
      </c>
      <c r="C6357" s="402" t="s">
        <v>23</v>
      </c>
      <c r="D6357" s="601">
        <v>12.82</v>
      </c>
    </row>
    <row r="6358" spans="1:4" ht="27">
      <c r="A6358" s="402">
        <v>96012</v>
      </c>
      <c r="B6358" s="403" t="s">
        <v>3894</v>
      </c>
      <c r="C6358" s="402" t="s">
        <v>23</v>
      </c>
      <c r="D6358" s="601">
        <v>93.08</v>
      </c>
    </row>
    <row r="6359" spans="1:4" ht="27">
      <c r="A6359" s="402">
        <v>96015</v>
      </c>
      <c r="B6359" s="403" t="s">
        <v>3897</v>
      </c>
      <c r="C6359" s="402" t="s">
        <v>23</v>
      </c>
      <c r="D6359" s="601">
        <v>11.61</v>
      </c>
    </row>
    <row r="6360" spans="1:4" ht="27">
      <c r="A6360" s="402">
        <v>96016</v>
      </c>
      <c r="B6360" s="403" t="s">
        <v>3898</v>
      </c>
      <c r="C6360" s="402" t="s">
        <v>23</v>
      </c>
      <c r="D6360" s="601">
        <v>1.61</v>
      </c>
    </row>
    <row r="6361" spans="1:4" ht="27">
      <c r="A6361" s="402">
        <v>96018</v>
      </c>
      <c r="B6361" s="403" t="s">
        <v>3899</v>
      </c>
      <c r="C6361" s="402" t="s">
        <v>23</v>
      </c>
      <c r="D6361" s="601">
        <v>12.7</v>
      </c>
    </row>
    <row r="6362" spans="1:4" ht="27">
      <c r="A6362" s="402">
        <v>96019</v>
      </c>
      <c r="B6362" s="403" t="s">
        <v>3900</v>
      </c>
      <c r="C6362" s="402" t="s">
        <v>23</v>
      </c>
      <c r="D6362" s="601">
        <v>93.08</v>
      </c>
    </row>
    <row r="6363" spans="1:4" ht="27">
      <c r="A6363" s="402">
        <v>96023</v>
      </c>
      <c r="B6363" s="403" t="s">
        <v>967</v>
      </c>
      <c r="C6363" s="402" t="s">
        <v>23</v>
      </c>
      <c r="D6363" s="601">
        <v>8.99</v>
      </c>
    </row>
    <row r="6364" spans="1:4" ht="27">
      <c r="A6364" s="402">
        <v>96024</v>
      </c>
      <c r="B6364" s="403" t="s">
        <v>968</v>
      </c>
      <c r="C6364" s="402" t="s">
        <v>23</v>
      </c>
      <c r="D6364" s="601">
        <v>1.24</v>
      </c>
    </row>
    <row r="6365" spans="1:4" ht="27">
      <c r="A6365" s="402">
        <v>96026</v>
      </c>
      <c r="B6365" s="403" t="s">
        <v>969</v>
      </c>
      <c r="C6365" s="402" t="s">
        <v>23</v>
      </c>
      <c r="D6365" s="601">
        <v>9.84</v>
      </c>
    </row>
    <row r="6366" spans="1:4" ht="27">
      <c r="A6366" s="402">
        <v>96027</v>
      </c>
      <c r="B6366" s="403" t="s">
        <v>970</v>
      </c>
      <c r="C6366" s="402" t="s">
        <v>23</v>
      </c>
      <c r="D6366" s="601">
        <v>64.86</v>
      </c>
    </row>
    <row r="6367" spans="1:4" ht="27">
      <c r="A6367" s="402">
        <v>96030</v>
      </c>
      <c r="B6367" s="403" t="s">
        <v>3903</v>
      </c>
      <c r="C6367" s="402" t="s">
        <v>23</v>
      </c>
      <c r="D6367" s="601">
        <v>16.91</v>
      </c>
    </row>
    <row r="6368" spans="1:4" ht="27">
      <c r="A6368" s="402">
        <v>96031</v>
      </c>
      <c r="B6368" s="403" t="s">
        <v>973</v>
      </c>
      <c r="C6368" s="402" t="s">
        <v>23</v>
      </c>
      <c r="D6368" s="601">
        <v>3.12</v>
      </c>
    </row>
    <row r="6369" spans="1:4" ht="40.5">
      <c r="A6369" s="402">
        <v>96032</v>
      </c>
      <c r="B6369" s="403" t="s">
        <v>3904</v>
      </c>
      <c r="C6369" s="402" t="s">
        <v>23</v>
      </c>
      <c r="D6369" s="601">
        <v>1.21</v>
      </c>
    </row>
    <row r="6370" spans="1:4" ht="27">
      <c r="A6370" s="402">
        <v>96033</v>
      </c>
      <c r="B6370" s="403" t="s">
        <v>3905</v>
      </c>
      <c r="C6370" s="402" t="s">
        <v>23</v>
      </c>
      <c r="D6370" s="601">
        <v>31.72</v>
      </c>
    </row>
    <row r="6371" spans="1:4" ht="40.5">
      <c r="A6371" s="402">
        <v>96034</v>
      </c>
      <c r="B6371" s="403" t="s">
        <v>3906</v>
      </c>
      <c r="C6371" s="402" t="s">
        <v>23</v>
      </c>
      <c r="D6371" s="601">
        <v>76.78</v>
      </c>
    </row>
    <row r="6372" spans="1:4" ht="27">
      <c r="A6372" s="402">
        <v>96053</v>
      </c>
      <c r="B6372" s="403" t="s">
        <v>3909</v>
      </c>
      <c r="C6372" s="402" t="s">
        <v>23</v>
      </c>
      <c r="D6372" s="601">
        <v>9.1</v>
      </c>
    </row>
    <row r="6373" spans="1:4" ht="27">
      <c r="A6373" s="402">
        <v>96054</v>
      </c>
      <c r="B6373" s="403" t="s">
        <v>974</v>
      </c>
      <c r="C6373" s="402" t="s">
        <v>23</v>
      </c>
      <c r="D6373" s="601">
        <v>16.53</v>
      </c>
    </row>
    <row r="6374" spans="1:4" ht="27">
      <c r="A6374" s="402">
        <v>96055</v>
      </c>
      <c r="B6374" s="403" t="s">
        <v>3910</v>
      </c>
      <c r="C6374" s="402" t="s">
        <v>23</v>
      </c>
      <c r="D6374" s="601">
        <v>1.25</v>
      </c>
    </row>
    <row r="6375" spans="1:4" ht="27">
      <c r="A6375" s="402">
        <v>96056</v>
      </c>
      <c r="B6375" s="403" t="s">
        <v>3911</v>
      </c>
      <c r="C6375" s="402" t="s">
        <v>23</v>
      </c>
      <c r="D6375" s="601">
        <v>9.9600000000000009</v>
      </c>
    </row>
    <row r="6376" spans="1:4" ht="27">
      <c r="A6376" s="402">
        <v>96057</v>
      </c>
      <c r="B6376" s="403" t="s">
        <v>3912</v>
      </c>
      <c r="C6376" s="402" t="s">
        <v>23</v>
      </c>
      <c r="D6376" s="601">
        <v>64.86</v>
      </c>
    </row>
    <row r="6377" spans="1:4" ht="27">
      <c r="A6377" s="402">
        <v>96060</v>
      </c>
      <c r="B6377" s="403" t="s">
        <v>975</v>
      </c>
      <c r="C6377" s="402" t="s">
        <v>23</v>
      </c>
      <c r="D6377" s="601">
        <v>1.67</v>
      </c>
    </row>
    <row r="6378" spans="1:4" ht="27">
      <c r="A6378" s="402">
        <v>96061</v>
      </c>
      <c r="B6378" s="403" t="s">
        <v>976</v>
      </c>
      <c r="C6378" s="402" t="s">
        <v>23</v>
      </c>
      <c r="D6378" s="601">
        <v>20.67</v>
      </c>
    </row>
    <row r="6379" spans="1:4" ht="27">
      <c r="A6379" s="402">
        <v>96062</v>
      </c>
      <c r="B6379" s="403" t="s">
        <v>977</v>
      </c>
      <c r="C6379" s="402" t="s">
        <v>23</v>
      </c>
      <c r="D6379" s="601">
        <v>28.38</v>
      </c>
    </row>
    <row r="6380" spans="1:4" ht="27">
      <c r="A6380" s="402">
        <v>96241</v>
      </c>
      <c r="B6380" s="403" t="s">
        <v>3938</v>
      </c>
      <c r="C6380" s="402" t="s">
        <v>23</v>
      </c>
      <c r="D6380" s="601">
        <v>14.52</v>
      </c>
    </row>
    <row r="6381" spans="1:4" ht="27">
      <c r="A6381" s="402">
        <v>96242</v>
      </c>
      <c r="B6381" s="403" t="s">
        <v>3939</v>
      </c>
      <c r="C6381" s="402" t="s">
        <v>23</v>
      </c>
      <c r="D6381" s="601">
        <v>1.97</v>
      </c>
    </row>
    <row r="6382" spans="1:4" ht="27">
      <c r="A6382" s="402">
        <v>96243</v>
      </c>
      <c r="B6382" s="403" t="s">
        <v>3940</v>
      </c>
      <c r="C6382" s="402" t="s">
        <v>23</v>
      </c>
      <c r="D6382" s="601">
        <v>18.149999999999999</v>
      </c>
    </row>
    <row r="6383" spans="1:4" ht="27">
      <c r="A6383" s="402">
        <v>96244</v>
      </c>
      <c r="B6383" s="403" t="s">
        <v>3941</v>
      </c>
      <c r="C6383" s="402" t="s">
        <v>23</v>
      </c>
      <c r="D6383" s="601">
        <v>9.42</v>
      </c>
    </row>
    <row r="6384" spans="1:4" ht="27">
      <c r="A6384" s="402">
        <v>96298</v>
      </c>
      <c r="B6384" s="403" t="s">
        <v>3948</v>
      </c>
      <c r="C6384" s="402" t="s">
        <v>23</v>
      </c>
      <c r="D6384" s="601">
        <v>36.24</v>
      </c>
    </row>
    <row r="6385" spans="1:4" ht="27">
      <c r="A6385" s="402">
        <v>96299</v>
      </c>
      <c r="B6385" s="403" t="s">
        <v>3949</v>
      </c>
      <c r="C6385" s="402" t="s">
        <v>23</v>
      </c>
      <c r="D6385" s="601">
        <v>5.03</v>
      </c>
    </row>
    <row r="6386" spans="1:4" ht="27">
      <c r="A6386" s="402">
        <v>96300</v>
      </c>
      <c r="B6386" s="403" t="s">
        <v>3950</v>
      </c>
      <c r="C6386" s="402" t="s">
        <v>23</v>
      </c>
      <c r="D6386" s="601">
        <v>45.36</v>
      </c>
    </row>
    <row r="6387" spans="1:4" ht="27">
      <c r="A6387" s="402">
        <v>96301</v>
      </c>
      <c r="B6387" s="403" t="s">
        <v>3951</v>
      </c>
      <c r="C6387" s="402" t="s">
        <v>23</v>
      </c>
      <c r="D6387" s="601">
        <v>26.6</v>
      </c>
    </row>
    <row r="6388" spans="1:4" ht="40.5">
      <c r="A6388" s="402">
        <v>96304</v>
      </c>
      <c r="B6388" s="403" t="s">
        <v>3954</v>
      </c>
      <c r="C6388" s="402" t="s">
        <v>23</v>
      </c>
      <c r="D6388" s="601">
        <v>0.11</v>
      </c>
    </row>
    <row r="6389" spans="1:4" ht="27">
      <c r="A6389" s="402">
        <v>96305</v>
      </c>
      <c r="B6389" s="403" t="s">
        <v>3955</v>
      </c>
      <c r="C6389" s="402" t="s">
        <v>23</v>
      </c>
      <c r="D6389" s="601">
        <v>0.01</v>
      </c>
    </row>
    <row r="6390" spans="1:4" ht="40.5">
      <c r="A6390" s="402">
        <v>96306</v>
      </c>
      <c r="B6390" s="403" t="s">
        <v>3956</v>
      </c>
      <c r="C6390" s="402" t="s">
        <v>23</v>
      </c>
      <c r="D6390" s="601">
        <v>0.14000000000000001</v>
      </c>
    </row>
    <row r="6391" spans="1:4" ht="40.5">
      <c r="A6391" s="402">
        <v>96307</v>
      </c>
      <c r="B6391" s="403" t="s">
        <v>3957</v>
      </c>
      <c r="C6391" s="402" t="s">
        <v>23</v>
      </c>
      <c r="D6391" s="601">
        <v>1.02</v>
      </c>
    </row>
    <row r="6392" spans="1:4" ht="40.5">
      <c r="A6392" s="402">
        <v>96457</v>
      </c>
      <c r="B6392" s="403" t="s">
        <v>3977</v>
      </c>
      <c r="C6392" s="402" t="s">
        <v>23</v>
      </c>
      <c r="D6392" s="601">
        <v>34.57</v>
      </c>
    </row>
    <row r="6393" spans="1:4" ht="27">
      <c r="A6393" s="402">
        <v>96458</v>
      </c>
      <c r="B6393" s="403" t="s">
        <v>3978</v>
      </c>
      <c r="C6393" s="402" t="s">
        <v>23</v>
      </c>
      <c r="D6393" s="601">
        <v>32.869999999999997</v>
      </c>
    </row>
    <row r="6394" spans="1:4" ht="27">
      <c r="A6394" s="402">
        <v>96459</v>
      </c>
      <c r="B6394" s="403" t="s">
        <v>3979</v>
      </c>
      <c r="C6394" s="402" t="s">
        <v>23</v>
      </c>
      <c r="D6394" s="601">
        <v>3.64</v>
      </c>
    </row>
    <row r="6395" spans="1:4" ht="40.5">
      <c r="A6395" s="402">
        <v>96460</v>
      </c>
      <c r="B6395" s="403" t="s">
        <v>3980</v>
      </c>
      <c r="C6395" s="402" t="s">
        <v>23</v>
      </c>
      <c r="D6395" s="601">
        <v>26.26</v>
      </c>
    </row>
    <row r="6396" spans="1:4" ht="40.5">
      <c r="A6396" s="402">
        <v>98760</v>
      </c>
      <c r="B6396" s="403" t="s">
        <v>4740</v>
      </c>
      <c r="C6396" s="402" t="s">
        <v>23</v>
      </c>
      <c r="D6396" s="601">
        <v>0.1</v>
      </c>
    </row>
    <row r="6397" spans="1:4" ht="27">
      <c r="A6397" s="402">
        <v>98761</v>
      </c>
      <c r="B6397" s="403" t="s">
        <v>4741</v>
      </c>
      <c r="C6397" s="402" t="s">
        <v>23</v>
      </c>
      <c r="D6397" s="601">
        <v>0.02</v>
      </c>
    </row>
    <row r="6398" spans="1:4" ht="40.5">
      <c r="A6398" s="402">
        <v>98762</v>
      </c>
      <c r="B6398" s="403" t="s">
        <v>4742</v>
      </c>
      <c r="C6398" s="402" t="s">
        <v>23</v>
      </c>
      <c r="D6398" s="601">
        <v>0.13</v>
      </c>
    </row>
    <row r="6399" spans="1:4" ht="40.5">
      <c r="A6399" s="402">
        <v>98763</v>
      </c>
      <c r="B6399" s="403" t="s">
        <v>4743</v>
      </c>
      <c r="C6399" s="402" t="s">
        <v>23</v>
      </c>
      <c r="D6399" s="601">
        <v>3.71</v>
      </c>
    </row>
    <row r="6400" spans="1:4" ht="40.5">
      <c r="A6400" s="402">
        <v>99829</v>
      </c>
      <c r="B6400" s="403" t="s">
        <v>5344</v>
      </c>
      <c r="C6400" s="402" t="s">
        <v>23</v>
      </c>
      <c r="D6400" s="601">
        <v>0.28999999999999998</v>
      </c>
    </row>
    <row r="6401" spans="1:4" ht="40.5">
      <c r="A6401" s="402">
        <v>99830</v>
      </c>
      <c r="B6401" s="403" t="s">
        <v>5345</v>
      </c>
      <c r="C6401" s="402" t="s">
        <v>23</v>
      </c>
      <c r="D6401" s="601">
        <v>0.03</v>
      </c>
    </row>
    <row r="6402" spans="1:4" ht="40.5">
      <c r="A6402" s="402">
        <v>99831</v>
      </c>
      <c r="B6402" s="403" t="s">
        <v>5346</v>
      </c>
      <c r="C6402" s="402" t="s">
        <v>23</v>
      </c>
      <c r="D6402" s="601">
        <v>0.41</v>
      </c>
    </row>
    <row r="6403" spans="1:4" ht="40.5">
      <c r="A6403" s="402">
        <v>99832</v>
      </c>
      <c r="B6403" s="403" t="s">
        <v>5347</v>
      </c>
      <c r="C6403" s="402" t="s">
        <v>23</v>
      </c>
      <c r="D6403" s="601">
        <v>0.96</v>
      </c>
    </row>
    <row r="6404" spans="1:4" ht="27">
      <c r="A6404" s="402">
        <v>100637</v>
      </c>
      <c r="B6404" s="403" t="s">
        <v>6597</v>
      </c>
      <c r="C6404" s="402" t="s">
        <v>23</v>
      </c>
      <c r="D6404" s="601">
        <v>81.06</v>
      </c>
    </row>
    <row r="6405" spans="1:4" ht="27">
      <c r="A6405" s="402">
        <v>100638</v>
      </c>
      <c r="B6405" s="403" t="s">
        <v>6598</v>
      </c>
      <c r="C6405" s="402" t="s">
        <v>23</v>
      </c>
      <c r="D6405" s="601">
        <v>14.59</v>
      </c>
    </row>
    <row r="6406" spans="1:4" ht="27">
      <c r="A6406" s="402">
        <v>100639</v>
      </c>
      <c r="B6406" s="403" t="s">
        <v>6599</v>
      </c>
      <c r="C6406" s="402" t="s">
        <v>23</v>
      </c>
      <c r="D6406" s="601">
        <v>130.31</v>
      </c>
    </row>
    <row r="6407" spans="1:4" ht="27">
      <c r="A6407" s="402">
        <v>100640</v>
      </c>
      <c r="B6407" s="403" t="s">
        <v>6600</v>
      </c>
      <c r="C6407" s="402" t="s">
        <v>23</v>
      </c>
      <c r="D6407" s="601">
        <v>192.78</v>
      </c>
    </row>
    <row r="6408" spans="1:4" ht="27">
      <c r="A6408" s="402">
        <v>100643</v>
      </c>
      <c r="B6408" s="403" t="s">
        <v>6601</v>
      </c>
      <c r="C6408" s="402" t="s">
        <v>23</v>
      </c>
      <c r="D6408" s="601">
        <v>213.45</v>
      </c>
    </row>
    <row r="6409" spans="1:4" ht="13.5">
      <c r="A6409" s="402">
        <v>100644</v>
      </c>
      <c r="B6409" s="403" t="s">
        <v>6602</v>
      </c>
      <c r="C6409" s="402" t="s">
        <v>23</v>
      </c>
      <c r="D6409" s="601">
        <v>38.42</v>
      </c>
    </row>
    <row r="6410" spans="1:4" ht="27">
      <c r="A6410" s="402">
        <v>100645</v>
      </c>
      <c r="B6410" s="403" t="s">
        <v>6603</v>
      </c>
      <c r="C6410" s="402" t="s">
        <v>23</v>
      </c>
      <c r="D6410" s="601">
        <v>343.12</v>
      </c>
    </row>
    <row r="6411" spans="1:4" ht="27">
      <c r="A6411" s="402">
        <v>100646</v>
      </c>
      <c r="B6411" s="403" t="s">
        <v>6604</v>
      </c>
      <c r="C6411" s="402" t="s">
        <v>23</v>
      </c>
      <c r="D6411" s="601">
        <v>275.39999999999998</v>
      </c>
    </row>
    <row r="6412" spans="1:4" ht="13.5">
      <c r="A6412" s="402">
        <v>55960</v>
      </c>
      <c r="B6412" s="403" t="s">
        <v>1144</v>
      </c>
      <c r="C6412" s="402" t="s">
        <v>48</v>
      </c>
      <c r="D6412" s="601">
        <v>4.3099999999999996</v>
      </c>
    </row>
    <row r="6413" spans="1:4" ht="40.5">
      <c r="A6413" s="402">
        <v>92259</v>
      </c>
      <c r="B6413" s="403" t="s">
        <v>5348</v>
      </c>
      <c r="C6413" s="402" t="s">
        <v>35</v>
      </c>
      <c r="D6413" s="601">
        <v>246.78</v>
      </c>
    </row>
    <row r="6414" spans="1:4" ht="40.5">
      <c r="A6414" s="402">
        <v>92260</v>
      </c>
      <c r="B6414" s="403" t="s">
        <v>5349</v>
      </c>
      <c r="C6414" s="402" t="s">
        <v>35</v>
      </c>
      <c r="D6414" s="601">
        <v>288.92</v>
      </c>
    </row>
    <row r="6415" spans="1:4" ht="40.5">
      <c r="A6415" s="402">
        <v>92261</v>
      </c>
      <c r="B6415" s="403" t="s">
        <v>5350</v>
      </c>
      <c r="C6415" s="402" t="s">
        <v>35</v>
      </c>
      <c r="D6415" s="601">
        <v>329.77</v>
      </c>
    </row>
    <row r="6416" spans="1:4" ht="40.5">
      <c r="A6416" s="402">
        <v>92262</v>
      </c>
      <c r="B6416" s="403" t="s">
        <v>5351</v>
      </c>
      <c r="C6416" s="402" t="s">
        <v>35</v>
      </c>
      <c r="D6416" s="601">
        <v>395.54</v>
      </c>
    </row>
    <row r="6417" spans="1:4" ht="40.5">
      <c r="A6417" s="402">
        <v>92539</v>
      </c>
      <c r="B6417" s="403" t="s">
        <v>5352</v>
      </c>
      <c r="C6417" s="402" t="s">
        <v>48</v>
      </c>
      <c r="D6417" s="601">
        <v>38.340000000000003</v>
      </c>
    </row>
    <row r="6418" spans="1:4" ht="40.5">
      <c r="A6418" s="402">
        <v>92540</v>
      </c>
      <c r="B6418" s="403" t="s">
        <v>5353</v>
      </c>
      <c r="C6418" s="402" t="s">
        <v>48</v>
      </c>
      <c r="D6418" s="601">
        <v>44.53</v>
      </c>
    </row>
    <row r="6419" spans="1:4" ht="40.5">
      <c r="A6419" s="402">
        <v>92541</v>
      </c>
      <c r="B6419" s="403" t="s">
        <v>5354</v>
      </c>
      <c r="C6419" s="402" t="s">
        <v>48</v>
      </c>
      <c r="D6419" s="601">
        <v>40.909999999999997</v>
      </c>
    </row>
    <row r="6420" spans="1:4" ht="40.5">
      <c r="A6420" s="402">
        <v>92542</v>
      </c>
      <c r="B6420" s="403" t="s">
        <v>5355</v>
      </c>
      <c r="C6420" s="402" t="s">
        <v>48</v>
      </c>
      <c r="D6420" s="601">
        <v>50.52</v>
      </c>
    </row>
    <row r="6421" spans="1:4" ht="40.5">
      <c r="A6421" s="402">
        <v>92543</v>
      </c>
      <c r="B6421" s="403" t="s">
        <v>5356</v>
      </c>
      <c r="C6421" s="402" t="s">
        <v>48</v>
      </c>
      <c r="D6421" s="601">
        <v>10.55</v>
      </c>
    </row>
    <row r="6422" spans="1:4" ht="27">
      <c r="A6422" s="402">
        <v>92544</v>
      </c>
      <c r="B6422" s="403" t="s">
        <v>5357</v>
      </c>
      <c r="C6422" s="402" t="s">
        <v>48</v>
      </c>
      <c r="D6422" s="601">
        <v>8.9</v>
      </c>
    </row>
    <row r="6423" spans="1:4" ht="27">
      <c r="A6423" s="402">
        <v>92545</v>
      </c>
      <c r="B6423" s="403" t="s">
        <v>5358</v>
      </c>
      <c r="C6423" s="402" t="s">
        <v>35</v>
      </c>
      <c r="D6423" s="601">
        <v>533.83000000000004</v>
      </c>
    </row>
    <row r="6424" spans="1:4" ht="27">
      <c r="A6424" s="402">
        <v>92546</v>
      </c>
      <c r="B6424" s="403" t="s">
        <v>5359</v>
      </c>
      <c r="C6424" s="402" t="s">
        <v>35</v>
      </c>
      <c r="D6424" s="601">
        <v>656.24</v>
      </c>
    </row>
    <row r="6425" spans="1:4" ht="27">
      <c r="A6425" s="402">
        <v>92547</v>
      </c>
      <c r="B6425" s="403" t="s">
        <v>5360</v>
      </c>
      <c r="C6425" s="402" t="s">
        <v>35</v>
      </c>
      <c r="D6425" s="601">
        <v>685.16</v>
      </c>
    </row>
    <row r="6426" spans="1:4" ht="27">
      <c r="A6426" s="402">
        <v>92548</v>
      </c>
      <c r="B6426" s="403" t="s">
        <v>5361</v>
      </c>
      <c r="C6426" s="402" t="s">
        <v>35</v>
      </c>
      <c r="D6426" s="601">
        <v>761.78</v>
      </c>
    </row>
    <row r="6427" spans="1:4" ht="27">
      <c r="A6427" s="402">
        <v>92549</v>
      </c>
      <c r="B6427" s="403" t="s">
        <v>5362</v>
      </c>
      <c r="C6427" s="402" t="s">
        <v>35</v>
      </c>
      <c r="D6427" s="601">
        <v>972.02</v>
      </c>
    </row>
    <row r="6428" spans="1:4" ht="27">
      <c r="A6428" s="402">
        <v>92550</v>
      </c>
      <c r="B6428" s="403" t="s">
        <v>5363</v>
      </c>
      <c r="C6428" s="402" t="s">
        <v>35</v>
      </c>
      <c r="D6428" s="601">
        <v>1230.69</v>
      </c>
    </row>
    <row r="6429" spans="1:4" ht="27">
      <c r="A6429" s="402">
        <v>92551</v>
      </c>
      <c r="B6429" s="403" t="s">
        <v>5364</v>
      </c>
      <c r="C6429" s="402" t="s">
        <v>35</v>
      </c>
      <c r="D6429" s="601">
        <v>1268.79</v>
      </c>
    </row>
    <row r="6430" spans="1:4" ht="27">
      <c r="A6430" s="402">
        <v>92552</v>
      </c>
      <c r="B6430" s="403" t="s">
        <v>5365</v>
      </c>
      <c r="C6430" s="402" t="s">
        <v>35</v>
      </c>
      <c r="D6430" s="601">
        <v>1378.23</v>
      </c>
    </row>
    <row r="6431" spans="1:4" ht="27">
      <c r="A6431" s="402">
        <v>92553</v>
      </c>
      <c r="B6431" s="403" t="s">
        <v>5366</v>
      </c>
      <c r="C6431" s="402" t="s">
        <v>35</v>
      </c>
      <c r="D6431" s="601">
        <v>1596.03</v>
      </c>
    </row>
    <row r="6432" spans="1:4" ht="27">
      <c r="A6432" s="402">
        <v>92554</v>
      </c>
      <c r="B6432" s="403" t="s">
        <v>5367</v>
      </c>
      <c r="C6432" s="402" t="s">
        <v>35</v>
      </c>
      <c r="D6432" s="601">
        <v>1639.3</v>
      </c>
    </row>
    <row r="6433" spans="1:4" ht="40.5">
      <c r="A6433" s="402">
        <v>92555</v>
      </c>
      <c r="B6433" s="403" t="s">
        <v>5368</v>
      </c>
      <c r="C6433" s="402" t="s">
        <v>35</v>
      </c>
      <c r="D6433" s="601">
        <v>528.28</v>
      </c>
    </row>
    <row r="6434" spans="1:4" ht="40.5">
      <c r="A6434" s="402">
        <v>92556</v>
      </c>
      <c r="B6434" s="403" t="s">
        <v>5369</v>
      </c>
      <c r="C6434" s="402" t="s">
        <v>35</v>
      </c>
      <c r="D6434" s="601">
        <v>647.07000000000005</v>
      </c>
    </row>
    <row r="6435" spans="1:4" ht="40.5">
      <c r="A6435" s="402">
        <v>92557</v>
      </c>
      <c r="B6435" s="403" t="s">
        <v>5370</v>
      </c>
      <c r="C6435" s="402" t="s">
        <v>35</v>
      </c>
      <c r="D6435" s="601">
        <v>675.98</v>
      </c>
    </row>
    <row r="6436" spans="1:4" ht="40.5">
      <c r="A6436" s="402">
        <v>92558</v>
      </c>
      <c r="B6436" s="403" t="s">
        <v>5371</v>
      </c>
      <c r="C6436" s="402" t="s">
        <v>35</v>
      </c>
      <c r="D6436" s="601">
        <v>756.22</v>
      </c>
    </row>
    <row r="6437" spans="1:4" ht="40.5">
      <c r="A6437" s="402">
        <v>92559</v>
      </c>
      <c r="B6437" s="403" t="s">
        <v>5372</v>
      </c>
      <c r="C6437" s="402" t="s">
        <v>35</v>
      </c>
      <c r="D6437" s="601">
        <v>962.24</v>
      </c>
    </row>
    <row r="6438" spans="1:4" ht="40.5">
      <c r="A6438" s="402">
        <v>92560</v>
      </c>
      <c r="B6438" s="403" t="s">
        <v>5373</v>
      </c>
      <c r="C6438" s="402" t="s">
        <v>35</v>
      </c>
      <c r="D6438" s="601">
        <v>1215.78</v>
      </c>
    </row>
    <row r="6439" spans="1:4" ht="40.5">
      <c r="A6439" s="402">
        <v>92561</v>
      </c>
      <c r="B6439" s="403" t="s">
        <v>5374</v>
      </c>
      <c r="C6439" s="402" t="s">
        <v>35</v>
      </c>
      <c r="D6439" s="601">
        <v>1254.54</v>
      </c>
    </row>
    <row r="6440" spans="1:4" ht="40.5">
      <c r="A6440" s="402">
        <v>92562</v>
      </c>
      <c r="B6440" s="403" t="s">
        <v>5375</v>
      </c>
      <c r="C6440" s="402" t="s">
        <v>35</v>
      </c>
      <c r="D6440" s="601">
        <v>1354.81</v>
      </c>
    </row>
    <row r="6441" spans="1:4" ht="40.5">
      <c r="A6441" s="402">
        <v>92563</v>
      </c>
      <c r="B6441" s="403" t="s">
        <v>5376</v>
      </c>
      <c r="C6441" s="402" t="s">
        <v>35</v>
      </c>
      <c r="D6441" s="601">
        <v>1567.55</v>
      </c>
    </row>
    <row r="6442" spans="1:4" ht="40.5">
      <c r="A6442" s="402">
        <v>92564</v>
      </c>
      <c r="B6442" s="403" t="s">
        <v>5377</v>
      </c>
      <c r="C6442" s="402" t="s">
        <v>35</v>
      </c>
      <c r="D6442" s="601">
        <v>1604.67</v>
      </c>
    </row>
    <row r="6443" spans="1:4" ht="40.5">
      <c r="A6443" s="402">
        <v>92565</v>
      </c>
      <c r="B6443" s="403" t="s">
        <v>2831</v>
      </c>
      <c r="C6443" s="402" t="s">
        <v>48</v>
      </c>
      <c r="D6443" s="601">
        <v>19.96</v>
      </c>
    </row>
    <row r="6444" spans="1:4" ht="40.5">
      <c r="A6444" s="402">
        <v>92566</v>
      </c>
      <c r="B6444" s="403" t="s">
        <v>2832</v>
      </c>
      <c r="C6444" s="402" t="s">
        <v>48</v>
      </c>
      <c r="D6444" s="601">
        <v>11.42</v>
      </c>
    </row>
    <row r="6445" spans="1:4" ht="40.5">
      <c r="A6445" s="402">
        <v>92567</v>
      </c>
      <c r="B6445" s="403" t="s">
        <v>2833</v>
      </c>
      <c r="C6445" s="402" t="s">
        <v>48</v>
      </c>
      <c r="D6445" s="601">
        <v>17.52</v>
      </c>
    </row>
    <row r="6446" spans="1:4" ht="40.5">
      <c r="A6446" s="402">
        <v>100379</v>
      </c>
      <c r="B6446" s="403" t="s">
        <v>5378</v>
      </c>
      <c r="C6446" s="402" t="s">
        <v>48</v>
      </c>
      <c r="D6446" s="601">
        <v>19.96</v>
      </c>
    </row>
    <row r="6447" spans="1:4" ht="40.5">
      <c r="A6447" s="402">
        <v>100380</v>
      </c>
      <c r="B6447" s="403" t="s">
        <v>5379</v>
      </c>
      <c r="C6447" s="402" t="s">
        <v>48</v>
      </c>
      <c r="D6447" s="601">
        <v>27.18</v>
      </c>
    </row>
    <row r="6448" spans="1:4" ht="40.5">
      <c r="A6448" s="402">
        <v>100381</v>
      </c>
      <c r="B6448" s="403" t="s">
        <v>5380</v>
      </c>
      <c r="C6448" s="402" t="s">
        <v>48</v>
      </c>
      <c r="D6448" s="601">
        <v>30.94</v>
      </c>
    </row>
    <row r="6449" spans="1:4" ht="54">
      <c r="A6449" s="402">
        <v>100383</v>
      </c>
      <c r="B6449" s="403" t="s">
        <v>5381</v>
      </c>
      <c r="C6449" s="402" t="s">
        <v>48</v>
      </c>
      <c r="D6449" s="601">
        <v>12.56</v>
      </c>
    </row>
    <row r="6450" spans="1:4" ht="54">
      <c r="A6450" s="402">
        <v>100384</v>
      </c>
      <c r="B6450" s="403" t="s">
        <v>5382</v>
      </c>
      <c r="C6450" s="402" t="s">
        <v>48</v>
      </c>
      <c r="D6450" s="601">
        <v>13.38</v>
      </c>
    </row>
    <row r="6451" spans="1:4" ht="40.5">
      <c r="A6451" s="402">
        <v>100385</v>
      </c>
      <c r="B6451" s="403" t="s">
        <v>5383</v>
      </c>
      <c r="C6451" s="402" t="s">
        <v>48</v>
      </c>
      <c r="D6451" s="601">
        <v>17.52</v>
      </c>
    </row>
    <row r="6452" spans="1:4" ht="40.5">
      <c r="A6452" s="402">
        <v>100386</v>
      </c>
      <c r="B6452" s="403" t="s">
        <v>5384</v>
      </c>
      <c r="C6452" s="402" t="s">
        <v>48</v>
      </c>
      <c r="D6452" s="601">
        <v>22.99</v>
      </c>
    </row>
    <row r="6453" spans="1:4" ht="40.5">
      <c r="A6453" s="402">
        <v>100387</v>
      </c>
      <c r="B6453" s="403" t="s">
        <v>5385</v>
      </c>
      <c r="C6453" s="402" t="s">
        <v>48</v>
      </c>
      <c r="D6453" s="601">
        <v>28.03</v>
      </c>
    </row>
    <row r="6454" spans="1:4" ht="27">
      <c r="A6454" s="402">
        <v>100388</v>
      </c>
      <c r="B6454" s="403" t="s">
        <v>5386</v>
      </c>
      <c r="C6454" s="402" t="s">
        <v>48</v>
      </c>
      <c r="D6454" s="601">
        <v>11.32</v>
      </c>
    </row>
    <row r="6455" spans="1:4" ht="27">
      <c r="A6455" s="402">
        <v>100389</v>
      </c>
      <c r="B6455" s="403" t="s">
        <v>5387</v>
      </c>
      <c r="C6455" s="402" t="s">
        <v>48</v>
      </c>
      <c r="D6455" s="601">
        <v>10.130000000000001</v>
      </c>
    </row>
    <row r="6456" spans="1:4" ht="27">
      <c r="A6456" s="402">
        <v>100390</v>
      </c>
      <c r="B6456" s="403" t="s">
        <v>5388</v>
      </c>
      <c r="C6456" s="402" t="s">
        <v>48</v>
      </c>
      <c r="D6456" s="601">
        <v>13.79</v>
      </c>
    </row>
    <row r="6457" spans="1:4" ht="27">
      <c r="A6457" s="402">
        <v>100391</v>
      </c>
      <c r="B6457" s="403" t="s">
        <v>5389</v>
      </c>
      <c r="C6457" s="402" t="s">
        <v>48</v>
      </c>
      <c r="D6457" s="601">
        <v>11.84</v>
      </c>
    </row>
    <row r="6458" spans="1:4" ht="27">
      <c r="A6458" s="402">
        <v>100392</v>
      </c>
      <c r="B6458" s="403" t="s">
        <v>5390</v>
      </c>
      <c r="C6458" s="402" t="s">
        <v>48</v>
      </c>
      <c r="D6458" s="601">
        <v>8.91</v>
      </c>
    </row>
    <row r="6459" spans="1:4" ht="27">
      <c r="A6459" s="402">
        <v>100393</v>
      </c>
      <c r="B6459" s="403" t="s">
        <v>5391</v>
      </c>
      <c r="C6459" s="402" t="s">
        <v>48</v>
      </c>
      <c r="D6459" s="601">
        <v>11.63</v>
      </c>
    </row>
    <row r="6460" spans="1:4" ht="27">
      <c r="A6460" s="402">
        <v>100394</v>
      </c>
      <c r="B6460" s="403" t="s">
        <v>5392</v>
      </c>
      <c r="C6460" s="402" t="s">
        <v>48</v>
      </c>
      <c r="D6460" s="601">
        <v>10.85</v>
      </c>
    </row>
    <row r="6461" spans="1:4" ht="27">
      <c r="A6461" s="402">
        <v>100395</v>
      </c>
      <c r="B6461" s="403" t="s">
        <v>5393</v>
      </c>
      <c r="C6461" s="402" t="s">
        <v>48</v>
      </c>
      <c r="D6461" s="601">
        <v>14.11</v>
      </c>
    </row>
    <row r="6462" spans="1:4" ht="27">
      <c r="A6462" s="402">
        <v>94189</v>
      </c>
      <c r="B6462" s="403" t="s">
        <v>5394</v>
      </c>
      <c r="C6462" s="402" t="s">
        <v>48</v>
      </c>
      <c r="D6462" s="601">
        <v>27.81</v>
      </c>
    </row>
    <row r="6463" spans="1:4" ht="27">
      <c r="A6463" s="402">
        <v>94192</v>
      </c>
      <c r="B6463" s="403" t="s">
        <v>5395</v>
      </c>
      <c r="C6463" s="402" t="s">
        <v>48</v>
      </c>
      <c r="D6463" s="601">
        <v>29.6</v>
      </c>
    </row>
    <row r="6464" spans="1:4" ht="27">
      <c r="A6464" s="402">
        <v>94195</v>
      </c>
      <c r="B6464" s="403" t="s">
        <v>5396</v>
      </c>
      <c r="C6464" s="402" t="s">
        <v>48</v>
      </c>
      <c r="D6464" s="601">
        <v>38.07</v>
      </c>
    </row>
    <row r="6465" spans="1:4" ht="27">
      <c r="A6465" s="402">
        <v>94198</v>
      </c>
      <c r="B6465" s="403" t="s">
        <v>5397</v>
      </c>
      <c r="C6465" s="402" t="s">
        <v>48</v>
      </c>
      <c r="D6465" s="601">
        <v>40.44</v>
      </c>
    </row>
    <row r="6466" spans="1:4" ht="27">
      <c r="A6466" s="402">
        <v>94201</v>
      </c>
      <c r="B6466" s="403" t="s">
        <v>5398</v>
      </c>
      <c r="C6466" s="402" t="s">
        <v>48</v>
      </c>
      <c r="D6466" s="601">
        <v>53.43</v>
      </c>
    </row>
    <row r="6467" spans="1:4" ht="27">
      <c r="A6467" s="402">
        <v>94204</v>
      </c>
      <c r="B6467" s="403" t="s">
        <v>5399</v>
      </c>
      <c r="C6467" s="402" t="s">
        <v>48</v>
      </c>
      <c r="D6467" s="601">
        <v>57.45</v>
      </c>
    </row>
    <row r="6468" spans="1:4" ht="13.5">
      <c r="A6468" s="402">
        <v>94224</v>
      </c>
      <c r="B6468" s="403" t="s">
        <v>5400</v>
      </c>
      <c r="C6468" s="402" t="s">
        <v>17</v>
      </c>
      <c r="D6468" s="601">
        <v>17.43</v>
      </c>
    </row>
    <row r="6469" spans="1:4" ht="27">
      <c r="A6469" s="402">
        <v>94225</v>
      </c>
      <c r="B6469" s="403" t="s">
        <v>5401</v>
      </c>
      <c r="C6469" s="402" t="s">
        <v>48</v>
      </c>
      <c r="D6469" s="601">
        <v>23.54</v>
      </c>
    </row>
    <row r="6470" spans="1:4" ht="27">
      <c r="A6470" s="402">
        <v>94226</v>
      </c>
      <c r="B6470" s="403" t="s">
        <v>5402</v>
      </c>
      <c r="C6470" s="402" t="s">
        <v>48</v>
      </c>
      <c r="D6470" s="601">
        <v>13.65</v>
      </c>
    </row>
    <row r="6471" spans="1:4" ht="13.5">
      <c r="A6471" s="402">
        <v>94232</v>
      </c>
      <c r="B6471" s="403" t="s">
        <v>5403</v>
      </c>
      <c r="C6471" s="402" t="s">
        <v>35</v>
      </c>
      <c r="D6471" s="601">
        <v>2</v>
      </c>
    </row>
    <row r="6472" spans="1:4" ht="27">
      <c r="A6472" s="402">
        <v>94440</v>
      </c>
      <c r="B6472" s="403" t="s">
        <v>5404</v>
      </c>
      <c r="C6472" s="402" t="s">
        <v>48</v>
      </c>
      <c r="D6472" s="601">
        <v>38.07</v>
      </c>
    </row>
    <row r="6473" spans="1:4" ht="27">
      <c r="A6473" s="402">
        <v>94441</v>
      </c>
      <c r="B6473" s="403" t="s">
        <v>5405</v>
      </c>
      <c r="C6473" s="402" t="s">
        <v>48</v>
      </c>
      <c r="D6473" s="601">
        <v>40.44</v>
      </c>
    </row>
    <row r="6474" spans="1:4" ht="27">
      <c r="A6474" s="402">
        <v>94442</v>
      </c>
      <c r="B6474" s="403" t="s">
        <v>5406</v>
      </c>
      <c r="C6474" s="402" t="s">
        <v>48</v>
      </c>
      <c r="D6474" s="601">
        <v>38.07</v>
      </c>
    </row>
    <row r="6475" spans="1:4" ht="27">
      <c r="A6475" s="402">
        <v>94443</v>
      </c>
      <c r="B6475" s="403" t="s">
        <v>5407</v>
      </c>
      <c r="C6475" s="402" t="s">
        <v>48</v>
      </c>
      <c r="D6475" s="601">
        <v>40.44</v>
      </c>
    </row>
    <row r="6476" spans="1:4" ht="27">
      <c r="A6476" s="402">
        <v>94445</v>
      </c>
      <c r="B6476" s="403" t="s">
        <v>5408</v>
      </c>
      <c r="C6476" s="402" t="s">
        <v>48</v>
      </c>
      <c r="D6476" s="601">
        <v>53.43</v>
      </c>
    </row>
    <row r="6477" spans="1:4" ht="27">
      <c r="A6477" s="402">
        <v>94446</v>
      </c>
      <c r="B6477" s="403" t="s">
        <v>5409</v>
      </c>
      <c r="C6477" s="402" t="s">
        <v>48</v>
      </c>
      <c r="D6477" s="601">
        <v>57.45</v>
      </c>
    </row>
    <row r="6478" spans="1:4" ht="27">
      <c r="A6478" s="402">
        <v>94447</v>
      </c>
      <c r="B6478" s="403" t="s">
        <v>5410</v>
      </c>
      <c r="C6478" s="402" t="s">
        <v>48</v>
      </c>
      <c r="D6478" s="601">
        <v>53.43</v>
      </c>
    </row>
    <row r="6479" spans="1:4" ht="27">
      <c r="A6479" s="402">
        <v>94448</v>
      </c>
      <c r="B6479" s="403" t="s">
        <v>5411</v>
      </c>
      <c r="C6479" s="402" t="s">
        <v>48</v>
      </c>
      <c r="D6479" s="601">
        <v>57.45</v>
      </c>
    </row>
    <row r="6480" spans="1:4" ht="40.5">
      <c r="A6480" s="402">
        <v>94207</v>
      </c>
      <c r="B6480" s="403" t="s">
        <v>5412</v>
      </c>
      <c r="C6480" s="402" t="s">
        <v>48</v>
      </c>
      <c r="D6480" s="601">
        <v>33.729999999999997</v>
      </c>
    </row>
    <row r="6481" spans="1:4" ht="40.5">
      <c r="A6481" s="402">
        <v>94210</v>
      </c>
      <c r="B6481" s="403" t="s">
        <v>5413</v>
      </c>
      <c r="C6481" s="402" t="s">
        <v>48</v>
      </c>
      <c r="D6481" s="601">
        <v>35.86</v>
      </c>
    </row>
    <row r="6482" spans="1:4" ht="27">
      <c r="A6482" s="402">
        <v>94218</v>
      </c>
      <c r="B6482" s="403" t="s">
        <v>5414</v>
      </c>
      <c r="C6482" s="402" t="s">
        <v>48</v>
      </c>
      <c r="D6482" s="601">
        <v>74.87</v>
      </c>
    </row>
    <row r="6483" spans="1:4" ht="27">
      <c r="A6483" s="402">
        <v>94213</v>
      </c>
      <c r="B6483" s="403" t="s">
        <v>5415</v>
      </c>
      <c r="C6483" s="402" t="s">
        <v>48</v>
      </c>
      <c r="D6483" s="601">
        <v>43.65</v>
      </c>
    </row>
    <row r="6484" spans="1:4" ht="27">
      <c r="A6484" s="402">
        <v>94216</v>
      </c>
      <c r="B6484" s="403" t="s">
        <v>5416</v>
      </c>
      <c r="C6484" s="402" t="s">
        <v>48</v>
      </c>
      <c r="D6484" s="601">
        <v>124.7</v>
      </c>
    </row>
    <row r="6485" spans="1:4" ht="40.5">
      <c r="A6485" s="402">
        <v>94219</v>
      </c>
      <c r="B6485" s="403" t="s">
        <v>5417</v>
      </c>
      <c r="C6485" s="402" t="s">
        <v>17</v>
      </c>
      <c r="D6485" s="601">
        <v>27.14</v>
      </c>
    </row>
    <row r="6486" spans="1:4" ht="40.5">
      <c r="A6486" s="402">
        <v>94220</v>
      </c>
      <c r="B6486" s="403" t="s">
        <v>5418</v>
      </c>
      <c r="C6486" s="402" t="s">
        <v>17</v>
      </c>
      <c r="D6486" s="601">
        <v>38.21</v>
      </c>
    </row>
    <row r="6487" spans="1:4" ht="40.5">
      <c r="A6487" s="402">
        <v>94221</v>
      </c>
      <c r="B6487" s="403" t="s">
        <v>5419</v>
      </c>
      <c r="C6487" s="402" t="s">
        <v>17</v>
      </c>
      <c r="D6487" s="601">
        <v>22.47</v>
      </c>
    </row>
    <row r="6488" spans="1:4" ht="40.5">
      <c r="A6488" s="402">
        <v>94222</v>
      </c>
      <c r="B6488" s="403" t="s">
        <v>5420</v>
      </c>
      <c r="C6488" s="402" t="s">
        <v>17</v>
      </c>
      <c r="D6488" s="601">
        <v>33.54</v>
      </c>
    </row>
    <row r="6489" spans="1:4" ht="27">
      <c r="A6489" s="402">
        <v>94223</v>
      </c>
      <c r="B6489" s="403" t="s">
        <v>5421</v>
      </c>
      <c r="C6489" s="402" t="s">
        <v>17</v>
      </c>
      <c r="D6489" s="601">
        <v>42.36</v>
      </c>
    </row>
    <row r="6490" spans="1:4" ht="27">
      <c r="A6490" s="402">
        <v>94451</v>
      </c>
      <c r="B6490" s="403" t="s">
        <v>5422</v>
      </c>
      <c r="C6490" s="402" t="s">
        <v>17</v>
      </c>
      <c r="D6490" s="601">
        <v>97.15</v>
      </c>
    </row>
    <row r="6491" spans="1:4" ht="27">
      <c r="A6491" s="402">
        <v>100325</v>
      </c>
      <c r="B6491" s="403" t="s">
        <v>5423</v>
      </c>
      <c r="C6491" s="402" t="s">
        <v>17</v>
      </c>
      <c r="D6491" s="601">
        <v>40.74</v>
      </c>
    </row>
    <row r="6492" spans="1:4" ht="27">
      <c r="A6492" s="402">
        <v>100327</v>
      </c>
      <c r="B6492" s="403" t="s">
        <v>5424</v>
      </c>
      <c r="C6492" s="402" t="s">
        <v>17</v>
      </c>
      <c r="D6492" s="601">
        <v>39.96</v>
      </c>
    </row>
    <row r="6493" spans="1:4" ht="27">
      <c r="A6493" s="402">
        <v>100328</v>
      </c>
      <c r="B6493" s="403" t="s">
        <v>5425</v>
      </c>
      <c r="C6493" s="402" t="s">
        <v>48</v>
      </c>
      <c r="D6493" s="601">
        <v>12.19</v>
      </c>
    </row>
    <row r="6494" spans="1:4" ht="27">
      <c r="A6494" s="402">
        <v>100329</v>
      </c>
      <c r="B6494" s="403" t="s">
        <v>5426</v>
      </c>
      <c r="C6494" s="402" t="s">
        <v>48</v>
      </c>
      <c r="D6494" s="601">
        <v>14.56</v>
      </c>
    </row>
    <row r="6495" spans="1:4" ht="27">
      <c r="A6495" s="402">
        <v>100330</v>
      </c>
      <c r="B6495" s="403" t="s">
        <v>5427</v>
      </c>
      <c r="C6495" s="402" t="s">
        <v>48</v>
      </c>
      <c r="D6495" s="601">
        <v>16.559999999999999</v>
      </c>
    </row>
    <row r="6496" spans="1:4" ht="27">
      <c r="A6496" s="402">
        <v>100331</v>
      </c>
      <c r="B6496" s="403" t="s">
        <v>5428</v>
      </c>
      <c r="C6496" s="402" t="s">
        <v>48</v>
      </c>
      <c r="D6496" s="601">
        <v>20.6</v>
      </c>
    </row>
    <row r="6497" spans="1:4" ht="40.5">
      <c r="A6497" s="402">
        <v>100434</v>
      </c>
      <c r="B6497" s="403" t="s">
        <v>5429</v>
      </c>
      <c r="C6497" s="402" t="s">
        <v>17</v>
      </c>
      <c r="D6497" s="601">
        <v>47.71</v>
      </c>
    </row>
    <row r="6498" spans="1:4" ht="27">
      <c r="A6498" s="402">
        <v>100435</v>
      </c>
      <c r="B6498" s="403" t="s">
        <v>5430</v>
      </c>
      <c r="C6498" s="402" t="s">
        <v>17</v>
      </c>
      <c r="D6498" s="601">
        <v>22.68</v>
      </c>
    </row>
    <row r="6499" spans="1:4" ht="27">
      <c r="A6499" s="402">
        <v>94227</v>
      </c>
      <c r="B6499" s="403" t="s">
        <v>5431</v>
      </c>
      <c r="C6499" s="402" t="s">
        <v>17</v>
      </c>
      <c r="D6499" s="601">
        <v>44.69</v>
      </c>
    </row>
    <row r="6500" spans="1:4" ht="27">
      <c r="A6500" s="402">
        <v>94228</v>
      </c>
      <c r="B6500" s="403" t="s">
        <v>5432</v>
      </c>
      <c r="C6500" s="402" t="s">
        <v>17</v>
      </c>
      <c r="D6500" s="601">
        <v>59.9</v>
      </c>
    </row>
    <row r="6501" spans="1:4" ht="27">
      <c r="A6501" s="402">
        <v>94229</v>
      </c>
      <c r="B6501" s="403" t="s">
        <v>5433</v>
      </c>
      <c r="C6501" s="402" t="s">
        <v>17</v>
      </c>
      <c r="D6501" s="601">
        <v>115.72</v>
      </c>
    </row>
    <row r="6502" spans="1:4" ht="27">
      <c r="A6502" s="402">
        <v>94231</v>
      </c>
      <c r="B6502" s="403" t="s">
        <v>5434</v>
      </c>
      <c r="C6502" s="402" t="s">
        <v>17</v>
      </c>
      <c r="D6502" s="601">
        <v>36.020000000000003</v>
      </c>
    </row>
    <row r="6503" spans="1:4" ht="27">
      <c r="A6503" s="402">
        <v>94449</v>
      </c>
      <c r="B6503" s="403" t="s">
        <v>5435</v>
      </c>
      <c r="C6503" s="402" t="s">
        <v>48</v>
      </c>
      <c r="D6503" s="601">
        <v>43.27</v>
      </c>
    </row>
    <row r="6504" spans="1:4" ht="27">
      <c r="A6504" s="402">
        <v>92255</v>
      </c>
      <c r="B6504" s="403" t="s">
        <v>5436</v>
      </c>
      <c r="C6504" s="402" t="s">
        <v>35</v>
      </c>
      <c r="D6504" s="601">
        <v>123.56</v>
      </c>
    </row>
    <row r="6505" spans="1:4" ht="27">
      <c r="A6505" s="402">
        <v>92256</v>
      </c>
      <c r="B6505" s="403" t="s">
        <v>5437</v>
      </c>
      <c r="C6505" s="402" t="s">
        <v>35</v>
      </c>
      <c r="D6505" s="601">
        <v>147.61000000000001</v>
      </c>
    </row>
    <row r="6506" spans="1:4" ht="27">
      <c r="A6506" s="402">
        <v>92257</v>
      </c>
      <c r="B6506" s="403" t="s">
        <v>5438</v>
      </c>
      <c r="C6506" s="402" t="s">
        <v>35</v>
      </c>
      <c r="D6506" s="601">
        <v>171.5</v>
      </c>
    </row>
    <row r="6507" spans="1:4" ht="27">
      <c r="A6507" s="402">
        <v>92258</v>
      </c>
      <c r="B6507" s="403" t="s">
        <v>5439</v>
      </c>
      <c r="C6507" s="402" t="s">
        <v>35</v>
      </c>
      <c r="D6507" s="601">
        <v>209.91</v>
      </c>
    </row>
    <row r="6508" spans="1:4" ht="40.5">
      <c r="A6508" s="402">
        <v>92568</v>
      </c>
      <c r="B6508" s="403" t="s">
        <v>5440</v>
      </c>
      <c r="C6508" s="402" t="s">
        <v>48</v>
      </c>
      <c r="D6508" s="601">
        <v>73.8</v>
      </c>
    </row>
    <row r="6509" spans="1:4" ht="40.5">
      <c r="A6509" s="402">
        <v>92569</v>
      </c>
      <c r="B6509" s="403" t="s">
        <v>5441</v>
      </c>
      <c r="C6509" s="402" t="s">
        <v>48</v>
      </c>
      <c r="D6509" s="601">
        <v>40.76</v>
      </c>
    </row>
    <row r="6510" spans="1:4" ht="27">
      <c r="A6510" s="402">
        <v>92570</v>
      </c>
      <c r="B6510" s="403" t="s">
        <v>5442</v>
      </c>
      <c r="C6510" s="402" t="s">
        <v>48</v>
      </c>
      <c r="D6510" s="601">
        <v>25.56</v>
      </c>
    </row>
    <row r="6511" spans="1:4" ht="40.5">
      <c r="A6511" s="402">
        <v>92571</v>
      </c>
      <c r="B6511" s="403" t="s">
        <v>5443</v>
      </c>
      <c r="C6511" s="402" t="s">
        <v>48</v>
      </c>
      <c r="D6511" s="601">
        <v>78.510000000000005</v>
      </c>
    </row>
    <row r="6512" spans="1:4" ht="40.5">
      <c r="A6512" s="402">
        <v>92572</v>
      </c>
      <c r="B6512" s="403" t="s">
        <v>5444</v>
      </c>
      <c r="C6512" s="402" t="s">
        <v>48</v>
      </c>
      <c r="D6512" s="601">
        <v>46.66</v>
      </c>
    </row>
    <row r="6513" spans="1:4" ht="40.5">
      <c r="A6513" s="402">
        <v>92573</v>
      </c>
      <c r="B6513" s="403" t="s">
        <v>5445</v>
      </c>
      <c r="C6513" s="402" t="s">
        <v>48</v>
      </c>
      <c r="D6513" s="601">
        <v>27.57</v>
      </c>
    </row>
    <row r="6514" spans="1:4" ht="40.5">
      <c r="A6514" s="402">
        <v>92574</v>
      </c>
      <c r="B6514" s="403" t="s">
        <v>5446</v>
      </c>
      <c r="C6514" s="402" t="s">
        <v>48</v>
      </c>
      <c r="D6514" s="601">
        <v>75.010000000000005</v>
      </c>
    </row>
    <row r="6515" spans="1:4" ht="27">
      <c r="A6515" s="402">
        <v>92575</v>
      </c>
      <c r="B6515" s="403" t="s">
        <v>5447</v>
      </c>
      <c r="C6515" s="402" t="s">
        <v>48</v>
      </c>
      <c r="D6515" s="601">
        <v>37.39</v>
      </c>
    </row>
    <row r="6516" spans="1:4" ht="27">
      <c r="A6516" s="402">
        <v>92576</v>
      </c>
      <c r="B6516" s="403" t="s">
        <v>5448</v>
      </c>
      <c r="C6516" s="402" t="s">
        <v>48</v>
      </c>
      <c r="D6516" s="601">
        <v>20.23</v>
      </c>
    </row>
    <row r="6517" spans="1:4" ht="40.5">
      <c r="A6517" s="402">
        <v>92577</v>
      </c>
      <c r="B6517" s="403" t="s">
        <v>5449</v>
      </c>
      <c r="C6517" s="402" t="s">
        <v>48</v>
      </c>
      <c r="D6517" s="601">
        <v>79.97</v>
      </c>
    </row>
    <row r="6518" spans="1:4" ht="27">
      <c r="A6518" s="402">
        <v>92578</v>
      </c>
      <c r="B6518" s="403" t="s">
        <v>5450</v>
      </c>
      <c r="C6518" s="402" t="s">
        <v>48</v>
      </c>
      <c r="D6518" s="601">
        <v>40.14</v>
      </c>
    </row>
    <row r="6519" spans="1:4" ht="27">
      <c r="A6519" s="402">
        <v>92579</v>
      </c>
      <c r="B6519" s="403" t="s">
        <v>5451</v>
      </c>
      <c r="C6519" s="402" t="s">
        <v>48</v>
      </c>
      <c r="D6519" s="601">
        <v>21.84</v>
      </c>
    </row>
    <row r="6520" spans="1:4" ht="40.5">
      <c r="A6520" s="402">
        <v>92580</v>
      </c>
      <c r="B6520" s="403" t="s">
        <v>5452</v>
      </c>
      <c r="C6520" s="402" t="s">
        <v>48</v>
      </c>
      <c r="D6520" s="601">
        <v>27.27</v>
      </c>
    </row>
    <row r="6521" spans="1:4" ht="27">
      <c r="A6521" s="402">
        <v>92581</v>
      </c>
      <c r="B6521" s="403" t="s">
        <v>5453</v>
      </c>
      <c r="C6521" s="402" t="s">
        <v>48</v>
      </c>
      <c r="D6521" s="601">
        <v>28.42</v>
      </c>
    </row>
    <row r="6522" spans="1:4" ht="27">
      <c r="A6522" s="402">
        <v>92582</v>
      </c>
      <c r="B6522" s="403" t="s">
        <v>2834</v>
      </c>
      <c r="C6522" s="402" t="s">
        <v>35</v>
      </c>
      <c r="D6522" s="601">
        <v>413.02</v>
      </c>
    </row>
    <row r="6523" spans="1:4" ht="27">
      <c r="A6523" s="402">
        <v>92584</v>
      </c>
      <c r="B6523" s="403" t="s">
        <v>2835</v>
      </c>
      <c r="C6523" s="402" t="s">
        <v>35</v>
      </c>
      <c r="D6523" s="601">
        <v>480.88</v>
      </c>
    </row>
    <row r="6524" spans="1:4" ht="27">
      <c r="A6524" s="402">
        <v>92586</v>
      </c>
      <c r="B6524" s="403" t="s">
        <v>2836</v>
      </c>
      <c r="C6524" s="402" t="s">
        <v>35</v>
      </c>
      <c r="D6524" s="601">
        <v>548.72</v>
      </c>
    </row>
    <row r="6525" spans="1:4" ht="27">
      <c r="A6525" s="402">
        <v>92588</v>
      </c>
      <c r="B6525" s="403" t="s">
        <v>2837</v>
      </c>
      <c r="C6525" s="402" t="s">
        <v>35</v>
      </c>
      <c r="D6525" s="601">
        <v>688.23</v>
      </c>
    </row>
    <row r="6526" spans="1:4" ht="27">
      <c r="A6526" s="402">
        <v>92590</v>
      </c>
      <c r="B6526" s="403" t="s">
        <v>2838</v>
      </c>
      <c r="C6526" s="402" t="s">
        <v>35</v>
      </c>
      <c r="D6526" s="601">
        <v>756.07</v>
      </c>
    </row>
    <row r="6527" spans="1:4" ht="27">
      <c r="A6527" s="402">
        <v>92592</v>
      </c>
      <c r="B6527" s="403" t="s">
        <v>2839</v>
      </c>
      <c r="C6527" s="402" t="s">
        <v>35</v>
      </c>
      <c r="D6527" s="601">
        <v>847.81</v>
      </c>
    </row>
    <row r="6528" spans="1:4" ht="40.5">
      <c r="A6528" s="402">
        <v>92593</v>
      </c>
      <c r="B6528" s="403" t="s">
        <v>648</v>
      </c>
      <c r="C6528" s="402" t="s">
        <v>20</v>
      </c>
      <c r="D6528" s="601">
        <v>6.42</v>
      </c>
    </row>
    <row r="6529" spans="1:4" ht="27">
      <c r="A6529" s="402">
        <v>92594</v>
      </c>
      <c r="B6529" s="403" t="s">
        <v>2840</v>
      </c>
      <c r="C6529" s="402" t="s">
        <v>35</v>
      </c>
      <c r="D6529" s="601">
        <v>980.43</v>
      </c>
    </row>
    <row r="6530" spans="1:4" ht="27">
      <c r="A6530" s="402">
        <v>92596</v>
      </c>
      <c r="B6530" s="403" t="s">
        <v>2841</v>
      </c>
      <c r="C6530" s="402" t="s">
        <v>35</v>
      </c>
      <c r="D6530" s="601">
        <v>1089.5899999999999</v>
      </c>
    </row>
    <row r="6531" spans="1:4" ht="27">
      <c r="A6531" s="402">
        <v>92598</v>
      </c>
      <c r="B6531" s="403" t="s">
        <v>2842</v>
      </c>
      <c r="C6531" s="402" t="s">
        <v>35</v>
      </c>
      <c r="D6531" s="601">
        <v>1157.45</v>
      </c>
    </row>
    <row r="6532" spans="1:4" ht="27">
      <c r="A6532" s="402">
        <v>92600</v>
      </c>
      <c r="B6532" s="403" t="s">
        <v>2843</v>
      </c>
      <c r="C6532" s="402" t="s">
        <v>35</v>
      </c>
      <c r="D6532" s="601">
        <v>1242.46</v>
      </c>
    </row>
    <row r="6533" spans="1:4" ht="40.5">
      <c r="A6533" s="402">
        <v>92602</v>
      </c>
      <c r="B6533" s="403" t="s">
        <v>2844</v>
      </c>
      <c r="C6533" s="402" t="s">
        <v>35</v>
      </c>
      <c r="D6533" s="601">
        <v>413.02</v>
      </c>
    </row>
    <row r="6534" spans="1:4" ht="40.5">
      <c r="A6534" s="402">
        <v>92604</v>
      </c>
      <c r="B6534" s="403" t="s">
        <v>2845</v>
      </c>
      <c r="C6534" s="402" t="s">
        <v>35</v>
      </c>
      <c r="D6534" s="601">
        <v>463.71</v>
      </c>
    </row>
    <row r="6535" spans="1:4" ht="40.5">
      <c r="A6535" s="402">
        <v>92606</v>
      </c>
      <c r="B6535" s="403" t="s">
        <v>2846</v>
      </c>
      <c r="C6535" s="402" t="s">
        <v>35</v>
      </c>
      <c r="D6535" s="601">
        <v>531.55999999999995</v>
      </c>
    </row>
    <row r="6536" spans="1:4" ht="40.5">
      <c r="A6536" s="402">
        <v>92608</v>
      </c>
      <c r="B6536" s="403" t="s">
        <v>2847</v>
      </c>
      <c r="C6536" s="402" t="s">
        <v>35</v>
      </c>
      <c r="D6536" s="601">
        <v>653.9</v>
      </c>
    </row>
    <row r="6537" spans="1:4" ht="40.5">
      <c r="A6537" s="402">
        <v>92610</v>
      </c>
      <c r="B6537" s="403" t="s">
        <v>2848</v>
      </c>
      <c r="C6537" s="402" t="s">
        <v>35</v>
      </c>
      <c r="D6537" s="601">
        <v>721.74</v>
      </c>
    </row>
    <row r="6538" spans="1:4" ht="40.5">
      <c r="A6538" s="402">
        <v>92612</v>
      </c>
      <c r="B6538" s="403" t="s">
        <v>2849</v>
      </c>
      <c r="C6538" s="402" t="s">
        <v>35</v>
      </c>
      <c r="D6538" s="601">
        <v>813.48</v>
      </c>
    </row>
    <row r="6539" spans="1:4" ht="40.5">
      <c r="A6539" s="402">
        <v>92614</v>
      </c>
      <c r="B6539" s="403" t="s">
        <v>2850</v>
      </c>
      <c r="C6539" s="402" t="s">
        <v>35</v>
      </c>
      <c r="D6539" s="601">
        <v>911.77</v>
      </c>
    </row>
    <row r="6540" spans="1:4" ht="40.5">
      <c r="A6540" s="402">
        <v>92616</v>
      </c>
      <c r="B6540" s="403" t="s">
        <v>2851</v>
      </c>
      <c r="C6540" s="402" t="s">
        <v>35</v>
      </c>
      <c r="D6540" s="601">
        <v>1038.0999999999999</v>
      </c>
    </row>
    <row r="6541" spans="1:4" ht="40.5">
      <c r="A6541" s="402">
        <v>92618</v>
      </c>
      <c r="B6541" s="403" t="s">
        <v>2852</v>
      </c>
      <c r="C6541" s="402" t="s">
        <v>35</v>
      </c>
      <c r="D6541" s="601">
        <v>1105.95</v>
      </c>
    </row>
    <row r="6542" spans="1:4" ht="40.5">
      <c r="A6542" s="402">
        <v>92620</v>
      </c>
      <c r="B6542" s="403" t="s">
        <v>2853</v>
      </c>
      <c r="C6542" s="402" t="s">
        <v>35</v>
      </c>
      <c r="D6542" s="601">
        <v>1173.8</v>
      </c>
    </row>
    <row r="6543" spans="1:4" ht="27">
      <c r="A6543" s="402">
        <v>100357</v>
      </c>
      <c r="B6543" s="403" t="s">
        <v>5454</v>
      </c>
      <c r="C6543" s="402" t="s">
        <v>35</v>
      </c>
      <c r="D6543" s="601">
        <v>546.65</v>
      </c>
    </row>
    <row r="6544" spans="1:4" ht="27">
      <c r="A6544" s="402">
        <v>100358</v>
      </c>
      <c r="B6544" s="403" t="s">
        <v>5455</v>
      </c>
      <c r="C6544" s="402" t="s">
        <v>35</v>
      </c>
      <c r="D6544" s="601">
        <v>759.56</v>
      </c>
    </row>
    <row r="6545" spans="1:4" ht="27">
      <c r="A6545" s="402">
        <v>100359</v>
      </c>
      <c r="B6545" s="403" t="s">
        <v>5456</v>
      </c>
      <c r="C6545" s="402" t="s">
        <v>35</v>
      </c>
      <c r="D6545" s="601">
        <v>789.17</v>
      </c>
    </row>
    <row r="6546" spans="1:4" ht="27">
      <c r="A6546" s="402">
        <v>100360</v>
      </c>
      <c r="B6546" s="403" t="s">
        <v>5457</v>
      </c>
      <c r="C6546" s="402" t="s">
        <v>35</v>
      </c>
      <c r="D6546" s="601">
        <v>871.37</v>
      </c>
    </row>
    <row r="6547" spans="1:4" ht="27">
      <c r="A6547" s="402">
        <v>100361</v>
      </c>
      <c r="B6547" s="403" t="s">
        <v>5458</v>
      </c>
      <c r="C6547" s="402" t="s">
        <v>35</v>
      </c>
      <c r="D6547" s="601">
        <v>1096.58</v>
      </c>
    </row>
    <row r="6548" spans="1:4" ht="27">
      <c r="A6548" s="402">
        <v>100362</v>
      </c>
      <c r="B6548" s="403" t="s">
        <v>5459</v>
      </c>
      <c r="C6548" s="402" t="s">
        <v>35</v>
      </c>
      <c r="D6548" s="601">
        <v>1516.78</v>
      </c>
    </row>
    <row r="6549" spans="1:4" ht="27">
      <c r="A6549" s="402">
        <v>100363</v>
      </c>
      <c r="B6549" s="403" t="s">
        <v>5460</v>
      </c>
      <c r="C6549" s="402" t="s">
        <v>35</v>
      </c>
      <c r="D6549" s="601">
        <v>1560.98</v>
      </c>
    </row>
    <row r="6550" spans="1:4" ht="27">
      <c r="A6550" s="402">
        <v>100364</v>
      </c>
      <c r="B6550" s="403" t="s">
        <v>5461</v>
      </c>
      <c r="C6550" s="402" t="s">
        <v>35</v>
      </c>
      <c r="D6550" s="601">
        <v>1689.9</v>
      </c>
    </row>
    <row r="6551" spans="1:4" ht="27">
      <c r="A6551" s="402">
        <v>100365</v>
      </c>
      <c r="B6551" s="403" t="s">
        <v>5462</v>
      </c>
      <c r="C6551" s="402" t="s">
        <v>35</v>
      </c>
      <c r="D6551" s="601">
        <v>1940.25</v>
      </c>
    </row>
    <row r="6552" spans="1:4" ht="27">
      <c r="A6552" s="402">
        <v>100366</v>
      </c>
      <c r="B6552" s="403" t="s">
        <v>5463</v>
      </c>
      <c r="C6552" s="402" t="s">
        <v>35</v>
      </c>
      <c r="D6552" s="601">
        <v>2043.13</v>
      </c>
    </row>
    <row r="6553" spans="1:4" ht="40.5">
      <c r="A6553" s="402">
        <v>100367</v>
      </c>
      <c r="B6553" s="403" t="s">
        <v>5464</v>
      </c>
      <c r="C6553" s="402" t="s">
        <v>35</v>
      </c>
      <c r="D6553" s="601">
        <v>535.54</v>
      </c>
    </row>
    <row r="6554" spans="1:4" ht="40.5">
      <c r="A6554" s="402">
        <v>100368</v>
      </c>
      <c r="B6554" s="403" t="s">
        <v>5465</v>
      </c>
      <c r="C6554" s="402" t="s">
        <v>35</v>
      </c>
      <c r="D6554" s="601">
        <v>745.31</v>
      </c>
    </row>
    <row r="6555" spans="1:4" ht="40.5">
      <c r="A6555" s="402">
        <v>100369</v>
      </c>
      <c r="B6555" s="403" t="s">
        <v>5466</v>
      </c>
      <c r="C6555" s="402" t="s">
        <v>35</v>
      </c>
      <c r="D6555" s="601">
        <v>774.93</v>
      </c>
    </row>
    <row r="6556" spans="1:4" ht="40.5">
      <c r="A6556" s="402">
        <v>100370</v>
      </c>
      <c r="B6556" s="403" t="s">
        <v>5467</v>
      </c>
      <c r="C6556" s="402" t="s">
        <v>35</v>
      </c>
      <c r="D6556" s="601">
        <v>899.05</v>
      </c>
    </row>
    <row r="6557" spans="1:4" ht="40.5">
      <c r="A6557" s="402">
        <v>100371</v>
      </c>
      <c r="B6557" s="403" t="s">
        <v>5468</v>
      </c>
      <c r="C6557" s="402" t="s">
        <v>35</v>
      </c>
      <c r="D6557" s="601">
        <v>1058.1600000000001</v>
      </c>
    </row>
    <row r="6558" spans="1:4" ht="40.5">
      <c r="A6558" s="402">
        <v>100372</v>
      </c>
      <c r="B6558" s="403" t="s">
        <v>5469</v>
      </c>
      <c r="C6558" s="402" t="s">
        <v>35</v>
      </c>
      <c r="D6558" s="601">
        <v>1455.33</v>
      </c>
    </row>
    <row r="6559" spans="1:4" ht="40.5">
      <c r="A6559" s="402">
        <v>100373</v>
      </c>
      <c r="B6559" s="403" t="s">
        <v>5470</v>
      </c>
      <c r="C6559" s="402" t="s">
        <v>35</v>
      </c>
      <c r="D6559" s="601">
        <v>1491.61</v>
      </c>
    </row>
    <row r="6560" spans="1:4" ht="40.5">
      <c r="A6560" s="402">
        <v>100374</v>
      </c>
      <c r="B6560" s="403" t="s">
        <v>5471</v>
      </c>
      <c r="C6560" s="402" t="s">
        <v>35</v>
      </c>
      <c r="D6560" s="601">
        <v>1596.19</v>
      </c>
    </row>
    <row r="6561" spans="1:4" ht="40.5">
      <c r="A6561" s="402">
        <v>100375</v>
      </c>
      <c r="B6561" s="403" t="s">
        <v>5472</v>
      </c>
      <c r="C6561" s="402" t="s">
        <v>35</v>
      </c>
      <c r="D6561" s="601">
        <v>1804.74</v>
      </c>
    </row>
    <row r="6562" spans="1:4" ht="40.5">
      <c r="A6562" s="402">
        <v>100376</v>
      </c>
      <c r="B6562" s="403" t="s">
        <v>5473</v>
      </c>
      <c r="C6562" s="402" t="s">
        <v>35</v>
      </c>
      <c r="D6562" s="601">
        <v>1767.81</v>
      </c>
    </row>
    <row r="6563" spans="1:4" ht="27">
      <c r="A6563" s="402">
        <v>100377</v>
      </c>
      <c r="B6563" s="403" t="s">
        <v>5474</v>
      </c>
      <c r="C6563" s="402" t="s">
        <v>20</v>
      </c>
      <c r="D6563" s="601">
        <v>6.78</v>
      </c>
    </row>
    <row r="6564" spans="1:4" ht="27">
      <c r="A6564" s="402">
        <v>100378</v>
      </c>
      <c r="B6564" s="403" t="s">
        <v>5475</v>
      </c>
      <c r="C6564" s="402" t="s">
        <v>20</v>
      </c>
      <c r="D6564" s="601">
        <v>6.18</v>
      </c>
    </row>
    <row r="6565" spans="1:4" ht="54">
      <c r="A6565" s="402">
        <v>100382</v>
      </c>
      <c r="B6565" s="403" t="s">
        <v>5476</v>
      </c>
      <c r="C6565" s="402" t="s">
        <v>48</v>
      </c>
      <c r="D6565" s="601">
        <v>11.42</v>
      </c>
    </row>
    <row r="6566" spans="1:4" ht="27">
      <c r="A6566" s="402">
        <v>94444</v>
      </c>
      <c r="B6566" s="403" t="s">
        <v>5477</v>
      </c>
      <c r="C6566" s="402" t="s">
        <v>48</v>
      </c>
      <c r="D6566" s="601">
        <v>690.17</v>
      </c>
    </row>
    <row r="6567" spans="1:4" ht="13.5">
      <c r="A6567" s="402" t="s">
        <v>4280</v>
      </c>
      <c r="B6567" s="403" t="s">
        <v>4281</v>
      </c>
      <c r="C6567" s="402" t="s">
        <v>17</v>
      </c>
      <c r="D6567" s="601">
        <v>27.65</v>
      </c>
    </row>
    <row r="6568" spans="1:4" ht="13.5">
      <c r="A6568" s="402" t="s">
        <v>4354</v>
      </c>
      <c r="B6568" s="403" t="s">
        <v>790</v>
      </c>
      <c r="C6568" s="402" t="s">
        <v>48</v>
      </c>
      <c r="D6568" s="601">
        <v>5.8</v>
      </c>
    </row>
    <row r="6569" spans="1:4" ht="13.5">
      <c r="A6569" s="402" t="s">
        <v>4355</v>
      </c>
      <c r="B6569" s="403" t="s">
        <v>791</v>
      </c>
      <c r="C6569" s="402" t="s">
        <v>48</v>
      </c>
      <c r="D6569" s="601">
        <v>11.35</v>
      </c>
    </row>
    <row r="6570" spans="1:4" ht="13.5">
      <c r="A6570" s="402" t="s">
        <v>4356</v>
      </c>
      <c r="B6570" s="403" t="s">
        <v>792</v>
      </c>
      <c r="C6570" s="402" t="s">
        <v>33</v>
      </c>
      <c r="D6570" s="601">
        <v>93.68</v>
      </c>
    </row>
    <row r="6571" spans="1:4" ht="13.5">
      <c r="A6571" s="402" t="s">
        <v>4357</v>
      </c>
      <c r="B6571" s="403" t="s">
        <v>793</v>
      </c>
      <c r="C6571" s="402" t="s">
        <v>33</v>
      </c>
      <c r="D6571" s="601">
        <v>120.74</v>
      </c>
    </row>
    <row r="6572" spans="1:4" ht="13.5">
      <c r="A6572" s="402" t="s">
        <v>4358</v>
      </c>
      <c r="B6572" s="403" t="s">
        <v>794</v>
      </c>
      <c r="C6572" s="402" t="s">
        <v>33</v>
      </c>
      <c r="D6572" s="601">
        <v>74.430000000000007</v>
      </c>
    </row>
    <row r="6573" spans="1:4" ht="27">
      <c r="A6573" s="402" t="s">
        <v>4365</v>
      </c>
      <c r="B6573" s="403" t="s">
        <v>4366</v>
      </c>
      <c r="C6573" s="402" t="s">
        <v>17</v>
      </c>
      <c r="D6573" s="601">
        <v>69.849999999999994</v>
      </c>
    </row>
    <row r="6574" spans="1:4" ht="27">
      <c r="A6574" s="402" t="s">
        <v>4372</v>
      </c>
      <c r="B6574" s="403" t="s">
        <v>4373</v>
      </c>
      <c r="C6574" s="402" t="s">
        <v>17</v>
      </c>
      <c r="D6574" s="601">
        <v>47.34</v>
      </c>
    </row>
    <row r="6575" spans="1:4" ht="27">
      <c r="A6575" s="402" t="s">
        <v>4374</v>
      </c>
      <c r="B6575" s="403" t="s">
        <v>4375</v>
      </c>
      <c r="C6575" s="402" t="s">
        <v>17</v>
      </c>
      <c r="D6575" s="601">
        <v>63.24</v>
      </c>
    </row>
    <row r="6576" spans="1:4" ht="27">
      <c r="A6576" s="402" t="s">
        <v>4444</v>
      </c>
      <c r="B6576" s="403" t="s">
        <v>4445</v>
      </c>
      <c r="C6576" s="402" t="s">
        <v>17</v>
      </c>
      <c r="D6576" s="601">
        <v>39.85</v>
      </c>
    </row>
    <row r="6577" spans="1:4" ht="13.5">
      <c r="A6577" s="402">
        <v>83651</v>
      </c>
      <c r="B6577" s="403" t="s">
        <v>177</v>
      </c>
      <c r="C6577" s="402" t="s">
        <v>17</v>
      </c>
      <c r="D6577" s="601">
        <v>30.3</v>
      </c>
    </row>
    <row r="6578" spans="1:4" ht="40.5">
      <c r="A6578" s="402">
        <v>83658</v>
      </c>
      <c r="B6578" s="403" t="s">
        <v>1207</v>
      </c>
      <c r="C6578" s="402" t="s">
        <v>17</v>
      </c>
      <c r="D6578" s="601">
        <v>156.06</v>
      </c>
    </row>
    <row r="6579" spans="1:4" ht="13.5">
      <c r="A6579" s="402">
        <v>83661</v>
      </c>
      <c r="B6579" s="403" t="s">
        <v>178</v>
      </c>
      <c r="C6579" s="402" t="s">
        <v>17</v>
      </c>
      <c r="D6579" s="601">
        <v>103.86</v>
      </c>
    </row>
    <row r="6580" spans="1:4" ht="13.5">
      <c r="A6580" s="402">
        <v>83662</v>
      </c>
      <c r="B6580" s="403" t="s">
        <v>179</v>
      </c>
      <c r="C6580" s="402" t="s">
        <v>33</v>
      </c>
      <c r="D6580" s="601">
        <v>107.56</v>
      </c>
    </row>
    <row r="6581" spans="1:4" ht="27">
      <c r="A6581" s="402">
        <v>83664</v>
      </c>
      <c r="B6581" s="403" t="s">
        <v>1209</v>
      </c>
      <c r="C6581" s="402" t="s">
        <v>17</v>
      </c>
      <c r="D6581" s="601">
        <v>63.85</v>
      </c>
    </row>
    <row r="6582" spans="1:4" ht="13.5">
      <c r="A6582" s="402">
        <v>83670</v>
      </c>
      <c r="B6582" s="403" t="s">
        <v>180</v>
      </c>
      <c r="C6582" s="402" t="s">
        <v>17</v>
      </c>
      <c r="D6582" s="601">
        <v>44.41</v>
      </c>
    </row>
    <row r="6583" spans="1:4" ht="13.5">
      <c r="A6583" s="402">
        <v>83671</v>
      </c>
      <c r="B6583" s="403" t="s">
        <v>181</v>
      </c>
      <c r="C6583" s="402" t="s">
        <v>17</v>
      </c>
      <c r="D6583" s="601">
        <v>47.75</v>
      </c>
    </row>
    <row r="6584" spans="1:4" ht="27">
      <c r="A6584" s="402">
        <v>83679</v>
      </c>
      <c r="B6584" s="403" t="s">
        <v>1210</v>
      </c>
      <c r="C6584" s="402" t="s">
        <v>17</v>
      </c>
      <c r="D6584" s="601">
        <v>13.74</v>
      </c>
    </row>
    <row r="6585" spans="1:4" ht="27">
      <c r="A6585" s="402">
        <v>83680</v>
      </c>
      <c r="B6585" s="403" t="s">
        <v>182</v>
      </c>
      <c r="C6585" s="402" t="s">
        <v>17</v>
      </c>
      <c r="D6585" s="601">
        <v>16.71</v>
      </c>
    </row>
    <row r="6586" spans="1:4" ht="27">
      <c r="A6586" s="402">
        <v>83681</v>
      </c>
      <c r="B6586" s="403" t="s">
        <v>183</v>
      </c>
      <c r="C6586" s="402" t="s">
        <v>17</v>
      </c>
      <c r="D6586" s="601">
        <v>18.07</v>
      </c>
    </row>
    <row r="6587" spans="1:4" ht="40.5">
      <c r="A6587" s="402">
        <v>92743</v>
      </c>
      <c r="B6587" s="403" t="s">
        <v>4744</v>
      </c>
      <c r="C6587" s="402" t="s">
        <v>33</v>
      </c>
      <c r="D6587" s="601">
        <v>495.16</v>
      </c>
    </row>
    <row r="6588" spans="1:4" ht="40.5">
      <c r="A6588" s="402">
        <v>92744</v>
      </c>
      <c r="B6588" s="403" t="s">
        <v>4745</v>
      </c>
      <c r="C6588" s="402" t="s">
        <v>33</v>
      </c>
      <c r="D6588" s="601">
        <v>490.14</v>
      </c>
    </row>
    <row r="6589" spans="1:4" ht="40.5">
      <c r="A6589" s="402">
        <v>92745</v>
      </c>
      <c r="B6589" s="403" t="s">
        <v>4746</v>
      </c>
      <c r="C6589" s="402" t="s">
        <v>33</v>
      </c>
      <c r="D6589" s="601">
        <v>613.03</v>
      </c>
    </row>
    <row r="6590" spans="1:4" ht="40.5">
      <c r="A6590" s="402">
        <v>92746</v>
      </c>
      <c r="B6590" s="403" t="s">
        <v>5478</v>
      </c>
      <c r="C6590" s="402" t="s">
        <v>33</v>
      </c>
      <c r="D6590" s="601">
        <v>575.58000000000004</v>
      </c>
    </row>
    <row r="6591" spans="1:4" ht="40.5">
      <c r="A6591" s="402">
        <v>92747</v>
      </c>
      <c r="B6591" s="403" t="s">
        <v>5479</v>
      </c>
      <c r="C6591" s="402" t="s">
        <v>33</v>
      </c>
      <c r="D6591" s="601">
        <v>680.02</v>
      </c>
    </row>
    <row r="6592" spans="1:4" ht="40.5">
      <c r="A6592" s="402">
        <v>92748</v>
      </c>
      <c r="B6592" s="403" t="s">
        <v>4747</v>
      </c>
      <c r="C6592" s="402" t="s">
        <v>33</v>
      </c>
      <c r="D6592" s="601">
        <v>624.35</v>
      </c>
    </row>
    <row r="6593" spans="1:4" ht="40.5">
      <c r="A6593" s="402">
        <v>92749</v>
      </c>
      <c r="B6593" s="403" t="s">
        <v>5480</v>
      </c>
      <c r="C6593" s="402" t="s">
        <v>33</v>
      </c>
      <c r="D6593" s="601">
        <v>713.09</v>
      </c>
    </row>
    <row r="6594" spans="1:4" ht="40.5">
      <c r="A6594" s="402">
        <v>92750</v>
      </c>
      <c r="B6594" s="403" t="s">
        <v>5481</v>
      </c>
      <c r="C6594" s="402" t="s">
        <v>33</v>
      </c>
      <c r="D6594" s="601">
        <v>1228.74</v>
      </c>
    </row>
    <row r="6595" spans="1:4" ht="40.5">
      <c r="A6595" s="402">
        <v>92751</v>
      </c>
      <c r="B6595" s="403" t="s">
        <v>5482</v>
      </c>
      <c r="C6595" s="402" t="s">
        <v>33</v>
      </c>
      <c r="D6595" s="601">
        <v>1528.82</v>
      </c>
    </row>
    <row r="6596" spans="1:4" ht="40.5">
      <c r="A6596" s="402">
        <v>92752</v>
      </c>
      <c r="B6596" s="403" t="s">
        <v>5483</v>
      </c>
      <c r="C6596" s="402" t="s">
        <v>33</v>
      </c>
      <c r="D6596" s="601">
        <v>1827.95</v>
      </c>
    </row>
    <row r="6597" spans="1:4" ht="40.5">
      <c r="A6597" s="402">
        <v>92753</v>
      </c>
      <c r="B6597" s="403" t="s">
        <v>5484</v>
      </c>
      <c r="C6597" s="402" t="s">
        <v>33</v>
      </c>
      <c r="D6597" s="601">
        <v>454.48</v>
      </c>
    </row>
    <row r="6598" spans="1:4" ht="54">
      <c r="A6598" s="402">
        <v>92754</v>
      </c>
      <c r="B6598" s="403" t="s">
        <v>5485</v>
      </c>
      <c r="C6598" s="402" t="s">
        <v>33</v>
      </c>
      <c r="D6598" s="601">
        <v>416.38</v>
      </c>
    </row>
    <row r="6599" spans="1:4" ht="40.5">
      <c r="A6599" s="402">
        <v>92755</v>
      </c>
      <c r="B6599" s="403" t="s">
        <v>2941</v>
      </c>
      <c r="C6599" s="402" t="s">
        <v>48</v>
      </c>
      <c r="D6599" s="601">
        <v>179.32</v>
      </c>
    </row>
    <row r="6600" spans="1:4" ht="40.5">
      <c r="A6600" s="402">
        <v>92756</v>
      </c>
      <c r="B6600" s="403" t="s">
        <v>2942</v>
      </c>
      <c r="C6600" s="402" t="s">
        <v>48</v>
      </c>
      <c r="D6600" s="601">
        <v>203.46</v>
      </c>
    </row>
    <row r="6601" spans="1:4" ht="40.5">
      <c r="A6601" s="402">
        <v>92757</v>
      </c>
      <c r="B6601" s="403" t="s">
        <v>2943</v>
      </c>
      <c r="C6601" s="402" t="s">
        <v>48</v>
      </c>
      <c r="D6601" s="601">
        <v>232.79</v>
      </c>
    </row>
    <row r="6602" spans="1:4" ht="40.5">
      <c r="A6602" s="402">
        <v>92758</v>
      </c>
      <c r="B6602" s="403" t="s">
        <v>2944</v>
      </c>
      <c r="C6602" s="402" t="s">
        <v>33</v>
      </c>
      <c r="D6602" s="601">
        <v>584.74</v>
      </c>
    </row>
    <row r="6603" spans="1:4" ht="40.5">
      <c r="A6603" s="402">
        <v>91069</v>
      </c>
      <c r="B6603" s="403" t="s">
        <v>2343</v>
      </c>
      <c r="C6603" s="402" t="s">
        <v>48</v>
      </c>
      <c r="D6603" s="601">
        <v>77.12</v>
      </c>
    </row>
    <row r="6604" spans="1:4" ht="40.5">
      <c r="A6604" s="402">
        <v>91070</v>
      </c>
      <c r="B6604" s="403" t="s">
        <v>2344</v>
      </c>
      <c r="C6604" s="402" t="s">
        <v>48</v>
      </c>
      <c r="D6604" s="601">
        <v>85.88</v>
      </c>
    </row>
    <row r="6605" spans="1:4" ht="40.5">
      <c r="A6605" s="402">
        <v>91071</v>
      </c>
      <c r="B6605" s="403" t="s">
        <v>2345</v>
      </c>
      <c r="C6605" s="402" t="s">
        <v>48</v>
      </c>
      <c r="D6605" s="601">
        <v>104.55</v>
      </c>
    </row>
    <row r="6606" spans="1:4" ht="40.5">
      <c r="A6606" s="402">
        <v>91072</v>
      </c>
      <c r="B6606" s="403" t="s">
        <v>2346</v>
      </c>
      <c r="C6606" s="402" t="s">
        <v>48</v>
      </c>
      <c r="D6606" s="601">
        <v>113.27</v>
      </c>
    </row>
    <row r="6607" spans="1:4" ht="40.5">
      <c r="A6607" s="402">
        <v>91073</v>
      </c>
      <c r="B6607" s="403" t="s">
        <v>2347</v>
      </c>
      <c r="C6607" s="402" t="s">
        <v>48</v>
      </c>
      <c r="D6607" s="601">
        <v>86.7</v>
      </c>
    </row>
    <row r="6608" spans="1:4" ht="40.5">
      <c r="A6608" s="402">
        <v>91074</v>
      </c>
      <c r="B6608" s="403" t="s">
        <v>2348</v>
      </c>
      <c r="C6608" s="402" t="s">
        <v>48</v>
      </c>
      <c r="D6608" s="601">
        <v>96.42</v>
      </c>
    </row>
    <row r="6609" spans="1:4" ht="40.5">
      <c r="A6609" s="402">
        <v>91075</v>
      </c>
      <c r="B6609" s="403" t="s">
        <v>2349</v>
      </c>
      <c r="C6609" s="402" t="s">
        <v>48</v>
      </c>
      <c r="D6609" s="601">
        <v>115.95</v>
      </c>
    </row>
    <row r="6610" spans="1:4" ht="40.5">
      <c r="A6610" s="402">
        <v>91076</v>
      </c>
      <c r="B6610" s="403" t="s">
        <v>2350</v>
      </c>
      <c r="C6610" s="402" t="s">
        <v>48</v>
      </c>
      <c r="D6610" s="601">
        <v>125.73</v>
      </c>
    </row>
    <row r="6611" spans="1:4" ht="40.5">
      <c r="A6611" s="402">
        <v>91077</v>
      </c>
      <c r="B6611" s="403" t="s">
        <v>2351</v>
      </c>
      <c r="C6611" s="402" t="s">
        <v>48</v>
      </c>
      <c r="D6611" s="601">
        <v>86.52</v>
      </c>
    </row>
    <row r="6612" spans="1:4" ht="40.5">
      <c r="A6612" s="402">
        <v>91078</v>
      </c>
      <c r="B6612" s="403" t="s">
        <v>2352</v>
      </c>
      <c r="C6612" s="402" t="s">
        <v>48</v>
      </c>
      <c r="D6612" s="601">
        <v>101.66</v>
      </c>
    </row>
    <row r="6613" spans="1:4" ht="40.5">
      <c r="A6613" s="402">
        <v>91079</v>
      </c>
      <c r="B6613" s="403" t="s">
        <v>2353</v>
      </c>
      <c r="C6613" s="402" t="s">
        <v>48</v>
      </c>
      <c r="D6613" s="601">
        <v>90.55</v>
      </c>
    </row>
    <row r="6614" spans="1:4" ht="40.5">
      <c r="A6614" s="402">
        <v>91080</v>
      </c>
      <c r="B6614" s="403" t="s">
        <v>2354</v>
      </c>
      <c r="C6614" s="402" t="s">
        <v>48</v>
      </c>
      <c r="D6614" s="601">
        <v>105.57</v>
      </c>
    </row>
    <row r="6615" spans="1:4" ht="40.5">
      <c r="A6615" s="402">
        <v>91081</v>
      </c>
      <c r="B6615" s="403" t="s">
        <v>2355</v>
      </c>
      <c r="C6615" s="402" t="s">
        <v>48</v>
      </c>
      <c r="D6615" s="601">
        <v>97.18</v>
      </c>
    </row>
    <row r="6616" spans="1:4" ht="40.5">
      <c r="A6616" s="402">
        <v>91082</v>
      </c>
      <c r="B6616" s="403" t="s">
        <v>2356</v>
      </c>
      <c r="C6616" s="402" t="s">
        <v>48</v>
      </c>
      <c r="D6616" s="601">
        <v>113.21</v>
      </c>
    </row>
    <row r="6617" spans="1:4" ht="40.5">
      <c r="A6617" s="402">
        <v>91083</v>
      </c>
      <c r="B6617" s="403" t="s">
        <v>2357</v>
      </c>
      <c r="C6617" s="402" t="s">
        <v>48</v>
      </c>
      <c r="D6617" s="601">
        <v>104.33</v>
      </c>
    </row>
    <row r="6618" spans="1:4" ht="40.5">
      <c r="A6618" s="402">
        <v>91084</v>
      </c>
      <c r="B6618" s="403" t="s">
        <v>2358</v>
      </c>
      <c r="C6618" s="402" t="s">
        <v>48</v>
      </c>
      <c r="D6618" s="601">
        <v>120.2</v>
      </c>
    </row>
    <row r="6619" spans="1:4" ht="40.5">
      <c r="A6619" s="402">
        <v>91086</v>
      </c>
      <c r="B6619" s="403" t="s">
        <v>2359</v>
      </c>
      <c r="C6619" s="402" t="s">
        <v>48</v>
      </c>
      <c r="D6619" s="601">
        <v>84.15</v>
      </c>
    </row>
    <row r="6620" spans="1:4" ht="40.5">
      <c r="A6620" s="402">
        <v>91087</v>
      </c>
      <c r="B6620" s="403" t="s">
        <v>2360</v>
      </c>
      <c r="C6620" s="402" t="s">
        <v>48</v>
      </c>
      <c r="D6620" s="601">
        <v>93.08</v>
      </c>
    </row>
    <row r="6621" spans="1:4" ht="40.5">
      <c r="A6621" s="402">
        <v>91088</v>
      </c>
      <c r="B6621" s="403" t="s">
        <v>557</v>
      </c>
      <c r="C6621" s="402" t="s">
        <v>48</v>
      </c>
      <c r="D6621" s="601">
        <v>112.6</v>
      </c>
    </row>
    <row r="6622" spans="1:4" ht="40.5">
      <c r="A6622" s="402">
        <v>91089</v>
      </c>
      <c r="B6622" s="403" t="s">
        <v>558</v>
      </c>
      <c r="C6622" s="402" t="s">
        <v>48</v>
      </c>
      <c r="D6622" s="601">
        <v>121.67</v>
      </c>
    </row>
    <row r="6623" spans="1:4" ht="40.5">
      <c r="A6623" s="402">
        <v>91090</v>
      </c>
      <c r="B6623" s="403" t="s">
        <v>2361</v>
      </c>
      <c r="C6623" s="402" t="s">
        <v>48</v>
      </c>
      <c r="D6623" s="601">
        <v>92.39</v>
      </c>
    </row>
    <row r="6624" spans="1:4" ht="40.5">
      <c r="A6624" s="402">
        <v>91091</v>
      </c>
      <c r="B6624" s="403" t="s">
        <v>2362</v>
      </c>
      <c r="C6624" s="402" t="s">
        <v>48</v>
      </c>
      <c r="D6624" s="601">
        <v>102.47</v>
      </c>
    </row>
    <row r="6625" spans="1:4" ht="40.5">
      <c r="A6625" s="402">
        <v>91092</v>
      </c>
      <c r="B6625" s="403" t="s">
        <v>559</v>
      </c>
      <c r="C6625" s="402" t="s">
        <v>48</v>
      </c>
      <c r="D6625" s="601">
        <v>122.34</v>
      </c>
    </row>
    <row r="6626" spans="1:4" ht="40.5">
      <c r="A6626" s="402">
        <v>91093</v>
      </c>
      <c r="B6626" s="403" t="s">
        <v>560</v>
      </c>
      <c r="C6626" s="402" t="s">
        <v>48</v>
      </c>
      <c r="D6626" s="601">
        <v>132.66</v>
      </c>
    </row>
    <row r="6627" spans="1:4" ht="40.5">
      <c r="A6627" s="402">
        <v>91094</v>
      </c>
      <c r="B6627" s="403" t="s">
        <v>2363</v>
      </c>
      <c r="C6627" s="402" t="s">
        <v>48</v>
      </c>
      <c r="D6627" s="601">
        <v>90.71</v>
      </c>
    </row>
    <row r="6628" spans="1:4" ht="40.5">
      <c r="A6628" s="402">
        <v>91095</v>
      </c>
      <c r="B6628" s="403" t="s">
        <v>2364</v>
      </c>
      <c r="C6628" s="402" t="s">
        <v>48</v>
      </c>
      <c r="D6628" s="601">
        <v>106.14</v>
      </c>
    </row>
    <row r="6629" spans="1:4" ht="40.5">
      <c r="A6629" s="402">
        <v>91096</v>
      </c>
      <c r="B6629" s="403" t="s">
        <v>2365</v>
      </c>
      <c r="C6629" s="402" t="s">
        <v>48</v>
      </c>
      <c r="D6629" s="601">
        <v>92.87</v>
      </c>
    </row>
    <row r="6630" spans="1:4" ht="40.5">
      <c r="A6630" s="402">
        <v>91097</v>
      </c>
      <c r="B6630" s="403" t="s">
        <v>2366</v>
      </c>
      <c r="C6630" s="402" t="s">
        <v>48</v>
      </c>
      <c r="D6630" s="601">
        <v>108.2</v>
      </c>
    </row>
    <row r="6631" spans="1:4" ht="40.5">
      <c r="A6631" s="402">
        <v>91098</v>
      </c>
      <c r="B6631" s="403" t="s">
        <v>2367</v>
      </c>
      <c r="C6631" s="402" t="s">
        <v>48</v>
      </c>
      <c r="D6631" s="601">
        <v>101.27</v>
      </c>
    </row>
    <row r="6632" spans="1:4" ht="40.5">
      <c r="A6632" s="402">
        <v>91099</v>
      </c>
      <c r="B6632" s="403" t="s">
        <v>2368</v>
      </c>
      <c r="C6632" s="402" t="s">
        <v>48</v>
      </c>
      <c r="D6632" s="601">
        <v>117.62</v>
      </c>
    </row>
    <row r="6633" spans="1:4" ht="40.5">
      <c r="A6633" s="402">
        <v>91100</v>
      </c>
      <c r="B6633" s="403" t="s">
        <v>2369</v>
      </c>
      <c r="C6633" s="402" t="s">
        <v>48</v>
      </c>
      <c r="D6633" s="601">
        <v>107.05</v>
      </c>
    </row>
    <row r="6634" spans="1:4" ht="40.5">
      <c r="A6634" s="402">
        <v>91101</v>
      </c>
      <c r="B6634" s="403" t="s">
        <v>2370</v>
      </c>
      <c r="C6634" s="402" t="s">
        <v>48</v>
      </c>
      <c r="D6634" s="601">
        <v>123.35</v>
      </c>
    </row>
    <row r="6635" spans="1:4" ht="40.5">
      <c r="A6635" s="402">
        <v>93952</v>
      </c>
      <c r="B6635" s="403" t="s">
        <v>705</v>
      </c>
      <c r="C6635" s="402" t="s">
        <v>17</v>
      </c>
      <c r="D6635" s="601">
        <v>146.28</v>
      </c>
    </row>
    <row r="6636" spans="1:4" ht="40.5">
      <c r="A6636" s="402">
        <v>93953</v>
      </c>
      <c r="B6636" s="403" t="s">
        <v>3278</v>
      </c>
      <c r="C6636" s="402" t="s">
        <v>17</v>
      </c>
      <c r="D6636" s="601">
        <v>136.38999999999999</v>
      </c>
    </row>
    <row r="6637" spans="1:4" ht="40.5">
      <c r="A6637" s="402">
        <v>93954</v>
      </c>
      <c r="B6637" s="403" t="s">
        <v>3279</v>
      </c>
      <c r="C6637" s="402" t="s">
        <v>17</v>
      </c>
      <c r="D6637" s="601">
        <v>130.41</v>
      </c>
    </row>
    <row r="6638" spans="1:4" ht="40.5">
      <c r="A6638" s="402">
        <v>93955</v>
      </c>
      <c r="B6638" s="403" t="s">
        <v>706</v>
      </c>
      <c r="C6638" s="402" t="s">
        <v>17</v>
      </c>
      <c r="D6638" s="601">
        <v>126.22</v>
      </c>
    </row>
    <row r="6639" spans="1:4" ht="40.5">
      <c r="A6639" s="402">
        <v>93956</v>
      </c>
      <c r="B6639" s="403" t="s">
        <v>3280</v>
      </c>
      <c r="C6639" s="402" t="s">
        <v>17</v>
      </c>
      <c r="D6639" s="601">
        <v>122.9</v>
      </c>
    </row>
    <row r="6640" spans="1:4" ht="40.5">
      <c r="A6640" s="402">
        <v>93957</v>
      </c>
      <c r="B6640" s="403" t="s">
        <v>707</v>
      </c>
      <c r="C6640" s="402" t="s">
        <v>17</v>
      </c>
      <c r="D6640" s="601">
        <v>154.47</v>
      </c>
    </row>
    <row r="6641" spans="1:4" ht="40.5">
      <c r="A6641" s="402">
        <v>93958</v>
      </c>
      <c r="B6641" s="403" t="s">
        <v>3281</v>
      </c>
      <c r="C6641" s="402" t="s">
        <v>17</v>
      </c>
      <c r="D6641" s="601">
        <v>143.99</v>
      </c>
    </row>
    <row r="6642" spans="1:4" ht="40.5">
      <c r="A6642" s="402">
        <v>93959</v>
      </c>
      <c r="B6642" s="403" t="s">
        <v>3282</v>
      </c>
      <c r="C6642" s="402" t="s">
        <v>17</v>
      </c>
      <c r="D6642" s="601">
        <v>137.76</v>
      </c>
    </row>
    <row r="6643" spans="1:4" ht="40.5">
      <c r="A6643" s="402">
        <v>93960</v>
      </c>
      <c r="B6643" s="403" t="s">
        <v>708</v>
      </c>
      <c r="C6643" s="402" t="s">
        <v>17</v>
      </c>
      <c r="D6643" s="601">
        <v>133.38</v>
      </c>
    </row>
    <row r="6644" spans="1:4" ht="40.5">
      <c r="A6644" s="402">
        <v>93961</v>
      </c>
      <c r="B6644" s="403" t="s">
        <v>3283</v>
      </c>
      <c r="C6644" s="402" t="s">
        <v>17</v>
      </c>
      <c r="D6644" s="601">
        <v>129.94</v>
      </c>
    </row>
    <row r="6645" spans="1:4" ht="40.5">
      <c r="A6645" s="402">
        <v>93962</v>
      </c>
      <c r="B6645" s="403" t="s">
        <v>709</v>
      </c>
      <c r="C6645" s="402" t="s">
        <v>17</v>
      </c>
      <c r="D6645" s="601">
        <v>137.43</v>
      </c>
    </row>
    <row r="6646" spans="1:4" ht="40.5">
      <c r="A6646" s="402">
        <v>93963</v>
      </c>
      <c r="B6646" s="403" t="s">
        <v>3284</v>
      </c>
      <c r="C6646" s="402" t="s">
        <v>17</v>
      </c>
      <c r="D6646" s="601">
        <v>127.55</v>
      </c>
    </row>
    <row r="6647" spans="1:4" ht="40.5">
      <c r="A6647" s="402">
        <v>93964</v>
      </c>
      <c r="B6647" s="403" t="s">
        <v>3285</v>
      </c>
      <c r="C6647" s="402" t="s">
        <v>17</v>
      </c>
      <c r="D6647" s="601">
        <v>121.65</v>
      </c>
    </row>
    <row r="6648" spans="1:4" ht="40.5">
      <c r="A6648" s="402">
        <v>93965</v>
      </c>
      <c r="B6648" s="403" t="s">
        <v>3286</v>
      </c>
      <c r="C6648" s="402" t="s">
        <v>17</v>
      </c>
      <c r="D6648" s="601">
        <v>116.1</v>
      </c>
    </row>
    <row r="6649" spans="1:4" ht="40.5">
      <c r="A6649" s="402">
        <v>93966</v>
      </c>
      <c r="B6649" s="403" t="s">
        <v>3287</v>
      </c>
      <c r="C6649" s="402" t="s">
        <v>17</v>
      </c>
      <c r="D6649" s="601">
        <v>114.16</v>
      </c>
    </row>
    <row r="6650" spans="1:4" ht="40.5">
      <c r="A6650" s="402">
        <v>93967</v>
      </c>
      <c r="B6650" s="403" t="s">
        <v>710</v>
      </c>
      <c r="C6650" s="402" t="s">
        <v>17</v>
      </c>
      <c r="D6650" s="601">
        <v>145.61000000000001</v>
      </c>
    </row>
    <row r="6651" spans="1:4" ht="40.5">
      <c r="A6651" s="402">
        <v>93968</v>
      </c>
      <c r="B6651" s="403" t="s">
        <v>3288</v>
      </c>
      <c r="C6651" s="402" t="s">
        <v>17</v>
      </c>
      <c r="D6651" s="601">
        <v>135.16999999999999</v>
      </c>
    </row>
    <row r="6652" spans="1:4" ht="40.5">
      <c r="A6652" s="402">
        <v>93969</v>
      </c>
      <c r="B6652" s="403" t="s">
        <v>3289</v>
      </c>
      <c r="C6652" s="402" t="s">
        <v>17</v>
      </c>
      <c r="D6652" s="601">
        <v>128.97</v>
      </c>
    </row>
    <row r="6653" spans="1:4" ht="40.5">
      <c r="A6653" s="402">
        <v>93970</v>
      </c>
      <c r="B6653" s="403" t="s">
        <v>3290</v>
      </c>
      <c r="C6653" s="402" t="s">
        <v>17</v>
      </c>
      <c r="D6653" s="601">
        <v>124.6</v>
      </c>
    </row>
    <row r="6654" spans="1:4" ht="40.5">
      <c r="A6654" s="402">
        <v>93971</v>
      </c>
      <c r="B6654" s="403" t="s">
        <v>3291</v>
      </c>
      <c r="C6654" s="402" t="s">
        <v>17</v>
      </c>
      <c r="D6654" s="601">
        <v>117.97</v>
      </c>
    </row>
    <row r="6655" spans="1:4" ht="27">
      <c r="A6655" s="402">
        <v>95108</v>
      </c>
      <c r="B6655" s="403" t="s">
        <v>3562</v>
      </c>
      <c r="C6655" s="402" t="s">
        <v>35</v>
      </c>
      <c r="D6655" s="601">
        <v>21.12</v>
      </c>
    </row>
    <row r="6656" spans="1:4" ht="27">
      <c r="A6656" s="402">
        <v>100332</v>
      </c>
      <c r="B6656" s="403" t="s">
        <v>5486</v>
      </c>
      <c r="C6656" s="402" t="s">
        <v>48</v>
      </c>
      <c r="D6656" s="601">
        <v>517.45000000000005</v>
      </c>
    </row>
    <row r="6657" spans="1:4" ht="27">
      <c r="A6657" s="402">
        <v>100333</v>
      </c>
      <c r="B6657" s="403" t="s">
        <v>5487</v>
      </c>
      <c r="C6657" s="402" t="s">
        <v>48</v>
      </c>
      <c r="D6657" s="601">
        <v>334.33</v>
      </c>
    </row>
    <row r="6658" spans="1:4" ht="27">
      <c r="A6658" s="402">
        <v>100334</v>
      </c>
      <c r="B6658" s="403" t="s">
        <v>5488</v>
      </c>
      <c r="C6658" s="402" t="s">
        <v>48</v>
      </c>
      <c r="D6658" s="601">
        <v>417.89</v>
      </c>
    </row>
    <row r="6659" spans="1:4" ht="27">
      <c r="A6659" s="402">
        <v>100335</v>
      </c>
      <c r="B6659" s="403" t="s">
        <v>5489</v>
      </c>
      <c r="C6659" s="402" t="s">
        <v>48</v>
      </c>
      <c r="D6659" s="601">
        <v>280.55</v>
      </c>
    </row>
    <row r="6660" spans="1:4" ht="40.5">
      <c r="A6660" s="402">
        <v>100341</v>
      </c>
      <c r="B6660" s="403" t="s">
        <v>5490</v>
      </c>
      <c r="C6660" s="402" t="s">
        <v>48</v>
      </c>
      <c r="D6660" s="601">
        <v>23.26</v>
      </c>
    </row>
    <row r="6661" spans="1:4" ht="27">
      <c r="A6661" s="402">
        <v>100342</v>
      </c>
      <c r="B6661" s="403" t="s">
        <v>5491</v>
      </c>
      <c r="C6661" s="402" t="s">
        <v>20</v>
      </c>
      <c r="D6661" s="601">
        <v>9.23</v>
      </c>
    </row>
    <row r="6662" spans="1:4" ht="27">
      <c r="A6662" s="402">
        <v>100343</v>
      </c>
      <c r="B6662" s="403" t="s">
        <v>5492</v>
      </c>
      <c r="C6662" s="402" t="s">
        <v>20</v>
      </c>
      <c r="D6662" s="601">
        <v>8.52</v>
      </c>
    </row>
    <row r="6663" spans="1:4" ht="27">
      <c r="A6663" s="402">
        <v>100344</v>
      </c>
      <c r="B6663" s="403" t="s">
        <v>5493</v>
      </c>
      <c r="C6663" s="402" t="s">
        <v>20</v>
      </c>
      <c r="D6663" s="601">
        <v>7.55</v>
      </c>
    </row>
    <row r="6664" spans="1:4" ht="27">
      <c r="A6664" s="402">
        <v>100345</v>
      </c>
      <c r="B6664" s="403" t="s">
        <v>5494</v>
      </c>
      <c r="C6664" s="402" t="s">
        <v>20</v>
      </c>
      <c r="D6664" s="601">
        <v>6.34</v>
      </c>
    </row>
    <row r="6665" spans="1:4" ht="27">
      <c r="A6665" s="402">
        <v>100346</v>
      </c>
      <c r="B6665" s="403" t="s">
        <v>5495</v>
      </c>
      <c r="C6665" s="402" t="s">
        <v>20</v>
      </c>
      <c r="D6665" s="601">
        <v>5.96</v>
      </c>
    </row>
    <row r="6666" spans="1:4" ht="27">
      <c r="A6666" s="402">
        <v>100347</v>
      </c>
      <c r="B6666" s="403" t="s">
        <v>5496</v>
      </c>
      <c r="C6666" s="402" t="s">
        <v>20</v>
      </c>
      <c r="D6666" s="601">
        <v>6.62</v>
      </c>
    </row>
    <row r="6667" spans="1:4" ht="27">
      <c r="A6667" s="402">
        <v>100348</v>
      </c>
      <c r="B6667" s="403" t="s">
        <v>5497</v>
      </c>
      <c r="C6667" s="402" t="s">
        <v>20</v>
      </c>
      <c r="D6667" s="601">
        <v>6.42</v>
      </c>
    </row>
    <row r="6668" spans="1:4" ht="27">
      <c r="A6668" s="402">
        <v>100349</v>
      </c>
      <c r="B6668" s="403" t="s">
        <v>5498</v>
      </c>
      <c r="C6668" s="402" t="s">
        <v>33</v>
      </c>
      <c r="D6668" s="601">
        <v>478.1</v>
      </c>
    </row>
    <row r="6669" spans="1:4" ht="27">
      <c r="A6669" s="402" t="s">
        <v>4277</v>
      </c>
      <c r="B6669" s="403" t="s">
        <v>4278</v>
      </c>
      <c r="C6669" s="402" t="s">
        <v>35</v>
      </c>
      <c r="D6669" s="601">
        <v>335.5</v>
      </c>
    </row>
    <row r="6670" spans="1:4" ht="40.5">
      <c r="A6670" s="402" t="s">
        <v>4309</v>
      </c>
      <c r="B6670" s="403" t="s">
        <v>4310</v>
      </c>
      <c r="C6670" s="402" t="s">
        <v>35</v>
      </c>
      <c r="D6670" s="601">
        <v>517.12</v>
      </c>
    </row>
    <row r="6671" spans="1:4" ht="40.5">
      <c r="A6671" s="402" t="s">
        <v>4322</v>
      </c>
      <c r="B6671" s="403" t="s">
        <v>4323</v>
      </c>
      <c r="C6671" s="402" t="s">
        <v>35</v>
      </c>
      <c r="D6671" s="601">
        <v>849.18</v>
      </c>
    </row>
    <row r="6672" spans="1:4" ht="40.5">
      <c r="A6672" s="402" t="s">
        <v>4324</v>
      </c>
      <c r="B6672" s="403" t="s">
        <v>4325</v>
      </c>
      <c r="C6672" s="402" t="s">
        <v>35</v>
      </c>
      <c r="D6672" s="601">
        <v>1274.68</v>
      </c>
    </row>
    <row r="6673" spans="1:4" ht="40.5">
      <c r="A6673" s="402" t="s">
        <v>4326</v>
      </c>
      <c r="B6673" s="403" t="s">
        <v>4327</v>
      </c>
      <c r="C6673" s="402" t="s">
        <v>35</v>
      </c>
      <c r="D6673" s="601">
        <v>1800</v>
      </c>
    </row>
    <row r="6674" spans="1:4" ht="40.5">
      <c r="A6674" s="402" t="s">
        <v>4328</v>
      </c>
      <c r="B6674" s="403" t="s">
        <v>4329</v>
      </c>
      <c r="C6674" s="402" t="s">
        <v>35</v>
      </c>
      <c r="D6674" s="601">
        <v>2430.25</v>
      </c>
    </row>
    <row r="6675" spans="1:4" ht="40.5">
      <c r="A6675" s="402" t="s">
        <v>4330</v>
      </c>
      <c r="B6675" s="403" t="s">
        <v>4331</v>
      </c>
      <c r="C6675" s="402" t="s">
        <v>35</v>
      </c>
      <c r="D6675" s="601">
        <v>731.17</v>
      </c>
    </row>
    <row r="6676" spans="1:4" ht="40.5">
      <c r="A6676" s="402" t="s">
        <v>4332</v>
      </c>
      <c r="B6676" s="403" t="s">
        <v>4333</v>
      </c>
      <c r="C6676" s="402" t="s">
        <v>35</v>
      </c>
      <c r="D6676" s="601">
        <v>1207.54</v>
      </c>
    </row>
    <row r="6677" spans="1:4" ht="40.5">
      <c r="A6677" s="402" t="s">
        <v>4334</v>
      </c>
      <c r="B6677" s="403" t="s">
        <v>4335</v>
      </c>
      <c r="C6677" s="402" t="s">
        <v>35</v>
      </c>
      <c r="D6677" s="601">
        <v>1815.5</v>
      </c>
    </row>
    <row r="6678" spans="1:4" ht="40.5">
      <c r="A6678" s="402" t="s">
        <v>4336</v>
      </c>
      <c r="B6678" s="403" t="s">
        <v>4337</v>
      </c>
      <c r="C6678" s="402" t="s">
        <v>35</v>
      </c>
      <c r="D6678" s="601">
        <v>2259.71</v>
      </c>
    </row>
    <row r="6679" spans="1:4" ht="40.5">
      <c r="A6679" s="402" t="s">
        <v>4311</v>
      </c>
      <c r="B6679" s="403" t="s">
        <v>783</v>
      </c>
      <c r="C6679" s="402" t="s">
        <v>35</v>
      </c>
      <c r="D6679" s="601">
        <v>3454.13</v>
      </c>
    </row>
    <row r="6680" spans="1:4" ht="40.5">
      <c r="A6680" s="402" t="s">
        <v>4312</v>
      </c>
      <c r="B6680" s="403" t="s">
        <v>4313</v>
      </c>
      <c r="C6680" s="402" t="s">
        <v>35</v>
      </c>
      <c r="D6680" s="601">
        <v>944.81</v>
      </c>
    </row>
    <row r="6681" spans="1:4" ht="40.5">
      <c r="A6681" s="402" t="s">
        <v>4314</v>
      </c>
      <c r="B6681" s="403" t="s">
        <v>4315</v>
      </c>
      <c r="C6681" s="402" t="s">
        <v>35</v>
      </c>
      <c r="D6681" s="601">
        <v>1565.45</v>
      </c>
    </row>
    <row r="6682" spans="1:4" ht="40.5">
      <c r="A6682" s="402" t="s">
        <v>4316</v>
      </c>
      <c r="B6682" s="403" t="s">
        <v>4317</v>
      </c>
      <c r="C6682" s="402" t="s">
        <v>35</v>
      </c>
      <c r="D6682" s="601">
        <v>2355.96</v>
      </c>
    </row>
    <row r="6683" spans="1:4" ht="40.5">
      <c r="A6683" s="402" t="s">
        <v>4318</v>
      </c>
      <c r="B6683" s="403" t="s">
        <v>4319</v>
      </c>
      <c r="C6683" s="402" t="s">
        <v>35</v>
      </c>
      <c r="D6683" s="601">
        <v>3324.28</v>
      </c>
    </row>
    <row r="6684" spans="1:4" ht="40.5">
      <c r="A6684" s="402" t="s">
        <v>4320</v>
      </c>
      <c r="B6684" s="403" t="s">
        <v>4321</v>
      </c>
      <c r="C6684" s="402" t="s">
        <v>35</v>
      </c>
      <c r="D6684" s="601">
        <v>4478.13</v>
      </c>
    </row>
    <row r="6685" spans="1:4" ht="40.5">
      <c r="A6685" s="402" t="s">
        <v>4434</v>
      </c>
      <c r="B6685" s="403" t="s">
        <v>4435</v>
      </c>
      <c r="C6685" s="402" t="s">
        <v>35</v>
      </c>
      <c r="D6685" s="601">
        <v>1363.6</v>
      </c>
    </row>
    <row r="6686" spans="1:4" ht="27">
      <c r="A6686" s="402">
        <v>83659</v>
      </c>
      <c r="B6686" s="403" t="s">
        <v>1208</v>
      </c>
      <c r="C6686" s="402" t="s">
        <v>35</v>
      </c>
      <c r="D6686" s="601">
        <v>712.93</v>
      </c>
    </row>
    <row r="6687" spans="1:4" ht="27">
      <c r="A6687" s="402">
        <v>83716</v>
      </c>
      <c r="B6687" s="403" t="s">
        <v>1212</v>
      </c>
      <c r="C6687" s="402" t="s">
        <v>35</v>
      </c>
      <c r="D6687" s="601">
        <v>334.77</v>
      </c>
    </row>
    <row r="6688" spans="1:4" ht="40.5">
      <c r="A6688" s="402">
        <v>97976</v>
      </c>
      <c r="B6688" s="403" t="s">
        <v>4748</v>
      </c>
      <c r="C6688" s="402" t="s">
        <v>35</v>
      </c>
      <c r="D6688" s="601">
        <v>808.94</v>
      </c>
    </row>
    <row r="6689" spans="1:4" ht="40.5">
      <c r="A6689" s="402">
        <v>97977</v>
      </c>
      <c r="B6689" s="403" t="s">
        <v>4749</v>
      </c>
      <c r="C6689" s="402" t="s">
        <v>35</v>
      </c>
      <c r="D6689" s="601">
        <v>1176.1600000000001</v>
      </c>
    </row>
    <row r="6690" spans="1:4" ht="40.5">
      <c r="A6690" s="402">
        <v>97980</v>
      </c>
      <c r="B6690" s="403" t="s">
        <v>4750</v>
      </c>
      <c r="C6690" s="402" t="s">
        <v>35</v>
      </c>
      <c r="D6690" s="601">
        <v>1505.15</v>
      </c>
    </row>
    <row r="6691" spans="1:4" ht="27">
      <c r="A6691" s="402">
        <v>97981</v>
      </c>
      <c r="B6691" s="403" t="s">
        <v>4751</v>
      </c>
      <c r="C6691" s="402" t="s">
        <v>17</v>
      </c>
      <c r="D6691" s="601">
        <v>896.86</v>
      </c>
    </row>
    <row r="6692" spans="1:4" ht="27">
      <c r="A6692" s="402">
        <v>97983</v>
      </c>
      <c r="B6692" s="403" t="s">
        <v>4752</v>
      </c>
      <c r="C6692" s="402" t="s">
        <v>17</v>
      </c>
      <c r="D6692" s="601">
        <v>368.81</v>
      </c>
    </row>
    <row r="6693" spans="1:4" ht="27">
      <c r="A6693" s="402">
        <v>97985</v>
      </c>
      <c r="B6693" s="403" t="s">
        <v>4753</v>
      </c>
      <c r="C6693" s="402" t="s">
        <v>17</v>
      </c>
      <c r="D6693" s="601">
        <v>1084.9000000000001</v>
      </c>
    </row>
    <row r="6694" spans="1:4" ht="27">
      <c r="A6694" s="402">
        <v>97987</v>
      </c>
      <c r="B6694" s="403" t="s">
        <v>4754</v>
      </c>
      <c r="C6694" s="402" t="s">
        <v>17</v>
      </c>
      <c r="D6694" s="601">
        <v>412.28</v>
      </c>
    </row>
    <row r="6695" spans="1:4" ht="40.5">
      <c r="A6695" s="402">
        <v>97988</v>
      </c>
      <c r="B6695" s="403" t="s">
        <v>4755</v>
      </c>
      <c r="C6695" s="402" t="s">
        <v>35</v>
      </c>
      <c r="D6695" s="601">
        <v>2181.0100000000002</v>
      </c>
    </row>
    <row r="6696" spans="1:4" ht="27">
      <c r="A6696" s="402">
        <v>97989</v>
      </c>
      <c r="B6696" s="403" t="s">
        <v>4756</v>
      </c>
      <c r="C6696" s="402" t="s">
        <v>17</v>
      </c>
      <c r="D6696" s="601">
        <v>1272.98</v>
      </c>
    </row>
    <row r="6697" spans="1:4" ht="27">
      <c r="A6697" s="402">
        <v>97991</v>
      </c>
      <c r="B6697" s="403" t="s">
        <v>4757</v>
      </c>
      <c r="C6697" s="402" t="s">
        <v>17</v>
      </c>
      <c r="D6697" s="601">
        <v>640.13</v>
      </c>
    </row>
    <row r="6698" spans="1:4" ht="40.5">
      <c r="A6698" s="402">
        <v>97992</v>
      </c>
      <c r="B6698" s="403" t="s">
        <v>4758</v>
      </c>
      <c r="C6698" s="402" t="s">
        <v>35</v>
      </c>
      <c r="D6698" s="601">
        <v>2772.24</v>
      </c>
    </row>
    <row r="6699" spans="1:4" ht="27">
      <c r="A6699" s="402">
        <v>97993</v>
      </c>
      <c r="B6699" s="403" t="s">
        <v>4759</v>
      </c>
      <c r="C6699" s="402" t="s">
        <v>17</v>
      </c>
      <c r="D6699" s="601">
        <v>1555.06</v>
      </c>
    </row>
    <row r="6700" spans="1:4" ht="40.5">
      <c r="A6700" s="402">
        <v>97994</v>
      </c>
      <c r="B6700" s="403" t="s">
        <v>4760</v>
      </c>
      <c r="C6700" s="402" t="s">
        <v>35</v>
      </c>
      <c r="D6700" s="601">
        <v>1914.16</v>
      </c>
    </row>
    <row r="6701" spans="1:4" ht="27">
      <c r="A6701" s="402">
        <v>97995</v>
      </c>
      <c r="B6701" s="403" t="s">
        <v>4761</v>
      </c>
      <c r="C6701" s="402" t="s">
        <v>17</v>
      </c>
      <c r="D6701" s="601">
        <v>978.93</v>
      </c>
    </row>
    <row r="6702" spans="1:4" ht="40.5">
      <c r="A6702" s="402">
        <v>97996</v>
      </c>
      <c r="B6702" s="403" t="s">
        <v>4762</v>
      </c>
      <c r="C6702" s="402" t="s">
        <v>35</v>
      </c>
      <c r="D6702" s="601">
        <v>2418.83</v>
      </c>
    </row>
    <row r="6703" spans="1:4" ht="27">
      <c r="A6703" s="402">
        <v>97997</v>
      </c>
      <c r="B6703" s="403" t="s">
        <v>4763</v>
      </c>
      <c r="C6703" s="402" t="s">
        <v>17</v>
      </c>
      <c r="D6703" s="601">
        <v>1172.52</v>
      </c>
    </row>
    <row r="6704" spans="1:4" ht="27">
      <c r="A6704" s="402">
        <v>97999</v>
      </c>
      <c r="B6704" s="403" t="s">
        <v>4764</v>
      </c>
      <c r="C6704" s="402" t="s">
        <v>17</v>
      </c>
      <c r="D6704" s="601">
        <v>1366.1</v>
      </c>
    </row>
    <row r="6705" spans="1:4" ht="27">
      <c r="A6705" s="402">
        <v>98001</v>
      </c>
      <c r="B6705" s="403" t="s">
        <v>4765</v>
      </c>
      <c r="C6705" s="402" t="s">
        <v>17</v>
      </c>
      <c r="D6705" s="601">
        <v>1559.65</v>
      </c>
    </row>
    <row r="6706" spans="1:4" ht="40.5">
      <c r="A6706" s="402">
        <v>98002</v>
      </c>
      <c r="B6706" s="403" t="s">
        <v>4766</v>
      </c>
      <c r="C6706" s="402" t="s">
        <v>35</v>
      </c>
      <c r="D6706" s="601">
        <v>3952.66</v>
      </c>
    </row>
    <row r="6707" spans="1:4" ht="27">
      <c r="A6707" s="402">
        <v>98003</v>
      </c>
      <c r="B6707" s="403" t="s">
        <v>4767</v>
      </c>
      <c r="C6707" s="402" t="s">
        <v>17</v>
      </c>
      <c r="D6707" s="601">
        <v>1753.27</v>
      </c>
    </row>
    <row r="6708" spans="1:4" ht="27">
      <c r="A6708" s="402">
        <v>98005</v>
      </c>
      <c r="B6708" s="403" t="s">
        <v>4768</v>
      </c>
      <c r="C6708" s="402" t="s">
        <v>17</v>
      </c>
      <c r="D6708" s="601">
        <v>1946.86</v>
      </c>
    </row>
    <row r="6709" spans="1:4" ht="40.5">
      <c r="A6709" s="402">
        <v>98006</v>
      </c>
      <c r="B6709" s="403" t="s">
        <v>4769</v>
      </c>
      <c r="C6709" s="402" t="s">
        <v>35</v>
      </c>
      <c r="D6709" s="601">
        <v>4966.93</v>
      </c>
    </row>
    <row r="6710" spans="1:4" ht="27">
      <c r="A6710" s="402">
        <v>98007</v>
      </c>
      <c r="B6710" s="403" t="s">
        <v>4770</v>
      </c>
      <c r="C6710" s="402" t="s">
        <v>17</v>
      </c>
      <c r="D6710" s="601">
        <v>2140.44</v>
      </c>
    </row>
    <row r="6711" spans="1:4" ht="40.5">
      <c r="A6711" s="402">
        <v>98008</v>
      </c>
      <c r="B6711" s="403" t="s">
        <v>4771</v>
      </c>
      <c r="C6711" s="402" t="s">
        <v>35</v>
      </c>
      <c r="D6711" s="601">
        <v>2998.09</v>
      </c>
    </row>
    <row r="6712" spans="1:4" ht="27">
      <c r="A6712" s="402">
        <v>98009</v>
      </c>
      <c r="B6712" s="403" t="s">
        <v>4772</v>
      </c>
      <c r="C6712" s="402" t="s">
        <v>17</v>
      </c>
      <c r="D6712" s="601">
        <v>1366.1</v>
      </c>
    </row>
    <row r="6713" spans="1:4" ht="40.5">
      <c r="A6713" s="402">
        <v>98010</v>
      </c>
      <c r="B6713" s="403" t="s">
        <v>4773</v>
      </c>
      <c r="C6713" s="402" t="s">
        <v>35</v>
      </c>
      <c r="D6713" s="601">
        <v>3649.35</v>
      </c>
    </row>
    <row r="6714" spans="1:4" ht="27">
      <c r="A6714" s="402">
        <v>98011</v>
      </c>
      <c r="B6714" s="403" t="s">
        <v>4774</v>
      </c>
      <c r="C6714" s="402" t="s">
        <v>17</v>
      </c>
      <c r="D6714" s="601">
        <v>1559.65</v>
      </c>
    </row>
    <row r="6715" spans="1:4" ht="40.5">
      <c r="A6715" s="402">
        <v>98012</v>
      </c>
      <c r="B6715" s="403" t="s">
        <v>4775</v>
      </c>
      <c r="C6715" s="402" t="s">
        <v>35</v>
      </c>
      <c r="D6715" s="601">
        <v>4284.95</v>
      </c>
    </row>
    <row r="6716" spans="1:4" ht="27">
      <c r="A6716" s="402">
        <v>98013</v>
      </c>
      <c r="B6716" s="403" t="s">
        <v>4776</v>
      </c>
      <c r="C6716" s="402" t="s">
        <v>17</v>
      </c>
      <c r="D6716" s="601">
        <v>1753.27</v>
      </c>
    </row>
    <row r="6717" spans="1:4" ht="40.5">
      <c r="A6717" s="402">
        <v>98014</v>
      </c>
      <c r="B6717" s="403" t="s">
        <v>4777</v>
      </c>
      <c r="C6717" s="402" t="s">
        <v>35</v>
      </c>
      <c r="D6717" s="601">
        <v>4920.4799999999996</v>
      </c>
    </row>
    <row r="6718" spans="1:4" ht="27">
      <c r="A6718" s="402">
        <v>98015</v>
      </c>
      <c r="B6718" s="403" t="s">
        <v>4778</v>
      </c>
      <c r="C6718" s="402" t="s">
        <v>17</v>
      </c>
      <c r="D6718" s="601">
        <v>1946.86</v>
      </c>
    </row>
    <row r="6719" spans="1:4" ht="40.5">
      <c r="A6719" s="402">
        <v>98016</v>
      </c>
      <c r="B6719" s="403" t="s">
        <v>4779</v>
      </c>
      <c r="C6719" s="402" t="s">
        <v>35</v>
      </c>
      <c r="D6719" s="601">
        <v>5556.1</v>
      </c>
    </row>
    <row r="6720" spans="1:4" ht="27">
      <c r="A6720" s="402">
        <v>98017</v>
      </c>
      <c r="B6720" s="403" t="s">
        <v>4780</v>
      </c>
      <c r="C6720" s="402" t="s">
        <v>17</v>
      </c>
      <c r="D6720" s="601">
        <v>2140.44</v>
      </c>
    </row>
    <row r="6721" spans="1:4" ht="40.5">
      <c r="A6721" s="402">
        <v>98018</v>
      </c>
      <c r="B6721" s="403" t="s">
        <v>4781</v>
      </c>
      <c r="C6721" s="402" t="s">
        <v>35</v>
      </c>
      <c r="D6721" s="601">
        <v>6191.65</v>
      </c>
    </row>
    <row r="6722" spans="1:4" ht="27">
      <c r="A6722" s="402">
        <v>98019</v>
      </c>
      <c r="B6722" s="403" t="s">
        <v>4782</v>
      </c>
      <c r="C6722" s="402" t="s">
        <v>17</v>
      </c>
      <c r="D6722" s="601">
        <v>2360.8200000000002</v>
      </c>
    </row>
    <row r="6723" spans="1:4" ht="40.5">
      <c r="A6723" s="402">
        <v>98020</v>
      </c>
      <c r="B6723" s="403" t="s">
        <v>4783</v>
      </c>
      <c r="C6723" s="402" t="s">
        <v>35</v>
      </c>
      <c r="D6723" s="601">
        <v>4420.24</v>
      </c>
    </row>
    <row r="6724" spans="1:4" ht="27">
      <c r="A6724" s="402">
        <v>98021</v>
      </c>
      <c r="B6724" s="403" t="s">
        <v>4784</v>
      </c>
      <c r="C6724" s="402" t="s">
        <v>17</v>
      </c>
      <c r="D6724" s="601">
        <v>1780.07</v>
      </c>
    </row>
    <row r="6725" spans="1:4" ht="40.5">
      <c r="A6725" s="402">
        <v>98022</v>
      </c>
      <c r="B6725" s="403" t="s">
        <v>4785</v>
      </c>
      <c r="C6725" s="402" t="s">
        <v>35</v>
      </c>
      <c r="D6725" s="601">
        <v>5177.83</v>
      </c>
    </row>
    <row r="6726" spans="1:4" ht="27">
      <c r="A6726" s="402">
        <v>98023</v>
      </c>
      <c r="B6726" s="403" t="s">
        <v>4786</v>
      </c>
      <c r="C6726" s="402" t="s">
        <v>17</v>
      </c>
      <c r="D6726" s="601">
        <v>1973.66</v>
      </c>
    </row>
    <row r="6727" spans="1:4" ht="40.5">
      <c r="A6727" s="402">
        <v>98024</v>
      </c>
      <c r="B6727" s="403" t="s">
        <v>4787</v>
      </c>
      <c r="C6727" s="402" t="s">
        <v>35</v>
      </c>
      <c r="D6727" s="601">
        <v>5971.28</v>
      </c>
    </row>
    <row r="6728" spans="1:4" ht="27">
      <c r="A6728" s="402">
        <v>98025</v>
      </c>
      <c r="B6728" s="403" t="s">
        <v>4788</v>
      </c>
      <c r="C6728" s="402" t="s">
        <v>17</v>
      </c>
      <c r="D6728" s="601">
        <v>2167.23</v>
      </c>
    </row>
    <row r="6729" spans="1:4" ht="40.5">
      <c r="A6729" s="402">
        <v>98026</v>
      </c>
      <c r="B6729" s="403" t="s">
        <v>4789</v>
      </c>
      <c r="C6729" s="402" t="s">
        <v>35</v>
      </c>
      <c r="D6729" s="601">
        <v>6733.29</v>
      </c>
    </row>
    <row r="6730" spans="1:4" ht="27">
      <c r="A6730" s="402">
        <v>98027</v>
      </c>
      <c r="B6730" s="403" t="s">
        <v>4790</v>
      </c>
      <c r="C6730" s="402" t="s">
        <v>17</v>
      </c>
      <c r="D6730" s="601">
        <v>2360.8200000000002</v>
      </c>
    </row>
    <row r="6731" spans="1:4" ht="40.5">
      <c r="A6731" s="402">
        <v>98028</v>
      </c>
      <c r="B6731" s="403" t="s">
        <v>4791</v>
      </c>
      <c r="C6731" s="402" t="s">
        <v>35</v>
      </c>
      <c r="D6731" s="601">
        <v>7495.31</v>
      </c>
    </row>
    <row r="6732" spans="1:4" ht="27">
      <c r="A6732" s="402">
        <v>98029</v>
      </c>
      <c r="B6732" s="403" t="s">
        <v>4792</v>
      </c>
      <c r="C6732" s="402" t="s">
        <v>17</v>
      </c>
      <c r="D6732" s="601">
        <v>2559.9299999999998</v>
      </c>
    </row>
    <row r="6733" spans="1:4" ht="40.5">
      <c r="A6733" s="402">
        <v>98030</v>
      </c>
      <c r="B6733" s="403" t="s">
        <v>4793</v>
      </c>
      <c r="C6733" s="402" t="s">
        <v>35</v>
      </c>
      <c r="D6733" s="601">
        <v>6124.96</v>
      </c>
    </row>
    <row r="6734" spans="1:4" ht="27">
      <c r="A6734" s="402">
        <v>98031</v>
      </c>
      <c r="B6734" s="403" t="s">
        <v>4794</v>
      </c>
      <c r="C6734" s="402" t="s">
        <v>17</v>
      </c>
      <c r="D6734" s="601">
        <v>2172.84</v>
      </c>
    </row>
    <row r="6735" spans="1:4" ht="40.5">
      <c r="A6735" s="402">
        <v>98032</v>
      </c>
      <c r="B6735" s="403" t="s">
        <v>4795</v>
      </c>
      <c r="C6735" s="402" t="s">
        <v>35</v>
      </c>
      <c r="D6735" s="601">
        <v>7044.57</v>
      </c>
    </row>
    <row r="6736" spans="1:4" ht="27">
      <c r="A6736" s="402">
        <v>98033</v>
      </c>
      <c r="B6736" s="403" t="s">
        <v>4796</v>
      </c>
      <c r="C6736" s="402" t="s">
        <v>17</v>
      </c>
      <c r="D6736" s="601">
        <v>2366.4299999999998</v>
      </c>
    </row>
    <row r="6737" spans="1:4" ht="40.5">
      <c r="A6737" s="402">
        <v>98034</v>
      </c>
      <c r="B6737" s="403" t="s">
        <v>4797</v>
      </c>
      <c r="C6737" s="402" t="s">
        <v>35</v>
      </c>
      <c r="D6737" s="601">
        <v>7964.23</v>
      </c>
    </row>
    <row r="6738" spans="1:4" ht="27">
      <c r="A6738" s="402">
        <v>98035</v>
      </c>
      <c r="B6738" s="403" t="s">
        <v>4798</v>
      </c>
      <c r="C6738" s="402" t="s">
        <v>17</v>
      </c>
      <c r="D6738" s="601">
        <v>2559.9299999999998</v>
      </c>
    </row>
    <row r="6739" spans="1:4" ht="40.5">
      <c r="A6739" s="402">
        <v>98036</v>
      </c>
      <c r="B6739" s="403" t="s">
        <v>4799</v>
      </c>
      <c r="C6739" s="402" t="s">
        <v>35</v>
      </c>
      <c r="D6739" s="601">
        <v>8883.8700000000008</v>
      </c>
    </row>
    <row r="6740" spans="1:4" ht="27">
      <c r="A6740" s="402">
        <v>98037</v>
      </c>
      <c r="B6740" s="403" t="s">
        <v>4800</v>
      </c>
      <c r="C6740" s="402" t="s">
        <v>17</v>
      </c>
      <c r="D6740" s="601">
        <v>2759.1</v>
      </c>
    </row>
    <row r="6741" spans="1:4" ht="40.5">
      <c r="A6741" s="402">
        <v>98038</v>
      </c>
      <c r="B6741" s="403" t="s">
        <v>4801</v>
      </c>
      <c r="C6741" s="402" t="s">
        <v>35</v>
      </c>
      <c r="D6741" s="601">
        <v>8151.4</v>
      </c>
    </row>
    <row r="6742" spans="1:4" ht="27">
      <c r="A6742" s="402">
        <v>98039</v>
      </c>
      <c r="B6742" s="403" t="s">
        <v>4802</v>
      </c>
      <c r="C6742" s="402" t="s">
        <v>17</v>
      </c>
      <c r="D6742" s="601">
        <v>2565.52</v>
      </c>
    </row>
    <row r="6743" spans="1:4" ht="40.5">
      <c r="A6743" s="402">
        <v>98040</v>
      </c>
      <c r="B6743" s="403" t="s">
        <v>4803</v>
      </c>
      <c r="C6743" s="402" t="s">
        <v>35</v>
      </c>
      <c r="D6743" s="601">
        <v>9211.69</v>
      </c>
    </row>
    <row r="6744" spans="1:4" ht="27">
      <c r="A6744" s="402">
        <v>98041</v>
      </c>
      <c r="B6744" s="403" t="s">
        <v>4804</v>
      </c>
      <c r="C6744" s="402" t="s">
        <v>17</v>
      </c>
      <c r="D6744" s="601">
        <v>2759.1</v>
      </c>
    </row>
    <row r="6745" spans="1:4" ht="40.5">
      <c r="A6745" s="402">
        <v>98042</v>
      </c>
      <c r="B6745" s="403" t="s">
        <v>4805</v>
      </c>
      <c r="C6745" s="402" t="s">
        <v>35</v>
      </c>
      <c r="D6745" s="601">
        <v>10272.030000000001</v>
      </c>
    </row>
    <row r="6746" spans="1:4" ht="27">
      <c r="A6746" s="402">
        <v>98043</v>
      </c>
      <c r="B6746" s="403" t="s">
        <v>4806</v>
      </c>
      <c r="C6746" s="402" t="s">
        <v>17</v>
      </c>
      <c r="D6746" s="601">
        <v>2958.26</v>
      </c>
    </row>
    <row r="6747" spans="1:4" ht="40.5">
      <c r="A6747" s="402">
        <v>98044</v>
      </c>
      <c r="B6747" s="403" t="s">
        <v>4807</v>
      </c>
      <c r="C6747" s="402" t="s">
        <v>35</v>
      </c>
      <c r="D6747" s="601">
        <v>10467.530000000001</v>
      </c>
    </row>
    <row r="6748" spans="1:4" ht="27">
      <c r="A6748" s="402">
        <v>98045</v>
      </c>
      <c r="B6748" s="403" t="s">
        <v>4808</v>
      </c>
      <c r="C6748" s="402" t="s">
        <v>17</v>
      </c>
      <c r="D6748" s="601">
        <v>2958.26</v>
      </c>
    </row>
    <row r="6749" spans="1:4" ht="40.5">
      <c r="A6749" s="402">
        <v>98046</v>
      </c>
      <c r="B6749" s="403" t="s">
        <v>4809</v>
      </c>
      <c r="C6749" s="402" t="s">
        <v>35</v>
      </c>
      <c r="D6749" s="601">
        <v>11669.75</v>
      </c>
    </row>
    <row r="6750" spans="1:4" ht="27">
      <c r="A6750" s="402">
        <v>98047</v>
      </c>
      <c r="B6750" s="403" t="s">
        <v>4810</v>
      </c>
      <c r="C6750" s="402" t="s">
        <v>17</v>
      </c>
      <c r="D6750" s="601">
        <v>3157.44</v>
      </c>
    </row>
    <row r="6751" spans="1:4" ht="40.5">
      <c r="A6751" s="402">
        <v>98048</v>
      </c>
      <c r="B6751" s="403" t="s">
        <v>4811</v>
      </c>
      <c r="C6751" s="402" t="s">
        <v>35</v>
      </c>
      <c r="D6751" s="601">
        <v>13077.21</v>
      </c>
    </row>
    <row r="6752" spans="1:4" ht="27">
      <c r="A6752" s="402">
        <v>98049</v>
      </c>
      <c r="B6752" s="403" t="s">
        <v>4812</v>
      </c>
      <c r="C6752" s="402" t="s">
        <v>17</v>
      </c>
      <c r="D6752" s="601">
        <v>3301.89</v>
      </c>
    </row>
    <row r="6753" spans="1:4" ht="27">
      <c r="A6753" s="402">
        <v>98050</v>
      </c>
      <c r="B6753" s="403" t="s">
        <v>4813</v>
      </c>
      <c r="C6753" s="402" t="s">
        <v>17</v>
      </c>
      <c r="D6753" s="601">
        <v>200.07</v>
      </c>
    </row>
    <row r="6754" spans="1:4" ht="27">
      <c r="A6754" s="402">
        <v>98051</v>
      </c>
      <c r="B6754" s="403" t="s">
        <v>4814</v>
      </c>
      <c r="C6754" s="402" t="s">
        <v>17</v>
      </c>
      <c r="D6754" s="601">
        <v>706.57</v>
      </c>
    </row>
    <row r="6755" spans="1:4" ht="40.5">
      <c r="A6755" s="402">
        <v>98405</v>
      </c>
      <c r="B6755" s="403" t="s">
        <v>5499</v>
      </c>
      <c r="C6755" s="402" t="s">
        <v>35</v>
      </c>
      <c r="D6755" s="601">
        <v>1845.7</v>
      </c>
    </row>
    <row r="6756" spans="1:4" ht="40.5">
      <c r="A6756" s="402">
        <v>98406</v>
      </c>
      <c r="B6756" s="403" t="s">
        <v>4815</v>
      </c>
      <c r="C6756" s="402" t="s">
        <v>35</v>
      </c>
      <c r="D6756" s="601">
        <v>4459.74</v>
      </c>
    </row>
    <row r="6757" spans="1:4" ht="40.5">
      <c r="A6757" s="402">
        <v>98407</v>
      </c>
      <c r="B6757" s="403" t="s">
        <v>4816</v>
      </c>
      <c r="C6757" s="402" t="s">
        <v>35</v>
      </c>
      <c r="D6757" s="601">
        <v>2923.44</v>
      </c>
    </row>
    <row r="6758" spans="1:4" ht="40.5">
      <c r="A6758" s="402">
        <v>98408</v>
      </c>
      <c r="B6758" s="403" t="s">
        <v>4817</v>
      </c>
      <c r="C6758" s="402" t="s">
        <v>35</v>
      </c>
      <c r="D6758" s="601">
        <v>3428.05</v>
      </c>
    </row>
    <row r="6759" spans="1:4" ht="27">
      <c r="A6759" s="402">
        <v>98409</v>
      </c>
      <c r="B6759" s="403" t="s">
        <v>4818</v>
      </c>
      <c r="C6759" s="402" t="s">
        <v>17</v>
      </c>
      <c r="D6759" s="601">
        <v>304.66000000000003</v>
      </c>
    </row>
    <row r="6760" spans="1:4" ht="40.5">
      <c r="A6760" s="402">
        <v>98414</v>
      </c>
      <c r="B6760" s="403" t="s">
        <v>4819</v>
      </c>
      <c r="C6760" s="402" t="s">
        <v>35</v>
      </c>
      <c r="D6760" s="601">
        <v>910.12</v>
      </c>
    </row>
    <row r="6761" spans="1:4" ht="40.5">
      <c r="A6761" s="402">
        <v>98415</v>
      </c>
      <c r="B6761" s="403" t="s">
        <v>4820</v>
      </c>
      <c r="C6761" s="402" t="s">
        <v>35</v>
      </c>
      <c r="D6761" s="601">
        <v>910.12</v>
      </c>
    </row>
    <row r="6762" spans="1:4" ht="40.5">
      <c r="A6762" s="402">
        <v>98416</v>
      </c>
      <c r="B6762" s="403" t="s">
        <v>4821</v>
      </c>
      <c r="C6762" s="402" t="s">
        <v>35</v>
      </c>
      <c r="D6762" s="601">
        <v>1094.52</v>
      </c>
    </row>
    <row r="6763" spans="1:4" ht="40.5">
      <c r="A6763" s="402">
        <v>98417</v>
      </c>
      <c r="B6763" s="403" t="s">
        <v>4822</v>
      </c>
      <c r="C6763" s="402" t="s">
        <v>35</v>
      </c>
      <c r="D6763" s="601">
        <v>1278.93</v>
      </c>
    </row>
    <row r="6764" spans="1:4" ht="40.5">
      <c r="A6764" s="402">
        <v>98418</v>
      </c>
      <c r="B6764" s="403" t="s">
        <v>4823</v>
      </c>
      <c r="C6764" s="402" t="s">
        <v>35</v>
      </c>
      <c r="D6764" s="601">
        <v>1378.96</v>
      </c>
    </row>
    <row r="6765" spans="1:4" ht="40.5">
      <c r="A6765" s="402">
        <v>98419</v>
      </c>
      <c r="B6765" s="403" t="s">
        <v>4824</v>
      </c>
      <c r="C6765" s="402" t="s">
        <v>35</v>
      </c>
      <c r="D6765" s="601">
        <v>1479</v>
      </c>
    </row>
    <row r="6766" spans="1:4" ht="40.5">
      <c r="A6766" s="402">
        <v>98420</v>
      </c>
      <c r="B6766" s="403" t="s">
        <v>4825</v>
      </c>
      <c r="C6766" s="402" t="s">
        <v>35</v>
      </c>
      <c r="D6766" s="601">
        <v>1369.93</v>
      </c>
    </row>
    <row r="6767" spans="1:4" ht="40.5">
      <c r="A6767" s="402">
        <v>98421</v>
      </c>
      <c r="B6767" s="403" t="s">
        <v>4826</v>
      </c>
      <c r="C6767" s="402" t="s">
        <v>35</v>
      </c>
      <c r="D6767" s="601">
        <v>1554.33</v>
      </c>
    </row>
    <row r="6768" spans="1:4" ht="40.5">
      <c r="A6768" s="402">
        <v>98422</v>
      </c>
      <c r="B6768" s="403" t="s">
        <v>4827</v>
      </c>
      <c r="C6768" s="402" t="s">
        <v>35</v>
      </c>
      <c r="D6768" s="601">
        <v>1738.74</v>
      </c>
    </row>
    <row r="6769" spans="1:4" ht="40.5">
      <c r="A6769" s="402">
        <v>98423</v>
      </c>
      <c r="B6769" s="403" t="s">
        <v>4828</v>
      </c>
      <c r="C6769" s="402" t="s">
        <v>35</v>
      </c>
      <c r="D6769" s="601">
        <v>1838.77</v>
      </c>
    </row>
    <row r="6770" spans="1:4" ht="40.5">
      <c r="A6770" s="402">
        <v>98424</v>
      </c>
      <c r="B6770" s="403" t="s">
        <v>4829</v>
      </c>
      <c r="C6770" s="402" t="s">
        <v>35</v>
      </c>
      <c r="D6770" s="601">
        <v>1938.81</v>
      </c>
    </row>
    <row r="6771" spans="1:4" ht="40.5">
      <c r="A6771" s="402">
        <v>98425</v>
      </c>
      <c r="B6771" s="403" t="s">
        <v>4830</v>
      </c>
      <c r="C6771" s="402" t="s">
        <v>35</v>
      </c>
      <c r="D6771" s="601">
        <v>2181.0100000000002</v>
      </c>
    </row>
    <row r="6772" spans="1:4" ht="40.5">
      <c r="A6772" s="402">
        <v>98426</v>
      </c>
      <c r="B6772" s="403" t="s">
        <v>4831</v>
      </c>
      <c r="C6772" s="402" t="s">
        <v>35</v>
      </c>
      <c r="D6772" s="601">
        <v>2817.5</v>
      </c>
    </row>
    <row r="6773" spans="1:4" ht="40.5">
      <c r="A6773" s="402">
        <v>98427</v>
      </c>
      <c r="B6773" s="403" t="s">
        <v>4832</v>
      </c>
      <c r="C6773" s="402" t="s">
        <v>35</v>
      </c>
      <c r="D6773" s="601">
        <v>3453.99</v>
      </c>
    </row>
    <row r="6774" spans="1:4" ht="40.5">
      <c r="A6774" s="402">
        <v>98428</v>
      </c>
      <c r="B6774" s="403" t="s">
        <v>4833</v>
      </c>
      <c r="C6774" s="402" t="s">
        <v>35</v>
      </c>
      <c r="D6774" s="601">
        <v>3807.27</v>
      </c>
    </row>
    <row r="6775" spans="1:4" ht="40.5">
      <c r="A6775" s="402">
        <v>98429</v>
      </c>
      <c r="B6775" s="403" t="s">
        <v>4834</v>
      </c>
      <c r="C6775" s="402" t="s">
        <v>35</v>
      </c>
      <c r="D6775" s="601">
        <v>4160.5600000000004</v>
      </c>
    </row>
    <row r="6776" spans="1:4" ht="54">
      <c r="A6776" s="402">
        <v>98430</v>
      </c>
      <c r="B6776" s="403" t="s">
        <v>4835</v>
      </c>
      <c r="C6776" s="402" t="s">
        <v>35</v>
      </c>
      <c r="D6776" s="601">
        <v>2640.82</v>
      </c>
    </row>
    <row r="6777" spans="1:4" ht="54">
      <c r="A6777" s="402">
        <v>98431</v>
      </c>
      <c r="B6777" s="403" t="s">
        <v>4836</v>
      </c>
      <c r="C6777" s="402" t="s">
        <v>35</v>
      </c>
      <c r="D6777" s="601">
        <v>3277.31</v>
      </c>
    </row>
    <row r="6778" spans="1:4" ht="54">
      <c r="A6778" s="402">
        <v>98432</v>
      </c>
      <c r="B6778" s="403" t="s">
        <v>4837</v>
      </c>
      <c r="C6778" s="402" t="s">
        <v>35</v>
      </c>
      <c r="D6778" s="601">
        <v>3913.8</v>
      </c>
    </row>
    <row r="6779" spans="1:4" ht="54">
      <c r="A6779" s="402">
        <v>98433</v>
      </c>
      <c r="B6779" s="403" t="s">
        <v>4838</v>
      </c>
      <c r="C6779" s="402" t="s">
        <v>35</v>
      </c>
      <c r="D6779" s="601">
        <v>4267.08</v>
      </c>
    </row>
    <row r="6780" spans="1:4" ht="54">
      <c r="A6780" s="402">
        <v>98434</v>
      </c>
      <c r="B6780" s="403" t="s">
        <v>4839</v>
      </c>
      <c r="C6780" s="402" t="s">
        <v>35</v>
      </c>
      <c r="D6780" s="601">
        <v>4620.37</v>
      </c>
    </row>
    <row r="6781" spans="1:4" ht="27">
      <c r="A6781" s="402">
        <v>99240</v>
      </c>
      <c r="B6781" s="403" t="s">
        <v>5500</v>
      </c>
      <c r="C6781" s="402" t="s">
        <v>17</v>
      </c>
      <c r="D6781" s="601">
        <v>402.82</v>
      </c>
    </row>
    <row r="6782" spans="1:4" ht="27">
      <c r="A6782" s="402">
        <v>99241</v>
      </c>
      <c r="B6782" s="403" t="s">
        <v>5501</v>
      </c>
      <c r="C6782" s="402" t="s">
        <v>17</v>
      </c>
      <c r="D6782" s="601">
        <v>1316.48</v>
      </c>
    </row>
    <row r="6783" spans="1:4" ht="40.5">
      <c r="A6783" s="402">
        <v>99242</v>
      </c>
      <c r="B6783" s="403" t="s">
        <v>5502</v>
      </c>
      <c r="C6783" s="402" t="s">
        <v>35</v>
      </c>
      <c r="D6783" s="601">
        <v>2101.27</v>
      </c>
    </row>
    <row r="6784" spans="1:4" ht="27">
      <c r="A6784" s="402">
        <v>99243</v>
      </c>
      <c r="B6784" s="403" t="s">
        <v>5503</v>
      </c>
      <c r="C6784" s="402" t="s">
        <v>17</v>
      </c>
      <c r="D6784" s="601">
        <v>1209.08</v>
      </c>
    </row>
    <row r="6785" spans="1:4" ht="40.5">
      <c r="A6785" s="402">
        <v>99244</v>
      </c>
      <c r="B6785" s="403" t="s">
        <v>5504</v>
      </c>
      <c r="C6785" s="402" t="s">
        <v>35</v>
      </c>
      <c r="D6785" s="601">
        <v>3547.23</v>
      </c>
    </row>
    <row r="6786" spans="1:4" ht="27">
      <c r="A6786" s="402">
        <v>99246</v>
      </c>
      <c r="B6786" s="403" t="s">
        <v>5505</v>
      </c>
      <c r="C6786" s="402" t="s">
        <v>17</v>
      </c>
      <c r="D6786" s="601">
        <v>627.21</v>
      </c>
    </row>
    <row r="6787" spans="1:4" ht="27">
      <c r="A6787" s="402">
        <v>99247</v>
      </c>
      <c r="B6787" s="403" t="s">
        <v>5506</v>
      </c>
      <c r="C6787" s="402" t="s">
        <v>17</v>
      </c>
      <c r="D6787" s="601">
        <v>1502.73</v>
      </c>
    </row>
    <row r="6788" spans="1:4" ht="40.5">
      <c r="A6788" s="402">
        <v>99248</v>
      </c>
      <c r="B6788" s="403" t="s">
        <v>5507</v>
      </c>
      <c r="C6788" s="402" t="s">
        <v>35</v>
      </c>
      <c r="D6788" s="601">
        <v>2673.25</v>
      </c>
    </row>
    <row r="6789" spans="1:4" ht="27">
      <c r="A6789" s="402">
        <v>99249</v>
      </c>
      <c r="B6789" s="403" t="s">
        <v>5508</v>
      </c>
      <c r="C6789" s="402" t="s">
        <v>17</v>
      </c>
      <c r="D6789" s="601">
        <v>1481.21</v>
      </c>
    </row>
    <row r="6790" spans="1:4" ht="40.5">
      <c r="A6790" s="402">
        <v>99252</v>
      </c>
      <c r="B6790" s="403" t="s">
        <v>5509</v>
      </c>
      <c r="C6790" s="402" t="s">
        <v>35</v>
      </c>
      <c r="D6790" s="601">
        <v>1861.8</v>
      </c>
    </row>
    <row r="6791" spans="1:4" ht="27">
      <c r="A6791" s="402">
        <v>99254</v>
      </c>
      <c r="B6791" s="403" t="s">
        <v>5510</v>
      </c>
      <c r="C6791" s="402" t="s">
        <v>17</v>
      </c>
      <c r="D6791" s="601">
        <v>943.9</v>
      </c>
    </row>
    <row r="6792" spans="1:4" ht="40.5">
      <c r="A6792" s="402">
        <v>99256</v>
      </c>
      <c r="B6792" s="403" t="s">
        <v>5511</v>
      </c>
      <c r="C6792" s="402" t="s">
        <v>35</v>
      </c>
      <c r="D6792" s="601">
        <v>4164.3599999999997</v>
      </c>
    </row>
    <row r="6793" spans="1:4" ht="40.5">
      <c r="A6793" s="402">
        <v>99259</v>
      </c>
      <c r="B6793" s="403" t="s">
        <v>5512</v>
      </c>
      <c r="C6793" s="402" t="s">
        <v>35</v>
      </c>
      <c r="D6793" s="601">
        <v>2352.4</v>
      </c>
    </row>
    <row r="6794" spans="1:4" ht="27">
      <c r="A6794" s="402">
        <v>99261</v>
      </c>
      <c r="B6794" s="403" t="s">
        <v>5513</v>
      </c>
      <c r="C6794" s="402" t="s">
        <v>17</v>
      </c>
      <c r="D6794" s="601">
        <v>1130.2</v>
      </c>
    </row>
    <row r="6795" spans="1:4" ht="27">
      <c r="A6795" s="402">
        <v>99263</v>
      </c>
      <c r="B6795" s="403" t="s">
        <v>5514</v>
      </c>
      <c r="C6795" s="402" t="s">
        <v>17</v>
      </c>
      <c r="D6795" s="601">
        <v>1689.06</v>
      </c>
    </row>
    <row r="6796" spans="1:4" ht="40.5">
      <c r="A6796" s="402">
        <v>99265</v>
      </c>
      <c r="B6796" s="403" t="s">
        <v>5515</v>
      </c>
      <c r="C6796" s="402" t="s">
        <v>35</v>
      </c>
      <c r="D6796" s="601">
        <v>2842.94</v>
      </c>
    </row>
    <row r="6797" spans="1:4" ht="27">
      <c r="A6797" s="402">
        <v>99266</v>
      </c>
      <c r="B6797" s="403" t="s">
        <v>5516</v>
      </c>
      <c r="C6797" s="402" t="s">
        <v>17</v>
      </c>
      <c r="D6797" s="601">
        <v>1316.48</v>
      </c>
    </row>
    <row r="6798" spans="1:4" ht="40.5">
      <c r="A6798" s="402">
        <v>99267</v>
      </c>
      <c r="B6798" s="403" t="s">
        <v>5517</v>
      </c>
      <c r="C6798" s="402" t="s">
        <v>35</v>
      </c>
      <c r="D6798" s="601">
        <v>3333.47</v>
      </c>
    </row>
    <row r="6799" spans="1:4" ht="27">
      <c r="A6799" s="402">
        <v>99269</v>
      </c>
      <c r="B6799" s="403" t="s">
        <v>5518</v>
      </c>
      <c r="C6799" s="402" t="s">
        <v>17</v>
      </c>
      <c r="D6799" s="601">
        <v>1502.73</v>
      </c>
    </row>
    <row r="6800" spans="1:4" ht="40.5">
      <c r="A6800" s="402">
        <v>99271</v>
      </c>
      <c r="B6800" s="403" t="s">
        <v>5519</v>
      </c>
      <c r="C6800" s="402" t="s">
        <v>35</v>
      </c>
      <c r="D6800" s="601">
        <v>4781.43</v>
      </c>
    </row>
    <row r="6801" spans="1:4" ht="40.5">
      <c r="A6801" s="402">
        <v>99272</v>
      </c>
      <c r="B6801" s="403" t="s">
        <v>5520</v>
      </c>
      <c r="C6801" s="402" t="s">
        <v>35</v>
      </c>
      <c r="D6801" s="601">
        <v>775.25</v>
      </c>
    </row>
    <row r="6802" spans="1:4" ht="40.5">
      <c r="A6802" s="402">
        <v>99273</v>
      </c>
      <c r="B6802" s="403" t="s">
        <v>5521</v>
      </c>
      <c r="C6802" s="402" t="s">
        <v>35</v>
      </c>
      <c r="D6802" s="601">
        <v>1118.99</v>
      </c>
    </row>
    <row r="6803" spans="1:4" ht="40.5">
      <c r="A6803" s="402">
        <v>99274</v>
      </c>
      <c r="B6803" s="403" t="s">
        <v>5522</v>
      </c>
      <c r="C6803" s="402" t="s">
        <v>35</v>
      </c>
      <c r="D6803" s="601">
        <v>3844</v>
      </c>
    </row>
    <row r="6804" spans="1:4" ht="27">
      <c r="A6804" s="402">
        <v>99276</v>
      </c>
      <c r="B6804" s="403" t="s">
        <v>5523</v>
      </c>
      <c r="C6804" s="402" t="s">
        <v>17</v>
      </c>
      <c r="D6804" s="601">
        <v>1875.35</v>
      </c>
    </row>
    <row r="6805" spans="1:4" ht="27">
      <c r="A6805" s="402">
        <v>99277</v>
      </c>
      <c r="B6805" s="403" t="s">
        <v>5524</v>
      </c>
      <c r="C6805" s="402" t="s">
        <v>17</v>
      </c>
      <c r="D6805" s="601">
        <v>1689.06</v>
      </c>
    </row>
    <row r="6806" spans="1:4" ht="27">
      <c r="A6806" s="402">
        <v>99278</v>
      </c>
      <c r="B6806" s="403" t="s">
        <v>5525</v>
      </c>
      <c r="C6806" s="402" t="s">
        <v>17</v>
      </c>
      <c r="D6806" s="601">
        <v>298.93</v>
      </c>
    </row>
    <row r="6807" spans="1:4" ht="40.5">
      <c r="A6807" s="402">
        <v>99279</v>
      </c>
      <c r="B6807" s="403" t="s">
        <v>5526</v>
      </c>
      <c r="C6807" s="402" t="s">
        <v>35</v>
      </c>
      <c r="D6807" s="601">
        <v>4337</v>
      </c>
    </row>
    <row r="6808" spans="1:4" ht="40.5">
      <c r="A6808" s="402">
        <v>99280</v>
      </c>
      <c r="B6808" s="403" t="s">
        <v>5527</v>
      </c>
      <c r="C6808" s="402" t="s">
        <v>35</v>
      </c>
      <c r="D6808" s="601">
        <v>1444.53</v>
      </c>
    </row>
    <row r="6809" spans="1:4" ht="27">
      <c r="A6809" s="402">
        <v>99281</v>
      </c>
      <c r="B6809" s="403" t="s">
        <v>5528</v>
      </c>
      <c r="C6809" s="402" t="s">
        <v>17</v>
      </c>
      <c r="D6809" s="601">
        <v>1875.35</v>
      </c>
    </row>
    <row r="6810" spans="1:4" ht="27">
      <c r="A6810" s="402">
        <v>99282</v>
      </c>
      <c r="B6810" s="403" t="s">
        <v>5529</v>
      </c>
      <c r="C6810" s="402" t="s">
        <v>17</v>
      </c>
      <c r="D6810" s="601">
        <v>2088.73</v>
      </c>
    </row>
    <row r="6811" spans="1:4" ht="27">
      <c r="A6811" s="402">
        <v>99283</v>
      </c>
      <c r="B6811" s="403" t="s">
        <v>5530</v>
      </c>
      <c r="C6811" s="402" t="s">
        <v>17</v>
      </c>
      <c r="D6811" s="601">
        <v>846.2</v>
      </c>
    </row>
    <row r="6812" spans="1:4" ht="40.5">
      <c r="A6812" s="402">
        <v>99284</v>
      </c>
      <c r="B6812" s="403" t="s">
        <v>5531</v>
      </c>
      <c r="C6812" s="402" t="s">
        <v>35</v>
      </c>
      <c r="D6812" s="601">
        <v>5398.58</v>
      </c>
    </row>
    <row r="6813" spans="1:4" ht="40.5">
      <c r="A6813" s="402">
        <v>99286</v>
      </c>
      <c r="B6813" s="403" t="s">
        <v>5532</v>
      </c>
      <c r="C6813" s="402" t="s">
        <v>35</v>
      </c>
      <c r="D6813" s="601">
        <v>4830.12</v>
      </c>
    </row>
    <row r="6814" spans="1:4" ht="40.5">
      <c r="A6814" s="402">
        <v>99287</v>
      </c>
      <c r="B6814" s="403" t="s">
        <v>5533</v>
      </c>
      <c r="C6814" s="402" t="s">
        <v>35</v>
      </c>
      <c r="D6814" s="601">
        <v>6833.36</v>
      </c>
    </row>
    <row r="6815" spans="1:4" ht="27">
      <c r="A6815" s="402">
        <v>99288</v>
      </c>
      <c r="B6815" s="403" t="s">
        <v>5534</v>
      </c>
      <c r="C6815" s="402" t="s">
        <v>17</v>
      </c>
      <c r="D6815" s="601">
        <v>361.28</v>
      </c>
    </row>
    <row r="6816" spans="1:4" ht="27">
      <c r="A6816" s="402">
        <v>99289</v>
      </c>
      <c r="B6816" s="403" t="s">
        <v>5535</v>
      </c>
      <c r="C6816" s="402" t="s">
        <v>17</v>
      </c>
      <c r="D6816" s="601">
        <v>2061.63</v>
      </c>
    </row>
    <row r="6817" spans="1:4" ht="40.5">
      <c r="A6817" s="402">
        <v>99290</v>
      </c>
      <c r="B6817" s="403" t="s">
        <v>5536</v>
      </c>
      <c r="C6817" s="402" t="s">
        <v>35</v>
      </c>
      <c r="D6817" s="601">
        <v>2914.43</v>
      </c>
    </row>
    <row r="6818" spans="1:4" ht="27">
      <c r="A6818" s="402">
        <v>99291</v>
      </c>
      <c r="B6818" s="403" t="s">
        <v>5537</v>
      </c>
      <c r="C6818" s="402" t="s">
        <v>17</v>
      </c>
      <c r="D6818" s="601">
        <v>2061.63</v>
      </c>
    </row>
    <row r="6819" spans="1:4" ht="40.5">
      <c r="A6819" s="402">
        <v>99292</v>
      </c>
      <c r="B6819" s="403" t="s">
        <v>5538</v>
      </c>
      <c r="C6819" s="402" t="s">
        <v>35</v>
      </c>
      <c r="D6819" s="601">
        <v>1775.36</v>
      </c>
    </row>
    <row r="6820" spans="1:4" ht="27">
      <c r="A6820" s="402">
        <v>99293</v>
      </c>
      <c r="B6820" s="403" t="s">
        <v>5539</v>
      </c>
      <c r="C6820" s="402" t="s">
        <v>17</v>
      </c>
      <c r="D6820" s="601">
        <v>1027.6300000000001</v>
      </c>
    </row>
    <row r="6821" spans="1:4" ht="40.5">
      <c r="A6821" s="402">
        <v>99294</v>
      </c>
      <c r="B6821" s="403" t="s">
        <v>5540</v>
      </c>
      <c r="C6821" s="402" t="s">
        <v>35</v>
      </c>
      <c r="D6821" s="601">
        <v>6015.67</v>
      </c>
    </row>
    <row r="6822" spans="1:4" ht="27">
      <c r="A6822" s="402">
        <v>99296</v>
      </c>
      <c r="B6822" s="403" t="s">
        <v>5541</v>
      </c>
      <c r="C6822" s="402" t="s">
        <v>17</v>
      </c>
      <c r="D6822" s="601">
        <v>2275.02</v>
      </c>
    </row>
    <row r="6823" spans="1:4" ht="27">
      <c r="A6823" s="402">
        <v>99297</v>
      </c>
      <c r="B6823" s="403" t="s">
        <v>5542</v>
      </c>
      <c r="C6823" s="402" t="s">
        <v>17</v>
      </c>
      <c r="D6823" s="601">
        <v>2270.33</v>
      </c>
    </row>
    <row r="6824" spans="1:4" ht="40.5">
      <c r="A6824" s="402">
        <v>99298</v>
      </c>
      <c r="B6824" s="403" t="s">
        <v>5543</v>
      </c>
      <c r="C6824" s="402" t="s">
        <v>35</v>
      </c>
      <c r="D6824" s="601">
        <v>7723.8</v>
      </c>
    </row>
    <row r="6825" spans="1:4" ht="27">
      <c r="A6825" s="402">
        <v>99299</v>
      </c>
      <c r="B6825" s="403" t="s">
        <v>5544</v>
      </c>
      <c r="C6825" s="402" t="s">
        <v>17</v>
      </c>
      <c r="D6825" s="601">
        <v>2461.23</v>
      </c>
    </row>
    <row r="6826" spans="1:4" ht="40.5">
      <c r="A6826" s="402">
        <v>99300</v>
      </c>
      <c r="B6826" s="403" t="s">
        <v>5545</v>
      </c>
      <c r="C6826" s="402" t="s">
        <v>35</v>
      </c>
      <c r="D6826" s="601">
        <v>8614.23</v>
      </c>
    </row>
    <row r="6827" spans="1:4" ht="40.5">
      <c r="A6827" s="402">
        <v>99301</v>
      </c>
      <c r="B6827" s="403" t="s">
        <v>5546</v>
      </c>
      <c r="C6827" s="402" t="s">
        <v>35</v>
      </c>
      <c r="D6827" s="601">
        <v>4294</v>
      </c>
    </row>
    <row r="6828" spans="1:4" ht="27">
      <c r="A6828" s="402">
        <v>99302</v>
      </c>
      <c r="B6828" s="403" t="s">
        <v>5547</v>
      </c>
      <c r="C6828" s="402" t="s">
        <v>17</v>
      </c>
      <c r="D6828" s="601">
        <v>2652.19</v>
      </c>
    </row>
    <row r="6829" spans="1:4" ht="40.5">
      <c r="A6829" s="402">
        <v>99303</v>
      </c>
      <c r="B6829" s="403" t="s">
        <v>5548</v>
      </c>
      <c r="C6829" s="402" t="s">
        <v>35</v>
      </c>
      <c r="D6829" s="601">
        <v>7902.47</v>
      </c>
    </row>
    <row r="6830" spans="1:4" ht="27">
      <c r="A6830" s="402">
        <v>99304</v>
      </c>
      <c r="B6830" s="403" t="s">
        <v>5549</v>
      </c>
      <c r="C6830" s="402" t="s">
        <v>17</v>
      </c>
      <c r="D6830" s="601">
        <v>2465.91</v>
      </c>
    </row>
    <row r="6831" spans="1:4" ht="40.5">
      <c r="A6831" s="402">
        <v>99305</v>
      </c>
      <c r="B6831" s="403" t="s">
        <v>5550</v>
      </c>
      <c r="C6831" s="402" t="s">
        <v>35</v>
      </c>
      <c r="D6831" s="601">
        <v>8928.36</v>
      </c>
    </row>
    <row r="6832" spans="1:4" ht="27">
      <c r="A6832" s="402">
        <v>99306</v>
      </c>
      <c r="B6832" s="403" t="s">
        <v>5551</v>
      </c>
      <c r="C6832" s="402" t="s">
        <v>17</v>
      </c>
      <c r="D6832" s="601">
        <v>2652.19</v>
      </c>
    </row>
    <row r="6833" spans="1:4" ht="27">
      <c r="A6833" s="402">
        <v>99307</v>
      </c>
      <c r="B6833" s="403" t="s">
        <v>5552</v>
      </c>
      <c r="C6833" s="402" t="s">
        <v>17</v>
      </c>
      <c r="D6833" s="601">
        <v>1711.47</v>
      </c>
    </row>
    <row r="6834" spans="1:4" ht="40.5">
      <c r="A6834" s="402">
        <v>99308</v>
      </c>
      <c r="B6834" s="403" t="s">
        <v>5553</v>
      </c>
      <c r="C6834" s="402" t="s">
        <v>35</v>
      </c>
      <c r="D6834" s="601">
        <v>9954.2999999999993</v>
      </c>
    </row>
    <row r="6835" spans="1:4" ht="27">
      <c r="A6835" s="402">
        <v>99309</v>
      </c>
      <c r="B6835" s="403" t="s">
        <v>5554</v>
      </c>
      <c r="C6835" s="402" t="s">
        <v>17</v>
      </c>
      <c r="D6835" s="601">
        <v>2843.13</v>
      </c>
    </row>
    <row r="6836" spans="1:4" ht="40.5">
      <c r="A6836" s="402">
        <v>99310</v>
      </c>
      <c r="B6836" s="403" t="s">
        <v>5555</v>
      </c>
      <c r="C6836" s="402" t="s">
        <v>35</v>
      </c>
      <c r="D6836" s="601">
        <v>10140.64</v>
      </c>
    </row>
    <row r="6837" spans="1:4" ht="27">
      <c r="A6837" s="402">
        <v>99311</v>
      </c>
      <c r="B6837" s="403" t="s">
        <v>5556</v>
      </c>
      <c r="C6837" s="402" t="s">
        <v>17</v>
      </c>
      <c r="D6837" s="601">
        <v>2843.13</v>
      </c>
    </row>
    <row r="6838" spans="1:4" ht="40.5">
      <c r="A6838" s="402">
        <v>99312</v>
      </c>
      <c r="B6838" s="403" t="s">
        <v>5557</v>
      </c>
      <c r="C6838" s="402" t="s">
        <v>35</v>
      </c>
      <c r="D6838" s="601">
        <v>5029.04</v>
      </c>
    </row>
    <row r="6839" spans="1:4" ht="40.5">
      <c r="A6839" s="402">
        <v>99313</v>
      </c>
      <c r="B6839" s="403" t="s">
        <v>5558</v>
      </c>
      <c r="C6839" s="402" t="s">
        <v>35</v>
      </c>
      <c r="D6839" s="601">
        <v>11303.17</v>
      </c>
    </row>
    <row r="6840" spans="1:4" ht="27">
      <c r="A6840" s="402">
        <v>99314</v>
      </c>
      <c r="B6840" s="403" t="s">
        <v>5559</v>
      </c>
      <c r="C6840" s="402" t="s">
        <v>17</v>
      </c>
      <c r="D6840" s="601">
        <v>3034.1</v>
      </c>
    </row>
    <row r="6841" spans="1:4" ht="40.5">
      <c r="A6841" s="402">
        <v>99315</v>
      </c>
      <c r="B6841" s="403" t="s">
        <v>5560</v>
      </c>
      <c r="C6841" s="402" t="s">
        <v>35</v>
      </c>
      <c r="D6841" s="601">
        <v>12661.03</v>
      </c>
    </row>
    <row r="6842" spans="1:4" ht="27">
      <c r="A6842" s="402">
        <v>99317</v>
      </c>
      <c r="B6842" s="403" t="s">
        <v>5561</v>
      </c>
      <c r="C6842" s="402" t="s">
        <v>17</v>
      </c>
      <c r="D6842" s="601">
        <v>1897.76</v>
      </c>
    </row>
    <row r="6843" spans="1:4" ht="27">
      <c r="A6843" s="402">
        <v>99318</v>
      </c>
      <c r="B6843" s="403" t="s">
        <v>5562</v>
      </c>
      <c r="C6843" s="402" t="s">
        <v>17</v>
      </c>
      <c r="D6843" s="601">
        <v>197.49</v>
      </c>
    </row>
    <row r="6844" spans="1:4" ht="27">
      <c r="A6844" s="402">
        <v>99319</v>
      </c>
      <c r="B6844" s="403" t="s">
        <v>5563</v>
      </c>
      <c r="C6844" s="402" t="s">
        <v>17</v>
      </c>
      <c r="D6844" s="601">
        <v>664.2</v>
      </c>
    </row>
    <row r="6845" spans="1:4" ht="40.5">
      <c r="A6845" s="402">
        <v>99320</v>
      </c>
      <c r="B6845" s="403" t="s">
        <v>5564</v>
      </c>
      <c r="C6845" s="402" t="s">
        <v>35</v>
      </c>
      <c r="D6845" s="601">
        <v>5799.94</v>
      </c>
    </row>
    <row r="6846" spans="1:4" ht="27">
      <c r="A6846" s="402">
        <v>99321</v>
      </c>
      <c r="B6846" s="403" t="s">
        <v>5565</v>
      </c>
      <c r="C6846" s="402" t="s">
        <v>17</v>
      </c>
      <c r="D6846" s="601">
        <v>2084.04</v>
      </c>
    </row>
    <row r="6847" spans="1:4" ht="40.5">
      <c r="A6847" s="402">
        <v>99322</v>
      </c>
      <c r="B6847" s="403" t="s">
        <v>5566</v>
      </c>
      <c r="C6847" s="402" t="s">
        <v>35</v>
      </c>
      <c r="D6847" s="601">
        <v>6539.42</v>
      </c>
    </row>
    <row r="6848" spans="1:4" ht="27">
      <c r="A6848" s="402">
        <v>99323</v>
      </c>
      <c r="B6848" s="403" t="s">
        <v>5567</v>
      </c>
      <c r="C6848" s="402" t="s">
        <v>17</v>
      </c>
      <c r="D6848" s="601">
        <v>2270.33</v>
      </c>
    </row>
    <row r="6849" spans="1:4" ht="40.5">
      <c r="A6849" s="402">
        <v>99324</v>
      </c>
      <c r="B6849" s="403" t="s">
        <v>5568</v>
      </c>
      <c r="C6849" s="402" t="s">
        <v>35</v>
      </c>
      <c r="D6849" s="601">
        <v>7278.9</v>
      </c>
    </row>
    <row r="6850" spans="1:4" ht="27">
      <c r="A6850" s="402">
        <v>99325</v>
      </c>
      <c r="B6850" s="403" t="s">
        <v>5569</v>
      </c>
      <c r="C6850" s="402" t="s">
        <v>17</v>
      </c>
      <c r="D6850" s="601">
        <v>2461.23</v>
      </c>
    </row>
    <row r="6851" spans="1:4" ht="40.5">
      <c r="A6851" s="402">
        <v>99326</v>
      </c>
      <c r="B6851" s="403" t="s">
        <v>5570</v>
      </c>
      <c r="C6851" s="402" t="s">
        <v>35</v>
      </c>
      <c r="D6851" s="601">
        <v>5942.97</v>
      </c>
    </row>
    <row r="6852" spans="1:4" ht="27">
      <c r="A6852" s="402">
        <v>99327</v>
      </c>
      <c r="B6852" s="403" t="s">
        <v>5571</v>
      </c>
      <c r="C6852" s="402" t="s">
        <v>17</v>
      </c>
      <c r="D6852" s="601">
        <v>3179.29</v>
      </c>
    </row>
    <row r="6853" spans="1:4" ht="27">
      <c r="A6853" s="402">
        <v>94263</v>
      </c>
      <c r="B6853" s="403" t="s">
        <v>5572</v>
      </c>
      <c r="C6853" s="402" t="s">
        <v>17</v>
      </c>
      <c r="D6853" s="601">
        <v>23.38</v>
      </c>
    </row>
    <row r="6854" spans="1:4" ht="27">
      <c r="A6854" s="402">
        <v>94264</v>
      </c>
      <c r="B6854" s="403" t="s">
        <v>5573</v>
      </c>
      <c r="C6854" s="402" t="s">
        <v>17</v>
      </c>
      <c r="D6854" s="601">
        <v>25.95</v>
      </c>
    </row>
    <row r="6855" spans="1:4" ht="27">
      <c r="A6855" s="402">
        <v>94265</v>
      </c>
      <c r="B6855" s="403" t="s">
        <v>5574</v>
      </c>
      <c r="C6855" s="402" t="s">
        <v>17</v>
      </c>
      <c r="D6855" s="601">
        <v>30.89</v>
      </c>
    </row>
    <row r="6856" spans="1:4" ht="27">
      <c r="A6856" s="402">
        <v>94266</v>
      </c>
      <c r="B6856" s="403" t="s">
        <v>5575</v>
      </c>
      <c r="C6856" s="402" t="s">
        <v>17</v>
      </c>
      <c r="D6856" s="601">
        <v>33.840000000000003</v>
      </c>
    </row>
    <row r="6857" spans="1:4" ht="40.5">
      <c r="A6857" s="402">
        <v>94267</v>
      </c>
      <c r="B6857" s="403" t="s">
        <v>5576</v>
      </c>
      <c r="C6857" s="402" t="s">
        <v>17</v>
      </c>
      <c r="D6857" s="601">
        <v>36.76</v>
      </c>
    </row>
    <row r="6858" spans="1:4" ht="40.5">
      <c r="A6858" s="402">
        <v>94268</v>
      </c>
      <c r="B6858" s="403" t="s">
        <v>5577</v>
      </c>
      <c r="C6858" s="402" t="s">
        <v>17</v>
      </c>
      <c r="D6858" s="601">
        <v>40.01</v>
      </c>
    </row>
    <row r="6859" spans="1:4" ht="40.5">
      <c r="A6859" s="402">
        <v>94269</v>
      </c>
      <c r="B6859" s="403" t="s">
        <v>5578</v>
      </c>
      <c r="C6859" s="402" t="s">
        <v>17</v>
      </c>
      <c r="D6859" s="601">
        <v>52.71</v>
      </c>
    </row>
    <row r="6860" spans="1:4" ht="40.5">
      <c r="A6860" s="402">
        <v>94270</v>
      </c>
      <c r="B6860" s="403" t="s">
        <v>5579</v>
      </c>
      <c r="C6860" s="402" t="s">
        <v>17</v>
      </c>
      <c r="D6860" s="601">
        <v>57.24</v>
      </c>
    </row>
    <row r="6861" spans="1:4" ht="40.5">
      <c r="A6861" s="402">
        <v>94271</v>
      </c>
      <c r="B6861" s="403" t="s">
        <v>5580</v>
      </c>
      <c r="C6861" s="402" t="s">
        <v>17</v>
      </c>
      <c r="D6861" s="601">
        <v>64.319999999999993</v>
      </c>
    </row>
    <row r="6862" spans="1:4" ht="40.5">
      <c r="A6862" s="402">
        <v>94272</v>
      </c>
      <c r="B6862" s="403" t="s">
        <v>5581</v>
      </c>
      <c r="C6862" s="402" t="s">
        <v>17</v>
      </c>
      <c r="D6862" s="601">
        <v>70.36</v>
      </c>
    </row>
    <row r="6863" spans="1:4" ht="40.5">
      <c r="A6863" s="402">
        <v>94273</v>
      </c>
      <c r="B6863" s="403" t="s">
        <v>3334</v>
      </c>
      <c r="C6863" s="402" t="s">
        <v>17</v>
      </c>
      <c r="D6863" s="601">
        <v>39.049999999999997</v>
      </c>
    </row>
    <row r="6864" spans="1:4" ht="40.5">
      <c r="A6864" s="402">
        <v>94274</v>
      </c>
      <c r="B6864" s="403" t="s">
        <v>3335</v>
      </c>
      <c r="C6864" s="402" t="s">
        <v>17</v>
      </c>
      <c r="D6864" s="601">
        <v>41.91</v>
      </c>
    </row>
    <row r="6865" spans="1:4" ht="54">
      <c r="A6865" s="402">
        <v>94275</v>
      </c>
      <c r="B6865" s="403" t="s">
        <v>3336</v>
      </c>
      <c r="C6865" s="402" t="s">
        <v>17</v>
      </c>
      <c r="D6865" s="601">
        <v>37.53</v>
      </c>
    </row>
    <row r="6866" spans="1:4" ht="54">
      <c r="A6866" s="402">
        <v>94276</v>
      </c>
      <c r="B6866" s="403" t="s">
        <v>3337</v>
      </c>
      <c r="C6866" s="402" t="s">
        <v>17</v>
      </c>
      <c r="D6866" s="601">
        <v>40.39</v>
      </c>
    </row>
    <row r="6867" spans="1:4" ht="27">
      <c r="A6867" s="402">
        <v>94281</v>
      </c>
      <c r="B6867" s="403" t="s">
        <v>3338</v>
      </c>
      <c r="C6867" s="402" t="s">
        <v>17</v>
      </c>
      <c r="D6867" s="601">
        <v>36.68</v>
      </c>
    </row>
    <row r="6868" spans="1:4" ht="27">
      <c r="A6868" s="402">
        <v>94282</v>
      </c>
      <c r="B6868" s="403" t="s">
        <v>3339</v>
      </c>
      <c r="C6868" s="402" t="s">
        <v>17</v>
      </c>
      <c r="D6868" s="601">
        <v>45.39</v>
      </c>
    </row>
    <row r="6869" spans="1:4" ht="27">
      <c r="A6869" s="402">
        <v>94283</v>
      </c>
      <c r="B6869" s="403" t="s">
        <v>3340</v>
      </c>
      <c r="C6869" s="402" t="s">
        <v>17</v>
      </c>
      <c r="D6869" s="601">
        <v>47.73</v>
      </c>
    </row>
    <row r="6870" spans="1:4" ht="27">
      <c r="A6870" s="402">
        <v>94284</v>
      </c>
      <c r="B6870" s="403" t="s">
        <v>3341</v>
      </c>
      <c r="C6870" s="402" t="s">
        <v>17</v>
      </c>
      <c r="D6870" s="601">
        <v>56.43</v>
      </c>
    </row>
    <row r="6871" spans="1:4" ht="27">
      <c r="A6871" s="402">
        <v>94285</v>
      </c>
      <c r="B6871" s="403" t="s">
        <v>3342</v>
      </c>
      <c r="C6871" s="402" t="s">
        <v>17</v>
      </c>
      <c r="D6871" s="601">
        <v>58.37</v>
      </c>
    </row>
    <row r="6872" spans="1:4" ht="27">
      <c r="A6872" s="402">
        <v>94286</v>
      </c>
      <c r="B6872" s="403" t="s">
        <v>3343</v>
      </c>
      <c r="C6872" s="402" t="s">
        <v>17</v>
      </c>
      <c r="D6872" s="601">
        <v>67.069999999999993</v>
      </c>
    </row>
    <row r="6873" spans="1:4" ht="27">
      <c r="A6873" s="402">
        <v>94287</v>
      </c>
      <c r="B6873" s="403" t="s">
        <v>3344</v>
      </c>
      <c r="C6873" s="402" t="s">
        <v>17</v>
      </c>
      <c r="D6873" s="601">
        <v>28.59</v>
      </c>
    </row>
    <row r="6874" spans="1:4" ht="27">
      <c r="A6874" s="402">
        <v>94288</v>
      </c>
      <c r="B6874" s="403" t="s">
        <v>3345</v>
      </c>
      <c r="C6874" s="402" t="s">
        <v>17</v>
      </c>
      <c r="D6874" s="601">
        <v>36.200000000000003</v>
      </c>
    </row>
    <row r="6875" spans="1:4" ht="27">
      <c r="A6875" s="402">
        <v>94289</v>
      </c>
      <c r="B6875" s="403" t="s">
        <v>3346</v>
      </c>
      <c r="C6875" s="402" t="s">
        <v>17</v>
      </c>
      <c r="D6875" s="601">
        <v>36.49</v>
      </c>
    </row>
    <row r="6876" spans="1:4" ht="27">
      <c r="A6876" s="402">
        <v>94290</v>
      </c>
      <c r="B6876" s="403" t="s">
        <v>3347</v>
      </c>
      <c r="C6876" s="402" t="s">
        <v>17</v>
      </c>
      <c r="D6876" s="601">
        <v>44.11</v>
      </c>
    </row>
    <row r="6877" spans="1:4" ht="27">
      <c r="A6877" s="402">
        <v>94291</v>
      </c>
      <c r="B6877" s="403" t="s">
        <v>3348</v>
      </c>
      <c r="C6877" s="402" t="s">
        <v>17</v>
      </c>
      <c r="D6877" s="601">
        <v>44.02</v>
      </c>
    </row>
    <row r="6878" spans="1:4" ht="27">
      <c r="A6878" s="402">
        <v>94292</v>
      </c>
      <c r="B6878" s="403" t="s">
        <v>3349</v>
      </c>
      <c r="C6878" s="402" t="s">
        <v>17</v>
      </c>
      <c r="D6878" s="601">
        <v>51.62</v>
      </c>
    </row>
    <row r="6879" spans="1:4" ht="27">
      <c r="A6879" s="402">
        <v>94293</v>
      </c>
      <c r="B6879" s="403" t="s">
        <v>713</v>
      </c>
      <c r="C6879" s="402" t="s">
        <v>17</v>
      </c>
      <c r="D6879" s="601">
        <v>115.14</v>
      </c>
    </row>
    <row r="6880" spans="1:4" ht="27">
      <c r="A6880" s="402">
        <v>94294</v>
      </c>
      <c r="B6880" s="403" t="s">
        <v>3350</v>
      </c>
      <c r="C6880" s="402" t="s">
        <v>17</v>
      </c>
      <c r="D6880" s="601">
        <v>6.01</v>
      </c>
    </row>
    <row r="6881" spans="1:4" ht="40.5">
      <c r="A6881" s="402">
        <v>94037</v>
      </c>
      <c r="B6881" s="403" t="s">
        <v>711</v>
      </c>
      <c r="C6881" s="402" t="s">
        <v>48</v>
      </c>
      <c r="D6881" s="601">
        <v>14.17</v>
      </c>
    </row>
    <row r="6882" spans="1:4" ht="40.5">
      <c r="A6882" s="402">
        <v>94038</v>
      </c>
      <c r="B6882" s="403" t="s">
        <v>3292</v>
      </c>
      <c r="C6882" s="402" t="s">
        <v>48</v>
      </c>
      <c r="D6882" s="601">
        <v>19.84</v>
      </c>
    </row>
    <row r="6883" spans="1:4" ht="40.5">
      <c r="A6883" s="402">
        <v>94039</v>
      </c>
      <c r="B6883" s="403" t="s">
        <v>3293</v>
      </c>
      <c r="C6883" s="402" t="s">
        <v>48</v>
      </c>
      <c r="D6883" s="601">
        <v>11.12</v>
      </c>
    </row>
    <row r="6884" spans="1:4" ht="40.5">
      <c r="A6884" s="402">
        <v>94040</v>
      </c>
      <c r="B6884" s="403" t="s">
        <v>3294</v>
      </c>
      <c r="C6884" s="402" t="s">
        <v>48</v>
      </c>
      <c r="D6884" s="601">
        <v>16.829999999999998</v>
      </c>
    </row>
    <row r="6885" spans="1:4" ht="27">
      <c r="A6885" s="402">
        <v>94041</v>
      </c>
      <c r="B6885" s="403" t="s">
        <v>3295</v>
      </c>
      <c r="C6885" s="402" t="s">
        <v>48</v>
      </c>
      <c r="D6885" s="601">
        <v>8.4700000000000006</v>
      </c>
    </row>
    <row r="6886" spans="1:4" ht="40.5">
      <c r="A6886" s="402">
        <v>94042</v>
      </c>
      <c r="B6886" s="403" t="s">
        <v>3296</v>
      </c>
      <c r="C6886" s="402" t="s">
        <v>48</v>
      </c>
      <c r="D6886" s="601">
        <v>14.33</v>
      </c>
    </row>
    <row r="6887" spans="1:4" ht="40.5">
      <c r="A6887" s="402">
        <v>94043</v>
      </c>
      <c r="B6887" s="403" t="s">
        <v>3297</v>
      </c>
      <c r="C6887" s="402" t="s">
        <v>48</v>
      </c>
      <c r="D6887" s="601">
        <v>13.29</v>
      </c>
    </row>
    <row r="6888" spans="1:4" ht="40.5">
      <c r="A6888" s="402">
        <v>94044</v>
      </c>
      <c r="B6888" s="403" t="s">
        <v>3298</v>
      </c>
      <c r="C6888" s="402" t="s">
        <v>48</v>
      </c>
      <c r="D6888" s="601">
        <v>18.989999999999998</v>
      </c>
    </row>
    <row r="6889" spans="1:4" ht="40.5">
      <c r="A6889" s="402">
        <v>94045</v>
      </c>
      <c r="B6889" s="403" t="s">
        <v>3299</v>
      </c>
      <c r="C6889" s="402" t="s">
        <v>48</v>
      </c>
      <c r="D6889" s="601">
        <v>10.28</v>
      </c>
    </row>
    <row r="6890" spans="1:4" ht="40.5">
      <c r="A6890" s="402">
        <v>94046</v>
      </c>
      <c r="B6890" s="403" t="s">
        <v>3300</v>
      </c>
      <c r="C6890" s="402" t="s">
        <v>48</v>
      </c>
      <c r="D6890" s="601">
        <v>15.95</v>
      </c>
    </row>
    <row r="6891" spans="1:4" ht="40.5">
      <c r="A6891" s="402">
        <v>94047</v>
      </c>
      <c r="B6891" s="403" t="s">
        <v>3301</v>
      </c>
      <c r="C6891" s="402" t="s">
        <v>48</v>
      </c>
      <c r="D6891" s="601">
        <v>7.61</v>
      </c>
    </row>
    <row r="6892" spans="1:4" ht="40.5">
      <c r="A6892" s="402">
        <v>94048</v>
      </c>
      <c r="B6892" s="403" t="s">
        <v>3302</v>
      </c>
      <c r="C6892" s="402" t="s">
        <v>48</v>
      </c>
      <c r="D6892" s="601">
        <v>13.45</v>
      </c>
    </row>
    <row r="6893" spans="1:4" ht="40.5">
      <c r="A6893" s="402">
        <v>94049</v>
      </c>
      <c r="B6893" s="403" t="s">
        <v>3303</v>
      </c>
      <c r="C6893" s="402" t="s">
        <v>48</v>
      </c>
      <c r="D6893" s="601">
        <v>22.43</v>
      </c>
    </row>
    <row r="6894" spans="1:4" ht="40.5">
      <c r="A6894" s="402">
        <v>94050</v>
      </c>
      <c r="B6894" s="403" t="s">
        <v>3304</v>
      </c>
      <c r="C6894" s="402" t="s">
        <v>48</v>
      </c>
      <c r="D6894" s="601">
        <v>29.79</v>
      </c>
    </row>
    <row r="6895" spans="1:4" ht="40.5">
      <c r="A6895" s="402">
        <v>94051</v>
      </c>
      <c r="B6895" s="403" t="s">
        <v>712</v>
      </c>
      <c r="C6895" s="402" t="s">
        <v>48</v>
      </c>
      <c r="D6895" s="601">
        <v>18.260000000000002</v>
      </c>
    </row>
    <row r="6896" spans="1:4" ht="40.5">
      <c r="A6896" s="402">
        <v>94052</v>
      </c>
      <c r="B6896" s="403" t="s">
        <v>3305</v>
      </c>
      <c r="C6896" s="402" t="s">
        <v>48</v>
      </c>
      <c r="D6896" s="601">
        <v>25.5</v>
      </c>
    </row>
    <row r="6897" spans="1:4" ht="40.5">
      <c r="A6897" s="402">
        <v>94053</v>
      </c>
      <c r="B6897" s="403" t="s">
        <v>3306</v>
      </c>
      <c r="C6897" s="402" t="s">
        <v>48</v>
      </c>
      <c r="D6897" s="601">
        <v>15.34</v>
      </c>
    </row>
    <row r="6898" spans="1:4" ht="40.5">
      <c r="A6898" s="402">
        <v>94054</v>
      </c>
      <c r="B6898" s="403" t="s">
        <v>3307</v>
      </c>
      <c r="C6898" s="402" t="s">
        <v>48</v>
      </c>
      <c r="D6898" s="601">
        <v>22.73</v>
      </c>
    </row>
    <row r="6899" spans="1:4" ht="40.5">
      <c r="A6899" s="402">
        <v>94055</v>
      </c>
      <c r="B6899" s="403" t="s">
        <v>3308</v>
      </c>
      <c r="C6899" s="402" t="s">
        <v>48</v>
      </c>
      <c r="D6899" s="601">
        <v>21.29</v>
      </c>
    </row>
    <row r="6900" spans="1:4" ht="40.5">
      <c r="A6900" s="402">
        <v>94056</v>
      </c>
      <c r="B6900" s="403" t="s">
        <v>3309</v>
      </c>
      <c r="C6900" s="402" t="s">
        <v>48</v>
      </c>
      <c r="D6900" s="601">
        <v>28.67</v>
      </c>
    </row>
    <row r="6901" spans="1:4" ht="40.5">
      <c r="A6901" s="402">
        <v>94057</v>
      </c>
      <c r="B6901" s="403" t="s">
        <v>3310</v>
      </c>
      <c r="C6901" s="402" t="s">
        <v>48</v>
      </c>
      <c r="D6901" s="601">
        <v>17.149999999999999</v>
      </c>
    </row>
    <row r="6902" spans="1:4" ht="40.5">
      <c r="A6902" s="402">
        <v>94058</v>
      </c>
      <c r="B6902" s="403" t="s">
        <v>3311</v>
      </c>
      <c r="C6902" s="402" t="s">
        <v>48</v>
      </c>
      <c r="D6902" s="601">
        <v>24.37</v>
      </c>
    </row>
    <row r="6903" spans="1:4" ht="40.5">
      <c r="A6903" s="402">
        <v>94059</v>
      </c>
      <c r="B6903" s="403" t="s">
        <v>3312</v>
      </c>
      <c r="C6903" s="402" t="s">
        <v>48</v>
      </c>
      <c r="D6903" s="601">
        <v>14.22</v>
      </c>
    </row>
    <row r="6904" spans="1:4" ht="40.5">
      <c r="A6904" s="402">
        <v>94060</v>
      </c>
      <c r="B6904" s="403" t="s">
        <v>3313</v>
      </c>
      <c r="C6904" s="402" t="s">
        <v>48</v>
      </c>
      <c r="D6904" s="601">
        <v>21.6</v>
      </c>
    </row>
    <row r="6905" spans="1:4" ht="27">
      <c r="A6905" s="402">
        <v>73301</v>
      </c>
      <c r="B6905" s="403" t="s">
        <v>1179</v>
      </c>
      <c r="C6905" s="402" t="s">
        <v>33</v>
      </c>
      <c r="D6905" s="601">
        <v>9.68</v>
      </c>
    </row>
    <row r="6906" spans="1:4" ht="27">
      <c r="A6906" s="402">
        <v>83515</v>
      </c>
      <c r="B6906" s="403" t="s">
        <v>1203</v>
      </c>
      <c r="C6906" s="402" t="s">
        <v>33</v>
      </c>
      <c r="D6906" s="601">
        <v>15.83</v>
      </c>
    </row>
    <row r="6907" spans="1:4" ht="27">
      <c r="A6907" s="402">
        <v>83516</v>
      </c>
      <c r="B6907" s="403" t="s">
        <v>1204</v>
      </c>
      <c r="C6907" s="402" t="s">
        <v>33</v>
      </c>
      <c r="D6907" s="601">
        <v>18.28</v>
      </c>
    </row>
    <row r="6908" spans="1:4" ht="40.5">
      <c r="A6908" s="402">
        <v>90788</v>
      </c>
      <c r="B6908" s="403" t="s">
        <v>6605</v>
      </c>
      <c r="C6908" s="402" t="s">
        <v>35</v>
      </c>
      <c r="D6908" s="601">
        <v>538.25</v>
      </c>
    </row>
    <row r="6909" spans="1:4" ht="40.5">
      <c r="A6909" s="402">
        <v>90789</v>
      </c>
      <c r="B6909" s="403" t="s">
        <v>6606</v>
      </c>
      <c r="C6909" s="402" t="s">
        <v>35</v>
      </c>
      <c r="D6909" s="601">
        <v>555.97</v>
      </c>
    </row>
    <row r="6910" spans="1:4" ht="40.5">
      <c r="A6910" s="402">
        <v>90790</v>
      </c>
      <c r="B6910" s="403" t="s">
        <v>6607</v>
      </c>
      <c r="C6910" s="402" t="s">
        <v>35</v>
      </c>
      <c r="D6910" s="601">
        <v>560.47</v>
      </c>
    </row>
    <row r="6911" spans="1:4" ht="40.5">
      <c r="A6911" s="402">
        <v>90791</v>
      </c>
      <c r="B6911" s="403" t="s">
        <v>6608</v>
      </c>
      <c r="C6911" s="402" t="s">
        <v>35</v>
      </c>
      <c r="D6911" s="601">
        <v>598.46</v>
      </c>
    </row>
    <row r="6912" spans="1:4" ht="40.5">
      <c r="A6912" s="402">
        <v>90793</v>
      </c>
      <c r="B6912" s="403" t="s">
        <v>6609</v>
      </c>
      <c r="C6912" s="402" t="s">
        <v>35</v>
      </c>
      <c r="D6912" s="601">
        <v>639.55999999999995</v>
      </c>
    </row>
    <row r="6913" spans="1:4" ht="40.5">
      <c r="A6913" s="402">
        <v>90794</v>
      </c>
      <c r="B6913" s="403" t="s">
        <v>6610</v>
      </c>
      <c r="C6913" s="402" t="s">
        <v>35</v>
      </c>
      <c r="D6913" s="601">
        <v>569.37</v>
      </c>
    </row>
    <row r="6914" spans="1:4" ht="40.5">
      <c r="A6914" s="402">
        <v>90795</v>
      </c>
      <c r="B6914" s="403" t="s">
        <v>6611</v>
      </c>
      <c r="C6914" s="402" t="s">
        <v>35</v>
      </c>
      <c r="D6914" s="601">
        <v>590.80999999999995</v>
      </c>
    </row>
    <row r="6915" spans="1:4" ht="40.5">
      <c r="A6915" s="402">
        <v>90796</v>
      </c>
      <c r="B6915" s="403" t="s">
        <v>6612</v>
      </c>
      <c r="C6915" s="402" t="s">
        <v>35</v>
      </c>
      <c r="D6915" s="601">
        <v>599.05999999999995</v>
      </c>
    </row>
    <row r="6916" spans="1:4" ht="40.5">
      <c r="A6916" s="402">
        <v>90797</v>
      </c>
      <c r="B6916" s="403" t="s">
        <v>6613</v>
      </c>
      <c r="C6916" s="402" t="s">
        <v>35</v>
      </c>
      <c r="D6916" s="601">
        <v>635.09</v>
      </c>
    </row>
    <row r="6917" spans="1:4" ht="40.5">
      <c r="A6917" s="402">
        <v>90798</v>
      </c>
      <c r="B6917" s="403" t="s">
        <v>6614</v>
      </c>
      <c r="C6917" s="402" t="s">
        <v>35</v>
      </c>
      <c r="D6917" s="601">
        <v>639.30999999999995</v>
      </c>
    </row>
    <row r="6918" spans="1:4" ht="40.5">
      <c r="A6918" s="402">
        <v>90799</v>
      </c>
      <c r="B6918" s="403" t="s">
        <v>6615</v>
      </c>
      <c r="C6918" s="402" t="s">
        <v>35</v>
      </c>
      <c r="D6918" s="601">
        <v>659.69</v>
      </c>
    </row>
    <row r="6919" spans="1:4" ht="27">
      <c r="A6919" s="402">
        <v>90801</v>
      </c>
      <c r="B6919" s="403" t="s">
        <v>6616</v>
      </c>
      <c r="C6919" s="402" t="s">
        <v>35</v>
      </c>
      <c r="D6919" s="601">
        <v>184.22</v>
      </c>
    </row>
    <row r="6920" spans="1:4" ht="27">
      <c r="A6920" s="402">
        <v>90806</v>
      </c>
      <c r="B6920" s="403" t="s">
        <v>6617</v>
      </c>
      <c r="C6920" s="402" t="s">
        <v>35</v>
      </c>
      <c r="D6920" s="601">
        <v>245.25</v>
      </c>
    </row>
    <row r="6921" spans="1:4" ht="27">
      <c r="A6921" s="402">
        <v>90820</v>
      </c>
      <c r="B6921" s="403" t="s">
        <v>6618</v>
      </c>
      <c r="C6921" s="402" t="s">
        <v>35</v>
      </c>
      <c r="D6921" s="601">
        <v>318.89999999999998</v>
      </c>
    </row>
    <row r="6922" spans="1:4" ht="27">
      <c r="A6922" s="402">
        <v>90821</v>
      </c>
      <c r="B6922" s="403" t="s">
        <v>6619</v>
      </c>
      <c r="C6922" s="402" t="s">
        <v>35</v>
      </c>
      <c r="D6922" s="601">
        <v>350.29</v>
      </c>
    </row>
    <row r="6923" spans="1:4" ht="27">
      <c r="A6923" s="402">
        <v>90822</v>
      </c>
      <c r="B6923" s="403" t="s">
        <v>6620</v>
      </c>
      <c r="C6923" s="402" t="s">
        <v>35</v>
      </c>
      <c r="D6923" s="601">
        <v>344.46</v>
      </c>
    </row>
    <row r="6924" spans="1:4" ht="27">
      <c r="A6924" s="402">
        <v>90823</v>
      </c>
      <c r="B6924" s="403" t="s">
        <v>6621</v>
      </c>
      <c r="C6924" s="402" t="s">
        <v>35</v>
      </c>
      <c r="D6924" s="601">
        <v>363.9</v>
      </c>
    </row>
    <row r="6925" spans="1:4" ht="40.5">
      <c r="A6925" s="402">
        <v>90824</v>
      </c>
      <c r="B6925" s="403" t="s">
        <v>6622</v>
      </c>
      <c r="C6925" s="402" t="s">
        <v>35</v>
      </c>
      <c r="D6925" s="601">
        <v>371.22</v>
      </c>
    </row>
    <row r="6926" spans="1:4" ht="27">
      <c r="A6926" s="402">
        <v>90825</v>
      </c>
      <c r="B6926" s="403" t="s">
        <v>6623</v>
      </c>
      <c r="C6926" s="402" t="s">
        <v>35</v>
      </c>
      <c r="D6926" s="601">
        <v>399.99</v>
      </c>
    </row>
    <row r="6927" spans="1:4" ht="27">
      <c r="A6927" s="402">
        <v>90830</v>
      </c>
      <c r="B6927" s="403" t="s">
        <v>6624</v>
      </c>
      <c r="C6927" s="402" t="s">
        <v>35</v>
      </c>
      <c r="D6927" s="601">
        <v>93.88</v>
      </c>
    </row>
    <row r="6928" spans="1:4" ht="27">
      <c r="A6928" s="402">
        <v>90831</v>
      </c>
      <c r="B6928" s="403" t="s">
        <v>6625</v>
      </c>
      <c r="C6928" s="402" t="s">
        <v>35</v>
      </c>
      <c r="D6928" s="601">
        <v>73.59</v>
      </c>
    </row>
    <row r="6929" spans="1:4" ht="54">
      <c r="A6929" s="402">
        <v>90841</v>
      </c>
      <c r="B6929" s="403" t="s">
        <v>6626</v>
      </c>
      <c r="C6929" s="402" t="s">
        <v>35</v>
      </c>
      <c r="D6929" s="601">
        <v>693.32</v>
      </c>
    </row>
    <row r="6930" spans="1:4" ht="54">
      <c r="A6930" s="402">
        <v>90842</v>
      </c>
      <c r="B6930" s="403" t="s">
        <v>6627</v>
      </c>
      <c r="C6930" s="402" t="s">
        <v>35</v>
      </c>
      <c r="D6930" s="601">
        <v>732.45</v>
      </c>
    </row>
    <row r="6931" spans="1:4" ht="54">
      <c r="A6931" s="402">
        <v>90843</v>
      </c>
      <c r="B6931" s="403" t="s">
        <v>6628</v>
      </c>
      <c r="C6931" s="402" t="s">
        <v>35</v>
      </c>
      <c r="D6931" s="601">
        <v>741.49</v>
      </c>
    </row>
    <row r="6932" spans="1:4" ht="54">
      <c r="A6932" s="402">
        <v>90844</v>
      </c>
      <c r="B6932" s="403" t="s">
        <v>6629</v>
      </c>
      <c r="C6932" s="402" t="s">
        <v>35</v>
      </c>
      <c r="D6932" s="601">
        <v>762.08</v>
      </c>
    </row>
    <row r="6933" spans="1:4" ht="40.5">
      <c r="A6933" s="402">
        <v>90847</v>
      </c>
      <c r="B6933" s="403" t="s">
        <v>6630</v>
      </c>
      <c r="C6933" s="402" t="s">
        <v>35</v>
      </c>
      <c r="D6933" s="601">
        <v>619.73</v>
      </c>
    </row>
    <row r="6934" spans="1:4" ht="40.5">
      <c r="A6934" s="402">
        <v>90848</v>
      </c>
      <c r="B6934" s="403" t="s">
        <v>6631</v>
      </c>
      <c r="C6934" s="402" t="s">
        <v>35</v>
      </c>
      <c r="D6934" s="601">
        <v>652.28</v>
      </c>
    </row>
    <row r="6935" spans="1:4" ht="40.5">
      <c r="A6935" s="402">
        <v>90849</v>
      </c>
      <c r="B6935" s="403" t="s">
        <v>6632</v>
      </c>
      <c r="C6935" s="402" t="s">
        <v>35</v>
      </c>
      <c r="D6935" s="601">
        <v>647.61</v>
      </c>
    </row>
    <row r="6936" spans="1:4" ht="40.5">
      <c r="A6936" s="402">
        <v>90850</v>
      </c>
      <c r="B6936" s="403" t="s">
        <v>6633</v>
      </c>
      <c r="C6936" s="402" t="s">
        <v>35</v>
      </c>
      <c r="D6936" s="601">
        <v>668.2</v>
      </c>
    </row>
    <row r="6937" spans="1:4" ht="27">
      <c r="A6937" s="402">
        <v>91009</v>
      </c>
      <c r="B6937" s="403" t="s">
        <v>6634</v>
      </c>
      <c r="C6937" s="402" t="s">
        <v>35</v>
      </c>
      <c r="D6937" s="601">
        <v>327.64999999999998</v>
      </c>
    </row>
    <row r="6938" spans="1:4" ht="27">
      <c r="A6938" s="402">
        <v>91010</v>
      </c>
      <c r="B6938" s="403" t="s">
        <v>6635</v>
      </c>
      <c r="C6938" s="402" t="s">
        <v>35</v>
      </c>
      <c r="D6938" s="601">
        <v>254.36</v>
      </c>
    </row>
    <row r="6939" spans="1:4" ht="27">
      <c r="A6939" s="402">
        <v>91011</v>
      </c>
      <c r="B6939" s="403" t="s">
        <v>6636</v>
      </c>
      <c r="C6939" s="402" t="s">
        <v>35</v>
      </c>
      <c r="D6939" s="601">
        <v>377.24</v>
      </c>
    </row>
    <row r="6940" spans="1:4" ht="27">
      <c r="A6940" s="402">
        <v>91012</v>
      </c>
      <c r="B6940" s="403" t="s">
        <v>6637</v>
      </c>
      <c r="C6940" s="402" t="s">
        <v>35</v>
      </c>
      <c r="D6940" s="601">
        <v>357.17</v>
      </c>
    </row>
    <row r="6941" spans="1:4" ht="40.5">
      <c r="A6941" s="402">
        <v>91013</v>
      </c>
      <c r="B6941" s="403" t="s">
        <v>6638</v>
      </c>
      <c r="C6941" s="402" t="s">
        <v>35</v>
      </c>
      <c r="D6941" s="601">
        <v>628.48</v>
      </c>
    </row>
    <row r="6942" spans="1:4" ht="40.5">
      <c r="A6942" s="402">
        <v>91014</v>
      </c>
      <c r="B6942" s="403" t="s">
        <v>6639</v>
      </c>
      <c r="C6942" s="402" t="s">
        <v>35</v>
      </c>
      <c r="D6942" s="601">
        <v>556.35</v>
      </c>
    </row>
    <row r="6943" spans="1:4" ht="40.5">
      <c r="A6943" s="402">
        <v>91015</v>
      </c>
      <c r="B6943" s="403" t="s">
        <v>6640</v>
      </c>
      <c r="C6943" s="402" t="s">
        <v>35</v>
      </c>
      <c r="D6943" s="601">
        <v>680.39</v>
      </c>
    </row>
    <row r="6944" spans="1:4" ht="40.5">
      <c r="A6944" s="402">
        <v>91016</v>
      </c>
      <c r="B6944" s="403" t="s">
        <v>6641</v>
      </c>
      <c r="C6944" s="402" t="s">
        <v>35</v>
      </c>
      <c r="D6944" s="601">
        <v>661.47</v>
      </c>
    </row>
    <row r="6945" spans="1:4" ht="27">
      <c r="A6945" s="402">
        <v>91287</v>
      </c>
      <c r="B6945" s="403" t="s">
        <v>6642</v>
      </c>
      <c r="C6945" s="402" t="s">
        <v>35</v>
      </c>
      <c r="D6945" s="601">
        <v>146.27000000000001</v>
      </c>
    </row>
    <row r="6946" spans="1:4" ht="27">
      <c r="A6946" s="402">
        <v>91292</v>
      </c>
      <c r="B6946" s="403" t="s">
        <v>6643</v>
      </c>
      <c r="C6946" s="402" t="s">
        <v>35</v>
      </c>
      <c r="D6946" s="601">
        <v>207.3</v>
      </c>
    </row>
    <row r="6947" spans="1:4" ht="27">
      <c r="A6947" s="402">
        <v>91295</v>
      </c>
      <c r="B6947" s="403" t="s">
        <v>6644</v>
      </c>
      <c r="C6947" s="402" t="s">
        <v>35</v>
      </c>
      <c r="D6947" s="601">
        <v>304.14</v>
      </c>
    </row>
    <row r="6948" spans="1:4" ht="27">
      <c r="A6948" s="402">
        <v>91296</v>
      </c>
      <c r="B6948" s="403" t="s">
        <v>6645</v>
      </c>
      <c r="C6948" s="402" t="s">
        <v>35</v>
      </c>
      <c r="D6948" s="601">
        <v>324.72000000000003</v>
      </c>
    </row>
    <row r="6949" spans="1:4" ht="27">
      <c r="A6949" s="402">
        <v>91297</v>
      </c>
      <c r="B6949" s="403" t="s">
        <v>6646</v>
      </c>
      <c r="C6949" s="402" t="s">
        <v>35</v>
      </c>
      <c r="D6949" s="601">
        <v>379.64</v>
      </c>
    </row>
    <row r="6950" spans="1:4" ht="27">
      <c r="A6950" s="402">
        <v>91298</v>
      </c>
      <c r="B6950" s="403" t="s">
        <v>6647</v>
      </c>
      <c r="C6950" s="402" t="s">
        <v>35</v>
      </c>
      <c r="D6950" s="601">
        <v>527.35</v>
      </c>
    </row>
    <row r="6951" spans="1:4" ht="40.5">
      <c r="A6951" s="402">
        <v>91299</v>
      </c>
      <c r="B6951" s="403" t="s">
        <v>6648</v>
      </c>
      <c r="C6951" s="402" t="s">
        <v>35</v>
      </c>
      <c r="D6951" s="601">
        <v>734.92</v>
      </c>
    </row>
    <row r="6952" spans="1:4" ht="27">
      <c r="A6952" s="402">
        <v>91304</v>
      </c>
      <c r="B6952" s="403" t="s">
        <v>6649</v>
      </c>
      <c r="C6952" s="402" t="s">
        <v>35</v>
      </c>
      <c r="D6952" s="601">
        <v>70.87</v>
      </c>
    </row>
    <row r="6953" spans="1:4" ht="27">
      <c r="A6953" s="402">
        <v>91305</v>
      </c>
      <c r="B6953" s="403" t="s">
        <v>6650</v>
      </c>
      <c r="C6953" s="402" t="s">
        <v>35</v>
      </c>
      <c r="D6953" s="601">
        <v>53.49</v>
      </c>
    </row>
    <row r="6954" spans="1:4" ht="27">
      <c r="A6954" s="402">
        <v>91306</v>
      </c>
      <c r="B6954" s="403" t="s">
        <v>6651</v>
      </c>
      <c r="C6954" s="402" t="s">
        <v>35</v>
      </c>
      <c r="D6954" s="601">
        <v>80.17</v>
      </c>
    </row>
    <row r="6955" spans="1:4" ht="27">
      <c r="A6955" s="402">
        <v>91307</v>
      </c>
      <c r="B6955" s="403" t="s">
        <v>6652</v>
      </c>
      <c r="C6955" s="402" t="s">
        <v>35</v>
      </c>
      <c r="D6955" s="601">
        <v>56.19</v>
      </c>
    </row>
    <row r="6956" spans="1:4" ht="54">
      <c r="A6956" s="402">
        <v>91312</v>
      </c>
      <c r="B6956" s="403" t="s">
        <v>6653</v>
      </c>
      <c r="C6956" s="402" t="s">
        <v>35</v>
      </c>
      <c r="D6956" s="601">
        <v>626.34</v>
      </c>
    </row>
    <row r="6957" spans="1:4" ht="54">
      <c r="A6957" s="402">
        <v>91313</v>
      </c>
      <c r="B6957" s="403" t="s">
        <v>6654</v>
      </c>
      <c r="C6957" s="402" t="s">
        <v>35</v>
      </c>
      <c r="D6957" s="601">
        <v>661.4</v>
      </c>
    </row>
    <row r="6958" spans="1:4" ht="54">
      <c r="A6958" s="402">
        <v>91314</v>
      </c>
      <c r="B6958" s="403" t="s">
        <v>6655</v>
      </c>
      <c r="C6958" s="402" t="s">
        <v>35</v>
      </c>
      <c r="D6958" s="601">
        <v>671.23</v>
      </c>
    </row>
    <row r="6959" spans="1:4" ht="54">
      <c r="A6959" s="402">
        <v>91315</v>
      </c>
      <c r="B6959" s="403" t="s">
        <v>6656</v>
      </c>
      <c r="C6959" s="402" t="s">
        <v>35</v>
      </c>
      <c r="D6959" s="601">
        <v>691.64</v>
      </c>
    </row>
    <row r="6960" spans="1:4" ht="54">
      <c r="A6960" s="402">
        <v>91318</v>
      </c>
      <c r="B6960" s="403" t="s">
        <v>6657</v>
      </c>
      <c r="C6960" s="402" t="s">
        <v>35</v>
      </c>
      <c r="D6960" s="601">
        <v>572.85</v>
      </c>
    </row>
    <row r="6961" spans="1:4" ht="54">
      <c r="A6961" s="402">
        <v>91319</v>
      </c>
      <c r="B6961" s="403" t="s">
        <v>6658</v>
      </c>
      <c r="C6961" s="402" t="s">
        <v>35</v>
      </c>
      <c r="D6961" s="601">
        <v>605.21</v>
      </c>
    </row>
    <row r="6962" spans="1:4" ht="54">
      <c r="A6962" s="402">
        <v>91320</v>
      </c>
      <c r="B6962" s="403" t="s">
        <v>6659</v>
      </c>
      <c r="C6962" s="402" t="s">
        <v>35</v>
      </c>
      <c r="D6962" s="601">
        <v>600.36</v>
      </c>
    </row>
    <row r="6963" spans="1:4" ht="54">
      <c r="A6963" s="402">
        <v>91321</v>
      </c>
      <c r="B6963" s="403" t="s">
        <v>6660</v>
      </c>
      <c r="C6963" s="402" t="s">
        <v>35</v>
      </c>
      <c r="D6963" s="601">
        <v>620.77</v>
      </c>
    </row>
    <row r="6964" spans="1:4" ht="54">
      <c r="A6964" s="402">
        <v>91324</v>
      </c>
      <c r="B6964" s="403" t="s">
        <v>6661</v>
      </c>
      <c r="C6964" s="402" t="s">
        <v>35</v>
      </c>
      <c r="D6964" s="601">
        <v>581.6</v>
      </c>
    </row>
    <row r="6965" spans="1:4" ht="54">
      <c r="A6965" s="402">
        <v>91325</v>
      </c>
      <c r="B6965" s="403" t="s">
        <v>6662</v>
      </c>
      <c r="C6965" s="402" t="s">
        <v>35</v>
      </c>
      <c r="D6965" s="601">
        <v>509.28</v>
      </c>
    </row>
    <row r="6966" spans="1:4" ht="54">
      <c r="A6966" s="402">
        <v>91326</v>
      </c>
      <c r="B6966" s="403" t="s">
        <v>6663</v>
      </c>
      <c r="C6966" s="402" t="s">
        <v>35</v>
      </c>
      <c r="D6966" s="601">
        <v>633.14</v>
      </c>
    </row>
    <row r="6967" spans="1:4" ht="54">
      <c r="A6967" s="402">
        <v>91327</v>
      </c>
      <c r="B6967" s="403" t="s">
        <v>6664</v>
      </c>
      <c r="C6967" s="402" t="s">
        <v>35</v>
      </c>
      <c r="D6967" s="601">
        <v>614.04</v>
      </c>
    </row>
    <row r="6968" spans="1:4" ht="40.5">
      <c r="A6968" s="402">
        <v>91328</v>
      </c>
      <c r="B6968" s="403" t="s">
        <v>6665</v>
      </c>
      <c r="C6968" s="402" t="s">
        <v>35</v>
      </c>
      <c r="D6968" s="601">
        <v>604.97</v>
      </c>
    </row>
    <row r="6969" spans="1:4" ht="40.5">
      <c r="A6969" s="402">
        <v>91329</v>
      </c>
      <c r="B6969" s="403" t="s">
        <v>6666</v>
      </c>
      <c r="C6969" s="402" t="s">
        <v>35</v>
      </c>
      <c r="D6969" s="601">
        <v>558.09</v>
      </c>
    </row>
    <row r="6970" spans="1:4" ht="40.5">
      <c r="A6970" s="402">
        <v>91330</v>
      </c>
      <c r="B6970" s="403" t="s">
        <v>6667</v>
      </c>
      <c r="C6970" s="402" t="s">
        <v>35</v>
      </c>
      <c r="D6970" s="601">
        <v>626.71</v>
      </c>
    </row>
    <row r="6971" spans="1:4" ht="40.5">
      <c r="A6971" s="402">
        <v>91331</v>
      </c>
      <c r="B6971" s="403" t="s">
        <v>6668</v>
      </c>
      <c r="C6971" s="402" t="s">
        <v>35</v>
      </c>
      <c r="D6971" s="601">
        <v>579.64</v>
      </c>
    </row>
    <row r="6972" spans="1:4" ht="40.5">
      <c r="A6972" s="402">
        <v>91332</v>
      </c>
      <c r="B6972" s="403" t="s">
        <v>6669</v>
      </c>
      <c r="C6972" s="402" t="s">
        <v>35</v>
      </c>
      <c r="D6972" s="601">
        <v>682.79</v>
      </c>
    </row>
    <row r="6973" spans="1:4" ht="40.5">
      <c r="A6973" s="402">
        <v>91333</v>
      </c>
      <c r="B6973" s="403" t="s">
        <v>6670</v>
      </c>
      <c r="C6973" s="402" t="s">
        <v>35</v>
      </c>
      <c r="D6973" s="601">
        <v>635.54</v>
      </c>
    </row>
    <row r="6974" spans="1:4" ht="40.5">
      <c r="A6974" s="402">
        <v>91334</v>
      </c>
      <c r="B6974" s="403" t="s">
        <v>6671</v>
      </c>
      <c r="C6974" s="402" t="s">
        <v>35</v>
      </c>
      <c r="D6974" s="601">
        <v>830.5</v>
      </c>
    </row>
    <row r="6975" spans="1:4" ht="40.5">
      <c r="A6975" s="402">
        <v>91335</v>
      </c>
      <c r="B6975" s="403" t="s">
        <v>6672</v>
      </c>
      <c r="C6975" s="402" t="s">
        <v>35</v>
      </c>
      <c r="D6975" s="601">
        <v>783.25</v>
      </c>
    </row>
    <row r="6976" spans="1:4" ht="54">
      <c r="A6976" s="402">
        <v>91336</v>
      </c>
      <c r="B6976" s="403" t="s">
        <v>6673</v>
      </c>
      <c r="C6976" s="402" t="s">
        <v>35</v>
      </c>
      <c r="D6976" s="601">
        <v>1038.07</v>
      </c>
    </row>
    <row r="6977" spans="1:4" ht="54">
      <c r="A6977" s="402">
        <v>91337</v>
      </c>
      <c r="B6977" s="403" t="s">
        <v>6674</v>
      </c>
      <c r="C6977" s="402" t="s">
        <v>35</v>
      </c>
      <c r="D6977" s="601">
        <v>990.82</v>
      </c>
    </row>
    <row r="6978" spans="1:4" ht="27">
      <c r="A6978" s="402">
        <v>100659</v>
      </c>
      <c r="B6978" s="403" t="s">
        <v>6675</v>
      </c>
      <c r="C6978" s="402" t="s">
        <v>17</v>
      </c>
      <c r="D6978" s="601">
        <v>5.79</v>
      </c>
    </row>
    <row r="6979" spans="1:4" ht="27">
      <c r="A6979" s="402">
        <v>100660</v>
      </c>
      <c r="B6979" s="403" t="s">
        <v>6676</v>
      </c>
      <c r="C6979" s="402" t="s">
        <v>17</v>
      </c>
      <c r="D6979" s="601">
        <v>4.8600000000000003</v>
      </c>
    </row>
    <row r="6980" spans="1:4" ht="40.5">
      <c r="A6980" s="402">
        <v>100675</v>
      </c>
      <c r="B6980" s="403" t="s">
        <v>6677</v>
      </c>
      <c r="C6980" s="402" t="s">
        <v>35</v>
      </c>
      <c r="D6980" s="601">
        <v>616.47</v>
      </c>
    </row>
    <row r="6981" spans="1:4" ht="13.5">
      <c r="A6981" s="402">
        <v>100676</v>
      </c>
      <c r="B6981" s="403" t="s">
        <v>6678</v>
      </c>
      <c r="C6981" s="402" t="s">
        <v>35</v>
      </c>
      <c r="D6981" s="601">
        <v>121.78</v>
      </c>
    </row>
    <row r="6982" spans="1:4" ht="54">
      <c r="A6982" s="402">
        <v>100678</v>
      </c>
      <c r="B6982" s="403" t="s">
        <v>6679</v>
      </c>
      <c r="C6982" s="402" t="s">
        <v>35</v>
      </c>
      <c r="D6982" s="601">
        <v>702.07</v>
      </c>
    </row>
    <row r="6983" spans="1:4" ht="54">
      <c r="A6983" s="402">
        <v>100679</v>
      </c>
      <c r="B6983" s="403" t="s">
        <v>6680</v>
      </c>
      <c r="C6983" s="402" t="s">
        <v>35</v>
      </c>
      <c r="D6983" s="601">
        <v>635.09</v>
      </c>
    </row>
    <row r="6984" spans="1:4" ht="54">
      <c r="A6984" s="402">
        <v>100680</v>
      </c>
      <c r="B6984" s="403" t="s">
        <v>6681</v>
      </c>
      <c r="C6984" s="402" t="s">
        <v>35</v>
      </c>
      <c r="D6984" s="601">
        <v>636.52</v>
      </c>
    </row>
    <row r="6985" spans="1:4" ht="54">
      <c r="A6985" s="402">
        <v>100681</v>
      </c>
      <c r="B6985" s="403" t="s">
        <v>6682</v>
      </c>
      <c r="C6985" s="402" t="s">
        <v>35</v>
      </c>
      <c r="D6985" s="601">
        <v>706.88</v>
      </c>
    </row>
    <row r="6986" spans="1:4" ht="54">
      <c r="A6986" s="402">
        <v>100682</v>
      </c>
      <c r="B6986" s="403" t="s">
        <v>6683</v>
      </c>
      <c r="C6986" s="402" t="s">
        <v>35</v>
      </c>
      <c r="D6986" s="601">
        <v>635.83000000000004</v>
      </c>
    </row>
    <row r="6987" spans="1:4" ht="54">
      <c r="A6987" s="402">
        <v>100683</v>
      </c>
      <c r="B6987" s="403" t="s">
        <v>6684</v>
      </c>
      <c r="C6987" s="402" t="s">
        <v>35</v>
      </c>
      <c r="D6987" s="601">
        <v>774.27</v>
      </c>
    </row>
    <row r="6988" spans="1:4" ht="54">
      <c r="A6988" s="402">
        <v>100684</v>
      </c>
      <c r="B6988" s="403" t="s">
        <v>6685</v>
      </c>
      <c r="C6988" s="402" t="s">
        <v>35</v>
      </c>
      <c r="D6988" s="601">
        <v>704.01</v>
      </c>
    </row>
    <row r="6989" spans="1:4" ht="54">
      <c r="A6989" s="402">
        <v>100685</v>
      </c>
      <c r="B6989" s="403" t="s">
        <v>6686</v>
      </c>
      <c r="C6989" s="402" t="s">
        <v>35</v>
      </c>
      <c r="D6989" s="601">
        <v>755.35</v>
      </c>
    </row>
    <row r="6990" spans="1:4" ht="54">
      <c r="A6990" s="402">
        <v>100686</v>
      </c>
      <c r="B6990" s="403" t="s">
        <v>6687</v>
      </c>
      <c r="C6990" s="402" t="s">
        <v>35</v>
      </c>
      <c r="D6990" s="601">
        <v>684.91</v>
      </c>
    </row>
    <row r="6991" spans="1:4" ht="54">
      <c r="A6991" s="402">
        <v>100687</v>
      </c>
      <c r="B6991" s="403" t="s">
        <v>6688</v>
      </c>
      <c r="C6991" s="402" t="s">
        <v>35</v>
      </c>
      <c r="D6991" s="601">
        <v>678.56</v>
      </c>
    </row>
    <row r="6992" spans="1:4" ht="54">
      <c r="A6992" s="402">
        <v>100688</v>
      </c>
      <c r="B6992" s="403" t="s">
        <v>6689</v>
      </c>
      <c r="C6992" s="402" t="s">
        <v>35</v>
      </c>
      <c r="D6992" s="601">
        <v>611.58000000000004</v>
      </c>
    </row>
    <row r="6993" spans="1:4" ht="54">
      <c r="A6993" s="402">
        <v>100689</v>
      </c>
      <c r="B6993" s="403" t="s">
        <v>6690</v>
      </c>
      <c r="C6993" s="402" t="s">
        <v>35</v>
      </c>
      <c r="D6993" s="601">
        <v>776.67</v>
      </c>
    </row>
    <row r="6994" spans="1:4" ht="54">
      <c r="A6994" s="402">
        <v>100690</v>
      </c>
      <c r="B6994" s="403" t="s">
        <v>6691</v>
      </c>
      <c r="C6994" s="402" t="s">
        <v>35</v>
      </c>
      <c r="D6994" s="601">
        <v>706.41</v>
      </c>
    </row>
    <row r="6995" spans="1:4" ht="40.5">
      <c r="A6995" s="402">
        <v>100691</v>
      </c>
      <c r="B6995" s="403" t="s">
        <v>6692</v>
      </c>
      <c r="C6995" s="402" t="s">
        <v>35</v>
      </c>
      <c r="D6995" s="601">
        <v>924.38</v>
      </c>
    </row>
    <row r="6996" spans="1:4" ht="40.5">
      <c r="A6996" s="402">
        <v>100692</v>
      </c>
      <c r="B6996" s="403" t="s">
        <v>6693</v>
      </c>
      <c r="C6996" s="402" t="s">
        <v>35</v>
      </c>
      <c r="D6996" s="601">
        <v>854.12</v>
      </c>
    </row>
    <row r="6997" spans="1:4" ht="54">
      <c r="A6997" s="402">
        <v>100693</v>
      </c>
      <c r="B6997" s="403" t="s">
        <v>6694</v>
      </c>
      <c r="C6997" s="402" t="s">
        <v>35</v>
      </c>
      <c r="D6997" s="601">
        <v>1131.95</v>
      </c>
    </row>
    <row r="6998" spans="1:4" ht="54">
      <c r="A6998" s="402">
        <v>100694</v>
      </c>
      <c r="B6998" s="403" t="s">
        <v>6695</v>
      </c>
      <c r="C6998" s="402" t="s">
        <v>35</v>
      </c>
      <c r="D6998" s="601">
        <v>1061.69</v>
      </c>
    </row>
    <row r="6999" spans="1:4" ht="27">
      <c r="A6999" s="402">
        <v>100695</v>
      </c>
      <c r="B6999" s="403" t="s">
        <v>6696</v>
      </c>
      <c r="C6999" s="402" t="s">
        <v>35</v>
      </c>
      <c r="D6999" s="601">
        <v>41.76</v>
      </c>
    </row>
    <row r="7000" spans="1:4" ht="27">
      <c r="A7000" s="402">
        <v>100696</v>
      </c>
      <c r="B7000" s="403" t="s">
        <v>6697</v>
      </c>
      <c r="C7000" s="402" t="s">
        <v>35</v>
      </c>
      <c r="D7000" s="601">
        <v>46.44</v>
      </c>
    </row>
    <row r="7001" spans="1:4" ht="27">
      <c r="A7001" s="402">
        <v>100697</v>
      </c>
      <c r="B7001" s="403" t="s">
        <v>6698</v>
      </c>
      <c r="C7001" s="402" t="s">
        <v>35</v>
      </c>
      <c r="D7001" s="601">
        <v>51.17</v>
      </c>
    </row>
    <row r="7002" spans="1:4" ht="27">
      <c r="A7002" s="402">
        <v>100698</v>
      </c>
      <c r="B7002" s="403" t="s">
        <v>6699</v>
      </c>
      <c r="C7002" s="402" t="s">
        <v>35</v>
      </c>
      <c r="D7002" s="601">
        <v>55.88</v>
      </c>
    </row>
    <row r="7003" spans="1:4" ht="27">
      <c r="A7003" s="402">
        <v>100699</v>
      </c>
      <c r="B7003" s="403" t="s">
        <v>6700</v>
      </c>
      <c r="C7003" s="402" t="s">
        <v>35</v>
      </c>
      <c r="D7003" s="601">
        <v>66.760000000000005</v>
      </c>
    </row>
    <row r="7004" spans="1:4" ht="27">
      <c r="A7004" s="402">
        <v>100700</v>
      </c>
      <c r="B7004" s="403" t="s">
        <v>6701</v>
      </c>
      <c r="C7004" s="402" t="s">
        <v>35</v>
      </c>
      <c r="D7004" s="601">
        <v>742.74</v>
      </c>
    </row>
    <row r="7005" spans="1:4" ht="54">
      <c r="A7005" s="402">
        <v>100712</v>
      </c>
      <c r="B7005" s="403" t="s">
        <v>6702</v>
      </c>
      <c r="C7005" s="402" t="s">
        <v>35</v>
      </c>
      <c r="D7005" s="601">
        <v>565.47</v>
      </c>
    </row>
    <row r="7006" spans="1:4" ht="54">
      <c r="A7006" s="402">
        <v>100665</v>
      </c>
      <c r="B7006" s="403" t="s">
        <v>6703</v>
      </c>
      <c r="C7006" s="402" t="s">
        <v>48</v>
      </c>
      <c r="D7006" s="601">
        <v>696.55</v>
      </c>
    </row>
    <row r="7007" spans="1:4" ht="54">
      <c r="A7007" s="402">
        <v>100666</v>
      </c>
      <c r="B7007" s="403" t="s">
        <v>6704</v>
      </c>
      <c r="C7007" s="402" t="s">
        <v>48</v>
      </c>
      <c r="D7007" s="601">
        <v>549.32000000000005</v>
      </c>
    </row>
    <row r="7008" spans="1:4" ht="54">
      <c r="A7008" s="402">
        <v>100667</v>
      </c>
      <c r="B7008" s="403" t="s">
        <v>6705</v>
      </c>
      <c r="C7008" s="402" t="s">
        <v>48</v>
      </c>
      <c r="D7008" s="601">
        <v>904.68</v>
      </c>
    </row>
    <row r="7009" spans="1:4" ht="40.5">
      <c r="A7009" s="402">
        <v>100668</v>
      </c>
      <c r="B7009" s="403" t="s">
        <v>6706</v>
      </c>
      <c r="C7009" s="402" t="s">
        <v>48</v>
      </c>
      <c r="D7009" s="601">
        <v>1082.18</v>
      </c>
    </row>
    <row r="7010" spans="1:4" ht="40.5">
      <c r="A7010" s="402">
        <v>100669</v>
      </c>
      <c r="B7010" s="403" t="s">
        <v>6707</v>
      </c>
      <c r="C7010" s="402" t="s">
        <v>48</v>
      </c>
      <c r="D7010" s="601">
        <v>647.85</v>
      </c>
    </row>
    <row r="7011" spans="1:4" ht="54">
      <c r="A7011" s="402">
        <v>100670</v>
      </c>
      <c r="B7011" s="403" t="s">
        <v>6708</v>
      </c>
      <c r="C7011" s="402" t="s">
        <v>48</v>
      </c>
      <c r="D7011" s="601">
        <v>869.69</v>
      </c>
    </row>
    <row r="7012" spans="1:4" ht="54">
      <c r="A7012" s="402">
        <v>100671</v>
      </c>
      <c r="B7012" s="403" t="s">
        <v>6709</v>
      </c>
      <c r="C7012" s="402" t="s">
        <v>48</v>
      </c>
      <c r="D7012" s="601">
        <v>1081.25</v>
      </c>
    </row>
    <row r="7013" spans="1:4" ht="54">
      <c r="A7013" s="402">
        <v>100672</v>
      </c>
      <c r="B7013" s="403" t="s">
        <v>6710</v>
      </c>
      <c r="C7013" s="402" t="s">
        <v>48</v>
      </c>
      <c r="D7013" s="601">
        <v>695.24</v>
      </c>
    </row>
    <row r="7014" spans="1:4" ht="13.5">
      <c r="A7014" s="402">
        <v>100701</v>
      </c>
      <c r="B7014" s="403" t="s">
        <v>6711</v>
      </c>
      <c r="C7014" s="402" t="s">
        <v>48</v>
      </c>
      <c r="D7014" s="601">
        <v>454.68</v>
      </c>
    </row>
    <row r="7015" spans="1:4" ht="40.5">
      <c r="A7015" s="402">
        <v>94559</v>
      </c>
      <c r="B7015" s="403" t="s">
        <v>6712</v>
      </c>
      <c r="C7015" s="402" t="s">
        <v>48</v>
      </c>
      <c r="D7015" s="601">
        <v>574.92999999999995</v>
      </c>
    </row>
    <row r="7016" spans="1:4" ht="40.5">
      <c r="A7016" s="402">
        <v>94560</v>
      </c>
      <c r="B7016" s="403" t="s">
        <v>6713</v>
      </c>
      <c r="C7016" s="402" t="s">
        <v>48</v>
      </c>
      <c r="D7016" s="601">
        <v>529.12</v>
      </c>
    </row>
    <row r="7017" spans="1:4" ht="40.5">
      <c r="A7017" s="402">
        <v>94562</v>
      </c>
      <c r="B7017" s="403" t="s">
        <v>6714</v>
      </c>
      <c r="C7017" s="402" t="s">
        <v>48</v>
      </c>
      <c r="D7017" s="601">
        <v>554.86</v>
      </c>
    </row>
    <row r="7018" spans="1:4" ht="40.5">
      <c r="A7018" s="402">
        <v>94563</v>
      </c>
      <c r="B7018" s="403" t="s">
        <v>6715</v>
      </c>
      <c r="C7018" s="402" t="s">
        <v>48</v>
      </c>
      <c r="D7018" s="601">
        <v>698.07</v>
      </c>
    </row>
    <row r="7019" spans="1:4" ht="27">
      <c r="A7019" s="402">
        <v>94587</v>
      </c>
      <c r="B7019" s="403" t="s">
        <v>6716</v>
      </c>
      <c r="C7019" s="402" t="s">
        <v>17</v>
      </c>
      <c r="D7019" s="601">
        <v>38.72</v>
      </c>
    </row>
    <row r="7020" spans="1:4" ht="27">
      <c r="A7020" s="402">
        <v>94588</v>
      </c>
      <c r="B7020" s="403" t="s">
        <v>6717</v>
      </c>
      <c r="C7020" s="402" t="s">
        <v>17</v>
      </c>
      <c r="D7020" s="601">
        <v>33.65</v>
      </c>
    </row>
    <row r="7021" spans="1:4" ht="54">
      <c r="A7021" s="402">
        <v>99837</v>
      </c>
      <c r="B7021" s="403" t="s">
        <v>5582</v>
      </c>
      <c r="C7021" s="402" t="s">
        <v>17</v>
      </c>
      <c r="D7021" s="601">
        <v>367.73</v>
      </c>
    </row>
    <row r="7022" spans="1:4" ht="40.5">
      <c r="A7022" s="402">
        <v>99839</v>
      </c>
      <c r="B7022" s="403" t="s">
        <v>5583</v>
      </c>
      <c r="C7022" s="402" t="s">
        <v>17</v>
      </c>
      <c r="D7022" s="601">
        <v>316.95</v>
      </c>
    </row>
    <row r="7023" spans="1:4" ht="27">
      <c r="A7023" s="402">
        <v>99841</v>
      </c>
      <c r="B7023" s="403" t="s">
        <v>5584</v>
      </c>
      <c r="C7023" s="402" t="s">
        <v>17</v>
      </c>
      <c r="D7023" s="601">
        <v>789.23</v>
      </c>
    </row>
    <row r="7024" spans="1:4" ht="27">
      <c r="A7024" s="402">
        <v>99855</v>
      </c>
      <c r="B7024" s="403" t="s">
        <v>5585</v>
      </c>
      <c r="C7024" s="402" t="s">
        <v>17</v>
      </c>
      <c r="D7024" s="601">
        <v>66.739999999999995</v>
      </c>
    </row>
    <row r="7025" spans="1:4" ht="13.5">
      <c r="A7025" s="402">
        <v>99857</v>
      </c>
      <c r="B7025" s="403" t="s">
        <v>5586</v>
      </c>
      <c r="C7025" s="402" t="s">
        <v>17</v>
      </c>
      <c r="D7025" s="601">
        <v>58.53</v>
      </c>
    </row>
    <row r="7026" spans="1:4" ht="27">
      <c r="A7026" s="402">
        <v>99861</v>
      </c>
      <c r="B7026" s="403" t="s">
        <v>5587</v>
      </c>
      <c r="C7026" s="402" t="s">
        <v>48</v>
      </c>
      <c r="D7026" s="601">
        <v>398.59</v>
      </c>
    </row>
    <row r="7027" spans="1:4" ht="27">
      <c r="A7027" s="402">
        <v>99862</v>
      </c>
      <c r="B7027" s="403" t="s">
        <v>5588</v>
      </c>
      <c r="C7027" s="402" t="s">
        <v>48</v>
      </c>
      <c r="D7027" s="601">
        <v>389.21</v>
      </c>
    </row>
    <row r="7028" spans="1:4" ht="27">
      <c r="A7028" s="402">
        <v>73665</v>
      </c>
      <c r="B7028" s="403" t="s">
        <v>1188</v>
      </c>
      <c r="C7028" s="402" t="s">
        <v>17</v>
      </c>
      <c r="D7028" s="601">
        <v>58.43</v>
      </c>
    </row>
    <row r="7029" spans="1:4" ht="13.5">
      <c r="A7029" s="402" t="s">
        <v>4428</v>
      </c>
      <c r="B7029" s="403" t="s">
        <v>809</v>
      </c>
      <c r="C7029" s="402" t="s">
        <v>17</v>
      </c>
      <c r="D7029" s="601">
        <v>240.04</v>
      </c>
    </row>
    <row r="7030" spans="1:4" ht="13.5">
      <c r="A7030" s="402">
        <v>90838</v>
      </c>
      <c r="B7030" s="403" t="s">
        <v>6718</v>
      </c>
      <c r="C7030" s="402" t="s">
        <v>35</v>
      </c>
      <c r="D7030" s="601">
        <v>1011.25</v>
      </c>
    </row>
    <row r="7031" spans="1:4" ht="27">
      <c r="A7031" s="402">
        <v>91338</v>
      </c>
      <c r="B7031" s="403" t="s">
        <v>6719</v>
      </c>
      <c r="C7031" s="402" t="s">
        <v>48</v>
      </c>
      <c r="D7031" s="601">
        <v>824.46</v>
      </c>
    </row>
    <row r="7032" spans="1:4" ht="27">
      <c r="A7032" s="402">
        <v>91341</v>
      </c>
      <c r="B7032" s="403" t="s">
        <v>6720</v>
      </c>
      <c r="C7032" s="402" t="s">
        <v>48</v>
      </c>
      <c r="D7032" s="601">
        <v>597.25</v>
      </c>
    </row>
    <row r="7033" spans="1:4" ht="27">
      <c r="A7033" s="402">
        <v>94805</v>
      </c>
      <c r="B7033" s="403" t="s">
        <v>6721</v>
      </c>
      <c r="C7033" s="402" t="s">
        <v>35</v>
      </c>
      <c r="D7033" s="601">
        <v>971.8</v>
      </c>
    </row>
    <row r="7034" spans="1:4" ht="27">
      <c r="A7034" s="402">
        <v>94806</v>
      </c>
      <c r="B7034" s="403" t="s">
        <v>6722</v>
      </c>
      <c r="C7034" s="402" t="s">
        <v>35</v>
      </c>
      <c r="D7034" s="601">
        <v>473.59</v>
      </c>
    </row>
    <row r="7035" spans="1:4" ht="27">
      <c r="A7035" s="402">
        <v>94807</v>
      </c>
      <c r="B7035" s="403" t="s">
        <v>6723</v>
      </c>
      <c r="C7035" s="402" t="s">
        <v>35</v>
      </c>
      <c r="D7035" s="601">
        <v>571.35</v>
      </c>
    </row>
    <row r="7036" spans="1:4" ht="27">
      <c r="A7036" s="402">
        <v>100702</v>
      </c>
      <c r="B7036" s="403" t="s">
        <v>6724</v>
      </c>
      <c r="C7036" s="402" t="s">
        <v>48</v>
      </c>
      <c r="D7036" s="601">
        <v>501.43</v>
      </c>
    </row>
    <row r="7037" spans="1:4" ht="40.5">
      <c r="A7037" s="402">
        <v>84885</v>
      </c>
      <c r="B7037" s="403" t="s">
        <v>1227</v>
      </c>
      <c r="C7037" s="402" t="s">
        <v>35</v>
      </c>
      <c r="D7037" s="601">
        <v>615.38</v>
      </c>
    </row>
    <row r="7038" spans="1:4" ht="13.5">
      <c r="A7038" s="402">
        <v>84886</v>
      </c>
      <c r="B7038" s="403" t="s">
        <v>200</v>
      </c>
      <c r="C7038" s="402" t="s">
        <v>35</v>
      </c>
      <c r="D7038" s="601">
        <v>1147.44</v>
      </c>
    </row>
    <row r="7039" spans="1:4" ht="13.5">
      <c r="A7039" s="402">
        <v>100703</v>
      </c>
      <c r="B7039" s="403" t="s">
        <v>6725</v>
      </c>
      <c r="C7039" s="402" t="s">
        <v>35</v>
      </c>
      <c r="D7039" s="601">
        <v>20.55</v>
      </c>
    </row>
    <row r="7040" spans="1:4" ht="27">
      <c r="A7040" s="402">
        <v>100704</v>
      </c>
      <c r="B7040" s="403" t="s">
        <v>6726</v>
      </c>
      <c r="C7040" s="402" t="s">
        <v>35</v>
      </c>
      <c r="D7040" s="601">
        <v>164.44</v>
      </c>
    </row>
    <row r="7041" spans="1:4" ht="13.5">
      <c r="A7041" s="402">
        <v>100705</v>
      </c>
      <c r="B7041" s="403" t="s">
        <v>6727</v>
      </c>
      <c r="C7041" s="402" t="s">
        <v>35</v>
      </c>
      <c r="D7041" s="601">
        <v>51.04</v>
      </c>
    </row>
    <row r="7042" spans="1:4" ht="13.5">
      <c r="A7042" s="402">
        <v>100706</v>
      </c>
      <c r="B7042" s="403" t="s">
        <v>6728</v>
      </c>
      <c r="C7042" s="402" t="s">
        <v>35</v>
      </c>
      <c r="D7042" s="601">
        <v>95.39</v>
      </c>
    </row>
    <row r="7043" spans="1:4" ht="13.5">
      <c r="A7043" s="402">
        <v>100707</v>
      </c>
      <c r="B7043" s="403" t="s">
        <v>6729</v>
      </c>
      <c r="C7043" s="402" t="s">
        <v>35</v>
      </c>
      <c r="D7043" s="601">
        <v>52.61</v>
      </c>
    </row>
    <row r="7044" spans="1:4" ht="13.5">
      <c r="A7044" s="402">
        <v>100708</v>
      </c>
      <c r="B7044" s="403" t="s">
        <v>6730</v>
      </c>
      <c r="C7044" s="402" t="s">
        <v>35</v>
      </c>
      <c r="D7044" s="601">
        <v>68.7</v>
      </c>
    </row>
    <row r="7045" spans="1:4" ht="27">
      <c r="A7045" s="402">
        <v>100709</v>
      </c>
      <c r="B7045" s="403" t="s">
        <v>6731</v>
      </c>
      <c r="C7045" s="402" t="s">
        <v>35</v>
      </c>
      <c r="D7045" s="601">
        <v>32.92</v>
      </c>
    </row>
    <row r="7046" spans="1:4" ht="13.5">
      <c r="A7046" s="402">
        <v>100710</v>
      </c>
      <c r="B7046" s="403" t="s">
        <v>6732</v>
      </c>
      <c r="C7046" s="402" t="s">
        <v>35</v>
      </c>
      <c r="D7046" s="601">
        <v>79.97</v>
      </c>
    </row>
    <row r="7047" spans="1:4" ht="13.5">
      <c r="A7047" s="402">
        <v>72116</v>
      </c>
      <c r="B7047" s="403" t="s">
        <v>105</v>
      </c>
      <c r="C7047" s="402" t="s">
        <v>48</v>
      </c>
      <c r="D7047" s="601">
        <v>106.87</v>
      </c>
    </row>
    <row r="7048" spans="1:4" ht="13.5">
      <c r="A7048" s="402">
        <v>72117</v>
      </c>
      <c r="B7048" s="403" t="s">
        <v>106</v>
      </c>
      <c r="C7048" s="402" t="s">
        <v>48</v>
      </c>
      <c r="D7048" s="601">
        <v>137.04</v>
      </c>
    </row>
    <row r="7049" spans="1:4" ht="27">
      <c r="A7049" s="402">
        <v>72118</v>
      </c>
      <c r="B7049" s="403" t="s">
        <v>1150</v>
      </c>
      <c r="C7049" s="402" t="s">
        <v>48</v>
      </c>
      <c r="D7049" s="601">
        <v>212.33</v>
      </c>
    </row>
    <row r="7050" spans="1:4" ht="27">
      <c r="A7050" s="402">
        <v>72119</v>
      </c>
      <c r="B7050" s="403" t="s">
        <v>1151</v>
      </c>
      <c r="C7050" s="402" t="s">
        <v>48</v>
      </c>
      <c r="D7050" s="601">
        <v>269.13</v>
      </c>
    </row>
    <row r="7051" spans="1:4" ht="27">
      <c r="A7051" s="402">
        <v>72120</v>
      </c>
      <c r="B7051" s="403" t="s">
        <v>1152</v>
      </c>
      <c r="C7051" s="402" t="s">
        <v>48</v>
      </c>
      <c r="D7051" s="601">
        <v>341.52</v>
      </c>
    </row>
    <row r="7052" spans="1:4" ht="13.5">
      <c r="A7052" s="402">
        <v>72122</v>
      </c>
      <c r="B7052" s="403" t="s">
        <v>107</v>
      </c>
      <c r="C7052" s="402" t="s">
        <v>48</v>
      </c>
      <c r="D7052" s="601">
        <v>117.74</v>
      </c>
    </row>
    <row r="7053" spans="1:4" ht="13.5">
      <c r="A7053" s="402">
        <v>72123</v>
      </c>
      <c r="B7053" s="403" t="s">
        <v>108</v>
      </c>
      <c r="C7053" s="402" t="s">
        <v>48</v>
      </c>
      <c r="D7053" s="601">
        <v>312.92</v>
      </c>
    </row>
    <row r="7054" spans="1:4" ht="13.5">
      <c r="A7054" s="402" t="s">
        <v>4306</v>
      </c>
      <c r="B7054" s="403" t="s">
        <v>4307</v>
      </c>
      <c r="C7054" s="402" t="s">
        <v>35</v>
      </c>
      <c r="D7054" s="601">
        <v>2123.7399999999998</v>
      </c>
    </row>
    <row r="7055" spans="1:4" ht="13.5">
      <c r="A7055" s="402" t="s">
        <v>4383</v>
      </c>
      <c r="B7055" s="403" t="s">
        <v>800</v>
      </c>
      <c r="C7055" s="402" t="s">
        <v>48</v>
      </c>
      <c r="D7055" s="601">
        <v>403.62</v>
      </c>
    </row>
    <row r="7056" spans="1:4" ht="27">
      <c r="A7056" s="402" t="s">
        <v>4384</v>
      </c>
      <c r="B7056" s="403" t="s">
        <v>4385</v>
      </c>
      <c r="C7056" s="402" t="s">
        <v>48</v>
      </c>
      <c r="D7056" s="601">
        <v>437.12</v>
      </c>
    </row>
    <row r="7057" spans="1:4" ht="13.5">
      <c r="A7057" s="402">
        <v>84957</v>
      </c>
      <c r="B7057" s="403" t="s">
        <v>201</v>
      </c>
      <c r="C7057" s="402" t="s">
        <v>48</v>
      </c>
      <c r="D7057" s="601">
        <v>164.31</v>
      </c>
    </row>
    <row r="7058" spans="1:4" ht="13.5">
      <c r="A7058" s="402">
        <v>84959</v>
      </c>
      <c r="B7058" s="403" t="s">
        <v>202</v>
      </c>
      <c r="C7058" s="402" t="s">
        <v>48</v>
      </c>
      <c r="D7058" s="601">
        <v>192.19</v>
      </c>
    </row>
    <row r="7059" spans="1:4" ht="13.5">
      <c r="A7059" s="402">
        <v>85001</v>
      </c>
      <c r="B7059" s="403" t="s">
        <v>203</v>
      </c>
      <c r="C7059" s="402" t="s">
        <v>48</v>
      </c>
      <c r="D7059" s="601">
        <v>182.9</v>
      </c>
    </row>
    <row r="7060" spans="1:4" ht="13.5">
      <c r="A7060" s="402">
        <v>85002</v>
      </c>
      <c r="B7060" s="403" t="s">
        <v>204</v>
      </c>
      <c r="C7060" s="402" t="s">
        <v>48</v>
      </c>
      <c r="D7060" s="601">
        <v>257.25</v>
      </c>
    </row>
    <row r="7061" spans="1:4" ht="13.5">
      <c r="A7061" s="402">
        <v>85004</v>
      </c>
      <c r="B7061" s="403" t="s">
        <v>205</v>
      </c>
      <c r="C7061" s="402" t="s">
        <v>48</v>
      </c>
      <c r="D7061" s="601">
        <v>127.13</v>
      </c>
    </row>
    <row r="7062" spans="1:4" ht="13.5">
      <c r="A7062" s="402">
        <v>85005</v>
      </c>
      <c r="B7062" s="403" t="s">
        <v>206</v>
      </c>
      <c r="C7062" s="402" t="s">
        <v>48</v>
      </c>
      <c r="D7062" s="601">
        <v>370.3</v>
      </c>
    </row>
    <row r="7063" spans="1:4" ht="27">
      <c r="A7063" s="402">
        <v>94569</v>
      </c>
      <c r="B7063" s="403" t="s">
        <v>6733</v>
      </c>
      <c r="C7063" s="402" t="s">
        <v>48</v>
      </c>
      <c r="D7063" s="601">
        <v>416.47</v>
      </c>
    </row>
    <row r="7064" spans="1:4" ht="40.5">
      <c r="A7064" s="402">
        <v>94570</v>
      </c>
      <c r="B7064" s="403" t="s">
        <v>6734</v>
      </c>
      <c r="C7064" s="402" t="s">
        <v>48</v>
      </c>
      <c r="D7064" s="601">
        <v>261.07</v>
      </c>
    </row>
    <row r="7065" spans="1:4" ht="40.5">
      <c r="A7065" s="402">
        <v>94572</v>
      </c>
      <c r="B7065" s="403" t="s">
        <v>6735</v>
      </c>
      <c r="C7065" s="402" t="s">
        <v>48</v>
      </c>
      <c r="D7065" s="601">
        <v>391.24</v>
      </c>
    </row>
    <row r="7066" spans="1:4" ht="40.5">
      <c r="A7066" s="402">
        <v>94573</v>
      </c>
      <c r="B7066" s="403" t="s">
        <v>6736</v>
      </c>
      <c r="C7066" s="402" t="s">
        <v>48</v>
      </c>
      <c r="D7066" s="601">
        <v>301.47000000000003</v>
      </c>
    </row>
    <row r="7067" spans="1:4" ht="54">
      <c r="A7067" s="402">
        <v>94580</v>
      </c>
      <c r="B7067" s="403" t="s">
        <v>6737</v>
      </c>
      <c r="C7067" s="402" t="s">
        <v>48</v>
      </c>
      <c r="D7067" s="601">
        <v>442.16</v>
      </c>
    </row>
    <row r="7068" spans="1:4" ht="40.5">
      <c r="A7068" s="402">
        <v>100674</v>
      </c>
      <c r="B7068" s="403" t="s">
        <v>6738</v>
      </c>
      <c r="C7068" s="402" t="s">
        <v>48</v>
      </c>
      <c r="D7068" s="601">
        <v>287.06</v>
      </c>
    </row>
    <row r="7069" spans="1:4" ht="27">
      <c r="A7069" s="402">
        <v>101096</v>
      </c>
      <c r="B7069" s="403" t="s">
        <v>14305</v>
      </c>
      <c r="C7069" s="402" t="s">
        <v>33</v>
      </c>
      <c r="D7069" s="601">
        <v>802.69</v>
      </c>
    </row>
    <row r="7070" spans="1:4" ht="27">
      <c r="A7070" s="402">
        <v>101097</v>
      </c>
      <c r="B7070" s="403" t="s">
        <v>14306</v>
      </c>
      <c r="C7070" s="402" t="s">
        <v>33</v>
      </c>
      <c r="D7070" s="601">
        <v>762.14</v>
      </c>
    </row>
    <row r="7071" spans="1:4" ht="27">
      <c r="A7071" s="402">
        <v>101098</v>
      </c>
      <c r="B7071" s="403" t="s">
        <v>14307</v>
      </c>
      <c r="C7071" s="402" t="s">
        <v>33</v>
      </c>
      <c r="D7071" s="601">
        <v>708.15</v>
      </c>
    </row>
    <row r="7072" spans="1:4" ht="27">
      <c r="A7072" s="402">
        <v>101099</v>
      </c>
      <c r="B7072" s="403" t="s">
        <v>14308</v>
      </c>
      <c r="C7072" s="402" t="s">
        <v>33</v>
      </c>
      <c r="D7072" s="601">
        <v>650.46</v>
      </c>
    </row>
    <row r="7073" spans="1:4" ht="27">
      <c r="A7073" s="402">
        <v>101100</v>
      </c>
      <c r="B7073" s="403" t="s">
        <v>14309</v>
      </c>
      <c r="C7073" s="402" t="s">
        <v>33</v>
      </c>
      <c r="D7073" s="601">
        <v>596.09</v>
      </c>
    </row>
    <row r="7074" spans="1:4" ht="27">
      <c r="A7074" s="402">
        <v>101101</v>
      </c>
      <c r="B7074" s="403" t="s">
        <v>14310</v>
      </c>
      <c r="C7074" s="402" t="s">
        <v>33</v>
      </c>
      <c r="D7074" s="601">
        <v>583.23</v>
      </c>
    </row>
    <row r="7075" spans="1:4" ht="27">
      <c r="A7075" s="402">
        <v>101102</v>
      </c>
      <c r="B7075" s="403" t="s">
        <v>14311</v>
      </c>
      <c r="C7075" s="402" t="s">
        <v>33</v>
      </c>
      <c r="D7075" s="601">
        <v>567.36</v>
      </c>
    </row>
    <row r="7076" spans="1:4" ht="27">
      <c r="A7076" s="402">
        <v>101103</v>
      </c>
      <c r="B7076" s="403" t="s">
        <v>14312</v>
      </c>
      <c r="C7076" s="402" t="s">
        <v>33</v>
      </c>
      <c r="D7076" s="601">
        <v>534.39</v>
      </c>
    </row>
    <row r="7077" spans="1:4" ht="40.5">
      <c r="A7077" s="402">
        <v>101104</v>
      </c>
      <c r="B7077" s="403" t="s">
        <v>14313</v>
      </c>
      <c r="C7077" s="402" t="s">
        <v>33</v>
      </c>
      <c r="D7077" s="601">
        <v>918.53</v>
      </c>
    </row>
    <row r="7078" spans="1:4" ht="40.5">
      <c r="A7078" s="402">
        <v>101105</v>
      </c>
      <c r="B7078" s="403" t="s">
        <v>14314</v>
      </c>
      <c r="C7078" s="402" t="s">
        <v>33</v>
      </c>
      <c r="D7078" s="601">
        <v>876.22</v>
      </c>
    </row>
    <row r="7079" spans="1:4" ht="40.5">
      <c r="A7079" s="402">
        <v>101106</v>
      </c>
      <c r="B7079" s="403" t="s">
        <v>14315</v>
      </c>
      <c r="C7079" s="402" t="s">
        <v>33</v>
      </c>
      <c r="D7079" s="601">
        <v>819.87</v>
      </c>
    </row>
    <row r="7080" spans="1:4" ht="40.5">
      <c r="A7080" s="402">
        <v>101107</v>
      </c>
      <c r="B7080" s="403" t="s">
        <v>14316</v>
      </c>
      <c r="C7080" s="402" t="s">
        <v>33</v>
      </c>
      <c r="D7080" s="601">
        <v>758.66</v>
      </c>
    </row>
    <row r="7081" spans="1:4" ht="40.5">
      <c r="A7081" s="402">
        <v>101108</v>
      </c>
      <c r="B7081" s="403" t="s">
        <v>14317</v>
      </c>
      <c r="C7081" s="402" t="s">
        <v>33</v>
      </c>
      <c r="D7081" s="601">
        <v>708.27</v>
      </c>
    </row>
    <row r="7082" spans="1:4" ht="40.5">
      <c r="A7082" s="402">
        <v>101109</v>
      </c>
      <c r="B7082" s="403" t="s">
        <v>14318</v>
      </c>
      <c r="C7082" s="402" t="s">
        <v>33</v>
      </c>
      <c r="D7082" s="601">
        <v>693.83</v>
      </c>
    </row>
    <row r="7083" spans="1:4" ht="40.5">
      <c r="A7083" s="402">
        <v>101110</v>
      </c>
      <c r="B7083" s="403" t="s">
        <v>14319</v>
      </c>
      <c r="C7083" s="402" t="s">
        <v>33</v>
      </c>
      <c r="D7083" s="601">
        <v>676.02</v>
      </c>
    </row>
    <row r="7084" spans="1:4" ht="40.5">
      <c r="A7084" s="402">
        <v>101111</v>
      </c>
      <c r="B7084" s="403" t="s">
        <v>14320</v>
      </c>
      <c r="C7084" s="402" t="s">
        <v>33</v>
      </c>
      <c r="D7084" s="601">
        <v>639.95000000000005</v>
      </c>
    </row>
    <row r="7085" spans="1:4" ht="27">
      <c r="A7085" s="402">
        <v>101112</v>
      </c>
      <c r="B7085" s="403" t="s">
        <v>14321</v>
      </c>
      <c r="C7085" s="402" t="s">
        <v>33</v>
      </c>
      <c r="D7085" s="601">
        <v>578.03</v>
      </c>
    </row>
    <row r="7086" spans="1:4" ht="27">
      <c r="A7086" s="402">
        <v>101113</v>
      </c>
      <c r="B7086" s="403" t="s">
        <v>14322</v>
      </c>
      <c r="C7086" s="402" t="s">
        <v>33</v>
      </c>
      <c r="D7086" s="601">
        <v>698.77</v>
      </c>
    </row>
    <row r="7087" spans="1:4" ht="27">
      <c r="A7087" s="402">
        <v>95601</v>
      </c>
      <c r="B7087" s="403" t="s">
        <v>742</v>
      </c>
      <c r="C7087" s="402" t="s">
        <v>35</v>
      </c>
      <c r="D7087" s="601">
        <v>12.79</v>
      </c>
    </row>
    <row r="7088" spans="1:4" ht="27">
      <c r="A7088" s="402">
        <v>95602</v>
      </c>
      <c r="B7088" s="403" t="s">
        <v>743</v>
      </c>
      <c r="C7088" s="402" t="s">
        <v>35</v>
      </c>
      <c r="D7088" s="601">
        <v>16.440000000000001</v>
      </c>
    </row>
    <row r="7089" spans="1:4" ht="27">
      <c r="A7089" s="402">
        <v>95603</v>
      </c>
      <c r="B7089" s="403" t="s">
        <v>744</v>
      </c>
      <c r="C7089" s="402" t="s">
        <v>35</v>
      </c>
      <c r="D7089" s="601">
        <v>21.58</v>
      </c>
    </row>
    <row r="7090" spans="1:4" ht="27">
      <c r="A7090" s="402">
        <v>95604</v>
      </c>
      <c r="B7090" s="403" t="s">
        <v>745</v>
      </c>
      <c r="C7090" s="402" t="s">
        <v>35</v>
      </c>
      <c r="D7090" s="601">
        <v>28.41</v>
      </c>
    </row>
    <row r="7091" spans="1:4" ht="27">
      <c r="A7091" s="402">
        <v>95605</v>
      </c>
      <c r="B7091" s="403" t="s">
        <v>746</v>
      </c>
      <c r="C7091" s="402" t="s">
        <v>35</v>
      </c>
      <c r="D7091" s="601">
        <v>44.57</v>
      </c>
    </row>
    <row r="7092" spans="1:4" ht="27">
      <c r="A7092" s="402">
        <v>95607</v>
      </c>
      <c r="B7092" s="403" t="s">
        <v>3762</v>
      </c>
      <c r="C7092" s="402" t="s">
        <v>35</v>
      </c>
      <c r="D7092" s="601">
        <v>5.31</v>
      </c>
    </row>
    <row r="7093" spans="1:4" ht="27">
      <c r="A7093" s="402">
        <v>95608</v>
      </c>
      <c r="B7093" s="403" t="s">
        <v>3763</v>
      </c>
      <c r="C7093" s="402" t="s">
        <v>35</v>
      </c>
      <c r="D7093" s="601">
        <v>6.12</v>
      </c>
    </row>
    <row r="7094" spans="1:4" ht="27">
      <c r="A7094" s="402">
        <v>95609</v>
      </c>
      <c r="B7094" s="403" t="s">
        <v>3764</v>
      </c>
      <c r="C7094" s="402" t="s">
        <v>35</v>
      </c>
      <c r="D7094" s="601">
        <v>6.82</v>
      </c>
    </row>
    <row r="7095" spans="1:4" ht="27">
      <c r="A7095" s="402">
        <v>100651</v>
      </c>
      <c r="B7095" s="403" t="s">
        <v>6739</v>
      </c>
      <c r="C7095" s="402" t="s">
        <v>17</v>
      </c>
      <c r="D7095" s="601">
        <v>94.88</v>
      </c>
    </row>
    <row r="7096" spans="1:4" ht="27">
      <c r="A7096" s="402">
        <v>100652</v>
      </c>
      <c r="B7096" s="403" t="s">
        <v>6740</v>
      </c>
      <c r="C7096" s="402" t="s">
        <v>17</v>
      </c>
      <c r="D7096" s="601">
        <v>190.6</v>
      </c>
    </row>
    <row r="7097" spans="1:4" ht="27">
      <c r="A7097" s="402">
        <v>100653</v>
      </c>
      <c r="B7097" s="403" t="s">
        <v>6741</v>
      </c>
      <c r="C7097" s="402" t="s">
        <v>17</v>
      </c>
      <c r="D7097" s="601">
        <v>324.64</v>
      </c>
    </row>
    <row r="7098" spans="1:4" ht="27">
      <c r="A7098" s="402">
        <v>100654</v>
      </c>
      <c r="B7098" s="403" t="s">
        <v>6742</v>
      </c>
      <c r="C7098" s="402" t="s">
        <v>17</v>
      </c>
      <c r="D7098" s="601">
        <v>432.84</v>
      </c>
    </row>
    <row r="7099" spans="1:4" ht="27">
      <c r="A7099" s="402">
        <v>100655</v>
      </c>
      <c r="B7099" s="403" t="s">
        <v>6743</v>
      </c>
      <c r="C7099" s="402" t="s">
        <v>17</v>
      </c>
      <c r="D7099" s="601">
        <v>506</v>
      </c>
    </row>
    <row r="7100" spans="1:4" ht="27">
      <c r="A7100" s="402">
        <v>100656</v>
      </c>
      <c r="B7100" s="403" t="s">
        <v>6744</v>
      </c>
      <c r="C7100" s="402" t="s">
        <v>17</v>
      </c>
      <c r="D7100" s="601">
        <v>65.55</v>
      </c>
    </row>
    <row r="7101" spans="1:4" ht="27">
      <c r="A7101" s="402">
        <v>100657</v>
      </c>
      <c r="B7101" s="403" t="s">
        <v>6745</v>
      </c>
      <c r="C7101" s="402" t="s">
        <v>17</v>
      </c>
      <c r="D7101" s="601">
        <v>84.77</v>
      </c>
    </row>
    <row r="7102" spans="1:4" ht="40.5">
      <c r="A7102" s="402">
        <v>100658</v>
      </c>
      <c r="B7102" s="403" t="s">
        <v>6746</v>
      </c>
      <c r="C7102" s="402" t="s">
        <v>17</v>
      </c>
      <c r="D7102" s="601">
        <v>197.33</v>
      </c>
    </row>
    <row r="7103" spans="1:4" ht="27">
      <c r="A7103" s="402">
        <v>100889</v>
      </c>
      <c r="B7103" s="403" t="s">
        <v>6747</v>
      </c>
      <c r="C7103" s="402" t="s">
        <v>20</v>
      </c>
      <c r="D7103" s="601">
        <v>7.55</v>
      </c>
    </row>
    <row r="7104" spans="1:4" ht="27">
      <c r="A7104" s="402">
        <v>100890</v>
      </c>
      <c r="B7104" s="403" t="s">
        <v>6748</v>
      </c>
      <c r="C7104" s="402" t="s">
        <v>20</v>
      </c>
      <c r="D7104" s="601">
        <v>7.43</v>
      </c>
    </row>
    <row r="7105" spans="1:4" ht="27">
      <c r="A7105" s="402">
        <v>100892</v>
      </c>
      <c r="B7105" s="403" t="s">
        <v>6749</v>
      </c>
      <c r="C7105" s="402" t="s">
        <v>20</v>
      </c>
      <c r="D7105" s="601">
        <v>7.2</v>
      </c>
    </row>
    <row r="7106" spans="1:4" ht="27">
      <c r="A7106" s="402">
        <v>100893</v>
      </c>
      <c r="B7106" s="403" t="s">
        <v>6750</v>
      </c>
      <c r="C7106" s="402" t="s">
        <v>20</v>
      </c>
      <c r="D7106" s="601">
        <v>7.1</v>
      </c>
    </row>
    <row r="7107" spans="1:4" ht="27">
      <c r="A7107" s="402">
        <v>100894</v>
      </c>
      <c r="B7107" s="403" t="s">
        <v>6751</v>
      </c>
      <c r="C7107" s="402" t="s">
        <v>20</v>
      </c>
      <c r="D7107" s="601">
        <v>7.03</v>
      </c>
    </row>
    <row r="7108" spans="1:4" ht="40.5">
      <c r="A7108" s="402">
        <v>100896</v>
      </c>
      <c r="B7108" s="403" t="s">
        <v>6752</v>
      </c>
      <c r="C7108" s="402" t="s">
        <v>17</v>
      </c>
      <c r="D7108" s="601">
        <v>42.52</v>
      </c>
    </row>
    <row r="7109" spans="1:4" ht="40.5">
      <c r="A7109" s="402">
        <v>100897</v>
      </c>
      <c r="B7109" s="403" t="s">
        <v>6753</v>
      </c>
      <c r="C7109" s="402" t="s">
        <v>17</v>
      </c>
      <c r="D7109" s="601">
        <v>87.16</v>
      </c>
    </row>
    <row r="7110" spans="1:4" ht="40.5">
      <c r="A7110" s="402">
        <v>100898</v>
      </c>
      <c r="B7110" s="403" t="s">
        <v>6754</v>
      </c>
      <c r="C7110" s="402" t="s">
        <v>17</v>
      </c>
      <c r="D7110" s="601">
        <v>173.97</v>
      </c>
    </row>
    <row r="7111" spans="1:4" ht="40.5">
      <c r="A7111" s="402">
        <v>100899</v>
      </c>
      <c r="B7111" s="403" t="s">
        <v>6755</v>
      </c>
      <c r="C7111" s="402" t="s">
        <v>17</v>
      </c>
      <c r="D7111" s="601">
        <v>58.41</v>
      </c>
    </row>
    <row r="7112" spans="1:4" ht="40.5">
      <c r="A7112" s="402">
        <v>100900</v>
      </c>
      <c r="B7112" s="403" t="s">
        <v>6756</v>
      </c>
      <c r="C7112" s="402" t="s">
        <v>17</v>
      </c>
      <c r="D7112" s="601">
        <v>201.64</v>
      </c>
    </row>
    <row r="7113" spans="1:4" ht="27">
      <c r="A7113" s="402">
        <v>100929</v>
      </c>
      <c r="B7113" s="403" t="s">
        <v>12943</v>
      </c>
      <c r="C7113" s="402" t="s">
        <v>17</v>
      </c>
      <c r="D7113" s="601">
        <v>159.19</v>
      </c>
    </row>
    <row r="7114" spans="1:4" ht="27">
      <c r="A7114" s="402">
        <v>100930</v>
      </c>
      <c r="B7114" s="403" t="s">
        <v>12944</v>
      </c>
      <c r="C7114" s="402" t="s">
        <v>17</v>
      </c>
      <c r="D7114" s="601">
        <v>236.79</v>
      </c>
    </row>
    <row r="7115" spans="1:4" ht="27">
      <c r="A7115" s="402">
        <v>100931</v>
      </c>
      <c r="B7115" s="403" t="s">
        <v>12945</v>
      </c>
      <c r="C7115" s="402" t="s">
        <v>17</v>
      </c>
      <c r="D7115" s="601">
        <v>303.89</v>
      </c>
    </row>
    <row r="7116" spans="1:4" ht="27">
      <c r="A7116" s="402">
        <v>100932</v>
      </c>
      <c r="B7116" s="403" t="s">
        <v>12946</v>
      </c>
      <c r="C7116" s="402" t="s">
        <v>17</v>
      </c>
      <c r="D7116" s="601">
        <v>406.59</v>
      </c>
    </row>
    <row r="7117" spans="1:4" ht="27">
      <c r="A7117" s="402">
        <v>100933</v>
      </c>
      <c r="B7117" s="403" t="s">
        <v>12947</v>
      </c>
      <c r="C7117" s="402" t="s">
        <v>17</v>
      </c>
      <c r="D7117" s="601">
        <v>202.34</v>
      </c>
    </row>
    <row r="7118" spans="1:4" ht="27">
      <c r="A7118" s="402">
        <v>100934</v>
      </c>
      <c r="B7118" s="403" t="s">
        <v>12948</v>
      </c>
      <c r="C7118" s="402" t="s">
        <v>17</v>
      </c>
      <c r="D7118" s="601">
        <v>290.70999999999998</v>
      </c>
    </row>
    <row r="7119" spans="1:4" ht="27">
      <c r="A7119" s="402">
        <v>100935</v>
      </c>
      <c r="B7119" s="403" t="s">
        <v>12949</v>
      </c>
      <c r="C7119" s="402" t="s">
        <v>17</v>
      </c>
      <c r="D7119" s="601">
        <v>371.7</v>
      </c>
    </row>
    <row r="7120" spans="1:4" ht="27">
      <c r="A7120" s="402">
        <v>100936</v>
      </c>
      <c r="B7120" s="403" t="s">
        <v>12950</v>
      </c>
      <c r="C7120" s="402" t="s">
        <v>17</v>
      </c>
      <c r="D7120" s="601">
        <v>485.68</v>
      </c>
    </row>
    <row r="7121" spans="1:4" ht="27">
      <c r="A7121" s="402">
        <v>101173</v>
      </c>
      <c r="B7121" s="403" t="s">
        <v>14323</v>
      </c>
      <c r="C7121" s="402" t="s">
        <v>17</v>
      </c>
      <c r="D7121" s="601">
        <v>39.299999999999997</v>
      </c>
    </row>
    <row r="7122" spans="1:4" ht="27">
      <c r="A7122" s="402">
        <v>101174</v>
      </c>
      <c r="B7122" s="403" t="s">
        <v>14324</v>
      </c>
      <c r="C7122" s="402" t="s">
        <v>17</v>
      </c>
      <c r="D7122" s="601">
        <v>55.32</v>
      </c>
    </row>
    <row r="7123" spans="1:4" ht="27">
      <c r="A7123" s="402">
        <v>101175</v>
      </c>
      <c r="B7123" s="403" t="s">
        <v>14325</v>
      </c>
      <c r="C7123" s="402" t="s">
        <v>17</v>
      </c>
      <c r="D7123" s="601">
        <v>75.53</v>
      </c>
    </row>
    <row r="7124" spans="1:4" ht="27">
      <c r="A7124" s="402">
        <v>101176</v>
      </c>
      <c r="B7124" s="403" t="s">
        <v>14326</v>
      </c>
      <c r="C7124" s="402" t="s">
        <v>17</v>
      </c>
      <c r="D7124" s="601">
        <v>96.46</v>
      </c>
    </row>
    <row r="7125" spans="1:4" ht="27">
      <c r="A7125" s="402">
        <v>95240</v>
      </c>
      <c r="B7125" s="403" t="s">
        <v>4840</v>
      </c>
      <c r="C7125" s="402" t="s">
        <v>48</v>
      </c>
      <c r="D7125" s="601">
        <v>12.13</v>
      </c>
    </row>
    <row r="7126" spans="1:4" ht="27">
      <c r="A7126" s="402">
        <v>95241</v>
      </c>
      <c r="B7126" s="403" t="s">
        <v>4841</v>
      </c>
      <c r="C7126" s="402" t="s">
        <v>48</v>
      </c>
      <c r="D7126" s="601">
        <v>20.23</v>
      </c>
    </row>
    <row r="7127" spans="1:4" ht="27">
      <c r="A7127" s="402">
        <v>96616</v>
      </c>
      <c r="B7127" s="403" t="s">
        <v>4021</v>
      </c>
      <c r="C7127" s="402" t="s">
        <v>33</v>
      </c>
      <c r="D7127" s="601">
        <v>421.68</v>
      </c>
    </row>
    <row r="7128" spans="1:4" ht="27">
      <c r="A7128" s="402">
        <v>96617</v>
      </c>
      <c r="B7128" s="403" t="s">
        <v>4022</v>
      </c>
      <c r="C7128" s="402" t="s">
        <v>48</v>
      </c>
      <c r="D7128" s="601">
        <v>12.63</v>
      </c>
    </row>
    <row r="7129" spans="1:4" ht="27">
      <c r="A7129" s="402">
        <v>96619</v>
      </c>
      <c r="B7129" s="403" t="s">
        <v>4023</v>
      </c>
      <c r="C7129" s="402" t="s">
        <v>48</v>
      </c>
      <c r="D7129" s="601">
        <v>21.07</v>
      </c>
    </row>
    <row r="7130" spans="1:4" ht="13.5">
      <c r="A7130" s="402">
        <v>96620</v>
      </c>
      <c r="B7130" s="403" t="s">
        <v>4024</v>
      </c>
      <c r="C7130" s="402" t="s">
        <v>33</v>
      </c>
      <c r="D7130" s="601">
        <v>404.89</v>
      </c>
    </row>
    <row r="7131" spans="1:4" ht="27">
      <c r="A7131" s="402">
        <v>96621</v>
      </c>
      <c r="B7131" s="403" t="s">
        <v>4025</v>
      </c>
      <c r="C7131" s="402" t="s">
        <v>33</v>
      </c>
      <c r="D7131" s="601">
        <v>167.29</v>
      </c>
    </row>
    <row r="7132" spans="1:4" ht="27">
      <c r="A7132" s="402">
        <v>96622</v>
      </c>
      <c r="B7132" s="403" t="s">
        <v>4026</v>
      </c>
      <c r="C7132" s="402" t="s">
        <v>33</v>
      </c>
      <c r="D7132" s="601">
        <v>117.88</v>
      </c>
    </row>
    <row r="7133" spans="1:4" ht="27">
      <c r="A7133" s="402">
        <v>96623</v>
      </c>
      <c r="B7133" s="403" t="s">
        <v>4027</v>
      </c>
      <c r="C7133" s="402" t="s">
        <v>33</v>
      </c>
      <c r="D7133" s="601">
        <v>155.79</v>
      </c>
    </row>
    <row r="7134" spans="1:4" ht="27">
      <c r="A7134" s="402">
        <v>96624</v>
      </c>
      <c r="B7134" s="403" t="s">
        <v>5589</v>
      </c>
      <c r="C7134" s="402" t="s">
        <v>33</v>
      </c>
      <c r="D7134" s="601">
        <v>113.82</v>
      </c>
    </row>
    <row r="7135" spans="1:4" ht="13.5">
      <c r="A7135" s="402">
        <v>97082</v>
      </c>
      <c r="B7135" s="403" t="s">
        <v>4512</v>
      </c>
      <c r="C7135" s="402" t="s">
        <v>33</v>
      </c>
      <c r="D7135" s="601">
        <v>41.73</v>
      </c>
    </row>
    <row r="7136" spans="1:4" ht="27">
      <c r="A7136" s="402">
        <v>97083</v>
      </c>
      <c r="B7136" s="403" t="s">
        <v>4513</v>
      </c>
      <c r="C7136" s="402" t="s">
        <v>48</v>
      </c>
      <c r="D7136" s="601">
        <v>2.2000000000000002</v>
      </c>
    </row>
    <row r="7137" spans="1:4" ht="27">
      <c r="A7137" s="402">
        <v>97084</v>
      </c>
      <c r="B7137" s="403" t="s">
        <v>4514</v>
      </c>
      <c r="C7137" s="402" t="s">
        <v>48</v>
      </c>
      <c r="D7137" s="601">
        <v>0.45</v>
      </c>
    </row>
    <row r="7138" spans="1:4" ht="27">
      <c r="A7138" s="402">
        <v>97086</v>
      </c>
      <c r="B7138" s="403" t="s">
        <v>4515</v>
      </c>
      <c r="C7138" s="402" t="s">
        <v>48</v>
      </c>
      <c r="D7138" s="601">
        <v>74.790000000000006</v>
      </c>
    </row>
    <row r="7139" spans="1:4" ht="27">
      <c r="A7139" s="402">
        <v>97094</v>
      </c>
      <c r="B7139" s="403" t="s">
        <v>4516</v>
      </c>
      <c r="C7139" s="402" t="s">
        <v>33</v>
      </c>
      <c r="D7139" s="601">
        <v>499.87</v>
      </c>
    </row>
    <row r="7140" spans="1:4" ht="27">
      <c r="A7140" s="402">
        <v>97095</v>
      </c>
      <c r="B7140" s="403" t="s">
        <v>4517</v>
      </c>
      <c r="C7140" s="402" t="s">
        <v>33</v>
      </c>
      <c r="D7140" s="601">
        <v>469.58</v>
      </c>
    </row>
    <row r="7141" spans="1:4" ht="27">
      <c r="A7141" s="402">
        <v>97096</v>
      </c>
      <c r="B7141" s="403" t="s">
        <v>4518</v>
      </c>
      <c r="C7141" s="402" t="s">
        <v>33</v>
      </c>
      <c r="D7141" s="601">
        <v>454.01</v>
      </c>
    </row>
    <row r="7142" spans="1:4" ht="27">
      <c r="A7142" s="402">
        <v>97097</v>
      </c>
      <c r="B7142" s="403" t="s">
        <v>12390</v>
      </c>
      <c r="C7142" s="402" t="s">
        <v>48</v>
      </c>
      <c r="D7142" s="601">
        <v>26.4</v>
      </c>
    </row>
    <row r="7143" spans="1:4" ht="27">
      <c r="A7143" s="402">
        <v>100322</v>
      </c>
      <c r="B7143" s="403" t="s">
        <v>5590</v>
      </c>
      <c r="C7143" s="402" t="s">
        <v>33</v>
      </c>
      <c r="D7143" s="601">
        <v>113.82</v>
      </c>
    </row>
    <row r="7144" spans="1:4" ht="27">
      <c r="A7144" s="402">
        <v>100323</v>
      </c>
      <c r="B7144" s="403" t="s">
        <v>5591</v>
      </c>
      <c r="C7144" s="402" t="s">
        <v>33</v>
      </c>
      <c r="D7144" s="601">
        <v>94.04</v>
      </c>
    </row>
    <row r="7145" spans="1:4" ht="27">
      <c r="A7145" s="402">
        <v>100324</v>
      </c>
      <c r="B7145" s="403" t="s">
        <v>5592</v>
      </c>
      <c r="C7145" s="402" t="s">
        <v>33</v>
      </c>
      <c r="D7145" s="601">
        <v>113.82</v>
      </c>
    </row>
    <row r="7146" spans="1:4" ht="27">
      <c r="A7146" s="402">
        <v>90996</v>
      </c>
      <c r="B7146" s="403" t="s">
        <v>2329</v>
      </c>
      <c r="C7146" s="402" t="s">
        <v>48</v>
      </c>
      <c r="D7146" s="601">
        <v>11.19</v>
      </c>
    </row>
    <row r="7147" spans="1:4" ht="27">
      <c r="A7147" s="402">
        <v>90997</v>
      </c>
      <c r="B7147" s="403" t="s">
        <v>2330</v>
      </c>
      <c r="C7147" s="402" t="s">
        <v>48</v>
      </c>
      <c r="D7147" s="601">
        <v>15.16</v>
      </c>
    </row>
    <row r="7148" spans="1:4" ht="27">
      <c r="A7148" s="402">
        <v>90998</v>
      </c>
      <c r="B7148" s="403" t="s">
        <v>2331</v>
      </c>
      <c r="C7148" s="402" t="s">
        <v>48</v>
      </c>
      <c r="D7148" s="601">
        <v>18.27</v>
      </c>
    </row>
    <row r="7149" spans="1:4" ht="27">
      <c r="A7149" s="402">
        <v>91000</v>
      </c>
      <c r="B7149" s="403" t="s">
        <v>2333</v>
      </c>
      <c r="C7149" s="402" t="s">
        <v>48</v>
      </c>
      <c r="D7149" s="601">
        <v>13.98</v>
      </c>
    </row>
    <row r="7150" spans="1:4" ht="27">
      <c r="A7150" s="402">
        <v>91002</v>
      </c>
      <c r="B7150" s="403" t="s">
        <v>2335</v>
      </c>
      <c r="C7150" s="402" t="s">
        <v>48</v>
      </c>
      <c r="D7150" s="601">
        <v>12.87</v>
      </c>
    </row>
    <row r="7151" spans="1:4" ht="27">
      <c r="A7151" s="402">
        <v>91003</v>
      </c>
      <c r="B7151" s="403" t="s">
        <v>2336</v>
      </c>
      <c r="C7151" s="402" t="s">
        <v>48</v>
      </c>
      <c r="D7151" s="601">
        <v>14.87</v>
      </c>
    </row>
    <row r="7152" spans="1:4" ht="27">
      <c r="A7152" s="402">
        <v>91004</v>
      </c>
      <c r="B7152" s="403" t="s">
        <v>2337</v>
      </c>
      <c r="C7152" s="402" t="s">
        <v>48</v>
      </c>
      <c r="D7152" s="601">
        <v>11.79</v>
      </c>
    </row>
    <row r="7153" spans="1:4" ht="27">
      <c r="A7153" s="402">
        <v>91005</v>
      </c>
      <c r="B7153" s="403" t="s">
        <v>2338</v>
      </c>
      <c r="C7153" s="402" t="s">
        <v>48</v>
      </c>
      <c r="D7153" s="601">
        <v>14.11</v>
      </c>
    </row>
    <row r="7154" spans="1:4" ht="27">
      <c r="A7154" s="402">
        <v>91006</v>
      </c>
      <c r="B7154" s="403" t="s">
        <v>2339</v>
      </c>
      <c r="C7154" s="402" t="s">
        <v>48</v>
      </c>
      <c r="D7154" s="601">
        <v>10.9</v>
      </c>
    </row>
    <row r="7155" spans="1:4" ht="27">
      <c r="A7155" s="402">
        <v>91007</v>
      </c>
      <c r="B7155" s="403" t="s">
        <v>2340</v>
      </c>
      <c r="C7155" s="402" t="s">
        <v>48</v>
      </c>
      <c r="D7155" s="601">
        <v>9.8000000000000007</v>
      </c>
    </row>
    <row r="7156" spans="1:4" ht="27">
      <c r="A7156" s="402">
        <v>91008</v>
      </c>
      <c r="B7156" s="403" t="s">
        <v>2341</v>
      </c>
      <c r="C7156" s="402" t="s">
        <v>48</v>
      </c>
      <c r="D7156" s="601">
        <v>11.81</v>
      </c>
    </row>
    <row r="7157" spans="1:4" ht="27">
      <c r="A7157" s="402">
        <v>92263</v>
      </c>
      <c r="B7157" s="403" t="s">
        <v>2642</v>
      </c>
      <c r="C7157" s="402" t="s">
        <v>48</v>
      </c>
      <c r="D7157" s="601">
        <v>99.95</v>
      </c>
    </row>
    <row r="7158" spans="1:4" ht="27">
      <c r="A7158" s="402">
        <v>92264</v>
      </c>
      <c r="B7158" s="403" t="s">
        <v>2643</v>
      </c>
      <c r="C7158" s="402" t="s">
        <v>48</v>
      </c>
      <c r="D7158" s="601">
        <v>120.99</v>
      </c>
    </row>
    <row r="7159" spans="1:4" ht="27">
      <c r="A7159" s="402">
        <v>92265</v>
      </c>
      <c r="B7159" s="403" t="s">
        <v>2644</v>
      </c>
      <c r="C7159" s="402" t="s">
        <v>48</v>
      </c>
      <c r="D7159" s="601">
        <v>76.06</v>
      </c>
    </row>
    <row r="7160" spans="1:4" ht="27">
      <c r="A7160" s="402">
        <v>92266</v>
      </c>
      <c r="B7160" s="403" t="s">
        <v>2645</v>
      </c>
      <c r="C7160" s="402" t="s">
        <v>48</v>
      </c>
      <c r="D7160" s="601">
        <v>94.82</v>
      </c>
    </row>
    <row r="7161" spans="1:4" ht="27">
      <c r="A7161" s="402">
        <v>92267</v>
      </c>
      <c r="B7161" s="403" t="s">
        <v>2646</v>
      </c>
      <c r="C7161" s="402" t="s">
        <v>48</v>
      </c>
      <c r="D7161" s="601">
        <v>28.82</v>
      </c>
    </row>
    <row r="7162" spans="1:4" ht="27">
      <c r="A7162" s="402">
        <v>92268</v>
      </c>
      <c r="B7162" s="403" t="s">
        <v>2647</v>
      </c>
      <c r="C7162" s="402" t="s">
        <v>48</v>
      </c>
      <c r="D7162" s="601">
        <v>45.36</v>
      </c>
    </row>
    <row r="7163" spans="1:4" ht="27">
      <c r="A7163" s="402">
        <v>92269</v>
      </c>
      <c r="B7163" s="403" t="s">
        <v>2648</v>
      </c>
      <c r="C7163" s="402" t="s">
        <v>48</v>
      </c>
      <c r="D7163" s="601">
        <v>65.91</v>
      </c>
    </row>
    <row r="7164" spans="1:4" ht="13.5">
      <c r="A7164" s="402">
        <v>92270</v>
      </c>
      <c r="B7164" s="403" t="s">
        <v>2649</v>
      </c>
      <c r="C7164" s="402" t="s">
        <v>48</v>
      </c>
      <c r="D7164" s="601">
        <v>51.31</v>
      </c>
    </row>
    <row r="7165" spans="1:4" ht="13.5">
      <c r="A7165" s="402">
        <v>92271</v>
      </c>
      <c r="B7165" s="403" t="s">
        <v>2650</v>
      </c>
      <c r="C7165" s="402" t="s">
        <v>48</v>
      </c>
      <c r="D7165" s="601">
        <v>32.340000000000003</v>
      </c>
    </row>
    <row r="7166" spans="1:4" ht="13.5">
      <c r="A7166" s="402">
        <v>92272</v>
      </c>
      <c r="B7166" s="403" t="s">
        <v>626</v>
      </c>
      <c r="C7166" s="402" t="s">
        <v>17</v>
      </c>
      <c r="D7166" s="601">
        <v>22.21</v>
      </c>
    </row>
    <row r="7167" spans="1:4" ht="13.5">
      <c r="A7167" s="402">
        <v>92273</v>
      </c>
      <c r="B7167" s="403" t="s">
        <v>627</v>
      </c>
      <c r="C7167" s="402" t="s">
        <v>17</v>
      </c>
      <c r="D7167" s="601">
        <v>9.8699999999999992</v>
      </c>
    </row>
    <row r="7168" spans="1:4" ht="40.5">
      <c r="A7168" s="402">
        <v>92408</v>
      </c>
      <c r="B7168" s="403" t="s">
        <v>2703</v>
      </c>
      <c r="C7168" s="402" t="s">
        <v>48</v>
      </c>
      <c r="D7168" s="601">
        <v>137.38999999999999</v>
      </c>
    </row>
    <row r="7169" spans="1:4" ht="40.5">
      <c r="A7169" s="402">
        <v>92409</v>
      </c>
      <c r="B7169" s="403" t="s">
        <v>2704</v>
      </c>
      <c r="C7169" s="402" t="s">
        <v>48</v>
      </c>
      <c r="D7169" s="601">
        <v>129.25</v>
      </c>
    </row>
    <row r="7170" spans="1:4" ht="40.5">
      <c r="A7170" s="402">
        <v>92410</v>
      </c>
      <c r="B7170" s="403" t="s">
        <v>2705</v>
      </c>
      <c r="C7170" s="402" t="s">
        <v>48</v>
      </c>
      <c r="D7170" s="601">
        <v>96.93</v>
      </c>
    </row>
    <row r="7171" spans="1:4" ht="40.5">
      <c r="A7171" s="402">
        <v>92411</v>
      </c>
      <c r="B7171" s="403" t="s">
        <v>2706</v>
      </c>
      <c r="C7171" s="402" t="s">
        <v>48</v>
      </c>
      <c r="D7171" s="601">
        <v>89.73</v>
      </c>
    </row>
    <row r="7172" spans="1:4" ht="40.5">
      <c r="A7172" s="402">
        <v>92412</v>
      </c>
      <c r="B7172" s="403" t="s">
        <v>2707</v>
      </c>
      <c r="C7172" s="402" t="s">
        <v>48</v>
      </c>
      <c r="D7172" s="601">
        <v>65.91</v>
      </c>
    </row>
    <row r="7173" spans="1:4" ht="40.5">
      <c r="A7173" s="402">
        <v>92413</v>
      </c>
      <c r="B7173" s="403" t="s">
        <v>2708</v>
      </c>
      <c r="C7173" s="402" t="s">
        <v>48</v>
      </c>
      <c r="D7173" s="601">
        <v>60.36</v>
      </c>
    </row>
    <row r="7174" spans="1:4" ht="40.5">
      <c r="A7174" s="402">
        <v>92414</v>
      </c>
      <c r="B7174" s="403" t="s">
        <v>2709</v>
      </c>
      <c r="C7174" s="402" t="s">
        <v>48</v>
      </c>
      <c r="D7174" s="601">
        <v>93.42</v>
      </c>
    </row>
    <row r="7175" spans="1:4" ht="40.5">
      <c r="A7175" s="402">
        <v>92415</v>
      </c>
      <c r="B7175" s="403" t="s">
        <v>2710</v>
      </c>
      <c r="C7175" s="402" t="s">
        <v>48</v>
      </c>
      <c r="D7175" s="601">
        <v>86.22</v>
      </c>
    </row>
    <row r="7176" spans="1:4" ht="40.5">
      <c r="A7176" s="402">
        <v>92416</v>
      </c>
      <c r="B7176" s="403" t="s">
        <v>2711</v>
      </c>
      <c r="C7176" s="402" t="s">
        <v>48</v>
      </c>
      <c r="D7176" s="601">
        <v>108.2</v>
      </c>
    </row>
    <row r="7177" spans="1:4" ht="40.5">
      <c r="A7177" s="402">
        <v>92417</v>
      </c>
      <c r="B7177" s="403" t="s">
        <v>2712</v>
      </c>
      <c r="C7177" s="402" t="s">
        <v>48</v>
      </c>
      <c r="D7177" s="601">
        <v>101.03</v>
      </c>
    </row>
    <row r="7178" spans="1:4" ht="40.5">
      <c r="A7178" s="402">
        <v>92418</v>
      </c>
      <c r="B7178" s="403" t="s">
        <v>2713</v>
      </c>
      <c r="C7178" s="402" t="s">
        <v>48</v>
      </c>
      <c r="D7178" s="601">
        <v>60.27</v>
      </c>
    </row>
    <row r="7179" spans="1:4" ht="40.5">
      <c r="A7179" s="402">
        <v>92419</v>
      </c>
      <c r="B7179" s="403" t="s">
        <v>2714</v>
      </c>
      <c r="C7179" s="402" t="s">
        <v>48</v>
      </c>
      <c r="D7179" s="601">
        <v>54.76</v>
      </c>
    </row>
    <row r="7180" spans="1:4" ht="40.5">
      <c r="A7180" s="402">
        <v>92420</v>
      </c>
      <c r="B7180" s="403" t="s">
        <v>2715</v>
      </c>
      <c r="C7180" s="402" t="s">
        <v>48</v>
      </c>
      <c r="D7180" s="601">
        <v>71.64</v>
      </c>
    </row>
    <row r="7181" spans="1:4" ht="40.5">
      <c r="A7181" s="402">
        <v>92421</v>
      </c>
      <c r="B7181" s="403" t="s">
        <v>2716</v>
      </c>
      <c r="C7181" s="402" t="s">
        <v>48</v>
      </c>
      <c r="D7181" s="601">
        <v>66.12</v>
      </c>
    </row>
    <row r="7182" spans="1:4" ht="40.5">
      <c r="A7182" s="402">
        <v>92422</v>
      </c>
      <c r="B7182" s="403" t="s">
        <v>2717</v>
      </c>
      <c r="C7182" s="402" t="s">
        <v>48</v>
      </c>
      <c r="D7182" s="601">
        <v>49.73</v>
      </c>
    </row>
    <row r="7183" spans="1:4" ht="40.5">
      <c r="A7183" s="402">
        <v>92423</v>
      </c>
      <c r="B7183" s="403" t="s">
        <v>2718</v>
      </c>
      <c r="C7183" s="402" t="s">
        <v>48</v>
      </c>
      <c r="D7183" s="601">
        <v>44.94</v>
      </c>
    </row>
    <row r="7184" spans="1:4" ht="40.5">
      <c r="A7184" s="402">
        <v>92424</v>
      </c>
      <c r="B7184" s="403" t="s">
        <v>2719</v>
      </c>
      <c r="C7184" s="402" t="s">
        <v>48</v>
      </c>
      <c r="D7184" s="601">
        <v>59.63</v>
      </c>
    </row>
    <row r="7185" spans="1:4" ht="40.5">
      <c r="A7185" s="402">
        <v>92425</v>
      </c>
      <c r="B7185" s="403" t="s">
        <v>2720</v>
      </c>
      <c r="C7185" s="402" t="s">
        <v>48</v>
      </c>
      <c r="D7185" s="601">
        <v>54.83</v>
      </c>
    </row>
    <row r="7186" spans="1:4" ht="40.5">
      <c r="A7186" s="402">
        <v>92426</v>
      </c>
      <c r="B7186" s="403" t="s">
        <v>2721</v>
      </c>
      <c r="C7186" s="402" t="s">
        <v>48</v>
      </c>
      <c r="D7186" s="601">
        <v>44.41</v>
      </c>
    </row>
    <row r="7187" spans="1:4" ht="40.5">
      <c r="A7187" s="402">
        <v>92427</v>
      </c>
      <c r="B7187" s="403" t="s">
        <v>2722</v>
      </c>
      <c r="C7187" s="402" t="s">
        <v>48</v>
      </c>
      <c r="D7187" s="601">
        <v>39.97</v>
      </c>
    </row>
    <row r="7188" spans="1:4" ht="40.5">
      <c r="A7188" s="402">
        <v>92428</v>
      </c>
      <c r="B7188" s="403" t="s">
        <v>2723</v>
      </c>
      <c r="C7188" s="402" t="s">
        <v>48</v>
      </c>
      <c r="D7188" s="601">
        <v>53.57</v>
      </c>
    </row>
    <row r="7189" spans="1:4" ht="40.5">
      <c r="A7189" s="402">
        <v>92429</v>
      </c>
      <c r="B7189" s="403" t="s">
        <v>2724</v>
      </c>
      <c r="C7189" s="402" t="s">
        <v>48</v>
      </c>
      <c r="D7189" s="601">
        <v>49.14</v>
      </c>
    </row>
    <row r="7190" spans="1:4" ht="54">
      <c r="A7190" s="402">
        <v>92430</v>
      </c>
      <c r="B7190" s="403" t="s">
        <v>2725</v>
      </c>
      <c r="C7190" s="402" t="s">
        <v>48</v>
      </c>
      <c r="D7190" s="601">
        <v>41.19</v>
      </c>
    </row>
    <row r="7191" spans="1:4" ht="40.5">
      <c r="A7191" s="402">
        <v>92431</v>
      </c>
      <c r="B7191" s="403" t="s">
        <v>2726</v>
      </c>
      <c r="C7191" s="402" t="s">
        <v>48</v>
      </c>
      <c r="D7191" s="601">
        <v>36.97</v>
      </c>
    </row>
    <row r="7192" spans="1:4" ht="54">
      <c r="A7192" s="402">
        <v>92432</v>
      </c>
      <c r="B7192" s="403" t="s">
        <v>2727</v>
      </c>
      <c r="C7192" s="402" t="s">
        <v>48</v>
      </c>
      <c r="D7192" s="601">
        <v>49.88</v>
      </c>
    </row>
    <row r="7193" spans="1:4" ht="40.5">
      <c r="A7193" s="402">
        <v>92433</v>
      </c>
      <c r="B7193" s="403" t="s">
        <v>2728</v>
      </c>
      <c r="C7193" s="402" t="s">
        <v>48</v>
      </c>
      <c r="D7193" s="601">
        <v>45.66</v>
      </c>
    </row>
    <row r="7194" spans="1:4" ht="54">
      <c r="A7194" s="402">
        <v>92434</v>
      </c>
      <c r="B7194" s="403" t="s">
        <v>2729</v>
      </c>
      <c r="C7194" s="402" t="s">
        <v>48</v>
      </c>
      <c r="D7194" s="601">
        <v>39.25</v>
      </c>
    </row>
    <row r="7195" spans="1:4" ht="40.5">
      <c r="A7195" s="402">
        <v>92435</v>
      </c>
      <c r="B7195" s="403" t="s">
        <v>2730</v>
      </c>
      <c r="C7195" s="402" t="s">
        <v>48</v>
      </c>
      <c r="D7195" s="601">
        <v>35.17</v>
      </c>
    </row>
    <row r="7196" spans="1:4" ht="54">
      <c r="A7196" s="402">
        <v>92436</v>
      </c>
      <c r="B7196" s="403" t="s">
        <v>2731</v>
      </c>
      <c r="C7196" s="402" t="s">
        <v>48</v>
      </c>
      <c r="D7196" s="601">
        <v>47.64</v>
      </c>
    </row>
    <row r="7197" spans="1:4" ht="40.5">
      <c r="A7197" s="402">
        <v>92437</v>
      </c>
      <c r="B7197" s="403" t="s">
        <v>2732</v>
      </c>
      <c r="C7197" s="402" t="s">
        <v>48</v>
      </c>
      <c r="D7197" s="601">
        <v>43.57</v>
      </c>
    </row>
    <row r="7198" spans="1:4" ht="54">
      <c r="A7198" s="402">
        <v>92438</v>
      </c>
      <c r="B7198" s="403" t="s">
        <v>2733</v>
      </c>
      <c r="C7198" s="402" t="s">
        <v>48</v>
      </c>
      <c r="D7198" s="601">
        <v>37.85</v>
      </c>
    </row>
    <row r="7199" spans="1:4" ht="40.5">
      <c r="A7199" s="402">
        <v>92439</v>
      </c>
      <c r="B7199" s="403" t="s">
        <v>2734</v>
      </c>
      <c r="C7199" s="402" t="s">
        <v>48</v>
      </c>
      <c r="D7199" s="601">
        <v>33.869999999999997</v>
      </c>
    </row>
    <row r="7200" spans="1:4" ht="54">
      <c r="A7200" s="402">
        <v>92440</v>
      </c>
      <c r="B7200" s="403" t="s">
        <v>2735</v>
      </c>
      <c r="C7200" s="402" t="s">
        <v>48</v>
      </c>
      <c r="D7200" s="601">
        <v>46.01</v>
      </c>
    </row>
    <row r="7201" spans="1:4" ht="40.5">
      <c r="A7201" s="402">
        <v>92441</v>
      </c>
      <c r="B7201" s="403" t="s">
        <v>2736</v>
      </c>
      <c r="C7201" s="402" t="s">
        <v>48</v>
      </c>
      <c r="D7201" s="601">
        <v>42.07</v>
      </c>
    </row>
    <row r="7202" spans="1:4" ht="54">
      <c r="A7202" s="402">
        <v>92442</v>
      </c>
      <c r="B7202" s="403" t="s">
        <v>2737</v>
      </c>
      <c r="C7202" s="402" t="s">
        <v>48</v>
      </c>
      <c r="D7202" s="601">
        <v>34.97</v>
      </c>
    </row>
    <row r="7203" spans="1:4" ht="40.5">
      <c r="A7203" s="402">
        <v>92443</v>
      </c>
      <c r="B7203" s="403" t="s">
        <v>2738</v>
      </c>
      <c r="C7203" s="402" t="s">
        <v>48</v>
      </c>
      <c r="D7203" s="601">
        <v>31.13</v>
      </c>
    </row>
    <row r="7204" spans="1:4" ht="54">
      <c r="A7204" s="402">
        <v>92444</v>
      </c>
      <c r="B7204" s="403" t="s">
        <v>2739</v>
      </c>
      <c r="C7204" s="402" t="s">
        <v>48</v>
      </c>
      <c r="D7204" s="601">
        <v>42.87</v>
      </c>
    </row>
    <row r="7205" spans="1:4" ht="40.5">
      <c r="A7205" s="402">
        <v>92445</v>
      </c>
      <c r="B7205" s="403" t="s">
        <v>2740</v>
      </c>
      <c r="C7205" s="402" t="s">
        <v>48</v>
      </c>
      <c r="D7205" s="601">
        <v>39.020000000000003</v>
      </c>
    </row>
    <row r="7206" spans="1:4" ht="27">
      <c r="A7206" s="402">
        <v>92446</v>
      </c>
      <c r="B7206" s="403" t="s">
        <v>2741</v>
      </c>
      <c r="C7206" s="402" t="s">
        <v>48</v>
      </c>
      <c r="D7206" s="601">
        <v>125.91</v>
      </c>
    </row>
    <row r="7207" spans="1:4" ht="27">
      <c r="A7207" s="402">
        <v>92447</v>
      </c>
      <c r="B7207" s="403" t="s">
        <v>2742</v>
      </c>
      <c r="C7207" s="402" t="s">
        <v>48</v>
      </c>
      <c r="D7207" s="601">
        <v>93</v>
      </c>
    </row>
    <row r="7208" spans="1:4" ht="27">
      <c r="A7208" s="402">
        <v>92448</v>
      </c>
      <c r="B7208" s="403" t="s">
        <v>2743</v>
      </c>
      <c r="C7208" s="402" t="s">
        <v>48</v>
      </c>
      <c r="D7208" s="601">
        <v>77.319999999999993</v>
      </c>
    </row>
    <row r="7209" spans="1:4" ht="27">
      <c r="A7209" s="402">
        <v>92449</v>
      </c>
      <c r="B7209" s="403" t="s">
        <v>2744</v>
      </c>
      <c r="C7209" s="402" t="s">
        <v>48</v>
      </c>
      <c r="D7209" s="601">
        <v>166.51</v>
      </c>
    </row>
    <row r="7210" spans="1:4" ht="27">
      <c r="A7210" s="402">
        <v>92450</v>
      </c>
      <c r="B7210" s="403" t="s">
        <v>2745</v>
      </c>
      <c r="C7210" s="402" t="s">
        <v>48</v>
      </c>
      <c r="D7210" s="601">
        <v>224.99</v>
      </c>
    </row>
    <row r="7211" spans="1:4" ht="27">
      <c r="A7211" s="402">
        <v>92451</v>
      </c>
      <c r="B7211" s="403" t="s">
        <v>2746</v>
      </c>
      <c r="C7211" s="402" t="s">
        <v>48</v>
      </c>
      <c r="D7211" s="601">
        <v>113.9</v>
      </c>
    </row>
    <row r="7212" spans="1:4" ht="27">
      <c r="A7212" s="402">
        <v>92452</v>
      </c>
      <c r="B7212" s="403" t="s">
        <v>2747</v>
      </c>
      <c r="C7212" s="402" t="s">
        <v>48</v>
      </c>
      <c r="D7212" s="601">
        <v>107.14</v>
      </c>
    </row>
    <row r="7213" spans="1:4" ht="27">
      <c r="A7213" s="402">
        <v>92453</v>
      </c>
      <c r="B7213" s="403" t="s">
        <v>2748</v>
      </c>
      <c r="C7213" s="402" t="s">
        <v>48</v>
      </c>
      <c r="D7213" s="601">
        <v>143.07</v>
      </c>
    </row>
    <row r="7214" spans="1:4" ht="27">
      <c r="A7214" s="402">
        <v>92454</v>
      </c>
      <c r="B7214" s="403" t="s">
        <v>2749</v>
      </c>
      <c r="C7214" s="402" t="s">
        <v>48</v>
      </c>
      <c r="D7214" s="601">
        <v>205.62</v>
      </c>
    </row>
    <row r="7215" spans="1:4" ht="27">
      <c r="A7215" s="402">
        <v>92455</v>
      </c>
      <c r="B7215" s="403" t="s">
        <v>2750</v>
      </c>
      <c r="C7215" s="402" t="s">
        <v>48</v>
      </c>
      <c r="D7215" s="601">
        <v>93.63</v>
      </c>
    </row>
    <row r="7216" spans="1:4" ht="27">
      <c r="A7216" s="402">
        <v>92456</v>
      </c>
      <c r="B7216" s="403" t="s">
        <v>2751</v>
      </c>
      <c r="C7216" s="402" t="s">
        <v>48</v>
      </c>
      <c r="D7216" s="601">
        <v>87.52</v>
      </c>
    </row>
    <row r="7217" spans="1:4" ht="27">
      <c r="A7217" s="402">
        <v>92457</v>
      </c>
      <c r="B7217" s="403" t="s">
        <v>2752</v>
      </c>
      <c r="C7217" s="402" t="s">
        <v>48</v>
      </c>
      <c r="D7217" s="601">
        <v>123.9</v>
      </c>
    </row>
    <row r="7218" spans="1:4" ht="27">
      <c r="A7218" s="402">
        <v>92458</v>
      </c>
      <c r="B7218" s="403" t="s">
        <v>2753</v>
      </c>
      <c r="C7218" s="402" t="s">
        <v>48</v>
      </c>
      <c r="D7218" s="601">
        <v>193.35</v>
      </c>
    </row>
    <row r="7219" spans="1:4" ht="27">
      <c r="A7219" s="402">
        <v>92459</v>
      </c>
      <c r="B7219" s="403" t="s">
        <v>2754</v>
      </c>
      <c r="C7219" s="402" t="s">
        <v>48</v>
      </c>
      <c r="D7219" s="601">
        <v>79.17</v>
      </c>
    </row>
    <row r="7220" spans="1:4" ht="27">
      <c r="A7220" s="402">
        <v>92460</v>
      </c>
      <c r="B7220" s="403" t="s">
        <v>2755</v>
      </c>
      <c r="C7220" s="402" t="s">
        <v>48</v>
      </c>
      <c r="D7220" s="601">
        <v>71.349999999999994</v>
      </c>
    </row>
    <row r="7221" spans="1:4" ht="27">
      <c r="A7221" s="402">
        <v>92461</v>
      </c>
      <c r="B7221" s="403" t="s">
        <v>2756</v>
      </c>
      <c r="C7221" s="402" t="s">
        <v>48</v>
      </c>
      <c r="D7221" s="601">
        <v>114.03</v>
      </c>
    </row>
    <row r="7222" spans="1:4" ht="27">
      <c r="A7222" s="402">
        <v>92462</v>
      </c>
      <c r="B7222" s="403" t="s">
        <v>2757</v>
      </c>
      <c r="C7222" s="402" t="s">
        <v>48</v>
      </c>
      <c r="D7222" s="601">
        <v>185.6</v>
      </c>
    </row>
    <row r="7223" spans="1:4" ht="27">
      <c r="A7223" s="402">
        <v>92463</v>
      </c>
      <c r="B7223" s="403" t="s">
        <v>2758</v>
      </c>
      <c r="C7223" s="402" t="s">
        <v>48</v>
      </c>
      <c r="D7223" s="601">
        <v>71.53</v>
      </c>
    </row>
    <row r="7224" spans="1:4" ht="27">
      <c r="A7224" s="402">
        <v>92464</v>
      </c>
      <c r="B7224" s="403" t="s">
        <v>2759</v>
      </c>
      <c r="C7224" s="402" t="s">
        <v>48</v>
      </c>
      <c r="D7224" s="601">
        <v>67.89</v>
      </c>
    </row>
    <row r="7225" spans="1:4" ht="40.5">
      <c r="A7225" s="402">
        <v>92465</v>
      </c>
      <c r="B7225" s="403" t="s">
        <v>2760</v>
      </c>
      <c r="C7225" s="402" t="s">
        <v>48</v>
      </c>
      <c r="D7225" s="601">
        <v>89.93</v>
      </c>
    </row>
    <row r="7226" spans="1:4" ht="27">
      <c r="A7226" s="402">
        <v>92466</v>
      </c>
      <c r="B7226" s="403" t="s">
        <v>2761</v>
      </c>
      <c r="C7226" s="402" t="s">
        <v>48</v>
      </c>
      <c r="D7226" s="601">
        <v>180.41</v>
      </c>
    </row>
    <row r="7227" spans="1:4" ht="40.5">
      <c r="A7227" s="402">
        <v>92467</v>
      </c>
      <c r="B7227" s="403" t="s">
        <v>2762</v>
      </c>
      <c r="C7227" s="402" t="s">
        <v>48</v>
      </c>
      <c r="D7227" s="601">
        <v>57.97</v>
      </c>
    </row>
    <row r="7228" spans="1:4" ht="27">
      <c r="A7228" s="402">
        <v>92468</v>
      </c>
      <c r="B7228" s="403" t="s">
        <v>2763</v>
      </c>
      <c r="C7228" s="402" t="s">
        <v>48</v>
      </c>
      <c r="D7228" s="601">
        <v>62.91</v>
      </c>
    </row>
    <row r="7229" spans="1:4" ht="40.5">
      <c r="A7229" s="402">
        <v>92469</v>
      </c>
      <c r="B7229" s="403" t="s">
        <v>2764</v>
      </c>
      <c r="C7229" s="402" t="s">
        <v>48</v>
      </c>
      <c r="D7229" s="601">
        <v>81.69</v>
      </c>
    </row>
    <row r="7230" spans="1:4" ht="27">
      <c r="A7230" s="402">
        <v>92470</v>
      </c>
      <c r="B7230" s="403" t="s">
        <v>2765</v>
      </c>
      <c r="C7230" s="402" t="s">
        <v>48</v>
      </c>
      <c r="D7230" s="601">
        <v>176.14</v>
      </c>
    </row>
    <row r="7231" spans="1:4" ht="40.5">
      <c r="A7231" s="402">
        <v>92471</v>
      </c>
      <c r="B7231" s="403" t="s">
        <v>2766</v>
      </c>
      <c r="C7231" s="402" t="s">
        <v>48</v>
      </c>
      <c r="D7231" s="601">
        <v>52.72</v>
      </c>
    </row>
    <row r="7232" spans="1:4" ht="27">
      <c r="A7232" s="402">
        <v>92472</v>
      </c>
      <c r="B7232" s="403" t="s">
        <v>2767</v>
      </c>
      <c r="C7232" s="402" t="s">
        <v>48</v>
      </c>
      <c r="D7232" s="601">
        <v>59.18</v>
      </c>
    </row>
    <row r="7233" spans="1:4" ht="40.5">
      <c r="A7233" s="402">
        <v>92473</v>
      </c>
      <c r="B7233" s="403" t="s">
        <v>2768</v>
      </c>
      <c r="C7233" s="402" t="s">
        <v>48</v>
      </c>
      <c r="D7233" s="601">
        <v>75.010000000000005</v>
      </c>
    </row>
    <row r="7234" spans="1:4" ht="27">
      <c r="A7234" s="402">
        <v>92474</v>
      </c>
      <c r="B7234" s="403" t="s">
        <v>2769</v>
      </c>
      <c r="C7234" s="402" t="s">
        <v>48</v>
      </c>
      <c r="D7234" s="601">
        <v>172.47</v>
      </c>
    </row>
    <row r="7235" spans="1:4" ht="40.5">
      <c r="A7235" s="402">
        <v>92475</v>
      </c>
      <c r="B7235" s="403" t="s">
        <v>2770</v>
      </c>
      <c r="C7235" s="402" t="s">
        <v>48</v>
      </c>
      <c r="D7235" s="601">
        <v>48.46</v>
      </c>
    </row>
    <row r="7236" spans="1:4" ht="27">
      <c r="A7236" s="402">
        <v>92476</v>
      </c>
      <c r="B7236" s="403" t="s">
        <v>2771</v>
      </c>
      <c r="C7236" s="402" t="s">
        <v>48</v>
      </c>
      <c r="D7236" s="601">
        <v>56.01</v>
      </c>
    </row>
    <row r="7237" spans="1:4" ht="40.5">
      <c r="A7237" s="402">
        <v>92477</v>
      </c>
      <c r="B7237" s="403" t="s">
        <v>2772</v>
      </c>
      <c r="C7237" s="402" t="s">
        <v>48</v>
      </c>
      <c r="D7237" s="601">
        <v>60.76</v>
      </c>
    </row>
    <row r="7238" spans="1:4" ht="27">
      <c r="A7238" s="402">
        <v>92478</v>
      </c>
      <c r="B7238" s="403" t="s">
        <v>2773</v>
      </c>
      <c r="C7238" s="402" t="s">
        <v>48</v>
      </c>
      <c r="D7238" s="601">
        <v>165.22</v>
      </c>
    </row>
    <row r="7239" spans="1:4" ht="40.5">
      <c r="A7239" s="402">
        <v>92479</v>
      </c>
      <c r="B7239" s="403" t="s">
        <v>2774</v>
      </c>
      <c r="C7239" s="402" t="s">
        <v>48</v>
      </c>
      <c r="D7239" s="601">
        <v>39.35</v>
      </c>
    </row>
    <row r="7240" spans="1:4" ht="27">
      <c r="A7240" s="402">
        <v>92480</v>
      </c>
      <c r="B7240" s="403" t="s">
        <v>2775</v>
      </c>
      <c r="C7240" s="402" t="s">
        <v>48</v>
      </c>
      <c r="D7240" s="601">
        <v>49.68</v>
      </c>
    </row>
    <row r="7241" spans="1:4" ht="27">
      <c r="A7241" s="402">
        <v>92481</v>
      </c>
      <c r="B7241" s="403" t="s">
        <v>645</v>
      </c>
      <c r="C7241" s="402" t="s">
        <v>48</v>
      </c>
      <c r="D7241" s="601">
        <v>156.4</v>
      </c>
    </row>
    <row r="7242" spans="1:4" ht="27">
      <c r="A7242" s="402">
        <v>92482</v>
      </c>
      <c r="B7242" s="403" t="s">
        <v>2776</v>
      </c>
      <c r="C7242" s="402" t="s">
        <v>48</v>
      </c>
      <c r="D7242" s="601">
        <v>146.91</v>
      </c>
    </row>
    <row r="7243" spans="1:4" ht="27">
      <c r="A7243" s="402">
        <v>92483</v>
      </c>
      <c r="B7243" s="403" t="s">
        <v>646</v>
      </c>
      <c r="C7243" s="402" t="s">
        <v>48</v>
      </c>
      <c r="D7243" s="601">
        <v>122.65</v>
      </c>
    </row>
    <row r="7244" spans="1:4" ht="27">
      <c r="A7244" s="402">
        <v>92484</v>
      </c>
      <c r="B7244" s="403" t="s">
        <v>2777</v>
      </c>
      <c r="C7244" s="402" t="s">
        <v>48</v>
      </c>
      <c r="D7244" s="601">
        <v>114.27</v>
      </c>
    </row>
    <row r="7245" spans="1:4" ht="27">
      <c r="A7245" s="402">
        <v>92485</v>
      </c>
      <c r="B7245" s="403" t="s">
        <v>647</v>
      </c>
      <c r="C7245" s="402" t="s">
        <v>48</v>
      </c>
      <c r="D7245" s="601">
        <v>90.05</v>
      </c>
    </row>
    <row r="7246" spans="1:4" ht="27">
      <c r="A7246" s="402">
        <v>92486</v>
      </c>
      <c r="B7246" s="403" t="s">
        <v>2778</v>
      </c>
      <c r="C7246" s="402" t="s">
        <v>48</v>
      </c>
      <c r="D7246" s="601">
        <v>83.61</v>
      </c>
    </row>
    <row r="7247" spans="1:4" ht="40.5">
      <c r="A7247" s="402">
        <v>92487</v>
      </c>
      <c r="B7247" s="403" t="s">
        <v>2779</v>
      </c>
      <c r="C7247" s="402" t="s">
        <v>48</v>
      </c>
      <c r="D7247" s="601">
        <v>69.27</v>
      </c>
    </row>
    <row r="7248" spans="1:4" ht="40.5">
      <c r="A7248" s="402">
        <v>92488</v>
      </c>
      <c r="B7248" s="403" t="s">
        <v>2780</v>
      </c>
      <c r="C7248" s="402" t="s">
        <v>48</v>
      </c>
      <c r="D7248" s="601">
        <v>67.05</v>
      </c>
    </row>
    <row r="7249" spans="1:4" ht="40.5">
      <c r="A7249" s="402">
        <v>92489</v>
      </c>
      <c r="B7249" s="403" t="s">
        <v>2781</v>
      </c>
      <c r="C7249" s="402" t="s">
        <v>48</v>
      </c>
      <c r="D7249" s="601">
        <v>39.04</v>
      </c>
    </row>
    <row r="7250" spans="1:4" ht="40.5">
      <c r="A7250" s="402">
        <v>92490</v>
      </c>
      <c r="B7250" s="403" t="s">
        <v>2782</v>
      </c>
      <c r="C7250" s="402" t="s">
        <v>48</v>
      </c>
      <c r="D7250" s="601">
        <v>37</v>
      </c>
    </row>
    <row r="7251" spans="1:4" ht="40.5">
      <c r="A7251" s="402">
        <v>92491</v>
      </c>
      <c r="B7251" s="403" t="s">
        <v>2783</v>
      </c>
      <c r="C7251" s="402" t="s">
        <v>48</v>
      </c>
      <c r="D7251" s="601">
        <v>66.930000000000007</v>
      </c>
    </row>
    <row r="7252" spans="1:4" ht="40.5">
      <c r="A7252" s="402">
        <v>92492</v>
      </c>
      <c r="B7252" s="403" t="s">
        <v>2784</v>
      </c>
      <c r="C7252" s="402" t="s">
        <v>48</v>
      </c>
      <c r="D7252" s="601">
        <v>64.81</v>
      </c>
    </row>
    <row r="7253" spans="1:4" ht="40.5">
      <c r="A7253" s="402">
        <v>92493</v>
      </c>
      <c r="B7253" s="403" t="s">
        <v>2785</v>
      </c>
      <c r="C7253" s="402" t="s">
        <v>48</v>
      </c>
      <c r="D7253" s="601">
        <v>34.700000000000003</v>
      </c>
    </row>
    <row r="7254" spans="1:4" ht="40.5">
      <c r="A7254" s="402">
        <v>92494</v>
      </c>
      <c r="B7254" s="403" t="s">
        <v>2786</v>
      </c>
      <c r="C7254" s="402" t="s">
        <v>48</v>
      </c>
      <c r="D7254" s="601">
        <v>35.08</v>
      </c>
    </row>
    <row r="7255" spans="1:4" ht="40.5">
      <c r="A7255" s="402">
        <v>92495</v>
      </c>
      <c r="B7255" s="403" t="s">
        <v>2787</v>
      </c>
      <c r="C7255" s="402" t="s">
        <v>48</v>
      </c>
      <c r="D7255" s="601">
        <v>65.33</v>
      </c>
    </row>
    <row r="7256" spans="1:4" ht="40.5">
      <c r="A7256" s="402">
        <v>92496</v>
      </c>
      <c r="B7256" s="403" t="s">
        <v>2788</v>
      </c>
      <c r="C7256" s="402" t="s">
        <v>48</v>
      </c>
      <c r="D7256" s="601">
        <v>63.29</v>
      </c>
    </row>
    <row r="7257" spans="1:4" ht="40.5">
      <c r="A7257" s="402">
        <v>92497</v>
      </c>
      <c r="B7257" s="403" t="s">
        <v>2789</v>
      </c>
      <c r="C7257" s="402" t="s">
        <v>48</v>
      </c>
      <c r="D7257" s="601">
        <v>35.69</v>
      </c>
    </row>
    <row r="7258" spans="1:4" ht="40.5">
      <c r="A7258" s="402">
        <v>92498</v>
      </c>
      <c r="B7258" s="403" t="s">
        <v>2790</v>
      </c>
      <c r="C7258" s="402" t="s">
        <v>48</v>
      </c>
      <c r="D7258" s="601">
        <v>33.799999999999997</v>
      </c>
    </row>
    <row r="7259" spans="1:4" ht="40.5">
      <c r="A7259" s="402">
        <v>92499</v>
      </c>
      <c r="B7259" s="403" t="s">
        <v>2791</v>
      </c>
      <c r="C7259" s="402" t="s">
        <v>48</v>
      </c>
      <c r="D7259" s="601">
        <v>64.39</v>
      </c>
    </row>
    <row r="7260" spans="1:4" ht="40.5">
      <c r="A7260" s="402">
        <v>92500</v>
      </c>
      <c r="B7260" s="403" t="s">
        <v>2792</v>
      </c>
      <c r="C7260" s="402" t="s">
        <v>48</v>
      </c>
      <c r="D7260" s="601">
        <v>62.41</v>
      </c>
    </row>
    <row r="7261" spans="1:4" ht="40.5">
      <c r="A7261" s="402">
        <v>92501</v>
      </c>
      <c r="B7261" s="403" t="s">
        <v>2793</v>
      </c>
      <c r="C7261" s="402" t="s">
        <v>48</v>
      </c>
      <c r="D7261" s="601">
        <v>34.909999999999997</v>
      </c>
    </row>
    <row r="7262" spans="1:4" ht="40.5">
      <c r="A7262" s="402">
        <v>92502</v>
      </c>
      <c r="B7262" s="403" t="s">
        <v>2794</v>
      </c>
      <c r="C7262" s="402" t="s">
        <v>48</v>
      </c>
      <c r="D7262" s="601">
        <v>33.07</v>
      </c>
    </row>
    <row r="7263" spans="1:4" ht="40.5">
      <c r="A7263" s="402">
        <v>92503</v>
      </c>
      <c r="B7263" s="403" t="s">
        <v>2795</v>
      </c>
      <c r="C7263" s="402" t="s">
        <v>48</v>
      </c>
      <c r="D7263" s="601">
        <v>62.86</v>
      </c>
    </row>
    <row r="7264" spans="1:4" ht="40.5">
      <c r="A7264" s="402">
        <v>92504</v>
      </c>
      <c r="B7264" s="403" t="s">
        <v>2796</v>
      </c>
      <c r="C7264" s="402" t="s">
        <v>48</v>
      </c>
      <c r="D7264" s="601">
        <v>37.79</v>
      </c>
    </row>
    <row r="7265" spans="1:4" ht="40.5">
      <c r="A7265" s="402">
        <v>92505</v>
      </c>
      <c r="B7265" s="403" t="s">
        <v>2797</v>
      </c>
      <c r="C7265" s="402" t="s">
        <v>48</v>
      </c>
      <c r="D7265" s="601">
        <v>33.6</v>
      </c>
    </row>
    <row r="7266" spans="1:4" ht="40.5">
      <c r="A7266" s="402">
        <v>92506</v>
      </c>
      <c r="B7266" s="403" t="s">
        <v>2798</v>
      </c>
      <c r="C7266" s="402" t="s">
        <v>48</v>
      </c>
      <c r="D7266" s="601">
        <v>31.82</v>
      </c>
    </row>
    <row r="7267" spans="1:4" ht="40.5">
      <c r="A7267" s="402">
        <v>92507</v>
      </c>
      <c r="B7267" s="403" t="s">
        <v>2799</v>
      </c>
      <c r="C7267" s="402" t="s">
        <v>48</v>
      </c>
      <c r="D7267" s="601">
        <v>69.819999999999993</v>
      </c>
    </row>
    <row r="7268" spans="1:4" ht="40.5">
      <c r="A7268" s="402">
        <v>92508</v>
      </c>
      <c r="B7268" s="403" t="s">
        <v>2800</v>
      </c>
      <c r="C7268" s="402" t="s">
        <v>48</v>
      </c>
      <c r="D7268" s="601">
        <v>68.05</v>
      </c>
    </row>
    <row r="7269" spans="1:4" ht="40.5">
      <c r="A7269" s="402">
        <v>92509</v>
      </c>
      <c r="B7269" s="403" t="s">
        <v>2801</v>
      </c>
      <c r="C7269" s="402" t="s">
        <v>48</v>
      </c>
      <c r="D7269" s="601">
        <v>36.43</v>
      </c>
    </row>
    <row r="7270" spans="1:4" ht="40.5">
      <c r="A7270" s="402">
        <v>92510</v>
      </c>
      <c r="B7270" s="403" t="s">
        <v>2802</v>
      </c>
      <c r="C7270" s="402" t="s">
        <v>48</v>
      </c>
      <c r="D7270" s="601">
        <v>34.79</v>
      </c>
    </row>
    <row r="7271" spans="1:4" ht="40.5">
      <c r="A7271" s="402">
        <v>92511</v>
      </c>
      <c r="B7271" s="403" t="s">
        <v>2803</v>
      </c>
      <c r="C7271" s="402" t="s">
        <v>48</v>
      </c>
      <c r="D7271" s="601">
        <v>57.03</v>
      </c>
    </row>
    <row r="7272" spans="1:4" ht="40.5">
      <c r="A7272" s="402">
        <v>92512</v>
      </c>
      <c r="B7272" s="403" t="s">
        <v>2804</v>
      </c>
      <c r="C7272" s="402" t="s">
        <v>48</v>
      </c>
      <c r="D7272" s="601">
        <v>55.67</v>
      </c>
    </row>
    <row r="7273" spans="1:4" ht="40.5">
      <c r="A7273" s="402">
        <v>92513</v>
      </c>
      <c r="B7273" s="403" t="s">
        <v>2805</v>
      </c>
      <c r="C7273" s="402" t="s">
        <v>48</v>
      </c>
      <c r="D7273" s="601">
        <v>26.02</v>
      </c>
    </row>
    <row r="7274" spans="1:4" ht="40.5">
      <c r="A7274" s="402">
        <v>92514</v>
      </c>
      <c r="B7274" s="403" t="s">
        <v>2806</v>
      </c>
      <c r="C7274" s="402" t="s">
        <v>48</v>
      </c>
      <c r="D7274" s="601">
        <v>24.76</v>
      </c>
    </row>
    <row r="7275" spans="1:4" ht="40.5">
      <c r="A7275" s="402">
        <v>92515</v>
      </c>
      <c r="B7275" s="403" t="s">
        <v>2807</v>
      </c>
      <c r="C7275" s="402" t="s">
        <v>48</v>
      </c>
      <c r="D7275" s="601">
        <v>51.63</v>
      </c>
    </row>
    <row r="7276" spans="1:4" ht="40.5">
      <c r="A7276" s="402">
        <v>92516</v>
      </c>
      <c r="B7276" s="403" t="s">
        <v>2808</v>
      </c>
      <c r="C7276" s="402" t="s">
        <v>48</v>
      </c>
      <c r="D7276" s="601">
        <v>50.46</v>
      </c>
    </row>
    <row r="7277" spans="1:4" ht="40.5">
      <c r="A7277" s="402">
        <v>92517</v>
      </c>
      <c r="B7277" s="403" t="s">
        <v>2809</v>
      </c>
      <c r="C7277" s="402" t="s">
        <v>48</v>
      </c>
      <c r="D7277" s="601">
        <v>21.69</v>
      </c>
    </row>
    <row r="7278" spans="1:4" ht="40.5">
      <c r="A7278" s="402">
        <v>92518</v>
      </c>
      <c r="B7278" s="403" t="s">
        <v>2810</v>
      </c>
      <c r="C7278" s="402" t="s">
        <v>48</v>
      </c>
      <c r="D7278" s="601">
        <v>20.59</v>
      </c>
    </row>
    <row r="7279" spans="1:4" ht="40.5">
      <c r="A7279" s="402">
        <v>92519</v>
      </c>
      <c r="B7279" s="403" t="s">
        <v>2811</v>
      </c>
      <c r="C7279" s="402" t="s">
        <v>48</v>
      </c>
      <c r="D7279" s="601">
        <v>48.88</v>
      </c>
    </row>
    <row r="7280" spans="1:4" ht="40.5">
      <c r="A7280" s="402">
        <v>92520</v>
      </c>
      <c r="B7280" s="403" t="s">
        <v>2812</v>
      </c>
      <c r="C7280" s="402" t="s">
        <v>48</v>
      </c>
      <c r="D7280" s="601">
        <v>47.79</v>
      </c>
    </row>
    <row r="7281" spans="1:4" ht="40.5">
      <c r="A7281" s="402">
        <v>92521</v>
      </c>
      <c r="B7281" s="403" t="s">
        <v>2813</v>
      </c>
      <c r="C7281" s="402" t="s">
        <v>48</v>
      </c>
      <c r="D7281" s="601">
        <v>19.45</v>
      </c>
    </row>
    <row r="7282" spans="1:4" ht="40.5">
      <c r="A7282" s="402">
        <v>92522</v>
      </c>
      <c r="B7282" s="403" t="s">
        <v>2814</v>
      </c>
      <c r="C7282" s="402" t="s">
        <v>48</v>
      </c>
      <c r="D7282" s="601">
        <v>18.43</v>
      </c>
    </row>
    <row r="7283" spans="1:4" ht="40.5">
      <c r="A7283" s="402">
        <v>92523</v>
      </c>
      <c r="B7283" s="403" t="s">
        <v>2815</v>
      </c>
      <c r="C7283" s="402" t="s">
        <v>48</v>
      </c>
      <c r="D7283" s="601">
        <v>48.61</v>
      </c>
    </row>
    <row r="7284" spans="1:4" ht="40.5">
      <c r="A7284" s="402">
        <v>92524</v>
      </c>
      <c r="B7284" s="403" t="s">
        <v>2816</v>
      </c>
      <c r="C7284" s="402" t="s">
        <v>48</v>
      </c>
      <c r="D7284" s="601">
        <v>47.57</v>
      </c>
    </row>
    <row r="7285" spans="1:4" ht="40.5">
      <c r="A7285" s="402">
        <v>92525</v>
      </c>
      <c r="B7285" s="403" t="s">
        <v>2817</v>
      </c>
      <c r="C7285" s="402" t="s">
        <v>48</v>
      </c>
      <c r="D7285" s="601">
        <v>19.5</v>
      </c>
    </row>
    <row r="7286" spans="1:4" ht="40.5">
      <c r="A7286" s="402">
        <v>92526</v>
      </c>
      <c r="B7286" s="403" t="s">
        <v>2818</v>
      </c>
      <c r="C7286" s="402" t="s">
        <v>48</v>
      </c>
      <c r="D7286" s="601">
        <v>18.52</v>
      </c>
    </row>
    <row r="7287" spans="1:4" ht="40.5">
      <c r="A7287" s="402">
        <v>92527</v>
      </c>
      <c r="B7287" s="403" t="s">
        <v>2819</v>
      </c>
      <c r="C7287" s="402" t="s">
        <v>48</v>
      </c>
      <c r="D7287" s="601">
        <v>47.46</v>
      </c>
    </row>
    <row r="7288" spans="1:4" ht="40.5">
      <c r="A7288" s="402">
        <v>92528</v>
      </c>
      <c r="B7288" s="403" t="s">
        <v>2820</v>
      </c>
      <c r="C7288" s="402" t="s">
        <v>48</v>
      </c>
      <c r="D7288" s="601">
        <v>46.45</v>
      </c>
    </row>
    <row r="7289" spans="1:4" ht="40.5">
      <c r="A7289" s="402">
        <v>92529</v>
      </c>
      <c r="B7289" s="403" t="s">
        <v>2821</v>
      </c>
      <c r="C7289" s="402" t="s">
        <v>48</v>
      </c>
      <c r="D7289" s="601">
        <v>18.55</v>
      </c>
    </row>
    <row r="7290" spans="1:4" ht="40.5">
      <c r="A7290" s="402">
        <v>92530</v>
      </c>
      <c r="B7290" s="403" t="s">
        <v>2822</v>
      </c>
      <c r="C7290" s="402" t="s">
        <v>48</v>
      </c>
      <c r="D7290" s="601">
        <v>17.600000000000001</v>
      </c>
    </row>
    <row r="7291" spans="1:4" ht="40.5">
      <c r="A7291" s="402">
        <v>92531</v>
      </c>
      <c r="B7291" s="403" t="s">
        <v>2823</v>
      </c>
      <c r="C7291" s="402" t="s">
        <v>48</v>
      </c>
      <c r="D7291" s="601">
        <v>46.58</v>
      </c>
    </row>
    <row r="7292" spans="1:4" ht="40.5">
      <c r="A7292" s="402">
        <v>92532</v>
      </c>
      <c r="B7292" s="403" t="s">
        <v>2824</v>
      </c>
      <c r="C7292" s="402" t="s">
        <v>48</v>
      </c>
      <c r="D7292" s="601">
        <v>45.59</v>
      </c>
    </row>
    <row r="7293" spans="1:4" ht="40.5">
      <c r="A7293" s="402">
        <v>92533</v>
      </c>
      <c r="B7293" s="403" t="s">
        <v>2825</v>
      </c>
      <c r="C7293" s="402" t="s">
        <v>48</v>
      </c>
      <c r="D7293" s="601">
        <v>17.82</v>
      </c>
    </row>
    <row r="7294" spans="1:4" ht="40.5">
      <c r="A7294" s="402">
        <v>92534</v>
      </c>
      <c r="B7294" s="403" t="s">
        <v>2826</v>
      </c>
      <c r="C7294" s="402" t="s">
        <v>48</v>
      </c>
      <c r="D7294" s="601">
        <v>16.93</v>
      </c>
    </row>
    <row r="7295" spans="1:4" ht="40.5">
      <c r="A7295" s="402">
        <v>92535</v>
      </c>
      <c r="B7295" s="403" t="s">
        <v>2827</v>
      </c>
      <c r="C7295" s="402" t="s">
        <v>48</v>
      </c>
      <c r="D7295" s="601">
        <v>44.99</v>
      </c>
    </row>
    <row r="7296" spans="1:4" ht="40.5">
      <c r="A7296" s="402">
        <v>92536</v>
      </c>
      <c r="B7296" s="403" t="s">
        <v>2828</v>
      </c>
      <c r="C7296" s="402" t="s">
        <v>48</v>
      </c>
      <c r="D7296" s="601">
        <v>44.04</v>
      </c>
    </row>
    <row r="7297" spans="1:4" ht="40.5">
      <c r="A7297" s="402">
        <v>92537</v>
      </c>
      <c r="B7297" s="403" t="s">
        <v>2829</v>
      </c>
      <c r="C7297" s="402" t="s">
        <v>48</v>
      </c>
      <c r="D7297" s="601">
        <v>16.420000000000002</v>
      </c>
    </row>
    <row r="7298" spans="1:4" ht="40.5">
      <c r="A7298" s="402">
        <v>92538</v>
      </c>
      <c r="B7298" s="403" t="s">
        <v>2830</v>
      </c>
      <c r="C7298" s="402" t="s">
        <v>48</v>
      </c>
      <c r="D7298" s="601">
        <v>15.54</v>
      </c>
    </row>
    <row r="7299" spans="1:4" ht="27">
      <c r="A7299" s="402">
        <v>95934</v>
      </c>
      <c r="B7299" s="403" t="s">
        <v>3874</v>
      </c>
      <c r="C7299" s="402" t="s">
        <v>48</v>
      </c>
      <c r="D7299" s="601">
        <v>119.99</v>
      </c>
    </row>
    <row r="7300" spans="1:4" ht="27">
      <c r="A7300" s="402">
        <v>95935</v>
      </c>
      <c r="B7300" s="403" t="s">
        <v>3875</v>
      </c>
      <c r="C7300" s="402" t="s">
        <v>48</v>
      </c>
      <c r="D7300" s="601">
        <v>98.79</v>
      </c>
    </row>
    <row r="7301" spans="1:4" ht="27">
      <c r="A7301" s="402">
        <v>95936</v>
      </c>
      <c r="B7301" s="403" t="s">
        <v>3876</v>
      </c>
      <c r="C7301" s="402" t="s">
        <v>48</v>
      </c>
      <c r="D7301" s="601">
        <v>87.11</v>
      </c>
    </row>
    <row r="7302" spans="1:4" ht="27">
      <c r="A7302" s="402">
        <v>95937</v>
      </c>
      <c r="B7302" s="403" t="s">
        <v>847</v>
      </c>
      <c r="C7302" s="402" t="s">
        <v>48</v>
      </c>
      <c r="D7302" s="601">
        <v>231.46</v>
      </c>
    </row>
    <row r="7303" spans="1:4" ht="27">
      <c r="A7303" s="402">
        <v>95938</v>
      </c>
      <c r="B7303" s="403" t="s">
        <v>848</v>
      </c>
      <c r="C7303" s="402" t="s">
        <v>48</v>
      </c>
      <c r="D7303" s="601">
        <v>193.2</v>
      </c>
    </row>
    <row r="7304" spans="1:4" ht="27">
      <c r="A7304" s="402">
        <v>95939</v>
      </c>
      <c r="B7304" s="403" t="s">
        <v>3877</v>
      </c>
      <c r="C7304" s="402" t="s">
        <v>48</v>
      </c>
      <c r="D7304" s="601">
        <v>151.46</v>
      </c>
    </row>
    <row r="7305" spans="1:4" ht="27">
      <c r="A7305" s="402">
        <v>95940</v>
      </c>
      <c r="B7305" s="403" t="s">
        <v>3878</v>
      </c>
      <c r="C7305" s="402" t="s">
        <v>48</v>
      </c>
      <c r="D7305" s="601">
        <v>124.33</v>
      </c>
    </row>
    <row r="7306" spans="1:4" ht="27">
      <c r="A7306" s="402">
        <v>95941</v>
      </c>
      <c r="B7306" s="403" t="s">
        <v>3879</v>
      </c>
      <c r="C7306" s="402" t="s">
        <v>48</v>
      </c>
      <c r="D7306" s="601">
        <v>109.25</v>
      </c>
    </row>
    <row r="7307" spans="1:4" ht="27">
      <c r="A7307" s="402">
        <v>95942</v>
      </c>
      <c r="B7307" s="403" t="s">
        <v>3880</v>
      </c>
      <c r="C7307" s="402" t="s">
        <v>48</v>
      </c>
      <c r="D7307" s="601">
        <v>99.82</v>
      </c>
    </row>
    <row r="7308" spans="1:4" ht="27">
      <c r="A7308" s="402">
        <v>96252</v>
      </c>
      <c r="B7308" s="403" t="s">
        <v>3944</v>
      </c>
      <c r="C7308" s="402" t="s">
        <v>48</v>
      </c>
      <c r="D7308" s="601">
        <v>148.96</v>
      </c>
    </row>
    <row r="7309" spans="1:4" ht="40.5">
      <c r="A7309" s="402">
        <v>96257</v>
      </c>
      <c r="B7309" s="403" t="s">
        <v>3945</v>
      </c>
      <c r="C7309" s="402" t="s">
        <v>48</v>
      </c>
      <c r="D7309" s="601">
        <v>125.33</v>
      </c>
    </row>
    <row r="7310" spans="1:4" ht="40.5">
      <c r="A7310" s="402">
        <v>96258</v>
      </c>
      <c r="B7310" s="403" t="s">
        <v>3946</v>
      </c>
      <c r="C7310" s="402" t="s">
        <v>48</v>
      </c>
      <c r="D7310" s="601">
        <v>117.23</v>
      </c>
    </row>
    <row r="7311" spans="1:4" ht="40.5">
      <c r="A7311" s="402">
        <v>96259</v>
      </c>
      <c r="B7311" s="403" t="s">
        <v>3947</v>
      </c>
      <c r="C7311" s="402" t="s">
        <v>48</v>
      </c>
      <c r="D7311" s="601">
        <v>140.88999999999999</v>
      </c>
    </row>
    <row r="7312" spans="1:4" ht="27">
      <c r="A7312" s="402">
        <v>96529</v>
      </c>
      <c r="B7312" s="403" t="s">
        <v>3995</v>
      </c>
      <c r="C7312" s="402" t="s">
        <v>48</v>
      </c>
      <c r="D7312" s="601">
        <v>183.36</v>
      </c>
    </row>
    <row r="7313" spans="1:4" ht="27">
      <c r="A7313" s="402">
        <v>96530</v>
      </c>
      <c r="B7313" s="403" t="s">
        <v>3996</v>
      </c>
      <c r="C7313" s="402" t="s">
        <v>48</v>
      </c>
      <c r="D7313" s="601">
        <v>88.57</v>
      </c>
    </row>
    <row r="7314" spans="1:4" ht="27">
      <c r="A7314" s="402">
        <v>96531</v>
      </c>
      <c r="B7314" s="403" t="s">
        <v>3997</v>
      </c>
      <c r="C7314" s="402" t="s">
        <v>48</v>
      </c>
      <c r="D7314" s="601">
        <v>66.760000000000005</v>
      </c>
    </row>
    <row r="7315" spans="1:4" ht="27">
      <c r="A7315" s="402">
        <v>96532</v>
      </c>
      <c r="B7315" s="403" t="s">
        <v>3998</v>
      </c>
      <c r="C7315" s="402" t="s">
        <v>48</v>
      </c>
      <c r="D7315" s="601">
        <v>120.74</v>
      </c>
    </row>
    <row r="7316" spans="1:4" ht="27">
      <c r="A7316" s="402">
        <v>96533</v>
      </c>
      <c r="B7316" s="403" t="s">
        <v>3999</v>
      </c>
      <c r="C7316" s="402" t="s">
        <v>48</v>
      </c>
      <c r="D7316" s="601">
        <v>57.8</v>
      </c>
    </row>
    <row r="7317" spans="1:4" ht="27">
      <c r="A7317" s="402">
        <v>96534</v>
      </c>
      <c r="B7317" s="403" t="s">
        <v>4000</v>
      </c>
      <c r="C7317" s="402" t="s">
        <v>48</v>
      </c>
      <c r="D7317" s="601">
        <v>49.55</v>
      </c>
    </row>
    <row r="7318" spans="1:4" ht="27">
      <c r="A7318" s="402">
        <v>96535</v>
      </c>
      <c r="B7318" s="403" t="s">
        <v>4001</v>
      </c>
      <c r="C7318" s="402" t="s">
        <v>48</v>
      </c>
      <c r="D7318" s="601">
        <v>88.14</v>
      </c>
    </row>
    <row r="7319" spans="1:4" ht="27">
      <c r="A7319" s="402">
        <v>96536</v>
      </c>
      <c r="B7319" s="403" t="s">
        <v>4002</v>
      </c>
      <c r="C7319" s="402" t="s">
        <v>48</v>
      </c>
      <c r="D7319" s="601">
        <v>41.79</v>
      </c>
    </row>
    <row r="7320" spans="1:4" ht="27">
      <c r="A7320" s="402">
        <v>96537</v>
      </c>
      <c r="B7320" s="403" t="s">
        <v>4003</v>
      </c>
      <c r="C7320" s="402" t="s">
        <v>48</v>
      </c>
      <c r="D7320" s="601">
        <v>112.76</v>
      </c>
    </row>
    <row r="7321" spans="1:4" ht="27">
      <c r="A7321" s="402">
        <v>96538</v>
      </c>
      <c r="B7321" s="403" t="s">
        <v>4004</v>
      </c>
      <c r="C7321" s="402" t="s">
        <v>48</v>
      </c>
      <c r="D7321" s="601">
        <v>175.25</v>
      </c>
    </row>
    <row r="7322" spans="1:4" ht="27">
      <c r="A7322" s="402">
        <v>96539</v>
      </c>
      <c r="B7322" s="403" t="s">
        <v>4005</v>
      </c>
      <c r="C7322" s="402" t="s">
        <v>48</v>
      </c>
      <c r="D7322" s="601">
        <v>78.709999999999994</v>
      </c>
    </row>
    <row r="7323" spans="1:4" ht="27">
      <c r="A7323" s="402">
        <v>96540</v>
      </c>
      <c r="B7323" s="403" t="s">
        <v>4006</v>
      </c>
      <c r="C7323" s="402" t="s">
        <v>48</v>
      </c>
      <c r="D7323" s="601">
        <v>80.47</v>
      </c>
    </row>
    <row r="7324" spans="1:4" ht="27">
      <c r="A7324" s="402">
        <v>96541</v>
      </c>
      <c r="B7324" s="403" t="s">
        <v>4007</v>
      </c>
      <c r="C7324" s="402" t="s">
        <v>48</v>
      </c>
      <c r="D7324" s="601">
        <v>124.19</v>
      </c>
    </row>
    <row r="7325" spans="1:4" ht="27">
      <c r="A7325" s="402">
        <v>96542</v>
      </c>
      <c r="B7325" s="403" t="s">
        <v>4008</v>
      </c>
      <c r="C7325" s="402" t="s">
        <v>48</v>
      </c>
      <c r="D7325" s="601">
        <v>59.33</v>
      </c>
    </row>
    <row r="7326" spans="1:4" ht="27">
      <c r="A7326" s="402">
        <v>96543</v>
      </c>
      <c r="B7326" s="403" t="s">
        <v>4009</v>
      </c>
      <c r="C7326" s="402" t="s">
        <v>20</v>
      </c>
      <c r="D7326" s="601">
        <v>11.59</v>
      </c>
    </row>
    <row r="7327" spans="1:4" ht="40.5">
      <c r="A7327" s="402">
        <v>97747</v>
      </c>
      <c r="B7327" s="403" t="s">
        <v>4677</v>
      </c>
      <c r="C7327" s="402" t="s">
        <v>48</v>
      </c>
      <c r="D7327" s="601">
        <v>130.65</v>
      </c>
    </row>
    <row r="7328" spans="1:4" ht="13.5">
      <c r="A7328" s="402">
        <v>89996</v>
      </c>
      <c r="B7328" s="403" t="s">
        <v>2138</v>
      </c>
      <c r="C7328" s="402" t="s">
        <v>20</v>
      </c>
      <c r="D7328" s="601">
        <v>6.89</v>
      </c>
    </row>
    <row r="7329" spans="1:4" ht="13.5">
      <c r="A7329" s="402">
        <v>89997</v>
      </c>
      <c r="B7329" s="403" t="s">
        <v>2139</v>
      </c>
      <c r="C7329" s="402" t="s">
        <v>20</v>
      </c>
      <c r="D7329" s="601">
        <v>5.58</v>
      </c>
    </row>
    <row r="7330" spans="1:4" ht="13.5">
      <c r="A7330" s="402">
        <v>89998</v>
      </c>
      <c r="B7330" s="403" t="s">
        <v>2140</v>
      </c>
      <c r="C7330" s="402" t="s">
        <v>20</v>
      </c>
      <c r="D7330" s="601">
        <v>6.52</v>
      </c>
    </row>
    <row r="7331" spans="1:4" ht="27">
      <c r="A7331" s="402">
        <v>89999</v>
      </c>
      <c r="B7331" s="403" t="s">
        <v>2141</v>
      </c>
      <c r="C7331" s="402" t="s">
        <v>20</v>
      </c>
      <c r="D7331" s="601">
        <v>9.69</v>
      </c>
    </row>
    <row r="7332" spans="1:4" ht="27">
      <c r="A7332" s="402">
        <v>90000</v>
      </c>
      <c r="B7332" s="403" t="s">
        <v>2142</v>
      </c>
      <c r="C7332" s="402" t="s">
        <v>20</v>
      </c>
      <c r="D7332" s="601">
        <v>7.85</v>
      </c>
    </row>
    <row r="7333" spans="1:4" ht="27">
      <c r="A7333" s="402">
        <v>91593</v>
      </c>
      <c r="B7333" s="403" t="s">
        <v>5593</v>
      </c>
      <c r="C7333" s="402" t="s">
        <v>20</v>
      </c>
      <c r="D7333" s="601">
        <v>7.46</v>
      </c>
    </row>
    <row r="7334" spans="1:4" ht="27">
      <c r="A7334" s="402">
        <v>91594</v>
      </c>
      <c r="B7334" s="403" t="s">
        <v>5594</v>
      </c>
      <c r="C7334" s="402" t="s">
        <v>20</v>
      </c>
      <c r="D7334" s="601">
        <v>7.73</v>
      </c>
    </row>
    <row r="7335" spans="1:4" ht="27">
      <c r="A7335" s="402">
        <v>91595</v>
      </c>
      <c r="B7335" s="403" t="s">
        <v>5595</v>
      </c>
      <c r="C7335" s="402" t="s">
        <v>20</v>
      </c>
      <c r="D7335" s="601">
        <v>8.1999999999999993</v>
      </c>
    </row>
    <row r="7336" spans="1:4" ht="27">
      <c r="A7336" s="402">
        <v>91596</v>
      </c>
      <c r="B7336" s="403" t="s">
        <v>5596</v>
      </c>
      <c r="C7336" s="402" t="s">
        <v>20</v>
      </c>
      <c r="D7336" s="601">
        <v>7.67</v>
      </c>
    </row>
    <row r="7337" spans="1:4" ht="27">
      <c r="A7337" s="402">
        <v>91597</v>
      </c>
      <c r="B7337" s="403" t="s">
        <v>5597</v>
      </c>
      <c r="C7337" s="402" t="s">
        <v>20</v>
      </c>
      <c r="D7337" s="601">
        <v>5.45</v>
      </c>
    </row>
    <row r="7338" spans="1:4" ht="27">
      <c r="A7338" s="402">
        <v>91598</v>
      </c>
      <c r="B7338" s="403" t="s">
        <v>5598</v>
      </c>
      <c r="C7338" s="402" t="s">
        <v>20</v>
      </c>
      <c r="D7338" s="601">
        <v>7.52</v>
      </c>
    </row>
    <row r="7339" spans="1:4" ht="27">
      <c r="A7339" s="402">
        <v>91599</v>
      </c>
      <c r="B7339" s="403" t="s">
        <v>5599</v>
      </c>
      <c r="C7339" s="402" t="s">
        <v>20</v>
      </c>
      <c r="D7339" s="601">
        <v>5.7</v>
      </c>
    </row>
    <row r="7340" spans="1:4" ht="27">
      <c r="A7340" s="402">
        <v>91600</v>
      </c>
      <c r="B7340" s="403" t="s">
        <v>5600</v>
      </c>
      <c r="C7340" s="402" t="s">
        <v>20</v>
      </c>
      <c r="D7340" s="601">
        <v>9.36</v>
      </c>
    </row>
    <row r="7341" spans="1:4" ht="27">
      <c r="A7341" s="402">
        <v>91601</v>
      </c>
      <c r="B7341" s="403" t="s">
        <v>5601</v>
      </c>
      <c r="C7341" s="402" t="s">
        <v>20</v>
      </c>
      <c r="D7341" s="601">
        <v>7.88</v>
      </c>
    </row>
    <row r="7342" spans="1:4" ht="27">
      <c r="A7342" s="402">
        <v>91602</v>
      </c>
      <c r="B7342" s="403" t="s">
        <v>5602</v>
      </c>
      <c r="C7342" s="402" t="s">
        <v>20</v>
      </c>
      <c r="D7342" s="601">
        <v>7.23</v>
      </c>
    </row>
    <row r="7343" spans="1:4" ht="27">
      <c r="A7343" s="402">
        <v>91603</v>
      </c>
      <c r="B7343" s="403" t="s">
        <v>5603</v>
      </c>
      <c r="C7343" s="402" t="s">
        <v>20</v>
      </c>
      <c r="D7343" s="601">
        <v>6.83</v>
      </c>
    </row>
    <row r="7344" spans="1:4" ht="40.5">
      <c r="A7344" s="402">
        <v>92759</v>
      </c>
      <c r="B7344" s="403" t="s">
        <v>2945</v>
      </c>
      <c r="C7344" s="402" t="s">
        <v>20</v>
      </c>
      <c r="D7344" s="601">
        <v>9.65</v>
      </c>
    </row>
    <row r="7345" spans="1:4" ht="40.5">
      <c r="A7345" s="402">
        <v>92760</v>
      </c>
      <c r="B7345" s="403" t="s">
        <v>2946</v>
      </c>
      <c r="C7345" s="402" t="s">
        <v>20</v>
      </c>
      <c r="D7345" s="601">
        <v>8.9700000000000006</v>
      </c>
    </row>
    <row r="7346" spans="1:4" ht="40.5">
      <c r="A7346" s="402">
        <v>92761</v>
      </c>
      <c r="B7346" s="403" t="s">
        <v>2947</v>
      </c>
      <c r="C7346" s="402" t="s">
        <v>20</v>
      </c>
      <c r="D7346" s="601">
        <v>8.31</v>
      </c>
    </row>
    <row r="7347" spans="1:4" ht="40.5">
      <c r="A7347" s="402">
        <v>92762</v>
      </c>
      <c r="B7347" s="403" t="s">
        <v>2948</v>
      </c>
      <c r="C7347" s="402" t="s">
        <v>20</v>
      </c>
      <c r="D7347" s="601">
        <v>7.4</v>
      </c>
    </row>
    <row r="7348" spans="1:4" ht="40.5">
      <c r="A7348" s="402">
        <v>92763</v>
      </c>
      <c r="B7348" s="403" t="s">
        <v>2949</v>
      </c>
      <c r="C7348" s="402" t="s">
        <v>20</v>
      </c>
      <c r="D7348" s="601">
        <v>6.22</v>
      </c>
    </row>
    <row r="7349" spans="1:4" ht="40.5">
      <c r="A7349" s="402">
        <v>92764</v>
      </c>
      <c r="B7349" s="403" t="s">
        <v>2950</v>
      </c>
      <c r="C7349" s="402" t="s">
        <v>20</v>
      </c>
      <c r="D7349" s="601">
        <v>5.88</v>
      </c>
    </row>
    <row r="7350" spans="1:4" ht="40.5">
      <c r="A7350" s="402">
        <v>92765</v>
      </c>
      <c r="B7350" s="403" t="s">
        <v>2951</v>
      </c>
      <c r="C7350" s="402" t="s">
        <v>20</v>
      </c>
      <c r="D7350" s="601">
        <v>6.56</v>
      </c>
    </row>
    <row r="7351" spans="1:4" ht="40.5">
      <c r="A7351" s="402">
        <v>92766</v>
      </c>
      <c r="B7351" s="403" t="s">
        <v>2952</v>
      </c>
      <c r="C7351" s="402" t="s">
        <v>20</v>
      </c>
      <c r="D7351" s="601">
        <v>6.39</v>
      </c>
    </row>
    <row r="7352" spans="1:4" ht="40.5">
      <c r="A7352" s="402">
        <v>92767</v>
      </c>
      <c r="B7352" s="403" t="s">
        <v>2953</v>
      </c>
      <c r="C7352" s="402" t="s">
        <v>20</v>
      </c>
      <c r="D7352" s="601">
        <v>9.81</v>
      </c>
    </row>
    <row r="7353" spans="1:4" ht="40.5">
      <c r="A7353" s="402">
        <v>92768</v>
      </c>
      <c r="B7353" s="403" t="s">
        <v>2954</v>
      </c>
      <c r="C7353" s="402" t="s">
        <v>20</v>
      </c>
      <c r="D7353" s="601">
        <v>8.65</v>
      </c>
    </row>
    <row r="7354" spans="1:4" ht="40.5">
      <c r="A7354" s="402">
        <v>92769</v>
      </c>
      <c r="B7354" s="403" t="s">
        <v>2955</v>
      </c>
      <c r="C7354" s="402" t="s">
        <v>20</v>
      </c>
      <c r="D7354" s="601">
        <v>8.1999999999999993</v>
      </c>
    </row>
    <row r="7355" spans="1:4" ht="40.5">
      <c r="A7355" s="402">
        <v>92770</v>
      </c>
      <c r="B7355" s="403" t="s">
        <v>2956</v>
      </c>
      <c r="C7355" s="402" t="s">
        <v>20</v>
      </c>
      <c r="D7355" s="601">
        <v>7.73</v>
      </c>
    </row>
    <row r="7356" spans="1:4" ht="40.5">
      <c r="A7356" s="402">
        <v>92771</v>
      </c>
      <c r="B7356" s="403" t="s">
        <v>2957</v>
      </c>
      <c r="C7356" s="402" t="s">
        <v>20</v>
      </c>
      <c r="D7356" s="601">
        <v>6.93</v>
      </c>
    </row>
    <row r="7357" spans="1:4" ht="40.5">
      <c r="A7357" s="402">
        <v>92772</v>
      </c>
      <c r="B7357" s="403" t="s">
        <v>2958</v>
      </c>
      <c r="C7357" s="402" t="s">
        <v>20</v>
      </c>
      <c r="D7357" s="601">
        <v>5.86</v>
      </c>
    </row>
    <row r="7358" spans="1:4" ht="40.5">
      <c r="A7358" s="402">
        <v>92773</v>
      </c>
      <c r="B7358" s="403" t="s">
        <v>2959</v>
      </c>
      <c r="C7358" s="402" t="s">
        <v>20</v>
      </c>
      <c r="D7358" s="601">
        <v>5.63</v>
      </c>
    </row>
    <row r="7359" spans="1:4" ht="40.5">
      <c r="A7359" s="402">
        <v>92774</v>
      </c>
      <c r="B7359" s="403" t="s">
        <v>2960</v>
      </c>
      <c r="C7359" s="402" t="s">
        <v>20</v>
      </c>
      <c r="D7359" s="601">
        <v>6.39</v>
      </c>
    </row>
    <row r="7360" spans="1:4" ht="40.5">
      <c r="A7360" s="402">
        <v>92775</v>
      </c>
      <c r="B7360" s="403" t="s">
        <v>2961</v>
      </c>
      <c r="C7360" s="402" t="s">
        <v>20</v>
      </c>
      <c r="D7360" s="601">
        <v>11.65</v>
      </c>
    </row>
    <row r="7361" spans="1:4" ht="40.5">
      <c r="A7361" s="402">
        <v>92776</v>
      </c>
      <c r="B7361" s="403" t="s">
        <v>2962</v>
      </c>
      <c r="C7361" s="402" t="s">
        <v>20</v>
      </c>
      <c r="D7361" s="601">
        <v>10.49</v>
      </c>
    </row>
    <row r="7362" spans="1:4" ht="40.5">
      <c r="A7362" s="402">
        <v>92777</v>
      </c>
      <c r="B7362" s="403" t="s">
        <v>2963</v>
      </c>
      <c r="C7362" s="402" t="s">
        <v>20</v>
      </c>
      <c r="D7362" s="601">
        <v>9.4499999999999993</v>
      </c>
    </row>
    <row r="7363" spans="1:4" ht="40.5">
      <c r="A7363" s="402">
        <v>92778</v>
      </c>
      <c r="B7363" s="403" t="s">
        <v>2964</v>
      </c>
      <c r="C7363" s="402" t="s">
        <v>20</v>
      </c>
      <c r="D7363" s="601">
        <v>8.26</v>
      </c>
    </row>
    <row r="7364" spans="1:4" ht="40.5">
      <c r="A7364" s="402">
        <v>92779</v>
      </c>
      <c r="B7364" s="403" t="s">
        <v>2965</v>
      </c>
      <c r="C7364" s="402" t="s">
        <v>20</v>
      </c>
      <c r="D7364" s="601">
        <v>6.84</v>
      </c>
    </row>
    <row r="7365" spans="1:4" ht="40.5">
      <c r="A7365" s="402">
        <v>92780</v>
      </c>
      <c r="B7365" s="403" t="s">
        <v>2966</v>
      </c>
      <c r="C7365" s="402" t="s">
        <v>20</v>
      </c>
      <c r="D7365" s="601">
        <v>6.3</v>
      </c>
    </row>
    <row r="7366" spans="1:4" ht="40.5">
      <c r="A7366" s="402">
        <v>92781</v>
      </c>
      <c r="B7366" s="403" t="s">
        <v>2967</v>
      </c>
      <c r="C7366" s="402" t="s">
        <v>20</v>
      </c>
      <c r="D7366" s="601">
        <v>6.85</v>
      </c>
    </row>
    <row r="7367" spans="1:4" ht="40.5">
      <c r="A7367" s="402">
        <v>92782</v>
      </c>
      <c r="B7367" s="403" t="s">
        <v>2968</v>
      </c>
      <c r="C7367" s="402" t="s">
        <v>20</v>
      </c>
      <c r="D7367" s="601">
        <v>6.56</v>
      </c>
    </row>
    <row r="7368" spans="1:4" ht="40.5">
      <c r="A7368" s="402">
        <v>92783</v>
      </c>
      <c r="B7368" s="403" t="s">
        <v>2969</v>
      </c>
      <c r="C7368" s="402" t="s">
        <v>20</v>
      </c>
      <c r="D7368" s="601">
        <v>11.5</v>
      </c>
    </row>
    <row r="7369" spans="1:4" ht="40.5">
      <c r="A7369" s="402">
        <v>92784</v>
      </c>
      <c r="B7369" s="403" t="s">
        <v>2970</v>
      </c>
      <c r="C7369" s="402" t="s">
        <v>20</v>
      </c>
      <c r="D7369" s="601">
        <v>10.02</v>
      </c>
    </row>
    <row r="7370" spans="1:4" ht="40.5">
      <c r="A7370" s="402">
        <v>92785</v>
      </c>
      <c r="B7370" s="403" t="s">
        <v>2971</v>
      </c>
      <c r="C7370" s="402" t="s">
        <v>20</v>
      </c>
      <c r="D7370" s="601">
        <v>9.24</v>
      </c>
    </row>
    <row r="7371" spans="1:4" ht="40.5">
      <c r="A7371" s="402">
        <v>92786</v>
      </c>
      <c r="B7371" s="403" t="s">
        <v>2972</v>
      </c>
      <c r="C7371" s="402" t="s">
        <v>20</v>
      </c>
      <c r="D7371" s="601">
        <v>8.5</v>
      </c>
    </row>
    <row r="7372" spans="1:4" ht="40.5">
      <c r="A7372" s="402">
        <v>92787</v>
      </c>
      <c r="B7372" s="403" t="s">
        <v>2973</v>
      </c>
      <c r="C7372" s="402" t="s">
        <v>20</v>
      </c>
      <c r="D7372" s="601">
        <v>7.5</v>
      </c>
    </row>
    <row r="7373" spans="1:4" ht="40.5">
      <c r="A7373" s="402">
        <v>92788</v>
      </c>
      <c r="B7373" s="403" t="s">
        <v>2974</v>
      </c>
      <c r="C7373" s="402" t="s">
        <v>20</v>
      </c>
      <c r="D7373" s="601">
        <v>6.26</v>
      </c>
    </row>
    <row r="7374" spans="1:4" ht="40.5">
      <c r="A7374" s="402">
        <v>92789</v>
      </c>
      <c r="B7374" s="403" t="s">
        <v>2975</v>
      </c>
      <c r="C7374" s="402" t="s">
        <v>20</v>
      </c>
      <c r="D7374" s="601">
        <v>5.89</v>
      </c>
    </row>
    <row r="7375" spans="1:4" ht="40.5">
      <c r="A7375" s="402">
        <v>92790</v>
      </c>
      <c r="B7375" s="403" t="s">
        <v>2976</v>
      </c>
      <c r="C7375" s="402" t="s">
        <v>20</v>
      </c>
      <c r="D7375" s="601">
        <v>6.54</v>
      </c>
    </row>
    <row r="7376" spans="1:4" ht="27">
      <c r="A7376" s="402">
        <v>92791</v>
      </c>
      <c r="B7376" s="403" t="s">
        <v>2977</v>
      </c>
      <c r="C7376" s="402" t="s">
        <v>20</v>
      </c>
      <c r="D7376" s="601">
        <v>6.7</v>
      </c>
    </row>
    <row r="7377" spans="1:4" ht="27">
      <c r="A7377" s="402">
        <v>92792</v>
      </c>
      <c r="B7377" s="403" t="s">
        <v>2978</v>
      </c>
      <c r="C7377" s="402" t="s">
        <v>20</v>
      </c>
      <c r="D7377" s="601">
        <v>6.63</v>
      </c>
    </row>
    <row r="7378" spans="1:4" ht="27">
      <c r="A7378" s="402">
        <v>92793</v>
      </c>
      <c r="B7378" s="403" t="s">
        <v>2979</v>
      </c>
      <c r="C7378" s="402" t="s">
        <v>20</v>
      </c>
      <c r="D7378" s="601">
        <v>6.49</v>
      </c>
    </row>
    <row r="7379" spans="1:4" ht="27">
      <c r="A7379" s="402">
        <v>92794</v>
      </c>
      <c r="B7379" s="403" t="s">
        <v>2980</v>
      </c>
      <c r="C7379" s="402" t="s">
        <v>20</v>
      </c>
      <c r="D7379" s="601">
        <v>5.95</v>
      </c>
    </row>
    <row r="7380" spans="1:4" ht="27">
      <c r="A7380" s="402">
        <v>92795</v>
      </c>
      <c r="B7380" s="403" t="s">
        <v>2981</v>
      </c>
      <c r="C7380" s="402" t="s">
        <v>20</v>
      </c>
      <c r="D7380" s="601">
        <v>5.08</v>
      </c>
    </row>
    <row r="7381" spans="1:4" ht="27">
      <c r="A7381" s="402">
        <v>92796</v>
      </c>
      <c r="B7381" s="403" t="s">
        <v>2982</v>
      </c>
      <c r="C7381" s="402" t="s">
        <v>20</v>
      </c>
      <c r="D7381" s="601">
        <v>5.01</v>
      </c>
    </row>
    <row r="7382" spans="1:4" ht="27">
      <c r="A7382" s="402">
        <v>92797</v>
      </c>
      <c r="B7382" s="403" t="s">
        <v>2983</v>
      </c>
      <c r="C7382" s="402" t="s">
        <v>20</v>
      </c>
      <c r="D7382" s="601">
        <v>5.88</v>
      </c>
    </row>
    <row r="7383" spans="1:4" ht="27">
      <c r="A7383" s="402">
        <v>92798</v>
      </c>
      <c r="B7383" s="403" t="s">
        <v>2984</v>
      </c>
      <c r="C7383" s="402" t="s">
        <v>20</v>
      </c>
      <c r="D7383" s="601">
        <v>5.86</v>
      </c>
    </row>
    <row r="7384" spans="1:4" ht="27">
      <c r="A7384" s="402">
        <v>92799</v>
      </c>
      <c r="B7384" s="403" t="s">
        <v>2985</v>
      </c>
      <c r="C7384" s="402" t="s">
        <v>20</v>
      </c>
      <c r="D7384" s="601">
        <v>7.03</v>
      </c>
    </row>
    <row r="7385" spans="1:4" ht="27">
      <c r="A7385" s="402">
        <v>92800</v>
      </c>
      <c r="B7385" s="403" t="s">
        <v>2986</v>
      </c>
      <c r="C7385" s="402" t="s">
        <v>20</v>
      </c>
      <c r="D7385" s="601">
        <v>6.34</v>
      </c>
    </row>
    <row r="7386" spans="1:4" ht="27">
      <c r="A7386" s="402">
        <v>92801</v>
      </c>
      <c r="B7386" s="403" t="s">
        <v>2987</v>
      </c>
      <c r="C7386" s="402" t="s">
        <v>20</v>
      </c>
      <c r="D7386" s="601">
        <v>6.41</v>
      </c>
    </row>
    <row r="7387" spans="1:4" ht="27">
      <c r="A7387" s="402">
        <v>92802</v>
      </c>
      <c r="B7387" s="403" t="s">
        <v>2988</v>
      </c>
      <c r="C7387" s="402" t="s">
        <v>20</v>
      </c>
      <c r="D7387" s="601">
        <v>6.37</v>
      </c>
    </row>
    <row r="7388" spans="1:4" ht="27">
      <c r="A7388" s="402">
        <v>92803</v>
      </c>
      <c r="B7388" s="403" t="s">
        <v>2989</v>
      </c>
      <c r="C7388" s="402" t="s">
        <v>20</v>
      </c>
      <c r="D7388" s="601">
        <v>5.87</v>
      </c>
    </row>
    <row r="7389" spans="1:4" ht="27">
      <c r="A7389" s="402">
        <v>92804</v>
      </c>
      <c r="B7389" s="403" t="s">
        <v>2990</v>
      </c>
      <c r="C7389" s="402" t="s">
        <v>20</v>
      </c>
      <c r="D7389" s="601">
        <v>5.03</v>
      </c>
    </row>
    <row r="7390" spans="1:4" ht="27">
      <c r="A7390" s="402">
        <v>92805</v>
      </c>
      <c r="B7390" s="403" t="s">
        <v>2991</v>
      </c>
      <c r="C7390" s="402" t="s">
        <v>20</v>
      </c>
      <c r="D7390" s="601">
        <v>4.99</v>
      </c>
    </row>
    <row r="7391" spans="1:4" ht="27">
      <c r="A7391" s="402">
        <v>92806</v>
      </c>
      <c r="B7391" s="403" t="s">
        <v>2992</v>
      </c>
      <c r="C7391" s="402" t="s">
        <v>20</v>
      </c>
      <c r="D7391" s="601">
        <v>5.87</v>
      </c>
    </row>
    <row r="7392" spans="1:4" ht="13.5">
      <c r="A7392" s="402">
        <v>92875</v>
      </c>
      <c r="B7392" s="403" t="s">
        <v>3050</v>
      </c>
      <c r="C7392" s="402" t="s">
        <v>20</v>
      </c>
      <c r="D7392" s="601">
        <v>6.1</v>
      </c>
    </row>
    <row r="7393" spans="1:4" ht="13.5">
      <c r="A7393" s="402">
        <v>92876</v>
      </c>
      <c r="B7393" s="403" t="s">
        <v>3051</v>
      </c>
      <c r="C7393" s="402" t="s">
        <v>20</v>
      </c>
      <c r="D7393" s="601">
        <v>5.91</v>
      </c>
    </row>
    <row r="7394" spans="1:4" ht="13.5">
      <c r="A7394" s="402">
        <v>92877</v>
      </c>
      <c r="B7394" s="403" t="s">
        <v>3052</v>
      </c>
      <c r="C7394" s="402" t="s">
        <v>20</v>
      </c>
      <c r="D7394" s="601">
        <v>6.37</v>
      </c>
    </row>
    <row r="7395" spans="1:4" ht="13.5">
      <c r="A7395" s="402">
        <v>92878</v>
      </c>
      <c r="B7395" s="403" t="s">
        <v>3053</v>
      </c>
      <c r="C7395" s="402" t="s">
        <v>20</v>
      </c>
      <c r="D7395" s="601">
        <v>6.26</v>
      </c>
    </row>
    <row r="7396" spans="1:4" ht="13.5">
      <c r="A7396" s="402">
        <v>92879</v>
      </c>
      <c r="B7396" s="403" t="s">
        <v>3054</v>
      </c>
      <c r="C7396" s="402" t="s">
        <v>20</v>
      </c>
      <c r="D7396" s="601">
        <v>6.19</v>
      </c>
    </row>
    <row r="7397" spans="1:4" ht="13.5">
      <c r="A7397" s="402">
        <v>92880</v>
      </c>
      <c r="B7397" s="403" t="s">
        <v>3055</v>
      </c>
      <c r="C7397" s="402" t="s">
        <v>20</v>
      </c>
      <c r="D7397" s="601">
        <v>6.33</v>
      </c>
    </row>
    <row r="7398" spans="1:4" ht="13.5">
      <c r="A7398" s="402">
        <v>92881</v>
      </c>
      <c r="B7398" s="403" t="s">
        <v>3056</v>
      </c>
      <c r="C7398" s="402" t="s">
        <v>20</v>
      </c>
      <c r="D7398" s="601">
        <v>6.31</v>
      </c>
    </row>
    <row r="7399" spans="1:4" ht="13.5">
      <c r="A7399" s="402">
        <v>92882</v>
      </c>
      <c r="B7399" s="403" t="s">
        <v>3057</v>
      </c>
      <c r="C7399" s="402" t="s">
        <v>20</v>
      </c>
      <c r="D7399" s="601">
        <v>8.44</v>
      </c>
    </row>
    <row r="7400" spans="1:4" ht="13.5">
      <c r="A7400" s="402">
        <v>92883</v>
      </c>
      <c r="B7400" s="403" t="s">
        <v>3058</v>
      </c>
      <c r="C7400" s="402" t="s">
        <v>20</v>
      </c>
      <c r="D7400" s="601">
        <v>7.73</v>
      </c>
    </row>
    <row r="7401" spans="1:4" ht="13.5">
      <c r="A7401" s="402">
        <v>92884</v>
      </c>
      <c r="B7401" s="403" t="s">
        <v>3059</v>
      </c>
      <c r="C7401" s="402" t="s">
        <v>20</v>
      </c>
      <c r="D7401" s="601">
        <v>7.82</v>
      </c>
    </row>
    <row r="7402" spans="1:4" ht="13.5">
      <c r="A7402" s="402">
        <v>92885</v>
      </c>
      <c r="B7402" s="403" t="s">
        <v>3060</v>
      </c>
      <c r="C7402" s="402" t="s">
        <v>20</v>
      </c>
      <c r="D7402" s="601">
        <v>7.4</v>
      </c>
    </row>
    <row r="7403" spans="1:4" ht="13.5">
      <c r="A7403" s="402">
        <v>92886</v>
      </c>
      <c r="B7403" s="403" t="s">
        <v>3061</v>
      </c>
      <c r="C7403" s="402" t="s">
        <v>20</v>
      </c>
      <c r="D7403" s="601">
        <v>7.06</v>
      </c>
    </row>
    <row r="7404" spans="1:4" ht="13.5">
      <c r="A7404" s="402">
        <v>92887</v>
      </c>
      <c r="B7404" s="403" t="s">
        <v>3062</v>
      </c>
      <c r="C7404" s="402" t="s">
        <v>20</v>
      </c>
      <c r="D7404" s="601">
        <v>7.01</v>
      </c>
    </row>
    <row r="7405" spans="1:4" ht="13.5">
      <c r="A7405" s="402">
        <v>92888</v>
      </c>
      <c r="B7405" s="403" t="s">
        <v>3063</v>
      </c>
      <c r="C7405" s="402" t="s">
        <v>20</v>
      </c>
      <c r="D7405" s="601">
        <v>6.84</v>
      </c>
    </row>
    <row r="7406" spans="1:4" ht="27">
      <c r="A7406" s="402">
        <v>92915</v>
      </c>
      <c r="B7406" s="403" t="s">
        <v>4464</v>
      </c>
      <c r="C7406" s="402" t="s">
        <v>20</v>
      </c>
      <c r="D7406" s="601">
        <v>10.66</v>
      </c>
    </row>
    <row r="7407" spans="1:4" ht="27">
      <c r="A7407" s="402">
        <v>92916</v>
      </c>
      <c r="B7407" s="403" t="s">
        <v>4465</v>
      </c>
      <c r="C7407" s="402" t="s">
        <v>20</v>
      </c>
      <c r="D7407" s="601">
        <v>9.73</v>
      </c>
    </row>
    <row r="7408" spans="1:4" ht="27">
      <c r="A7408" s="402">
        <v>92917</v>
      </c>
      <c r="B7408" s="403" t="s">
        <v>4466</v>
      </c>
      <c r="C7408" s="402" t="s">
        <v>20</v>
      </c>
      <c r="D7408" s="601">
        <v>8.89</v>
      </c>
    </row>
    <row r="7409" spans="1:4" ht="27">
      <c r="A7409" s="402">
        <v>92919</v>
      </c>
      <c r="B7409" s="403" t="s">
        <v>4467</v>
      </c>
      <c r="C7409" s="402" t="s">
        <v>20</v>
      </c>
      <c r="D7409" s="601">
        <v>7.83</v>
      </c>
    </row>
    <row r="7410" spans="1:4" ht="27">
      <c r="A7410" s="402">
        <v>92921</v>
      </c>
      <c r="B7410" s="403" t="s">
        <v>4468</v>
      </c>
      <c r="C7410" s="402" t="s">
        <v>20</v>
      </c>
      <c r="D7410" s="601">
        <v>6.53</v>
      </c>
    </row>
    <row r="7411" spans="1:4" ht="27">
      <c r="A7411" s="402">
        <v>92922</v>
      </c>
      <c r="B7411" s="403" t="s">
        <v>4469</v>
      </c>
      <c r="C7411" s="402" t="s">
        <v>20</v>
      </c>
      <c r="D7411" s="601">
        <v>6.09</v>
      </c>
    </row>
    <row r="7412" spans="1:4" ht="27">
      <c r="A7412" s="402">
        <v>92923</v>
      </c>
      <c r="B7412" s="403" t="s">
        <v>4470</v>
      </c>
      <c r="C7412" s="402" t="s">
        <v>20</v>
      </c>
      <c r="D7412" s="601">
        <v>6.7</v>
      </c>
    </row>
    <row r="7413" spans="1:4" ht="27">
      <c r="A7413" s="402">
        <v>92924</v>
      </c>
      <c r="B7413" s="403" t="s">
        <v>4471</v>
      </c>
      <c r="C7413" s="402" t="s">
        <v>20</v>
      </c>
      <c r="D7413" s="601">
        <v>6.48</v>
      </c>
    </row>
    <row r="7414" spans="1:4" ht="27">
      <c r="A7414" s="402">
        <v>95445</v>
      </c>
      <c r="B7414" s="403" t="s">
        <v>3737</v>
      </c>
      <c r="C7414" s="402" t="s">
        <v>20</v>
      </c>
      <c r="D7414" s="601">
        <v>5.37</v>
      </c>
    </row>
    <row r="7415" spans="1:4" ht="27">
      <c r="A7415" s="402">
        <v>95446</v>
      </c>
      <c r="B7415" s="403" t="s">
        <v>3738</v>
      </c>
      <c r="C7415" s="402" t="s">
        <v>20</v>
      </c>
      <c r="D7415" s="601">
        <v>5.79</v>
      </c>
    </row>
    <row r="7416" spans="1:4" ht="27">
      <c r="A7416" s="402">
        <v>95448</v>
      </c>
      <c r="B7416" s="403" t="s">
        <v>12391</v>
      </c>
      <c r="C7416" s="402" t="s">
        <v>20</v>
      </c>
      <c r="D7416" s="601">
        <v>6.45</v>
      </c>
    </row>
    <row r="7417" spans="1:4" ht="27">
      <c r="A7417" s="402">
        <v>95576</v>
      </c>
      <c r="B7417" s="403" t="s">
        <v>4598</v>
      </c>
      <c r="C7417" s="402" t="s">
        <v>20</v>
      </c>
      <c r="D7417" s="601">
        <v>8.42</v>
      </c>
    </row>
    <row r="7418" spans="1:4" ht="27">
      <c r="A7418" s="402">
        <v>95577</v>
      </c>
      <c r="B7418" s="403" t="s">
        <v>3749</v>
      </c>
      <c r="C7418" s="402" t="s">
        <v>20</v>
      </c>
      <c r="D7418" s="601">
        <v>7.56</v>
      </c>
    </row>
    <row r="7419" spans="1:4" ht="27">
      <c r="A7419" s="402">
        <v>95578</v>
      </c>
      <c r="B7419" s="403" t="s">
        <v>4599</v>
      </c>
      <c r="C7419" s="402" t="s">
        <v>20</v>
      </c>
      <c r="D7419" s="601">
        <v>6.43</v>
      </c>
    </row>
    <row r="7420" spans="1:4" ht="27">
      <c r="A7420" s="402">
        <v>95579</v>
      </c>
      <c r="B7420" s="403" t="s">
        <v>3750</v>
      </c>
      <c r="C7420" s="402" t="s">
        <v>20</v>
      </c>
      <c r="D7420" s="601">
        <v>6.11</v>
      </c>
    </row>
    <row r="7421" spans="1:4" ht="27">
      <c r="A7421" s="402">
        <v>95580</v>
      </c>
      <c r="B7421" s="403" t="s">
        <v>3751</v>
      </c>
      <c r="C7421" s="402" t="s">
        <v>20</v>
      </c>
      <c r="D7421" s="601">
        <v>6.83</v>
      </c>
    </row>
    <row r="7422" spans="1:4" ht="27">
      <c r="A7422" s="402">
        <v>95581</v>
      </c>
      <c r="B7422" s="403" t="s">
        <v>3752</v>
      </c>
      <c r="C7422" s="402" t="s">
        <v>20</v>
      </c>
      <c r="D7422" s="601">
        <v>6.68</v>
      </c>
    </row>
    <row r="7423" spans="1:4" ht="27">
      <c r="A7423" s="402">
        <v>95582</v>
      </c>
      <c r="B7423" s="403" t="s">
        <v>12392</v>
      </c>
      <c r="C7423" s="402" t="s">
        <v>20</v>
      </c>
      <c r="D7423" s="601">
        <v>7.16</v>
      </c>
    </row>
    <row r="7424" spans="1:4" ht="27">
      <c r="A7424" s="402">
        <v>95583</v>
      </c>
      <c r="B7424" s="403" t="s">
        <v>3753</v>
      </c>
      <c r="C7424" s="402" t="s">
        <v>20</v>
      </c>
      <c r="D7424" s="601">
        <v>10.99</v>
      </c>
    </row>
    <row r="7425" spans="1:4" ht="27">
      <c r="A7425" s="402">
        <v>95584</v>
      </c>
      <c r="B7425" s="403" t="s">
        <v>3754</v>
      </c>
      <c r="C7425" s="402" t="s">
        <v>20</v>
      </c>
      <c r="D7425" s="601">
        <v>9.39</v>
      </c>
    </row>
    <row r="7426" spans="1:4" ht="27">
      <c r="A7426" s="402">
        <v>95585</v>
      </c>
      <c r="B7426" s="403" t="s">
        <v>4600</v>
      </c>
      <c r="C7426" s="402" t="s">
        <v>20</v>
      </c>
      <c r="D7426" s="601">
        <v>8.77</v>
      </c>
    </row>
    <row r="7427" spans="1:4" ht="27">
      <c r="A7427" s="402">
        <v>95586</v>
      </c>
      <c r="B7427" s="403" t="s">
        <v>3755</v>
      </c>
      <c r="C7427" s="402" t="s">
        <v>20</v>
      </c>
      <c r="D7427" s="601">
        <v>7.82</v>
      </c>
    </row>
    <row r="7428" spans="1:4" ht="27">
      <c r="A7428" s="402">
        <v>95587</v>
      </c>
      <c r="B7428" s="403" t="s">
        <v>4601</v>
      </c>
      <c r="C7428" s="402" t="s">
        <v>20</v>
      </c>
      <c r="D7428" s="601">
        <v>6.66</v>
      </c>
    </row>
    <row r="7429" spans="1:4" ht="27">
      <c r="A7429" s="402">
        <v>95588</v>
      </c>
      <c r="B7429" s="403" t="s">
        <v>3756</v>
      </c>
      <c r="C7429" s="402" t="s">
        <v>20</v>
      </c>
      <c r="D7429" s="601">
        <v>6.29</v>
      </c>
    </row>
    <row r="7430" spans="1:4" ht="27">
      <c r="A7430" s="402">
        <v>95589</v>
      </c>
      <c r="B7430" s="403" t="s">
        <v>3757</v>
      </c>
      <c r="C7430" s="402" t="s">
        <v>20</v>
      </c>
      <c r="D7430" s="601">
        <v>6.97</v>
      </c>
    </row>
    <row r="7431" spans="1:4" ht="27">
      <c r="A7431" s="402">
        <v>95590</v>
      </c>
      <c r="B7431" s="403" t="s">
        <v>3758</v>
      </c>
      <c r="C7431" s="402" t="s">
        <v>20</v>
      </c>
      <c r="D7431" s="601">
        <v>6.79</v>
      </c>
    </row>
    <row r="7432" spans="1:4" ht="27">
      <c r="A7432" s="402">
        <v>95591</v>
      </c>
      <c r="B7432" s="403" t="s">
        <v>12393</v>
      </c>
      <c r="C7432" s="402" t="s">
        <v>20</v>
      </c>
      <c r="D7432" s="601">
        <v>7.23</v>
      </c>
    </row>
    <row r="7433" spans="1:4" ht="27">
      <c r="A7433" s="402">
        <v>95592</v>
      </c>
      <c r="B7433" s="403" t="s">
        <v>3759</v>
      </c>
      <c r="C7433" s="402" t="s">
        <v>20</v>
      </c>
      <c r="D7433" s="601">
        <v>13.39</v>
      </c>
    </row>
    <row r="7434" spans="1:4" ht="27">
      <c r="A7434" s="402">
        <v>95593</v>
      </c>
      <c r="B7434" s="403" t="s">
        <v>3760</v>
      </c>
      <c r="C7434" s="402" t="s">
        <v>20</v>
      </c>
      <c r="D7434" s="601">
        <v>10.88</v>
      </c>
    </row>
    <row r="7435" spans="1:4" ht="27">
      <c r="A7435" s="402">
        <v>95943</v>
      </c>
      <c r="B7435" s="403" t="s">
        <v>3881</v>
      </c>
      <c r="C7435" s="402" t="s">
        <v>20</v>
      </c>
      <c r="D7435" s="601">
        <v>14.07</v>
      </c>
    </row>
    <row r="7436" spans="1:4" ht="27">
      <c r="A7436" s="402">
        <v>95944</v>
      </c>
      <c r="B7436" s="403" t="s">
        <v>3882</v>
      </c>
      <c r="C7436" s="402" t="s">
        <v>20</v>
      </c>
      <c r="D7436" s="601">
        <v>12.74</v>
      </c>
    </row>
    <row r="7437" spans="1:4" ht="27">
      <c r="A7437" s="402">
        <v>95945</v>
      </c>
      <c r="B7437" s="403" t="s">
        <v>3883</v>
      </c>
      <c r="C7437" s="402" t="s">
        <v>20</v>
      </c>
      <c r="D7437" s="601">
        <v>10.25</v>
      </c>
    </row>
    <row r="7438" spans="1:4" ht="27">
      <c r="A7438" s="402">
        <v>95946</v>
      </c>
      <c r="B7438" s="403" t="s">
        <v>3884</v>
      </c>
      <c r="C7438" s="402" t="s">
        <v>20</v>
      </c>
      <c r="D7438" s="601">
        <v>8.1199999999999992</v>
      </c>
    </row>
    <row r="7439" spans="1:4" ht="27">
      <c r="A7439" s="402">
        <v>95947</v>
      </c>
      <c r="B7439" s="403" t="s">
        <v>3885</v>
      </c>
      <c r="C7439" s="402" t="s">
        <v>20</v>
      </c>
      <c r="D7439" s="601">
        <v>6.23</v>
      </c>
    </row>
    <row r="7440" spans="1:4" ht="27">
      <c r="A7440" s="402">
        <v>95948</v>
      </c>
      <c r="B7440" s="403" t="s">
        <v>3886</v>
      </c>
      <c r="C7440" s="402" t="s">
        <v>20</v>
      </c>
      <c r="D7440" s="601">
        <v>5.47</v>
      </c>
    </row>
    <row r="7441" spans="1:4" ht="27">
      <c r="A7441" s="402">
        <v>96544</v>
      </c>
      <c r="B7441" s="403" t="s">
        <v>4010</v>
      </c>
      <c r="C7441" s="402" t="s">
        <v>20</v>
      </c>
      <c r="D7441" s="601">
        <v>10.45</v>
      </c>
    </row>
    <row r="7442" spans="1:4" ht="27">
      <c r="A7442" s="402">
        <v>96545</v>
      </c>
      <c r="B7442" s="403" t="s">
        <v>4011</v>
      </c>
      <c r="C7442" s="402" t="s">
        <v>20</v>
      </c>
      <c r="D7442" s="601">
        <v>9.4700000000000006</v>
      </c>
    </row>
    <row r="7443" spans="1:4" ht="27">
      <c r="A7443" s="402">
        <v>96546</v>
      </c>
      <c r="B7443" s="403" t="s">
        <v>4012</v>
      </c>
      <c r="C7443" s="402" t="s">
        <v>20</v>
      </c>
      <c r="D7443" s="601">
        <v>8.31</v>
      </c>
    </row>
    <row r="7444" spans="1:4" ht="27">
      <c r="A7444" s="402">
        <v>96547</v>
      </c>
      <c r="B7444" s="403" t="s">
        <v>4013</v>
      </c>
      <c r="C7444" s="402" t="s">
        <v>20</v>
      </c>
      <c r="D7444" s="601">
        <v>6.95</v>
      </c>
    </row>
    <row r="7445" spans="1:4" ht="27">
      <c r="A7445" s="402">
        <v>96548</v>
      </c>
      <c r="B7445" s="403" t="s">
        <v>4014</v>
      </c>
      <c r="C7445" s="402" t="s">
        <v>20</v>
      </c>
      <c r="D7445" s="601">
        <v>6.46</v>
      </c>
    </row>
    <row r="7446" spans="1:4" ht="27">
      <c r="A7446" s="402">
        <v>96549</v>
      </c>
      <c r="B7446" s="403" t="s">
        <v>4015</v>
      </c>
      <c r="C7446" s="402" t="s">
        <v>20</v>
      </c>
      <c r="D7446" s="601">
        <v>7.03</v>
      </c>
    </row>
    <row r="7447" spans="1:4" ht="27">
      <c r="A7447" s="402">
        <v>96550</v>
      </c>
      <c r="B7447" s="403" t="s">
        <v>4016</v>
      </c>
      <c r="C7447" s="402" t="s">
        <v>20</v>
      </c>
      <c r="D7447" s="601">
        <v>6.77</v>
      </c>
    </row>
    <row r="7448" spans="1:4" ht="27">
      <c r="A7448" s="402">
        <v>100066</v>
      </c>
      <c r="B7448" s="403" t="s">
        <v>5604</v>
      </c>
      <c r="C7448" s="402" t="s">
        <v>20</v>
      </c>
      <c r="D7448" s="601">
        <v>7.58</v>
      </c>
    </row>
    <row r="7449" spans="1:4" ht="27">
      <c r="A7449" s="402">
        <v>100067</v>
      </c>
      <c r="B7449" s="403" t="s">
        <v>5605</v>
      </c>
      <c r="C7449" s="402" t="s">
        <v>20</v>
      </c>
      <c r="D7449" s="601">
        <v>7.67</v>
      </c>
    </row>
    <row r="7450" spans="1:4" ht="27">
      <c r="A7450" s="402">
        <v>100068</v>
      </c>
      <c r="B7450" s="403" t="s">
        <v>5606</v>
      </c>
      <c r="C7450" s="402" t="s">
        <v>20</v>
      </c>
      <c r="D7450" s="601">
        <v>5.84</v>
      </c>
    </row>
    <row r="7451" spans="1:4" ht="13.5">
      <c r="A7451" s="402">
        <v>89993</v>
      </c>
      <c r="B7451" s="403" t="s">
        <v>465</v>
      </c>
      <c r="C7451" s="402" t="s">
        <v>33</v>
      </c>
      <c r="D7451" s="601">
        <v>605.55999999999995</v>
      </c>
    </row>
    <row r="7452" spans="1:4" ht="27">
      <c r="A7452" s="402">
        <v>89994</v>
      </c>
      <c r="B7452" s="403" t="s">
        <v>2136</v>
      </c>
      <c r="C7452" s="402" t="s">
        <v>33</v>
      </c>
      <c r="D7452" s="601">
        <v>511.5</v>
      </c>
    </row>
    <row r="7453" spans="1:4" ht="27">
      <c r="A7453" s="402">
        <v>89995</v>
      </c>
      <c r="B7453" s="403" t="s">
        <v>2137</v>
      </c>
      <c r="C7453" s="402" t="s">
        <v>33</v>
      </c>
      <c r="D7453" s="601">
        <v>581.51</v>
      </c>
    </row>
    <row r="7454" spans="1:4" ht="27">
      <c r="A7454" s="402">
        <v>90278</v>
      </c>
      <c r="B7454" s="403" t="s">
        <v>2163</v>
      </c>
      <c r="C7454" s="402" t="s">
        <v>33</v>
      </c>
      <c r="D7454" s="601">
        <v>297.35000000000002</v>
      </c>
    </row>
    <row r="7455" spans="1:4" ht="27">
      <c r="A7455" s="402">
        <v>90279</v>
      </c>
      <c r="B7455" s="403" t="s">
        <v>2164</v>
      </c>
      <c r="C7455" s="402" t="s">
        <v>33</v>
      </c>
      <c r="D7455" s="601">
        <v>315.37</v>
      </c>
    </row>
    <row r="7456" spans="1:4" ht="27">
      <c r="A7456" s="402">
        <v>90280</v>
      </c>
      <c r="B7456" s="403" t="s">
        <v>2165</v>
      </c>
      <c r="C7456" s="402" t="s">
        <v>33</v>
      </c>
      <c r="D7456" s="601">
        <v>348.94</v>
      </c>
    </row>
    <row r="7457" spans="1:4" ht="27">
      <c r="A7457" s="402">
        <v>90281</v>
      </c>
      <c r="B7457" s="403" t="s">
        <v>2166</v>
      </c>
      <c r="C7457" s="402" t="s">
        <v>33</v>
      </c>
      <c r="D7457" s="601">
        <v>396.03</v>
      </c>
    </row>
    <row r="7458" spans="1:4" ht="27">
      <c r="A7458" s="402">
        <v>90282</v>
      </c>
      <c r="B7458" s="403" t="s">
        <v>2167</v>
      </c>
      <c r="C7458" s="402" t="s">
        <v>33</v>
      </c>
      <c r="D7458" s="601">
        <v>301.55</v>
      </c>
    </row>
    <row r="7459" spans="1:4" ht="27">
      <c r="A7459" s="402">
        <v>90283</v>
      </c>
      <c r="B7459" s="403" t="s">
        <v>2168</v>
      </c>
      <c r="C7459" s="402" t="s">
        <v>33</v>
      </c>
      <c r="D7459" s="601">
        <v>320.79000000000002</v>
      </c>
    </row>
    <row r="7460" spans="1:4" ht="27">
      <c r="A7460" s="402">
        <v>90284</v>
      </c>
      <c r="B7460" s="403" t="s">
        <v>2169</v>
      </c>
      <c r="C7460" s="402" t="s">
        <v>33</v>
      </c>
      <c r="D7460" s="601">
        <v>355.12</v>
      </c>
    </row>
    <row r="7461" spans="1:4" ht="27">
      <c r="A7461" s="402">
        <v>90285</v>
      </c>
      <c r="B7461" s="403" t="s">
        <v>2170</v>
      </c>
      <c r="C7461" s="402" t="s">
        <v>33</v>
      </c>
      <c r="D7461" s="601">
        <v>404.94</v>
      </c>
    </row>
    <row r="7462" spans="1:4" ht="40.5">
      <c r="A7462" s="402">
        <v>90853</v>
      </c>
      <c r="B7462" s="403" t="s">
        <v>5607</v>
      </c>
      <c r="C7462" s="402" t="s">
        <v>33</v>
      </c>
      <c r="D7462" s="601">
        <v>475.93</v>
      </c>
    </row>
    <row r="7463" spans="1:4" ht="40.5">
      <c r="A7463" s="402">
        <v>90854</v>
      </c>
      <c r="B7463" s="403" t="s">
        <v>5608</v>
      </c>
      <c r="C7463" s="402" t="s">
        <v>33</v>
      </c>
      <c r="D7463" s="601">
        <v>461.7</v>
      </c>
    </row>
    <row r="7464" spans="1:4" ht="40.5">
      <c r="A7464" s="402">
        <v>90855</v>
      </c>
      <c r="B7464" s="403" t="s">
        <v>5609</v>
      </c>
      <c r="C7464" s="402" t="s">
        <v>33</v>
      </c>
      <c r="D7464" s="601">
        <v>502.76</v>
      </c>
    </row>
    <row r="7465" spans="1:4" ht="40.5">
      <c r="A7465" s="402">
        <v>90856</v>
      </c>
      <c r="B7465" s="403" t="s">
        <v>5610</v>
      </c>
      <c r="C7465" s="402" t="s">
        <v>33</v>
      </c>
      <c r="D7465" s="601">
        <v>479.15</v>
      </c>
    </row>
    <row r="7466" spans="1:4" ht="40.5">
      <c r="A7466" s="402">
        <v>90857</v>
      </c>
      <c r="B7466" s="403" t="s">
        <v>5611</v>
      </c>
      <c r="C7466" s="402" t="s">
        <v>33</v>
      </c>
      <c r="D7466" s="601">
        <v>463.84</v>
      </c>
    </row>
    <row r="7467" spans="1:4" ht="40.5">
      <c r="A7467" s="402">
        <v>90858</v>
      </c>
      <c r="B7467" s="403" t="s">
        <v>5612</v>
      </c>
      <c r="C7467" s="402" t="s">
        <v>33</v>
      </c>
      <c r="D7467" s="601">
        <v>517.58000000000004</v>
      </c>
    </row>
    <row r="7468" spans="1:4" ht="40.5">
      <c r="A7468" s="402">
        <v>90859</v>
      </c>
      <c r="B7468" s="403" t="s">
        <v>5613</v>
      </c>
      <c r="C7468" s="402" t="s">
        <v>33</v>
      </c>
      <c r="D7468" s="601">
        <v>454.58</v>
      </c>
    </row>
    <row r="7469" spans="1:4" ht="40.5">
      <c r="A7469" s="402">
        <v>90860</v>
      </c>
      <c r="B7469" s="403" t="s">
        <v>5614</v>
      </c>
      <c r="C7469" s="402" t="s">
        <v>33</v>
      </c>
      <c r="D7469" s="601">
        <v>459.06</v>
      </c>
    </row>
    <row r="7470" spans="1:4" ht="40.5">
      <c r="A7470" s="402">
        <v>90861</v>
      </c>
      <c r="B7470" s="403" t="s">
        <v>5615</v>
      </c>
      <c r="C7470" s="402" t="s">
        <v>33</v>
      </c>
      <c r="D7470" s="601">
        <v>468.23</v>
      </c>
    </row>
    <row r="7471" spans="1:4" ht="40.5">
      <c r="A7471" s="402">
        <v>90862</v>
      </c>
      <c r="B7471" s="403" t="s">
        <v>5616</v>
      </c>
      <c r="C7471" s="402" t="s">
        <v>33</v>
      </c>
      <c r="D7471" s="601">
        <v>427.83</v>
      </c>
    </row>
    <row r="7472" spans="1:4" ht="40.5">
      <c r="A7472" s="402">
        <v>92718</v>
      </c>
      <c r="B7472" s="403" t="s">
        <v>2919</v>
      </c>
      <c r="C7472" s="402" t="s">
        <v>33</v>
      </c>
      <c r="D7472" s="601">
        <v>526.55999999999995</v>
      </c>
    </row>
    <row r="7473" spans="1:4" ht="40.5">
      <c r="A7473" s="402">
        <v>92719</v>
      </c>
      <c r="B7473" s="403" t="s">
        <v>2920</v>
      </c>
      <c r="C7473" s="402" t="s">
        <v>33</v>
      </c>
      <c r="D7473" s="601">
        <v>408.17</v>
      </c>
    </row>
    <row r="7474" spans="1:4" ht="40.5">
      <c r="A7474" s="402">
        <v>92720</v>
      </c>
      <c r="B7474" s="403" t="s">
        <v>2921</v>
      </c>
      <c r="C7474" s="402" t="s">
        <v>33</v>
      </c>
      <c r="D7474" s="601">
        <v>467.98</v>
      </c>
    </row>
    <row r="7475" spans="1:4" ht="40.5">
      <c r="A7475" s="402">
        <v>92721</v>
      </c>
      <c r="B7475" s="403" t="s">
        <v>2922</v>
      </c>
      <c r="C7475" s="402" t="s">
        <v>33</v>
      </c>
      <c r="D7475" s="601">
        <v>400.94</v>
      </c>
    </row>
    <row r="7476" spans="1:4" ht="40.5">
      <c r="A7476" s="402">
        <v>92722</v>
      </c>
      <c r="B7476" s="403" t="s">
        <v>2923</v>
      </c>
      <c r="C7476" s="402" t="s">
        <v>33</v>
      </c>
      <c r="D7476" s="601">
        <v>464.96</v>
      </c>
    </row>
    <row r="7477" spans="1:4" ht="40.5">
      <c r="A7477" s="402">
        <v>92723</v>
      </c>
      <c r="B7477" s="403" t="s">
        <v>2924</v>
      </c>
      <c r="C7477" s="402" t="s">
        <v>33</v>
      </c>
      <c r="D7477" s="601">
        <v>450.46</v>
      </c>
    </row>
    <row r="7478" spans="1:4" ht="40.5">
      <c r="A7478" s="402">
        <v>92724</v>
      </c>
      <c r="B7478" s="403" t="s">
        <v>2925</v>
      </c>
      <c r="C7478" s="402" t="s">
        <v>33</v>
      </c>
      <c r="D7478" s="601">
        <v>447.83</v>
      </c>
    </row>
    <row r="7479" spans="1:4" ht="40.5">
      <c r="A7479" s="402">
        <v>92725</v>
      </c>
      <c r="B7479" s="403" t="s">
        <v>2926</v>
      </c>
      <c r="C7479" s="402" t="s">
        <v>33</v>
      </c>
      <c r="D7479" s="601">
        <v>446.71</v>
      </c>
    </row>
    <row r="7480" spans="1:4" ht="40.5">
      <c r="A7480" s="402">
        <v>92726</v>
      </c>
      <c r="B7480" s="403" t="s">
        <v>2927</v>
      </c>
      <c r="C7480" s="402" t="s">
        <v>33</v>
      </c>
      <c r="D7480" s="601">
        <v>444.85</v>
      </c>
    </row>
    <row r="7481" spans="1:4" ht="54">
      <c r="A7481" s="402">
        <v>92727</v>
      </c>
      <c r="B7481" s="403" t="s">
        <v>2928</v>
      </c>
      <c r="C7481" s="402" t="s">
        <v>33</v>
      </c>
      <c r="D7481" s="601">
        <v>468.93</v>
      </c>
    </row>
    <row r="7482" spans="1:4" ht="54">
      <c r="A7482" s="402">
        <v>92728</v>
      </c>
      <c r="B7482" s="403" t="s">
        <v>2929</v>
      </c>
      <c r="C7482" s="402" t="s">
        <v>33</v>
      </c>
      <c r="D7482" s="601">
        <v>450.02</v>
      </c>
    </row>
    <row r="7483" spans="1:4" ht="54">
      <c r="A7483" s="402">
        <v>92729</v>
      </c>
      <c r="B7483" s="403" t="s">
        <v>5617</v>
      </c>
      <c r="C7483" s="402" t="s">
        <v>33</v>
      </c>
      <c r="D7483" s="601">
        <v>442.02</v>
      </c>
    </row>
    <row r="7484" spans="1:4" ht="54">
      <c r="A7484" s="402">
        <v>92730</v>
      </c>
      <c r="B7484" s="403" t="s">
        <v>2930</v>
      </c>
      <c r="C7484" s="402" t="s">
        <v>33</v>
      </c>
      <c r="D7484" s="601">
        <v>428.68</v>
      </c>
    </row>
    <row r="7485" spans="1:4" ht="54">
      <c r="A7485" s="402">
        <v>92731</v>
      </c>
      <c r="B7485" s="403" t="s">
        <v>2931</v>
      </c>
      <c r="C7485" s="402" t="s">
        <v>33</v>
      </c>
      <c r="D7485" s="601">
        <v>444.19</v>
      </c>
    </row>
    <row r="7486" spans="1:4" ht="54">
      <c r="A7486" s="402">
        <v>92732</v>
      </c>
      <c r="B7486" s="403" t="s">
        <v>2932</v>
      </c>
      <c r="C7486" s="402" t="s">
        <v>33</v>
      </c>
      <c r="D7486" s="601">
        <v>431.21</v>
      </c>
    </row>
    <row r="7487" spans="1:4" ht="54">
      <c r="A7487" s="402">
        <v>92733</v>
      </c>
      <c r="B7487" s="403" t="s">
        <v>2933</v>
      </c>
      <c r="C7487" s="402" t="s">
        <v>33</v>
      </c>
      <c r="D7487" s="601">
        <v>425.69</v>
      </c>
    </row>
    <row r="7488" spans="1:4" ht="54">
      <c r="A7488" s="402">
        <v>92734</v>
      </c>
      <c r="B7488" s="403" t="s">
        <v>2934</v>
      </c>
      <c r="C7488" s="402" t="s">
        <v>33</v>
      </c>
      <c r="D7488" s="601">
        <v>416.56</v>
      </c>
    </row>
    <row r="7489" spans="1:4" ht="54">
      <c r="A7489" s="402">
        <v>92735</v>
      </c>
      <c r="B7489" s="403" t="s">
        <v>2935</v>
      </c>
      <c r="C7489" s="402" t="s">
        <v>33</v>
      </c>
      <c r="D7489" s="601">
        <v>421.48</v>
      </c>
    </row>
    <row r="7490" spans="1:4" ht="54">
      <c r="A7490" s="402">
        <v>92736</v>
      </c>
      <c r="B7490" s="403" t="s">
        <v>2936</v>
      </c>
      <c r="C7490" s="402" t="s">
        <v>33</v>
      </c>
      <c r="D7490" s="601">
        <v>411.65</v>
      </c>
    </row>
    <row r="7491" spans="1:4" ht="54">
      <c r="A7491" s="402">
        <v>92739</v>
      </c>
      <c r="B7491" s="403" t="s">
        <v>2937</v>
      </c>
      <c r="C7491" s="402" t="s">
        <v>33</v>
      </c>
      <c r="D7491" s="601">
        <v>397.4</v>
      </c>
    </row>
    <row r="7492" spans="1:4" ht="54">
      <c r="A7492" s="402">
        <v>92740</v>
      </c>
      <c r="B7492" s="403" t="s">
        <v>2938</v>
      </c>
      <c r="C7492" s="402" t="s">
        <v>33</v>
      </c>
      <c r="D7492" s="601">
        <v>392.53</v>
      </c>
    </row>
    <row r="7493" spans="1:4" ht="40.5">
      <c r="A7493" s="402">
        <v>92741</v>
      </c>
      <c r="B7493" s="403" t="s">
        <v>2939</v>
      </c>
      <c r="C7493" s="402" t="s">
        <v>33</v>
      </c>
      <c r="D7493" s="601">
        <v>572.36</v>
      </c>
    </row>
    <row r="7494" spans="1:4" ht="54">
      <c r="A7494" s="402">
        <v>92742</v>
      </c>
      <c r="B7494" s="403" t="s">
        <v>2940</v>
      </c>
      <c r="C7494" s="402" t="s">
        <v>33</v>
      </c>
      <c r="D7494" s="601">
        <v>761.31</v>
      </c>
    </row>
    <row r="7495" spans="1:4" ht="27">
      <c r="A7495" s="402">
        <v>92873</v>
      </c>
      <c r="B7495" s="403" t="s">
        <v>55</v>
      </c>
      <c r="C7495" s="402" t="s">
        <v>33</v>
      </c>
      <c r="D7495" s="601">
        <v>146.37</v>
      </c>
    </row>
    <row r="7496" spans="1:4" ht="27">
      <c r="A7496" s="402">
        <v>92874</v>
      </c>
      <c r="B7496" s="403" t="s">
        <v>3049</v>
      </c>
      <c r="C7496" s="402" t="s">
        <v>33</v>
      </c>
      <c r="D7496" s="601">
        <v>24.3</v>
      </c>
    </row>
    <row r="7497" spans="1:4" ht="27">
      <c r="A7497" s="402">
        <v>94962</v>
      </c>
      <c r="B7497" s="403" t="s">
        <v>3541</v>
      </c>
      <c r="C7497" s="402" t="s">
        <v>33</v>
      </c>
      <c r="D7497" s="601">
        <v>255.77</v>
      </c>
    </row>
    <row r="7498" spans="1:4" ht="27">
      <c r="A7498" s="402">
        <v>94963</v>
      </c>
      <c r="B7498" s="403" t="s">
        <v>3542</v>
      </c>
      <c r="C7498" s="402" t="s">
        <v>33</v>
      </c>
      <c r="D7498" s="601">
        <v>284.11</v>
      </c>
    </row>
    <row r="7499" spans="1:4" ht="27">
      <c r="A7499" s="402">
        <v>94964</v>
      </c>
      <c r="B7499" s="403" t="s">
        <v>724</v>
      </c>
      <c r="C7499" s="402" t="s">
        <v>33</v>
      </c>
      <c r="D7499" s="601">
        <v>310.81</v>
      </c>
    </row>
    <row r="7500" spans="1:4" ht="27">
      <c r="A7500" s="402">
        <v>94965</v>
      </c>
      <c r="B7500" s="403" t="s">
        <v>3543</v>
      </c>
      <c r="C7500" s="402" t="s">
        <v>33</v>
      </c>
      <c r="D7500" s="601">
        <v>323.58</v>
      </c>
    </row>
    <row r="7501" spans="1:4" ht="27">
      <c r="A7501" s="402">
        <v>94966</v>
      </c>
      <c r="B7501" s="403" t="s">
        <v>3544</v>
      </c>
      <c r="C7501" s="402" t="s">
        <v>33</v>
      </c>
      <c r="D7501" s="601">
        <v>334.91</v>
      </c>
    </row>
    <row r="7502" spans="1:4" ht="27">
      <c r="A7502" s="402">
        <v>94967</v>
      </c>
      <c r="B7502" s="403" t="s">
        <v>3545</v>
      </c>
      <c r="C7502" s="402" t="s">
        <v>33</v>
      </c>
      <c r="D7502" s="601">
        <v>381.84</v>
      </c>
    </row>
    <row r="7503" spans="1:4" ht="27">
      <c r="A7503" s="402">
        <v>94968</v>
      </c>
      <c r="B7503" s="403" t="s">
        <v>3546</v>
      </c>
      <c r="C7503" s="402" t="s">
        <v>33</v>
      </c>
      <c r="D7503" s="601">
        <v>254</v>
      </c>
    </row>
    <row r="7504" spans="1:4" ht="27">
      <c r="A7504" s="402">
        <v>94969</v>
      </c>
      <c r="B7504" s="403" t="s">
        <v>3547</v>
      </c>
      <c r="C7504" s="402" t="s">
        <v>33</v>
      </c>
      <c r="D7504" s="601">
        <v>280.16000000000003</v>
      </c>
    </row>
    <row r="7505" spans="1:4" ht="27">
      <c r="A7505" s="402">
        <v>94970</v>
      </c>
      <c r="B7505" s="403" t="s">
        <v>725</v>
      </c>
      <c r="C7505" s="402" t="s">
        <v>33</v>
      </c>
      <c r="D7505" s="601">
        <v>303.06</v>
      </c>
    </row>
    <row r="7506" spans="1:4" ht="27">
      <c r="A7506" s="402">
        <v>94971</v>
      </c>
      <c r="B7506" s="403" t="s">
        <v>3548</v>
      </c>
      <c r="C7506" s="402" t="s">
        <v>33</v>
      </c>
      <c r="D7506" s="601">
        <v>319.72000000000003</v>
      </c>
    </row>
    <row r="7507" spans="1:4" ht="27">
      <c r="A7507" s="402">
        <v>94972</v>
      </c>
      <c r="B7507" s="403" t="s">
        <v>3549</v>
      </c>
      <c r="C7507" s="402" t="s">
        <v>33</v>
      </c>
      <c r="D7507" s="601">
        <v>330.87</v>
      </c>
    </row>
    <row r="7508" spans="1:4" ht="27">
      <c r="A7508" s="402">
        <v>94973</v>
      </c>
      <c r="B7508" s="403" t="s">
        <v>3550</v>
      </c>
      <c r="C7508" s="402" t="s">
        <v>33</v>
      </c>
      <c r="D7508" s="601">
        <v>376.87</v>
      </c>
    </row>
    <row r="7509" spans="1:4" ht="27">
      <c r="A7509" s="402">
        <v>94974</v>
      </c>
      <c r="B7509" s="403" t="s">
        <v>3551</v>
      </c>
      <c r="C7509" s="402" t="s">
        <v>33</v>
      </c>
      <c r="D7509" s="601">
        <v>351.82</v>
      </c>
    </row>
    <row r="7510" spans="1:4" ht="27">
      <c r="A7510" s="402">
        <v>94975</v>
      </c>
      <c r="B7510" s="403" t="s">
        <v>3552</v>
      </c>
      <c r="C7510" s="402" t="s">
        <v>33</v>
      </c>
      <c r="D7510" s="601">
        <v>378.3</v>
      </c>
    </row>
    <row r="7511" spans="1:4" ht="27">
      <c r="A7511" s="402">
        <v>96555</v>
      </c>
      <c r="B7511" s="403" t="s">
        <v>4017</v>
      </c>
      <c r="C7511" s="402" t="s">
        <v>33</v>
      </c>
      <c r="D7511" s="601">
        <v>458.86</v>
      </c>
    </row>
    <row r="7512" spans="1:4" ht="27">
      <c r="A7512" s="402">
        <v>96556</v>
      </c>
      <c r="B7512" s="403" t="s">
        <v>4018</v>
      </c>
      <c r="C7512" s="402" t="s">
        <v>33</v>
      </c>
      <c r="D7512" s="601">
        <v>516.07000000000005</v>
      </c>
    </row>
    <row r="7513" spans="1:4" ht="27">
      <c r="A7513" s="402">
        <v>96557</v>
      </c>
      <c r="B7513" s="403" t="s">
        <v>4019</v>
      </c>
      <c r="C7513" s="402" t="s">
        <v>33</v>
      </c>
      <c r="D7513" s="601">
        <v>492.56</v>
      </c>
    </row>
    <row r="7514" spans="1:4" ht="27">
      <c r="A7514" s="402">
        <v>96558</v>
      </c>
      <c r="B7514" s="403" t="s">
        <v>4020</v>
      </c>
      <c r="C7514" s="402" t="s">
        <v>33</v>
      </c>
      <c r="D7514" s="601">
        <v>497.76</v>
      </c>
    </row>
    <row r="7515" spans="1:4" ht="40.5">
      <c r="A7515" s="402">
        <v>99235</v>
      </c>
      <c r="B7515" s="403" t="s">
        <v>5618</v>
      </c>
      <c r="C7515" s="402" t="s">
        <v>33</v>
      </c>
      <c r="D7515" s="601">
        <v>442.6</v>
      </c>
    </row>
    <row r="7516" spans="1:4" ht="40.5">
      <c r="A7516" s="402">
        <v>99431</v>
      </c>
      <c r="B7516" s="403" t="s">
        <v>5619</v>
      </c>
      <c r="C7516" s="402" t="s">
        <v>33</v>
      </c>
      <c r="D7516" s="601">
        <v>523.14</v>
      </c>
    </row>
    <row r="7517" spans="1:4" ht="40.5">
      <c r="A7517" s="402">
        <v>99432</v>
      </c>
      <c r="B7517" s="403" t="s">
        <v>5620</v>
      </c>
      <c r="C7517" s="402" t="s">
        <v>33</v>
      </c>
      <c r="D7517" s="601">
        <v>498.12</v>
      </c>
    </row>
    <row r="7518" spans="1:4" ht="40.5">
      <c r="A7518" s="402">
        <v>99433</v>
      </c>
      <c r="B7518" s="403" t="s">
        <v>5621</v>
      </c>
      <c r="C7518" s="402" t="s">
        <v>33</v>
      </c>
      <c r="D7518" s="601">
        <v>551.66999999999996</v>
      </c>
    </row>
    <row r="7519" spans="1:4" ht="40.5">
      <c r="A7519" s="402">
        <v>99434</v>
      </c>
      <c r="B7519" s="403" t="s">
        <v>5622</v>
      </c>
      <c r="C7519" s="402" t="s">
        <v>33</v>
      </c>
      <c r="D7519" s="601">
        <v>526.36</v>
      </c>
    </row>
    <row r="7520" spans="1:4" ht="40.5">
      <c r="A7520" s="402">
        <v>99435</v>
      </c>
      <c r="B7520" s="403" t="s">
        <v>5623</v>
      </c>
      <c r="C7520" s="402" t="s">
        <v>33</v>
      </c>
      <c r="D7520" s="601">
        <v>509.77</v>
      </c>
    </row>
    <row r="7521" spans="1:4" ht="40.5">
      <c r="A7521" s="402">
        <v>99436</v>
      </c>
      <c r="B7521" s="403" t="s">
        <v>5624</v>
      </c>
      <c r="C7521" s="402" t="s">
        <v>33</v>
      </c>
      <c r="D7521" s="601">
        <v>566.49</v>
      </c>
    </row>
    <row r="7522" spans="1:4" ht="40.5">
      <c r="A7522" s="402">
        <v>99437</v>
      </c>
      <c r="B7522" s="403" t="s">
        <v>5625</v>
      </c>
      <c r="C7522" s="402" t="s">
        <v>33</v>
      </c>
      <c r="D7522" s="601">
        <v>470.16</v>
      </c>
    </row>
    <row r="7523" spans="1:4" ht="40.5">
      <c r="A7523" s="402">
        <v>99438</v>
      </c>
      <c r="B7523" s="403" t="s">
        <v>5626</v>
      </c>
      <c r="C7523" s="402" t="s">
        <v>33</v>
      </c>
      <c r="D7523" s="601">
        <v>474.64</v>
      </c>
    </row>
    <row r="7524" spans="1:4" ht="40.5">
      <c r="A7524" s="402">
        <v>99439</v>
      </c>
      <c r="B7524" s="403" t="s">
        <v>5627</v>
      </c>
      <c r="C7524" s="402" t="s">
        <v>33</v>
      </c>
      <c r="D7524" s="601">
        <v>514.59</v>
      </c>
    </row>
    <row r="7525" spans="1:4" ht="27">
      <c r="A7525" s="402" t="s">
        <v>4412</v>
      </c>
      <c r="B7525" s="403" t="s">
        <v>4413</v>
      </c>
      <c r="C7525" s="402" t="s">
        <v>48</v>
      </c>
      <c r="D7525" s="601">
        <v>83.29</v>
      </c>
    </row>
    <row r="7526" spans="1:4" ht="27">
      <c r="A7526" s="402" t="s">
        <v>4414</v>
      </c>
      <c r="B7526" s="403" t="s">
        <v>4415</v>
      </c>
      <c r="C7526" s="402" t="s">
        <v>48</v>
      </c>
      <c r="D7526" s="601">
        <v>91.86</v>
      </c>
    </row>
    <row r="7527" spans="1:4" ht="27">
      <c r="A7527" s="402" t="s">
        <v>4416</v>
      </c>
      <c r="B7527" s="403" t="s">
        <v>4417</v>
      </c>
      <c r="C7527" s="402" t="s">
        <v>48</v>
      </c>
      <c r="D7527" s="601">
        <v>110.43</v>
      </c>
    </row>
    <row r="7528" spans="1:4" ht="27">
      <c r="A7528" s="402" t="s">
        <v>4418</v>
      </c>
      <c r="B7528" s="403" t="s">
        <v>4419</v>
      </c>
      <c r="C7528" s="402" t="s">
        <v>48</v>
      </c>
      <c r="D7528" s="601">
        <v>127.72</v>
      </c>
    </row>
    <row r="7529" spans="1:4" ht="40.5">
      <c r="A7529" s="402" t="s">
        <v>4429</v>
      </c>
      <c r="B7529" s="403" t="s">
        <v>4430</v>
      </c>
      <c r="C7529" s="402" t="s">
        <v>48</v>
      </c>
      <c r="D7529" s="601">
        <v>74.58</v>
      </c>
    </row>
    <row r="7530" spans="1:4" ht="40.5">
      <c r="A7530" s="402" t="s">
        <v>4431</v>
      </c>
      <c r="B7530" s="403" t="s">
        <v>4432</v>
      </c>
      <c r="C7530" s="402" t="s">
        <v>48</v>
      </c>
      <c r="D7530" s="601">
        <v>81.489999999999995</v>
      </c>
    </row>
    <row r="7531" spans="1:4" ht="27">
      <c r="A7531" s="402">
        <v>101165</v>
      </c>
      <c r="B7531" s="403" t="s">
        <v>14327</v>
      </c>
      <c r="C7531" s="402" t="s">
        <v>33</v>
      </c>
      <c r="D7531" s="601">
        <v>579.78</v>
      </c>
    </row>
    <row r="7532" spans="1:4" ht="27">
      <c r="A7532" s="402">
        <v>101166</v>
      </c>
      <c r="B7532" s="403" t="s">
        <v>14328</v>
      </c>
      <c r="C7532" s="402" t="s">
        <v>33</v>
      </c>
      <c r="D7532" s="601">
        <v>446.31</v>
      </c>
    </row>
    <row r="7533" spans="1:4" ht="27">
      <c r="A7533" s="402">
        <v>98576</v>
      </c>
      <c r="B7533" s="403" t="s">
        <v>4842</v>
      </c>
      <c r="C7533" s="402" t="s">
        <v>17</v>
      </c>
      <c r="D7533" s="601">
        <v>15.7</v>
      </c>
    </row>
    <row r="7534" spans="1:4" ht="13.5">
      <c r="A7534" s="402">
        <v>93182</v>
      </c>
      <c r="B7534" s="403" t="s">
        <v>668</v>
      </c>
      <c r="C7534" s="402" t="s">
        <v>17</v>
      </c>
      <c r="D7534" s="601">
        <v>21.77</v>
      </c>
    </row>
    <row r="7535" spans="1:4" ht="13.5">
      <c r="A7535" s="402">
        <v>93183</v>
      </c>
      <c r="B7535" s="403" t="s">
        <v>669</v>
      </c>
      <c r="C7535" s="402" t="s">
        <v>17</v>
      </c>
      <c r="D7535" s="601">
        <v>27.49</v>
      </c>
    </row>
    <row r="7536" spans="1:4" ht="13.5">
      <c r="A7536" s="402">
        <v>93184</v>
      </c>
      <c r="B7536" s="403" t="s">
        <v>670</v>
      </c>
      <c r="C7536" s="402" t="s">
        <v>17</v>
      </c>
      <c r="D7536" s="601">
        <v>16.54</v>
      </c>
    </row>
    <row r="7537" spans="1:4" ht="13.5">
      <c r="A7537" s="402">
        <v>93185</v>
      </c>
      <c r="B7537" s="403" t="s">
        <v>671</v>
      </c>
      <c r="C7537" s="402" t="s">
        <v>17</v>
      </c>
      <c r="D7537" s="601">
        <v>27.05</v>
      </c>
    </row>
    <row r="7538" spans="1:4" ht="27">
      <c r="A7538" s="402">
        <v>93186</v>
      </c>
      <c r="B7538" s="403" t="s">
        <v>3154</v>
      </c>
      <c r="C7538" s="402" t="s">
        <v>17</v>
      </c>
      <c r="D7538" s="601">
        <v>38.76</v>
      </c>
    </row>
    <row r="7539" spans="1:4" ht="27">
      <c r="A7539" s="402">
        <v>93187</v>
      </c>
      <c r="B7539" s="403" t="s">
        <v>3155</v>
      </c>
      <c r="C7539" s="402" t="s">
        <v>17</v>
      </c>
      <c r="D7539" s="601">
        <v>43.91</v>
      </c>
    </row>
    <row r="7540" spans="1:4" ht="27">
      <c r="A7540" s="402">
        <v>93188</v>
      </c>
      <c r="B7540" s="403" t="s">
        <v>3156</v>
      </c>
      <c r="C7540" s="402" t="s">
        <v>17</v>
      </c>
      <c r="D7540" s="601">
        <v>38.29</v>
      </c>
    </row>
    <row r="7541" spans="1:4" ht="27">
      <c r="A7541" s="402">
        <v>93189</v>
      </c>
      <c r="B7541" s="403" t="s">
        <v>3157</v>
      </c>
      <c r="C7541" s="402" t="s">
        <v>17</v>
      </c>
      <c r="D7541" s="601">
        <v>44.54</v>
      </c>
    </row>
    <row r="7542" spans="1:4" ht="27">
      <c r="A7542" s="402">
        <v>93190</v>
      </c>
      <c r="B7542" s="403" t="s">
        <v>3158</v>
      </c>
      <c r="C7542" s="402" t="s">
        <v>17</v>
      </c>
      <c r="D7542" s="601">
        <v>29.85</v>
      </c>
    </row>
    <row r="7543" spans="1:4" ht="27">
      <c r="A7543" s="402">
        <v>93191</v>
      </c>
      <c r="B7543" s="403" t="s">
        <v>3159</v>
      </c>
      <c r="C7543" s="402" t="s">
        <v>17</v>
      </c>
      <c r="D7543" s="601">
        <v>30.65</v>
      </c>
    </row>
    <row r="7544" spans="1:4" ht="27">
      <c r="A7544" s="402">
        <v>93192</v>
      </c>
      <c r="B7544" s="403" t="s">
        <v>3160</v>
      </c>
      <c r="C7544" s="402" t="s">
        <v>17</v>
      </c>
      <c r="D7544" s="601">
        <v>33.729999999999997</v>
      </c>
    </row>
    <row r="7545" spans="1:4" ht="27">
      <c r="A7545" s="402">
        <v>93193</v>
      </c>
      <c r="B7545" s="403" t="s">
        <v>3161</v>
      </c>
      <c r="C7545" s="402" t="s">
        <v>17</v>
      </c>
      <c r="D7545" s="601">
        <v>31.31</v>
      </c>
    </row>
    <row r="7546" spans="1:4" ht="13.5">
      <c r="A7546" s="402">
        <v>93194</v>
      </c>
      <c r="B7546" s="403" t="s">
        <v>3162</v>
      </c>
      <c r="C7546" s="402" t="s">
        <v>17</v>
      </c>
      <c r="D7546" s="601">
        <v>21.46</v>
      </c>
    </row>
    <row r="7547" spans="1:4" ht="27">
      <c r="A7547" s="402">
        <v>93195</v>
      </c>
      <c r="B7547" s="403" t="s">
        <v>3163</v>
      </c>
      <c r="C7547" s="402" t="s">
        <v>17</v>
      </c>
      <c r="D7547" s="601">
        <v>25.4</v>
      </c>
    </row>
    <row r="7548" spans="1:4" ht="27">
      <c r="A7548" s="402">
        <v>93196</v>
      </c>
      <c r="B7548" s="403" t="s">
        <v>3164</v>
      </c>
      <c r="C7548" s="402" t="s">
        <v>17</v>
      </c>
      <c r="D7548" s="601">
        <v>36.81</v>
      </c>
    </row>
    <row r="7549" spans="1:4" ht="27">
      <c r="A7549" s="402">
        <v>93197</v>
      </c>
      <c r="B7549" s="403" t="s">
        <v>672</v>
      </c>
      <c r="C7549" s="402" t="s">
        <v>17</v>
      </c>
      <c r="D7549" s="601">
        <v>40.81</v>
      </c>
    </row>
    <row r="7550" spans="1:4" ht="27">
      <c r="A7550" s="402">
        <v>93198</v>
      </c>
      <c r="B7550" s="403" t="s">
        <v>3165</v>
      </c>
      <c r="C7550" s="402" t="s">
        <v>17</v>
      </c>
      <c r="D7550" s="601">
        <v>26.85</v>
      </c>
    </row>
    <row r="7551" spans="1:4" ht="27">
      <c r="A7551" s="402">
        <v>93199</v>
      </c>
      <c r="B7551" s="403" t="s">
        <v>3166</v>
      </c>
      <c r="C7551" s="402" t="s">
        <v>17</v>
      </c>
      <c r="D7551" s="601">
        <v>26.46</v>
      </c>
    </row>
    <row r="7552" spans="1:4" ht="27">
      <c r="A7552" s="402">
        <v>93200</v>
      </c>
      <c r="B7552" s="403" t="s">
        <v>673</v>
      </c>
      <c r="C7552" s="402" t="s">
        <v>17</v>
      </c>
      <c r="D7552" s="601">
        <v>2</v>
      </c>
    </row>
    <row r="7553" spans="1:4" ht="27">
      <c r="A7553" s="402">
        <v>93201</v>
      </c>
      <c r="B7553" s="403" t="s">
        <v>674</v>
      </c>
      <c r="C7553" s="402" t="s">
        <v>17</v>
      </c>
      <c r="D7553" s="601">
        <v>4.21</v>
      </c>
    </row>
    <row r="7554" spans="1:4" ht="13.5">
      <c r="A7554" s="402">
        <v>93202</v>
      </c>
      <c r="B7554" s="403" t="s">
        <v>3167</v>
      </c>
      <c r="C7554" s="402" t="s">
        <v>17</v>
      </c>
      <c r="D7554" s="601">
        <v>16.61</v>
      </c>
    </row>
    <row r="7555" spans="1:4" ht="27">
      <c r="A7555" s="402">
        <v>93203</v>
      </c>
      <c r="B7555" s="403" t="s">
        <v>4595</v>
      </c>
      <c r="C7555" s="402" t="s">
        <v>17</v>
      </c>
      <c r="D7555" s="601">
        <v>13.05</v>
      </c>
    </row>
    <row r="7556" spans="1:4" ht="13.5">
      <c r="A7556" s="402">
        <v>93204</v>
      </c>
      <c r="B7556" s="403" t="s">
        <v>3168</v>
      </c>
      <c r="C7556" s="402" t="s">
        <v>17</v>
      </c>
      <c r="D7556" s="601">
        <v>29.8</v>
      </c>
    </row>
    <row r="7557" spans="1:4" ht="27">
      <c r="A7557" s="402">
        <v>93205</v>
      </c>
      <c r="B7557" s="403" t="s">
        <v>3169</v>
      </c>
      <c r="C7557" s="402" t="s">
        <v>17</v>
      </c>
      <c r="D7557" s="601">
        <v>23.57</v>
      </c>
    </row>
    <row r="7558" spans="1:4" ht="13.5">
      <c r="A7558" s="402">
        <v>85233</v>
      </c>
      <c r="B7558" s="403" t="s">
        <v>207</v>
      </c>
      <c r="C7558" s="402" t="s">
        <v>33</v>
      </c>
      <c r="D7558" s="601">
        <v>2183.7800000000002</v>
      </c>
    </row>
    <row r="7559" spans="1:4" ht="40.5">
      <c r="A7559" s="402">
        <v>95952</v>
      </c>
      <c r="B7559" s="403" t="s">
        <v>849</v>
      </c>
      <c r="C7559" s="402" t="s">
        <v>33</v>
      </c>
      <c r="D7559" s="601">
        <v>1482.69</v>
      </c>
    </row>
    <row r="7560" spans="1:4" ht="40.5">
      <c r="A7560" s="402">
        <v>95953</v>
      </c>
      <c r="B7560" s="403" t="s">
        <v>3887</v>
      </c>
      <c r="C7560" s="402" t="s">
        <v>33</v>
      </c>
      <c r="D7560" s="601">
        <v>2384.5</v>
      </c>
    </row>
    <row r="7561" spans="1:4" ht="40.5">
      <c r="A7561" s="402">
        <v>95954</v>
      </c>
      <c r="B7561" s="403" t="s">
        <v>850</v>
      </c>
      <c r="C7561" s="402" t="s">
        <v>33</v>
      </c>
      <c r="D7561" s="601">
        <v>1688.16</v>
      </c>
    </row>
    <row r="7562" spans="1:4" ht="40.5">
      <c r="A7562" s="402">
        <v>95955</v>
      </c>
      <c r="B7562" s="403" t="s">
        <v>851</v>
      </c>
      <c r="C7562" s="402" t="s">
        <v>33</v>
      </c>
      <c r="D7562" s="601">
        <v>2081.23</v>
      </c>
    </row>
    <row r="7563" spans="1:4" ht="40.5">
      <c r="A7563" s="402">
        <v>95956</v>
      </c>
      <c r="B7563" s="403" t="s">
        <v>3888</v>
      </c>
      <c r="C7563" s="402" t="s">
        <v>33</v>
      </c>
      <c r="D7563" s="601">
        <v>1621.34</v>
      </c>
    </row>
    <row r="7564" spans="1:4" ht="27">
      <c r="A7564" s="402">
        <v>95957</v>
      </c>
      <c r="B7564" s="403" t="s">
        <v>852</v>
      </c>
      <c r="C7564" s="402" t="s">
        <v>33</v>
      </c>
      <c r="D7564" s="601">
        <v>2078.73</v>
      </c>
    </row>
    <row r="7565" spans="1:4" ht="27">
      <c r="A7565" s="402">
        <v>95969</v>
      </c>
      <c r="B7565" s="403" t="s">
        <v>3890</v>
      </c>
      <c r="C7565" s="402" t="s">
        <v>33</v>
      </c>
      <c r="D7565" s="601">
        <v>2048.87</v>
      </c>
    </row>
    <row r="7566" spans="1:4" ht="27">
      <c r="A7566" s="402">
        <v>97733</v>
      </c>
      <c r="B7566" s="403" t="s">
        <v>4843</v>
      </c>
      <c r="C7566" s="402" t="s">
        <v>33</v>
      </c>
      <c r="D7566" s="601">
        <v>2238.16</v>
      </c>
    </row>
    <row r="7567" spans="1:4" ht="27">
      <c r="A7567" s="402">
        <v>97734</v>
      </c>
      <c r="B7567" s="403" t="s">
        <v>4844</v>
      </c>
      <c r="C7567" s="402" t="s">
        <v>33</v>
      </c>
      <c r="D7567" s="601">
        <v>1951.39</v>
      </c>
    </row>
    <row r="7568" spans="1:4" ht="27">
      <c r="A7568" s="402">
        <v>97735</v>
      </c>
      <c r="B7568" s="403" t="s">
        <v>4845</v>
      </c>
      <c r="C7568" s="402" t="s">
        <v>33</v>
      </c>
      <c r="D7568" s="601">
        <v>1615.86</v>
      </c>
    </row>
    <row r="7569" spans="1:4" ht="27">
      <c r="A7569" s="402">
        <v>97736</v>
      </c>
      <c r="B7569" s="403" t="s">
        <v>4846</v>
      </c>
      <c r="C7569" s="402" t="s">
        <v>33</v>
      </c>
      <c r="D7569" s="601">
        <v>1007</v>
      </c>
    </row>
    <row r="7570" spans="1:4" ht="27">
      <c r="A7570" s="402">
        <v>97737</v>
      </c>
      <c r="B7570" s="403" t="s">
        <v>4847</v>
      </c>
      <c r="C7570" s="402" t="s">
        <v>33</v>
      </c>
      <c r="D7570" s="601">
        <v>2212.2399999999998</v>
      </c>
    </row>
    <row r="7571" spans="1:4" ht="27">
      <c r="A7571" s="402">
        <v>97738</v>
      </c>
      <c r="B7571" s="403" t="s">
        <v>4848</v>
      </c>
      <c r="C7571" s="402" t="s">
        <v>33</v>
      </c>
      <c r="D7571" s="601">
        <v>3053.48</v>
      </c>
    </row>
    <row r="7572" spans="1:4" ht="27">
      <c r="A7572" s="402">
        <v>97739</v>
      </c>
      <c r="B7572" s="403" t="s">
        <v>4849</v>
      </c>
      <c r="C7572" s="402" t="s">
        <v>33</v>
      </c>
      <c r="D7572" s="601">
        <v>1857.16</v>
      </c>
    </row>
    <row r="7573" spans="1:4" ht="27">
      <c r="A7573" s="402">
        <v>97740</v>
      </c>
      <c r="B7573" s="403" t="s">
        <v>4850</v>
      </c>
      <c r="C7573" s="402" t="s">
        <v>33</v>
      </c>
      <c r="D7573" s="601">
        <v>1341.67</v>
      </c>
    </row>
    <row r="7574" spans="1:4" ht="27">
      <c r="A7574" s="402">
        <v>98615</v>
      </c>
      <c r="B7574" s="403" t="s">
        <v>4851</v>
      </c>
      <c r="C7574" s="402" t="s">
        <v>48</v>
      </c>
      <c r="D7574" s="601">
        <v>89.11</v>
      </c>
    </row>
    <row r="7575" spans="1:4" ht="27">
      <c r="A7575" s="402">
        <v>98616</v>
      </c>
      <c r="B7575" s="403" t="s">
        <v>4852</v>
      </c>
      <c r="C7575" s="402" t="s">
        <v>48</v>
      </c>
      <c r="D7575" s="601">
        <v>72.23</v>
      </c>
    </row>
    <row r="7576" spans="1:4" ht="27">
      <c r="A7576" s="402">
        <v>98617</v>
      </c>
      <c r="B7576" s="403" t="s">
        <v>4853</v>
      </c>
      <c r="C7576" s="402" t="s">
        <v>48</v>
      </c>
      <c r="D7576" s="601">
        <v>67.52</v>
      </c>
    </row>
    <row r="7577" spans="1:4" ht="27">
      <c r="A7577" s="402">
        <v>98618</v>
      </c>
      <c r="B7577" s="403" t="s">
        <v>4854</v>
      </c>
      <c r="C7577" s="402" t="s">
        <v>48</v>
      </c>
      <c r="D7577" s="601">
        <v>92.29</v>
      </c>
    </row>
    <row r="7578" spans="1:4" ht="27">
      <c r="A7578" s="402">
        <v>98619</v>
      </c>
      <c r="B7578" s="403" t="s">
        <v>4855</v>
      </c>
      <c r="C7578" s="402" t="s">
        <v>48</v>
      </c>
      <c r="D7578" s="601">
        <v>85.13</v>
      </c>
    </row>
    <row r="7579" spans="1:4" ht="27">
      <c r="A7579" s="402">
        <v>98620</v>
      </c>
      <c r="B7579" s="403" t="s">
        <v>4856</v>
      </c>
      <c r="C7579" s="402" t="s">
        <v>48</v>
      </c>
      <c r="D7579" s="601">
        <v>81.53</v>
      </c>
    </row>
    <row r="7580" spans="1:4" ht="27">
      <c r="A7580" s="402">
        <v>98621</v>
      </c>
      <c r="B7580" s="403" t="s">
        <v>4857</v>
      </c>
      <c r="C7580" s="402" t="s">
        <v>48</v>
      </c>
      <c r="D7580" s="601">
        <v>106.08</v>
      </c>
    </row>
    <row r="7581" spans="1:4" ht="27">
      <c r="A7581" s="402">
        <v>98622</v>
      </c>
      <c r="B7581" s="403" t="s">
        <v>4858</v>
      </c>
      <c r="C7581" s="402" t="s">
        <v>48</v>
      </c>
      <c r="D7581" s="601">
        <v>100.31</v>
      </c>
    </row>
    <row r="7582" spans="1:4" ht="27">
      <c r="A7582" s="402">
        <v>98623</v>
      </c>
      <c r="B7582" s="403" t="s">
        <v>4859</v>
      </c>
      <c r="C7582" s="402" t="s">
        <v>48</v>
      </c>
      <c r="D7582" s="601">
        <v>97.38</v>
      </c>
    </row>
    <row r="7583" spans="1:4" ht="27">
      <c r="A7583" s="402">
        <v>98624</v>
      </c>
      <c r="B7583" s="403" t="s">
        <v>4860</v>
      </c>
      <c r="C7583" s="402" t="s">
        <v>48</v>
      </c>
      <c r="D7583" s="601">
        <v>120.87</v>
      </c>
    </row>
    <row r="7584" spans="1:4" ht="27">
      <c r="A7584" s="402">
        <v>98625</v>
      </c>
      <c r="B7584" s="403" t="s">
        <v>4861</v>
      </c>
      <c r="C7584" s="402" t="s">
        <v>48</v>
      </c>
      <c r="D7584" s="601">
        <v>115.98</v>
      </c>
    </row>
    <row r="7585" spans="1:4" ht="27">
      <c r="A7585" s="402">
        <v>98626</v>
      </c>
      <c r="B7585" s="403" t="s">
        <v>4862</v>
      </c>
      <c r="C7585" s="402" t="s">
        <v>48</v>
      </c>
      <c r="D7585" s="601">
        <v>113.46</v>
      </c>
    </row>
    <row r="7586" spans="1:4" ht="27">
      <c r="A7586" s="402">
        <v>98655</v>
      </c>
      <c r="B7586" s="403" t="s">
        <v>4863</v>
      </c>
      <c r="C7586" s="402" t="s">
        <v>17</v>
      </c>
      <c r="D7586" s="601">
        <v>402.85</v>
      </c>
    </row>
    <row r="7587" spans="1:4" ht="27">
      <c r="A7587" s="402">
        <v>98656</v>
      </c>
      <c r="B7587" s="403" t="s">
        <v>4864</v>
      </c>
      <c r="C7587" s="402" t="s">
        <v>17</v>
      </c>
      <c r="D7587" s="601">
        <v>408.51</v>
      </c>
    </row>
    <row r="7588" spans="1:4" ht="27">
      <c r="A7588" s="402">
        <v>98657</v>
      </c>
      <c r="B7588" s="403" t="s">
        <v>4865</v>
      </c>
      <c r="C7588" s="402" t="s">
        <v>17</v>
      </c>
      <c r="D7588" s="601">
        <v>414.16</v>
      </c>
    </row>
    <row r="7589" spans="1:4" ht="27">
      <c r="A7589" s="402">
        <v>98658</v>
      </c>
      <c r="B7589" s="403" t="s">
        <v>4866</v>
      </c>
      <c r="C7589" s="402" t="s">
        <v>17</v>
      </c>
      <c r="D7589" s="601">
        <v>419.81</v>
      </c>
    </row>
    <row r="7590" spans="1:4" ht="27">
      <c r="A7590" s="402">
        <v>98659</v>
      </c>
      <c r="B7590" s="403" t="s">
        <v>4867</v>
      </c>
      <c r="C7590" s="402" t="s">
        <v>17</v>
      </c>
      <c r="D7590" s="601">
        <v>431.12</v>
      </c>
    </row>
    <row r="7591" spans="1:4" ht="27">
      <c r="A7591" s="402">
        <v>98746</v>
      </c>
      <c r="B7591" s="403" t="s">
        <v>5109</v>
      </c>
      <c r="C7591" s="402" t="s">
        <v>17</v>
      </c>
      <c r="D7591" s="601">
        <v>35.76</v>
      </c>
    </row>
    <row r="7592" spans="1:4" ht="27">
      <c r="A7592" s="402">
        <v>98749</v>
      </c>
      <c r="B7592" s="403" t="s">
        <v>5110</v>
      </c>
      <c r="C7592" s="402" t="s">
        <v>17</v>
      </c>
      <c r="D7592" s="601">
        <v>40.770000000000003</v>
      </c>
    </row>
    <row r="7593" spans="1:4" ht="27">
      <c r="A7593" s="402">
        <v>98750</v>
      </c>
      <c r="B7593" s="403" t="s">
        <v>5111</v>
      </c>
      <c r="C7593" s="402" t="s">
        <v>17</v>
      </c>
      <c r="D7593" s="601">
        <v>46.65</v>
      </c>
    </row>
    <row r="7594" spans="1:4" ht="27">
      <c r="A7594" s="402">
        <v>98751</v>
      </c>
      <c r="B7594" s="403" t="s">
        <v>5112</v>
      </c>
      <c r="C7594" s="402" t="s">
        <v>17</v>
      </c>
      <c r="D7594" s="601">
        <v>61.91</v>
      </c>
    </row>
    <row r="7595" spans="1:4" ht="27">
      <c r="A7595" s="402">
        <v>98752</v>
      </c>
      <c r="B7595" s="403" t="s">
        <v>5113</v>
      </c>
      <c r="C7595" s="402" t="s">
        <v>17</v>
      </c>
      <c r="D7595" s="601">
        <v>80.010000000000005</v>
      </c>
    </row>
    <row r="7596" spans="1:4" ht="27">
      <c r="A7596" s="402">
        <v>98753</v>
      </c>
      <c r="B7596" s="403" t="s">
        <v>5114</v>
      </c>
      <c r="C7596" s="402" t="s">
        <v>17</v>
      </c>
      <c r="D7596" s="601">
        <v>102.28</v>
      </c>
    </row>
    <row r="7597" spans="1:4" ht="40.5">
      <c r="A7597" s="402">
        <v>100763</v>
      </c>
      <c r="B7597" s="403" t="s">
        <v>6757</v>
      </c>
      <c r="C7597" s="402" t="s">
        <v>20</v>
      </c>
      <c r="D7597" s="601">
        <v>9.1999999999999993</v>
      </c>
    </row>
    <row r="7598" spans="1:4" ht="40.5">
      <c r="A7598" s="402">
        <v>100764</v>
      </c>
      <c r="B7598" s="403" t="s">
        <v>6758</v>
      </c>
      <c r="C7598" s="402" t="s">
        <v>20</v>
      </c>
      <c r="D7598" s="601">
        <v>9.15</v>
      </c>
    </row>
    <row r="7599" spans="1:4" ht="40.5">
      <c r="A7599" s="402">
        <v>100765</v>
      </c>
      <c r="B7599" s="403" t="s">
        <v>6759</v>
      </c>
      <c r="C7599" s="402" t="s">
        <v>20</v>
      </c>
      <c r="D7599" s="601">
        <v>8.4</v>
      </c>
    </row>
    <row r="7600" spans="1:4" ht="40.5">
      <c r="A7600" s="402">
        <v>100766</v>
      </c>
      <c r="B7600" s="403" t="s">
        <v>6760</v>
      </c>
      <c r="C7600" s="402" t="s">
        <v>20</v>
      </c>
      <c r="D7600" s="601">
        <v>8.61</v>
      </c>
    </row>
    <row r="7601" spans="1:4" ht="54">
      <c r="A7601" s="402">
        <v>100767</v>
      </c>
      <c r="B7601" s="403" t="s">
        <v>6761</v>
      </c>
      <c r="C7601" s="402" t="s">
        <v>20</v>
      </c>
      <c r="D7601" s="601">
        <v>8.9</v>
      </c>
    </row>
    <row r="7602" spans="1:4" ht="40.5">
      <c r="A7602" s="402">
        <v>100768</v>
      </c>
      <c r="B7602" s="403" t="s">
        <v>6762</v>
      </c>
      <c r="C7602" s="402" t="s">
        <v>20</v>
      </c>
      <c r="D7602" s="601">
        <v>11.54</v>
      </c>
    </row>
    <row r="7603" spans="1:4" ht="54">
      <c r="A7603" s="402">
        <v>100769</v>
      </c>
      <c r="B7603" s="403" t="s">
        <v>6763</v>
      </c>
      <c r="C7603" s="402" t="s">
        <v>20</v>
      </c>
      <c r="D7603" s="601">
        <v>13.9</v>
      </c>
    </row>
    <row r="7604" spans="1:4" ht="40.5">
      <c r="A7604" s="402">
        <v>100770</v>
      </c>
      <c r="B7604" s="403" t="s">
        <v>6764</v>
      </c>
      <c r="C7604" s="402" t="s">
        <v>20</v>
      </c>
      <c r="D7604" s="601">
        <v>13.63</v>
      </c>
    </row>
    <row r="7605" spans="1:4" ht="54">
      <c r="A7605" s="402">
        <v>100771</v>
      </c>
      <c r="B7605" s="403" t="s">
        <v>6765</v>
      </c>
      <c r="C7605" s="402" t="s">
        <v>20</v>
      </c>
      <c r="D7605" s="601">
        <v>15.47</v>
      </c>
    </row>
    <row r="7606" spans="1:4" ht="40.5">
      <c r="A7606" s="402">
        <v>100772</v>
      </c>
      <c r="B7606" s="403" t="s">
        <v>6766</v>
      </c>
      <c r="C7606" s="402" t="s">
        <v>20</v>
      </c>
      <c r="D7606" s="601">
        <v>9.08</v>
      </c>
    </row>
    <row r="7607" spans="1:4" ht="40.5">
      <c r="A7607" s="402">
        <v>100773</v>
      </c>
      <c r="B7607" s="403" t="s">
        <v>6767</v>
      </c>
      <c r="C7607" s="402" t="s">
        <v>20</v>
      </c>
      <c r="D7607" s="601">
        <v>12.4</v>
      </c>
    </row>
    <row r="7608" spans="1:4" ht="40.5">
      <c r="A7608" s="402">
        <v>100774</v>
      </c>
      <c r="B7608" s="403" t="s">
        <v>6768</v>
      </c>
      <c r="C7608" s="402" t="s">
        <v>20</v>
      </c>
      <c r="D7608" s="601">
        <v>6.54</v>
      </c>
    </row>
    <row r="7609" spans="1:4" ht="40.5">
      <c r="A7609" s="402">
        <v>100775</v>
      </c>
      <c r="B7609" s="403" t="s">
        <v>6769</v>
      </c>
      <c r="C7609" s="402" t="s">
        <v>20</v>
      </c>
      <c r="D7609" s="601">
        <v>7.89</v>
      </c>
    </row>
    <row r="7610" spans="1:4" ht="40.5">
      <c r="A7610" s="402">
        <v>100776</v>
      </c>
      <c r="B7610" s="403" t="s">
        <v>6770</v>
      </c>
      <c r="C7610" s="402" t="s">
        <v>20</v>
      </c>
      <c r="D7610" s="601">
        <v>12.46</v>
      </c>
    </row>
    <row r="7611" spans="1:4" ht="40.5">
      <c r="A7611" s="402">
        <v>100777</v>
      </c>
      <c r="B7611" s="403" t="s">
        <v>6771</v>
      </c>
      <c r="C7611" s="402" t="s">
        <v>20</v>
      </c>
      <c r="D7611" s="601">
        <v>8.59</v>
      </c>
    </row>
    <row r="7612" spans="1:4" ht="40.5">
      <c r="A7612" s="402">
        <v>100778</v>
      </c>
      <c r="B7612" s="403" t="s">
        <v>6772</v>
      </c>
      <c r="C7612" s="402" t="s">
        <v>20</v>
      </c>
      <c r="D7612" s="601">
        <v>5.4</v>
      </c>
    </row>
    <row r="7613" spans="1:4" ht="27">
      <c r="A7613" s="402">
        <v>98560</v>
      </c>
      <c r="B7613" s="403" t="s">
        <v>4868</v>
      </c>
      <c r="C7613" s="402" t="s">
        <v>48</v>
      </c>
      <c r="D7613" s="601">
        <v>32.04</v>
      </c>
    </row>
    <row r="7614" spans="1:4" ht="27">
      <c r="A7614" s="402">
        <v>98561</v>
      </c>
      <c r="B7614" s="403" t="s">
        <v>4869</v>
      </c>
      <c r="C7614" s="402" t="s">
        <v>48</v>
      </c>
      <c r="D7614" s="601">
        <v>28.46</v>
      </c>
    </row>
    <row r="7615" spans="1:4" ht="27">
      <c r="A7615" s="402">
        <v>98562</v>
      </c>
      <c r="B7615" s="403" t="s">
        <v>4870</v>
      </c>
      <c r="C7615" s="402" t="s">
        <v>48</v>
      </c>
      <c r="D7615" s="601">
        <v>28.38</v>
      </c>
    </row>
    <row r="7616" spans="1:4" ht="27">
      <c r="A7616" s="402">
        <v>98555</v>
      </c>
      <c r="B7616" s="403" t="s">
        <v>5628</v>
      </c>
      <c r="C7616" s="402" t="s">
        <v>48</v>
      </c>
      <c r="D7616" s="601">
        <v>19.09</v>
      </c>
    </row>
    <row r="7617" spans="1:4" ht="27">
      <c r="A7617" s="402">
        <v>98556</v>
      </c>
      <c r="B7617" s="403" t="s">
        <v>5629</v>
      </c>
      <c r="C7617" s="402" t="s">
        <v>48</v>
      </c>
      <c r="D7617" s="601">
        <v>35.65</v>
      </c>
    </row>
    <row r="7618" spans="1:4" ht="27">
      <c r="A7618" s="402">
        <v>98558</v>
      </c>
      <c r="B7618" s="403" t="s">
        <v>5630</v>
      </c>
      <c r="C7618" s="402" t="s">
        <v>35</v>
      </c>
      <c r="D7618" s="601">
        <v>5.46</v>
      </c>
    </row>
    <row r="7619" spans="1:4" ht="13.5">
      <c r="A7619" s="402">
        <v>98559</v>
      </c>
      <c r="B7619" s="403" t="s">
        <v>4871</v>
      </c>
      <c r="C7619" s="402" t="s">
        <v>17</v>
      </c>
      <c r="D7619" s="601">
        <v>3.22</v>
      </c>
    </row>
    <row r="7620" spans="1:4" ht="27">
      <c r="A7620" s="402">
        <v>98546</v>
      </c>
      <c r="B7620" s="403" t="s">
        <v>4872</v>
      </c>
      <c r="C7620" s="402" t="s">
        <v>48</v>
      </c>
      <c r="D7620" s="601">
        <v>74.349999999999994</v>
      </c>
    </row>
    <row r="7621" spans="1:4" ht="27">
      <c r="A7621" s="402">
        <v>98547</v>
      </c>
      <c r="B7621" s="403" t="s">
        <v>4873</v>
      </c>
      <c r="C7621" s="402" t="s">
        <v>48</v>
      </c>
      <c r="D7621" s="601">
        <v>137.08000000000001</v>
      </c>
    </row>
    <row r="7622" spans="1:4" ht="27">
      <c r="A7622" s="402">
        <v>98553</v>
      </c>
      <c r="B7622" s="403" t="s">
        <v>12951</v>
      </c>
      <c r="C7622" s="402" t="s">
        <v>48</v>
      </c>
      <c r="D7622" s="601">
        <v>94.29</v>
      </c>
    </row>
    <row r="7623" spans="1:4" ht="27">
      <c r="A7623" s="402">
        <v>98554</v>
      </c>
      <c r="B7623" s="403" t="s">
        <v>12952</v>
      </c>
      <c r="C7623" s="402" t="s">
        <v>48</v>
      </c>
      <c r="D7623" s="601">
        <v>32.17</v>
      </c>
    </row>
    <row r="7624" spans="1:4" ht="13.5">
      <c r="A7624" s="402">
        <v>98557</v>
      </c>
      <c r="B7624" s="403" t="s">
        <v>4874</v>
      </c>
      <c r="C7624" s="402" t="s">
        <v>48</v>
      </c>
      <c r="D7624" s="601">
        <v>23.61</v>
      </c>
    </row>
    <row r="7625" spans="1:4" ht="27">
      <c r="A7625" s="402">
        <v>98563</v>
      </c>
      <c r="B7625" s="403" t="s">
        <v>4875</v>
      </c>
      <c r="C7625" s="402" t="s">
        <v>48</v>
      </c>
      <c r="D7625" s="601">
        <v>23.19</v>
      </c>
    </row>
    <row r="7626" spans="1:4" ht="27">
      <c r="A7626" s="402">
        <v>98564</v>
      </c>
      <c r="B7626" s="403" t="s">
        <v>4876</v>
      </c>
      <c r="C7626" s="402" t="s">
        <v>48</v>
      </c>
      <c r="D7626" s="601">
        <v>32.17</v>
      </c>
    </row>
    <row r="7627" spans="1:4" ht="27">
      <c r="A7627" s="402">
        <v>98565</v>
      </c>
      <c r="B7627" s="403" t="s">
        <v>4877</v>
      </c>
      <c r="C7627" s="402" t="s">
        <v>48</v>
      </c>
      <c r="D7627" s="601">
        <v>33.35</v>
      </c>
    </row>
    <row r="7628" spans="1:4" ht="27">
      <c r="A7628" s="402">
        <v>98566</v>
      </c>
      <c r="B7628" s="403" t="s">
        <v>4878</v>
      </c>
      <c r="C7628" s="402" t="s">
        <v>48</v>
      </c>
      <c r="D7628" s="601">
        <v>42.32</v>
      </c>
    </row>
    <row r="7629" spans="1:4" ht="27">
      <c r="A7629" s="402">
        <v>98567</v>
      </c>
      <c r="B7629" s="403" t="s">
        <v>4879</v>
      </c>
      <c r="C7629" s="402" t="s">
        <v>48</v>
      </c>
      <c r="D7629" s="601">
        <v>43.01</v>
      </c>
    </row>
    <row r="7630" spans="1:4" ht="27">
      <c r="A7630" s="402">
        <v>98568</v>
      </c>
      <c r="B7630" s="403" t="s">
        <v>4880</v>
      </c>
      <c r="C7630" s="402" t="s">
        <v>48</v>
      </c>
      <c r="D7630" s="601">
        <v>51.98</v>
      </c>
    </row>
    <row r="7631" spans="1:4" ht="27">
      <c r="A7631" s="402">
        <v>98569</v>
      </c>
      <c r="B7631" s="403" t="s">
        <v>4881</v>
      </c>
      <c r="C7631" s="402" t="s">
        <v>48</v>
      </c>
      <c r="D7631" s="601">
        <v>53.17</v>
      </c>
    </row>
    <row r="7632" spans="1:4" ht="27">
      <c r="A7632" s="402">
        <v>98570</v>
      </c>
      <c r="B7632" s="403" t="s">
        <v>4882</v>
      </c>
      <c r="C7632" s="402" t="s">
        <v>48</v>
      </c>
      <c r="D7632" s="601">
        <v>62.16</v>
      </c>
    </row>
    <row r="7633" spans="1:4" ht="27">
      <c r="A7633" s="402">
        <v>98571</v>
      </c>
      <c r="B7633" s="403" t="s">
        <v>4883</v>
      </c>
      <c r="C7633" s="402" t="s">
        <v>48</v>
      </c>
      <c r="D7633" s="601">
        <v>29.35</v>
      </c>
    </row>
    <row r="7634" spans="1:4" ht="27">
      <c r="A7634" s="402">
        <v>98572</v>
      </c>
      <c r="B7634" s="403" t="s">
        <v>4884</v>
      </c>
      <c r="C7634" s="402" t="s">
        <v>48</v>
      </c>
      <c r="D7634" s="601">
        <v>36.159999999999997</v>
      </c>
    </row>
    <row r="7635" spans="1:4" ht="27">
      <c r="A7635" s="402">
        <v>98573</v>
      </c>
      <c r="B7635" s="403" t="s">
        <v>4885</v>
      </c>
      <c r="C7635" s="402" t="s">
        <v>48</v>
      </c>
      <c r="D7635" s="601">
        <v>44.87</v>
      </c>
    </row>
    <row r="7636" spans="1:4" ht="27">
      <c r="A7636" s="402">
        <v>91831</v>
      </c>
      <c r="B7636" s="403" t="s">
        <v>2480</v>
      </c>
      <c r="C7636" s="402" t="s">
        <v>17</v>
      </c>
      <c r="D7636" s="601">
        <v>5.4</v>
      </c>
    </row>
    <row r="7637" spans="1:4" ht="40.5">
      <c r="A7637" s="402">
        <v>91833</v>
      </c>
      <c r="B7637" s="403" t="s">
        <v>5631</v>
      </c>
      <c r="C7637" s="402" t="s">
        <v>17</v>
      </c>
      <c r="D7637" s="601">
        <v>5.71</v>
      </c>
    </row>
    <row r="7638" spans="1:4" ht="27">
      <c r="A7638" s="402">
        <v>91834</v>
      </c>
      <c r="B7638" s="403" t="s">
        <v>2481</v>
      </c>
      <c r="C7638" s="402" t="s">
        <v>17</v>
      </c>
      <c r="D7638" s="601">
        <v>6</v>
      </c>
    </row>
    <row r="7639" spans="1:4" ht="40.5">
      <c r="A7639" s="402">
        <v>91835</v>
      </c>
      <c r="B7639" s="403" t="s">
        <v>5632</v>
      </c>
      <c r="C7639" s="402" t="s">
        <v>17</v>
      </c>
      <c r="D7639" s="601">
        <v>6.81</v>
      </c>
    </row>
    <row r="7640" spans="1:4" ht="27">
      <c r="A7640" s="402">
        <v>91836</v>
      </c>
      <c r="B7640" s="403" t="s">
        <v>2482</v>
      </c>
      <c r="C7640" s="402" t="s">
        <v>17</v>
      </c>
      <c r="D7640" s="601">
        <v>7.74</v>
      </c>
    </row>
    <row r="7641" spans="1:4" ht="27">
      <c r="A7641" s="402">
        <v>91837</v>
      </c>
      <c r="B7641" s="403" t="s">
        <v>5633</v>
      </c>
      <c r="C7641" s="402" t="s">
        <v>17</v>
      </c>
      <c r="D7641" s="601">
        <v>9.61</v>
      </c>
    </row>
    <row r="7642" spans="1:4" ht="27">
      <c r="A7642" s="402">
        <v>91839</v>
      </c>
      <c r="B7642" s="403" t="s">
        <v>5634</v>
      </c>
      <c r="C7642" s="402" t="s">
        <v>17</v>
      </c>
      <c r="D7642" s="601">
        <v>7.43</v>
      </c>
    </row>
    <row r="7643" spans="1:4" ht="27">
      <c r="A7643" s="402">
        <v>91840</v>
      </c>
      <c r="B7643" s="403" t="s">
        <v>5635</v>
      </c>
      <c r="C7643" s="402" t="s">
        <v>17</v>
      </c>
      <c r="D7643" s="601">
        <v>9.36</v>
      </c>
    </row>
    <row r="7644" spans="1:4" ht="27">
      <c r="A7644" s="402">
        <v>91841</v>
      </c>
      <c r="B7644" s="403" t="s">
        <v>5636</v>
      </c>
      <c r="C7644" s="402" t="s">
        <v>17</v>
      </c>
      <c r="D7644" s="601">
        <v>8.83</v>
      </c>
    </row>
    <row r="7645" spans="1:4" ht="27">
      <c r="A7645" s="402">
        <v>91842</v>
      </c>
      <c r="B7645" s="403" t="s">
        <v>2483</v>
      </c>
      <c r="C7645" s="402" t="s">
        <v>17</v>
      </c>
      <c r="D7645" s="601">
        <v>3.77</v>
      </c>
    </row>
    <row r="7646" spans="1:4" ht="40.5">
      <c r="A7646" s="402">
        <v>91843</v>
      </c>
      <c r="B7646" s="403" t="s">
        <v>5637</v>
      </c>
      <c r="C7646" s="402" t="s">
        <v>17</v>
      </c>
      <c r="D7646" s="601">
        <v>4.08</v>
      </c>
    </row>
    <row r="7647" spans="1:4" ht="27">
      <c r="A7647" s="402">
        <v>91844</v>
      </c>
      <c r="B7647" s="403" t="s">
        <v>2484</v>
      </c>
      <c r="C7647" s="402" t="s">
        <v>17</v>
      </c>
      <c r="D7647" s="601">
        <v>4.3600000000000003</v>
      </c>
    </row>
    <row r="7648" spans="1:4" ht="40.5">
      <c r="A7648" s="402">
        <v>91845</v>
      </c>
      <c r="B7648" s="403" t="s">
        <v>5638</v>
      </c>
      <c r="C7648" s="402" t="s">
        <v>17</v>
      </c>
      <c r="D7648" s="601">
        <v>5.17</v>
      </c>
    </row>
    <row r="7649" spans="1:4" ht="27">
      <c r="A7649" s="402">
        <v>91846</v>
      </c>
      <c r="B7649" s="403" t="s">
        <v>2485</v>
      </c>
      <c r="C7649" s="402" t="s">
        <v>17</v>
      </c>
      <c r="D7649" s="601">
        <v>6.11</v>
      </c>
    </row>
    <row r="7650" spans="1:4" ht="27">
      <c r="A7650" s="402">
        <v>91847</v>
      </c>
      <c r="B7650" s="403" t="s">
        <v>5639</v>
      </c>
      <c r="C7650" s="402" t="s">
        <v>17</v>
      </c>
      <c r="D7650" s="601">
        <v>7.98</v>
      </c>
    </row>
    <row r="7651" spans="1:4" ht="27">
      <c r="A7651" s="402">
        <v>91849</v>
      </c>
      <c r="B7651" s="403" t="s">
        <v>5640</v>
      </c>
      <c r="C7651" s="402" t="s">
        <v>17</v>
      </c>
      <c r="D7651" s="601">
        <v>5.8</v>
      </c>
    </row>
    <row r="7652" spans="1:4" ht="27">
      <c r="A7652" s="402">
        <v>91850</v>
      </c>
      <c r="B7652" s="403" t="s">
        <v>5641</v>
      </c>
      <c r="C7652" s="402" t="s">
        <v>17</v>
      </c>
      <c r="D7652" s="601">
        <v>7.77</v>
      </c>
    </row>
    <row r="7653" spans="1:4" ht="27">
      <c r="A7653" s="402">
        <v>91851</v>
      </c>
      <c r="B7653" s="403" t="s">
        <v>5642</v>
      </c>
      <c r="C7653" s="402" t="s">
        <v>17</v>
      </c>
      <c r="D7653" s="601">
        <v>7.24</v>
      </c>
    </row>
    <row r="7654" spans="1:4" ht="27">
      <c r="A7654" s="402">
        <v>91852</v>
      </c>
      <c r="B7654" s="403" t="s">
        <v>2486</v>
      </c>
      <c r="C7654" s="402" t="s">
        <v>17</v>
      </c>
      <c r="D7654" s="601">
        <v>5.51</v>
      </c>
    </row>
    <row r="7655" spans="1:4" ht="40.5">
      <c r="A7655" s="402">
        <v>91853</v>
      </c>
      <c r="B7655" s="403" t="s">
        <v>5643</v>
      </c>
      <c r="C7655" s="402" t="s">
        <v>17</v>
      </c>
      <c r="D7655" s="601">
        <v>5.79</v>
      </c>
    </row>
    <row r="7656" spans="1:4" ht="27">
      <c r="A7656" s="402">
        <v>91854</v>
      </c>
      <c r="B7656" s="403" t="s">
        <v>2487</v>
      </c>
      <c r="C7656" s="402" t="s">
        <v>17</v>
      </c>
      <c r="D7656" s="601">
        <v>6.1</v>
      </c>
    </row>
    <row r="7657" spans="1:4" ht="40.5">
      <c r="A7657" s="402">
        <v>91855</v>
      </c>
      <c r="B7657" s="403" t="s">
        <v>5644</v>
      </c>
      <c r="C7657" s="402" t="s">
        <v>17</v>
      </c>
      <c r="D7657" s="601">
        <v>6.84</v>
      </c>
    </row>
    <row r="7658" spans="1:4" ht="27">
      <c r="A7658" s="402">
        <v>91856</v>
      </c>
      <c r="B7658" s="403" t="s">
        <v>2488</v>
      </c>
      <c r="C7658" s="402" t="s">
        <v>17</v>
      </c>
      <c r="D7658" s="601">
        <v>7.77</v>
      </c>
    </row>
    <row r="7659" spans="1:4" ht="27">
      <c r="A7659" s="402">
        <v>91857</v>
      </c>
      <c r="B7659" s="403" t="s">
        <v>5645</v>
      </c>
      <c r="C7659" s="402" t="s">
        <v>17</v>
      </c>
      <c r="D7659" s="601">
        <v>9.49</v>
      </c>
    </row>
    <row r="7660" spans="1:4" ht="27">
      <c r="A7660" s="402">
        <v>91859</v>
      </c>
      <c r="B7660" s="403" t="s">
        <v>5646</v>
      </c>
      <c r="C7660" s="402" t="s">
        <v>17</v>
      </c>
      <c r="D7660" s="601">
        <v>7.48</v>
      </c>
    </row>
    <row r="7661" spans="1:4" ht="27">
      <c r="A7661" s="402">
        <v>91860</v>
      </c>
      <c r="B7661" s="403" t="s">
        <v>5647</v>
      </c>
      <c r="C7661" s="402" t="s">
        <v>17</v>
      </c>
      <c r="D7661" s="601">
        <v>9.35</v>
      </c>
    </row>
    <row r="7662" spans="1:4" ht="27">
      <c r="A7662" s="402">
        <v>91861</v>
      </c>
      <c r="B7662" s="403" t="s">
        <v>5648</v>
      </c>
      <c r="C7662" s="402" t="s">
        <v>17</v>
      </c>
      <c r="D7662" s="601">
        <v>8.86</v>
      </c>
    </row>
    <row r="7663" spans="1:4" ht="27">
      <c r="A7663" s="402">
        <v>91862</v>
      </c>
      <c r="B7663" s="403" t="s">
        <v>2489</v>
      </c>
      <c r="C7663" s="402" t="s">
        <v>17</v>
      </c>
      <c r="D7663" s="601">
        <v>6.48</v>
      </c>
    </row>
    <row r="7664" spans="1:4" ht="27">
      <c r="A7664" s="402">
        <v>91863</v>
      </c>
      <c r="B7664" s="403" t="s">
        <v>2490</v>
      </c>
      <c r="C7664" s="402" t="s">
        <v>17</v>
      </c>
      <c r="D7664" s="601">
        <v>7.56</v>
      </c>
    </row>
    <row r="7665" spans="1:4" ht="27">
      <c r="A7665" s="402">
        <v>91864</v>
      </c>
      <c r="B7665" s="403" t="s">
        <v>2491</v>
      </c>
      <c r="C7665" s="402" t="s">
        <v>17</v>
      </c>
      <c r="D7665" s="601">
        <v>9.85</v>
      </c>
    </row>
    <row r="7666" spans="1:4" ht="27">
      <c r="A7666" s="402">
        <v>91865</v>
      </c>
      <c r="B7666" s="403" t="s">
        <v>2492</v>
      </c>
      <c r="C7666" s="402" t="s">
        <v>17</v>
      </c>
      <c r="D7666" s="601">
        <v>12.17</v>
      </c>
    </row>
    <row r="7667" spans="1:4" ht="27">
      <c r="A7667" s="402">
        <v>91866</v>
      </c>
      <c r="B7667" s="403" t="s">
        <v>2493</v>
      </c>
      <c r="C7667" s="402" t="s">
        <v>17</v>
      </c>
      <c r="D7667" s="601">
        <v>4.9400000000000004</v>
      </c>
    </row>
    <row r="7668" spans="1:4" ht="27">
      <c r="A7668" s="402">
        <v>91867</v>
      </c>
      <c r="B7668" s="403" t="s">
        <v>2494</v>
      </c>
      <c r="C7668" s="402" t="s">
        <v>17</v>
      </c>
      <c r="D7668" s="601">
        <v>6.03</v>
      </c>
    </row>
    <row r="7669" spans="1:4" ht="27">
      <c r="A7669" s="402">
        <v>91868</v>
      </c>
      <c r="B7669" s="403" t="s">
        <v>2495</v>
      </c>
      <c r="C7669" s="402" t="s">
        <v>17</v>
      </c>
      <c r="D7669" s="601">
        <v>8.32</v>
      </c>
    </row>
    <row r="7670" spans="1:4" ht="27">
      <c r="A7670" s="402">
        <v>91869</v>
      </c>
      <c r="B7670" s="403" t="s">
        <v>2496</v>
      </c>
      <c r="C7670" s="402" t="s">
        <v>17</v>
      </c>
      <c r="D7670" s="601">
        <v>10.64</v>
      </c>
    </row>
    <row r="7671" spans="1:4" ht="27">
      <c r="A7671" s="402">
        <v>91870</v>
      </c>
      <c r="B7671" s="403" t="s">
        <v>2497</v>
      </c>
      <c r="C7671" s="402" t="s">
        <v>17</v>
      </c>
      <c r="D7671" s="601">
        <v>7.11</v>
      </c>
    </row>
    <row r="7672" spans="1:4" ht="27">
      <c r="A7672" s="402">
        <v>91871</v>
      </c>
      <c r="B7672" s="403" t="s">
        <v>2498</v>
      </c>
      <c r="C7672" s="402" t="s">
        <v>17</v>
      </c>
      <c r="D7672" s="601">
        <v>8.23</v>
      </c>
    </row>
    <row r="7673" spans="1:4" ht="27">
      <c r="A7673" s="402">
        <v>91872</v>
      </c>
      <c r="B7673" s="403" t="s">
        <v>2499</v>
      </c>
      <c r="C7673" s="402" t="s">
        <v>17</v>
      </c>
      <c r="D7673" s="601">
        <v>10.53</v>
      </c>
    </row>
    <row r="7674" spans="1:4" ht="27">
      <c r="A7674" s="402">
        <v>91873</v>
      </c>
      <c r="B7674" s="403" t="s">
        <v>2500</v>
      </c>
      <c r="C7674" s="402" t="s">
        <v>17</v>
      </c>
      <c r="D7674" s="601">
        <v>12.8</v>
      </c>
    </row>
    <row r="7675" spans="1:4" ht="27">
      <c r="A7675" s="402">
        <v>93008</v>
      </c>
      <c r="B7675" s="403" t="s">
        <v>3127</v>
      </c>
      <c r="C7675" s="402" t="s">
        <v>17</v>
      </c>
      <c r="D7675" s="601">
        <v>10.28</v>
      </c>
    </row>
    <row r="7676" spans="1:4" ht="27">
      <c r="A7676" s="402">
        <v>93009</v>
      </c>
      <c r="B7676" s="403" t="s">
        <v>3128</v>
      </c>
      <c r="C7676" s="402" t="s">
        <v>17</v>
      </c>
      <c r="D7676" s="601">
        <v>15.05</v>
      </c>
    </row>
    <row r="7677" spans="1:4" ht="27">
      <c r="A7677" s="402">
        <v>93010</v>
      </c>
      <c r="B7677" s="403" t="s">
        <v>3129</v>
      </c>
      <c r="C7677" s="402" t="s">
        <v>17</v>
      </c>
      <c r="D7677" s="601">
        <v>20.85</v>
      </c>
    </row>
    <row r="7678" spans="1:4" ht="27">
      <c r="A7678" s="402">
        <v>93011</v>
      </c>
      <c r="B7678" s="403" t="s">
        <v>3130</v>
      </c>
      <c r="C7678" s="402" t="s">
        <v>17</v>
      </c>
      <c r="D7678" s="601">
        <v>25.44</v>
      </c>
    </row>
    <row r="7679" spans="1:4" ht="27">
      <c r="A7679" s="402">
        <v>93012</v>
      </c>
      <c r="B7679" s="403" t="s">
        <v>3131</v>
      </c>
      <c r="C7679" s="402" t="s">
        <v>17</v>
      </c>
      <c r="D7679" s="601">
        <v>38.24</v>
      </c>
    </row>
    <row r="7680" spans="1:4" ht="27">
      <c r="A7680" s="402">
        <v>95726</v>
      </c>
      <c r="B7680" s="403" t="s">
        <v>3817</v>
      </c>
      <c r="C7680" s="402" t="s">
        <v>17</v>
      </c>
      <c r="D7680" s="601">
        <v>4.49</v>
      </c>
    </row>
    <row r="7681" spans="1:4" ht="27">
      <c r="A7681" s="402">
        <v>95727</v>
      </c>
      <c r="B7681" s="403" t="s">
        <v>3818</v>
      </c>
      <c r="C7681" s="402" t="s">
        <v>17</v>
      </c>
      <c r="D7681" s="601">
        <v>5.09</v>
      </c>
    </row>
    <row r="7682" spans="1:4" ht="27">
      <c r="A7682" s="402">
        <v>95728</v>
      </c>
      <c r="B7682" s="403" t="s">
        <v>3819</v>
      </c>
      <c r="C7682" s="402" t="s">
        <v>17</v>
      </c>
      <c r="D7682" s="601">
        <v>6.35</v>
      </c>
    </row>
    <row r="7683" spans="1:4" ht="27">
      <c r="A7683" s="402">
        <v>95729</v>
      </c>
      <c r="B7683" s="403" t="s">
        <v>3820</v>
      </c>
      <c r="C7683" s="402" t="s">
        <v>17</v>
      </c>
      <c r="D7683" s="601">
        <v>5.89</v>
      </c>
    </row>
    <row r="7684" spans="1:4" ht="27">
      <c r="A7684" s="402">
        <v>95730</v>
      </c>
      <c r="B7684" s="403" t="s">
        <v>3821</v>
      </c>
      <c r="C7684" s="402" t="s">
        <v>17</v>
      </c>
      <c r="D7684" s="601">
        <v>6.5</v>
      </c>
    </row>
    <row r="7685" spans="1:4" ht="27">
      <c r="A7685" s="402">
        <v>95731</v>
      </c>
      <c r="B7685" s="403" t="s">
        <v>3822</v>
      </c>
      <c r="C7685" s="402" t="s">
        <v>17</v>
      </c>
      <c r="D7685" s="601">
        <v>7.75</v>
      </c>
    </row>
    <row r="7686" spans="1:4" ht="27">
      <c r="A7686" s="402">
        <v>95732</v>
      </c>
      <c r="B7686" s="403" t="s">
        <v>3823</v>
      </c>
      <c r="C7686" s="402" t="s">
        <v>35</v>
      </c>
      <c r="D7686" s="601">
        <v>3.27</v>
      </c>
    </row>
    <row r="7687" spans="1:4" ht="27">
      <c r="A7687" s="402">
        <v>95745</v>
      </c>
      <c r="B7687" s="403" t="s">
        <v>3829</v>
      </c>
      <c r="C7687" s="402" t="s">
        <v>17</v>
      </c>
      <c r="D7687" s="601">
        <v>16.32</v>
      </c>
    </row>
    <row r="7688" spans="1:4" ht="27">
      <c r="A7688" s="402">
        <v>95746</v>
      </c>
      <c r="B7688" s="403" t="s">
        <v>3830</v>
      </c>
      <c r="C7688" s="402" t="s">
        <v>17</v>
      </c>
      <c r="D7688" s="601">
        <v>20.28</v>
      </c>
    </row>
    <row r="7689" spans="1:4" ht="27">
      <c r="A7689" s="402">
        <v>95747</v>
      </c>
      <c r="B7689" s="403" t="s">
        <v>3831</v>
      </c>
      <c r="C7689" s="402" t="s">
        <v>17</v>
      </c>
      <c r="D7689" s="601">
        <v>33.86</v>
      </c>
    </row>
    <row r="7690" spans="1:4" ht="27">
      <c r="A7690" s="402">
        <v>95748</v>
      </c>
      <c r="B7690" s="403" t="s">
        <v>842</v>
      </c>
      <c r="C7690" s="402" t="s">
        <v>17</v>
      </c>
      <c r="D7690" s="601">
        <v>36.409999999999997</v>
      </c>
    </row>
    <row r="7691" spans="1:4" ht="27">
      <c r="A7691" s="402">
        <v>95749</v>
      </c>
      <c r="B7691" s="403" t="s">
        <v>3832</v>
      </c>
      <c r="C7691" s="402" t="s">
        <v>17</v>
      </c>
      <c r="D7691" s="601">
        <v>20.85</v>
      </c>
    </row>
    <row r="7692" spans="1:4" ht="27">
      <c r="A7692" s="402">
        <v>95750</v>
      </c>
      <c r="B7692" s="403" t="s">
        <v>3833</v>
      </c>
      <c r="C7692" s="402" t="s">
        <v>17</v>
      </c>
      <c r="D7692" s="601">
        <v>24.71</v>
      </c>
    </row>
    <row r="7693" spans="1:4" ht="27">
      <c r="A7693" s="402">
        <v>95751</v>
      </c>
      <c r="B7693" s="403" t="s">
        <v>3834</v>
      </c>
      <c r="C7693" s="402" t="s">
        <v>17</v>
      </c>
      <c r="D7693" s="601">
        <v>38.14</v>
      </c>
    </row>
    <row r="7694" spans="1:4" ht="27">
      <c r="A7694" s="402">
        <v>95752</v>
      </c>
      <c r="B7694" s="403" t="s">
        <v>3835</v>
      </c>
      <c r="C7694" s="402" t="s">
        <v>17</v>
      </c>
      <c r="D7694" s="601">
        <v>40.549999999999997</v>
      </c>
    </row>
    <row r="7695" spans="1:4" ht="27">
      <c r="A7695" s="402">
        <v>97667</v>
      </c>
      <c r="B7695" s="403" t="s">
        <v>5649</v>
      </c>
      <c r="C7695" s="402" t="s">
        <v>17</v>
      </c>
      <c r="D7695" s="601">
        <v>6</v>
      </c>
    </row>
    <row r="7696" spans="1:4" ht="27">
      <c r="A7696" s="402">
        <v>97668</v>
      </c>
      <c r="B7696" s="403" t="s">
        <v>5650</v>
      </c>
      <c r="C7696" s="402" t="s">
        <v>17</v>
      </c>
      <c r="D7696" s="601">
        <v>9.15</v>
      </c>
    </row>
    <row r="7697" spans="1:4" ht="27">
      <c r="A7697" s="402">
        <v>97669</v>
      </c>
      <c r="B7697" s="403" t="s">
        <v>5651</v>
      </c>
      <c r="C7697" s="402" t="s">
        <v>17</v>
      </c>
      <c r="D7697" s="601">
        <v>14.43</v>
      </c>
    </row>
    <row r="7698" spans="1:4" ht="27">
      <c r="A7698" s="402">
        <v>97670</v>
      </c>
      <c r="B7698" s="403" t="s">
        <v>5652</v>
      </c>
      <c r="C7698" s="402" t="s">
        <v>17</v>
      </c>
      <c r="D7698" s="601">
        <v>18.690000000000001</v>
      </c>
    </row>
    <row r="7699" spans="1:4" ht="27">
      <c r="A7699" s="402">
        <v>91874</v>
      </c>
      <c r="B7699" s="403" t="s">
        <v>2501</v>
      </c>
      <c r="C7699" s="402" t="s">
        <v>35</v>
      </c>
      <c r="D7699" s="601">
        <v>3.27</v>
      </c>
    </row>
    <row r="7700" spans="1:4" ht="27">
      <c r="A7700" s="402">
        <v>91875</v>
      </c>
      <c r="B7700" s="403" t="s">
        <v>2502</v>
      </c>
      <c r="C7700" s="402" t="s">
        <v>35</v>
      </c>
      <c r="D7700" s="601">
        <v>4.33</v>
      </c>
    </row>
    <row r="7701" spans="1:4" ht="27">
      <c r="A7701" s="402">
        <v>91876</v>
      </c>
      <c r="B7701" s="403" t="s">
        <v>2503</v>
      </c>
      <c r="C7701" s="402" t="s">
        <v>35</v>
      </c>
      <c r="D7701" s="601">
        <v>5.71</v>
      </c>
    </row>
    <row r="7702" spans="1:4" ht="27">
      <c r="A7702" s="402">
        <v>91877</v>
      </c>
      <c r="B7702" s="403" t="s">
        <v>577</v>
      </c>
      <c r="C7702" s="402" t="s">
        <v>35</v>
      </c>
      <c r="D7702" s="601">
        <v>7.58</v>
      </c>
    </row>
    <row r="7703" spans="1:4" ht="27">
      <c r="A7703" s="402">
        <v>91878</v>
      </c>
      <c r="B7703" s="403" t="s">
        <v>2504</v>
      </c>
      <c r="C7703" s="402" t="s">
        <v>35</v>
      </c>
      <c r="D7703" s="601">
        <v>4.22</v>
      </c>
    </row>
    <row r="7704" spans="1:4" ht="27">
      <c r="A7704" s="402">
        <v>91879</v>
      </c>
      <c r="B7704" s="403" t="s">
        <v>2505</v>
      </c>
      <c r="C7704" s="402" t="s">
        <v>35</v>
      </c>
      <c r="D7704" s="601">
        <v>5.25</v>
      </c>
    </row>
    <row r="7705" spans="1:4" ht="27">
      <c r="A7705" s="402">
        <v>91880</v>
      </c>
      <c r="B7705" s="403" t="s">
        <v>2506</v>
      </c>
      <c r="C7705" s="402" t="s">
        <v>35</v>
      </c>
      <c r="D7705" s="601">
        <v>6.65</v>
      </c>
    </row>
    <row r="7706" spans="1:4" ht="27">
      <c r="A7706" s="402">
        <v>91881</v>
      </c>
      <c r="B7706" s="403" t="s">
        <v>578</v>
      </c>
      <c r="C7706" s="402" t="s">
        <v>35</v>
      </c>
      <c r="D7706" s="601">
        <v>8.52</v>
      </c>
    </row>
    <row r="7707" spans="1:4" ht="27">
      <c r="A7707" s="402">
        <v>91882</v>
      </c>
      <c r="B7707" s="403" t="s">
        <v>2507</v>
      </c>
      <c r="C7707" s="402" t="s">
        <v>35</v>
      </c>
      <c r="D7707" s="601">
        <v>5.23</v>
      </c>
    </row>
    <row r="7708" spans="1:4" ht="27">
      <c r="A7708" s="402">
        <v>91884</v>
      </c>
      <c r="B7708" s="403" t="s">
        <v>2508</v>
      </c>
      <c r="C7708" s="402" t="s">
        <v>35</v>
      </c>
      <c r="D7708" s="601">
        <v>6.03</v>
      </c>
    </row>
    <row r="7709" spans="1:4" ht="27">
      <c r="A7709" s="402">
        <v>91885</v>
      </c>
      <c r="B7709" s="403" t="s">
        <v>2509</v>
      </c>
      <c r="C7709" s="402" t="s">
        <v>35</v>
      </c>
      <c r="D7709" s="601">
        <v>7.11</v>
      </c>
    </row>
    <row r="7710" spans="1:4" ht="27">
      <c r="A7710" s="402">
        <v>91886</v>
      </c>
      <c r="B7710" s="403" t="s">
        <v>2510</v>
      </c>
      <c r="C7710" s="402" t="s">
        <v>35</v>
      </c>
      <c r="D7710" s="601">
        <v>8.6300000000000008</v>
      </c>
    </row>
    <row r="7711" spans="1:4" ht="40.5">
      <c r="A7711" s="402">
        <v>91887</v>
      </c>
      <c r="B7711" s="403" t="s">
        <v>2511</v>
      </c>
      <c r="C7711" s="402" t="s">
        <v>35</v>
      </c>
      <c r="D7711" s="601">
        <v>6</v>
      </c>
    </row>
    <row r="7712" spans="1:4" ht="40.5">
      <c r="A7712" s="402">
        <v>91889</v>
      </c>
      <c r="B7712" s="403" t="s">
        <v>2512</v>
      </c>
      <c r="C7712" s="402" t="s">
        <v>35</v>
      </c>
      <c r="D7712" s="601">
        <v>5.79</v>
      </c>
    </row>
    <row r="7713" spans="1:4" ht="40.5">
      <c r="A7713" s="402">
        <v>91890</v>
      </c>
      <c r="B7713" s="403" t="s">
        <v>2513</v>
      </c>
      <c r="C7713" s="402" t="s">
        <v>35</v>
      </c>
      <c r="D7713" s="601">
        <v>7.17</v>
      </c>
    </row>
    <row r="7714" spans="1:4" ht="40.5">
      <c r="A7714" s="402">
        <v>91892</v>
      </c>
      <c r="B7714" s="403" t="s">
        <v>2514</v>
      </c>
      <c r="C7714" s="402" t="s">
        <v>35</v>
      </c>
      <c r="D7714" s="601">
        <v>8.56</v>
      </c>
    </row>
    <row r="7715" spans="1:4" ht="27">
      <c r="A7715" s="402">
        <v>91893</v>
      </c>
      <c r="B7715" s="403" t="s">
        <v>2515</v>
      </c>
      <c r="C7715" s="402" t="s">
        <v>35</v>
      </c>
      <c r="D7715" s="601">
        <v>9.77</v>
      </c>
    </row>
    <row r="7716" spans="1:4" ht="40.5">
      <c r="A7716" s="402">
        <v>91895</v>
      </c>
      <c r="B7716" s="403" t="s">
        <v>5653</v>
      </c>
      <c r="C7716" s="402" t="s">
        <v>35</v>
      </c>
      <c r="D7716" s="601">
        <v>11.19</v>
      </c>
    </row>
    <row r="7717" spans="1:4" ht="40.5">
      <c r="A7717" s="402">
        <v>91896</v>
      </c>
      <c r="B7717" s="403" t="s">
        <v>579</v>
      </c>
      <c r="C7717" s="402" t="s">
        <v>35</v>
      </c>
      <c r="D7717" s="601">
        <v>11.95</v>
      </c>
    </row>
    <row r="7718" spans="1:4" ht="40.5">
      <c r="A7718" s="402">
        <v>91898</v>
      </c>
      <c r="B7718" s="403" t="s">
        <v>2516</v>
      </c>
      <c r="C7718" s="402" t="s">
        <v>35</v>
      </c>
      <c r="D7718" s="601">
        <v>13.47</v>
      </c>
    </row>
    <row r="7719" spans="1:4" ht="40.5">
      <c r="A7719" s="402">
        <v>91899</v>
      </c>
      <c r="B7719" s="403" t="s">
        <v>2517</v>
      </c>
      <c r="C7719" s="402" t="s">
        <v>35</v>
      </c>
      <c r="D7719" s="601">
        <v>7.37</v>
      </c>
    </row>
    <row r="7720" spans="1:4" ht="40.5">
      <c r="A7720" s="402">
        <v>91901</v>
      </c>
      <c r="B7720" s="403" t="s">
        <v>2518</v>
      </c>
      <c r="C7720" s="402" t="s">
        <v>35</v>
      </c>
      <c r="D7720" s="601">
        <v>7.16</v>
      </c>
    </row>
    <row r="7721" spans="1:4" ht="40.5">
      <c r="A7721" s="402">
        <v>91902</v>
      </c>
      <c r="B7721" s="403" t="s">
        <v>2519</v>
      </c>
      <c r="C7721" s="402" t="s">
        <v>35</v>
      </c>
      <c r="D7721" s="601">
        <v>8.5399999999999991</v>
      </c>
    </row>
    <row r="7722" spans="1:4" ht="40.5">
      <c r="A7722" s="402">
        <v>91904</v>
      </c>
      <c r="B7722" s="403" t="s">
        <v>2520</v>
      </c>
      <c r="C7722" s="402" t="s">
        <v>35</v>
      </c>
      <c r="D7722" s="601">
        <v>9.93</v>
      </c>
    </row>
    <row r="7723" spans="1:4" ht="27">
      <c r="A7723" s="402">
        <v>91905</v>
      </c>
      <c r="B7723" s="403" t="s">
        <v>2521</v>
      </c>
      <c r="C7723" s="402" t="s">
        <v>35</v>
      </c>
      <c r="D7723" s="601">
        <v>11.14</v>
      </c>
    </row>
    <row r="7724" spans="1:4" ht="27">
      <c r="A7724" s="402">
        <v>91907</v>
      </c>
      <c r="B7724" s="403" t="s">
        <v>5654</v>
      </c>
      <c r="C7724" s="402" t="s">
        <v>35</v>
      </c>
      <c r="D7724" s="601">
        <v>12.56</v>
      </c>
    </row>
    <row r="7725" spans="1:4" ht="40.5">
      <c r="A7725" s="402">
        <v>91908</v>
      </c>
      <c r="B7725" s="403" t="s">
        <v>2522</v>
      </c>
      <c r="C7725" s="402" t="s">
        <v>35</v>
      </c>
      <c r="D7725" s="601">
        <v>13.35</v>
      </c>
    </row>
    <row r="7726" spans="1:4" ht="40.5">
      <c r="A7726" s="402">
        <v>91910</v>
      </c>
      <c r="B7726" s="403" t="s">
        <v>2523</v>
      </c>
      <c r="C7726" s="402" t="s">
        <v>35</v>
      </c>
      <c r="D7726" s="601">
        <v>14.87</v>
      </c>
    </row>
    <row r="7727" spans="1:4" ht="40.5">
      <c r="A7727" s="402">
        <v>91911</v>
      </c>
      <c r="B7727" s="403" t="s">
        <v>2524</v>
      </c>
      <c r="C7727" s="402" t="s">
        <v>35</v>
      </c>
      <c r="D7727" s="601">
        <v>8.9499999999999993</v>
      </c>
    </row>
    <row r="7728" spans="1:4" ht="40.5">
      <c r="A7728" s="402">
        <v>91913</v>
      </c>
      <c r="B7728" s="403" t="s">
        <v>580</v>
      </c>
      <c r="C7728" s="402" t="s">
        <v>35</v>
      </c>
      <c r="D7728" s="601">
        <v>8.74</v>
      </c>
    </row>
    <row r="7729" spans="1:4" ht="40.5">
      <c r="A7729" s="402">
        <v>91914</v>
      </c>
      <c r="B7729" s="403" t="s">
        <v>2525</v>
      </c>
      <c r="C7729" s="402" t="s">
        <v>35</v>
      </c>
      <c r="D7729" s="601">
        <v>9.75</v>
      </c>
    </row>
    <row r="7730" spans="1:4" ht="40.5">
      <c r="A7730" s="402">
        <v>91916</v>
      </c>
      <c r="B7730" s="403" t="s">
        <v>581</v>
      </c>
      <c r="C7730" s="402" t="s">
        <v>35</v>
      </c>
      <c r="D7730" s="601">
        <v>11.14</v>
      </c>
    </row>
    <row r="7731" spans="1:4" ht="27">
      <c r="A7731" s="402">
        <v>91917</v>
      </c>
      <c r="B7731" s="403" t="s">
        <v>2526</v>
      </c>
      <c r="C7731" s="402" t="s">
        <v>35</v>
      </c>
      <c r="D7731" s="601">
        <v>11.86</v>
      </c>
    </row>
    <row r="7732" spans="1:4" ht="27">
      <c r="A7732" s="402">
        <v>91919</v>
      </c>
      <c r="B7732" s="403" t="s">
        <v>5655</v>
      </c>
      <c r="C7732" s="402" t="s">
        <v>35</v>
      </c>
      <c r="D7732" s="601">
        <v>13.28</v>
      </c>
    </row>
    <row r="7733" spans="1:4" ht="40.5">
      <c r="A7733" s="402">
        <v>91920</v>
      </c>
      <c r="B7733" s="403" t="s">
        <v>582</v>
      </c>
      <c r="C7733" s="402" t="s">
        <v>35</v>
      </c>
      <c r="D7733" s="601">
        <v>13.52</v>
      </c>
    </row>
    <row r="7734" spans="1:4" ht="40.5">
      <c r="A7734" s="402">
        <v>91922</v>
      </c>
      <c r="B7734" s="403" t="s">
        <v>2527</v>
      </c>
      <c r="C7734" s="402" t="s">
        <v>35</v>
      </c>
      <c r="D7734" s="601">
        <v>15.04</v>
      </c>
    </row>
    <row r="7735" spans="1:4" ht="27">
      <c r="A7735" s="402">
        <v>93013</v>
      </c>
      <c r="B7735" s="403" t="s">
        <v>664</v>
      </c>
      <c r="C7735" s="402" t="s">
        <v>35</v>
      </c>
      <c r="D7735" s="601">
        <v>9.82</v>
      </c>
    </row>
    <row r="7736" spans="1:4" ht="27">
      <c r="A7736" s="402">
        <v>93014</v>
      </c>
      <c r="B7736" s="403" t="s">
        <v>3132</v>
      </c>
      <c r="C7736" s="402" t="s">
        <v>35</v>
      </c>
      <c r="D7736" s="601">
        <v>12.06</v>
      </c>
    </row>
    <row r="7737" spans="1:4" ht="27">
      <c r="A7737" s="402">
        <v>93015</v>
      </c>
      <c r="B7737" s="403" t="s">
        <v>665</v>
      </c>
      <c r="C7737" s="402" t="s">
        <v>35</v>
      </c>
      <c r="D7737" s="601">
        <v>18.16</v>
      </c>
    </row>
    <row r="7738" spans="1:4" ht="27">
      <c r="A7738" s="402">
        <v>93016</v>
      </c>
      <c r="B7738" s="403" t="s">
        <v>3133</v>
      </c>
      <c r="C7738" s="402" t="s">
        <v>35</v>
      </c>
      <c r="D7738" s="601">
        <v>22.04</v>
      </c>
    </row>
    <row r="7739" spans="1:4" ht="27">
      <c r="A7739" s="402">
        <v>93017</v>
      </c>
      <c r="B7739" s="403" t="s">
        <v>3134</v>
      </c>
      <c r="C7739" s="402" t="s">
        <v>35</v>
      </c>
      <c r="D7739" s="601">
        <v>33</v>
      </c>
    </row>
    <row r="7740" spans="1:4" ht="27">
      <c r="A7740" s="402">
        <v>93018</v>
      </c>
      <c r="B7740" s="403" t="s">
        <v>3135</v>
      </c>
      <c r="C7740" s="402" t="s">
        <v>35</v>
      </c>
      <c r="D7740" s="601">
        <v>15</v>
      </c>
    </row>
    <row r="7741" spans="1:4" ht="27">
      <c r="A7741" s="402">
        <v>93020</v>
      </c>
      <c r="B7741" s="403" t="s">
        <v>3136</v>
      </c>
      <c r="C7741" s="402" t="s">
        <v>35</v>
      </c>
      <c r="D7741" s="601">
        <v>19.190000000000001</v>
      </c>
    </row>
    <row r="7742" spans="1:4" ht="27">
      <c r="A7742" s="402">
        <v>93022</v>
      </c>
      <c r="B7742" s="403" t="s">
        <v>3137</v>
      </c>
      <c r="C7742" s="402" t="s">
        <v>35</v>
      </c>
      <c r="D7742" s="601">
        <v>31.82</v>
      </c>
    </row>
    <row r="7743" spans="1:4" ht="27">
      <c r="A7743" s="402">
        <v>93024</v>
      </c>
      <c r="B7743" s="403" t="s">
        <v>3138</v>
      </c>
      <c r="C7743" s="402" t="s">
        <v>35</v>
      </c>
      <c r="D7743" s="601">
        <v>33.479999999999997</v>
      </c>
    </row>
    <row r="7744" spans="1:4" ht="27">
      <c r="A7744" s="402">
        <v>93026</v>
      </c>
      <c r="B7744" s="403" t="s">
        <v>3139</v>
      </c>
      <c r="C7744" s="402" t="s">
        <v>35</v>
      </c>
      <c r="D7744" s="601">
        <v>54.47</v>
      </c>
    </row>
    <row r="7745" spans="1:4" ht="27">
      <c r="A7745" s="402">
        <v>95733</v>
      </c>
      <c r="B7745" s="403" t="s">
        <v>3824</v>
      </c>
      <c r="C7745" s="402" t="s">
        <v>35</v>
      </c>
      <c r="D7745" s="601">
        <v>4.25</v>
      </c>
    </row>
    <row r="7746" spans="1:4" ht="27">
      <c r="A7746" s="402">
        <v>95734</v>
      </c>
      <c r="B7746" s="403" t="s">
        <v>3825</v>
      </c>
      <c r="C7746" s="402" t="s">
        <v>35</v>
      </c>
      <c r="D7746" s="601">
        <v>5.64</v>
      </c>
    </row>
    <row r="7747" spans="1:4" ht="27">
      <c r="A7747" s="402">
        <v>95735</v>
      </c>
      <c r="B7747" s="403" t="s">
        <v>3826</v>
      </c>
      <c r="C7747" s="402" t="s">
        <v>35</v>
      </c>
      <c r="D7747" s="601">
        <v>4.72</v>
      </c>
    </row>
    <row r="7748" spans="1:4" ht="27">
      <c r="A7748" s="402">
        <v>95736</v>
      </c>
      <c r="B7748" s="403" t="s">
        <v>3827</v>
      </c>
      <c r="C7748" s="402" t="s">
        <v>35</v>
      </c>
      <c r="D7748" s="601">
        <v>5.53</v>
      </c>
    </row>
    <row r="7749" spans="1:4" ht="27">
      <c r="A7749" s="402">
        <v>95738</v>
      </c>
      <c r="B7749" s="403" t="s">
        <v>3828</v>
      </c>
      <c r="C7749" s="402" t="s">
        <v>35</v>
      </c>
      <c r="D7749" s="601">
        <v>6.68</v>
      </c>
    </row>
    <row r="7750" spans="1:4" ht="27">
      <c r="A7750" s="402">
        <v>95753</v>
      </c>
      <c r="B7750" s="403" t="s">
        <v>3836</v>
      </c>
      <c r="C7750" s="402" t="s">
        <v>35</v>
      </c>
      <c r="D7750" s="601">
        <v>5.15</v>
      </c>
    </row>
    <row r="7751" spans="1:4" ht="27">
      <c r="A7751" s="402">
        <v>95754</v>
      </c>
      <c r="B7751" s="403" t="s">
        <v>3837</v>
      </c>
      <c r="C7751" s="402" t="s">
        <v>35</v>
      </c>
      <c r="D7751" s="601">
        <v>6.4</v>
      </c>
    </row>
    <row r="7752" spans="1:4" ht="27">
      <c r="A7752" s="402">
        <v>95755</v>
      </c>
      <c r="B7752" s="403" t="s">
        <v>3838</v>
      </c>
      <c r="C7752" s="402" t="s">
        <v>35</v>
      </c>
      <c r="D7752" s="601">
        <v>9.2899999999999991</v>
      </c>
    </row>
    <row r="7753" spans="1:4" ht="27">
      <c r="A7753" s="402">
        <v>95756</v>
      </c>
      <c r="B7753" s="403" t="s">
        <v>3839</v>
      </c>
      <c r="C7753" s="402" t="s">
        <v>35</v>
      </c>
      <c r="D7753" s="601">
        <v>12.41</v>
      </c>
    </row>
    <row r="7754" spans="1:4" ht="27">
      <c r="A7754" s="402">
        <v>95757</v>
      </c>
      <c r="B7754" s="403" t="s">
        <v>3840</v>
      </c>
      <c r="C7754" s="402" t="s">
        <v>35</v>
      </c>
      <c r="D7754" s="601">
        <v>7.66</v>
      </c>
    </row>
    <row r="7755" spans="1:4" ht="27">
      <c r="A7755" s="402">
        <v>95758</v>
      </c>
      <c r="B7755" s="403" t="s">
        <v>3841</v>
      </c>
      <c r="C7755" s="402" t="s">
        <v>35</v>
      </c>
      <c r="D7755" s="601">
        <v>8.6199999999999992</v>
      </c>
    </row>
    <row r="7756" spans="1:4" ht="27">
      <c r="A7756" s="402">
        <v>95759</v>
      </c>
      <c r="B7756" s="403" t="s">
        <v>3842</v>
      </c>
      <c r="C7756" s="402" t="s">
        <v>35</v>
      </c>
      <c r="D7756" s="601">
        <v>11.09</v>
      </c>
    </row>
    <row r="7757" spans="1:4" ht="27">
      <c r="A7757" s="402">
        <v>95760</v>
      </c>
      <c r="B7757" s="403" t="s">
        <v>3843</v>
      </c>
      <c r="C7757" s="402" t="s">
        <v>35</v>
      </c>
      <c r="D7757" s="601">
        <v>13.74</v>
      </c>
    </row>
    <row r="7758" spans="1:4" ht="40.5">
      <c r="A7758" s="402">
        <v>97559</v>
      </c>
      <c r="B7758" s="403" t="s">
        <v>5656</v>
      </c>
      <c r="C7758" s="402" t="s">
        <v>35</v>
      </c>
      <c r="D7758" s="601">
        <v>7.02</v>
      </c>
    </row>
    <row r="7759" spans="1:4" ht="40.5">
      <c r="A7759" s="402">
        <v>97562</v>
      </c>
      <c r="B7759" s="403" t="s">
        <v>5657</v>
      </c>
      <c r="C7759" s="402" t="s">
        <v>35</v>
      </c>
      <c r="D7759" s="601">
        <v>8.39</v>
      </c>
    </row>
    <row r="7760" spans="1:4" ht="40.5">
      <c r="A7760" s="402">
        <v>97564</v>
      </c>
      <c r="B7760" s="403" t="s">
        <v>5658</v>
      </c>
      <c r="C7760" s="402" t="s">
        <v>35</v>
      </c>
      <c r="D7760" s="601">
        <v>9.6</v>
      </c>
    </row>
    <row r="7761" spans="1:4" ht="27">
      <c r="A7761" s="402">
        <v>91924</v>
      </c>
      <c r="B7761" s="403" t="s">
        <v>2528</v>
      </c>
      <c r="C7761" s="402" t="s">
        <v>17</v>
      </c>
      <c r="D7761" s="601">
        <v>1.85</v>
      </c>
    </row>
    <row r="7762" spans="1:4" ht="27">
      <c r="A7762" s="402">
        <v>91925</v>
      </c>
      <c r="B7762" s="403" t="s">
        <v>2529</v>
      </c>
      <c r="C7762" s="402" t="s">
        <v>17</v>
      </c>
      <c r="D7762" s="601">
        <v>2.6</v>
      </c>
    </row>
    <row r="7763" spans="1:4" ht="27">
      <c r="A7763" s="402">
        <v>91926</v>
      </c>
      <c r="B7763" s="403" t="s">
        <v>2530</v>
      </c>
      <c r="C7763" s="402" t="s">
        <v>17</v>
      </c>
      <c r="D7763" s="601">
        <v>2.67</v>
      </c>
    </row>
    <row r="7764" spans="1:4" ht="27">
      <c r="A7764" s="402">
        <v>91927</v>
      </c>
      <c r="B7764" s="403" t="s">
        <v>2531</v>
      </c>
      <c r="C7764" s="402" t="s">
        <v>17</v>
      </c>
      <c r="D7764" s="601">
        <v>3.49</v>
      </c>
    </row>
    <row r="7765" spans="1:4" ht="27">
      <c r="A7765" s="402">
        <v>91928</v>
      </c>
      <c r="B7765" s="403" t="s">
        <v>2532</v>
      </c>
      <c r="C7765" s="402" t="s">
        <v>17</v>
      </c>
      <c r="D7765" s="601">
        <v>4.32</v>
      </c>
    </row>
    <row r="7766" spans="1:4" ht="27">
      <c r="A7766" s="402">
        <v>91929</v>
      </c>
      <c r="B7766" s="403" t="s">
        <v>2533</v>
      </c>
      <c r="C7766" s="402" t="s">
        <v>17</v>
      </c>
      <c r="D7766" s="601">
        <v>4.9000000000000004</v>
      </c>
    </row>
    <row r="7767" spans="1:4" ht="27">
      <c r="A7767" s="402">
        <v>91930</v>
      </c>
      <c r="B7767" s="403" t="s">
        <v>2534</v>
      </c>
      <c r="C7767" s="402" t="s">
        <v>17</v>
      </c>
      <c r="D7767" s="601">
        <v>5.92</v>
      </c>
    </row>
    <row r="7768" spans="1:4" ht="27">
      <c r="A7768" s="402">
        <v>91931</v>
      </c>
      <c r="B7768" s="403" t="s">
        <v>2535</v>
      </c>
      <c r="C7768" s="402" t="s">
        <v>17</v>
      </c>
      <c r="D7768" s="601">
        <v>6.59</v>
      </c>
    </row>
    <row r="7769" spans="1:4" ht="27">
      <c r="A7769" s="402">
        <v>91932</v>
      </c>
      <c r="B7769" s="403" t="s">
        <v>2536</v>
      </c>
      <c r="C7769" s="402" t="s">
        <v>17</v>
      </c>
      <c r="D7769" s="601">
        <v>9.7100000000000009</v>
      </c>
    </row>
    <row r="7770" spans="1:4" ht="27">
      <c r="A7770" s="402">
        <v>91933</v>
      </c>
      <c r="B7770" s="403" t="s">
        <v>2537</v>
      </c>
      <c r="C7770" s="402" t="s">
        <v>17</v>
      </c>
      <c r="D7770" s="601">
        <v>10.37</v>
      </c>
    </row>
    <row r="7771" spans="1:4" ht="27">
      <c r="A7771" s="402">
        <v>91934</v>
      </c>
      <c r="B7771" s="403" t="s">
        <v>2538</v>
      </c>
      <c r="C7771" s="402" t="s">
        <v>17</v>
      </c>
      <c r="D7771" s="601">
        <v>14.84</v>
      </c>
    </row>
    <row r="7772" spans="1:4" ht="27">
      <c r="A7772" s="402">
        <v>91935</v>
      </c>
      <c r="B7772" s="403" t="s">
        <v>2539</v>
      </c>
      <c r="C7772" s="402" t="s">
        <v>17</v>
      </c>
      <c r="D7772" s="601">
        <v>15.78</v>
      </c>
    </row>
    <row r="7773" spans="1:4" ht="27">
      <c r="A7773" s="402">
        <v>92979</v>
      </c>
      <c r="B7773" s="403" t="s">
        <v>3103</v>
      </c>
      <c r="C7773" s="402" t="s">
        <v>17</v>
      </c>
      <c r="D7773" s="601">
        <v>6.5</v>
      </c>
    </row>
    <row r="7774" spans="1:4" ht="27">
      <c r="A7774" s="402">
        <v>92980</v>
      </c>
      <c r="B7774" s="403" t="s">
        <v>3104</v>
      </c>
      <c r="C7774" s="402" t="s">
        <v>17</v>
      </c>
      <c r="D7774" s="601">
        <v>7.06</v>
      </c>
    </row>
    <row r="7775" spans="1:4" ht="27">
      <c r="A7775" s="402">
        <v>92981</v>
      </c>
      <c r="B7775" s="403" t="s">
        <v>3105</v>
      </c>
      <c r="C7775" s="402" t="s">
        <v>17</v>
      </c>
      <c r="D7775" s="601">
        <v>9.99</v>
      </c>
    </row>
    <row r="7776" spans="1:4" ht="27">
      <c r="A7776" s="402">
        <v>92982</v>
      </c>
      <c r="B7776" s="403" t="s">
        <v>3106</v>
      </c>
      <c r="C7776" s="402" t="s">
        <v>17</v>
      </c>
      <c r="D7776" s="601">
        <v>10.8</v>
      </c>
    </row>
    <row r="7777" spans="1:4" ht="27">
      <c r="A7777" s="402">
        <v>92983</v>
      </c>
      <c r="B7777" s="403" t="s">
        <v>3107</v>
      </c>
      <c r="C7777" s="402" t="s">
        <v>17</v>
      </c>
      <c r="D7777" s="601">
        <v>17.25</v>
      </c>
    </row>
    <row r="7778" spans="1:4" ht="27">
      <c r="A7778" s="402">
        <v>92984</v>
      </c>
      <c r="B7778" s="403" t="s">
        <v>3108</v>
      </c>
      <c r="C7778" s="402" t="s">
        <v>17</v>
      </c>
      <c r="D7778" s="601">
        <v>17.7</v>
      </c>
    </row>
    <row r="7779" spans="1:4" ht="27">
      <c r="A7779" s="402">
        <v>92985</v>
      </c>
      <c r="B7779" s="403" t="s">
        <v>3109</v>
      </c>
      <c r="C7779" s="402" t="s">
        <v>17</v>
      </c>
      <c r="D7779" s="601">
        <v>23.22</v>
      </c>
    </row>
    <row r="7780" spans="1:4" ht="27">
      <c r="A7780" s="402">
        <v>92986</v>
      </c>
      <c r="B7780" s="403" t="s">
        <v>3110</v>
      </c>
      <c r="C7780" s="402" t="s">
        <v>17</v>
      </c>
      <c r="D7780" s="601">
        <v>23.9</v>
      </c>
    </row>
    <row r="7781" spans="1:4" ht="27">
      <c r="A7781" s="402">
        <v>92987</v>
      </c>
      <c r="B7781" s="403" t="s">
        <v>3111</v>
      </c>
      <c r="C7781" s="402" t="s">
        <v>17</v>
      </c>
      <c r="D7781" s="601">
        <v>33.409999999999997</v>
      </c>
    </row>
    <row r="7782" spans="1:4" ht="27">
      <c r="A7782" s="402">
        <v>92988</v>
      </c>
      <c r="B7782" s="403" t="s">
        <v>3112</v>
      </c>
      <c r="C7782" s="402" t="s">
        <v>17</v>
      </c>
      <c r="D7782" s="601">
        <v>33.49</v>
      </c>
    </row>
    <row r="7783" spans="1:4" ht="27">
      <c r="A7783" s="402">
        <v>92989</v>
      </c>
      <c r="B7783" s="403" t="s">
        <v>3113</v>
      </c>
      <c r="C7783" s="402" t="s">
        <v>17</v>
      </c>
      <c r="D7783" s="601">
        <v>46.42</v>
      </c>
    </row>
    <row r="7784" spans="1:4" ht="27">
      <c r="A7784" s="402">
        <v>92990</v>
      </c>
      <c r="B7784" s="403" t="s">
        <v>3114</v>
      </c>
      <c r="C7784" s="402" t="s">
        <v>17</v>
      </c>
      <c r="D7784" s="601">
        <v>45.88</v>
      </c>
    </row>
    <row r="7785" spans="1:4" ht="27">
      <c r="A7785" s="402">
        <v>92991</v>
      </c>
      <c r="B7785" s="403" t="s">
        <v>3115</v>
      </c>
      <c r="C7785" s="402" t="s">
        <v>17</v>
      </c>
      <c r="D7785" s="601">
        <v>60.54</v>
      </c>
    </row>
    <row r="7786" spans="1:4" ht="27">
      <c r="A7786" s="402">
        <v>92992</v>
      </c>
      <c r="B7786" s="403" t="s">
        <v>3116</v>
      </c>
      <c r="C7786" s="402" t="s">
        <v>17</v>
      </c>
      <c r="D7786" s="601">
        <v>60.58</v>
      </c>
    </row>
    <row r="7787" spans="1:4" ht="27">
      <c r="A7787" s="402">
        <v>92993</v>
      </c>
      <c r="B7787" s="403" t="s">
        <v>3117</v>
      </c>
      <c r="C7787" s="402" t="s">
        <v>17</v>
      </c>
      <c r="D7787" s="601">
        <v>77.61</v>
      </c>
    </row>
    <row r="7788" spans="1:4" ht="27">
      <c r="A7788" s="402">
        <v>92994</v>
      </c>
      <c r="B7788" s="403" t="s">
        <v>3118</v>
      </c>
      <c r="C7788" s="402" t="s">
        <v>17</v>
      </c>
      <c r="D7788" s="601">
        <v>78.37</v>
      </c>
    </row>
    <row r="7789" spans="1:4" ht="27">
      <c r="A7789" s="402">
        <v>92995</v>
      </c>
      <c r="B7789" s="403" t="s">
        <v>3119</v>
      </c>
      <c r="C7789" s="402" t="s">
        <v>17</v>
      </c>
      <c r="D7789" s="601">
        <v>96.54</v>
      </c>
    </row>
    <row r="7790" spans="1:4" ht="27">
      <c r="A7790" s="402">
        <v>92996</v>
      </c>
      <c r="B7790" s="403" t="s">
        <v>3120</v>
      </c>
      <c r="C7790" s="402" t="s">
        <v>17</v>
      </c>
      <c r="D7790" s="601">
        <v>96.81</v>
      </c>
    </row>
    <row r="7791" spans="1:4" ht="27">
      <c r="A7791" s="402">
        <v>92997</v>
      </c>
      <c r="B7791" s="403" t="s">
        <v>3121</v>
      </c>
      <c r="C7791" s="402" t="s">
        <v>17</v>
      </c>
      <c r="D7791" s="601">
        <v>117.29</v>
      </c>
    </row>
    <row r="7792" spans="1:4" ht="27">
      <c r="A7792" s="402">
        <v>92998</v>
      </c>
      <c r="B7792" s="403" t="s">
        <v>3122</v>
      </c>
      <c r="C7792" s="402" t="s">
        <v>17</v>
      </c>
      <c r="D7792" s="601">
        <v>118.41</v>
      </c>
    </row>
    <row r="7793" spans="1:4" ht="27">
      <c r="A7793" s="402">
        <v>92999</v>
      </c>
      <c r="B7793" s="403" t="s">
        <v>3123</v>
      </c>
      <c r="C7793" s="402" t="s">
        <v>17</v>
      </c>
      <c r="D7793" s="601">
        <v>154.46</v>
      </c>
    </row>
    <row r="7794" spans="1:4" ht="27">
      <c r="A7794" s="402">
        <v>93000</v>
      </c>
      <c r="B7794" s="403" t="s">
        <v>3124</v>
      </c>
      <c r="C7794" s="402" t="s">
        <v>17</v>
      </c>
      <c r="D7794" s="601">
        <v>155.38999999999999</v>
      </c>
    </row>
    <row r="7795" spans="1:4" ht="27">
      <c r="A7795" s="402">
        <v>93001</v>
      </c>
      <c r="B7795" s="403" t="s">
        <v>3125</v>
      </c>
      <c r="C7795" s="402" t="s">
        <v>17</v>
      </c>
      <c r="D7795" s="601">
        <v>188.63</v>
      </c>
    </row>
    <row r="7796" spans="1:4" ht="27">
      <c r="A7796" s="402">
        <v>93002</v>
      </c>
      <c r="B7796" s="403" t="s">
        <v>3126</v>
      </c>
      <c r="C7796" s="402" t="s">
        <v>17</v>
      </c>
      <c r="D7796" s="601">
        <v>193.88</v>
      </c>
    </row>
    <row r="7797" spans="1:4" ht="13.5">
      <c r="A7797" s="402">
        <v>83446</v>
      </c>
      <c r="B7797" s="403" t="s">
        <v>163</v>
      </c>
      <c r="C7797" s="402" t="s">
        <v>35</v>
      </c>
      <c r="D7797" s="601">
        <v>146.33000000000001</v>
      </c>
    </row>
    <row r="7798" spans="1:4" ht="27">
      <c r="A7798" s="402">
        <v>91936</v>
      </c>
      <c r="B7798" s="403" t="s">
        <v>2540</v>
      </c>
      <c r="C7798" s="402" t="s">
        <v>35</v>
      </c>
      <c r="D7798" s="601">
        <v>9</v>
      </c>
    </row>
    <row r="7799" spans="1:4" ht="27">
      <c r="A7799" s="402">
        <v>91937</v>
      </c>
      <c r="B7799" s="403" t="s">
        <v>2541</v>
      </c>
      <c r="C7799" s="402" t="s">
        <v>35</v>
      </c>
      <c r="D7799" s="601">
        <v>7.66</v>
      </c>
    </row>
    <row r="7800" spans="1:4" ht="27">
      <c r="A7800" s="402">
        <v>91939</v>
      </c>
      <c r="B7800" s="403" t="s">
        <v>2542</v>
      </c>
      <c r="C7800" s="402" t="s">
        <v>35</v>
      </c>
      <c r="D7800" s="601">
        <v>19.02</v>
      </c>
    </row>
    <row r="7801" spans="1:4" ht="27">
      <c r="A7801" s="402">
        <v>91940</v>
      </c>
      <c r="B7801" s="403" t="s">
        <v>2543</v>
      </c>
      <c r="C7801" s="402" t="s">
        <v>35</v>
      </c>
      <c r="D7801" s="601">
        <v>10.119999999999999</v>
      </c>
    </row>
    <row r="7802" spans="1:4" ht="27">
      <c r="A7802" s="402">
        <v>91941</v>
      </c>
      <c r="B7802" s="403" t="s">
        <v>2544</v>
      </c>
      <c r="C7802" s="402" t="s">
        <v>35</v>
      </c>
      <c r="D7802" s="601">
        <v>6.79</v>
      </c>
    </row>
    <row r="7803" spans="1:4" ht="27">
      <c r="A7803" s="402">
        <v>91942</v>
      </c>
      <c r="B7803" s="403" t="s">
        <v>2545</v>
      </c>
      <c r="C7803" s="402" t="s">
        <v>35</v>
      </c>
      <c r="D7803" s="601">
        <v>23.33</v>
      </c>
    </row>
    <row r="7804" spans="1:4" ht="27">
      <c r="A7804" s="402">
        <v>91943</v>
      </c>
      <c r="B7804" s="403" t="s">
        <v>2546</v>
      </c>
      <c r="C7804" s="402" t="s">
        <v>35</v>
      </c>
      <c r="D7804" s="601">
        <v>13.09</v>
      </c>
    </row>
    <row r="7805" spans="1:4" ht="27">
      <c r="A7805" s="402">
        <v>91944</v>
      </c>
      <c r="B7805" s="403" t="s">
        <v>2547</v>
      </c>
      <c r="C7805" s="402" t="s">
        <v>35</v>
      </c>
      <c r="D7805" s="601">
        <v>9.26</v>
      </c>
    </row>
    <row r="7806" spans="1:4" ht="27">
      <c r="A7806" s="402">
        <v>92865</v>
      </c>
      <c r="B7806" s="403" t="s">
        <v>655</v>
      </c>
      <c r="C7806" s="402" t="s">
        <v>35</v>
      </c>
      <c r="D7806" s="601">
        <v>7.37</v>
      </c>
    </row>
    <row r="7807" spans="1:4" ht="27">
      <c r="A7807" s="402">
        <v>92866</v>
      </c>
      <c r="B7807" s="403" t="s">
        <v>656</v>
      </c>
      <c r="C7807" s="402" t="s">
        <v>35</v>
      </c>
      <c r="D7807" s="601">
        <v>5.9</v>
      </c>
    </row>
    <row r="7808" spans="1:4" ht="27">
      <c r="A7808" s="402">
        <v>92867</v>
      </c>
      <c r="B7808" s="403" t="s">
        <v>657</v>
      </c>
      <c r="C7808" s="402" t="s">
        <v>35</v>
      </c>
      <c r="D7808" s="601">
        <v>18.62</v>
      </c>
    </row>
    <row r="7809" spans="1:4" ht="27">
      <c r="A7809" s="402">
        <v>92868</v>
      </c>
      <c r="B7809" s="403" t="s">
        <v>3045</v>
      </c>
      <c r="C7809" s="402" t="s">
        <v>35</v>
      </c>
      <c r="D7809" s="601">
        <v>9.7200000000000006</v>
      </c>
    </row>
    <row r="7810" spans="1:4" ht="27">
      <c r="A7810" s="402">
        <v>92869</v>
      </c>
      <c r="B7810" s="403" t="s">
        <v>3046</v>
      </c>
      <c r="C7810" s="402" t="s">
        <v>35</v>
      </c>
      <c r="D7810" s="601">
        <v>6.39</v>
      </c>
    </row>
    <row r="7811" spans="1:4" ht="27">
      <c r="A7811" s="402">
        <v>92870</v>
      </c>
      <c r="B7811" s="403" t="s">
        <v>658</v>
      </c>
      <c r="C7811" s="402" t="s">
        <v>35</v>
      </c>
      <c r="D7811" s="601">
        <v>22.71</v>
      </c>
    </row>
    <row r="7812" spans="1:4" ht="27">
      <c r="A7812" s="402">
        <v>92871</v>
      </c>
      <c r="B7812" s="403" t="s">
        <v>3047</v>
      </c>
      <c r="C7812" s="402" t="s">
        <v>35</v>
      </c>
      <c r="D7812" s="601">
        <v>12.47</v>
      </c>
    </row>
    <row r="7813" spans="1:4" ht="27">
      <c r="A7813" s="402">
        <v>92872</v>
      </c>
      <c r="B7813" s="403" t="s">
        <v>3048</v>
      </c>
      <c r="C7813" s="402" t="s">
        <v>35</v>
      </c>
      <c r="D7813" s="601">
        <v>8.64</v>
      </c>
    </row>
    <row r="7814" spans="1:4" ht="27">
      <c r="A7814" s="402">
        <v>95777</v>
      </c>
      <c r="B7814" s="403" t="s">
        <v>3844</v>
      </c>
      <c r="C7814" s="402" t="s">
        <v>35</v>
      </c>
      <c r="D7814" s="601">
        <v>18.87</v>
      </c>
    </row>
    <row r="7815" spans="1:4" ht="27">
      <c r="A7815" s="402">
        <v>95778</v>
      </c>
      <c r="B7815" s="403" t="s">
        <v>3845</v>
      </c>
      <c r="C7815" s="402" t="s">
        <v>35</v>
      </c>
      <c r="D7815" s="601">
        <v>19.309999999999999</v>
      </c>
    </row>
    <row r="7816" spans="1:4" ht="27">
      <c r="A7816" s="402">
        <v>95779</v>
      </c>
      <c r="B7816" s="403" t="s">
        <v>3846</v>
      </c>
      <c r="C7816" s="402" t="s">
        <v>35</v>
      </c>
      <c r="D7816" s="601">
        <v>17.829999999999998</v>
      </c>
    </row>
    <row r="7817" spans="1:4" ht="27">
      <c r="A7817" s="402">
        <v>95780</v>
      </c>
      <c r="B7817" s="403" t="s">
        <v>3847</v>
      </c>
      <c r="C7817" s="402" t="s">
        <v>35</v>
      </c>
      <c r="D7817" s="601">
        <v>21.37</v>
      </c>
    </row>
    <row r="7818" spans="1:4" ht="27">
      <c r="A7818" s="402">
        <v>95781</v>
      </c>
      <c r="B7818" s="403" t="s">
        <v>3848</v>
      </c>
      <c r="C7818" s="402" t="s">
        <v>35</v>
      </c>
      <c r="D7818" s="601">
        <v>21.7</v>
      </c>
    </row>
    <row r="7819" spans="1:4" ht="27">
      <c r="A7819" s="402">
        <v>95782</v>
      </c>
      <c r="B7819" s="403" t="s">
        <v>843</v>
      </c>
      <c r="C7819" s="402" t="s">
        <v>35</v>
      </c>
      <c r="D7819" s="601">
        <v>22.56</v>
      </c>
    </row>
    <row r="7820" spans="1:4" ht="27">
      <c r="A7820" s="402">
        <v>95785</v>
      </c>
      <c r="B7820" s="403" t="s">
        <v>3849</v>
      </c>
      <c r="C7820" s="402" t="s">
        <v>35</v>
      </c>
      <c r="D7820" s="601">
        <v>25.59</v>
      </c>
    </row>
    <row r="7821" spans="1:4" ht="27">
      <c r="A7821" s="402">
        <v>95787</v>
      </c>
      <c r="B7821" s="403" t="s">
        <v>844</v>
      </c>
      <c r="C7821" s="402" t="s">
        <v>35</v>
      </c>
      <c r="D7821" s="601">
        <v>19.12</v>
      </c>
    </row>
    <row r="7822" spans="1:4" ht="27">
      <c r="A7822" s="402">
        <v>95789</v>
      </c>
      <c r="B7822" s="403" t="s">
        <v>845</v>
      </c>
      <c r="C7822" s="402" t="s">
        <v>35</v>
      </c>
      <c r="D7822" s="601">
        <v>23.55</v>
      </c>
    </row>
    <row r="7823" spans="1:4" ht="27">
      <c r="A7823" s="402">
        <v>95791</v>
      </c>
      <c r="B7823" s="403" t="s">
        <v>846</v>
      </c>
      <c r="C7823" s="402" t="s">
        <v>35</v>
      </c>
      <c r="D7823" s="601">
        <v>30.14</v>
      </c>
    </row>
    <row r="7824" spans="1:4" ht="27">
      <c r="A7824" s="402">
        <v>95795</v>
      </c>
      <c r="B7824" s="403" t="s">
        <v>3850</v>
      </c>
      <c r="C7824" s="402" t="s">
        <v>35</v>
      </c>
      <c r="D7824" s="601">
        <v>22.08</v>
      </c>
    </row>
    <row r="7825" spans="1:4" ht="27">
      <c r="A7825" s="402">
        <v>95796</v>
      </c>
      <c r="B7825" s="403" t="s">
        <v>3851</v>
      </c>
      <c r="C7825" s="402" t="s">
        <v>35</v>
      </c>
      <c r="D7825" s="601">
        <v>27.7</v>
      </c>
    </row>
    <row r="7826" spans="1:4" ht="27">
      <c r="A7826" s="402">
        <v>95797</v>
      </c>
      <c r="B7826" s="403" t="s">
        <v>3852</v>
      </c>
      <c r="C7826" s="402" t="s">
        <v>35</v>
      </c>
      <c r="D7826" s="601">
        <v>35.03</v>
      </c>
    </row>
    <row r="7827" spans="1:4" ht="27">
      <c r="A7827" s="402">
        <v>95801</v>
      </c>
      <c r="B7827" s="403" t="s">
        <v>3853</v>
      </c>
      <c r="C7827" s="402" t="s">
        <v>35</v>
      </c>
      <c r="D7827" s="601">
        <v>26.45</v>
      </c>
    </row>
    <row r="7828" spans="1:4" ht="27">
      <c r="A7828" s="402">
        <v>95802</v>
      </c>
      <c r="B7828" s="403" t="s">
        <v>3854</v>
      </c>
      <c r="C7828" s="402" t="s">
        <v>35</v>
      </c>
      <c r="D7828" s="601">
        <v>29.48</v>
      </c>
    </row>
    <row r="7829" spans="1:4" ht="27">
      <c r="A7829" s="402">
        <v>95803</v>
      </c>
      <c r="B7829" s="403" t="s">
        <v>3855</v>
      </c>
      <c r="C7829" s="402" t="s">
        <v>35</v>
      </c>
      <c r="D7829" s="601">
        <v>38.85</v>
      </c>
    </row>
    <row r="7830" spans="1:4" ht="27">
      <c r="A7830" s="402">
        <v>95804</v>
      </c>
      <c r="B7830" s="403" t="s">
        <v>3856</v>
      </c>
      <c r="C7830" s="402" t="s">
        <v>35</v>
      </c>
      <c r="D7830" s="601">
        <v>16.62</v>
      </c>
    </row>
    <row r="7831" spans="1:4" ht="27">
      <c r="A7831" s="402">
        <v>95805</v>
      </c>
      <c r="B7831" s="403" t="s">
        <v>3857</v>
      </c>
      <c r="C7831" s="402" t="s">
        <v>35</v>
      </c>
      <c r="D7831" s="601">
        <v>16.760000000000002</v>
      </c>
    </row>
    <row r="7832" spans="1:4" ht="27">
      <c r="A7832" s="402">
        <v>95806</v>
      </c>
      <c r="B7832" s="403" t="s">
        <v>3858</v>
      </c>
      <c r="C7832" s="402" t="s">
        <v>35</v>
      </c>
      <c r="D7832" s="601">
        <v>17.309999999999999</v>
      </c>
    </row>
    <row r="7833" spans="1:4" ht="27">
      <c r="A7833" s="402">
        <v>95807</v>
      </c>
      <c r="B7833" s="403" t="s">
        <v>3859</v>
      </c>
      <c r="C7833" s="402" t="s">
        <v>35</v>
      </c>
      <c r="D7833" s="601">
        <v>19.100000000000001</v>
      </c>
    </row>
    <row r="7834" spans="1:4" ht="27">
      <c r="A7834" s="402">
        <v>95808</v>
      </c>
      <c r="B7834" s="403" t="s">
        <v>3860</v>
      </c>
      <c r="C7834" s="402" t="s">
        <v>35</v>
      </c>
      <c r="D7834" s="601">
        <v>19.559999999999999</v>
      </c>
    </row>
    <row r="7835" spans="1:4" ht="27">
      <c r="A7835" s="402">
        <v>95809</v>
      </c>
      <c r="B7835" s="403" t="s">
        <v>3861</v>
      </c>
      <c r="C7835" s="402" t="s">
        <v>35</v>
      </c>
      <c r="D7835" s="601">
        <v>21.49</v>
      </c>
    </row>
    <row r="7836" spans="1:4" ht="27">
      <c r="A7836" s="402">
        <v>95810</v>
      </c>
      <c r="B7836" s="403" t="s">
        <v>3862</v>
      </c>
      <c r="C7836" s="402" t="s">
        <v>35</v>
      </c>
      <c r="D7836" s="601">
        <v>10.42</v>
      </c>
    </row>
    <row r="7837" spans="1:4" ht="27">
      <c r="A7837" s="402">
        <v>95811</v>
      </c>
      <c r="B7837" s="403" t="s">
        <v>3863</v>
      </c>
      <c r="C7837" s="402" t="s">
        <v>35</v>
      </c>
      <c r="D7837" s="601">
        <v>10.87</v>
      </c>
    </row>
    <row r="7838" spans="1:4" ht="27">
      <c r="A7838" s="402">
        <v>95812</v>
      </c>
      <c r="B7838" s="403" t="s">
        <v>3864</v>
      </c>
      <c r="C7838" s="402" t="s">
        <v>35</v>
      </c>
      <c r="D7838" s="601">
        <v>12.79</v>
      </c>
    </row>
    <row r="7839" spans="1:4" ht="27">
      <c r="A7839" s="402">
        <v>95813</v>
      </c>
      <c r="B7839" s="403" t="s">
        <v>3865</v>
      </c>
      <c r="C7839" s="402" t="s">
        <v>35</v>
      </c>
      <c r="D7839" s="601">
        <v>12.54</v>
      </c>
    </row>
    <row r="7840" spans="1:4" ht="27">
      <c r="A7840" s="402">
        <v>95814</v>
      </c>
      <c r="B7840" s="403" t="s">
        <v>3866</v>
      </c>
      <c r="C7840" s="402" t="s">
        <v>35</v>
      </c>
      <c r="D7840" s="601">
        <v>13.23</v>
      </c>
    </row>
    <row r="7841" spans="1:4" ht="27">
      <c r="A7841" s="402">
        <v>95815</v>
      </c>
      <c r="B7841" s="403" t="s">
        <v>3867</v>
      </c>
      <c r="C7841" s="402" t="s">
        <v>35</v>
      </c>
      <c r="D7841" s="601">
        <v>16.940000000000001</v>
      </c>
    </row>
    <row r="7842" spans="1:4" ht="27">
      <c r="A7842" s="402">
        <v>95816</v>
      </c>
      <c r="B7842" s="403" t="s">
        <v>3868</v>
      </c>
      <c r="C7842" s="402" t="s">
        <v>35</v>
      </c>
      <c r="D7842" s="601">
        <v>23.52</v>
      </c>
    </row>
    <row r="7843" spans="1:4" ht="27">
      <c r="A7843" s="402">
        <v>95817</v>
      </c>
      <c r="B7843" s="403" t="s">
        <v>3869</v>
      </c>
      <c r="C7843" s="402" t="s">
        <v>35</v>
      </c>
      <c r="D7843" s="601">
        <v>24.14</v>
      </c>
    </row>
    <row r="7844" spans="1:4" ht="27">
      <c r="A7844" s="402">
        <v>95818</v>
      </c>
      <c r="B7844" s="403" t="s">
        <v>3870</v>
      </c>
      <c r="C7844" s="402" t="s">
        <v>35</v>
      </c>
      <c r="D7844" s="601">
        <v>29.13</v>
      </c>
    </row>
    <row r="7845" spans="1:4" ht="27">
      <c r="A7845" s="402">
        <v>97886</v>
      </c>
      <c r="B7845" s="403" t="s">
        <v>4886</v>
      </c>
      <c r="C7845" s="402" t="s">
        <v>35</v>
      </c>
      <c r="D7845" s="601">
        <v>118.59</v>
      </c>
    </row>
    <row r="7846" spans="1:4" ht="27">
      <c r="A7846" s="402">
        <v>97887</v>
      </c>
      <c r="B7846" s="403" t="s">
        <v>4887</v>
      </c>
      <c r="C7846" s="402" t="s">
        <v>35</v>
      </c>
      <c r="D7846" s="601">
        <v>187.09</v>
      </c>
    </row>
    <row r="7847" spans="1:4" ht="27">
      <c r="A7847" s="402">
        <v>97888</v>
      </c>
      <c r="B7847" s="403" t="s">
        <v>4888</v>
      </c>
      <c r="C7847" s="402" t="s">
        <v>35</v>
      </c>
      <c r="D7847" s="601">
        <v>360.49</v>
      </c>
    </row>
    <row r="7848" spans="1:4" ht="27">
      <c r="A7848" s="402">
        <v>97889</v>
      </c>
      <c r="B7848" s="403" t="s">
        <v>4889</v>
      </c>
      <c r="C7848" s="402" t="s">
        <v>35</v>
      </c>
      <c r="D7848" s="601">
        <v>483.47</v>
      </c>
    </row>
    <row r="7849" spans="1:4" ht="27">
      <c r="A7849" s="402">
        <v>97890</v>
      </c>
      <c r="B7849" s="403" t="s">
        <v>4890</v>
      </c>
      <c r="C7849" s="402" t="s">
        <v>35</v>
      </c>
      <c r="D7849" s="601">
        <v>556.54999999999995</v>
      </c>
    </row>
    <row r="7850" spans="1:4" ht="27">
      <c r="A7850" s="402">
        <v>97891</v>
      </c>
      <c r="B7850" s="403" t="s">
        <v>4891</v>
      </c>
      <c r="C7850" s="402" t="s">
        <v>35</v>
      </c>
      <c r="D7850" s="601">
        <v>143.41</v>
      </c>
    </row>
    <row r="7851" spans="1:4" ht="27">
      <c r="A7851" s="402">
        <v>97892</v>
      </c>
      <c r="B7851" s="403" t="s">
        <v>4892</v>
      </c>
      <c r="C7851" s="402" t="s">
        <v>35</v>
      </c>
      <c r="D7851" s="601">
        <v>268.14999999999998</v>
      </c>
    </row>
    <row r="7852" spans="1:4" ht="27">
      <c r="A7852" s="402">
        <v>97893</v>
      </c>
      <c r="B7852" s="403" t="s">
        <v>4893</v>
      </c>
      <c r="C7852" s="402" t="s">
        <v>35</v>
      </c>
      <c r="D7852" s="601">
        <v>365.71</v>
      </c>
    </row>
    <row r="7853" spans="1:4" ht="27">
      <c r="A7853" s="402">
        <v>97894</v>
      </c>
      <c r="B7853" s="403" t="s">
        <v>4894</v>
      </c>
      <c r="C7853" s="402" t="s">
        <v>35</v>
      </c>
      <c r="D7853" s="601">
        <v>413.84</v>
      </c>
    </row>
    <row r="7854" spans="1:4" ht="13.5">
      <c r="A7854" s="402">
        <v>68066</v>
      </c>
      <c r="B7854" s="403" t="s">
        <v>104</v>
      </c>
      <c r="C7854" s="402" t="s">
        <v>35</v>
      </c>
      <c r="D7854" s="601">
        <v>110.17</v>
      </c>
    </row>
    <row r="7855" spans="1:4" ht="13.5">
      <c r="A7855" s="402">
        <v>72319</v>
      </c>
      <c r="B7855" s="403" t="s">
        <v>1161</v>
      </c>
      <c r="C7855" s="402" t="s">
        <v>35</v>
      </c>
      <c r="D7855" s="601">
        <v>4450.87</v>
      </c>
    </row>
    <row r="7856" spans="1:4" ht="27">
      <c r="A7856" s="402">
        <v>72341</v>
      </c>
      <c r="B7856" s="403" t="s">
        <v>120</v>
      </c>
      <c r="C7856" s="402" t="s">
        <v>35</v>
      </c>
      <c r="D7856" s="601">
        <v>210.26</v>
      </c>
    </row>
    <row r="7857" spans="1:4" ht="27">
      <c r="A7857" s="402">
        <v>72343</v>
      </c>
      <c r="B7857" s="403" t="s">
        <v>121</v>
      </c>
      <c r="C7857" s="402" t="s">
        <v>35</v>
      </c>
      <c r="D7857" s="601">
        <v>249.89</v>
      </c>
    </row>
    <row r="7858" spans="1:4" ht="27">
      <c r="A7858" s="402">
        <v>72344</v>
      </c>
      <c r="B7858" s="403" t="s">
        <v>122</v>
      </c>
      <c r="C7858" s="402" t="s">
        <v>35</v>
      </c>
      <c r="D7858" s="601">
        <v>399.34</v>
      </c>
    </row>
    <row r="7859" spans="1:4" ht="27">
      <c r="A7859" s="402">
        <v>72345</v>
      </c>
      <c r="B7859" s="403" t="s">
        <v>123</v>
      </c>
      <c r="C7859" s="402" t="s">
        <v>35</v>
      </c>
      <c r="D7859" s="601">
        <v>1167.5899999999999</v>
      </c>
    </row>
    <row r="7860" spans="1:4" ht="27">
      <c r="A7860" s="402" t="s">
        <v>4386</v>
      </c>
      <c r="B7860" s="403" t="s">
        <v>4387</v>
      </c>
      <c r="C7860" s="402" t="s">
        <v>35</v>
      </c>
      <c r="D7860" s="601">
        <v>13.08</v>
      </c>
    </row>
    <row r="7861" spans="1:4" ht="27">
      <c r="A7861" s="402" t="s">
        <v>4390</v>
      </c>
      <c r="B7861" s="403" t="s">
        <v>4391</v>
      </c>
      <c r="C7861" s="402" t="s">
        <v>35</v>
      </c>
      <c r="D7861" s="601">
        <v>20.39</v>
      </c>
    </row>
    <row r="7862" spans="1:4" ht="27">
      <c r="A7862" s="402" t="s">
        <v>4392</v>
      </c>
      <c r="B7862" s="403" t="s">
        <v>4393</v>
      </c>
      <c r="C7862" s="402" t="s">
        <v>35</v>
      </c>
      <c r="D7862" s="601">
        <v>60.82</v>
      </c>
    </row>
    <row r="7863" spans="1:4" ht="27">
      <c r="A7863" s="402" t="s">
        <v>4394</v>
      </c>
      <c r="B7863" s="403" t="s">
        <v>4395</v>
      </c>
      <c r="C7863" s="402" t="s">
        <v>35</v>
      </c>
      <c r="D7863" s="601">
        <v>85.51</v>
      </c>
    </row>
    <row r="7864" spans="1:4" ht="27">
      <c r="A7864" s="402" t="s">
        <v>4396</v>
      </c>
      <c r="B7864" s="403" t="s">
        <v>4397</v>
      </c>
      <c r="C7864" s="402" t="s">
        <v>35</v>
      </c>
      <c r="D7864" s="601">
        <v>115.13</v>
      </c>
    </row>
    <row r="7865" spans="1:4" ht="27">
      <c r="A7865" s="402" t="s">
        <v>4398</v>
      </c>
      <c r="B7865" s="403" t="s">
        <v>4399</v>
      </c>
      <c r="C7865" s="402" t="s">
        <v>35</v>
      </c>
      <c r="D7865" s="601">
        <v>332.22</v>
      </c>
    </row>
    <row r="7866" spans="1:4" ht="27">
      <c r="A7866" s="402" t="s">
        <v>4400</v>
      </c>
      <c r="B7866" s="403" t="s">
        <v>4401</v>
      </c>
      <c r="C7866" s="402" t="s">
        <v>35</v>
      </c>
      <c r="D7866" s="601">
        <v>863.98</v>
      </c>
    </row>
    <row r="7867" spans="1:4" ht="27">
      <c r="A7867" s="402" t="s">
        <v>4402</v>
      </c>
      <c r="B7867" s="403" t="s">
        <v>4403</v>
      </c>
      <c r="C7867" s="402" t="s">
        <v>35</v>
      </c>
      <c r="D7867" s="601">
        <v>1181.9000000000001</v>
      </c>
    </row>
    <row r="7868" spans="1:4" ht="27">
      <c r="A7868" s="402" t="s">
        <v>4404</v>
      </c>
      <c r="B7868" s="403" t="s">
        <v>4405</v>
      </c>
      <c r="C7868" s="402" t="s">
        <v>35</v>
      </c>
      <c r="D7868" s="601">
        <v>1938.12</v>
      </c>
    </row>
    <row r="7869" spans="1:4" ht="27">
      <c r="A7869" s="402" t="s">
        <v>4388</v>
      </c>
      <c r="B7869" s="403" t="s">
        <v>4389</v>
      </c>
      <c r="C7869" s="402" t="s">
        <v>35</v>
      </c>
      <c r="D7869" s="601">
        <v>521.19000000000005</v>
      </c>
    </row>
    <row r="7870" spans="1:4" ht="40.5">
      <c r="A7870" s="402" t="s">
        <v>4406</v>
      </c>
      <c r="B7870" s="403" t="s">
        <v>801</v>
      </c>
      <c r="C7870" s="402" t="s">
        <v>35</v>
      </c>
      <c r="D7870" s="601">
        <v>62.79</v>
      </c>
    </row>
    <row r="7871" spans="1:4" ht="40.5">
      <c r="A7871" s="402" t="s">
        <v>4407</v>
      </c>
      <c r="B7871" s="403" t="s">
        <v>31</v>
      </c>
      <c r="C7871" s="402" t="s">
        <v>35</v>
      </c>
      <c r="D7871" s="601">
        <v>458.96</v>
      </c>
    </row>
    <row r="7872" spans="1:4" ht="40.5">
      <c r="A7872" s="402" t="s">
        <v>4408</v>
      </c>
      <c r="B7872" s="403" t="s">
        <v>32</v>
      </c>
      <c r="C7872" s="402" t="s">
        <v>35</v>
      </c>
      <c r="D7872" s="601">
        <v>526.41999999999996</v>
      </c>
    </row>
    <row r="7873" spans="1:4" ht="40.5">
      <c r="A7873" s="402" t="s">
        <v>4409</v>
      </c>
      <c r="B7873" s="403" t="s">
        <v>802</v>
      </c>
      <c r="C7873" s="402" t="s">
        <v>35</v>
      </c>
      <c r="D7873" s="601">
        <v>605.64</v>
      </c>
    </row>
    <row r="7874" spans="1:4" ht="40.5">
      <c r="A7874" s="402" t="s">
        <v>4410</v>
      </c>
      <c r="B7874" s="403" t="s">
        <v>803</v>
      </c>
      <c r="C7874" s="402" t="s">
        <v>35</v>
      </c>
      <c r="D7874" s="601">
        <v>851.55</v>
      </c>
    </row>
    <row r="7875" spans="1:4" ht="40.5">
      <c r="A7875" s="402" t="s">
        <v>4411</v>
      </c>
      <c r="B7875" s="403" t="s">
        <v>804</v>
      </c>
      <c r="C7875" s="402" t="s">
        <v>35</v>
      </c>
      <c r="D7875" s="601">
        <v>1233.28</v>
      </c>
    </row>
    <row r="7876" spans="1:4" ht="40.5">
      <c r="A7876" s="402">
        <v>83463</v>
      </c>
      <c r="B7876" s="403" t="s">
        <v>1200</v>
      </c>
      <c r="C7876" s="402" t="s">
        <v>35</v>
      </c>
      <c r="D7876" s="601">
        <v>356.23</v>
      </c>
    </row>
    <row r="7877" spans="1:4" ht="40.5">
      <c r="A7877" s="402">
        <v>84402</v>
      </c>
      <c r="B7877" s="403" t="s">
        <v>1223</v>
      </c>
      <c r="C7877" s="402" t="s">
        <v>35</v>
      </c>
      <c r="D7877" s="601">
        <v>80.23</v>
      </c>
    </row>
    <row r="7878" spans="1:4" ht="27">
      <c r="A7878" s="402">
        <v>93653</v>
      </c>
      <c r="B7878" s="403" t="s">
        <v>690</v>
      </c>
      <c r="C7878" s="402" t="s">
        <v>35</v>
      </c>
      <c r="D7878" s="601">
        <v>10.16</v>
      </c>
    </row>
    <row r="7879" spans="1:4" ht="27">
      <c r="A7879" s="402">
        <v>93654</v>
      </c>
      <c r="B7879" s="403" t="s">
        <v>691</v>
      </c>
      <c r="C7879" s="402" t="s">
        <v>35</v>
      </c>
      <c r="D7879" s="601">
        <v>10.58</v>
      </c>
    </row>
    <row r="7880" spans="1:4" ht="27">
      <c r="A7880" s="402">
        <v>93655</v>
      </c>
      <c r="B7880" s="403" t="s">
        <v>692</v>
      </c>
      <c r="C7880" s="402" t="s">
        <v>35</v>
      </c>
      <c r="D7880" s="601">
        <v>11.38</v>
      </c>
    </row>
    <row r="7881" spans="1:4" ht="27">
      <c r="A7881" s="402">
        <v>93656</v>
      </c>
      <c r="B7881" s="403" t="s">
        <v>693</v>
      </c>
      <c r="C7881" s="402" t="s">
        <v>35</v>
      </c>
      <c r="D7881" s="601">
        <v>11.38</v>
      </c>
    </row>
    <row r="7882" spans="1:4" ht="27">
      <c r="A7882" s="402">
        <v>93657</v>
      </c>
      <c r="B7882" s="403" t="s">
        <v>694</v>
      </c>
      <c r="C7882" s="402" t="s">
        <v>35</v>
      </c>
      <c r="D7882" s="601">
        <v>12.38</v>
      </c>
    </row>
    <row r="7883" spans="1:4" ht="27">
      <c r="A7883" s="402">
        <v>93658</v>
      </c>
      <c r="B7883" s="403" t="s">
        <v>695</v>
      </c>
      <c r="C7883" s="402" t="s">
        <v>35</v>
      </c>
      <c r="D7883" s="601">
        <v>17.93</v>
      </c>
    </row>
    <row r="7884" spans="1:4" ht="27">
      <c r="A7884" s="402">
        <v>93659</v>
      </c>
      <c r="B7884" s="403" t="s">
        <v>696</v>
      </c>
      <c r="C7884" s="402" t="s">
        <v>35</v>
      </c>
      <c r="D7884" s="601">
        <v>19.899999999999999</v>
      </c>
    </row>
    <row r="7885" spans="1:4" ht="27">
      <c r="A7885" s="402">
        <v>93660</v>
      </c>
      <c r="B7885" s="403" t="s">
        <v>3268</v>
      </c>
      <c r="C7885" s="402" t="s">
        <v>35</v>
      </c>
      <c r="D7885" s="601">
        <v>51.41</v>
      </c>
    </row>
    <row r="7886" spans="1:4" ht="27">
      <c r="A7886" s="402">
        <v>93661</v>
      </c>
      <c r="B7886" s="403" t="s">
        <v>3269</v>
      </c>
      <c r="C7886" s="402" t="s">
        <v>35</v>
      </c>
      <c r="D7886" s="601">
        <v>52.23</v>
      </c>
    </row>
    <row r="7887" spans="1:4" ht="27">
      <c r="A7887" s="402">
        <v>93662</v>
      </c>
      <c r="B7887" s="403" t="s">
        <v>3270</v>
      </c>
      <c r="C7887" s="402" t="s">
        <v>35</v>
      </c>
      <c r="D7887" s="601">
        <v>53.89</v>
      </c>
    </row>
    <row r="7888" spans="1:4" ht="27">
      <c r="A7888" s="402">
        <v>93663</v>
      </c>
      <c r="B7888" s="403" t="s">
        <v>3271</v>
      </c>
      <c r="C7888" s="402" t="s">
        <v>35</v>
      </c>
      <c r="D7888" s="601">
        <v>53.89</v>
      </c>
    </row>
    <row r="7889" spans="1:4" ht="27">
      <c r="A7889" s="402">
        <v>93664</v>
      </c>
      <c r="B7889" s="403" t="s">
        <v>3272</v>
      </c>
      <c r="C7889" s="402" t="s">
        <v>35</v>
      </c>
      <c r="D7889" s="601">
        <v>55.85</v>
      </c>
    </row>
    <row r="7890" spans="1:4" ht="27">
      <c r="A7890" s="402">
        <v>93665</v>
      </c>
      <c r="B7890" s="403" t="s">
        <v>3273</v>
      </c>
      <c r="C7890" s="402" t="s">
        <v>35</v>
      </c>
      <c r="D7890" s="601">
        <v>58.18</v>
      </c>
    </row>
    <row r="7891" spans="1:4" ht="27">
      <c r="A7891" s="402">
        <v>93666</v>
      </c>
      <c r="B7891" s="403" t="s">
        <v>3274</v>
      </c>
      <c r="C7891" s="402" t="s">
        <v>35</v>
      </c>
      <c r="D7891" s="601">
        <v>62.13</v>
      </c>
    </row>
    <row r="7892" spans="1:4" ht="27">
      <c r="A7892" s="402">
        <v>93667</v>
      </c>
      <c r="B7892" s="403" t="s">
        <v>697</v>
      </c>
      <c r="C7892" s="402" t="s">
        <v>35</v>
      </c>
      <c r="D7892" s="601">
        <v>64</v>
      </c>
    </row>
    <row r="7893" spans="1:4" ht="27">
      <c r="A7893" s="402">
        <v>93668</v>
      </c>
      <c r="B7893" s="403" t="s">
        <v>698</v>
      </c>
      <c r="C7893" s="402" t="s">
        <v>35</v>
      </c>
      <c r="D7893" s="601">
        <v>65.239999999999995</v>
      </c>
    </row>
    <row r="7894" spans="1:4" ht="27">
      <c r="A7894" s="402">
        <v>93669</v>
      </c>
      <c r="B7894" s="403" t="s">
        <v>699</v>
      </c>
      <c r="C7894" s="402" t="s">
        <v>35</v>
      </c>
      <c r="D7894" s="601">
        <v>67.709999999999994</v>
      </c>
    </row>
    <row r="7895" spans="1:4" ht="27">
      <c r="A7895" s="402">
        <v>93670</v>
      </c>
      <c r="B7895" s="403" t="s">
        <v>700</v>
      </c>
      <c r="C7895" s="402" t="s">
        <v>35</v>
      </c>
      <c r="D7895" s="601">
        <v>67.709999999999994</v>
      </c>
    </row>
    <row r="7896" spans="1:4" ht="27">
      <c r="A7896" s="402">
        <v>93671</v>
      </c>
      <c r="B7896" s="403" t="s">
        <v>701</v>
      </c>
      <c r="C7896" s="402" t="s">
        <v>35</v>
      </c>
      <c r="D7896" s="601">
        <v>70.67</v>
      </c>
    </row>
    <row r="7897" spans="1:4" ht="27">
      <c r="A7897" s="402">
        <v>93672</v>
      </c>
      <c r="B7897" s="403" t="s">
        <v>702</v>
      </c>
      <c r="C7897" s="402" t="s">
        <v>35</v>
      </c>
      <c r="D7897" s="601">
        <v>75.290000000000006</v>
      </c>
    </row>
    <row r="7898" spans="1:4" ht="27">
      <c r="A7898" s="402">
        <v>93673</v>
      </c>
      <c r="B7898" s="403" t="s">
        <v>703</v>
      </c>
      <c r="C7898" s="402" t="s">
        <v>35</v>
      </c>
      <c r="D7898" s="601">
        <v>81.209999999999994</v>
      </c>
    </row>
    <row r="7899" spans="1:4" ht="27">
      <c r="A7899" s="402">
        <v>97359</v>
      </c>
      <c r="B7899" s="403" t="s">
        <v>12394</v>
      </c>
      <c r="C7899" s="402" t="s">
        <v>35</v>
      </c>
      <c r="D7899" s="601">
        <v>2746.19</v>
      </c>
    </row>
    <row r="7900" spans="1:4" ht="27">
      <c r="A7900" s="402">
        <v>97360</v>
      </c>
      <c r="B7900" s="403" t="s">
        <v>12395</v>
      </c>
      <c r="C7900" s="402" t="s">
        <v>35</v>
      </c>
      <c r="D7900" s="601">
        <v>5301.22</v>
      </c>
    </row>
    <row r="7901" spans="1:4" ht="27">
      <c r="A7901" s="402">
        <v>97361</v>
      </c>
      <c r="B7901" s="403" t="s">
        <v>12396</v>
      </c>
      <c r="C7901" s="402" t="s">
        <v>35</v>
      </c>
      <c r="D7901" s="601">
        <v>7068.3</v>
      </c>
    </row>
    <row r="7902" spans="1:4" ht="27">
      <c r="A7902" s="402">
        <v>91945</v>
      </c>
      <c r="B7902" s="403" t="s">
        <v>583</v>
      </c>
      <c r="C7902" s="402" t="s">
        <v>35</v>
      </c>
      <c r="D7902" s="601">
        <v>5.98</v>
      </c>
    </row>
    <row r="7903" spans="1:4" ht="27">
      <c r="A7903" s="402">
        <v>91946</v>
      </c>
      <c r="B7903" s="403" t="s">
        <v>584</v>
      </c>
      <c r="C7903" s="402" t="s">
        <v>35</v>
      </c>
      <c r="D7903" s="601">
        <v>4.91</v>
      </c>
    </row>
    <row r="7904" spans="1:4" ht="27">
      <c r="A7904" s="402">
        <v>91947</v>
      </c>
      <c r="B7904" s="403" t="s">
        <v>585</v>
      </c>
      <c r="C7904" s="402" t="s">
        <v>35</v>
      </c>
      <c r="D7904" s="601">
        <v>4.25</v>
      </c>
    </row>
    <row r="7905" spans="1:4" ht="27">
      <c r="A7905" s="402">
        <v>91949</v>
      </c>
      <c r="B7905" s="403" t="s">
        <v>586</v>
      </c>
      <c r="C7905" s="402" t="s">
        <v>35</v>
      </c>
      <c r="D7905" s="601">
        <v>8.99</v>
      </c>
    </row>
    <row r="7906" spans="1:4" ht="27">
      <c r="A7906" s="402">
        <v>91950</v>
      </c>
      <c r="B7906" s="403" t="s">
        <v>587</v>
      </c>
      <c r="C7906" s="402" t="s">
        <v>35</v>
      </c>
      <c r="D7906" s="601">
        <v>7.7</v>
      </c>
    </row>
    <row r="7907" spans="1:4" ht="27">
      <c r="A7907" s="402">
        <v>91951</v>
      </c>
      <c r="B7907" s="403" t="s">
        <v>588</v>
      </c>
      <c r="C7907" s="402" t="s">
        <v>35</v>
      </c>
      <c r="D7907" s="601">
        <v>6.93</v>
      </c>
    </row>
    <row r="7908" spans="1:4" ht="27">
      <c r="A7908" s="402">
        <v>91952</v>
      </c>
      <c r="B7908" s="403" t="s">
        <v>2548</v>
      </c>
      <c r="C7908" s="402" t="s">
        <v>35</v>
      </c>
      <c r="D7908" s="601">
        <v>11.47</v>
      </c>
    </row>
    <row r="7909" spans="1:4" ht="27">
      <c r="A7909" s="402">
        <v>91953</v>
      </c>
      <c r="B7909" s="403" t="s">
        <v>589</v>
      </c>
      <c r="C7909" s="402" t="s">
        <v>35</v>
      </c>
      <c r="D7909" s="601">
        <v>16.38</v>
      </c>
    </row>
    <row r="7910" spans="1:4" ht="27">
      <c r="A7910" s="402">
        <v>91954</v>
      </c>
      <c r="B7910" s="403" t="s">
        <v>2549</v>
      </c>
      <c r="C7910" s="402" t="s">
        <v>35</v>
      </c>
      <c r="D7910" s="601">
        <v>15.43</v>
      </c>
    </row>
    <row r="7911" spans="1:4" ht="27">
      <c r="A7911" s="402">
        <v>91955</v>
      </c>
      <c r="B7911" s="403" t="s">
        <v>590</v>
      </c>
      <c r="C7911" s="402" t="s">
        <v>35</v>
      </c>
      <c r="D7911" s="601">
        <v>20.34</v>
      </c>
    </row>
    <row r="7912" spans="1:4" ht="27">
      <c r="A7912" s="402">
        <v>91956</v>
      </c>
      <c r="B7912" s="403" t="s">
        <v>2550</v>
      </c>
      <c r="C7912" s="402" t="s">
        <v>35</v>
      </c>
      <c r="D7912" s="601">
        <v>24.91</v>
      </c>
    </row>
    <row r="7913" spans="1:4" ht="27">
      <c r="A7913" s="402">
        <v>91957</v>
      </c>
      <c r="B7913" s="403" t="s">
        <v>2551</v>
      </c>
      <c r="C7913" s="402" t="s">
        <v>35</v>
      </c>
      <c r="D7913" s="601">
        <v>29.82</v>
      </c>
    </row>
    <row r="7914" spans="1:4" ht="27">
      <c r="A7914" s="402">
        <v>91958</v>
      </c>
      <c r="B7914" s="403" t="s">
        <v>2552</v>
      </c>
      <c r="C7914" s="402" t="s">
        <v>35</v>
      </c>
      <c r="D7914" s="601">
        <v>20.98</v>
      </c>
    </row>
    <row r="7915" spans="1:4" ht="27">
      <c r="A7915" s="402">
        <v>91959</v>
      </c>
      <c r="B7915" s="403" t="s">
        <v>591</v>
      </c>
      <c r="C7915" s="402" t="s">
        <v>35</v>
      </c>
      <c r="D7915" s="601">
        <v>25.89</v>
      </c>
    </row>
    <row r="7916" spans="1:4" ht="27">
      <c r="A7916" s="402">
        <v>91960</v>
      </c>
      <c r="B7916" s="403" t="s">
        <v>592</v>
      </c>
      <c r="C7916" s="402" t="s">
        <v>35</v>
      </c>
      <c r="D7916" s="601">
        <v>28.87</v>
      </c>
    </row>
    <row r="7917" spans="1:4" ht="27">
      <c r="A7917" s="402">
        <v>91961</v>
      </c>
      <c r="B7917" s="403" t="s">
        <v>593</v>
      </c>
      <c r="C7917" s="402" t="s">
        <v>35</v>
      </c>
      <c r="D7917" s="601">
        <v>33.78</v>
      </c>
    </row>
    <row r="7918" spans="1:4" ht="27">
      <c r="A7918" s="402">
        <v>91962</v>
      </c>
      <c r="B7918" s="403" t="s">
        <v>2553</v>
      </c>
      <c r="C7918" s="402" t="s">
        <v>35</v>
      </c>
      <c r="D7918" s="601">
        <v>38.380000000000003</v>
      </c>
    </row>
    <row r="7919" spans="1:4" ht="27">
      <c r="A7919" s="402">
        <v>91963</v>
      </c>
      <c r="B7919" s="403" t="s">
        <v>2554</v>
      </c>
      <c r="C7919" s="402" t="s">
        <v>35</v>
      </c>
      <c r="D7919" s="601">
        <v>43.29</v>
      </c>
    </row>
    <row r="7920" spans="1:4" ht="27">
      <c r="A7920" s="402">
        <v>91964</v>
      </c>
      <c r="B7920" s="403" t="s">
        <v>2555</v>
      </c>
      <c r="C7920" s="402" t="s">
        <v>35</v>
      </c>
      <c r="D7920" s="601">
        <v>34.42</v>
      </c>
    </row>
    <row r="7921" spans="1:4" ht="27">
      <c r="A7921" s="402">
        <v>91965</v>
      </c>
      <c r="B7921" s="403" t="s">
        <v>2556</v>
      </c>
      <c r="C7921" s="402" t="s">
        <v>35</v>
      </c>
      <c r="D7921" s="601">
        <v>39.33</v>
      </c>
    </row>
    <row r="7922" spans="1:4" ht="27">
      <c r="A7922" s="402">
        <v>91966</v>
      </c>
      <c r="B7922" s="403" t="s">
        <v>2557</v>
      </c>
      <c r="C7922" s="402" t="s">
        <v>35</v>
      </c>
      <c r="D7922" s="601">
        <v>30.51</v>
      </c>
    </row>
    <row r="7923" spans="1:4" ht="27">
      <c r="A7923" s="402">
        <v>91967</v>
      </c>
      <c r="B7923" s="403" t="s">
        <v>594</v>
      </c>
      <c r="C7923" s="402" t="s">
        <v>35</v>
      </c>
      <c r="D7923" s="601">
        <v>35.42</v>
      </c>
    </row>
    <row r="7924" spans="1:4" ht="27">
      <c r="A7924" s="402">
        <v>91968</v>
      </c>
      <c r="B7924" s="403" t="s">
        <v>595</v>
      </c>
      <c r="C7924" s="402" t="s">
        <v>35</v>
      </c>
      <c r="D7924" s="601">
        <v>42.31</v>
      </c>
    </row>
    <row r="7925" spans="1:4" ht="27">
      <c r="A7925" s="402">
        <v>91969</v>
      </c>
      <c r="B7925" s="403" t="s">
        <v>596</v>
      </c>
      <c r="C7925" s="402" t="s">
        <v>35</v>
      </c>
      <c r="D7925" s="601">
        <v>47.22</v>
      </c>
    </row>
    <row r="7926" spans="1:4" ht="27">
      <c r="A7926" s="402">
        <v>91970</v>
      </c>
      <c r="B7926" s="403" t="s">
        <v>2558</v>
      </c>
      <c r="C7926" s="402" t="s">
        <v>35</v>
      </c>
      <c r="D7926" s="601">
        <v>44.17</v>
      </c>
    </row>
    <row r="7927" spans="1:4" ht="27">
      <c r="A7927" s="402">
        <v>91971</v>
      </c>
      <c r="B7927" s="403" t="s">
        <v>2559</v>
      </c>
      <c r="C7927" s="402" t="s">
        <v>35</v>
      </c>
      <c r="D7927" s="601">
        <v>51.87</v>
      </c>
    </row>
    <row r="7928" spans="1:4" ht="27">
      <c r="A7928" s="402">
        <v>91972</v>
      </c>
      <c r="B7928" s="403" t="s">
        <v>2560</v>
      </c>
      <c r="C7928" s="402" t="s">
        <v>35</v>
      </c>
      <c r="D7928" s="601">
        <v>48.13</v>
      </c>
    </row>
    <row r="7929" spans="1:4" ht="27">
      <c r="A7929" s="402">
        <v>91973</v>
      </c>
      <c r="B7929" s="403" t="s">
        <v>2561</v>
      </c>
      <c r="C7929" s="402" t="s">
        <v>35</v>
      </c>
      <c r="D7929" s="601">
        <v>55.83</v>
      </c>
    </row>
    <row r="7930" spans="1:4" ht="27">
      <c r="A7930" s="402">
        <v>91974</v>
      </c>
      <c r="B7930" s="403" t="s">
        <v>2562</v>
      </c>
      <c r="C7930" s="402" t="s">
        <v>35</v>
      </c>
      <c r="D7930" s="601">
        <v>40.22</v>
      </c>
    </row>
    <row r="7931" spans="1:4" ht="27">
      <c r="A7931" s="402">
        <v>91975</v>
      </c>
      <c r="B7931" s="403" t="s">
        <v>597</v>
      </c>
      <c r="C7931" s="402" t="s">
        <v>35</v>
      </c>
      <c r="D7931" s="601">
        <v>47.92</v>
      </c>
    </row>
    <row r="7932" spans="1:4" ht="27">
      <c r="A7932" s="402">
        <v>91976</v>
      </c>
      <c r="B7932" s="403" t="s">
        <v>2563</v>
      </c>
      <c r="C7932" s="402" t="s">
        <v>35</v>
      </c>
      <c r="D7932" s="601">
        <v>59.32</v>
      </c>
    </row>
    <row r="7933" spans="1:4" ht="27">
      <c r="A7933" s="402">
        <v>91977</v>
      </c>
      <c r="B7933" s="403" t="s">
        <v>598</v>
      </c>
      <c r="C7933" s="402" t="s">
        <v>35</v>
      </c>
      <c r="D7933" s="601">
        <v>67.02</v>
      </c>
    </row>
    <row r="7934" spans="1:4" ht="27">
      <c r="A7934" s="402">
        <v>91978</v>
      </c>
      <c r="B7934" s="403" t="s">
        <v>4452</v>
      </c>
      <c r="C7934" s="402" t="s">
        <v>35</v>
      </c>
      <c r="D7934" s="601">
        <v>24.14</v>
      </c>
    </row>
    <row r="7935" spans="1:4" ht="27">
      <c r="A7935" s="402">
        <v>91979</v>
      </c>
      <c r="B7935" s="403" t="s">
        <v>4453</v>
      </c>
      <c r="C7935" s="402" t="s">
        <v>35</v>
      </c>
      <c r="D7935" s="601">
        <v>29.05</v>
      </c>
    </row>
    <row r="7936" spans="1:4" ht="27">
      <c r="A7936" s="402">
        <v>91980</v>
      </c>
      <c r="B7936" s="403" t="s">
        <v>4454</v>
      </c>
      <c r="C7936" s="402" t="s">
        <v>35</v>
      </c>
      <c r="D7936" s="601">
        <v>23.41</v>
      </c>
    </row>
    <row r="7937" spans="1:4" ht="27">
      <c r="A7937" s="402">
        <v>91981</v>
      </c>
      <c r="B7937" s="403" t="s">
        <v>4455</v>
      </c>
      <c r="C7937" s="402" t="s">
        <v>35</v>
      </c>
      <c r="D7937" s="601">
        <v>28.32</v>
      </c>
    </row>
    <row r="7938" spans="1:4" ht="27">
      <c r="A7938" s="402">
        <v>91982</v>
      </c>
      <c r="B7938" s="403" t="s">
        <v>4456</v>
      </c>
      <c r="C7938" s="402" t="s">
        <v>35</v>
      </c>
      <c r="D7938" s="601">
        <v>53.21</v>
      </c>
    </row>
    <row r="7939" spans="1:4" ht="27">
      <c r="A7939" s="402">
        <v>91983</v>
      </c>
      <c r="B7939" s="403" t="s">
        <v>4457</v>
      </c>
      <c r="C7939" s="402" t="s">
        <v>35</v>
      </c>
      <c r="D7939" s="601">
        <v>58.12</v>
      </c>
    </row>
    <row r="7940" spans="1:4" ht="27">
      <c r="A7940" s="402">
        <v>91984</v>
      </c>
      <c r="B7940" s="403" t="s">
        <v>4458</v>
      </c>
      <c r="C7940" s="402" t="s">
        <v>35</v>
      </c>
      <c r="D7940" s="601">
        <v>10.8</v>
      </c>
    </row>
    <row r="7941" spans="1:4" ht="27">
      <c r="A7941" s="402">
        <v>91985</v>
      </c>
      <c r="B7941" s="403" t="s">
        <v>4459</v>
      </c>
      <c r="C7941" s="402" t="s">
        <v>35</v>
      </c>
      <c r="D7941" s="601">
        <v>15.71</v>
      </c>
    </row>
    <row r="7942" spans="1:4" ht="27">
      <c r="A7942" s="402">
        <v>91986</v>
      </c>
      <c r="B7942" s="403" t="s">
        <v>4460</v>
      </c>
      <c r="C7942" s="402" t="s">
        <v>35</v>
      </c>
      <c r="D7942" s="601">
        <v>22.51</v>
      </c>
    </row>
    <row r="7943" spans="1:4" ht="27">
      <c r="A7943" s="402">
        <v>91987</v>
      </c>
      <c r="B7943" s="403" t="s">
        <v>4461</v>
      </c>
      <c r="C7943" s="402" t="s">
        <v>35</v>
      </c>
      <c r="D7943" s="601">
        <v>27.42</v>
      </c>
    </row>
    <row r="7944" spans="1:4" ht="27">
      <c r="A7944" s="402">
        <v>91988</v>
      </c>
      <c r="B7944" s="403" t="s">
        <v>4462</v>
      </c>
      <c r="C7944" s="402" t="s">
        <v>35</v>
      </c>
      <c r="D7944" s="601">
        <v>13.23</v>
      </c>
    </row>
    <row r="7945" spans="1:4" ht="27">
      <c r="A7945" s="402">
        <v>91989</v>
      </c>
      <c r="B7945" s="403" t="s">
        <v>4463</v>
      </c>
      <c r="C7945" s="402" t="s">
        <v>35</v>
      </c>
      <c r="D7945" s="601">
        <v>18.14</v>
      </c>
    </row>
    <row r="7946" spans="1:4" ht="27">
      <c r="A7946" s="402">
        <v>91990</v>
      </c>
      <c r="B7946" s="403" t="s">
        <v>56</v>
      </c>
      <c r="C7946" s="402" t="s">
        <v>35</v>
      </c>
      <c r="D7946" s="601">
        <v>20.9</v>
      </c>
    </row>
    <row r="7947" spans="1:4" ht="27">
      <c r="A7947" s="402">
        <v>91991</v>
      </c>
      <c r="B7947" s="403" t="s">
        <v>599</v>
      </c>
      <c r="C7947" s="402" t="s">
        <v>35</v>
      </c>
      <c r="D7947" s="601">
        <v>22.21</v>
      </c>
    </row>
    <row r="7948" spans="1:4" ht="27">
      <c r="A7948" s="402">
        <v>91992</v>
      </c>
      <c r="B7948" s="403" t="s">
        <v>2564</v>
      </c>
      <c r="C7948" s="402" t="s">
        <v>35</v>
      </c>
      <c r="D7948" s="601">
        <v>25.81</v>
      </c>
    </row>
    <row r="7949" spans="1:4" ht="27">
      <c r="A7949" s="402">
        <v>91993</v>
      </c>
      <c r="B7949" s="403" t="s">
        <v>2565</v>
      </c>
      <c r="C7949" s="402" t="s">
        <v>35</v>
      </c>
      <c r="D7949" s="601">
        <v>27.12</v>
      </c>
    </row>
    <row r="7950" spans="1:4" ht="27">
      <c r="A7950" s="402">
        <v>91994</v>
      </c>
      <c r="B7950" s="403" t="s">
        <v>600</v>
      </c>
      <c r="C7950" s="402" t="s">
        <v>35</v>
      </c>
      <c r="D7950" s="601">
        <v>14.76</v>
      </c>
    </row>
    <row r="7951" spans="1:4" ht="27">
      <c r="A7951" s="402">
        <v>91995</v>
      </c>
      <c r="B7951" s="403" t="s">
        <v>601</v>
      </c>
      <c r="C7951" s="402" t="s">
        <v>35</v>
      </c>
      <c r="D7951" s="601">
        <v>16.07</v>
      </c>
    </row>
    <row r="7952" spans="1:4" ht="27">
      <c r="A7952" s="402">
        <v>91996</v>
      </c>
      <c r="B7952" s="403" t="s">
        <v>2566</v>
      </c>
      <c r="C7952" s="402" t="s">
        <v>35</v>
      </c>
      <c r="D7952" s="601">
        <v>19.670000000000002</v>
      </c>
    </row>
    <row r="7953" spans="1:4" ht="27">
      <c r="A7953" s="402">
        <v>91997</v>
      </c>
      <c r="B7953" s="403" t="s">
        <v>2567</v>
      </c>
      <c r="C7953" s="402" t="s">
        <v>35</v>
      </c>
      <c r="D7953" s="601">
        <v>20.98</v>
      </c>
    </row>
    <row r="7954" spans="1:4" ht="27">
      <c r="A7954" s="402">
        <v>91998</v>
      </c>
      <c r="B7954" s="403" t="s">
        <v>602</v>
      </c>
      <c r="C7954" s="402" t="s">
        <v>35</v>
      </c>
      <c r="D7954" s="601">
        <v>12.36</v>
      </c>
    </row>
    <row r="7955" spans="1:4" ht="27">
      <c r="A7955" s="402">
        <v>91999</v>
      </c>
      <c r="B7955" s="403" t="s">
        <v>603</v>
      </c>
      <c r="C7955" s="402" t="s">
        <v>35</v>
      </c>
      <c r="D7955" s="601">
        <v>13.67</v>
      </c>
    </row>
    <row r="7956" spans="1:4" ht="27">
      <c r="A7956" s="402">
        <v>92000</v>
      </c>
      <c r="B7956" s="403" t="s">
        <v>2568</v>
      </c>
      <c r="C7956" s="402" t="s">
        <v>35</v>
      </c>
      <c r="D7956" s="601">
        <v>17.27</v>
      </c>
    </row>
    <row r="7957" spans="1:4" ht="27">
      <c r="A7957" s="402">
        <v>92001</v>
      </c>
      <c r="B7957" s="403" t="s">
        <v>2569</v>
      </c>
      <c r="C7957" s="402" t="s">
        <v>35</v>
      </c>
      <c r="D7957" s="601">
        <v>18.579999999999998</v>
      </c>
    </row>
    <row r="7958" spans="1:4" ht="27">
      <c r="A7958" s="402">
        <v>92002</v>
      </c>
      <c r="B7958" s="403" t="s">
        <v>2570</v>
      </c>
      <c r="C7958" s="402" t="s">
        <v>35</v>
      </c>
      <c r="D7958" s="601">
        <v>27.53</v>
      </c>
    </row>
    <row r="7959" spans="1:4" ht="27">
      <c r="A7959" s="402">
        <v>92003</v>
      </c>
      <c r="B7959" s="403" t="s">
        <v>2571</v>
      </c>
      <c r="C7959" s="402" t="s">
        <v>35</v>
      </c>
      <c r="D7959" s="601">
        <v>30.15</v>
      </c>
    </row>
    <row r="7960" spans="1:4" ht="27">
      <c r="A7960" s="402">
        <v>92004</v>
      </c>
      <c r="B7960" s="403" t="s">
        <v>2572</v>
      </c>
      <c r="C7960" s="402" t="s">
        <v>35</v>
      </c>
      <c r="D7960" s="601">
        <v>32.44</v>
      </c>
    </row>
    <row r="7961" spans="1:4" ht="27">
      <c r="A7961" s="402">
        <v>92005</v>
      </c>
      <c r="B7961" s="403" t="s">
        <v>2573</v>
      </c>
      <c r="C7961" s="402" t="s">
        <v>35</v>
      </c>
      <c r="D7961" s="601">
        <v>35.06</v>
      </c>
    </row>
    <row r="7962" spans="1:4" ht="27">
      <c r="A7962" s="402">
        <v>92006</v>
      </c>
      <c r="B7962" s="403" t="s">
        <v>2574</v>
      </c>
      <c r="C7962" s="402" t="s">
        <v>35</v>
      </c>
      <c r="D7962" s="601">
        <v>22.75</v>
      </c>
    </row>
    <row r="7963" spans="1:4" ht="27">
      <c r="A7963" s="402">
        <v>92007</v>
      </c>
      <c r="B7963" s="403" t="s">
        <v>2575</v>
      </c>
      <c r="C7963" s="402" t="s">
        <v>35</v>
      </c>
      <c r="D7963" s="601">
        <v>25.37</v>
      </c>
    </row>
    <row r="7964" spans="1:4" ht="27">
      <c r="A7964" s="402">
        <v>92008</v>
      </c>
      <c r="B7964" s="403" t="s">
        <v>2576</v>
      </c>
      <c r="C7964" s="402" t="s">
        <v>35</v>
      </c>
      <c r="D7964" s="601">
        <v>27.66</v>
      </c>
    </row>
    <row r="7965" spans="1:4" ht="27">
      <c r="A7965" s="402">
        <v>92009</v>
      </c>
      <c r="B7965" s="403" t="s">
        <v>2577</v>
      </c>
      <c r="C7965" s="402" t="s">
        <v>35</v>
      </c>
      <c r="D7965" s="601">
        <v>30.28</v>
      </c>
    </row>
    <row r="7966" spans="1:4" ht="27">
      <c r="A7966" s="402">
        <v>92010</v>
      </c>
      <c r="B7966" s="403" t="s">
        <v>2578</v>
      </c>
      <c r="C7966" s="402" t="s">
        <v>35</v>
      </c>
      <c r="D7966" s="601">
        <v>40.299999999999997</v>
      </c>
    </row>
    <row r="7967" spans="1:4" ht="27">
      <c r="A7967" s="402">
        <v>92011</v>
      </c>
      <c r="B7967" s="403" t="s">
        <v>2579</v>
      </c>
      <c r="C7967" s="402" t="s">
        <v>35</v>
      </c>
      <c r="D7967" s="601">
        <v>44.23</v>
      </c>
    </row>
    <row r="7968" spans="1:4" ht="27">
      <c r="A7968" s="402">
        <v>92012</v>
      </c>
      <c r="B7968" s="403" t="s">
        <v>2580</v>
      </c>
      <c r="C7968" s="402" t="s">
        <v>35</v>
      </c>
      <c r="D7968" s="601">
        <v>45.21</v>
      </c>
    </row>
    <row r="7969" spans="1:4" ht="27">
      <c r="A7969" s="402">
        <v>92013</v>
      </c>
      <c r="B7969" s="403" t="s">
        <v>2581</v>
      </c>
      <c r="C7969" s="402" t="s">
        <v>35</v>
      </c>
      <c r="D7969" s="601">
        <v>49.14</v>
      </c>
    </row>
    <row r="7970" spans="1:4" ht="27">
      <c r="A7970" s="402">
        <v>92014</v>
      </c>
      <c r="B7970" s="403" t="s">
        <v>2582</v>
      </c>
      <c r="C7970" s="402" t="s">
        <v>35</v>
      </c>
      <c r="D7970" s="601">
        <v>33.130000000000003</v>
      </c>
    </row>
    <row r="7971" spans="1:4" ht="27">
      <c r="A7971" s="402">
        <v>92015</v>
      </c>
      <c r="B7971" s="403" t="s">
        <v>2583</v>
      </c>
      <c r="C7971" s="402" t="s">
        <v>35</v>
      </c>
      <c r="D7971" s="601">
        <v>37.06</v>
      </c>
    </row>
    <row r="7972" spans="1:4" ht="27">
      <c r="A7972" s="402">
        <v>92016</v>
      </c>
      <c r="B7972" s="403" t="s">
        <v>2584</v>
      </c>
      <c r="C7972" s="402" t="s">
        <v>35</v>
      </c>
      <c r="D7972" s="601">
        <v>38.04</v>
      </c>
    </row>
    <row r="7973" spans="1:4" ht="27">
      <c r="A7973" s="402">
        <v>92017</v>
      </c>
      <c r="B7973" s="403" t="s">
        <v>2585</v>
      </c>
      <c r="C7973" s="402" t="s">
        <v>35</v>
      </c>
      <c r="D7973" s="601">
        <v>41.97</v>
      </c>
    </row>
    <row r="7974" spans="1:4" ht="27">
      <c r="A7974" s="402">
        <v>92018</v>
      </c>
      <c r="B7974" s="403" t="s">
        <v>2586</v>
      </c>
      <c r="C7974" s="402" t="s">
        <v>35</v>
      </c>
      <c r="D7974" s="601">
        <v>43.84</v>
      </c>
    </row>
    <row r="7975" spans="1:4" ht="27">
      <c r="A7975" s="402">
        <v>92019</v>
      </c>
      <c r="B7975" s="403" t="s">
        <v>2587</v>
      </c>
      <c r="C7975" s="402" t="s">
        <v>35</v>
      </c>
      <c r="D7975" s="601">
        <v>51.54</v>
      </c>
    </row>
    <row r="7976" spans="1:4" ht="27">
      <c r="A7976" s="402">
        <v>92020</v>
      </c>
      <c r="B7976" s="403" t="s">
        <v>2588</v>
      </c>
      <c r="C7976" s="402" t="s">
        <v>35</v>
      </c>
      <c r="D7976" s="601">
        <v>64.760000000000005</v>
      </c>
    </row>
    <row r="7977" spans="1:4" ht="27">
      <c r="A7977" s="402">
        <v>92021</v>
      </c>
      <c r="B7977" s="403" t="s">
        <v>2589</v>
      </c>
      <c r="C7977" s="402" t="s">
        <v>35</v>
      </c>
      <c r="D7977" s="601">
        <v>72.459999999999994</v>
      </c>
    </row>
    <row r="7978" spans="1:4" ht="27">
      <c r="A7978" s="402">
        <v>92022</v>
      </c>
      <c r="B7978" s="403" t="s">
        <v>604</v>
      </c>
      <c r="C7978" s="402" t="s">
        <v>35</v>
      </c>
      <c r="D7978" s="601">
        <v>24.24</v>
      </c>
    </row>
    <row r="7979" spans="1:4" ht="27">
      <c r="A7979" s="402">
        <v>92023</v>
      </c>
      <c r="B7979" s="403" t="s">
        <v>2590</v>
      </c>
      <c r="C7979" s="402" t="s">
        <v>35</v>
      </c>
      <c r="D7979" s="601">
        <v>29.15</v>
      </c>
    </row>
    <row r="7980" spans="1:4" ht="27">
      <c r="A7980" s="402">
        <v>92024</v>
      </c>
      <c r="B7980" s="403" t="s">
        <v>2591</v>
      </c>
      <c r="C7980" s="402" t="s">
        <v>35</v>
      </c>
      <c r="D7980" s="601">
        <v>37.04</v>
      </c>
    </row>
    <row r="7981" spans="1:4" ht="27">
      <c r="A7981" s="402">
        <v>92025</v>
      </c>
      <c r="B7981" s="403" t="s">
        <v>2592</v>
      </c>
      <c r="C7981" s="402" t="s">
        <v>35</v>
      </c>
      <c r="D7981" s="601">
        <v>41.95</v>
      </c>
    </row>
    <row r="7982" spans="1:4" ht="27">
      <c r="A7982" s="402">
        <v>92026</v>
      </c>
      <c r="B7982" s="403" t="s">
        <v>2593</v>
      </c>
      <c r="C7982" s="402" t="s">
        <v>35</v>
      </c>
      <c r="D7982" s="601">
        <v>33.75</v>
      </c>
    </row>
    <row r="7983" spans="1:4" ht="27">
      <c r="A7983" s="402">
        <v>92027</v>
      </c>
      <c r="B7983" s="403" t="s">
        <v>2594</v>
      </c>
      <c r="C7983" s="402" t="s">
        <v>35</v>
      </c>
      <c r="D7983" s="601">
        <v>38.659999999999997</v>
      </c>
    </row>
    <row r="7984" spans="1:4" ht="27">
      <c r="A7984" s="402">
        <v>92028</v>
      </c>
      <c r="B7984" s="403" t="s">
        <v>2595</v>
      </c>
      <c r="C7984" s="402" t="s">
        <v>35</v>
      </c>
      <c r="D7984" s="601">
        <v>28.2</v>
      </c>
    </row>
    <row r="7985" spans="1:4" ht="27">
      <c r="A7985" s="402">
        <v>92029</v>
      </c>
      <c r="B7985" s="403" t="s">
        <v>2596</v>
      </c>
      <c r="C7985" s="402" t="s">
        <v>35</v>
      </c>
      <c r="D7985" s="601">
        <v>33.11</v>
      </c>
    </row>
    <row r="7986" spans="1:4" ht="27">
      <c r="A7986" s="402">
        <v>92030</v>
      </c>
      <c r="B7986" s="403" t="s">
        <v>2597</v>
      </c>
      <c r="C7986" s="402" t="s">
        <v>35</v>
      </c>
      <c r="D7986" s="601">
        <v>40.97</v>
      </c>
    </row>
    <row r="7987" spans="1:4" ht="27">
      <c r="A7987" s="402">
        <v>92031</v>
      </c>
      <c r="B7987" s="403" t="s">
        <v>2598</v>
      </c>
      <c r="C7987" s="402" t="s">
        <v>35</v>
      </c>
      <c r="D7987" s="601">
        <v>45.88</v>
      </c>
    </row>
    <row r="7988" spans="1:4" ht="27">
      <c r="A7988" s="402">
        <v>92032</v>
      </c>
      <c r="B7988" s="403" t="s">
        <v>2599</v>
      </c>
      <c r="C7988" s="402" t="s">
        <v>35</v>
      </c>
      <c r="D7988" s="601">
        <v>41.64</v>
      </c>
    </row>
    <row r="7989" spans="1:4" ht="27">
      <c r="A7989" s="402">
        <v>92033</v>
      </c>
      <c r="B7989" s="403" t="s">
        <v>2600</v>
      </c>
      <c r="C7989" s="402" t="s">
        <v>35</v>
      </c>
      <c r="D7989" s="601">
        <v>46.55</v>
      </c>
    </row>
    <row r="7990" spans="1:4" ht="40.5">
      <c r="A7990" s="402">
        <v>92034</v>
      </c>
      <c r="B7990" s="403" t="s">
        <v>2601</v>
      </c>
      <c r="C7990" s="402" t="s">
        <v>35</v>
      </c>
      <c r="D7990" s="601">
        <v>37.71</v>
      </c>
    </row>
    <row r="7991" spans="1:4" ht="40.5">
      <c r="A7991" s="402">
        <v>92035</v>
      </c>
      <c r="B7991" s="403" t="s">
        <v>2602</v>
      </c>
      <c r="C7991" s="402" t="s">
        <v>35</v>
      </c>
      <c r="D7991" s="601">
        <v>42.62</v>
      </c>
    </row>
    <row r="7992" spans="1:4" ht="13.5">
      <c r="A7992" s="402">
        <v>72278</v>
      </c>
      <c r="B7992" s="403" t="s">
        <v>112</v>
      </c>
      <c r="C7992" s="402" t="s">
        <v>35</v>
      </c>
      <c r="D7992" s="601">
        <v>63.56</v>
      </c>
    </row>
    <row r="7993" spans="1:4" ht="13.5">
      <c r="A7993" s="402">
        <v>72280</v>
      </c>
      <c r="B7993" s="403" t="s">
        <v>113</v>
      </c>
      <c r="C7993" s="402" t="s">
        <v>35</v>
      </c>
      <c r="D7993" s="601">
        <v>39.630000000000003</v>
      </c>
    </row>
    <row r="7994" spans="1:4" ht="27">
      <c r="A7994" s="402">
        <v>97583</v>
      </c>
      <c r="B7994" s="403" t="s">
        <v>12397</v>
      </c>
      <c r="C7994" s="402" t="s">
        <v>35</v>
      </c>
      <c r="D7994" s="601">
        <v>42.63</v>
      </c>
    </row>
    <row r="7995" spans="1:4" ht="27">
      <c r="A7995" s="402">
        <v>97584</v>
      </c>
      <c r="B7995" s="403" t="s">
        <v>12398</v>
      </c>
      <c r="C7995" s="402" t="s">
        <v>35</v>
      </c>
      <c r="D7995" s="601">
        <v>58.69</v>
      </c>
    </row>
    <row r="7996" spans="1:4" ht="27">
      <c r="A7996" s="402">
        <v>97585</v>
      </c>
      <c r="B7996" s="403" t="s">
        <v>12399</v>
      </c>
      <c r="C7996" s="402" t="s">
        <v>35</v>
      </c>
      <c r="D7996" s="601">
        <v>56.88</v>
      </c>
    </row>
    <row r="7997" spans="1:4" ht="27">
      <c r="A7997" s="402">
        <v>97586</v>
      </c>
      <c r="B7997" s="403" t="s">
        <v>12400</v>
      </c>
      <c r="C7997" s="402" t="s">
        <v>35</v>
      </c>
      <c r="D7997" s="601">
        <v>76.27</v>
      </c>
    </row>
    <row r="7998" spans="1:4" ht="27">
      <c r="A7998" s="402">
        <v>97587</v>
      </c>
      <c r="B7998" s="403" t="s">
        <v>12401</v>
      </c>
      <c r="C7998" s="402" t="s">
        <v>35</v>
      </c>
      <c r="D7998" s="601">
        <v>136.55000000000001</v>
      </c>
    </row>
    <row r="7999" spans="1:4" ht="27">
      <c r="A7999" s="402">
        <v>97589</v>
      </c>
      <c r="B7999" s="403" t="s">
        <v>12402</v>
      </c>
      <c r="C7999" s="402" t="s">
        <v>35</v>
      </c>
      <c r="D7999" s="601">
        <v>24.52</v>
      </c>
    </row>
    <row r="8000" spans="1:4" ht="27">
      <c r="A8000" s="402">
        <v>97590</v>
      </c>
      <c r="B8000" s="403" t="s">
        <v>12403</v>
      </c>
      <c r="C8000" s="402" t="s">
        <v>35</v>
      </c>
      <c r="D8000" s="601">
        <v>51.32</v>
      </c>
    </row>
    <row r="8001" spans="1:4" ht="27">
      <c r="A8001" s="402">
        <v>97591</v>
      </c>
      <c r="B8001" s="403" t="s">
        <v>12404</v>
      </c>
      <c r="C8001" s="402" t="s">
        <v>35</v>
      </c>
      <c r="D8001" s="601">
        <v>68.180000000000007</v>
      </c>
    </row>
    <row r="8002" spans="1:4" ht="27">
      <c r="A8002" s="402">
        <v>97592</v>
      </c>
      <c r="B8002" s="403" t="s">
        <v>12405</v>
      </c>
      <c r="C8002" s="402" t="s">
        <v>35</v>
      </c>
      <c r="D8002" s="601">
        <v>29.09</v>
      </c>
    </row>
    <row r="8003" spans="1:4" ht="27">
      <c r="A8003" s="402">
        <v>97593</v>
      </c>
      <c r="B8003" s="403" t="s">
        <v>12406</v>
      </c>
      <c r="C8003" s="402" t="s">
        <v>35</v>
      </c>
      <c r="D8003" s="601">
        <v>71.290000000000006</v>
      </c>
    </row>
    <row r="8004" spans="1:4" ht="27">
      <c r="A8004" s="402">
        <v>97594</v>
      </c>
      <c r="B8004" s="403" t="s">
        <v>12407</v>
      </c>
      <c r="C8004" s="402" t="s">
        <v>35</v>
      </c>
      <c r="D8004" s="601">
        <v>67.75</v>
      </c>
    </row>
    <row r="8005" spans="1:4" ht="27">
      <c r="A8005" s="402">
        <v>97595</v>
      </c>
      <c r="B8005" s="403" t="s">
        <v>12408</v>
      </c>
      <c r="C8005" s="402" t="s">
        <v>35</v>
      </c>
      <c r="D8005" s="601">
        <v>51.67</v>
      </c>
    </row>
    <row r="8006" spans="1:4" ht="27">
      <c r="A8006" s="402">
        <v>97596</v>
      </c>
      <c r="B8006" s="403" t="s">
        <v>12409</v>
      </c>
      <c r="C8006" s="402" t="s">
        <v>35</v>
      </c>
      <c r="D8006" s="601">
        <v>37.200000000000003</v>
      </c>
    </row>
    <row r="8007" spans="1:4" ht="27">
      <c r="A8007" s="402">
        <v>97597</v>
      </c>
      <c r="B8007" s="403" t="s">
        <v>12410</v>
      </c>
      <c r="C8007" s="402" t="s">
        <v>35</v>
      </c>
      <c r="D8007" s="601">
        <v>35.54</v>
      </c>
    </row>
    <row r="8008" spans="1:4" ht="27">
      <c r="A8008" s="402">
        <v>97598</v>
      </c>
      <c r="B8008" s="403" t="s">
        <v>12411</v>
      </c>
      <c r="C8008" s="402" t="s">
        <v>35</v>
      </c>
      <c r="D8008" s="601">
        <v>33.69</v>
      </c>
    </row>
    <row r="8009" spans="1:4" ht="27">
      <c r="A8009" s="402">
        <v>97599</v>
      </c>
      <c r="B8009" s="403" t="s">
        <v>12412</v>
      </c>
      <c r="C8009" s="402" t="s">
        <v>35</v>
      </c>
      <c r="D8009" s="601">
        <v>21.92</v>
      </c>
    </row>
    <row r="8010" spans="1:4" ht="27">
      <c r="A8010" s="402">
        <v>97609</v>
      </c>
      <c r="B8010" s="403" t="s">
        <v>12413</v>
      </c>
      <c r="C8010" s="402" t="s">
        <v>35</v>
      </c>
      <c r="D8010" s="601">
        <v>12.94</v>
      </c>
    </row>
    <row r="8011" spans="1:4" ht="27">
      <c r="A8011" s="402">
        <v>97610</v>
      </c>
      <c r="B8011" s="403" t="s">
        <v>12414</v>
      </c>
      <c r="C8011" s="402" t="s">
        <v>35</v>
      </c>
      <c r="D8011" s="601">
        <v>13.86</v>
      </c>
    </row>
    <row r="8012" spans="1:4" ht="27">
      <c r="A8012" s="402">
        <v>97611</v>
      </c>
      <c r="B8012" s="403" t="s">
        <v>12415</v>
      </c>
      <c r="C8012" s="402" t="s">
        <v>35</v>
      </c>
      <c r="D8012" s="601">
        <v>15.19</v>
      </c>
    </row>
    <row r="8013" spans="1:4" ht="27">
      <c r="A8013" s="402">
        <v>97612</v>
      </c>
      <c r="B8013" s="403" t="s">
        <v>12416</v>
      </c>
      <c r="C8013" s="402" t="s">
        <v>35</v>
      </c>
      <c r="D8013" s="601">
        <v>16.37</v>
      </c>
    </row>
    <row r="8014" spans="1:4" ht="27">
      <c r="A8014" s="402">
        <v>97613</v>
      </c>
      <c r="B8014" s="403" t="s">
        <v>12417</v>
      </c>
      <c r="C8014" s="402" t="s">
        <v>35</v>
      </c>
      <c r="D8014" s="601">
        <v>20.260000000000002</v>
      </c>
    </row>
    <row r="8015" spans="1:4" ht="27">
      <c r="A8015" s="402">
        <v>97614</v>
      </c>
      <c r="B8015" s="403" t="s">
        <v>12418</v>
      </c>
      <c r="C8015" s="402" t="s">
        <v>35</v>
      </c>
      <c r="D8015" s="601">
        <v>34.340000000000003</v>
      </c>
    </row>
    <row r="8016" spans="1:4" ht="27">
      <c r="A8016" s="402">
        <v>97615</v>
      </c>
      <c r="B8016" s="403" t="s">
        <v>12419</v>
      </c>
      <c r="C8016" s="402" t="s">
        <v>35</v>
      </c>
      <c r="D8016" s="601">
        <v>30.58</v>
      </c>
    </row>
    <row r="8017" spans="1:4" ht="27">
      <c r="A8017" s="402">
        <v>97616</v>
      </c>
      <c r="B8017" s="403" t="s">
        <v>12420</v>
      </c>
      <c r="C8017" s="402" t="s">
        <v>35</v>
      </c>
      <c r="D8017" s="601">
        <v>34.340000000000003</v>
      </c>
    </row>
    <row r="8018" spans="1:4" ht="27">
      <c r="A8018" s="402">
        <v>97617</v>
      </c>
      <c r="B8018" s="403" t="s">
        <v>12421</v>
      </c>
      <c r="C8018" s="402" t="s">
        <v>35</v>
      </c>
      <c r="D8018" s="601">
        <v>34.159999999999997</v>
      </c>
    </row>
    <row r="8019" spans="1:4" ht="27">
      <c r="A8019" s="402">
        <v>97618</v>
      </c>
      <c r="B8019" s="403" t="s">
        <v>12422</v>
      </c>
      <c r="C8019" s="402" t="s">
        <v>35</v>
      </c>
      <c r="D8019" s="601">
        <v>32.229999999999997</v>
      </c>
    </row>
    <row r="8020" spans="1:4" ht="27">
      <c r="A8020" s="402">
        <v>100902</v>
      </c>
      <c r="B8020" s="403" t="s">
        <v>12423</v>
      </c>
      <c r="C8020" s="402" t="s">
        <v>35</v>
      </c>
      <c r="D8020" s="601">
        <v>21.07</v>
      </c>
    </row>
    <row r="8021" spans="1:4" ht="27">
      <c r="A8021" s="402">
        <v>100903</v>
      </c>
      <c r="B8021" s="403" t="s">
        <v>12424</v>
      </c>
      <c r="C8021" s="402" t="s">
        <v>35</v>
      </c>
      <c r="D8021" s="601">
        <v>25.13</v>
      </c>
    </row>
    <row r="8022" spans="1:4" ht="40.5">
      <c r="A8022" s="402">
        <v>100904</v>
      </c>
      <c r="B8022" s="403" t="s">
        <v>12425</v>
      </c>
      <c r="C8022" s="402" t="s">
        <v>35</v>
      </c>
      <c r="D8022" s="601">
        <v>42.63</v>
      </c>
    </row>
    <row r="8023" spans="1:4" ht="40.5">
      <c r="A8023" s="402">
        <v>100905</v>
      </c>
      <c r="B8023" s="403" t="s">
        <v>12426</v>
      </c>
      <c r="C8023" s="402" t="s">
        <v>35</v>
      </c>
      <c r="D8023" s="601">
        <v>113.77</v>
      </c>
    </row>
    <row r="8024" spans="1:4" ht="40.5">
      <c r="A8024" s="402">
        <v>100906</v>
      </c>
      <c r="B8024" s="403" t="s">
        <v>12427</v>
      </c>
      <c r="C8024" s="402" t="s">
        <v>35</v>
      </c>
      <c r="D8024" s="601">
        <v>152.55000000000001</v>
      </c>
    </row>
    <row r="8025" spans="1:4" ht="27">
      <c r="A8025" s="402">
        <v>100919</v>
      </c>
      <c r="B8025" s="403" t="s">
        <v>12428</v>
      </c>
      <c r="C8025" s="402" t="s">
        <v>35</v>
      </c>
      <c r="D8025" s="601">
        <v>38.94</v>
      </c>
    </row>
    <row r="8026" spans="1:4" ht="27">
      <c r="A8026" s="402">
        <v>100920</v>
      </c>
      <c r="B8026" s="403" t="s">
        <v>12429</v>
      </c>
      <c r="C8026" s="402" t="s">
        <v>35</v>
      </c>
      <c r="D8026" s="601">
        <v>64.900000000000006</v>
      </c>
    </row>
    <row r="8027" spans="1:4" ht="27">
      <c r="A8027" s="402">
        <v>100921</v>
      </c>
      <c r="B8027" s="403" t="s">
        <v>12430</v>
      </c>
      <c r="C8027" s="402" t="s">
        <v>35</v>
      </c>
      <c r="D8027" s="601">
        <v>35.619999999999997</v>
      </c>
    </row>
    <row r="8028" spans="1:4" ht="27">
      <c r="A8028" s="402">
        <v>100922</v>
      </c>
      <c r="B8028" s="403" t="s">
        <v>12431</v>
      </c>
      <c r="C8028" s="402" t="s">
        <v>35</v>
      </c>
      <c r="D8028" s="601">
        <v>25.43</v>
      </c>
    </row>
    <row r="8029" spans="1:4" ht="27">
      <c r="A8029" s="402">
        <v>100923</v>
      </c>
      <c r="B8029" s="403" t="s">
        <v>12432</v>
      </c>
      <c r="C8029" s="402" t="s">
        <v>35</v>
      </c>
      <c r="D8029" s="601">
        <v>28.89</v>
      </c>
    </row>
    <row r="8030" spans="1:4" ht="27">
      <c r="A8030" s="402">
        <v>72941</v>
      </c>
      <c r="B8030" s="403" t="s">
        <v>1177</v>
      </c>
      <c r="C8030" s="402" t="s">
        <v>35</v>
      </c>
      <c r="D8030" s="601">
        <v>126.33</v>
      </c>
    </row>
    <row r="8031" spans="1:4" ht="13.5">
      <c r="A8031" s="402">
        <v>73624</v>
      </c>
      <c r="B8031" s="403" t="s">
        <v>154</v>
      </c>
      <c r="C8031" s="402" t="s">
        <v>35</v>
      </c>
      <c r="D8031" s="601">
        <v>73.25</v>
      </c>
    </row>
    <row r="8032" spans="1:4" ht="27">
      <c r="A8032" s="402" t="s">
        <v>4256</v>
      </c>
      <c r="B8032" s="403" t="s">
        <v>754</v>
      </c>
      <c r="C8032" s="402" t="s">
        <v>35</v>
      </c>
      <c r="D8032" s="601">
        <v>9.36</v>
      </c>
    </row>
    <row r="8033" spans="1:4" ht="27">
      <c r="A8033" s="402" t="s">
        <v>4257</v>
      </c>
      <c r="B8033" s="403" t="s">
        <v>755</v>
      </c>
      <c r="C8033" s="402" t="s">
        <v>35</v>
      </c>
      <c r="D8033" s="601">
        <v>9.7200000000000006</v>
      </c>
    </row>
    <row r="8034" spans="1:4" ht="27">
      <c r="A8034" s="402" t="s">
        <v>4258</v>
      </c>
      <c r="B8034" s="403" t="s">
        <v>4259</v>
      </c>
      <c r="C8034" s="402" t="s">
        <v>35</v>
      </c>
      <c r="D8034" s="601">
        <v>6.88</v>
      </c>
    </row>
    <row r="8035" spans="1:4" ht="27">
      <c r="A8035" s="402" t="s">
        <v>4260</v>
      </c>
      <c r="B8035" s="403" t="s">
        <v>4261</v>
      </c>
      <c r="C8035" s="402" t="s">
        <v>35</v>
      </c>
      <c r="D8035" s="601">
        <v>4.3</v>
      </c>
    </row>
    <row r="8036" spans="1:4" ht="27">
      <c r="A8036" s="402" t="s">
        <v>4262</v>
      </c>
      <c r="B8036" s="403" t="s">
        <v>4263</v>
      </c>
      <c r="C8036" s="402" t="s">
        <v>35</v>
      </c>
      <c r="D8036" s="601">
        <v>3.89</v>
      </c>
    </row>
    <row r="8037" spans="1:4" ht="27">
      <c r="A8037" s="402" t="s">
        <v>4269</v>
      </c>
      <c r="B8037" s="403" t="s">
        <v>4270</v>
      </c>
      <c r="C8037" s="402" t="s">
        <v>35</v>
      </c>
      <c r="D8037" s="601">
        <v>26.16</v>
      </c>
    </row>
    <row r="8038" spans="1:4" ht="27">
      <c r="A8038" s="402" t="s">
        <v>4271</v>
      </c>
      <c r="B8038" s="403" t="s">
        <v>4272</v>
      </c>
      <c r="C8038" s="402" t="s">
        <v>35</v>
      </c>
      <c r="D8038" s="601">
        <v>80.459999999999994</v>
      </c>
    </row>
    <row r="8039" spans="1:4" ht="27">
      <c r="A8039" s="402">
        <v>88543</v>
      </c>
      <c r="B8039" s="403" t="s">
        <v>1564</v>
      </c>
      <c r="C8039" s="402" t="s">
        <v>35</v>
      </c>
      <c r="D8039" s="601">
        <v>141.49</v>
      </c>
    </row>
    <row r="8040" spans="1:4" ht="27">
      <c r="A8040" s="402">
        <v>88544</v>
      </c>
      <c r="B8040" s="403" t="s">
        <v>1565</v>
      </c>
      <c r="C8040" s="402" t="s">
        <v>35</v>
      </c>
      <c r="D8040" s="601">
        <v>86.64</v>
      </c>
    </row>
    <row r="8041" spans="1:4" ht="27">
      <c r="A8041" s="402">
        <v>88545</v>
      </c>
      <c r="B8041" s="403" t="s">
        <v>1566</v>
      </c>
      <c r="C8041" s="402" t="s">
        <v>35</v>
      </c>
      <c r="D8041" s="601">
        <v>163.13999999999999</v>
      </c>
    </row>
    <row r="8042" spans="1:4" ht="40.5">
      <c r="A8042" s="402">
        <v>100578</v>
      </c>
      <c r="B8042" s="403" t="s">
        <v>6773</v>
      </c>
      <c r="C8042" s="402" t="s">
        <v>35</v>
      </c>
      <c r="D8042" s="601">
        <v>277.25</v>
      </c>
    </row>
    <row r="8043" spans="1:4" ht="40.5">
      <c r="A8043" s="402">
        <v>100579</v>
      </c>
      <c r="B8043" s="403" t="s">
        <v>6774</v>
      </c>
      <c r="C8043" s="402" t="s">
        <v>35</v>
      </c>
      <c r="D8043" s="601">
        <v>303.83999999999997</v>
      </c>
    </row>
    <row r="8044" spans="1:4" ht="40.5">
      <c r="A8044" s="402">
        <v>100580</v>
      </c>
      <c r="B8044" s="403" t="s">
        <v>6775</v>
      </c>
      <c r="C8044" s="402" t="s">
        <v>35</v>
      </c>
      <c r="D8044" s="601">
        <v>335.23</v>
      </c>
    </row>
    <row r="8045" spans="1:4" ht="40.5">
      <c r="A8045" s="402">
        <v>100581</v>
      </c>
      <c r="B8045" s="403" t="s">
        <v>6776</v>
      </c>
      <c r="C8045" s="402" t="s">
        <v>35</v>
      </c>
      <c r="D8045" s="601">
        <v>317.02</v>
      </c>
    </row>
    <row r="8046" spans="1:4" ht="40.5">
      <c r="A8046" s="402">
        <v>100582</v>
      </c>
      <c r="B8046" s="403" t="s">
        <v>6777</v>
      </c>
      <c r="C8046" s="402" t="s">
        <v>35</v>
      </c>
      <c r="D8046" s="601">
        <v>373.66</v>
      </c>
    </row>
    <row r="8047" spans="1:4" ht="40.5">
      <c r="A8047" s="402">
        <v>100583</v>
      </c>
      <c r="B8047" s="403" t="s">
        <v>6778</v>
      </c>
      <c r="C8047" s="402" t="s">
        <v>35</v>
      </c>
      <c r="D8047" s="601">
        <v>331.19</v>
      </c>
    </row>
    <row r="8048" spans="1:4" ht="40.5">
      <c r="A8048" s="402">
        <v>100584</v>
      </c>
      <c r="B8048" s="403" t="s">
        <v>6779</v>
      </c>
      <c r="C8048" s="402" t="s">
        <v>35</v>
      </c>
      <c r="D8048" s="601">
        <v>365.22</v>
      </c>
    </row>
    <row r="8049" spans="1:4" ht="40.5">
      <c r="A8049" s="402">
        <v>100585</v>
      </c>
      <c r="B8049" s="403" t="s">
        <v>6780</v>
      </c>
      <c r="C8049" s="402" t="s">
        <v>35</v>
      </c>
      <c r="D8049" s="601">
        <v>358.71</v>
      </c>
    </row>
    <row r="8050" spans="1:4" ht="40.5">
      <c r="A8050" s="402">
        <v>100586</v>
      </c>
      <c r="B8050" s="403" t="s">
        <v>6781</v>
      </c>
      <c r="C8050" s="402" t="s">
        <v>35</v>
      </c>
      <c r="D8050" s="601">
        <v>412.88</v>
      </c>
    </row>
    <row r="8051" spans="1:4" ht="40.5">
      <c r="A8051" s="402">
        <v>100587</v>
      </c>
      <c r="B8051" s="403" t="s">
        <v>6782</v>
      </c>
      <c r="C8051" s="402" t="s">
        <v>35</v>
      </c>
      <c r="D8051" s="601">
        <v>387.3</v>
      </c>
    </row>
    <row r="8052" spans="1:4" ht="40.5">
      <c r="A8052" s="402">
        <v>100588</v>
      </c>
      <c r="B8052" s="403" t="s">
        <v>6783</v>
      </c>
      <c r="C8052" s="402" t="s">
        <v>35</v>
      </c>
      <c r="D8052" s="601">
        <v>429.41</v>
      </c>
    </row>
    <row r="8053" spans="1:4" ht="40.5">
      <c r="A8053" s="402">
        <v>100589</v>
      </c>
      <c r="B8053" s="403" t="s">
        <v>6784</v>
      </c>
      <c r="C8053" s="402" t="s">
        <v>35</v>
      </c>
      <c r="D8053" s="601">
        <v>430.95</v>
      </c>
    </row>
    <row r="8054" spans="1:4" ht="40.5">
      <c r="A8054" s="402">
        <v>100590</v>
      </c>
      <c r="B8054" s="403" t="s">
        <v>6785</v>
      </c>
      <c r="C8054" s="402" t="s">
        <v>35</v>
      </c>
      <c r="D8054" s="601">
        <v>472.65</v>
      </c>
    </row>
    <row r="8055" spans="1:4" ht="40.5">
      <c r="A8055" s="402">
        <v>100591</v>
      </c>
      <c r="B8055" s="403" t="s">
        <v>6786</v>
      </c>
      <c r="C8055" s="402" t="s">
        <v>35</v>
      </c>
      <c r="D8055" s="601">
        <v>426.87</v>
      </c>
    </row>
    <row r="8056" spans="1:4" ht="40.5">
      <c r="A8056" s="402">
        <v>100592</v>
      </c>
      <c r="B8056" s="403" t="s">
        <v>6787</v>
      </c>
      <c r="C8056" s="402" t="s">
        <v>35</v>
      </c>
      <c r="D8056" s="601">
        <v>461.42</v>
      </c>
    </row>
    <row r="8057" spans="1:4" ht="40.5">
      <c r="A8057" s="402">
        <v>100593</v>
      </c>
      <c r="B8057" s="403" t="s">
        <v>6788</v>
      </c>
      <c r="C8057" s="402" t="s">
        <v>35</v>
      </c>
      <c r="D8057" s="601">
        <v>457.34</v>
      </c>
    </row>
    <row r="8058" spans="1:4" ht="40.5">
      <c r="A8058" s="402">
        <v>100594</v>
      </c>
      <c r="B8058" s="403" t="s">
        <v>6789</v>
      </c>
      <c r="C8058" s="402" t="s">
        <v>35</v>
      </c>
      <c r="D8058" s="601">
        <v>515.82000000000005</v>
      </c>
    </row>
    <row r="8059" spans="1:4" ht="40.5">
      <c r="A8059" s="402">
        <v>100595</v>
      </c>
      <c r="B8059" s="403" t="s">
        <v>6790</v>
      </c>
      <c r="C8059" s="402" t="s">
        <v>35</v>
      </c>
      <c r="D8059" s="601">
        <v>548.82000000000005</v>
      </c>
    </row>
    <row r="8060" spans="1:4" ht="40.5">
      <c r="A8060" s="402">
        <v>100596</v>
      </c>
      <c r="B8060" s="403" t="s">
        <v>6791</v>
      </c>
      <c r="C8060" s="402" t="s">
        <v>35</v>
      </c>
      <c r="D8060" s="601">
        <v>627.63</v>
      </c>
    </row>
    <row r="8061" spans="1:4" ht="40.5">
      <c r="A8061" s="402">
        <v>100597</v>
      </c>
      <c r="B8061" s="403" t="s">
        <v>6792</v>
      </c>
      <c r="C8061" s="402" t="s">
        <v>35</v>
      </c>
      <c r="D8061" s="601">
        <v>636.63</v>
      </c>
    </row>
    <row r="8062" spans="1:4" ht="40.5">
      <c r="A8062" s="402">
        <v>100598</v>
      </c>
      <c r="B8062" s="403" t="s">
        <v>6793</v>
      </c>
      <c r="C8062" s="402" t="s">
        <v>35</v>
      </c>
      <c r="D8062" s="601">
        <v>701.6</v>
      </c>
    </row>
    <row r="8063" spans="1:4" ht="40.5">
      <c r="A8063" s="402">
        <v>100599</v>
      </c>
      <c r="B8063" s="403" t="s">
        <v>6794</v>
      </c>
      <c r="C8063" s="402" t="s">
        <v>35</v>
      </c>
      <c r="D8063" s="601">
        <v>291.17</v>
      </c>
    </row>
    <row r="8064" spans="1:4" ht="40.5">
      <c r="A8064" s="402">
        <v>100600</v>
      </c>
      <c r="B8064" s="403" t="s">
        <v>6795</v>
      </c>
      <c r="C8064" s="402" t="s">
        <v>35</v>
      </c>
      <c r="D8064" s="601">
        <v>352.46</v>
      </c>
    </row>
    <row r="8065" spans="1:4" ht="40.5">
      <c r="A8065" s="402">
        <v>100601</v>
      </c>
      <c r="B8065" s="403" t="s">
        <v>6796</v>
      </c>
      <c r="C8065" s="402" t="s">
        <v>35</v>
      </c>
      <c r="D8065" s="601">
        <v>457.15</v>
      </c>
    </row>
    <row r="8066" spans="1:4" ht="40.5">
      <c r="A8066" s="402">
        <v>100602</v>
      </c>
      <c r="B8066" s="403" t="s">
        <v>6797</v>
      </c>
      <c r="C8066" s="402" t="s">
        <v>35</v>
      </c>
      <c r="D8066" s="601">
        <v>587.71</v>
      </c>
    </row>
    <row r="8067" spans="1:4" ht="40.5">
      <c r="A8067" s="402">
        <v>100603</v>
      </c>
      <c r="B8067" s="403" t="s">
        <v>6798</v>
      </c>
      <c r="C8067" s="402" t="s">
        <v>35</v>
      </c>
      <c r="D8067" s="601">
        <v>923.15</v>
      </c>
    </row>
    <row r="8068" spans="1:4" ht="40.5">
      <c r="A8068" s="402">
        <v>100604</v>
      </c>
      <c r="B8068" s="403" t="s">
        <v>6799</v>
      </c>
      <c r="C8068" s="402" t="s">
        <v>35</v>
      </c>
      <c r="D8068" s="601">
        <v>372.72</v>
      </c>
    </row>
    <row r="8069" spans="1:4" ht="40.5">
      <c r="A8069" s="402">
        <v>100605</v>
      </c>
      <c r="B8069" s="403" t="s">
        <v>6800</v>
      </c>
      <c r="C8069" s="402" t="s">
        <v>35</v>
      </c>
      <c r="D8069" s="601">
        <v>613.73</v>
      </c>
    </row>
    <row r="8070" spans="1:4" ht="40.5">
      <c r="A8070" s="402">
        <v>100606</v>
      </c>
      <c r="B8070" s="403" t="s">
        <v>6801</v>
      </c>
      <c r="C8070" s="402" t="s">
        <v>35</v>
      </c>
      <c r="D8070" s="601">
        <v>956.61</v>
      </c>
    </row>
    <row r="8071" spans="1:4" ht="40.5">
      <c r="A8071" s="402">
        <v>100607</v>
      </c>
      <c r="B8071" s="403" t="s">
        <v>6802</v>
      </c>
      <c r="C8071" s="402" t="s">
        <v>35</v>
      </c>
      <c r="D8071" s="601">
        <v>382.28</v>
      </c>
    </row>
    <row r="8072" spans="1:4" ht="40.5">
      <c r="A8072" s="402">
        <v>100608</v>
      </c>
      <c r="B8072" s="403" t="s">
        <v>6803</v>
      </c>
      <c r="C8072" s="402" t="s">
        <v>35</v>
      </c>
      <c r="D8072" s="601">
        <v>626.55999999999995</v>
      </c>
    </row>
    <row r="8073" spans="1:4" ht="40.5">
      <c r="A8073" s="402">
        <v>100609</v>
      </c>
      <c r="B8073" s="403" t="s">
        <v>6804</v>
      </c>
      <c r="C8073" s="402" t="s">
        <v>35</v>
      </c>
      <c r="D8073" s="601">
        <v>974.56</v>
      </c>
    </row>
    <row r="8074" spans="1:4" ht="40.5">
      <c r="A8074" s="402">
        <v>100610</v>
      </c>
      <c r="B8074" s="403" t="s">
        <v>6805</v>
      </c>
      <c r="C8074" s="402" t="s">
        <v>35</v>
      </c>
      <c r="D8074" s="601">
        <v>391.77</v>
      </c>
    </row>
    <row r="8075" spans="1:4" ht="40.5">
      <c r="A8075" s="402">
        <v>100611</v>
      </c>
      <c r="B8075" s="403" t="s">
        <v>6806</v>
      </c>
      <c r="C8075" s="402" t="s">
        <v>35</v>
      </c>
      <c r="D8075" s="601">
        <v>501.54</v>
      </c>
    </row>
    <row r="8076" spans="1:4" ht="40.5">
      <c r="A8076" s="402">
        <v>100612</v>
      </c>
      <c r="B8076" s="403" t="s">
        <v>6807</v>
      </c>
      <c r="C8076" s="402" t="s">
        <v>35</v>
      </c>
      <c r="D8076" s="601">
        <v>639.08000000000004</v>
      </c>
    </row>
    <row r="8077" spans="1:4" ht="40.5">
      <c r="A8077" s="402">
        <v>100613</v>
      </c>
      <c r="B8077" s="403" t="s">
        <v>6808</v>
      </c>
      <c r="C8077" s="402" t="s">
        <v>35</v>
      </c>
      <c r="D8077" s="601">
        <v>992.09</v>
      </c>
    </row>
    <row r="8078" spans="1:4" ht="40.5">
      <c r="A8078" s="402">
        <v>100614</v>
      </c>
      <c r="B8078" s="403" t="s">
        <v>6809</v>
      </c>
      <c r="C8078" s="402" t="s">
        <v>35</v>
      </c>
      <c r="D8078" s="601">
        <v>523.27</v>
      </c>
    </row>
    <row r="8079" spans="1:4" ht="40.5">
      <c r="A8079" s="402">
        <v>100615</v>
      </c>
      <c r="B8079" s="403" t="s">
        <v>6810</v>
      </c>
      <c r="C8079" s="402" t="s">
        <v>35</v>
      </c>
      <c r="D8079" s="601">
        <v>663.89</v>
      </c>
    </row>
    <row r="8080" spans="1:4" ht="40.5">
      <c r="A8080" s="402">
        <v>100616</v>
      </c>
      <c r="B8080" s="403" t="s">
        <v>6811</v>
      </c>
      <c r="C8080" s="402" t="s">
        <v>35</v>
      </c>
      <c r="D8080" s="601">
        <v>1028.93</v>
      </c>
    </row>
    <row r="8081" spans="1:4" ht="40.5">
      <c r="A8081" s="402">
        <v>100617</v>
      </c>
      <c r="B8081" s="403" t="s">
        <v>6812</v>
      </c>
      <c r="C8081" s="402" t="s">
        <v>35</v>
      </c>
      <c r="D8081" s="601">
        <v>688.56</v>
      </c>
    </row>
    <row r="8082" spans="1:4" ht="40.5">
      <c r="A8082" s="402">
        <v>100618</v>
      </c>
      <c r="B8082" s="403" t="s">
        <v>6813</v>
      </c>
      <c r="C8082" s="402" t="s">
        <v>35</v>
      </c>
      <c r="D8082" s="601">
        <v>1069.68</v>
      </c>
    </row>
    <row r="8083" spans="1:4" ht="27">
      <c r="A8083" s="402">
        <v>100619</v>
      </c>
      <c r="B8083" s="403" t="s">
        <v>6814</v>
      </c>
      <c r="C8083" s="402" t="s">
        <v>35</v>
      </c>
      <c r="D8083" s="601">
        <v>323.56</v>
      </c>
    </row>
    <row r="8084" spans="1:4" ht="27">
      <c r="A8084" s="402">
        <v>100620</v>
      </c>
      <c r="B8084" s="403" t="s">
        <v>6815</v>
      </c>
      <c r="C8084" s="402" t="s">
        <v>35</v>
      </c>
      <c r="D8084" s="601">
        <v>1937.43</v>
      </c>
    </row>
    <row r="8085" spans="1:4" ht="27">
      <c r="A8085" s="402">
        <v>100621</v>
      </c>
      <c r="B8085" s="403" t="s">
        <v>6816</v>
      </c>
      <c r="C8085" s="402" t="s">
        <v>35</v>
      </c>
      <c r="D8085" s="601">
        <v>2163.5</v>
      </c>
    </row>
    <row r="8086" spans="1:4" ht="27">
      <c r="A8086" s="402">
        <v>100622</v>
      </c>
      <c r="B8086" s="403" t="s">
        <v>6817</v>
      </c>
      <c r="C8086" s="402" t="s">
        <v>35</v>
      </c>
      <c r="D8086" s="601">
        <v>1240.27</v>
      </c>
    </row>
    <row r="8087" spans="1:4" ht="27">
      <c r="A8087" s="402">
        <v>100623</v>
      </c>
      <c r="B8087" s="403" t="s">
        <v>6818</v>
      </c>
      <c r="C8087" s="402" t="s">
        <v>35</v>
      </c>
      <c r="D8087" s="601">
        <v>1334.12</v>
      </c>
    </row>
    <row r="8088" spans="1:4" ht="13.5">
      <c r="A8088" s="402">
        <v>72281</v>
      </c>
      <c r="B8088" s="403" t="s">
        <v>114</v>
      </c>
      <c r="C8088" s="402" t="s">
        <v>35</v>
      </c>
      <c r="D8088" s="601">
        <v>100.8</v>
      </c>
    </row>
    <row r="8089" spans="1:4" ht="13.5">
      <c r="A8089" s="402">
        <v>72282</v>
      </c>
      <c r="B8089" s="403" t="s">
        <v>1159</v>
      </c>
      <c r="C8089" s="402" t="s">
        <v>35</v>
      </c>
      <c r="D8089" s="601">
        <v>138.15</v>
      </c>
    </row>
    <row r="8090" spans="1:4" ht="13.5">
      <c r="A8090" s="402" t="s">
        <v>4284</v>
      </c>
      <c r="B8090" s="403" t="s">
        <v>760</v>
      </c>
      <c r="C8090" s="402" t="s">
        <v>35</v>
      </c>
      <c r="D8090" s="601">
        <v>27.55</v>
      </c>
    </row>
    <row r="8091" spans="1:4" ht="13.5">
      <c r="A8091" s="402" t="s">
        <v>4285</v>
      </c>
      <c r="B8091" s="403" t="s">
        <v>761</v>
      </c>
      <c r="C8091" s="402" t="s">
        <v>35</v>
      </c>
      <c r="D8091" s="601">
        <v>36.26</v>
      </c>
    </row>
    <row r="8092" spans="1:4" ht="13.5">
      <c r="A8092" s="402" t="s">
        <v>4286</v>
      </c>
      <c r="B8092" s="403" t="s">
        <v>762</v>
      </c>
      <c r="C8092" s="402" t="s">
        <v>35</v>
      </c>
      <c r="D8092" s="601">
        <v>17.77</v>
      </c>
    </row>
    <row r="8093" spans="1:4" ht="13.5">
      <c r="A8093" s="402" t="s">
        <v>4287</v>
      </c>
      <c r="B8093" s="403" t="s">
        <v>763</v>
      </c>
      <c r="C8093" s="402" t="s">
        <v>35</v>
      </c>
      <c r="D8093" s="601">
        <v>22.95</v>
      </c>
    </row>
    <row r="8094" spans="1:4" ht="13.5">
      <c r="A8094" s="402" t="s">
        <v>4288</v>
      </c>
      <c r="B8094" s="403" t="s">
        <v>764</v>
      </c>
      <c r="C8094" s="402" t="s">
        <v>35</v>
      </c>
      <c r="D8094" s="601">
        <v>40.49</v>
      </c>
    </row>
    <row r="8095" spans="1:4" ht="13.5">
      <c r="A8095" s="402" t="s">
        <v>4289</v>
      </c>
      <c r="B8095" s="403" t="s">
        <v>765</v>
      </c>
      <c r="C8095" s="402" t="s">
        <v>35</v>
      </c>
      <c r="D8095" s="601">
        <v>32.69</v>
      </c>
    </row>
    <row r="8096" spans="1:4" ht="13.5">
      <c r="A8096" s="402" t="s">
        <v>4290</v>
      </c>
      <c r="B8096" s="403" t="s">
        <v>766</v>
      </c>
      <c r="C8096" s="402" t="s">
        <v>35</v>
      </c>
      <c r="D8096" s="601">
        <v>37.22</v>
      </c>
    </row>
    <row r="8097" spans="1:4" ht="13.5">
      <c r="A8097" s="402" t="s">
        <v>4291</v>
      </c>
      <c r="B8097" s="403" t="s">
        <v>767</v>
      </c>
      <c r="C8097" s="402" t="s">
        <v>35</v>
      </c>
      <c r="D8097" s="601">
        <v>42.8</v>
      </c>
    </row>
    <row r="8098" spans="1:4" ht="40.5">
      <c r="A8098" s="402" t="s">
        <v>4438</v>
      </c>
      <c r="B8098" s="403" t="s">
        <v>4439</v>
      </c>
      <c r="C8098" s="402" t="s">
        <v>35</v>
      </c>
      <c r="D8098" s="601">
        <v>124.85</v>
      </c>
    </row>
    <row r="8099" spans="1:4" ht="13.5">
      <c r="A8099" s="402" t="s">
        <v>4443</v>
      </c>
      <c r="B8099" s="403" t="s">
        <v>812</v>
      </c>
      <c r="C8099" s="402" t="s">
        <v>35</v>
      </c>
      <c r="D8099" s="601">
        <v>246.11</v>
      </c>
    </row>
    <row r="8100" spans="1:4" ht="27">
      <c r="A8100" s="402">
        <v>83399</v>
      </c>
      <c r="B8100" s="403" t="s">
        <v>1197</v>
      </c>
      <c r="C8100" s="402" t="s">
        <v>35</v>
      </c>
      <c r="D8100" s="601">
        <v>28.62</v>
      </c>
    </row>
    <row r="8101" spans="1:4" ht="40.5">
      <c r="A8101" s="402">
        <v>83400</v>
      </c>
      <c r="B8101" s="403" t="s">
        <v>1198</v>
      </c>
      <c r="C8101" s="402" t="s">
        <v>35</v>
      </c>
      <c r="D8101" s="601">
        <v>87.48</v>
      </c>
    </row>
    <row r="8102" spans="1:4" ht="27">
      <c r="A8102" s="402">
        <v>83401</v>
      </c>
      <c r="B8102" s="403" t="s">
        <v>1199</v>
      </c>
      <c r="C8102" s="402" t="s">
        <v>35</v>
      </c>
      <c r="D8102" s="601">
        <v>87.48</v>
      </c>
    </row>
    <row r="8103" spans="1:4" ht="27">
      <c r="A8103" s="402">
        <v>83402</v>
      </c>
      <c r="B8103" s="403" t="s">
        <v>162</v>
      </c>
      <c r="C8103" s="402" t="s">
        <v>35</v>
      </c>
      <c r="D8103" s="601">
        <v>48.25</v>
      </c>
    </row>
    <row r="8104" spans="1:4" ht="27">
      <c r="A8104" s="402">
        <v>83475</v>
      </c>
      <c r="B8104" s="403" t="s">
        <v>164</v>
      </c>
      <c r="C8104" s="402" t="s">
        <v>35</v>
      </c>
      <c r="D8104" s="601">
        <v>363</v>
      </c>
    </row>
    <row r="8105" spans="1:4" ht="27">
      <c r="A8105" s="402">
        <v>83478</v>
      </c>
      <c r="B8105" s="403" t="s">
        <v>1201</v>
      </c>
      <c r="C8105" s="402" t="s">
        <v>35</v>
      </c>
      <c r="D8105" s="601">
        <v>258.02999999999997</v>
      </c>
    </row>
    <row r="8106" spans="1:4" ht="27">
      <c r="A8106" s="402">
        <v>83479</v>
      </c>
      <c r="B8106" s="403" t="s">
        <v>1202</v>
      </c>
      <c r="C8106" s="402" t="s">
        <v>35</v>
      </c>
      <c r="D8106" s="601">
        <v>103.04</v>
      </c>
    </row>
    <row r="8107" spans="1:4" ht="13.5">
      <c r="A8107" s="402">
        <v>83480</v>
      </c>
      <c r="B8107" s="403" t="s">
        <v>165</v>
      </c>
      <c r="C8107" s="402" t="s">
        <v>35</v>
      </c>
      <c r="D8107" s="601">
        <v>80.489999999999995</v>
      </c>
    </row>
    <row r="8108" spans="1:4" ht="13.5">
      <c r="A8108" s="402">
        <v>83481</v>
      </c>
      <c r="B8108" s="403" t="s">
        <v>166</v>
      </c>
      <c r="C8108" s="402" t="s">
        <v>35</v>
      </c>
      <c r="D8108" s="601">
        <v>90.95</v>
      </c>
    </row>
    <row r="8109" spans="1:4" ht="40.5">
      <c r="A8109" s="402">
        <v>97600</v>
      </c>
      <c r="B8109" s="403" t="s">
        <v>12433</v>
      </c>
      <c r="C8109" s="402" t="s">
        <v>35</v>
      </c>
      <c r="D8109" s="601">
        <v>189.33</v>
      </c>
    </row>
    <row r="8110" spans="1:4" ht="40.5">
      <c r="A8110" s="402">
        <v>97601</v>
      </c>
      <c r="B8110" s="403" t="s">
        <v>12434</v>
      </c>
      <c r="C8110" s="402" t="s">
        <v>35</v>
      </c>
      <c r="D8110" s="601">
        <v>199.82</v>
      </c>
    </row>
    <row r="8111" spans="1:4" ht="27">
      <c r="A8111" s="402">
        <v>97605</v>
      </c>
      <c r="B8111" s="403" t="s">
        <v>12435</v>
      </c>
      <c r="C8111" s="402" t="s">
        <v>35</v>
      </c>
      <c r="D8111" s="601">
        <v>49.18</v>
      </c>
    </row>
    <row r="8112" spans="1:4" ht="27">
      <c r="A8112" s="402">
        <v>97606</v>
      </c>
      <c r="B8112" s="403" t="s">
        <v>12436</v>
      </c>
      <c r="C8112" s="402" t="s">
        <v>35</v>
      </c>
      <c r="D8112" s="601">
        <v>51.43</v>
      </c>
    </row>
    <row r="8113" spans="1:4" ht="27">
      <c r="A8113" s="402">
        <v>97607</v>
      </c>
      <c r="B8113" s="403" t="s">
        <v>12437</v>
      </c>
      <c r="C8113" s="402" t="s">
        <v>35</v>
      </c>
      <c r="D8113" s="601">
        <v>58.62</v>
      </c>
    </row>
    <row r="8114" spans="1:4" ht="27">
      <c r="A8114" s="402">
        <v>97608</v>
      </c>
      <c r="B8114" s="403" t="s">
        <v>12438</v>
      </c>
      <c r="C8114" s="402" t="s">
        <v>35</v>
      </c>
      <c r="D8114" s="601">
        <v>60.87</v>
      </c>
    </row>
    <row r="8115" spans="1:4" ht="27">
      <c r="A8115" s="402" t="s">
        <v>4338</v>
      </c>
      <c r="B8115" s="403" t="s">
        <v>784</v>
      </c>
      <c r="C8115" s="402" t="s">
        <v>35</v>
      </c>
      <c r="D8115" s="601">
        <v>7066.1</v>
      </c>
    </row>
    <row r="8116" spans="1:4" ht="27">
      <c r="A8116" s="402" t="s">
        <v>4340</v>
      </c>
      <c r="B8116" s="403" t="s">
        <v>785</v>
      </c>
      <c r="C8116" s="402" t="s">
        <v>35</v>
      </c>
      <c r="D8116" s="601">
        <v>8732</v>
      </c>
    </row>
    <row r="8117" spans="1:4" ht="27">
      <c r="A8117" s="402" t="s">
        <v>4341</v>
      </c>
      <c r="B8117" s="403" t="s">
        <v>4342</v>
      </c>
      <c r="C8117" s="402" t="s">
        <v>35</v>
      </c>
      <c r="D8117" s="601">
        <v>11008.13</v>
      </c>
    </row>
    <row r="8118" spans="1:4" ht="27">
      <c r="A8118" s="402" t="s">
        <v>4343</v>
      </c>
      <c r="B8118" s="403" t="s">
        <v>4344</v>
      </c>
      <c r="C8118" s="402" t="s">
        <v>35</v>
      </c>
      <c r="D8118" s="601">
        <v>15419.57</v>
      </c>
    </row>
    <row r="8119" spans="1:4" ht="27">
      <c r="A8119" s="402" t="s">
        <v>4345</v>
      </c>
      <c r="B8119" s="403" t="s">
        <v>4346</v>
      </c>
      <c r="C8119" s="402" t="s">
        <v>35</v>
      </c>
      <c r="D8119" s="601">
        <v>17986.78</v>
      </c>
    </row>
    <row r="8120" spans="1:4" ht="27">
      <c r="A8120" s="402" t="s">
        <v>4347</v>
      </c>
      <c r="B8120" s="403" t="s">
        <v>4348</v>
      </c>
      <c r="C8120" s="402" t="s">
        <v>35</v>
      </c>
      <c r="D8120" s="601">
        <v>29285.17</v>
      </c>
    </row>
    <row r="8121" spans="1:4" ht="27">
      <c r="A8121" s="402" t="s">
        <v>4349</v>
      </c>
      <c r="B8121" s="403" t="s">
        <v>786</v>
      </c>
      <c r="C8121" s="402" t="s">
        <v>35</v>
      </c>
      <c r="D8121" s="601">
        <v>4879.3100000000004</v>
      </c>
    </row>
    <row r="8122" spans="1:4" ht="27">
      <c r="A8122" s="402" t="s">
        <v>4350</v>
      </c>
      <c r="B8122" s="403" t="s">
        <v>787</v>
      </c>
      <c r="C8122" s="402" t="s">
        <v>35</v>
      </c>
      <c r="D8122" s="601">
        <v>5462.53</v>
      </c>
    </row>
    <row r="8123" spans="1:4" ht="27">
      <c r="A8123" s="402" t="s">
        <v>4351</v>
      </c>
      <c r="B8123" s="403" t="s">
        <v>4352</v>
      </c>
      <c r="C8123" s="402" t="s">
        <v>35</v>
      </c>
      <c r="D8123" s="601">
        <v>40131.22</v>
      </c>
    </row>
    <row r="8124" spans="1:4" ht="27">
      <c r="A8124" s="402" t="s">
        <v>4339</v>
      </c>
      <c r="B8124" s="403" t="s">
        <v>788</v>
      </c>
      <c r="C8124" s="402" t="s">
        <v>35</v>
      </c>
      <c r="D8124" s="601">
        <v>56139.57</v>
      </c>
    </row>
    <row r="8125" spans="1:4" ht="40.5">
      <c r="A8125" s="402">
        <v>93128</v>
      </c>
      <c r="B8125" s="403" t="s">
        <v>3140</v>
      </c>
      <c r="C8125" s="402" t="s">
        <v>35</v>
      </c>
      <c r="D8125" s="601">
        <v>97</v>
      </c>
    </row>
    <row r="8126" spans="1:4" ht="40.5">
      <c r="A8126" s="402">
        <v>93137</v>
      </c>
      <c r="B8126" s="403" t="s">
        <v>3141</v>
      </c>
      <c r="C8126" s="402" t="s">
        <v>35</v>
      </c>
      <c r="D8126" s="601">
        <v>114.28</v>
      </c>
    </row>
    <row r="8127" spans="1:4" ht="40.5">
      <c r="A8127" s="402">
        <v>93138</v>
      </c>
      <c r="B8127" s="403" t="s">
        <v>3142</v>
      </c>
      <c r="C8127" s="402" t="s">
        <v>35</v>
      </c>
      <c r="D8127" s="601">
        <v>108.73</v>
      </c>
    </row>
    <row r="8128" spans="1:4" ht="40.5">
      <c r="A8128" s="402">
        <v>93139</v>
      </c>
      <c r="B8128" s="403" t="s">
        <v>3143</v>
      </c>
      <c r="C8128" s="402" t="s">
        <v>35</v>
      </c>
      <c r="D8128" s="601">
        <v>137.71</v>
      </c>
    </row>
    <row r="8129" spans="1:4" ht="40.5">
      <c r="A8129" s="402">
        <v>93140</v>
      </c>
      <c r="B8129" s="403" t="s">
        <v>3144</v>
      </c>
      <c r="C8129" s="402" t="s">
        <v>35</v>
      </c>
      <c r="D8129" s="601">
        <v>129.86000000000001</v>
      </c>
    </row>
    <row r="8130" spans="1:4" ht="27">
      <c r="A8130" s="402">
        <v>93141</v>
      </c>
      <c r="B8130" s="403" t="s">
        <v>666</v>
      </c>
      <c r="C8130" s="402" t="s">
        <v>35</v>
      </c>
      <c r="D8130" s="601">
        <v>118.39</v>
      </c>
    </row>
    <row r="8131" spans="1:4" ht="27">
      <c r="A8131" s="402">
        <v>93142</v>
      </c>
      <c r="B8131" s="403" t="s">
        <v>3145</v>
      </c>
      <c r="C8131" s="402" t="s">
        <v>35</v>
      </c>
      <c r="D8131" s="601">
        <v>131.16</v>
      </c>
    </row>
    <row r="8132" spans="1:4" ht="27">
      <c r="A8132" s="402">
        <v>93143</v>
      </c>
      <c r="B8132" s="403" t="s">
        <v>667</v>
      </c>
      <c r="C8132" s="402" t="s">
        <v>35</v>
      </c>
      <c r="D8132" s="601">
        <v>119.7</v>
      </c>
    </row>
    <row r="8133" spans="1:4" ht="40.5">
      <c r="A8133" s="402">
        <v>93144</v>
      </c>
      <c r="B8133" s="403" t="s">
        <v>3146</v>
      </c>
      <c r="C8133" s="402" t="s">
        <v>35</v>
      </c>
      <c r="D8133" s="601">
        <v>156.36000000000001</v>
      </c>
    </row>
    <row r="8134" spans="1:4" ht="40.5">
      <c r="A8134" s="402">
        <v>93145</v>
      </c>
      <c r="B8134" s="403" t="s">
        <v>3147</v>
      </c>
      <c r="C8134" s="402" t="s">
        <v>35</v>
      </c>
      <c r="D8134" s="601">
        <v>143.41</v>
      </c>
    </row>
    <row r="8135" spans="1:4" ht="40.5">
      <c r="A8135" s="402">
        <v>93146</v>
      </c>
      <c r="B8135" s="403" t="s">
        <v>3148</v>
      </c>
      <c r="C8135" s="402" t="s">
        <v>35</v>
      </c>
      <c r="D8135" s="601">
        <v>155.13999999999999</v>
      </c>
    </row>
    <row r="8136" spans="1:4" ht="40.5">
      <c r="A8136" s="402">
        <v>93147</v>
      </c>
      <c r="B8136" s="403" t="s">
        <v>3149</v>
      </c>
      <c r="C8136" s="402" t="s">
        <v>35</v>
      </c>
      <c r="D8136" s="601">
        <v>176.3</v>
      </c>
    </row>
    <row r="8137" spans="1:4" ht="27">
      <c r="A8137" s="402">
        <v>96971</v>
      </c>
      <c r="B8137" s="403" t="s">
        <v>4602</v>
      </c>
      <c r="C8137" s="402" t="s">
        <v>17</v>
      </c>
      <c r="D8137" s="601">
        <v>22.35</v>
      </c>
    </row>
    <row r="8138" spans="1:4" ht="27">
      <c r="A8138" s="402">
        <v>96972</v>
      </c>
      <c r="B8138" s="403" t="s">
        <v>4603</v>
      </c>
      <c r="C8138" s="402" t="s">
        <v>17</v>
      </c>
      <c r="D8138" s="601">
        <v>30.51</v>
      </c>
    </row>
    <row r="8139" spans="1:4" ht="27">
      <c r="A8139" s="402">
        <v>96973</v>
      </c>
      <c r="B8139" s="403" t="s">
        <v>4604</v>
      </c>
      <c r="C8139" s="402" t="s">
        <v>17</v>
      </c>
      <c r="D8139" s="601">
        <v>38.39</v>
      </c>
    </row>
    <row r="8140" spans="1:4" ht="27">
      <c r="A8140" s="402">
        <v>96974</v>
      </c>
      <c r="B8140" s="403" t="s">
        <v>4605</v>
      </c>
      <c r="C8140" s="402" t="s">
        <v>17</v>
      </c>
      <c r="D8140" s="601">
        <v>48.79</v>
      </c>
    </row>
    <row r="8141" spans="1:4" ht="27">
      <c r="A8141" s="402">
        <v>96975</v>
      </c>
      <c r="B8141" s="403" t="s">
        <v>4606</v>
      </c>
      <c r="C8141" s="402" t="s">
        <v>17</v>
      </c>
      <c r="D8141" s="601">
        <v>62.67</v>
      </c>
    </row>
    <row r="8142" spans="1:4" ht="27">
      <c r="A8142" s="402">
        <v>96976</v>
      </c>
      <c r="B8142" s="403" t="s">
        <v>4607</v>
      </c>
      <c r="C8142" s="402" t="s">
        <v>17</v>
      </c>
      <c r="D8142" s="601">
        <v>81.13</v>
      </c>
    </row>
    <row r="8143" spans="1:4" ht="27">
      <c r="A8143" s="402">
        <v>96977</v>
      </c>
      <c r="B8143" s="403" t="s">
        <v>4608</v>
      </c>
      <c r="C8143" s="402" t="s">
        <v>17</v>
      </c>
      <c r="D8143" s="601">
        <v>30.99</v>
      </c>
    </row>
    <row r="8144" spans="1:4" ht="27">
      <c r="A8144" s="402">
        <v>96978</v>
      </c>
      <c r="B8144" s="403" t="s">
        <v>4609</v>
      </c>
      <c r="C8144" s="402" t="s">
        <v>17</v>
      </c>
      <c r="D8144" s="601">
        <v>43.45</v>
      </c>
    </row>
    <row r="8145" spans="1:4" ht="27">
      <c r="A8145" s="402">
        <v>96979</v>
      </c>
      <c r="B8145" s="403" t="s">
        <v>4610</v>
      </c>
      <c r="C8145" s="402" t="s">
        <v>17</v>
      </c>
      <c r="D8145" s="601">
        <v>60.87</v>
      </c>
    </row>
    <row r="8146" spans="1:4" ht="13.5">
      <c r="A8146" s="402">
        <v>96984</v>
      </c>
      <c r="B8146" s="403" t="s">
        <v>4612</v>
      </c>
      <c r="C8146" s="402" t="s">
        <v>35</v>
      </c>
      <c r="D8146" s="601">
        <v>38.24</v>
      </c>
    </row>
    <row r="8147" spans="1:4" ht="13.5">
      <c r="A8147" s="402">
        <v>96985</v>
      </c>
      <c r="B8147" s="403" t="s">
        <v>4613</v>
      </c>
      <c r="C8147" s="402" t="s">
        <v>35</v>
      </c>
      <c r="D8147" s="601">
        <v>43.15</v>
      </c>
    </row>
    <row r="8148" spans="1:4" ht="13.5">
      <c r="A8148" s="402">
        <v>96986</v>
      </c>
      <c r="B8148" s="403" t="s">
        <v>4614</v>
      </c>
      <c r="C8148" s="402" t="s">
        <v>35</v>
      </c>
      <c r="D8148" s="601">
        <v>64.53</v>
      </c>
    </row>
    <row r="8149" spans="1:4" ht="27">
      <c r="A8149" s="402">
        <v>96987</v>
      </c>
      <c r="B8149" s="403" t="s">
        <v>4615</v>
      </c>
      <c r="C8149" s="402" t="s">
        <v>35</v>
      </c>
      <c r="D8149" s="601">
        <v>103.4</v>
      </c>
    </row>
    <row r="8150" spans="1:4" ht="13.5">
      <c r="A8150" s="402">
        <v>96988</v>
      </c>
      <c r="B8150" s="403" t="s">
        <v>4616</v>
      </c>
      <c r="C8150" s="402" t="s">
        <v>35</v>
      </c>
      <c r="D8150" s="601">
        <v>157.22</v>
      </c>
    </row>
    <row r="8151" spans="1:4" ht="13.5">
      <c r="A8151" s="402">
        <v>96989</v>
      </c>
      <c r="B8151" s="403" t="s">
        <v>4617</v>
      </c>
      <c r="C8151" s="402" t="s">
        <v>35</v>
      </c>
      <c r="D8151" s="601">
        <v>103.39</v>
      </c>
    </row>
    <row r="8152" spans="1:4" ht="27">
      <c r="A8152" s="402">
        <v>98463</v>
      </c>
      <c r="B8152" s="403" t="s">
        <v>4611</v>
      </c>
      <c r="C8152" s="402" t="s">
        <v>35</v>
      </c>
      <c r="D8152" s="601">
        <v>19.27</v>
      </c>
    </row>
    <row r="8153" spans="1:4" ht="13.5">
      <c r="A8153" s="402">
        <v>88547</v>
      </c>
      <c r="B8153" s="403" t="s">
        <v>325</v>
      </c>
      <c r="C8153" s="402" t="s">
        <v>35</v>
      </c>
      <c r="D8153" s="601">
        <v>65.900000000000006</v>
      </c>
    </row>
    <row r="8154" spans="1:4" ht="40.5">
      <c r="A8154" s="402">
        <v>72283</v>
      </c>
      <c r="B8154" s="403" t="s">
        <v>1160</v>
      </c>
      <c r="C8154" s="402" t="s">
        <v>35</v>
      </c>
      <c r="D8154" s="601">
        <v>928.86</v>
      </c>
    </row>
    <row r="8155" spans="1:4" ht="13.5">
      <c r="A8155" s="402">
        <v>72287</v>
      </c>
      <c r="B8155" s="403" t="s">
        <v>116</v>
      </c>
      <c r="C8155" s="402" t="s">
        <v>35</v>
      </c>
      <c r="D8155" s="601">
        <v>250.19</v>
      </c>
    </row>
    <row r="8156" spans="1:4" ht="13.5">
      <c r="A8156" s="402">
        <v>72288</v>
      </c>
      <c r="B8156" s="403" t="s">
        <v>6819</v>
      </c>
      <c r="C8156" s="402" t="s">
        <v>35</v>
      </c>
      <c r="D8156" s="601">
        <v>312.01</v>
      </c>
    </row>
    <row r="8157" spans="1:4" ht="13.5">
      <c r="A8157" s="402">
        <v>72553</v>
      </c>
      <c r="B8157" s="403" t="s">
        <v>125</v>
      </c>
      <c r="C8157" s="402" t="s">
        <v>35</v>
      </c>
      <c r="D8157" s="601">
        <v>147.15</v>
      </c>
    </row>
    <row r="8158" spans="1:4" ht="13.5">
      <c r="A8158" s="402">
        <v>72554</v>
      </c>
      <c r="B8158" s="403" t="s">
        <v>126</v>
      </c>
      <c r="C8158" s="402" t="s">
        <v>35</v>
      </c>
      <c r="D8158" s="601">
        <v>496.08</v>
      </c>
    </row>
    <row r="8159" spans="1:4" ht="13.5">
      <c r="A8159" s="402" t="s">
        <v>4266</v>
      </c>
      <c r="B8159" s="403" t="s">
        <v>756</v>
      </c>
      <c r="C8159" s="402" t="s">
        <v>35</v>
      </c>
      <c r="D8159" s="601">
        <v>153.13</v>
      </c>
    </row>
    <row r="8160" spans="1:4" ht="27">
      <c r="A8160" s="402" t="s">
        <v>4267</v>
      </c>
      <c r="B8160" s="403" t="s">
        <v>4268</v>
      </c>
      <c r="C8160" s="402" t="s">
        <v>35</v>
      </c>
      <c r="D8160" s="601">
        <v>157.81</v>
      </c>
    </row>
    <row r="8161" spans="1:4" ht="13.5">
      <c r="A8161" s="402">
        <v>83633</v>
      </c>
      <c r="B8161" s="403" t="s">
        <v>168</v>
      </c>
      <c r="C8161" s="402" t="s">
        <v>35</v>
      </c>
      <c r="D8161" s="601">
        <v>1901.14</v>
      </c>
    </row>
    <row r="8162" spans="1:4" ht="13.5">
      <c r="A8162" s="402">
        <v>83634</v>
      </c>
      <c r="B8162" s="403" t="s">
        <v>1205</v>
      </c>
      <c r="C8162" s="402" t="s">
        <v>35</v>
      </c>
      <c r="D8162" s="601">
        <v>464.67</v>
      </c>
    </row>
    <row r="8163" spans="1:4" ht="13.5">
      <c r="A8163" s="402">
        <v>83635</v>
      </c>
      <c r="B8163" s="403" t="s">
        <v>169</v>
      </c>
      <c r="C8163" s="402" t="s">
        <v>35</v>
      </c>
      <c r="D8163" s="601">
        <v>178.06</v>
      </c>
    </row>
    <row r="8164" spans="1:4" ht="40.5">
      <c r="A8164" s="402">
        <v>96765</v>
      </c>
      <c r="B8164" s="403" t="s">
        <v>4895</v>
      </c>
      <c r="C8164" s="402" t="s">
        <v>35</v>
      </c>
      <c r="D8164" s="601">
        <v>1098.6099999999999</v>
      </c>
    </row>
    <row r="8165" spans="1:4" ht="27">
      <c r="A8165" s="402" t="s">
        <v>4250</v>
      </c>
      <c r="B8165" s="403" t="s">
        <v>4251</v>
      </c>
      <c r="C8165" s="402" t="s">
        <v>35</v>
      </c>
      <c r="D8165" s="601">
        <v>173.25</v>
      </c>
    </row>
    <row r="8166" spans="1:4" ht="27">
      <c r="A8166" s="402" t="s">
        <v>4252</v>
      </c>
      <c r="B8166" s="403" t="s">
        <v>4253</v>
      </c>
      <c r="C8166" s="402" t="s">
        <v>35</v>
      </c>
      <c r="D8166" s="601">
        <v>319.13</v>
      </c>
    </row>
    <row r="8167" spans="1:4" ht="27">
      <c r="A8167" s="402" t="s">
        <v>4254</v>
      </c>
      <c r="B8167" s="403" t="s">
        <v>4255</v>
      </c>
      <c r="C8167" s="402" t="s">
        <v>35</v>
      </c>
      <c r="D8167" s="601">
        <v>1039.1199999999999</v>
      </c>
    </row>
    <row r="8168" spans="1:4" ht="13.5">
      <c r="A8168" s="402">
        <v>84796</v>
      </c>
      <c r="B8168" s="403" t="s">
        <v>1225</v>
      </c>
      <c r="C8168" s="402" t="s">
        <v>35</v>
      </c>
      <c r="D8168" s="601">
        <v>583.58000000000004</v>
      </c>
    </row>
    <row r="8169" spans="1:4" ht="13.5">
      <c r="A8169" s="402">
        <v>84798</v>
      </c>
      <c r="B8169" s="403" t="s">
        <v>1226</v>
      </c>
      <c r="C8169" s="402" t="s">
        <v>35</v>
      </c>
      <c r="D8169" s="601">
        <v>257.19</v>
      </c>
    </row>
    <row r="8170" spans="1:4" ht="27">
      <c r="A8170" s="402">
        <v>98261</v>
      </c>
      <c r="B8170" s="403" t="s">
        <v>6820</v>
      </c>
      <c r="C8170" s="402" t="s">
        <v>17</v>
      </c>
      <c r="D8170" s="601">
        <v>2.66</v>
      </c>
    </row>
    <row r="8171" spans="1:4" ht="27">
      <c r="A8171" s="402">
        <v>98262</v>
      </c>
      <c r="B8171" s="403" t="s">
        <v>6821</v>
      </c>
      <c r="C8171" s="402" t="s">
        <v>17</v>
      </c>
      <c r="D8171" s="601">
        <v>3.24</v>
      </c>
    </row>
    <row r="8172" spans="1:4" ht="27">
      <c r="A8172" s="402">
        <v>98263</v>
      </c>
      <c r="B8172" s="403" t="s">
        <v>6822</v>
      </c>
      <c r="C8172" s="402" t="s">
        <v>17</v>
      </c>
      <c r="D8172" s="601">
        <v>3.97</v>
      </c>
    </row>
    <row r="8173" spans="1:4" ht="27">
      <c r="A8173" s="402">
        <v>98264</v>
      </c>
      <c r="B8173" s="403" t="s">
        <v>6823</v>
      </c>
      <c r="C8173" s="402" t="s">
        <v>17</v>
      </c>
      <c r="D8173" s="601">
        <v>4.53</v>
      </c>
    </row>
    <row r="8174" spans="1:4" ht="27">
      <c r="A8174" s="402">
        <v>98265</v>
      </c>
      <c r="B8174" s="403" t="s">
        <v>6824</v>
      </c>
      <c r="C8174" s="402" t="s">
        <v>17</v>
      </c>
      <c r="D8174" s="601">
        <v>5.38</v>
      </c>
    </row>
    <row r="8175" spans="1:4" ht="27">
      <c r="A8175" s="402">
        <v>98266</v>
      </c>
      <c r="B8175" s="403" t="s">
        <v>6825</v>
      </c>
      <c r="C8175" s="402" t="s">
        <v>17</v>
      </c>
      <c r="D8175" s="601">
        <v>5.86</v>
      </c>
    </row>
    <row r="8176" spans="1:4" ht="27">
      <c r="A8176" s="402">
        <v>98267</v>
      </c>
      <c r="B8176" s="403" t="s">
        <v>6826</v>
      </c>
      <c r="C8176" s="402" t="s">
        <v>17</v>
      </c>
      <c r="D8176" s="601">
        <v>9.98</v>
      </c>
    </row>
    <row r="8177" spans="1:4" ht="27">
      <c r="A8177" s="402">
        <v>98268</v>
      </c>
      <c r="B8177" s="403" t="s">
        <v>6827</v>
      </c>
      <c r="C8177" s="402" t="s">
        <v>17</v>
      </c>
      <c r="D8177" s="601">
        <v>16.95</v>
      </c>
    </row>
    <row r="8178" spans="1:4" ht="27">
      <c r="A8178" s="402">
        <v>98269</v>
      </c>
      <c r="B8178" s="403" t="s">
        <v>6828</v>
      </c>
      <c r="C8178" s="402" t="s">
        <v>17</v>
      </c>
      <c r="D8178" s="601">
        <v>22.18</v>
      </c>
    </row>
    <row r="8179" spans="1:4" ht="27">
      <c r="A8179" s="402">
        <v>98270</v>
      </c>
      <c r="B8179" s="403" t="s">
        <v>6829</v>
      </c>
      <c r="C8179" s="402" t="s">
        <v>17</v>
      </c>
      <c r="D8179" s="601">
        <v>36.9</v>
      </c>
    </row>
    <row r="8180" spans="1:4" ht="27">
      <c r="A8180" s="402">
        <v>98271</v>
      </c>
      <c r="B8180" s="403" t="s">
        <v>6830</v>
      </c>
      <c r="C8180" s="402" t="s">
        <v>17</v>
      </c>
      <c r="D8180" s="601">
        <v>58.05</v>
      </c>
    </row>
    <row r="8181" spans="1:4" ht="27">
      <c r="A8181" s="402">
        <v>98272</v>
      </c>
      <c r="B8181" s="403" t="s">
        <v>6831</v>
      </c>
      <c r="C8181" s="402" t="s">
        <v>17</v>
      </c>
      <c r="D8181" s="601">
        <v>138.05000000000001</v>
      </c>
    </row>
    <row r="8182" spans="1:4" ht="27">
      <c r="A8182" s="402">
        <v>98273</v>
      </c>
      <c r="B8182" s="403" t="s">
        <v>6832</v>
      </c>
      <c r="C8182" s="402" t="s">
        <v>17</v>
      </c>
      <c r="D8182" s="601">
        <v>2.56</v>
      </c>
    </row>
    <row r="8183" spans="1:4" ht="27">
      <c r="A8183" s="402">
        <v>98274</v>
      </c>
      <c r="B8183" s="403" t="s">
        <v>6833</v>
      </c>
      <c r="C8183" s="402" t="s">
        <v>17</v>
      </c>
      <c r="D8183" s="601">
        <v>3.41</v>
      </c>
    </row>
    <row r="8184" spans="1:4" ht="27">
      <c r="A8184" s="402">
        <v>98275</v>
      </c>
      <c r="B8184" s="403" t="s">
        <v>6834</v>
      </c>
      <c r="C8184" s="402" t="s">
        <v>17</v>
      </c>
      <c r="D8184" s="601">
        <v>3.89</v>
      </c>
    </row>
    <row r="8185" spans="1:4" ht="27">
      <c r="A8185" s="402">
        <v>98276</v>
      </c>
      <c r="B8185" s="403" t="s">
        <v>6835</v>
      </c>
      <c r="C8185" s="402" t="s">
        <v>17</v>
      </c>
      <c r="D8185" s="601">
        <v>8.02</v>
      </c>
    </row>
    <row r="8186" spans="1:4" ht="27">
      <c r="A8186" s="402">
        <v>98277</v>
      </c>
      <c r="B8186" s="403" t="s">
        <v>6836</v>
      </c>
      <c r="C8186" s="402" t="s">
        <v>17</v>
      </c>
      <c r="D8186" s="601">
        <v>14.97</v>
      </c>
    </row>
    <row r="8187" spans="1:4" ht="27">
      <c r="A8187" s="402">
        <v>98278</v>
      </c>
      <c r="B8187" s="403" t="s">
        <v>6837</v>
      </c>
      <c r="C8187" s="402" t="s">
        <v>17</v>
      </c>
      <c r="D8187" s="601">
        <v>20.21</v>
      </c>
    </row>
    <row r="8188" spans="1:4" ht="27">
      <c r="A8188" s="402">
        <v>98279</v>
      </c>
      <c r="B8188" s="403" t="s">
        <v>6838</v>
      </c>
      <c r="C8188" s="402" t="s">
        <v>17</v>
      </c>
      <c r="D8188" s="601">
        <v>34.93</v>
      </c>
    </row>
    <row r="8189" spans="1:4" ht="27">
      <c r="A8189" s="402">
        <v>98280</v>
      </c>
      <c r="B8189" s="403" t="s">
        <v>6839</v>
      </c>
      <c r="C8189" s="402" t="s">
        <v>17</v>
      </c>
      <c r="D8189" s="601">
        <v>5.2</v>
      </c>
    </row>
    <row r="8190" spans="1:4" ht="27">
      <c r="A8190" s="402">
        <v>98281</v>
      </c>
      <c r="B8190" s="403" t="s">
        <v>6840</v>
      </c>
      <c r="C8190" s="402" t="s">
        <v>17</v>
      </c>
      <c r="D8190" s="601">
        <v>5.78</v>
      </c>
    </row>
    <row r="8191" spans="1:4" ht="27">
      <c r="A8191" s="402">
        <v>98282</v>
      </c>
      <c r="B8191" s="403" t="s">
        <v>6841</v>
      </c>
      <c r="C8191" s="402" t="s">
        <v>17</v>
      </c>
      <c r="D8191" s="601">
        <v>6.5</v>
      </c>
    </row>
    <row r="8192" spans="1:4" ht="27">
      <c r="A8192" s="402">
        <v>98283</v>
      </c>
      <c r="B8192" s="403" t="s">
        <v>6842</v>
      </c>
      <c r="C8192" s="402" t="s">
        <v>17</v>
      </c>
      <c r="D8192" s="601">
        <v>7.06</v>
      </c>
    </row>
    <row r="8193" spans="1:4" ht="27">
      <c r="A8193" s="402">
        <v>98284</v>
      </c>
      <c r="B8193" s="403" t="s">
        <v>6843</v>
      </c>
      <c r="C8193" s="402" t="s">
        <v>17</v>
      </c>
      <c r="D8193" s="601">
        <v>7.91</v>
      </c>
    </row>
    <row r="8194" spans="1:4" ht="27">
      <c r="A8194" s="402">
        <v>98285</v>
      </c>
      <c r="B8194" s="403" t="s">
        <v>6844</v>
      </c>
      <c r="C8194" s="402" t="s">
        <v>17</v>
      </c>
      <c r="D8194" s="601">
        <v>8.4</v>
      </c>
    </row>
    <row r="8195" spans="1:4" ht="27">
      <c r="A8195" s="402">
        <v>98286</v>
      </c>
      <c r="B8195" s="403" t="s">
        <v>6845</v>
      </c>
      <c r="C8195" s="402" t="s">
        <v>17</v>
      </c>
      <c r="D8195" s="601">
        <v>12.52</v>
      </c>
    </row>
    <row r="8196" spans="1:4" ht="27">
      <c r="A8196" s="402">
        <v>98287</v>
      </c>
      <c r="B8196" s="403" t="s">
        <v>6846</v>
      </c>
      <c r="C8196" s="402" t="s">
        <v>17</v>
      </c>
      <c r="D8196" s="601">
        <v>1.1499999999999999</v>
      </c>
    </row>
    <row r="8197" spans="1:4" ht="27">
      <c r="A8197" s="402">
        <v>98288</v>
      </c>
      <c r="B8197" s="403" t="s">
        <v>6847</v>
      </c>
      <c r="C8197" s="402" t="s">
        <v>17</v>
      </c>
      <c r="D8197" s="601">
        <v>1.73</v>
      </c>
    </row>
    <row r="8198" spans="1:4" ht="27">
      <c r="A8198" s="402">
        <v>98289</v>
      </c>
      <c r="B8198" s="403" t="s">
        <v>6848</v>
      </c>
      <c r="C8198" s="402" t="s">
        <v>17</v>
      </c>
      <c r="D8198" s="601">
        <v>2.44</v>
      </c>
    </row>
    <row r="8199" spans="1:4" ht="27">
      <c r="A8199" s="402">
        <v>98290</v>
      </c>
      <c r="B8199" s="403" t="s">
        <v>6849</v>
      </c>
      <c r="C8199" s="402" t="s">
        <v>17</v>
      </c>
      <c r="D8199" s="601">
        <v>3</v>
      </c>
    </row>
    <row r="8200" spans="1:4" ht="27">
      <c r="A8200" s="402">
        <v>98291</v>
      </c>
      <c r="B8200" s="403" t="s">
        <v>6850</v>
      </c>
      <c r="C8200" s="402" t="s">
        <v>17</v>
      </c>
      <c r="D8200" s="601">
        <v>3.86</v>
      </c>
    </row>
    <row r="8201" spans="1:4" ht="27">
      <c r="A8201" s="402">
        <v>98292</v>
      </c>
      <c r="B8201" s="403" t="s">
        <v>6851</v>
      </c>
      <c r="C8201" s="402" t="s">
        <v>17</v>
      </c>
      <c r="D8201" s="601">
        <v>4.3499999999999996</v>
      </c>
    </row>
    <row r="8202" spans="1:4" ht="27">
      <c r="A8202" s="402">
        <v>98293</v>
      </c>
      <c r="B8202" s="403" t="s">
        <v>6852</v>
      </c>
      <c r="C8202" s="402" t="s">
        <v>17</v>
      </c>
      <c r="D8202" s="601">
        <v>8.4700000000000006</v>
      </c>
    </row>
    <row r="8203" spans="1:4" ht="27">
      <c r="A8203" s="402">
        <v>98400</v>
      </c>
      <c r="B8203" s="403" t="s">
        <v>6853</v>
      </c>
      <c r="C8203" s="402" t="s">
        <v>17</v>
      </c>
      <c r="D8203" s="601">
        <v>12.07</v>
      </c>
    </row>
    <row r="8204" spans="1:4" ht="27">
      <c r="A8204" s="402">
        <v>98401</v>
      </c>
      <c r="B8204" s="403" t="s">
        <v>6854</v>
      </c>
      <c r="C8204" s="402" t="s">
        <v>17</v>
      </c>
      <c r="D8204" s="601">
        <v>19.21</v>
      </c>
    </row>
    <row r="8205" spans="1:4" ht="27">
      <c r="A8205" s="402">
        <v>98402</v>
      </c>
      <c r="B8205" s="403" t="s">
        <v>6855</v>
      </c>
      <c r="C8205" s="402" t="s">
        <v>17</v>
      </c>
      <c r="D8205" s="601">
        <v>25.18</v>
      </c>
    </row>
    <row r="8206" spans="1:4" ht="27">
      <c r="A8206" s="402">
        <v>100556</v>
      </c>
      <c r="B8206" s="403" t="s">
        <v>6856</v>
      </c>
      <c r="C8206" s="402" t="s">
        <v>35</v>
      </c>
      <c r="D8206" s="601">
        <v>29.58</v>
      </c>
    </row>
    <row r="8207" spans="1:4" ht="27">
      <c r="A8207" s="402">
        <v>100557</v>
      </c>
      <c r="B8207" s="403" t="s">
        <v>6857</v>
      </c>
      <c r="C8207" s="402" t="s">
        <v>35</v>
      </c>
      <c r="D8207" s="601">
        <v>375.5</v>
      </c>
    </row>
    <row r="8208" spans="1:4" ht="40.5">
      <c r="A8208" s="402">
        <v>100560</v>
      </c>
      <c r="B8208" s="403" t="s">
        <v>6858</v>
      </c>
      <c r="C8208" s="402" t="s">
        <v>35</v>
      </c>
      <c r="D8208" s="601">
        <v>80.349999999999994</v>
      </c>
    </row>
    <row r="8209" spans="1:4" ht="40.5">
      <c r="A8209" s="402">
        <v>100561</v>
      </c>
      <c r="B8209" s="403" t="s">
        <v>6859</v>
      </c>
      <c r="C8209" s="402" t="s">
        <v>35</v>
      </c>
      <c r="D8209" s="601">
        <v>147.74</v>
      </c>
    </row>
    <row r="8210" spans="1:4" ht="40.5">
      <c r="A8210" s="402">
        <v>100562</v>
      </c>
      <c r="B8210" s="403" t="s">
        <v>6860</v>
      </c>
      <c r="C8210" s="402" t="s">
        <v>35</v>
      </c>
      <c r="D8210" s="601">
        <v>229.2</v>
      </c>
    </row>
    <row r="8211" spans="1:4" ht="27">
      <c r="A8211" s="402">
        <v>100563</v>
      </c>
      <c r="B8211" s="403" t="s">
        <v>6861</v>
      </c>
      <c r="C8211" s="402" t="s">
        <v>35</v>
      </c>
      <c r="D8211" s="601">
        <v>330.78</v>
      </c>
    </row>
    <row r="8212" spans="1:4" ht="13.5">
      <c r="A8212" s="402">
        <v>98397</v>
      </c>
      <c r="B8212" s="403" t="s">
        <v>4714</v>
      </c>
      <c r="C8212" s="402" t="s">
        <v>48</v>
      </c>
      <c r="D8212" s="601">
        <v>7.97</v>
      </c>
    </row>
    <row r="8213" spans="1:4" ht="27">
      <c r="A8213" s="402" t="s">
        <v>4368</v>
      </c>
      <c r="B8213" s="403" t="s">
        <v>4369</v>
      </c>
      <c r="C8213" s="402" t="s">
        <v>35</v>
      </c>
      <c r="D8213" s="601">
        <v>5094.6400000000003</v>
      </c>
    </row>
    <row r="8214" spans="1:4" ht="13.5">
      <c r="A8214" s="402">
        <v>85120</v>
      </c>
      <c r="B8214" s="403" t="s">
        <v>1228</v>
      </c>
      <c r="C8214" s="402" t="s">
        <v>35</v>
      </c>
      <c r="D8214" s="601">
        <v>104.29</v>
      </c>
    </row>
    <row r="8215" spans="1:4" ht="13.5">
      <c r="A8215" s="402">
        <v>83486</v>
      </c>
      <c r="B8215" s="403" t="s">
        <v>167</v>
      </c>
      <c r="C8215" s="402" t="s">
        <v>35</v>
      </c>
      <c r="D8215" s="601">
        <v>1229.45</v>
      </c>
    </row>
    <row r="8216" spans="1:4" ht="40.5">
      <c r="A8216" s="402">
        <v>83643</v>
      </c>
      <c r="B8216" s="403" t="s">
        <v>1206</v>
      </c>
      <c r="C8216" s="402" t="s">
        <v>35</v>
      </c>
      <c r="D8216" s="601">
        <v>3730.97</v>
      </c>
    </row>
    <row r="8217" spans="1:4" ht="13.5">
      <c r="A8217" s="402">
        <v>83644</v>
      </c>
      <c r="B8217" s="403" t="s">
        <v>170</v>
      </c>
      <c r="C8217" s="402" t="s">
        <v>35</v>
      </c>
      <c r="D8217" s="601">
        <v>5373.23</v>
      </c>
    </row>
    <row r="8218" spans="1:4" ht="13.5">
      <c r="A8218" s="402">
        <v>83645</v>
      </c>
      <c r="B8218" s="403" t="s">
        <v>171</v>
      </c>
      <c r="C8218" s="402" t="s">
        <v>35</v>
      </c>
      <c r="D8218" s="601">
        <v>1683.69</v>
      </c>
    </row>
    <row r="8219" spans="1:4" ht="13.5">
      <c r="A8219" s="402">
        <v>83646</v>
      </c>
      <c r="B8219" s="403" t="s">
        <v>172</v>
      </c>
      <c r="C8219" s="402" t="s">
        <v>35</v>
      </c>
      <c r="D8219" s="601">
        <v>1960.12</v>
      </c>
    </row>
    <row r="8220" spans="1:4" ht="13.5">
      <c r="A8220" s="402">
        <v>83647</v>
      </c>
      <c r="B8220" s="403" t="s">
        <v>173</v>
      </c>
      <c r="C8220" s="402" t="s">
        <v>35</v>
      </c>
      <c r="D8220" s="601">
        <v>1270.01</v>
      </c>
    </row>
    <row r="8221" spans="1:4" ht="13.5">
      <c r="A8221" s="402">
        <v>83648</v>
      </c>
      <c r="B8221" s="403" t="s">
        <v>174</v>
      </c>
      <c r="C8221" s="402" t="s">
        <v>35</v>
      </c>
      <c r="D8221" s="601">
        <v>802.66</v>
      </c>
    </row>
    <row r="8222" spans="1:4" ht="13.5">
      <c r="A8222" s="402">
        <v>83649</v>
      </c>
      <c r="B8222" s="403" t="s">
        <v>175</v>
      </c>
      <c r="C8222" s="402" t="s">
        <v>35</v>
      </c>
      <c r="D8222" s="601">
        <v>4853.79</v>
      </c>
    </row>
    <row r="8223" spans="1:4" ht="13.5">
      <c r="A8223" s="402">
        <v>83650</v>
      </c>
      <c r="B8223" s="403" t="s">
        <v>176</v>
      </c>
      <c r="C8223" s="402" t="s">
        <v>35</v>
      </c>
      <c r="D8223" s="601">
        <v>4026.43</v>
      </c>
    </row>
    <row r="8224" spans="1:4" ht="27">
      <c r="A8224" s="402">
        <v>98294</v>
      </c>
      <c r="B8224" s="403" t="s">
        <v>6862</v>
      </c>
      <c r="C8224" s="402" t="s">
        <v>17</v>
      </c>
      <c r="D8224" s="601">
        <v>1.48</v>
      </c>
    </row>
    <row r="8225" spans="1:4" ht="27">
      <c r="A8225" s="402">
        <v>98295</v>
      </c>
      <c r="B8225" s="403" t="s">
        <v>6863</v>
      </c>
      <c r="C8225" s="402" t="s">
        <v>17</v>
      </c>
      <c r="D8225" s="601">
        <v>1.02</v>
      </c>
    </row>
    <row r="8226" spans="1:4" ht="27">
      <c r="A8226" s="402">
        <v>98296</v>
      </c>
      <c r="B8226" s="403" t="s">
        <v>6864</v>
      </c>
      <c r="C8226" s="402" t="s">
        <v>17</v>
      </c>
      <c r="D8226" s="601">
        <v>2.27</v>
      </c>
    </row>
    <row r="8227" spans="1:4" ht="27">
      <c r="A8227" s="402">
        <v>98297</v>
      </c>
      <c r="B8227" s="403" t="s">
        <v>6865</v>
      </c>
      <c r="C8227" s="402" t="s">
        <v>17</v>
      </c>
      <c r="D8227" s="601">
        <v>1.54</v>
      </c>
    </row>
    <row r="8228" spans="1:4" ht="13.5">
      <c r="A8228" s="402">
        <v>98301</v>
      </c>
      <c r="B8228" s="403" t="s">
        <v>6866</v>
      </c>
      <c r="C8228" s="402" t="s">
        <v>35</v>
      </c>
      <c r="D8228" s="601">
        <v>346.94</v>
      </c>
    </row>
    <row r="8229" spans="1:4" ht="13.5">
      <c r="A8229" s="402">
        <v>98302</v>
      </c>
      <c r="B8229" s="403" t="s">
        <v>6867</v>
      </c>
      <c r="C8229" s="402" t="s">
        <v>35</v>
      </c>
      <c r="D8229" s="601">
        <v>454.02</v>
      </c>
    </row>
    <row r="8230" spans="1:4" ht="13.5">
      <c r="A8230" s="402">
        <v>98304</v>
      </c>
      <c r="B8230" s="403" t="s">
        <v>6868</v>
      </c>
      <c r="C8230" s="402" t="s">
        <v>35</v>
      </c>
      <c r="D8230" s="601">
        <v>741.86</v>
      </c>
    </row>
    <row r="8231" spans="1:4" ht="13.5">
      <c r="A8231" s="402">
        <v>98307</v>
      </c>
      <c r="B8231" s="403" t="s">
        <v>6869</v>
      </c>
      <c r="C8231" s="402" t="s">
        <v>35</v>
      </c>
      <c r="D8231" s="601">
        <v>28.16</v>
      </c>
    </row>
    <row r="8232" spans="1:4" ht="13.5">
      <c r="A8232" s="402">
        <v>98308</v>
      </c>
      <c r="B8232" s="403" t="s">
        <v>6870</v>
      </c>
      <c r="C8232" s="402" t="s">
        <v>35</v>
      </c>
      <c r="D8232" s="601">
        <v>18.87</v>
      </c>
    </row>
    <row r="8233" spans="1:4" ht="13.5">
      <c r="A8233" s="402">
        <v>98593</v>
      </c>
      <c r="B8233" s="403" t="s">
        <v>6871</v>
      </c>
      <c r="C8233" s="402" t="s">
        <v>35</v>
      </c>
      <c r="D8233" s="601">
        <v>613.96</v>
      </c>
    </row>
    <row r="8234" spans="1:4" ht="27">
      <c r="A8234" s="402">
        <v>89355</v>
      </c>
      <c r="B8234" s="403" t="s">
        <v>355</v>
      </c>
      <c r="C8234" s="402" t="s">
        <v>17</v>
      </c>
      <c r="D8234" s="601">
        <v>12.62</v>
      </c>
    </row>
    <row r="8235" spans="1:4" ht="27">
      <c r="A8235" s="402">
        <v>89356</v>
      </c>
      <c r="B8235" s="403" t="s">
        <v>356</v>
      </c>
      <c r="C8235" s="402" t="s">
        <v>17</v>
      </c>
      <c r="D8235" s="601">
        <v>14.89</v>
      </c>
    </row>
    <row r="8236" spans="1:4" ht="27">
      <c r="A8236" s="402">
        <v>89357</v>
      </c>
      <c r="B8236" s="403" t="s">
        <v>357</v>
      </c>
      <c r="C8236" s="402" t="s">
        <v>17</v>
      </c>
      <c r="D8236" s="601">
        <v>20.91</v>
      </c>
    </row>
    <row r="8237" spans="1:4" ht="27">
      <c r="A8237" s="402">
        <v>89401</v>
      </c>
      <c r="B8237" s="403" t="s">
        <v>1753</v>
      </c>
      <c r="C8237" s="402" t="s">
        <v>17</v>
      </c>
      <c r="D8237" s="601">
        <v>5.45</v>
      </c>
    </row>
    <row r="8238" spans="1:4" ht="27">
      <c r="A8238" s="402">
        <v>89402</v>
      </c>
      <c r="B8238" s="403" t="s">
        <v>1754</v>
      </c>
      <c r="C8238" s="402" t="s">
        <v>17</v>
      </c>
      <c r="D8238" s="601">
        <v>6.63</v>
      </c>
    </row>
    <row r="8239" spans="1:4" ht="27">
      <c r="A8239" s="402">
        <v>89403</v>
      </c>
      <c r="B8239" s="403" t="s">
        <v>1755</v>
      </c>
      <c r="C8239" s="402" t="s">
        <v>17</v>
      </c>
      <c r="D8239" s="601">
        <v>11.02</v>
      </c>
    </row>
    <row r="8240" spans="1:4" ht="27">
      <c r="A8240" s="402">
        <v>89446</v>
      </c>
      <c r="B8240" s="403" t="s">
        <v>1792</v>
      </c>
      <c r="C8240" s="402" t="s">
        <v>17</v>
      </c>
      <c r="D8240" s="601">
        <v>3.49</v>
      </c>
    </row>
    <row r="8241" spans="1:4" ht="27">
      <c r="A8241" s="402">
        <v>89447</v>
      </c>
      <c r="B8241" s="403" t="s">
        <v>1793</v>
      </c>
      <c r="C8241" s="402" t="s">
        <v>17</v>
      </c>
      <c r="D8241" s="601">
        <v>7.33</v>
      </c>
    </row>
    <row r="8242" spans="1:4" ht="27">
      <c r="A8242" s="402">
        <v>89448</v>
      </c>
      <c r="B8242" s="403" t="s">
        <v>1794</v>
      </c>
      <c r="C8242" s="402" t="s">
        <v>17</v>
      </c>
      <c r="D8242" s="601">
        <v>10.54</v>
      </c>
    </row>
    <row r="8243" spans="1:4" ht="27">
      <c r="A8243" s="402">
        <v>89449</v>
      </c>
      <c r="B8243" s="403" t="s">
        <v>1795</v>
      </c>
      <c r="C8243" s="402" t="s">
        <v>17</v>
      </c>
      <c r="D8243" s="601">
        <v>12.12</v>
      </c>
    </row>
    <row r="8244" spans="1:4" ht="27">
      <c r="A8244" s="402">
        <v>89450</v>
      </c>
      <c r="B8244" s="403" t="s">
        <v>1796</v>
      </c>
      <c r="C8244" s="402" t="s">
        <v>17</v>
      </c>
      <c r="D8244" s="601">
        <v>19.98</v>
      </c>
    </row>
    <row r="8245" spans="1:4" ht="27">
      <c r="A8245" s="402">
        <v>89451</v>
      </c>
      <c r="B8245" s="403" t="s">
        <v>1797</v>
      </c>
      <c r="C8245" s="402" t="s">
        <v>17</v>
      </c>
      <c r="D8245" s="601">
        <v>33</v>
      </c>
    </row>
    <row r="8246" spans="1:4" ht="27">
      <c r="A8246" s="402">
        <v>89452</v>
      </c>
      <c r="B8246" s="403" t="s">
        <v>1798</v>
      </c>
      <c r="C8246" s="402" t="s">
        <v>17</v>
      </c>
      <c r="D8246" s="601">
        <v>41.07</v>
      </c>
    </row>
    <row r="8247" spans="1:4" ht="27">
      <c r="A8247" s="402">
        <v>89508</v>
      </c>
      <c r="B8247" s="403" t="s">
        <v>1834</v>
      </c>
      <c r="C8247" s="402" t="s">
        <v>17</v>
      </c>
      <c r="D8247" s="601">
        <v>14.3</v>
      </c>
    </row>
    <row r="8248" spans="1:4" ht="27">
      <c r="A8248" s="402">
        <v>89509</v>
      </c>
      <c r="B8248" s="403" t="s">
        <v>1835</v>
      </c>
      <c r="C8248" s="402" t="s">
        <v>17</v>
      </c>
      <c r="D8248" s="601">
        <v>20.309999999999999</v>
      </c>
    </row>
    <row r="8249" spans="1:4" ht="27">
      <c r="A8249" s="402">
        <v>89511</v>
      </c>
      <c r="B8249" s="403" t="s">
        <v>1836</v>
      </c>
      <c r="C8249" s="402" t="s">
        <v>17</v>
      </c>
      <c r="D8249" s="601">
        <v>30.71</v>
      </c>
    </row>
    <row r="8250" spans="1:4" ht="27">
      <c r="A8250" s="402">
        <v>89512</v>
      </c>
      <c r="B8250" s="403" t="s">
        <v>1837</v>
      </c>
      <c r="C8250" s="402" t="s">
        <v>17</v>
      </c>
      <c r="D8250" s="601">
        <v>48.48</v>
      </c>
    </row>
    <row r="8251" spans="1:4" ht="27">
      <c r="A8251" s="402">
        <v>89576</v>
      </c>
      <c r="B8251" s="403" t="s">
        <v>1870</v>
      </c>
      <c r="C8251" s="402" t="s">
        <v>17</v>
      </c>
      <c r="D8251" s="601">
        <v>17.600000000000001</v>
      </c>
    </row>
    <row r="8252" spans="1:4" ht="27">
      <c r="A8252" s="402">
        <v>89578</v>
      </c>
      <c r="B8252" s="403" t="s">
        <v>1871</v>
      </c>
      <c r="C8252" s="402" t="s">
        <v>17</v>
      </c>
      <c r="D8252" s="601">
        <v>30.3</v>
      </c>
    </row>
    <row r="8253" spans="1:4" ht="27">
      <c r="A8253" s="402">
        <v>89580</v>
      </c>
      <c r="B8253" s="403" t="s">
        <v>1873</v>
      </c>
      <c r="C8253" s="402" t="s">
        <v>17</v>
      </c>
      <c r="D8253" s="601">
        <v>59.48</v>
      </c>
    </row>
    <row r="8254" spans="1:4" ht="27">
      <c r="A8254" s="402">
        <v>89633</v>
      </c>
      <c r="B8254" s="403" t="s">
        <v>431</v>
      </c>
      <c r="C8254" s="402" t="s">
        <v>17</v>
      </c>
      <c r="D8254" s="601">
        <v>19.23</v>
      </c>
    </row>
    <row r="8255" spans="1:4" ht="27">
      <c r="A8255" s="402">
        <v>89634</v>
      </c>
      <c r="B8255" s="403" t="s">
        <v>432</v>
      </c>
      <c r="C8255" s="402" t="s">
        <v>17</v>
      </c>
      <c r="D8255" s="601">
        <v>29.82</v>
      </c>
    </row>
    <row r="8256" spans="1:4" ht="27">
      <c r="A8256" s="402">
        <v>89635</v>
      </c>
      <c r="B8256" s="403" t="s">
        <v>433</v>
      </c>
      <c r="C8256" s="402" t="s">
        <v>17</v>
      </c>
      <c r="D8256" s="601">
        <v>43.29</v>
      </c>
    </row>
    <row r="8257" spans="1:4" ht="27">
      <c r="A8257" s="402">
        <v>89636</v>
      </c>
      <c r="B8257" s="403" t="s">
        <v>1910</v>
      </c>
      <c r="C8257" s="402" t="s">
        <v>17</v>
      </c>
      <c r="D8257" s="601">
        <v>52.84</v>
      </c>
    </row>
    <row r="8258" spans="1:4" ht="27">
      <c r="A8258" s="402">
        <v>89711</v>
      </c>
      <c r="B8258" s="403" t="s">
        <v>1976</v>
      </c>
      <c r="C8258" s="402" t="s">
        <v>17</v>
      </c>
      <c r="D8258" s="601">
        <v>13.49</v>
      </c>
    </row>
    <row r="8259" spans="1:4" ht="27">
      <c r="A8259" s="402">
        <v>89712</v>
      </c>
      <c r="B8259" s="403" t="s">
        <v>1977</v>
      </c>
      <c r="C8259" s="402" t="s">
        <v>17</v>
      </c>
      <c r="D8259" s="601">
        <v>20.74</v>
      </c>
    </row>
    <row r="8260" spans="1:4" ht="27">
      <c r="A8260" s="402">
        <v>89713</v>
      </c>
      <c r="B8260" s="403" t="s">
        <v>1978</v>
      </c>
      <c r="C8260" s="402" t="s">
        <v>17</v>
      </c>
      <c r="D8260" s="601">
        <v>32.08</v>
      </c>
    </row>
    <row r="8261" spans="1:4" ht="27">
      <c r="A8261" s="402">
        <v>89714</v>
      </c>
      <c r="B8261" s="403" t="s">
        <v>1979</v>
      </c>
      <c r="C8261" s="402" t="s">
        <v>17</v>
      </c>
      <c r="D8261" s="601">
        <v>41.47</v>
      </c>
    </row>
    <row r="8262" spans="1:4" ht="27">
      <c r="A8262" s="402">
        <v>89716</v>
      </c>
      <c r="B8262" s="403" t="s">
        <v>1980</v>
      </c>
      <c r="C8262" s="402" t="s">
        <v>17</v>
      </c>
      <c r="D8262" s="601">
        <v>22.34</v>
      </c>
    </row>
    <row r="8263" spans="1:4" ht="27">
      <c r="A8263" s="402">
        <v>89717</v>
      </c>
      <c r="B8263" s="403" t="s">
        <v>1981</v>
      </c>
      <c r="C8263" s="402" t="s">
        <v>17</v>
      </c>
      <c r="D8263" s="601">
        <v>34.5</v>
      </c>
    </row>
    <row r="8264" spans="1:4" ht="27">
      <c r="A8264" s="402">
        <v>89770</v>
      </c>
      <c r="B8264" s="403" t="s">
        <v>2025</v>
      </c>
      <c r="C8264" s="402" t="s">
        <v>17</v>
      </c>
      <c r="D8264" s="601">
        <v>38.6</v>
      </c>
    </row>
    <row r="8265" spans="1:4" ht="27">
      <c r="A8265" s="402">
        <v>89771</v>
      </c>
      <c r="B8265" s="403" t="s">
        <v>2026</v>
      </c>
      <c r="C8265" s="402" t="s">
        <v>17</v>
      </c>
      <c r="D8265" s="601">
        <v>52.77</v>
      </c>
    </row>
    <row r="8266" spans="1:4" ht="27">
      <c r="A8266" s="402">
        <v>89773</v>
      </c>
      <c r="B8266" s="403" t="s">
        <v>2028</v>
      </c>
      <c r="C8266" s="402" t="s">
        <v>17</v>
      </c>
      <c r="D8266" s="601">
        <v>123.05</v>
      </c>
    </row>
    <row r="8267" spans="1:4" ht="27">
      <c r="A8267" s="402">
        <v>89775</v>
      </c>
      <c r="B8267" s="403" t="s">
        <v>2030</v>
      </c>
      <c r="C8267" s="402" t="s">
        <v>17</v>
      </c>
      <c r="D8267" s="601">
        <v>194.49</v>
      </c>
    </row>
    <row r="8268" spans="1:4" ht="27">
      <c r="A8268" s="402">
        <v>89798</v>
      </c>
      <c r="B8268" s="403" t="s">
        <v>2052</v>
      </c>
      <c r="C8268" s="402" t="s">
        <v>17</v>
      </c>
      <c r="D8268" s="601">
        <v>8.68</v>
      </c>
    </row>
    <row r="8269" spans="1:4" ht="27">
      <c r="A8269" s="402">
        <v>89799</v>
      </c>
      <c r="B8269" s="403" t="s">
        <v>2053</v>
      </c>
      <c r="C8269" s="402" t="s">
        <v>17</v>
      </c>
      <c r="D8269" s="601">
        <v>14.39</v>
      </c>
    </row>
    <row r="8270" spans="1:4" ht="27">
      <c r="A8270" s="402">
        <v>89800</v>
      </c>
      <c r="B8270" s="403" t="s">
        <v>2054</v>
      </c>
      <c r="C8270" s="402" t="s">
        <v>17</v>
      </c>
      <c r="D8270" s="601">
        <v>17.97</v>
      </c>
    </row>
    <row r="8271" spans="1:4" ht="27">
      <c r="A8271" s="402">
        <v>89848</v>
      </c>
      <c r="B8271" s="403" t="s">
        <v>2101</v>
      </c>
      <c r="C8271" s="402" t="s">
        <v>17</v>
      </c>
      <c r="D8271" s="601">
        <v>21.94</v>
      </c>
    </row>
    <row r="8272" spans="1:4" ht="27">
      <c r="A8272" s="402">
        <v>89849</v>
      </c>
      <c r="B8272" s="403" t="s">
        <v>2102</v>
      </c>
      <c r="C8272" s="402" t="s">
        <v>17</v>
      </c>
      <c r="D8272" s="601">
        <v>42.3</v>
      </c>
    </row>
    <row r="8273" spans="1:4" ht="27">
      <c r="A8273" s="402">
        <v>89865</v>
      </c>
      <c r="B8273" s="403" t="s">
        <v>449</v>
      </c>
      <c r="C8273" s="402" t="s">
        <v>17</v>
      </c>
      <c r="D8273" s="601">
        <v>9.09</v>
      </c>
    </row>
    <row r="8274" spans="1:4" ht="54">
      <c r="A8274" s="402">
        <v>91784</v>
      </c>
      <c r="B8274" s="403" t="s">
        <v>573</v>
      </c>
      <c r="C8274" s="402" t="s">
        <v>17</v>
      </c>
      <c r="D8274" s="601">
        <v>30.8</v>
      </c>
    </row>
    <row r="8275" spans="1:4" ht="54">
      <c r="A8275" s="402">
        <v>91785</v>
      </c>
      <c r="B8275" s="403" t="s">
        <v>574</v>
      </c>
      <c r="C8275" s="402" t="s">
        <v>17</v>
      </c>
      <c r="D8275" s="601">
        <v>30.5</v>
      </c>
    </row>
    <row r="8276" spans="1:4" ht="40.5">
      <c r="A8276" s="402">
        <v>91786</v>
      </c>
      <c r="B8276" s="403" t="s">
        <v>2469</v>
      </c>
      <c r="C8276" s="402" t="s">
        <v>17</v>
      </c>
      <c r="D8276" s="601">
        <v>21.01</v>
      </c>
    </row>
    <row r="8277" spans="1:4" ht="40.5">
      <c r="A8277" s="402">
        <v>91787</v>
      </c>
      <c r="B8277" s="403" t="s">
        <v>2470</v>
      </c>
      <c r="C8277" s="402" t="s">
        <v>17</v>
      </c>
      <c r="D8277" s="601">
        <v>23.32</v>
      </c>
    </row>
    <row r="8278" spans="1:4" ht="40.5">
      <c r="A8278" s="402">
        <v>91788</v>
      </c>
      <c r="B8278" s="403" t="s">
        <v>2471</v>
      </c>
      <c r="C8278" s="402" t="s">
        <v>17</v>
      </c>
      <c r="D8278" s="601">
        <v>29.84</v>
      </c>
    </row>
    <row r="8279" spans="1:4" ht="54">
      <c r="A8279" s="402">
        <v>91789</v>
      </c>
      <c r="B8279" s="403" t="s">
        <v>575</v>
      </c>
      <c r="C8279" s="402" t="s">
        <v>17</v>
      </c>
      <c r="D8279" s="601">
        <v>32.409999999999997</v>
      </c>
    </row>
    <row r="8280" spans="1:4" ht="54">
      <c r="A8280" s="402">
        <v>91790</v>
      </c>
      <c r="B8280" s="403" t="s">
        <v>2472</v>
      </c>
      <c r="C8280" s="402" t="s">
        <v>17</v>
      </c>
      <c r="D8280" s="601">
        <v>49.17</v>
      </c>
    </row>
    <row r="8281" spans="1:4" ht="40.5">
      <c r="A8281" s="402">
        <v>91791</v>
      </c>
      <c r="B8281" s="403" t="s">
        <v>576</v>
      </c>
      <c r="C8281" s="402" t="s">
        <v>17</v>
      </c>
      <c r="D8281" s="601">
        <v>63.58</v>
      </c>
    </row>
    <row r="8282" spans="1:4" ht="54">
      <c r="A8282" s="402">
        <v>91792</v>
      </c>
      <c r="B8282" s="403" t="s">
        <v>2473</v>
      </c>
      <c r="C8282" s="402" t="s">
        <v>17</v>
      </c>
      <c r="D8282" s="601">
        <v>41.2</v>
      </c>
    </row>
    <row r="8283" spans="1:4" ht="54">
      <c r="A8283" s="402">
        <v>91793</v>
      </c>
      <c r="B8283" s="403" t="s">
        <v>2474</v>
      </c>
      <c r="C8283" s="402" t="s">
        <v>17</v>
      </c>
      <c r="D8283" s="601">
        <v>63.29</v>
      </c>
    </row>
    <row r="8284" spans="1:4" ht="54">
      <c r="A8284" s="402">
        <v>91794</v>
      </c>
      <c r="B8284" s="403" t="s">
        <v>2475</v>
      </c>
      <c r="C8284" s="402" t="s">
        <v>17</v>
      </c>
      <c r="D8284" s="601">
        <v>29.43</v>
      </c>
    </row>
    <row r="8285" spans="1:4" ht="54">
      <c r="A8285" s="402">
        <v>91795</v>
      </c>
      <c r="B8285" s="403" t="s">
        <v>2476</v>
      </c>
      <c r="C8285" s="402" t="s">
        <v>17</v>
      </c>
      <c r="D8285" s="601">
        <v>49.79</v>
      </c>
    </row>
    <row r="8286" spans="1:4" ht="40.5">
      <c r="A8286" s="402">
        <v>91796</v>
      </c>
      <c r="B8286" s="403" t="s">
        <v>2477</v>
      </c>
      <c r="C8286" s="402" t="s">
        <v>17</v>
      </c>
      <c r="D8286" s="601">
        <v>52.07</v>
      </c>
    </row>
    <row r="8287" spans="1:4" ht="27">
      <c r="A8287" s="402">
        <v>92275</v>
      </c>
      <c r="B8287" s="403" t="s">
        <v>5115</v>
      </c>
      <c r="C8287" s="402" t="s">
        <v>17</v>
      </c>
      <c r="D8287" s="601">
        <v>36.159999999999997</v>
      </c>
    </row>
    <row r="8288" spans="1:4" ht="27">
      <c r="A8288" s="402">
        <v>92276</v>
      </c>
      <c r="B8288" s="403" t="s">
        <v>5116</v>
      </c>
      <c r="C8288" s="402" t="s">
        <v>17</v>
      </c>
      <c r="D8288" s="601">
        <v>45.78</v>
      </c>
    </row>
    <row r="8289" spans="1:4" ht="27">
      <c r="A8289" s="402">
        <v>92277</v>
      </c>
      <c r="B8289" s="403" t="s">
        <v>5117</v>
      </c>
      <c r="C8289" s="402" t="s">
        <v>17</v>
      </c>
      <c r="D8289" s="601">
        <v>66.010000000000005</v>
      </c>
    </row>
    <row r="8290" spans="1:4" ht="27">
      <c r="A8290" s="402">
        <v>92278</v>
      </c>
      <c r="B8290" s="403" t="s">
        <v>5118</v>
      </c>
      <c r="C8290" s="402" t="s">
        <v>17</v>
      </c>
      <c r="D8290" s="601">
        <v>88.73</v>
      </c>
    </row>
    <row r="8291" spans="1:4" ht="27">
      <c r="A8291" s="402">
        <v>92279</v>
      </c>
      <c r="B8291" s="403" t="s">
        <v>5119</v>
      </c>
      <c r="C8291" s="402" t="s">
        <v>17</v>
      </c>
      <c r="D8291" s="601">
        <v>128.16999999999999</v>
      </c>
    </row>
    <row r="8292" spans="1:4" ht="27">
      <c r="A8292" s="402">
        <v>92280</v>
      </c>
      <c r="B8292" s="403" t="s">
        <v>5120</v>
      </c>
      <c r="C8292" s="402" t="s">
        <v>17</v>
      </c>
      <c r="D8292" s="601">
        <v>179.89</v>
      </c>
    </row>
    <row r="8293" spans="1:4" ht="27">
      <c r="A8293" s="402">
        <v>92281</v>
      </c>
      <c r="B8293" s="403" t="s">
        <v>5121</v>
      </c>
      <c r="C8293" s="402" t="s">
        <v>17</v>
      </c>
      <c r="D8293" s="601">
        <v>107.78</v>
      </c>
    </row>
    <row r="8294" spans="1:4" ht="27">
      <c r="A8294" s="402">
        <v>92282</v>
      </c>
      <c r="B8294" s="403" t="s">
        <v>5122</v>
      </c>
      <c r="C8294" s="402" t="s">
        <v>17</v>
      </c>
      <c r="D8294" s="601">
        <v>120.31</v>
      </c>
    </row>
    <row r="8295" spans="1:4" ht="27">
      <c r="A8295" s="402">
        <v>92283</v>
      </c>
      <c r="B8295" s="403" t="s">
        <v>5123</v>
      </c>
      <c r="C8295" s="402" t="s">
        <v>17</v>
      </c>
      <c r="D8295" s="601">
        <v>160.27000000000001</v>
      </c>
    </row>
    <row r="8296" spans="1:4" ht="27">
      <c r="A8296" s="402">
        <v>92284</v>
      </c>
      <c r="B8296" s="403" t="s">
        <v>5124</v>
      </c>
      <c r="C8296" s="402" t="s">
        <v>17</v>
      </c>
      <c r="D8296" s="601">
        <v>196.24</v>
      </c>
    </row>
    <row r="8297" spans="1:4" ht="27">
      <c r="A8297" s="402">
        <v>92285</v>
      </c>
      <c r="B8297" s="403" t="s">
        <v>5125</v>
      </c>
      <c r="C8297" s="402" t="s">
        <v>17</v>
      </c>
      <c r="D8297" s="601">
        <v>256.67</v>
      </c>
    </row>
    <row r="8298" spans="1:4" ht="27">
      <c r="A8298" s="402">
        <v>92286</v>
      </c>
      <c r="B8298" s="403" t="s">
        <v>5126</v>
      </c>
      <c r="C8298" s="402" t="s">
        <v>17</v>
      </c>
      <c r="D8298" s="601">
        <v>310.2</v>
      </c>
    </row>
    <row r="8299" spans="1:4" ht="27">
      <c r="A8299" s="402">
        <v>92305</v>
      </c>
      <c r="B8299" s="403" t="s">
        <v>5127</v>
      </c>
      <c r="C8299" s="402" t="s">
        <v>17</v>
      </c>
      <c r="D8299" s="601">
        <v>24.11</v>
      </c>
    </row>
    <row r="8300" spans="1:4" ht="27">
      <c r="A8300" s="402">
        <v>92306</v>
      </c>
      <c r="B8300" s="403" t="s">
        <v>5128</v>
      </c>
      <c r="C8300" s="402" t="s">
        <v>17</v>
      </c>
      <c r="D8300" s="601">
        <v>39.229999999999997</v>
      </c>
    </row>
    <row r="8301" spans="1:4" ht="27">
      <c r="A8301" s="402">
        <v>92307</v>
      </c>
      <c r="B8301" s="403" t="s">
        <v>5129</v>
      </c>
      <c r="C8301" s="402" t="s">
        <v>17</v>
      </c>
      <c r="D8301" s="601">
        <v>49.07</v>
      </c>
    </row>
    <row r="8302" spans="1:4" ht="27">
      <c r="A8302" s="402">
        <v>92308</v>
      </c>
      <c r="B8302" s="403" t="s">
        <v>5130</v>
      </c>
      <c r="C8302" s="402" t="s">
        <v>17</v>
      </c>
      <c r="D8302" s="601">
        <v>40.68</v>
      </c>
    </row>
    <row r="8303" spans="1:4" ht="27">
      <c r="A8303" s="402">
        <v>92309</v>
      </c>
      <c r="B8303" s="403" t="s">
        <v>5131</v>
      </c>
      <c r="C8303" s="402" t="s">
        <v>17</v>
      </c>
      <c r="D8303" s="601">
        <v>112.41</v>
      </c>
    </row>
    <row r="8304" spans="1:4" ht="27">
      <c r="A8304" s="402">
        <v>92310</v>
      </c>
      <c r="B8304" s="403" t="s">
        <v>5132</v>
      </c>
      <c r="C8304" s="402" t="s">
        <v>17</v>
      </c>
      <c r="D8304" s="601">
        <v>125.19</v>
      </c>
    </row>
    <row r="8305" spans="1:4" ht="27">
      <c r="A8305" s="402">
        <v>92320</v>
      </c>
      <c r="B8305" s="403" t="s">
        <v>5133</v>
      </c>
      <c r="C8305" s="402" t="s">
        <v>17</v>
      </c>
      <c r="D8305" s="601">
        <v>30.85</v>
      </c>
    </row>
    <row r="8306" spans="1:4" ht="27">
      <c r="A8306" s="402">
        <v>92321</v>
      </c>
      <c r="B8306" s="403" t="s">
        <v>5134</v>
      </c>
      <c r="C8306" s="402" t="s">
        <v>17</v>
      </c>
      <c r="D8306" s="601">
        <v>50.82</v>
      </c>
    </row>
    <row r="8307" spans="1:4" ht="27">
      <c r="A8307" s="402">
        <v>92322</v>
      </c>
      <c r="B8307" s="403" t="s">
        <v>5135</v>
      </c>
      <c r="C8307" s="402" t="s">
        <v>17</v>
      </c>
      <c r="D8307" s="601">
        <v>64.88</v>
      </c>
    </row>
    <row r="8308" spans="1:4" ht="27">
      <c r="A8308" s="402">
        <v>92323</v>
      </c>
      <c r="B8308" s="403" t="s">
        <v>5136</v>
      </c>
      <c r="C8308" s="402" t="s">
        <v>17</v>
      </c>
      <c r="D8308" s="601">
        <v>45.82</v>
      </c>
    </row>
    <row r="8309" spans="1:4" ht="27">
      <c r="A8309" s="402">
        <v>92324</v>
      </c>
      <c r="B8309" s="403" t="s">
        <v>5137</v>
      </c>
      <c r="C8309" s="402" t="s">
        <v>17</v>
      </c>
      <c r="D8309" s="601">
        <v>122.38</v>
      </c>
    </row>
    <row r="8310" spans="1:4" ht="27">
      <c r="A8310" s="402">
        <v>92325</v>
      </c>
      <c r="B8310" s="403" t="s">
        <v>5138</v>
      </c>
      <c r="C8310" s="402" t="s">
        <v>17</v>
      </c>
      <c r="D8310" s="601">
        <v>139.35</v>
      </c>
    </row>
    <row r="8311" spans="1:4" ht="27">
      <c r="A8311" s="402">
        <v>92335</v>
      </c>
      <c r="B8311" s="403" t="s">
        <v>2651</v>
      </c>
      <c r="C8311" s="402" t="s">
        <v>17</v>
      </c>
      <c r="D8311" s="601">
        <v>56.22</v>
      </c>
    </row>
    <row r="8312" spans="1:4" ht="27">
      <c r="A8312" s="402">
        <v>92336</v>
      </c>
      <c r="B8312" s="403" t="s">
        <v>2652</v>
      </c>
      <c r="C8312" s="402" t="s">
        <v>17</v>
      </c>
      <c r="D8312" s="601">
        <v>69.05</v>
      </c>
    </row>
    <row r="8313" spans="1:4" ht="27">
      <c r="A8313" s="402">
        <v>92337</v>
      </c>
      <c r="B8313" s="403" t="s">
        <v>2653</v>
      </c>
      <c r="C8313" s="402" t="s">
        <v>17</v>
      </c>
      <c r="D8313" s="601">
        <v>90.84</v>
      </c>
    </row>
    <row r="8314" spans="1:4" ht="27">
      <c r="A8314" s="402">
        <v>92338</v>
      </c>
      <c r="B8314" s="403" t="s">
        <v>628</v>
      </c>
      <c r="C8314" s="402" t="s">
        <v>17</v>
      </c>
      <c r="D8314" s="601">
        <v>72.63</v>
      </c>
    </row>
    <row r="8315" spans="1:4" ht="27">
      <c r="A8315" s="402">
        <v>92339</v>
      </c>
      <c r="B8315" s="403" t="s">
        <v>2654</v>
      </c>
      <c r="C8315" s="402" t="s">
        <v>17</v>
      </c>
      <c r="D8315" s="601">
        <v>108.08</v>
      </c>
    </row>
    <row r="8316" spans="1:4" ht="27">
      <c r="A8316" s="402">
        <v>92341</v>
      </c>
      <c r="B8316" s="403" t="s">
        <v>2655</v>
      </c>
      <c r="C8316" s="402" t="s">
        <v>17</v>
      </c>
      <c r="D8316" s="601">
        <v>62.96</v>
      </c>
    </row>
    <row r="8317" spans="1:4" ht="27">
      <c r="A8317" s="402">
        <v>92342</v>
      </c>
      <c r="B8317" s="403" t="s">
        <v>2656</v>
      </c>
      <c r="C8317" s="402" t="s">
        <v>17</v>
      </c>
      <c r="D8317" s="601">
        <v>75.83</v>
      </c>
    </row>
    <row r="8318" spans="1:4" ht="27">
      <c r="A8318" s="402">
        <v>92343</v>
      </c>
      <c r="B8318" s="403" t="s">
        <v>2657</v>
      </c>
      <c r="C8318" s="402" t="s">
        <v>17</v>
      </c>
      <c r="D8318" s="601">
        <v>97.68</v>
      </c>
    </row>
    <row r="8319" spans="1:4" ht="27">
      <c r="A8319" s="402">
        <v>92361</v>
      </c>
      <c r="B8319" s="403" t="s">
        <v>2664</v>
      </c>
      <c r="C8319" s="402" t="s">
        <v>17</v>
      </c>
      <c r="D8319" s="601">
        <v>58.82</v>
      </c>
    </row>
    <row r="8320" spans="1:4" ht="27">
      <c r="A8320" s="402">
        <v>92362</v>
      </c>
      <c r="B8320" s="403" t="s">
        <v>2665</v>
      </c>
      <c r="C8320" s="402" t="s">
        <v>17</v>
      </c>
      <c r="D8320" s="601">
        <v>93.73</v>
      </c>
    </row>
    <row r="8321" spans="1:4" ht="40.5">
      <c r="A8321" s="402">
        <v>92364</v>
      </c>
      <c r="B8321" s="403" t="s">
        <v>2666</v>
      </c>
      <c r="C8321" s="402" t="s">
        <v>17</v>
      </c>
      <c r="D8321" s="601">
        <v>34.18</v>
      </c>
    </row>
    <row r="8322" spans="1:4" ht="40.5">
      <c r="A8322" s="402">
        <v>92365</v>
      </c>
      <c r="B8322" s="403" t="s">
        <v>2667</v>
      </c>
      <c r="C8322" s="402" t="s">
        <v>17</v>
      </c>
      <c r="D8322" s="601">
        <v>39.32</v>
      </c>
    </row>
    <row r="8323" spans="1:4" ht="40.5">
      <c r="A8323" s="402">
        <v>92366</v>
      </c>
      <c r="B8323" s="403" t="s">
        <v>2668</v>
      </c>
      <c r="C8323" s="402" t="s">
        <v>17</v>
      </c>
      <c r="D8323" s="601">
        <v>54.64</v>
      </c>
    </row>
    <row r="8324" spans="1:4" ht="40.5">
      <c r="A8324" s="402">
        <v>92367</v>
      </c>
      <c r="B8324" s="403" t="s">
        <v>2669</v>
      </c>
      <c r="C8324" s="402" t="s">
        <v>17</v>
      </c>
      <c r="D8324" s="601">
        <v>67.11</v>
      </c>
    </row>
    <row r="8325" spans="1:4" ht="40.5">
      <c r="A8325" s="402">
        <v>92368</v>
      </c>
      <c r="B8325" s="403" t="s">
        <v>2670</v>
      </c>
      <c r="C8325" s="402" t="s">
        <v>17</v>
      </c>
      <c r="D8325" s="601">
        <v>88.63</v>
      </c>
    </row>
    <row r="8326" spans="1:4" ht="27">
      <c r="A8326" s="402">
        <v>92648</v>
      </c>
      <c r="B8326" s="403" t="s">
        <v>2862</v>
      </c>
      <c r="C8326" s="402" t="s">
        <v>17</v>
      </c>
      <c r="D8326" s="601">
        <v>50.34</v>
      </c>
    </row>
    <row r="8327" spans="1:4" ht="27">
      <c r="A8327" s="402">
        <v>92649</v>
      </c>
      <c r="B8327" s="403" t="s">
        <v>2863</v>
      </c>
      <c r="C8327" s="402" t="s">
        <v>17</v>
      </c>
      <c r="D8327" s="601">
        <v>61.31</v>
      </c>
    </row>
    <row r="8328" spans="1:4" ht="27">
      <c r="A8328" s="402">
        <v>92650</v>
      </c>
      <c r="B8328" s="403" t="s">
        <v>2864</v>
      </c>
      <c r="C8328" s="402" t="s">
        <v>17</v>
      </c>
      <c r="D8328" s="601">
        <v>96.21</v>
      </c>
    </row>
    <row r="8329" spans="1:4" ht="40.5">
      <c r="A8329" s="402">
        <v>92652</v>
      </c>
      <c r="B8329" s="403" t="s">
        <v>2865</v>
      </c>
      <c r="C8329" s="402" t="s">
        <v>17</v>
      </c>
      <c r="D8329" s="601">
        <v>37.26</v>
      </c>
    </row>
    <row r="8330" spans="1:4" ht="40.5">
      <c r="A8330" s="402">
        <v>92653</v>
      </c>
      <c r="B8330" s="403" t="s">
        <v>2866</v>
      </c>
      <c r="C8330" s="402" t="s">
        <v>17</v>
      </c>
      <c r="D8330" s="601">
        <v>42.42</v>
      </c>
    </row>
    <row r="8331" spans="1:4" ht="40.5">
      <c r="A8331" s="402">
        <v>92654</v>
      </c>
      <c r="B8331" s="403" t="s">
        <v>2867</v>
      </c>
      <c r="C8331" s="402" t="s">
        <v>17</v>
      </c>
      <c r="D8331" s="601">
        <v>57.74</v>
      </c>
    </row>
    <row r="8332" spans="1:4" ht="40.5">
      <c r="A8332" s="402">
        <v>92655</v>
      </c>
      <c r="B8332" s="403" t="s">
        <v>2868</v>
      </c>
      <c r="C8332" s="402" t="s">
        <v>17</v>
      </c>
      <c r="D8332" s="601">
        <v>70.28</v>
      </c>
    </row>
    <row r="8333" spans="1:4" ht="40.5">
      <c r="A8333" s="402">
        <v>92656</v>
      </c>
      <c r="B8333" s="403" t="s">
        <v>2869</v>
      </c>
      <c r="C8333" s="402" t="s">
        <v>17</v>
      </c>
      <c r="D8333" s="601">
        <v>91.79</v>
      </c>
    </row>
    <row r="8334" spans="1:4" ht="40.5">
      <c r="A8334" s="402">
        <v>92687</v>
      </c>
      <c r="B8334" s="403" t="s">
        <v>649</v>
      </c>
      <c r="C8334" s="402" t="s">
        <v>17</v>
      </c>
      <c r="D8334" s="601">
        <v>17.52</v>
      </c>
    </row>
    <row r="8335" spans="1:4" ht="40.5">
      <c r="A8335" s="402">
        <v>92688</v>
      </c>
      <c r="B8335" s="403" t="s">
        <v>650</v>
      </c>
      <c r="C8335" s="402" t="s">
        <v>17</v>
      </c>
      <c r="D8335" s="601">
        <v>24.65</v>
      </c>
    </row>
    <row r="8336" spans="1:4" ht="40.5">
      <c r="A8336" s="402">
        <v>92689</v>
      </c>
      <c r="B8336" s="403" t="s">
        <v>2900</v>
      </c>
      <c r="C8336" s="402" t="s">
        <v>17</v>
      </c>
      <c r="D8336" s="601">
        <v>25.22</v>
      </c>
    </row>
    <row r="8337" spans="1:4" ht="40.5">
      <c r="A8337" s="402">
        <v>92690</v>
      </c>
      <c r="B8337" s="403" t="s">
        <v>2901</v>
      </c>
      <c r="C8337" s="402" t="s">
        <v>17</v>
      </c>
      <c r="D8337" s="601">
        <v>36.42</v>
      </c>
    </row>
    <row r="8338" spans="1:4" ht="40.5">
      <c r="A8338" s="402">
        <v>94462</v>
      </c>
      <c r="B8338" s="403" t="s">
        <v>3372</v>
      </c>
      <c r="C8338" s="402" t="s">
        <v>17</v>
      </c>
      <c r="D8338" s="601">
        <v>62.46</v>
      </c>
    </row>
    <row r="8339" spans="1:4" ht="40.5">
      <c r="A8339" s="402">
        <v>94463</v>
      </c>
      <c r="B8339" s="403" t="s">
        <v>3373</v>
      </c>
      <c r="C8339" s="402" t="s">
        <v>17</v>
      </c>
      <c r="D8339" s="601">
        <v>73.09</v>
      </c>
    </row>
    <row r="8340" spans="1:4" ht="40.5">
      <c r="A8340" s="402">
        <v>94464</v>
      </c>
      <c r="B8340" s="403" t="s">
        <v>3374</v>
      </c>
      <c r="C8340" s="402" t="s">
        <v>17</v>
      </c>
      <c r="D8340" s="601">
        <v>102.84</v>
      </c>
    </row>
    <row r="8341" spans="1:4" ht="40.5">
      <c r="A8341" s="402">
        <v>94602</v>
      </c>
      <c r="B8341" s="403" t="s">
        <v>5139</v>
      </c>
      <c r="C8341" s="402" t="s">
        <v>17</v>
      </c>
      <c r="D8341" s="601">
        <v>138.31</v>
      </c>
    </row>
    <row r="8342" spans="1:4" ht="40.5">
      <c r="A8342" s="402">
        <v>94603</v>
      </c>
      <c r="B8342" s="403" t="s">
        <v>5140</v>
      </c>
      <c r="C8342" s="402" t="s">
        <v>17</v>
      </c>
      <c r="D8342" s="601">
        <v>186.03</v>
      </c>
    </row>
    <row r="8343" spans="1:4" ht="40.5">
      <c r="A8343" s="402">
        <v>94604</v>
      </c>
      <c r="B8343" s="403" t="s">
        <v>5141</v>
      </c>
      <c r="C8343" s="402" t="s">
        <v>17</v>
      </c>
      <c r="D8343" s="601">
        <v>254.33</v>
      </c>
    </row>
    <row r="8344" spans="1:4" ht="40.5">
      <c r="A8344" s="402">
        <v>94605</v>
      </c>
      <c r="B8344" s="403" t="s">
        <v>5142</v>
      </c>
      <c r="C8344" s="402" t="s">
        <v>17</v>
      </c>
      <c r="D8344" s="601">
        <v>363.86</v>
      </c>
    </row>
    <row r="8345" spans="1:4" ht="40.5">
      <c r="A8345" s="402">
        <v>94648</v>
      </c>
      <c r="B8345" s="403" t="s">
        <v>3407</v>
      </c>
      <c r="C8345" s="402" t="s">
        <v>17</v>
      </c>
      <c r="D8345" s="601">
        <v>7.14</v>
      </c>
    </row>
    <row r="8346" spans="1:4" ht="40.5">
      <c r="A8346" s="402">
        <v>94649</v>
      </c>
      <c r="B8346" s="403" t="s">
        <v>3408</v>
      </c>
      <c r="C8346" s="402" t="s">
        <v>17</v>
      </c>
      <c r="D8346" s="601">
        <v>10.8</v>
      </c>
    </row>
    <row r="8347" spans="1:4" ht="40.5">
      <c r="A8347" s="402">
        <v>94650</v>
      </c>
      <c r="B8347" s="403" t="s">
        <v>3409</v>
      </c>
      <c r="C8347" s="402" t="s">
        <v>17</v>
      </c>
      <c r="D8347" s="601">
        <v>15.46</v>
      </c>
    </row>
    <row r="8348" spans="1:4" ht="40.5">
      <c r="A8348" s="402">
        <v>94651</v>
      </c>
      <c r="B8348" s="403" t="s">
        <v>3410</v>
      </c>
      <c r="C8348" s="402" t="s">
        <v>17</v>
      </c>
      <c r="D8348" s="601">
        <v>16.84</v>
      </c>
    </row>
    <row r="8349" spans="1:4" ht="40.5">
      <c r="A8349" s="402">
        <v>94652</v>
      </c>
      <c r="B8349" s="403" t="s">
        <v>3411</v>
      </c>
      <c r="C8349" s="402" t="s">
        <v>17</v>
      </c>
      <c r="D8349" s="601">
        <v>27.38</v>
      </c>
    </row>
    <row r="8350" spans="1:4" ht="40.5">
      <c r="A8350" s="402">
        <v>94653</v>
      </c>
      <c r="B8350" s="403" t="s">
        <v>3412</v>
      </c>
      <c r="C8350" s="402" t="s">
        <v>17</v>
      </c>
      <c r="D8350" s="601">
        <v>39.31</v>
      </c>
    </row>
    <row r="8351" spans="1:4" ht="40.5">
      <c r="A8351" s="402">
        <v>94654</v>
      </c>
      <c r="B8351" s="403" t="s">
        <v>3413</v>
      </c>
      <c r="C8351" s="402" t="s">
        <v>17</v>
      </c>
      <c r="D8351" s="601">
        <v>52.2</v>
      </c>
    </row>
    <row r="8352" spans="1:4" ht="40.5">
      <c r="A8352" s="402">
        <v>94655</v>
      </c>
      <c r="B8352" s="403" t="s">
        <v>3414</v>
      </c>
      <c r="C8352" s="402" t="s">
        <v>17</v>
      </c>
      <c r="D8352" s="601">
        <v>73.430000000000007</v>
      </c>
    </row>
    <row r="8353" spans="1:4" ht="40.5">
      <c r="A8353" s="402">
        <v>94716</v>
      </c>
      <c r="B8353" s="403" t="s">
        <v>3473</v>
      </c>
      <c r="C8353" s="402" t="s">
        <v>17</v>
      </c>
      <c r="D8353" s="601">
        <v>22.39</v>
      </c>
    </row>
    <row r="8354" spans="1:4" ht="40.5">
      <c r="A8354" s="402">
        <v>94717</v>
      </c>
      <c r="B8354" s="403" t="s">
        <v>3474</v>
      </c>
      <c r="C8354" s="402" t="s">
        <v>17</v>
      </c>
      <c r="D8354" s="601">
        <v>33.56</v>
      </c>
    </row>
    <row r="8355" spans="1:4" ht="40.5">
      <c r="A8355" s="402">
        <v>94718</v>
      </c>
      <c r="B8355" s="403" t="s">
        <v>3475</v>
      </c>
      <c r="C8355" s="402" t="s">
        <v>17</v>
      </c>
      <c r="D8355" s="601">
        <v>41.4</v>
      </c>
    </row>
    <row r="8356" spans="1:4" ht="40.5">
      <c r="A8356" s="402">
        <v>94719</v>
      </c>
      <c r="B8356" s="403" t="s">
        <v>3476</v>
      </c>
      <c r="C8356" s="402" t="s">
        <v>17</v>
      </c>
      <c r="D8356" s="601">
        <v>54.82</v>
      </c>
    </row>
    <row r="8357" spans="1:4" ht="40.5">
      <c r="A8357" s="402">
        <v>94720</v>
      </c>
      <c r="B8357" s="403" t="s">
        <v>3477</v>
      </c>
      <c r="C8357" s="402" t="s">
        <v>17</v>
      </c>
      <c r="D8357" s="601">
        <v>82.35</v>
      </c>
    </row>
    <row r="8358" spans="1:4" ht="40.5">
      <c r="A8358" s="402">
        <v>94721</v>
      </c>
      <c r="B8358" s="403" t="s">
        <v>3478</v>
      </c>
      <c r="C8358" s="402" t="s">
        <v>17</v>
      </c>
      <c r="D8358" s="601">
        <v>121.68</v>
      </c>
    </row>
    <row r="8359" spans="1:4" ht="40.5">
      <c r="A8359" s="402">
        <v>94722</v>
      </c>
      <c r="B8359" s="403" t="s">
        <v>3479</v>
      </c>
      <c r="C8359" s="402" t="s">
        <v>17</v>
      </c>
      <c r="D8359" s="601">
        <v>211.14</v>
      </c>
    </row>
    <row r="8360" spans="1:4" ht="27">
      <c r="A8360" s="402">
        <v>95697</v>
      </c>
      <c r="B8360" s="403" t="s">
        <v>4896</v>
      </c>
      <c r="C8360" s="402" t="s">
        <v>17</v>
      </c>
      <c r="D8360" s="601">
        <v>47.85</v>
      </c>
    </row>
    <row r="8361" spans="1:4" ht="27">
      <c r="A8361" s="402">
        <v>96635</v>
      </c>
      <c r="B8361" s="403" t="s">
        <v>4028</v>
      </c>
      <c r="C8361" s="402" t="s">
        <v>17</v>
      </c>
      <c r="D8361" s="601">
        <v>21.08</v>
      </c>
    </row>
    <row r="8362" spans="1:4" ht="27">
      <c r="A8362" s="402">
        <v>96636</v>
      </c>
      <c r="B8362" s="403" t="s">
        <v>4029</v>
      </c>
      <c r="C8362" s="402" t="s">
        <v>17</v>
      </c>
      <c r="D8362" s="601">
        <v>22.22</v>
      </c>
    </row>
    <row r="8363" spans="1:4" ht="27">
      <c r="A8363" s="402">
        <v>96644</v>
      </c>
      <c r="B8363" s="403" t="s">
        <v>4037</v>
      </c>
      <c r="C8363" s="402" t="s">
        <v>17</v>
      </c>
      <c r="D8363" s="601">
        <v>14.08</v>
      </c>
    </row>
    <row r="8364" spans="1:4" ht="27">
      <c r="A8364" s="402">
        <v>96645</v>
      </c>
      <c r="B8364" s="403" t="s">
        <v>4038</v>
      </c>
      <c r="C8364" s="402" t="s">
        <v>17</v>
      </c>
      <c r="D8364" s="601">
        <v>18.18</v>
      </c>
    </row>
    <row r="8365" spans="1:4" ht="27">
      <c r="A8365" s="402">
        <v>96646</v>
      </c>
      <c r="B8365" s="403" t="s">
        <v>4039</v>
      </c>
      <c r="C8365" s="402" t="s">
        <v>17</v>
      </c>
      <c r="D8365" s="601">
        <v>28.17</v>
      </c>
    </row>
    <row r="8366" spans="1:4" ht="27">
      <c r="A8366" s="402">
        <v>96647</v>
      </c>
      <c r="B8366" s="403" t="s">
        <v>4040</v>
      </c>
      <c r="C8366" s="402" t="s">
        <v>17</v>
      </c>
      <c r="D8366" s="601">
        <v>12.81</v>
      </c>
    </row>
    <row r="8367" spans="1:4" ht="27">
      <c r="A8367" s="402">
        <v>96648</v>
      </c>
      <c r="B8367" s="403" t="s">
        <v>4041</v>
      </c>
      <c r="C8367" s="402" t="s">
        <v>17</v>
      </c>
      <c r="D8367" s="601">
        <v>23.18</v>
      </c>
    </row>
    <row r="8368" spans="1:4" ht="27">
      <c r="A8368" s="402">
        <v>96649</v>
      </c>
      <c r="B8368" s="403" t="s">
        <v>4042</v>
      </c>
      <c r="C8368" s="402" t="s">
        <v>17</v>
      </c>
      <c r="D8368" s="601">
        <v>34.03</v>
      </c>
    </row>
    <row r="8369" spans="1:4" ht="27">
      <c r="A8369" s="402">
        <v>96668</v>
      </c>
      <c r="B8369" s="403" t="s">
        <v>4061</v>
      </c>
      <c r="C8369" s="402" t="s">
        <v>17</v>
      </c>
      <c r="D8369" s="601">
        <v>9.1999999999999993</v>
      </c>
    </row>
    <row r="8370" spans="1:4" ht="27">
      <c r="A8370" s="402">
        <v>96669</v>
      </c>
      <c r="B8370" s="403" t="s">
        <v>4062</v>
      </c>
      <c r="C8370" s="402" t="s">
        <v>17</v>
      </c>
      <c r="D8370" s="601">
        <v>11.44</v>
      </c>
    </row>
    <row r="8371" spans="1:4" ht="27">
      <c r="A8371" s="402">
        <v>96670</v>
      </c>
      <c r="B8371" s="403" t="s">
        <v>4063</v>
      </c>
      <c r="C8371" s="402" t="s">
        <v>17</v>
      </c>
      <c r="D8371" s="601">
        <v>17.38</v>
      </c>
    </row>
    <row r="8372" spans="1:4" ht="27">
      <c r="A8372" s="402">
        <v>96671</v>
      </c>
      <c r="B8372" s="403" t="s">
        <v>4064</v>
      </c>
      <c r="C8372" s="402" t="s">
        <v>17</v>
      </c>
      <c r="D8372" s="601">
        <v>23.25</v>
      </c>
    </row>
    <row r="8373" spans="1:4" ht="27">
      <c r="A8373" s="402">
        <v>96672</v>
      </c>
      <c r="B8373" s="403" t="s">
        <v>4065</v>
      </c>
      <c r="C8373" s="402" t="s">
        <v>17</v>
      </c>
      <c r="D8373" s="601">
        <v>34.119999999999997</v>
      </c>
    </row>
    <row r="8374" spans="1:4" ht="27">
      <c r="A8374" s="402">
        <v>96673</v>
      </c>
      <c r="B8374" s="403" t="s">
        <v>4066</v>
      </c>
      <c r="C8374" s="402" t="s">
        <v>17</v>
      </c>
      <c r="D8374" s="601">
        <v>55.82</v>
      </c>
    </row>
    <row r="8375" spans="1:4" ht="27">
      <c r="A8375" s="402">
        <v>96674</v>
      </c>
      <c r="B8375" s="403" t="s">
        <v>4067</v>
      </c>
      <c r="C8375" s="402" t="s">
        <v>17</v>
      </c>
      <c r="D8375" s="601">
        <v>78.41</v>
      </c>
    </row>
    <row r="8376" spans="1:4" ht="27">
      <c r="A8376" s="402">
        <v>96675</v>
      </c>
      <c r="B8376" s="403" t="s">
        <v>4068</v>
      </c>
      <c r="C8376" s="402" t="s">
        <v>17</v>
      </c>
      <c r="D8376" s="601">
        <v>136.44</v>
      </c>
    </row>
    <row r="8377" spans="1:4" ht="27">
      <c r="A8377" s="402">
        <v>96676</v>
      </c>
      <c r="B8377" s="403" t="s">
        <v>4069</v>
      </c>
      <c r="C8377" s="402" t="s">
        <v>17</v>
      </c>
      <c r="D8377" s="601">
        <v>9.17</v>
      </c>
    </row>
    <row r="8378" spans="1:4" ht="27">
      <c r="A8378" s="402">
        <v>96677</v>
      </c>
      <c r="B8378" s="403" t="s">
        <v>4070</v>
      </c>
      <c r="C8378" s="402" t="s">
        <v>17</v>
      </c>
      <c r="D8378" s="601">
        <v>15.14</v>
      </c>
    </row>
    <row r="8379" spans="1:4" ht="27">
      <c r="A8379" s="402">
        <v>96678</v>
      </c>
      <c r="B8379" s="403" t="s">
        <v>4071</v>
      </c>
      <c r="C8379" s="402" t="s">
        <v>17</v>
      </c>
      <c r="D8379" s="601">
        <v>21.05</v>
      </c>
    </row>
    <row r="8380" spans="1:4" ht="27">
      <c r="A8380" s="402">
        <v>96679</v>
      </c>
      <c r="B8380" s="403" t="s">
        <v>4072</v>
      </c>
      <c r="C8380" s="402" t="s">
        <v>17</v>
      </c>
      <c r="D8380" s="601">
        <v>30.71</v>
      </c>
    </row>
    <row r="8381" spans="1:4" ht="27">
      <c r="A8381" s="402">
        <v>96680</v>
      </c>
      <c r="B8381" s="403" t="s">
        <v>4073</v>
      </c>
      <c r="C8381" s="402" t="s">
        <v>17</v>
      </c>
      <c r="D8381" s="601">
        <v>41.32</v>
      </c>
    </row>
    <row r="8382" spans="1:4" ht="27">
      <c r="A8382" s="402">
        <v>96681</v>
      </c>
      <c r="B8382" s="403" t="s">
        <v>4074</v>
      </c>
      <c r="C8382" s="402" t="s">
        <v>17</v>
      </c>
      <c r="D8382" s="601">
        <v>77.28</v>
      </c>
    </row>
    <row r="8383" spans="1:4" ht="27">
      <c r="A8383" s="402">
        <v>96682</v>
      </c>
      <c r="B8383" s="403" t="s">
        <v>4075</v>
      </c>
      <c r="C8383" s="402" t="s">
        <v>17</v>
      </c>
      <c r="D8383" s="601">
        <v>114.02</v>
      </c>
    </row>
    <row r="8384" spans="1:4" ht="27">
      <c r="A8384" s="402">
        <v>96683</v>
      </c>
      <c r="B8384" s="403" t="s">
        <v>4076</v>
      </c>
      <c r="C8384" s="402" t="s">
        <v>17</v>
      </c>
      <c r="D8384" s="601">
        <v>156</v>
      </c>
    </row>
    <row r="8385" spans="1:4" ht="40.5">
      <c r="A8385" s="402">
        <v>96718</v>
      </c>
      <c r="B8385" s="403" t="s">
        <v>4111</v>
      </c>
      <c r="C8385" s="402" t="s">
        <v>17</v>
      </c>
      <c r="D8385" s="601">
        <v>6.06</v>
      </c>
    </row>
    <row r="8386" spans="1:4" ht="40.5">
      <c r="A8386" s="402">
        <v>96719</v>
      </c>
      <c r="B8386" s="403" t="s">
        <v>4112</v>
      </c>
      <c r="C8386" s="402" t="s">
        <v>17</v>
      </c>
      <c r="D8386" s="601">
        <v>12.08</v>
      </c>
    </row>
    <row r="8387" spans="1:4" ht="40.5">
      <c r="A8387" s="402">
        <v>96720</v>
      </c>
      <c r="B8387" s="403" t="s">
        <v>4113</v>
      </c>
      <c r="C8387" s="402" t="s">
        <v>17</v>
      </c>
      <c r="D8387" s="601">
        <v>14.7</v>
      </c>
    </row>
    <row r="8388" spans="1:4" ht="40.5">
      <c r="A8388" s="402">
        <v>96721</v>
      </c>
      <c r="B8388" s="403" t="s">
        <v>4114</v>
      </c>
      <c r="C8388" s="402" t="s">
        <v>17</v>
      </c>
      <c r="D8388" s="601">
        <v>19.86</v>
      </c>
    </row>
    <row r="8389" spans="1:4" ht="40.5">
      <c r="A8389" s="402">
        <v>96722</v>
      </c>
      <c r="B8389" s="403" t="s">
        <v>4115</v>
      </c>
      <c r="C8389" s="402" t="s">
        <v>17</v>
      </c>
      <c r="D8389" s="601">
        <v>27.07</v>
      </c>
    </row>
    <row r="8390" spans="1:4" ht="40.5">
      <c r="A8390" s="402">
        <v>96723</v>
      </c>
      <c r="B8390" s="403" t="s">
        <v>4116</v>
      </c>
      <c r="C8390" s="402" t="s">
        <v>17</v>
      </c>
      <c r="D8390" s="601">
        <v>36.1</v>
      </c>
    </row>
    <row r="8391" spans="1:4" ht="40.5">
      <c r="A8391" s="402">
        <v>96724</v>
      </c>
      <c r="B8391" s="403" t="s">
        <v>4117</v>
      </c>
      <c r="C8391" s="402" t="s">
        <v>17</v>
      </c>
      <c r="D8391" s="601">
        <v>58.94</v>
      </c>
    </row>
    <row r="8392" spans="1:4" ht="40.5">
      <c r="A8392" s="402">
        <v>96725</v>
      </c>
      <c r="B8392" s="403" t="s">
        <v>4118</v>
      </c>
      <c r="C8392" s="402" t="s">
        <v>17</v>
      </c>
      <c r="D8392" s="601">
        <v>77.77</v>
      </c>
    </row>
    <row r="8393" spans="1:4" ht="40.5">
      <c r="A8393" s="402">
        <v>96726</v>
      </c>
      <c r="B8393" s="403" t="s">
        <v>4119</v>
      </c>
      <c r="C8393" s="402" t="s">
        <v>17</v>
      </c>
      <c r="D8393" s="601">
        <v>126.85</v>
      </c>
    </row>
    <row r="8394" spans="1:4" ht="40.5">
      <c r="A8394" s="402">
        <v>96727</v>
      </c>
      <c r="B8394" s="403" t="s">
        <v>4120</v>
      </c>
      <c r="C8394" s="402" t="s">
        <v>17</v>
      </c>
      <c r="D8394" s="601">
        <v>10.37</v>
      </c>
    </row>
    <row r="8395" spans="1:4" ht="40.5">
      <c r="A8395" s="402">
        <v>96728</v>
      </c>
      <c r="B8395" s="403" t="s">
        <v>4121</v>
      </c>
      <c r="C8395" s="402" t="s">
        <v>17</v>
      </c>
      <c r="D8395" s="601">
        <v>12.46</v>
      </c>
    </row>
    <row r="8396" spans="1:4" ht="40.5">
      <c r="A8396" s="402">
        <v>96729</v>
      </c>
      <c r="B8396" s="403" t="s">
        <v>4122</v>
      </c>
      <c r="C8396" s="402" t="s">
        <v>17</v>
      </c>
      <c r="D8396" s="601">
        <v>18.93</v>
      </c>
    </row>
    <row r="8397" spans="1:4" ht="40.5">
      <c r="A8397" s="402">
        <v>96730</v>
      </c>
      <c r="B8397" s="403" t="s">
        <v>4123</v>
      </c>
      <c r="C8397" s="402" t="s">
        <v>17</v>
      </c>
      <c r="D8397" s="601">
        <v>24</v>
      </c>
    </row>
    <row r="8398" spans="1:4" ht="40.5">
      <c r="A8398" s="402">
        <v>96731</v>
      </c>
      <c r="B8398" s="403" t="s">
        <v>4124</v>
      </c>
      <c r="C8398" s="402" t="s">
        <v>17</v>
      </c>
      <c r="D8398" s="601">
        <v>35.1</v>
      </c>
    </row>
    <row r="8399" spans="1:4" ht="40.5">
      <c r="A8399" s="402">
        <v>96732</v>
      </c>
      <c r="B8399" s="403" t="s">
        <v>4125</v>
      </c>
      <c r="C8399" s="402" t="s">
        <v>17</v>
      </c>
      <c r="D8399" s="601">
        <v>43.66</v>
      </c>
    </row>
    <row r="8400" spans="1:4" ht="40.5">
      <c r="A8400" s="402">
        <v>96733</v>
      </c>
      <c r="B8400" s="403" t="s">
        <v>4126</v>
      </c>
      <c r="C8400" s="402" t="s">
        <v>17</v>
      </c>
      <c r="D8400" s="601">
        <v>80.260000000000005</v>
      </c>
    </row>
    <row r="8401" spans="1:4" ht="40.5">
      <c r="A8401" s="402">
        <v>96734</v>
      </c>
      <c r="B8401" s="403" t="s">
        <v>4127</v>
      </c>
      <c r="C8401" s="402" t="s">
        <v>17</v>
      </c>
      <c r="D8401" s="601">
        <v>111.8</v>
      </c>
    </row>
    <row r="8402" spans="1:4" ht="40.5">
      <c r="A8402" s="402">
        <v>96735</v>
      </c>
      <c r="B8402" s="403" t="s">
        <v>4128</v>
      </c>
      <c r="C8402" s="402" t="s">
        <v>17</v>
      </c>
      <c r="D8402" s="601">
        <v>145.57</v>
      </c>
    </row>
    <row r="8403" spans="1:4" ht="27">
      <c r="A8403" s="402">
        <v>96794</v>
      </c>
      <c r="B8403" s="403" t="s">
        <v>4158</v>
      </c>
      <c r="C8403" s="402" t="s">
        <v>17</v>
      </c>
      <c r="D8403" s="601">
        <v>6.38</v>
      </c>
    </row>
    <row r="8404" spans="1:4" ht="27">
      <c r="A8404" s="402">
        <v>96795</v>
      </c>
      <c r="B8404" s="403" t="s">
        <v>4159</v>
      </c>
      <c r="C8404" s="402" t="s">
        <v>17</v>
      </c>
      <c r="D8404" s="601">
        <v>8.11</v>
      </c>
    </row>
    <row r="8405" spans="1:4" ht="27">
      <c r="A8405" s="402">
        <v>96796</v>
      </c>
      <c r="B8405" s="403" t="s">
        <v>4160</v>
      </c>
      <c r="C8405" s="402" t="s">
        <v>17</v>
      </c>
      <c r="D8405" s="601">
        <v>11.37</v>
      </c>
    </row>
    <row r="8406" spans="1:4" ht="27">
      <c r="A8406" s="402">
        <v>96797</v>
      </c>
      <c r="B8406" s="403" t="s">
        <v>4161</v>
      </c>
      <c r="C8406" s="402" t="s">
        <v>17</v>
      </c>
      <c r="D8406" s="601">
        <v>17.2</v>
      </c>
    </row>
    <row r="8407" spans="1:4" ht="27">
      <c r="A8407" s="402">
        <v>96798</v>
      </c>
      <c r="B8407" s="403" t="s">
        <v>4162</v>
      </c>
      <c r="C8407" s="402" t="s">
        <v>17</v>
      </c>
      <c r="D8407" s="601">
        <v>6.47</v>
      </c>
    </row>
    <row r="8408" spans="1:4" ht="27">
      <c r="A8408" s="402">
        <v>96799</v>
      </c>
      <c r="B8408" s="403" t="s">
        <v>4163</v>
      </c>
      <c r="C8408" s="402" t="s">
        <v>17</v>
      </c>
      <c r="D8408" s="601">
        <v>8.66</v>
      </c>
    </row>
    <row r="8409" spans="1:4" ht="27">
      <c r="A8409" s="402">
        <v>96800</v>
      </c>
      <c r="B8409" s="403" t="s">
        <v>4164</v>
      </c>
      <c r="C8409" s="402" t="s">
        <v>17</v>
      </c>
      <c r="D8409" s="601">
        <v>12.51</v>
      </c>
    </row>
    <row r="8410" spans="1:4" ht="27">
      <c r="A8410" s="402">
        <v>96801</v>
      </c>
      <c r="B8410" s="403" t="s">
        <v>4165</v>
      </c>
      <c r="C8410" s="402" t="s">
        <v>17</v>
      </c>
      <c r="D8410" s="601">
        <v>19.16</v>
      </c>
    </row>
    <row r="8411" spans="1:4" ht="40.5">
      <c r="A8411" s="402">
        <v>97327</v>
      </c>
      <c r="B8411" s="403" t="s">
        <v>5659</v>
      </c>
      <c r="C8411" s="402" t="s">
        <v>17</v>
      </c>
      <c r="D8411" s="601">
        <v>19.559999999999999</v>
      </c>
    </row>
    <row r="8412" spans="1:4" ht="40.5">
      <c r="A8412" s="402">
        <v>97328</v>
      </c>
      <c r="B8412" s="403" t="s">
        <v>5143</v>
      </c>
      <c r="C8412" s="402" t="s">
        <v>17</v>
      </c>
      <c r="D8412" s="601">
        <v>34.450000000000003</v>
      </c>
    </row>
    <row r="8413" spans="1:4" ht="40.5">
      <c r="A8413" s="402">
        <v>97329</v>
      </c>
      <c r="B8413" s="403" t="s">
        <v>5144</v>
      </c>
      <c r="C8413" s="402" t="s">
        <v>17</v>
      </c>
      <c r="D8413" s="601">
        <v>42.84</v>
      </c>
    </row>
    <row r="8414" spans="1:4" ht="40.5">
      <c r="A8414" s="402">
        <v>97330</v>
      </c>
      <c r="B8414" s="403" t="s">
        <v>5145</v>
      </c>
      <c r="C8414" s="402" t="s">
        <v>17</v>
      </c>
      <c r="D8414" s="601">
        <v>52.21</v>
      </c>
    </row>
    <row r="8415" spans="1:4" ht="40.5">
      <c r="A8415" s="402">
        <v>97331</v>
      </c>
      <c r="B8415" s="403" t="s">
        <v>5146</v>
      </c>
      <c r="C8415" s="402" t="s">
        <v>17</v>
      </c>
      <c r="D8415" s="601">
        <v>19.77</v>
      </c>
    </row>
    <row r="8416" spans="1:4" ht="40.5">
      <c r="A8416" s="402">
        <v>97332</v>
      </c>
      <c r="B8416" s="403" t="s">
        <v>5147</v>
      </c>
      <c r="C8416" s="402" t="s">
        <v>17</v>
      </c>
      <c r="D8416" s="601">
        <v>34.700000000000003</v>
      </c>
    </row>
    <row r="8417" spans="1:4" ht="40.5">
      <c r="A8417" s="402">
        <v>97333</v>
      </c>
      <c r="B8417" s="403" t="s">
        <v>5148</v>
      </c>
      <c r="C8417" s="402" t="s">
        <v>17</v>
      </c>
      <c r="D8417" s="601">
        <v>43.16</v>
      </c>
    </row>
    <row r="8418" spans="1:4" ht="40.5">
      <c r="A8418" s="402">
        <v>97334</v>
      </c>
      <c r="B8418" s="403" t="s">
        <v>5660</v>
      </c>
      <c r="C8418" s="402" t="s">
        <v>17</v>
      </c>
      <c r="D8418" s="601">
        <v>52.57</v>
      </c>
    </row>
    <row r="8419" spans="1:4" ht="27">
      <c r="A8419" s="402">
        <v>97335</v>
      </c>
      <c r="B8419" s="403" t="s">
        <v>5149</v>
      </c>
      <c r="C8419" s="402" t="s">
        <v>17</v>
      </c>
      <c r="D8419" s="601">
        <v>51.99</v>
      </c>
    </row>
    <row r="8420" spans="1:4" ht="27">
      <c r="A8420" s="402">
        <v>97336</v>
      </c>
      <c r="B8420" s="403" t="s">
        <v>5150</v>
      </c>
      <c r="C8420" s="402" t="s">
        <v>17</v>
      </c>
      <c r="D8420" s="601">
        <v>66.02</v>
      </c>
    </row>
    <row r="8421" spans="1:4" ht="27">
      <c r="A8421" s="402">
        <v>97337</v>
      </c>
      <c r="B8421" s="403" t="s">
        <v>5151</v>
      </c>
      <c r="C8421" s="402" t="s">
        <v>17</v>
      </c>
      <c r="D8421" s="601">
        <v>99.14</v>
      </c>
    </row>
    <row r="8422" spans="1:4" ht="27">
      <c r="A8422" s="402">
        <v>97338</v>
      </c>
      <c r="B8422" s="403" t="s">
        <v>5152</v>
      </c>
      <c r="C8422" s="402" t="s">
        <v>17</v>
      </c>
      <c r="D8422" s="601">
        <v>119.18</v>
      </c>
    </row>
    <row r="8423" spans="1:4" ht="27">
      <c r="A8423" s="402">
        <v>97339</v>
      </c>
      <c r="B8423" s="403" t="s">
        <v>5153</v>
      </c>
      <c r="C8423" s="402" t="s">
        <v>17</v>
      </c>
      <c r="D8423" s="601">
        <v>128.16999999999999</v>
      </c>
    </row>
    <row r="8424" spans="1:4" ht="27">
      <c r="A8424" s="402">
        <v>97340</v>
      </c>
      <c r="B8424" s="403" t="s">
        <v>5154</v>
      </c>
      <c r="C8424" s="402" t="s">
        <v>17</v>
      </c>
      <c r="D8424" s="601">
        <v>128.69999999999999</v>
      </c>
    </row>
    <row r="8425" spans="1:4" ht="27">
      <c r="A8425" s="402">
        <v>97341</v>
      </c>
      <c r="B8425" s="403" t="s">
        <v>5155</v>
      </c>
      <c r="C8425" s="402" t="s">
        <v>17</v>
      </c>
      <c r="D8425" s="601">
        <v>35.17</v>
      </c>
    </row>
    <row r="8426" spans="1:4" ht="27">
      <c r="A8426" s="402">
        <v>97342</v>
      </c>
      <c r="B8426" s="403" t="s">
        <v>5156</v>
      </c>
      <c r="C8426" s="402" t="s">
        <v>17</v>
      </c>
      <c r="D8426" s="601">
        <v>55.06</v>
      </c>
    </row>
    <row r="8427" spans="1:4" ht="27">
      <c r="A8427" s="402">
        <v>97343</v>
      </c>
      <c r="B8427" s="403" t="s">
        <v>5157</v>
      </c>
      <c r="C8427" s="402" t="s">
        <v>17</v>
      </c>
      <c r="D8427" s="601">
        <v>69.31</v>
      </c>
    </row>
    <row r="8428" spans="1:4" ht="27">
      <c r="A8428" s="402">
        <v>97344</v>
      </c>
      <c r="B8428" s="403" t="s">
        <v>5158</v>
      </c>
      <c r="C8428" s="402" t="s">
        <v>17</v>
      </c>
      <c r="D8428" s="601">
        <v>41.91</v>
      </c>
    </row>
    <row r="8429" spans="1:4" ht="27">
      <c r="A8429" s="402">
        <v>97345</v>
      </c>
      <c r="B8429" s="403" t="s">
        <v>5159</v>
      </c>
      <c r="C8429" s="402" t="s">
        <v>17</v>
      </c>
      <c r="D8429" s="601">
        <v>66.650000000000006</v>
      </c>
    </row>
    <row r="8430" spans="1:4" ht="27">
      <c r="A8430" s="402">
        <v>97346</v>
      </c>
      <c r="B8430" s="403" t="s">
        <v>5160</v>
      </c>
      <c r="C8430" s="402" t="s">
        <v>17</v>
      </c>
      <c r="D8430" s="601">
        <v>85.12</v>
      </c>
    </row>
    <row r="8431" spans="1:4" ht="27">
      <c r="A8431" s="402">
        <v>97347</v>
      </c>
      <c r="B8431" s="403" t="s">
        <v>5161</v>
      </c>
      <c r="C8431" s="402" t="s">
        <v>17</v>
      </c>
      <c r="D8431" s="601">
        <v>62.61</v>
      </c>
    </row>
    <row r="8432" spans="1:4" ht="27">
      <c r="A8432" s="402">
        <v>97348</v>
      </c>
      <c r="B8432" s="403" t="s">
        <v>5162</v>
      </c>
      <c r="C8432" s="402" t="s">
        <v>17</v>
      </c>
      <c r="D8432" s="601">
        <v>86.46</v>
      </c>
    </row>
    <row r="8433" spans="1:4" ht="27">
      <c r="A8433" s="402">
        <v>97349</v>
      </c>
      <c r="B8433" s="403" t="s">
        <v>5163</v>
      </c>
      <c r="C8433" s="402" t="s">
        <v>17</v>
      </c>
      <c r="D8433" s="601">
        <v>124.58</v>
      </c>
    </row>
    <row r="8434" spans="1:4" ht="27">
      <c r="A8434" s="402">
        <v>97350</v>
      </c>
      <c r="B8434" s="403" t="s">
        <v>5164</v>
      </c>
      <c r="C8434" s="402" t="s">
        <v>17</v>
      </c>
      <c r="D8434" s="601">
        <v>151.25</v>
      </c>
    </row>
    <row r="8435" spans="1:4" ht="27">
      <c r="A8435" s="402">
        <v>97351</v>
      </c>
      <c r="B8435" s="403" t="s">
        <v>5165</v>
      </c>
      <c r="C8435" s="402" t="s">
        <v>17</v>
      </c>
      <c r="D8435" s="601">
        <v>209.1</v>
      </c>
    </row>
    <row r="8436" spans="1:4" ht="27">
      <c r="A8436" s="402">
        <v>97352</v>
      </c>
      <c r="B8436" s="403" t="s">
        <v>5166</v>
      </c>
      <c r="C8436" s="402" t="s">
        <v>17</v>
      </c>
      <c r="D8436" s="601">
        <v>270.95999999999998</v>
      </c>
    </row>
    <row r="8437" spans="1:4" ht="27">
      <c r="A8437" s="402">
        <v>97353</v>
      </c>
      <c r="B8437" s="403" t="s">
        <v>5167</v>
      </c>
      <c r="C8437" s="402" t="s">
        <v>17</v>
      </c>
      <c r="D8437" s="601">
        <v>41.45</v>
      </c>
    </row>
    <row r="8438" spans="1:4" ht="27">
      <c r="A8438" s="402">
        <v>97354</v>
      </c>
      <c r="B8438" s="403" t="s">
        <v>5168</v>
      </c>
      <c r="C8438" s="402" t="s">
        <v>17</v>
      </c>
      <c r="D8438" s="601">
        <v>65.680000000000007</v>
      </c>
    </row>
    <row r="8439" spans="1:4" ht="27">
      <c r="A8439" s="402">
        <v>97355</v>
      </c>
      <c r="B8439" s="403" t="s">
        <v>5169</v>
      </c>
      <c r="C8439" s="402" t="s">
        <v>17</v>
      </c>
      <c r="D8439" s="601">
        <v>89.75</v>
      </c>
    </row>
    <row r="8440" spans="1:4" ht="27">
      <c r="A8440" s="402">
        <v>97356</v>
      </c>
      <c r="B8440" s="403" t="s">
        <v>5170</v>
      </c>
      <c r="C8440" s="402" t="s">
        <v>17</v>
      </c>
      <c r="D8440" s="601">
        <v>48.19</v>
      </c>
    </row>
    <row r="8441" spans="1:4" ht="27">
      <c r="A8441" s="402">
        <v>97357</v>
      </c>
      <c r="B8441" s="403" t="s">
        <v>5171</v>
      </c>
      <c r="C8441" s="402" t="s">
        <v>17</v>
      </c>
      <c r="D8441" s="601">
        <v>77.27</v>
      </c>
    </row>
    <row r="8442" spans="1:4" ht="27">
      <c r="A8442" s="402">
        <v>97358</v>
      </c>
      <c r="B8442" s="403" t="s">
        <v>5172</v>
      </c>
      <c r="C8442" s="402" t="s">
        <v>17</v>
      </c>
      <c r="D8442" s="601">
        <v>105.56</v>
      </c>
    </row>
    <row r="8443" spans="1:4" ht="40.5">
      <c r="A8443" s="402">
        <v>97498</v>
      </c>
      <c r="B8443" s="403" t="s">
        <v>4897</v>
      </c>
      <c r="C8443" s="402" t="s">
        <v>17</v>
      </c>
      <c r="D8443" s="601">
        <v>27.8</v>
      </c>
    </row>
    <row r="8444" spans="1:4" ht="40.5">
      <c r="A8444" s="402">
        <v>97535</v>
      </c>
      <c r="B8444" s="403" t="s">
        <v>4898</v>
      </c>
      <c r="C8444" s="402" t="s">
        <v>17</v>
      </c>
      <c r="D8444" s="601">
        <v>30.87</v>
      </c>
    </row>
    <row r="8445" spans="1:4" ht="40.5">
      <c r="A8445" s="402">
        <v>97536</v>
      </c>
      <c r="B8445" s="403" t="s">
        <v>4899</v>
      </c>
      <c r="C8445" s="402" t="s">
        <v>17</v>
      </c>
      <c r="D8445" s="601">
        <v>37.93</v>
      </c>
    </row>
    <row r="8446" spans="1:4" ht="40.5">
      <c r="A8446" s="402">
        <v>100788</v>
      </c>
      <c r="B8446" s="403" t="s">
        <v>6872</v>
      </c>
      <c r="C8446" s="402" t="s">
        <v>35</v>
      </c>
      <c r="D8446" s="601">
        <v>413.92</v>
      </c>
    </row>
    <row r="8447" spans="1:4" ht="27">
      <c r="A8447" s="402">
        <v>100791</v>
      </c>
      <c r="B8447" s="403" t="s">
        <v>6873</v>
      </c>
      <c r="C8447" s="402" t="s">
        <v>17</v>
      </c>
      <c r="D8447" s="601">
        <v>13.27</v>
      </c>
    </row>
    <row r="8448" spans="1:4" ht="27">
      <c r="A8448" s="402">
        <v>100792</v>
      </c>
      <c r="B8448" s="403" t="s">
        <v>6874</v>
      </c>
      <c r="C8448" s="402" t="s">
        <v>17</v>
      </c>
      <c r="D8448" s="601">
        <v>19.489999999999998</v>
      </c>
    </row>
    <row r="8449" spans="1:4" ht="27">
      <c r="A8449" s="402">
        <v>100793</v>
      </c>
      <c r="B8449" s="403" t="s">
        <v>6875</v>
      </c>
      <c r="C8449" s="402" t="s">
        <v>17</v>
      </c>
      <c r="D8449" s="601">
        <v>25.87</v>
      </c>
    </row>
    <row r="8450" spans="1:4" ht="27">
      <c r="A8450" s="402">
        <v>100794</v>
      </c>
      <c r="B8450" s="403" t="s">
        <v>6876</v>
      </c>
      <c r="C8450" s="402" t="s">
        <v>17</v>
      </c>
      <c r="D8450" s="601">
        <v>34.909999999999997</v>
      </c>
    </row>
    <row r="8451" spans="1:4" ht="27">
      <c r="A8451" s="402">
        <v>100803</v>
      </c>
      <c r="B8451" s="403" t="s">
        <v>6877</v>
      </c>
      <c r="C8451" s="402" t="s">
        <v>17</v>
      </c>
      <c r="D8451" s="601">
        <v>12.63</v>
      </c>
    </row>
    <row r="8452" spans="1:4" ht="27">
      <c r="A8452" s="402">
        <v>100804</v>
      </c>
      <c r="B8452" s="403" t="s">
        <v>6878</v>
      </c>
      <c r="C8452" s="402" t="s">
        <v>17</v>
      </c>
      <c r="D8452" s="601">
        <v>18.71</v>
      </c>
    </row>
    <row r="8453" spans="1:4" ht="27">
      <c r="A8453" s="402">
        <v>100805</v>
      </c>
      <c r="B8453" s="403" t="s">
        <v>6879</v>
      </c>
      <c r="C8453" s="402" t="s">
        <v>17</v>
      </c>
      <c r="D8453" s="601">
        <v>24.95</v>
      </c>
    </row>
    <row r="8454" spans="1:4" ht="27">
      <c r="A8454" s="402">
        <v>100806</v>
      </c>
      <c r="B8454" s="403" t="s">
        <v>6880</v>
      </c>
      <c r="C8454" s="402" t="s">
        <v>17</v>
      </c>
      <c r="D8454" s="601">
        <v>33.78</v>
      </c>
    </row>
    <row r="8455" spans="1:4" ht="13.5">
      <c r="A8455" s="402">
        <v>72306</v>
      </c>
      <c r="B8455" s="403" t="s">
        <v>117</v>
      </c>
      <c r="C8455" s="402" t="s">
        <v>35</v>
      </c>
      <c r="D8455" s="601">
        <v>152.75</v>
      </c>
    </row>
    <row r="8456" spans="1:4" ht="13.5">
      <c r="A8456" s="402">
        <v>72307</v>
      </c>
      <c r="B8456" s="403" t="s">
        <v>118</v>
      </c>
      <c r="C8456" s="402" t="s">
        <v>35</v>
      </c>
      <c r="D8456" s="601">
        <v>213.67</v>
      </c>
    </row>
    <row r="8457" spans="1:4" ht="13.5">
      <c r="A8457" s="402">
        <v>72313</v>
      </c>
      <c r="B8457" s="403" t="s">
        <v>119</v>
      </c>
      <c r="C8457" s="402" t="s">
        <v>35</v>
      </c>
      <c r="D8457" s="601">
        <v>495.95</v>
      </c>
    </row>
    <row r="8458" spans="1:4" ht="13.5">
      <c r="A8458" s="402">
        <v>72482</v>
      </c>
      <c r="B8458" s="403" t="s">
        <v>124</v>
      </c>
      <c r="C8458" s="402" t="s">
        <v>35</v>
      </c>
      <c r="D8458" s="601">
        <v>213.88</v>
      </c>
    </row>
    <row r="8459" spans="1:4" ht="13.5">
      <c r="A8459" s="402">
        <v>72619</v>
      </c>
      <c r="B8459" s="403" t="s">
        <v>127</v>
      </c>
      <c r="C8459" s="402" t="s">
        <v>35</v>
      </c>
      <c r="D8459" s="601">
        <v>89.32</v>
      </c>
    </row>
    <row r="8460" spans="1:4" ht="13.5">
      <c r="A8460" s="402">
        <v>72620</v>
      </c>
      <c r="B8460" s="403" t="s">
        <v>128</v>
      </c>
      <c r="C8460" s="402" t="s">
        <v>35</v>
      </c>
      <c r="D8460" s="601">
        <v>155.38999999999999</v>
      </c>
    </row>
    <row r="8461" spans="1:4" ht="13.5">
      <c r="A8461" s="402">
        <v>72621</v>
      </c>
      <c r="B8461" s="403" t="s">
        <v>129</v>
      </c>
      <c r="C8461" s="402" t="s">
        <v>35</v>
      </c>
      <c r="D8461" s="601">
        <v>249.09</v>
      </c>
    </row>
    <row r="8462" spans="1:4" ht="13.5">
      <c r="A8462" s="402">
        <v>72667</v>
      </c>
      <c r="B8462" s="403" t="s">
        <v>130</v>
      </c>
      <c r="C8462" s="402" t="s">
        <v>35</v>
      </c>
      <c r="D8462" s="601">
        <v>123.93</v>
      </c>
    </row>
    <row r="8463" spans="1:4" ht="13.5">
      <c r="A8463" s="402">
        <v>72668</v>
      </c>
      <c r="B8463" s="403" t="s">
        <v>131</v>
      </c>
      <c r="C8463" s="402" t="s">
        <v>35</v>
      </c>
      <c r="D8463" s="601">
        <v>123.24</v>
      </c>
    </row>
    <row r="8464" spans="1:4" ht="13.5">
      <c r="A8464" s="402">
        <v>72669</v>
      </c>
      <c r="B8464" s="403" t="s">
        <v>132</v>
      </c>
      <c r="C8464" s="402" t="s">
        <v>35</v>
      </c>
      <c r="D8464" s="601">
        <v>127.21</v>
      </c>
    </row>
    <row r="8465" spans="1:4" ht="13.5">
      <c r="A8465" s="402">
        <v>72681</v>
      </c>
      <c r="B8465" s="403" t="s">
        <v>133</v>
      </c>
      <c r="C8465" s="402" t="s">
        <v>35</v>
      </c>
      <c r="D8465" s="601">
        <v>86.76</v>
      </c>
    </row>
    <row r="8466" spans="1:4" ht="13.5">
      <c r="A8466" s="402">
        <v>72682</v>
      </c>
      <c r="B8466" s="403" t="s">
        <v>134</v>
      </c>
      <c r="C8466" s="402" t="s">
        <v>35</v>
      </c>
      <c r="D8466" s="601">
        <v>173.72</v>
      </c>
    </row>
    <row r="8467" spans="1:4" ht="13.5">
      <c r="A8467" s="402">
        <v>72683</v>
      </c>
      <c r="B8467" s="403" t="s">
        <v>135</v>
      </c>
      <c r="C8467" s="402" t="s">
        <v>35</v>
      </c>
      <c r="D8467" s="601">
        <v>278.56</v>
      </c>
    </row>
    <row r="8468" spans="1:4" ht="13.5">
      <c r="A8468" s="402">
        <v>72719</v>
      </c>
      <c r="B8468" s="403" t="s">
        <v>136</v>
      </c>
      <c r="C8468" s="402" t="s">
        <v>35</v>
      </c>
      <c r="D8468" s="601">
        <v>191.41</v>
      </c>
    </row>
    <row r="8469" spans="1:4" ht="13.5">
      <c r="A8469" s="402">
        <v>72720</v>
      </c>
      <c r="B8469" s="403" t="s">
        <v>137</v>
      </c>
      <c r="C8469" s="402" t="s">
        <v>35</v>
      </c>
      <c r="D8469" s="601">
        <v>263.08999999999997</v>
      </c>
    </row>
    <row r="8470" spans="1:4" ht="13.5">
      <c r="A8470" s="402">
        <v>72721</v>
      </c>
      <c r="B8470" s="403" t="s">
        <v>138</v>
      </c>
      <c r="C8470" s="402" t="s">
        <v>35</v>
      </c>
      <c r="D8470" s="601">
        <v>567.48</v>
      </c>
    </row>
    <row r="8471" spans="1:4" ht="27">
      <c r="A8471" s="402">
        <v>89358</v>
      </c>
      <c r="B8471" s="403" t="s">
        <v>1722</v>
      </c>
      <c r="C8471" s="402" t="s">
        <v>35</v>
      </c>
      <c r="D8471" s="601">
        <v>5.43</v>
      </c>
    </row>
    <row r="8472" spans="1:4" ht="27">
      <c r="A8472" s="402">
        <v>89359</v>
      </c>
      <c r="B8472" s="403" t="s">
        <v>1723</v>
      </c>
      <c r="C8472" s="402" t="s">
        <v>35</v>
      </c>
      <c r="D8472" s="601">
        <v>5.7</v>
      </c>
    </row>
    <row r="8473" spans="1:4" ht="27">
      <c r="A8473" s="402">
        <v>89360</v>
      </c>
      <c r="B8473" s="403" t="s">
        <v>1724</v>
      </c>
      <c r="C8473" s="402" t="s">
        <v>35</v>
      </c>
      <c r="D8473" s="601">
        <v>6.84</v>
      </c>
    </row>
    <row r="8474" spans="1:4" ht="27">
      <c r="A8474" s="402">
        <v>89361</v>
      </c>
      <c r="B8474" s="403" t="s">
        <v>1725</v>
      </c>
      <c r="C8474" s="402" t="s">
        <v>35</v>
      </c>
      <c r="D8474" s="601">
        <v>6.39</v>
      </c>
    </row>
    <row r="8475" spans="1:4" ht="27">
      <c r="A8475" s="402">
        <v>89362</v>
      </c>
      <c r="B8475" s="403" t="s">
        <v>1726</v>
      </c>
      <c r="C8475" s="402" t="s">
        <v>35</v>
      </c>
      <c r="D8475" s="601">
        <v>6.48</v>
      </c>
    </row>
    <row r="8476" spans="1:4" ht="27">
      <c r="A8476" s="402">
        <v>89363</v>
      </c>
      <c r="B8476" s="403" t="s">
        <v>1727</v>
      </c>
      <c r="C8476" s="402" t="s">
        <v>35</v>
      </c>
      <c r="D8476" s="601">
        <v>7.06</v>
      </c>
    </row>
    <row r="8477" spans="1:4" ht="27">
      <c r="A8477" s="402">
        <v>89364</v>
      </c>
      <c r="B8477" s="403" t="s">
        <v>1728</v>
      </c>
      <c r="C8477" s="402" t="s">
        <v>35</v>
      </c>
      <c r="D8477" s="601">
        <v>8.26</v>
      </c>
    </row>
    <row r="8478" spans="1:4" ht="27">
      <c r="A8478" s="402">
        <v>89365</v>
      </c>
      <c r="B8478" s="403" t="s">
        <v>1729</v>
      </c>
      <c r="C8478" s="402" t="s">
        <v>35</v>
      </c>
      <c r="D8478" s="601">
        <v>7.73</v>
      </c>
    </row>
    <row r="8479" spans="1:4" ht="27">
      <c r="A8479" s="402">
        <v>89366</v>
      </c>
      <c r="B8479" s="403" t="s">
        <v>1730</v>
      </c>
      <c r="C8479" s="402" t="s">
        <v>35</v>
      </c>
      <c r="D8479" s="601">
        <v>11.43</v>
      </c>
    </row>
    <row r="8480" spans="1:4" ht="27">
      <c r="A8480" s="402">
        <v>89367</v>
      </c>
      <c r="B8480" s="403" t="s">
        <v>1731</v>
      </c>
      <c r="C8480" s="402" t="s">
        <v>35</v>
      </c>
      <c r="D8480" s="601">
        <v>8.9</v>
      </c>
    </row>
    <row r="8481" spans="1:4" ht="27">
      <c r="A8481" s="402">
        <v>89368</v>
      </c>
      <c r="B8481" s="403" t="s">
        <v>1732</v>
      </c>
      <c r="C8481" s="402" t="s">
        <v>35</v>
      </c>
      <c r="D8481" s="601">
        <v>10.53</v>
      </c>
    </row>
    <row r="8482" spans="1:4" ht="27">
      <c r="A8482" s="402">
        <v>89369</v>
      </c>
      <c r="B8482" s="403" t="s">
        <v>1733</v>
      </c>
      <c r="C8482" s="402" t="s">
        <v>35</v>
      </c>
      <c r="D8482" s="601">
        <v>12.54</v>
      </c>
    </row>
    <row r="8483" spans="1:4" ht="27">
      <c r="A8483" s="402">
        <v>89370</v>
      </c>
      <c r="B8483" s="403" t="s">
        <v>1734</v>
      </c>
      <c r="C8483" s="402" t="s">
        <v>35</v>
      </c>
      <c r="D8483" s="601">
        <v>10.18</v>
      </c>
    </row>
    <row r="8484" spans="1:4" ht="27">
      <c r="A8484" s="402">
        <v>89371</v>
      </c>
      <c r="B8484" s="403" t="s">
        <v>358</v>
      </c>
      <c r="C8484" s="402" t="s">
        <v>35</v>
      </c>
      <c r="D8484" s="601">
        <v>4.16</v>
      </c>
    </row>
    <row r="8485" spans="1:4" ht="27">
      <c r="A8485" s="402">
        <v>89372</v>
      </c>
      <c r="B8485" s="403" t="s">
        <v>1735</v>
      </c>
      <c r="C8485" s="402" t="s">
        <v>35</v>
      </c>
      <c r="D8485" s="601">
        <v>9.5299999999999994</v>
      </c>
    </row>
    <row r="8486" spans="1:4" ht="27">
      <c r="A8486" s="402">
        <v>89373</v>
      </c>
      <c r="B8486" s="403" t="s">
        <v>359</v>
      </c>
      <c r="C8486" s="402" t="s">
        <v>35</v>
      </c>
      <c r="D8486" s="601">
        <v>4.6399999999999997</v>
      </c>
    </row>
    <row r="8487" spans="1:4" ht="27">
      <c r="A8487" s="402">
        <v>89374</v>
      </c>
      <c r="B8487" s="403" t="s">
        <v>1736</v>
      </c>
      <c r="C8487" s="402" t="s">
        <v>35</v>
      </c>
      <c r="D8487" s="601">
        <v>7.56</v>
      </c>
    </row>
    <row r="8488" spans="1:4" ht="27">
      <c r="A8488" s="402">
        <v>89375</v>
      </c>
      <c r="B8488" s="403" t="s">
        <v>360</v>
      </c>
      <c r="C8488" s="402" t="s">
        <v>35</v>
      </c>
      <c r="D8488" s="601">
        <v>9.31</v>
      </c>
    </row>
    <row r="8489" spans="1:4" ht="40.5">
      <c r="A8489" s="402">
        <v>89376</v>
      </c>
      <c r="B8489" s="403" t="s">
        <v>1737</v>
      </c>
      <c r="C8489" s="402" t="s">
        <v>35</v>
      </c>
      <c r="D8489" s="601">
        <v>4.21</v>
      </c>
    </row>
    <row r="8490" spans="1:4" ht="27">
      <c r="A8490" s="402">
        <v>89377</v>
      </c>
      <c r="B8490" s="403" t="s">
        <v>1738</v>
      </c>
      <c r="C8490" s="402" t="s">
        <v>35</v>
      </c>
      <c r="D8490" s="601">
        <v>6.81</v>
      </c>
    </row>
    <row r="8491" spans="1:4" ht="27">
      <c r="A8491" s="402">
        <v>89378</v>
      </c>
      <c r="B8491" s="403" t="s">
        <v>361</v>
      </c>
      <c r="C8491" s="402" t="s">
        <v>35</v>
      </c>
      <c r="D8491" s="601">
        <v>4.93</v>
      </c>
    </row>
    <row r="8492" spans="1:4" ht="27">
      <c r="A8492" s="402">
        <v>89379</v>
      </c>
      <c r="B8492" s="403" t="s">
        <v>1739</v>
      </c>
      <c r="C8492" s="402" t="s">
        <v>35</v>
      </c>
      <c r="D8492" s="601">
        <v>12.09</v>
      </c>
    </row>
    <row r="8493" spans="1:4" ht="27">
      <c r="A8493" s="402">
        <v>89380</v>
      </c>
      <c r="B8493" s="403" t="s">
        <v>362</v>
      </c>
      <c r="C8493" s="402" t="s">
        <v>35</v>
      </c>
      <c r="D8493" s="601">
        <v>7.13</v>
      </c>
    </row>
    <row r="8494" spans="1:4" ht="27">
      <c r="A8494" s="402">
        <v>89381</v>
      </c>
      <c r="B8494" s="403" t="s">
        <v>1740</v>
      </c>
      <c r="C8494" s="402" t="s">
        <v>35</v>
      </c>
      <c r="D8494" s="601">
        <v>9.4600000000000009</v>
      </c>
    </row>
    <row r="8495" spans="1:4" ht="27">
      <c r="A8495" s="402">
        <v>89382</v>
      </c>
      <c r="B8495" s="403" t="s">
        <v>363</v>
      </c>
      <c r="C8495" s="402" t="s">
        <v>35</v>
      </c>
      <c r="D8495" s="601">
        <v>11.1</v>
      </c>
    </row>
    <row r="8496" spans="1:4" ht="40.5">
      <c r="A8496" s="402">
        <v>89383</v>
      </c>
      <c r="B8496" s="403" t="s">
        <v>1741</v>
      </c>
      <c r="C8496" s="402" t="s">
        <v>35</v>
      </c>
      <c r="D8496" s="601">
        <v>5.01</v>
      </c>
    </row>
    <row r="8497" spans="1:4" ht="27">
      <c r="A8497" s="402">
        <v>89384</v>
      </c>
      <c r="B8497" s="403" t="s">
        <v>1742</v>
      </c>
      <c r="C8497" s="402" t="s">
        <v>35</v>
      </c>
      <c r="D8497" s="601">
        <v>9.58</v>
      </c>
    </row>
    <row r="8498" spans="1:4" ht="27">
      <c r="A8498" s="402">
        <v>89385</v>
      </c>
      <c r="B8498" s="403" t="s">
        <v>1743</v>
      </c>
      <c r="C8498" s="402" t="s">
        <v>35</v>
      </c>
      <c r="D8498" s="601">
        <v>5.57</v>
      </c>
    </row>
    <row r="8499" spans="1:4" ht="27">
      <c r="A8499" s="402">
        <v>89386</v>
      </c>
      <c r="B8499" s="403" t="s">
        <v>364</v>
      </c>
      <c r="C8499" s="402" t="s">
        <v>35</v>
      </c>
      <c r="D8499" s="601">
        <v>6.8</v>
      </c>
    </row>
    <row r="8500" spans="1:4" ht="27">
      <c r="A8500" s="402">
        <v>89387</v>
      </c>
      <c r="B8500" s="403" t="s">
        <v>1744</v>
      </c>
      <c r="C8500" s="402" t="s">
        <v>35</v>
      </c>
      <c r="D8500" s="601">
        <v>23.88</v>
      </c>
    </row>
    <row r="8501" spans="1:4" ht="27">
      <c r="A8501" s="402">
        <v>89388</v>
      </c>
      <c r="B8501" s="403" t="s">
        <v>365</v>
      </c>
      <c r="C8501" s="402" t="s">
        <v>35</v>
      </c>
      <c r="D8501" s="601">
        <v>8.73</v>
      </c>
    </row>
    <row r="8502" spans="1:4" ht="27">
      <c r="A8502" s="402">
        <v>89389</v>
      </c>
      <c r="B8502" s="403" t="s">
        <v>1745</v>
      </c>
      <c r="C8502" s="402" t="s">
        <v>35</v>
      </c>
      <c r="D8502" s="601">
        <v>9.39</v>
      </c>
    </row>
    <row r="8503" spans="1:4" ht="27">
      <c r="A8503" s="402">
        <v>89390</v>
      </c>
      <c r="B8503" s="403" t="s">
        <v>366</v>
      </c>
      <c r="C8503" s="402" t="s">
        <v>35</v>
      </c>
      <c r="D8503" s="601">
        <v>16.43</v>
      </c>
    </row>
    <row r="8504" spans="1:4" ht="40.5">
      <c r="A8504" s="402">
        <v>89391</v>
      </c>
      <c r="B8504" s="403" t="s">
        <v>1746</v>
      </c>
      <c r="C8504" s="402" t="s">
        <v>35</v>
      </c>
      <c r="D8504" s="601">
        <v>6.72</v>
      </c>
    </row>
    <row r="8505" spans="1:4" ht="27">
      <c r="A8505" s="402">
        <v>89392</v>
      </c>
      <c r="B8505" s="403" t="s">
        <v>1747</v>
      </c>
      <c r="C8505" s="402" t="s">
        <v>35</v>
      </c>
      <c r="D8505" s="601">
        <v>19.38</v>
      </c>
    </row>
    <row r="8506" spans="1:4" ht="27">
      <c r="A8506" s="402">
        <v>89393</v>
      </c>
      <c r="B8506" s="403" t="s">
        <v>367</v>
      </c>
      <c r="C8506" s="402" t="s">
        <v>35</v>
      </c>
      <c r="D8506" s="601">
        <v>7.6</v>
      </c>
    </row>
    <row r="8507" spans="1:4" ht="40.5">
      <c r="A8507" s="402">
        <v>89394</v>
      </c>
      <c r="B8507" s="403" t="s">
        <v>1748</v>
      </c>
      <c r="C8507" s="402" t="s">
        <v>35</v>
      </c>
      <c r="D8507" s="601">
        <v>14.3</v>
      </c>
    </row>
    <row r="8508" spans="1:4" ht="27">
      <c r="A8508" s="402">
        <v>89395</v>
      </c>
      <c r="B8508" s="403" t="s">
        <v>368</v>
      </c>
      <c r="C8508" s="402" t="s">
        <v>35</v>
      </c>
      <c r="D8508" s="601">
        <v>9.1</v>
      </c>
    </row>
    <row r="8509" spans="1:4" ht="40.5">
      <c r="A8509" s="402">
        <v>89396</v>
      </c>
      <c r="B8509" s="403" t="s">
        <v>1749</v>
      </c>
      <c r="C8509" s="402" t="s">
        <v>35</v>
      </c>
      <c r="D8509" s="601">
        <v>14.84</v>
      </c>
    </row>
    <row r="8510" spans="1:4" ht="27">
      <c r="A8510" s="402">
        <v>89397</v>
      </c>
      <c r="B8510" s="403" t="s">
        <v>1750</v>
      </c>
      <c r="C8510" s="402" t="s">
        <v>35</v>
      </c>
      <c r="D8510" s="601">
        <v>10.63</v>
      </c>
    </row>
    <row r="8511" spans="1:4" ht="27">
      <c r="A8511" s="402">
        <v>89398</v>
      </c>
      <c r="B8511" s="403" t="s">
        <v>369</v>
      </c>
      <c r="C8511" s="402" t="s">
        <v>35</v>
      </c>
      <c r="D8511" s="601">
        <v>13.13</v>
      </c>
    </row>
    <row r="8512" spans="1:4" ht="40.5">
      <c r="A8512" s="402">
        <v>89399</v>
      </c>
      <c r="B8512" s="403" t="s">
        <v>1751</v>
      </c>
      <c r="C8512" s="402" t="s">
        <v>35</v>
      </c>
      <c r="D8512" s="601">
        <v>22.86</v>
      </c>
    </row>
    <row r="8513" spans="1:4" ht="27">
      <c r="A8513" s="402">
        <v>89400</v>
      </c>
      <c r="B8513" s="403" t="s">
        <v>1752</v>
      </c>
      <c r="C8513" s="402" t="s">
        <v>35</v>
      </c>
      <c r="D8513" s="601">
        <v>14.64</v>
      </c>
    </row>
    <row r="8514" spans="1:4" ht="27">
      <c r="A8514" s="402">
        <v>89404</v>
      </c>
      <c r="B8514" s="403" t="s">
        <v>1756</v>
      </c>
      <c r="C8514" s="402" t="s">
        <v>35</v>
      </c>
      <c r="D8514" s="601">
        <v>3.75</v>
      </c>
    </row>
    <row r="8515" spans="1:4" ht="27">
      <c r="A8515" s="402">
        <v>89405</v>
      </c>
      <c r="B8515" s="403" t="s">
        <v>1757</v>
      </c>
      <c r="C8515" s="402" t="s">
        <v>35</v>
      </c>
      <c r="D8515" s="601">
        <v>4.0199999999999996</v>
      </c>
    </row>
    <row r="8516" spans="1:4" ht="27">
      <c r="A8516" s="402">
        <v>89406</v>
      </c>
      <c r="B8516" s="403" t="s">
        <v>1758</v>
      </c>
      <c r="C8516" s="402" t="s">
        <v>35</v>
      </c>
      <c r="D8516" s="601">
        <v>5.16</v>
      </c>
    </row>
    <row r="8517" spans="1:4" ht="27">
      <c r="A8517" s="402">
        <v>89407</v>
      </c>
      <c r="B8517" s="403" t="s">
        <v>1759</v>
      </c>
      <c r="C8517" s="402" t="s">
        <v>35</v>
      </c>
      <c r="D8517" s="601">
        <v>4.71</v>
      </c>
    </row>
    <row r="8518" spans="1:4" ht="27">
      <c r="A8518" s="402">
        <v>89408</v>
      </c>
      <c r="B8518" s="403" t="s">
        <v>1760</v>
      </c>
      <c r="C8518" s="402" t="s">
        <v>35</v>
      </c>
      <c r="D8518" s="601">
        <v>4.54</v>
      </c>
    </row>
    <row r="8519" spans="1:4" ht="27">
      <c r="A8519" s="402">
        <v>89409</v>
      </c>
      <c r="B8519" s="403" t="s">
        <v>1761</v>
      </c>
      <c r="C8519" s="402" t="s">
        <v>35</v>
      </c>
      <c r="D8519" s="601">
        <v>5.12</v>
      </c>
    </row>
    <row r="8520" spans="1:4" ht="27">
      <c r="A8520" s="402">
        <v>89410</v>
      </c>
      <c r="B8520" s="403" t="s">
        <v>1762</v>
      </c>
      <c r="C8520" s="402" t="s">
        <v>35</v>
      </c>
      <c r="D8520" s="601">
        <v>6.32</v>
      </c>
    </row>
    <row r="8521" spans="1:4" ht="27">
      <c r="A8521" s="402">
        <v>89411</v>
      </c>
      <c r="B8521" s="403" t="s">
        <v>1763</v>
      </c>
      <c r="C8521" s="402" t="s">
        <v>35</v>
      </c>
      <c r="D8521" s="601">
        <v>5.79</v>
      </c>
    </row>
    <row r="8522" spans="1:4" ht="27">
      <c r="A8522" s="402">
        <v>89412</v>
      </c>
      <c r="B8522" s="403" t="s">
        <v>1764</v>
      </c>
      <c r="C8522" s="402" t="s">
        <v>35</v>
      </c>
      <c r="D8522" s="601">
        <v>6.52</v>
      </c>
    </row>
    <row r="8523" spans="1:4" ht="27">
      <c r="A8523" s="402">
        <v>89413</v>
      </c>
      <c r="B8523" s="403" t="s">
        <v>1765</v>
      </c>
      <c r="C8523" s="402" t="s">
        <v>35</v>
      </c>
      <c r="D8523" s="601">
        <v>6.57</v>
      </c>
    </row>
    <row r="8524" spans="1:4" ht="27">
      <c r="A8524" s="402">
        <v>89414</v>
      </c>
      <c r="B8524" s="403" t="s">
        <v>1766</v>
      </c>
      <c r="C8524" s="402" t="s">
        <v>35</v>
      </c>
      <c r="D8524" s="601">
        <v>8.1999999999999993</v>
      </c>
    </row>
    <row r="8525" spans="1:4" ht="27">
      <c r="A8525" s="402">
        <v>89415</v>
      </c>
      <c r="B8525" s="403" t="s">
        <v>1767</v>
      </c>
      <c r="C8525" s="402" t="s">
        <v>35</v>
      </c>
      <c r="D8525" s="601">
        <v>10.210000000000001</v>
      </c>
    </row>
    <row r="8526" spans="1:4" ht="27">
      <c r="A8526" s="402">
        <v>89416</v>
      </c>
      <c r="B8526" s="403" t="s">
        <v>1768</v>
      </c>
      <c r="C8526" s="402" t="s">
        <v>35</v>
      </c>
      <c r="D8526" s="601">
        <v>7.85</v>
      </c>
    </row>
    <row r="8527" spans="1:4" ht="27">
      <c r="A8527" s="402">
        <v>89417</v>
      </c>
      <c r="B8527" s="403" t="s">
        <v>1769</v>
      </c>
      <c r="C8527" s="402" t="s">
        <v>35</v>
      </c>
      <c r="D8527" s="601">
        <v>3.06</v>
      </c>
    </row>
    <row r="8528" spans="1:4" ht="27">
      <c r="A8528" s="402">
        <v>89418</v>
      </c>
      <c r="B8528" s="403" t="s">
        <v>1770</v>
      </c>
      <c r="C8528" s="402" t="s">
        <v>35</v>
      </c>
      <c r="D8528" s="601">
        <v>8.43</v>
      </c>
    </row>
    <row r="8529" spans="1:4" ht="27">
      <c r="A8529" s="402">
        <v>89419</v>
      </c>
      <c r="B8529" s="403" t="s">
        <v>370</v>
      </c>
      <c r="C8529" s="402" t="s">
        <v>35</v>
      </c>
      <c r="D8529" s="601">
        <v>3.54</v>
      </c>
    </row>
    <row r="8530" spans="1:4" ht="27">
      <c r="A8530" s="402">
        <v>89420</v>
      </c>
      <c r="B8530" s="403" t="s">
        <v>1771</v>
      </c>
      <c r="C8530" s="402" t="s">
        <v>35</v>
      </c>
      <c r="D8530" s="601">
        <v>6.46</v>
      </c>
    </row>
    <row r="8531" spans="1:4" ht="27">
      <c r="A8531" s="402">
        <v>89421</v>
      </c>
      <c r="B8531" s="403" t="s">
        <v>1772</v>
      </c>
      <c r="C8531" s="402" t="s">
        <v>35</v>
      </c>
      <c r="D8531" s="601">
        <v>8.2100000000000009</v>
      </c>
    </row>
    <row r="8532" spans="1:4" ht="40.5">
      <c r="A8532" s="402">
        <v>89422</v>
      </c>
      <c r="B8532" s="403" t="s">
        <v>1773</v>
      </c>
      <c r="C8532" s="402" t="s">
        <v>35</v>
      </c>
      <c r="D8532" s="601">
        <v>3.11</v>
      </c>
    </row>
    <row r="8533" spans="1:4" ht="27">
      <c r="A8533" s="402">
        <v>89423</v>
      </c>
      <c r="B8533" s="403" t="s">
        <v>1774</v>
      </c>
      <c r="C8533" s="402" t="s">
        <v>35</v>
      </c>
      <c r="D8533" s="601">
        <v>6.16</v>
      </c>
    </row>
    <row r="8534" spans="1:4" ht="27">
      <c r="A8534" s="402">
        <v>89424</v>
      </c>
      <c r="B8534" s="403" t="s">
        <v>1775</v>
      </c>
      <c r="C8534" s="402" t="s">
        <v>35</v>
      </c>
      <c r="D8534" s="601">
        <v>3.63</v>
      </c>
    </row>
    <row r="8535" spans="1:4" ht="27">
      <c r="A8535" s="402">
        <v>89425</v>
      </c>
      <c r="B8535" s="403" t="s">
        <v>1776</v>
      </c>
      <c r="C8535" s="402" t="s">
        <v>35</v>
      </c>
      <c r="D8535" s="601">
        <v>10.79</v>
      </c>
    </row>
    <row r="8536" spans="1:4" ht="27">
      <c r="A8536" s="402">
        <v>89426</v>
      </c>
      <c r="B8536" s="403" t="s">
        <v>371</v>
      </c>
      <c r="C8536" s="402" t="s">
        <v>35</v>
      </c>
      <c r="D8536" s="601">
        <v>5.83</v>
      </c>
    </row>
    <row r="8537" spans="1:4" ht="27">
      <c r="A8537" s="402">
        <v>89427</v>
      </c>
      <c r="B8537" s="403" t="s">
        <v>1777</v>
      </c>
      <c r="C8537" s="402" t="s">
        <v>35</v>
      </c>
      <c r="D8537" s="601">
        <v>8.16</v>
      </c>
    </row>
    <row r="8538" spans="1:4" ht="27">
      <c r="A8538" s="402">
        <v>89428</v>
      </c>
      <c r="B8538" s="403" t="s">
        <v>1778</v>
      </c>
      <c r="C8538" s="402" t="s">
        <v>35</v>
      </c>
      <c r="D8538" s="601">
        <v>9.8000000000000007</v>
      </c>
    </row>
    <row r="8539" spans="1:4" ht="40.5">
      <c r="A8539" s="402">
        <v>89429</v>
      </c>
      <c r="B8539" s="403" t="s">
        <v>1779</v>
      </c>
      <c r="C8539" s="402" t="s">
        <v>35</v>
      </c>
      <c r="D8539" s="601">
        <v>3.71</v>
      </c>
    </row>
    <row r="8540" spans="1:4" ht="27">
      <c r="A8540" s="402">
        <v>89430</v>
      </c>
      <c r="B8540" s="403" t="s">
        <v>1780</v>
      </c>
      <c r="C8540" s="402" t="s">
        <v>35</v>
      </c>
      <c r="D8540" s="601">
        <v>8.2799999999999994</v>
      </c>
    </row>
    <row r="8541" spans="1:4" ht="27">
      <c r="A8541" s="402">
        <v>89431</v>
      </c>
      <c r="B8541" s="403" t="s">
        <v>1781</v>
      </c>
      <c r="C8541" s="402" t="s">
        <v>35</v>
      </c>
      <c r="D8541" s="601">
        <v>5.23</v>
      </c>
    </row>
    <row r="8542" spans="1:4" ht="27">
      <c r="A8542" s="402">
        <v>89432</v>
      </c>
      <c r="B8542" s="403" t="s">
        <v>1782</v>
      </c>
      <c r="C8542" s="402" t="s">
        <v>35</v>
      </c>
      <c r="D8542" s="601">
        <v>22.31</v>
      </c>
    </row>
    <row r="8543" spans="1:4" ht="27">
      <c r="A8543" s="402">
        <v>89433</v>
      </c>
      <c r="B8543" s="403" t="s">
        <v>372</v>
      </c>
      <c r="C8543" s="402" t="s">
        <v>35</v>
      </c>
      <c r="D8543" s="601">
        <v>7.16</v>
      </c>
    </row>
    <row r="8544" spans="1:4" ht="27">
      <c r="A8544" s="402">
        <v>89434</v>
      </c>
      <c r="B8544" s="403" t="s">
        <v>1783</v>
      </c>
      <c r="C8544" s="402" t="s">
        <v>35</v>
      </c>
      <c r="D8544" s="601">
        <v>7.82</v>
      </c>
    </row>
    <row r="8545" spans="1:4" ht="27">
      <c r="A8545" s="402">
        <v>89435</v>
      </c>
      <c r="B8545" s="403" t="s">
        <v>1784</v>
      </c>
      <c r="C8545" s="402" t="s">
        <v>35</v>
      </c>
      <c r="D8545" s="601">
        <v>14.86</v>
      </c>
    </row>
    <row r="8546" spans="1:4" ht="40.5">
      <c r="A8546" s="402">
        <v>89436</v>
      </c>
      <c r="B8546" s="403" t="s">
        <v>1785</v>
      </c>
      <c r="C8546" s="402" t="s">
        <v>35</v>
      </c>
      <c r="D8546" s="601">
        <v>5.15</v>
      </c>
    </row>
    <row r="8547" spans="1:4" ht="27">
      <c r="A8547" s="402">
        <v>89437</v>
      </c>
      <c r="B8547" s="403" t="s">
        <v>1786</v>
      </c>
      <c r="C8547" s="402" t="s">
        <v>35</v>
      </c>
      <c r="D8547" s="601">
        <v>17.809999999999999</v>
      </c>
    </row>
    <row r="8548" spans="1:4" ht="27">
      <c r="A8548" s="402">
        <v>89438</v>
      </c>
      <c r="B8548" s="403" t="s">
        <v>373</v>
      </c>
      <c r="C8548" s="402" t="s">
        <v>35</v>
      </c>
      <c r="D8548" s="601">
        <v>5.37</v>
      </c>
    </row>
    <row r="8549" spans="1:4" ht="40.5">
      <c r="A8549" s="402">
        <v>89439</v>
      </c>
      <c r="B8549" s="403" t="s">
        <v>1787</v>
      </c>
      <c r="C8549" s="402" t="s">
        <v>35</v>
      </c>
      <c r="D8549" s="601">
        <v>6.9</v>
      </c>
    </row>
    <row r="8550" spans="1:4" ht="27">
      <c r="A8550" s="402">
        <v>89440</v>
      </c>
      <c r="B8550" s="403" t="s">
        <v>374</v>
      </c>
      <c r="C8550" s="402" t="s">
        <v>35</v>
      </c>
      <c r="D8550" s="601">
        <v>6.51</v>
      </c>
    </row>
    <row r="8551" spans="1:4" ht="40.5">
      <c r="A8551" s="402">
        <v>89441</v>
      </c>
      <c r="B8551" s="403" t="s">
        <v>1788</v>
      </c>
      <c r="C8551" s="402" t="s">
        <v>35</v>
      </c>
      <c r="D8551" s="601">
        <v>12.25</v>
      </c>
    </row>
    <row r="8552" spans="1:4" ht="27">
      <c r="A8552" s="402">
        <v>89442</v>
      </c>
      <c r="B8552" s="403" t="s">
        <v>1789</v>
      </c>
      <c r="C8552" s="402" t="s">
        <v>35</v>
      </c>
      <c r="D8552" s="601">
        <v>8.0399999999999991</v>
      </c>
    </row>
    <row r="8553" spans="1:4" ht="27">
      <c r="A8553" s="402">
        <v>89443</v>
      </c>
      <c r="B8553" s="403" t="s">
        <v>375</v>
      </c>
      <c r="C8553" s="402" t="s">
        <v>35</v>
      </c>
      <c r="D8553" s="601">
        <v>10.050000000000001</v>
      </c>
    </row>
    <row r="8554" spans="1:4" ht="40.5">
      <c r="A8554" s="402">
        <v>89444</v>
      </c>
      <c r="B8554" s="403" t="s">
        <v>1790</v>
      </c>
      <c r="C8554" s="402" t="s">
        <v>35</v>
      </c>
      <c r="D8554" s="601">
        <v>19.78</v>
      </c>
    </row>
    <row r="8555" spans="1:4" ht="27">
      <c r="A8555" s="402">
        <v>89445</v>
      </c>
      <c r="B8555" s="403" t="s">
        <v>1791</v>
      </c>
      <c r="C8555" s="402" t="s">
        <v>35</v>
      </c>
      <c r="D8555" s="601">
        <v>11.56</v>
      </c>
    </row>
    <row r="8556" spans="1:4" ht="27">
      <c r="A8556" s="402">
        <v>89481</v>
      </c>
      <c r="B8556" s="403" t="s">
        <v>376</v>
      </c>
      <c r="C8556" s="402" t="s">
        <v>35</v>
      </c>
      <c r="D8556" s="601">
        <v>3.56</v>
      </c>
    </row>
    <row r="8557" spans="1:4" ht="27">
      <c r="A8557" s="402">
        <v>89485</v>
      </c>
      <c r="B8557" s="403" t="s">
        <v>377</v>
      </c>
      <c r="C8557" s="402" t="s">
        <v>35</v>
      </c>
      <c r="D8557" s="601">
        <v>4.1399999999999997</v>
      </c>
    </row>
    <row r="8558" spans="1:4" ht="27">
      <c r="A8558" s="402">
        <v>89489</v>
      </c>
      <c r="B8558" s="403" t="s">
        <v>378</v>
      </c>
      <c r="C8558" s="402" t="s">
        <v>35</v>
      </c>
      <c r="D8558" s="601">
        <v>5.34</v>
      </c>
    </row>
    <row r="8559" spans="1:4" ht="27">
      <c r="A8559" s="402">
        <v>89490</v>
      </c>
      <c r="B8559" s="403" t="s">
        <v>379</v>
      </c>
      <c r="C8559" s="402" t="s">
        <v>35</v>
      </c>
      <c r="D8559" s="601">
        <v>4.8099999999999996</v>
      </c>
    </row>
    <row r="8560" spans="1:4" ht="27">
      <c r="A8560" s="402">
        <v>89492</v>
      </c>
      <c r="B8560" s="403" t="s">
        <v>380</v>
      </c>
      <c r="C8560" s="402" t="s">
        <v>35</v>
      </c>
      <c r="D8560" s="601">
        <v>5.46</v>
      </c>
    </row>
    <row r="8561" spans="1:4" ht="27">
      <c r="A8561" s="402">
        <v>89493</v>
      </c>
      <c r="B8561" s="403" t="s">
        <v>381</v>
      </c>
      <c r="C8561" s="402" t="s">
        <v>35</v>
      </c>
      <c r="D8561" s="601">
        <v>7.09</v>
      </c>
    </row>
    <row r="8562" spans="1:4" ht="27">
      <c r="A8562" s="402">
        <v>89494</v>
      </c>
      <c r="B8562" s="403" t="s">
        <v>382</v>
      </c>
      <c r="C8562" s="402" t="s">
        <v>35</v>
      </c>
      <c r="D8562" s="601">
        <v>9.1</v>
      </c>
    </row>
    <row r="8563" spans="1:4" ht="27">
      <c r="A8563" s="402">
        <v>89496</v>
      </c>
      <c r="B8563" s="403" t="s">
        <v>383</v>
      </c>
      <c r="C8563" s="402" t="s">
        <v>35</v>
      </c>
      <c r="D8563" s="601">
        <v>6.74</v>
      </c>
    </row>
    <row r="8564" spans="1:4" ht="27">
      <c r="A8564" s="402">
        <v>89497</v>
      </c>
      <c r="B8564" s="403" t="s">
        <v>384</v>
      </c>
      <c r="C8564" s="402" t="s">
        <v>35</v>
      </c>
      <c r="D8564" s="601">
        <v>8.6999999999999993</v>
      </c>
    </row>
    <row r="8565" spans="1:4" ht="27">
      <c r="A8565" s="402">
        <v>89498</v>
      </c>
      <c r="B8565" s="403" t="s">
        <v>385</v>
      </c>
      <c r="C8565" s="402" t="s">
        <v>35</v>
      </c>
      <c r="D8565" s="601">
        <v>9.44</v>
      </c>
    </row>
    <row r="8566" spans="1:4" ht="27">
      <c r="A8566" s="402">
        <v>89499</v>
      </c>
      <c r="B8566" s="403" t="s">
        <v>386</v>
      </c>
      <c r="C8566" s="402" t="s">
        <v>35</v>
      </c>
      <c r="D8566" s="601">
        <v>14.18</v>
      </c>
    </row>
    <row r="8567" spans="1:4" ht="27">
      <c r="A8567" s="402">
        <v>89500</v>
      </c>
      <c r="B8567" s="403" t="s">
        <v>387</v>
      </c>
      <c r="C8567" s="402" t="s">
        <v>35</v>
      </c>
      <c r="D8567" s="601">
        <v>9.58</v>
      </c>
    </row>
    <row r="8568" spans="1:4" ht="27">
      <c r="A8568" s="402">
        <v>89501</v>
      </c>
      <c r="B8568" s="403" t="s">
        <v>388</v>
      </c>
      <c r="C8568" s="402" t="s">
        <v>35</v>
      </c>
      <c r="D8568" s="601">
        <v>10.66</v>
      </c>
    </row>
    <row r="8569" spans="1:4" ht="27">
      <c r="A8569" s="402">
        <v>89502</v>
      </c>
      <c r="B8569" s="403" t="s">
        <v>389</v>
      </c>
      <c r="C8569" s="402" t="s">
        <v>35</v>
      </c>
      <c r="D8569" s="601">
        <v>12</v>
      </c>
    </row>
    <row r="8570" spans="1:4" ht="27">
      <c r="A8570" s="402">
        <v>89503</v>
      </c>
      <c r="B8570" s="403" t="s">
        <v>390</v>
      </c>
      <c r="C8570" s="402" t="s">
        <v>35</v>
      </c>
      <c r="D8570" s="601">
        <v>17.88</v>
      </c>
    </row>
    <row r="8571" spans="1:4" ht="27">
      <c r="A8571" s="402">
        <v>89504</v>
      </c>
      <c r="B8571" s="403" t="s">
        <v>391</v>
      </c>
      <c r="C8571" s="402" t="s">
        <v>35</v>
      </c>
      <c r="D8571" s="601">
        <v>15.75</v>
      </c>
    </row>
    <row r="8572" spans="1:4" ht="27">
      <c r="A8572" s="402">
        <v>89505</v>
      </c>
      <c r="B8572" s="403" t="s">
        <v>392</v>
      </c>
      <c r="C8572" s="402" t="s">
        <v>35</v>
      </c>
      <c r="D8572" s="601">
        <v>26.57</v>
      </c>
    </row>
    <row r="8573" spans="1:4" ht="27">
      <c r="A8573" s="402">
        <v>89506</v>
      </c>
      <c r="B8573" s="403" t="s">
        <v>393</v>
      </c>
      <c r="C8573" s="402" t="s">
        <v>35</v>
      </c>
      <c r="D8573" s="601">
        <v>29.78</v>
      </c>
    </row>
    <row r="8574" spans="1:4" ht="27">
      <c r="A8574" s="402">
        <v>89507</v>
      </c>
      <c r="B8574" s="403" t="s">
        <v>394</v>
      </c>
      <c r="C8574" s="402" t="s">
        <v>35</v>
      </c>
      <c r="D8574" s="601">
        <v>36.47</v>
      </c>
    </row>
    <row r="8575" spans="1:4" ht="27">
      <c r="A8575" s="402">
        <v>89510</v>
      </c>
      <c r="B8575" s="403" t="s">
        <v>395</v>
      </c>
      <c r="C8575" s="402" t="s">
        <v>35</v>
      </c>
      <c r="D8575" s="601">
        <v>24.2</v>
      </c>
    </row>
    <row r="8576" spans="1:4" ht="27">
      <c r="A8576" s="402">
        <v>89513</v>
      </c>
      <c r="B8576" s="403" t="s">
        <v>396</v>
      </c>
      <c r="C8576" s="402" t="s">
        <v>35</v>
      </c>
      <c r="D8576" s="601">
        <v>81.239999999999995</v>
      </c>
    </row>
    <row r="8577" spans="1:4" ht="27">
      <c r="A8577" s="402">
        <v>89514</v>
      </c>
      <c r="B8577" s="403" t="s">
        <v>397</v>
      </c>
      <c r="C8577" s="402" t="s">
        <v>35</v>
      </c>
      <c r="D8577" s="601">
        <v>7.5</v>
      </c>
    </row>
    <row r="8578" spans="1:4" ht="27">
      <c r="A8578" s="402">
        <v>89515</v>
      </c>
      <c r="B8578" s="403" t="s">
        <v>398</v>
      </c>
      <c r="C8578" s="402" t="s">
        <v>35</v>
      </c>
      <c r="D8578" s="601">
        <v>61.68</v>
      </c>
    </row>
    <row r="8579" spans="1:4" ht="27">
      <c r="A8579" s="402">
        <v>89516</v>
      </c>
      <c r="B8579" s="403" t="s">
        <v>399</v>
      </c>
      <c r="C8579" s="402" t="s">
        <v>35</v>
      </c>
      <c r="D8579" s="601">
        <v>6.6</v>
      </c>
    </row>
    <row r="8580" spans="1:4" ht="27">
      <c r="A8580" s="402">
        <v>89517</v>
      </c>
      <c r="B8580" s="403" t="s">
        <v>400</v>
      </c>
      <c r="C8580" s="402" t="s">
        <v>35</v>
      </c>
      <c r="D8580" s="601">
        <v>52.17</v>
      </c>
    </row>
    <row r="8581" spans="1:4" ht="27">
      <c r="A8581" s="402">
        <v>89518</v>
      </c>
      <c r="B8581" s="403" t="s">
        <v>401</v>
      </c>
      <c r="C8581" s="402" t="s">
        <v>35</v>
      </c>
      <c r="D8581" s="601">
        <v>10.37</v>
      </c>
    </row>
    <row r="8582" spans="1:4" ht="27">
      <c r="A8582" s="402">
        <v>89519</v>
      </c>
      <c r="B8582" s="403" t="s">
        <v>402</v>
      </c>
      <c r="C8582" s="402" t="s">
        <v>35</v>
      </c>
      <c r="D8582" s="601">
        <v>35.76</v>
      </c>
    </row>
    <row r="8583" spans="1:4" ht="27">
      <c r="A8583" s="402">
        <v>89520</v>
      </c>
      <c r="B8583" s="403" t="s">
        <v>403</v>
      </c>
      <c r="C8583" s="402" t="s">
        <v>35</v>
      </c>
      <c r="D8583" s="601">
        <v>9.18</v>
      </c>
    </row>
    <row r="8584" spans="1:4" ht="27">
      <c r="A8584" s="402">
        <v>89521</v>
      </c>
      <c r="B8584" s="403" t="s">
        <v>404</v>
      </c>
      <c r="C8584" s="402" t="s">
        <v>35</v>
      </c>
      <c r="D8584" s="601">
        <v>95.74</v>
      </c>
    </row>
    <row r="8585" spans="1:4" ht="27">
      <c r="A8585" s="402">
        <v>89522</v>
      </c>
      <c r="B8585" s="403" t="s">
        <v>405</v>
      </c>
      <c r="C8585" s="402" t="s">
        <v>35</v>
      </c>
      <c r="D8585" s="601">
        <v>20.71</v>
      </c>
    </row>
    <row r="8586" spans="1:4" ht="27">
      <c r="A8586" s="402">
        <v>89523</v>
      </c>
      <c r="B8586" s="403" t="s">
        <v>406</v>
      </c>
      <c r="C8586" s="402" t="s">
        <v>35</v>
      </c>
      <c r="D8586" s="601">
        <v>72.72</v>
      </c>
    </row>
    <row r="8587" spans="1:4" ht="27">
      <c r="A8587" s="402">
        <v>89524</v>
      </c>
      <c r="B8587" s="403" t="s">
        <v>407</v>
      </c>
      <c r="C8587" s="402" t="s">
        <v>35</v>
      </c>
      <c r="D8587" s="601">
        <v>18.43</v>
      </c>
    </row>
    <row r="8588" spans="1:4" ht="27">
      <c r="A8588" s="402">
        <v>89525</v>
      </c>
      <c r="B8588" s="403" t="s">
        <v>408</v>
      </c>
      <c r="C8588" s="402" t="s">
        <v>35</v>
      </c>
      <c r="D8588" s="601">
        <v>71.55</v>
      </c>
    </row>
    <row r="8589" spans="1:4" ht="27">
      <c r="A8589" s="402">
        <v>89526</v>
      </c>
      <c r="B8589" s="403" t="s">
        <v>1838</v>
      </c>
      <c r="C8589" s="402" t="s">
        <v>35</v>
      </c>
      <c r="D8589" s="601">
        <v>26.74</v>
      </c>
    </row>
    <row r="8590" spans="1:4" ht="27">
      <c r="A8590" s="402">
        <v>89527</v>
      </c>
      <c r="B8590" s="403" t="s">
        <v>409</v>
      </c>
      <c r="C8590" s="402" t="s">
        <v>35</v>
      </c>
      <c r="D8590" s="601">
        <v>55.4</v>
      </c>
    </row>
    <row r="8591" spans="1:4" ht="27">
      <c r="A8591" s="402">
        <v>89528</v>
      </c>
      <c r="B8591" s="403" t="s">
        <v>1839</v>
      </c>
      <c r="C8591" s="402" t="s">
        <v>35</v>
      </c>
      <c r="D8591" s="601">
        <v>2.97</v>
      </c>
    </row>
    <row r="8592" spans="1:4" ht="27">
      <c r="A8592" s="402">
        <v>89529</v>
      </c>
      <c r="B8592" s="403" t="s">
        <v>1840</v>
      </c>
      <c r="C8592" s="402" t="s">
        <v>35</v>
      </c>
      <c r="D8592" s="601">
        <v>30.5</v>
      </c>
    </row>
    <row r="8593" spans="1:4" ht="27">
      <c r="A8593" s="402">
        <v>89530</v>
      </c>
      <c r="B8593" s="403" t="s">
        <v>410</v>
      </c>
      <c r="C8593" s="402" t="s">
        <v>35</v>
      </c>
      <c r="D8593" s="601">
        <v>10.130000000000001</v>
      </c>
    </row>
    <row r="8594" spans="1:4" ht="27">
      <c r="A8594" s="402">
        <v>89531</v>
      </c>
      <c r="B8594" s="403" t="s">
        <v>1841</v>
      </c>
      <c r="C8594" s="402" t="s">
        <v>35</v>
      </c>
      <c r="D8594" s="601">
        <v>24.95</v>
      </c>
    </row>
    <row r="8595" spans="1:4" ht="27">
      <c r="A8595" s="402">
        <v>89532</v>
      </c>
      <c r="B8595" s="403" t="s">
        <v>1842</v>
      </c>
      <c r="C8595" s="402" t="s">
        <v>35</v>
      </c>
      <c r="D8595" s="601">
        <v>5.17</v>
      </c>
    </row>
    <row r="8596" spans="1:4" ht="27">
      <c r="A8596" s="402">
        <v>89533</v>
      </c>
      <c r="B8596" s="403" t="s">
        <v>411</v>
      </c>
      <c r="C8596" s="402" t="s">
        <v>35</v>
      </c>
      <c r="D8596" s="601">
        <v>24.95</v>
      </c>
    </row>
    <row r="8597" spans="1:4" ht="27">
      <c r="A8597" s="402">
        <v>89534</v>
      </c>
      <c r="B8597" s="403" t="s">
        <v>1843</v>
      </c>
      <c r="C8597" s="402" t="s">
        <v>35</v>
      </c>
      <c r="D8597" s="601">
        <v>3.61</v>
      </c>
    </row>
    <row r="8598" spans="1:4" ht="27">
      <c r="A8598" s="402">
        <v>89535</v>
      </c>
      <c r="B8598" s="403" t="s">
        <v>1844</v>
      </c>
      <c r="C8598" s="402" t="s">
        <v>35</v>
      </c>
      <c r="D8598" s="601">
        <v>39.200000000000003</v>
      </c>
    </row>
    <row r="8599" spans="1:4" ht="27">
      <c r="A8599" s="402">
        <v>89536</v>
      </c>
      <c r="B8599" s="403" t="s">
        <v>1845</v>
      </c>
      <c r="C8599" s="402" t="s">
        <v>35</v>
      </c>
      <c r="D8599" s="601">
        <v>9.14</v>
      </c>
    </row>
    <row r="8600" spans="1:4" ht="27">
      <c r="A8600" s="402">
        <v>89538</v>
      </c>
      <c r="B8600" s="403" t="s">
        <v>1846</v>
      </c>
      <c r="C8600" s="402" t="s">
        <v>35</v>
      </c>
      <c r="D8600" s="601">
        <v>3.05</v>
      </c>
    </row>
    <row r="8601" spans="1:4" ht="27">
      <c r="A8601" s="402">
        <v>89540</v>
      </c>
      <c r="B8601" s="403" t="s">
        <v>412</v>
      </c>
      <c r="C8601" s="402" t="s">
        <v>35</v>
      </c>
      <c r="D8601" s="601">
        <v>7.62</v>
      </c>
    </row>
    <row r="8602" spans="1:4" ht="27">
      <c r="A8602" s="402">
        <v>89541</v>
      </c>
      <c r="B8602" s="403" t="s">
        <v>1847</v>
      </c>
      <c r="C8602" s="402" t="s">
        <v>35</v>
      </c>
      <c r="D8602" s="601">
        <v>4.5</v>
      </c>
    </row>
    <row r="8603" spans="1:4" ht="27">
      <c r="A8603" s="402">
        <v>89542</v>
      </c>
      <c r="B8603" s="403" t="s">
        <v>413</v>
      </c>
      <c r="C8603" s="402" t="s">
        <v>35</v>
      </c>
      <c r="D8603" s="601">
        <v>21.58</v>
      </c>
    </row>
    <row r="8604" spans="1:4" ht="27">
      <c r="A8604" s="402">
        <v>89544</v>
      </c>
      <c r="B8604" s="403" t="s">
        <v>1848</v>
      </c>
      <c r="C8604" s="402" t="s">
        <v>35</v>
      </c>
      <c r="D8604" s="601">
        <v>6.68</v>
      </c>
    </row>
    <row r="8605" spans="1:4" ht="27">
      <c r="A8605" s="402">
        <v>89545</v>
      </c>
      <c r="B8605" s="403" t="s">
        <v>1849</v>
      </c>
      <c r="C8605" s="402" t="s">
        <v>35</v>
      </c>
      <c r="D8605" s="601">
        <v>9.48</v>
      </c>
    </row>
    <row r="8606" spans="1:4" ht="27">
      <c r="A8606" s="402">
        <v>89546</v>
      </c>
      <c r="B8606" s="403" t="s">
        <v>1850</v>
      </c>
      <c r="C8606" s="402" t="s">
        <v>35</v>
      </c>
      <c r="D8606" s="601">
        <v>8.2799999999999994</v>
      </c>
    </row>
    <row r="8607" spans="1:4" ht="27">
      <c r="A8607" s="402">
        <v>89547</v>
      </c>
      <c r="B8607" s="403" t="s">
        <v>1851</v>
      </c>
      <c r="C8607" s="402" t="s">
        <v>35</v>
      </c>
      <c r="D8607" s="601">
        <v>14.33</v>
      </c>
    </row>
    <row r="8608" spans="1:4" ht="27">
      <c r="A8608" s="402">
        <v>89548</v>
      </c>
      <c r="B8608" s="403" t="s">
        <v>414</v>
      </c>
      <c r="C8608" s="402" t="s">
        <v>35</v>
      </c>
      <c r="D8608" s="601">
        <v>15.47</v>
      </c>
    </row>
    <row r="8609" spans="1:4" ht="27">
      <c r="A8609" s="402">
        <v>89549</v>
      </c>
      <c r="B8609" s="403" t="s">
        <v>1852</v>
      </c>
      <c r="C8609" s="402" t="s">
        <v>35</v>
      </c>
      <c r="D8609" s="601">
        <v>11.29</v>
      </c>
    </row>
    <row r="8610" spans="1:4" ht="27">
      <c r="A8610" s="402">
        <v>89550</v>
      </c>
      <c r="B8610" s="403" t="s">
        <v>415</v>
      </c>
      <c r="C8610" s="402" t="s">
        <v>35</v>
      </c>
      <c r="D8610" s="601">
        <v>26.78</v>
      </c>
    </row>
    <row r="8611" spans="1:4" ht="27">
      <c r="A8611" s="402">
        <v>89551</v>
      </c>
      <c r="B8611" s="403" t="s">
        <v>1853</v>
      </c>
      <c r="C8611" s="402" t="s">
        <v>35</v>
      </c>
      <c r="D8611" s="601">
        <v>7.09</v>
      </c>
    </row>
    <row r="8612" spans="1:4" ht="27">
      <c r="A8612" s="402">
        <v>89552</v>
      </c>
      <c r="B8612" s="403" t="s">
        <v>1854</v>
      </c>
      <c r="C8612" s="402" t="s">
        <v>35</v>
      </c>
      <c r="D8612" s="601">
        <v>14.13</v>
      </c>
    </row>
    <row r="8613" spans="1:4" ht="27">
      <c r="A8613" s="402">
        <v>89553</v>
      </c>
      <c r="B8613" s="403" t="s">
        <v>1855</v>
      </c>
      <c r="C8613" s="402" t="s">
        <v>35</v>
      </c>
      <c r="D8613" s="601">
        <v>4.42</v>
      </c>
    </row>
    <row r="8614" spans="1:4" ht="27">
      <c r="A8614" s="402">
        <v>89554</v>
      </c>
      <c r="B8614" s="403" t="s">
        <v>1856</v>
      </c>
      <c r="C8614" s="402" t="s">
        <v>35</v>
      </c>
      <c r="D8614" s="601">
        <v>17.63</v>
      </c>
    </row>
    <row r="8615" spans="1:4" ht="27">
      <c r="A8615" s="402">
        <v>89555</v>
      </c>
      <c r="B8615" s="403" t="s">
        <v>416</v>
      </c>
      <c r="C8615" s="402" t="s">
        <v>35</v>
      </c>
      <c r="D8615" s="601">
        <v>17.079999999999998</v>
      </c>
    </row>
    <row r="8616" spans="1:4" ht="27">
      <c r="A8616" s="402">
        <v>89556</v>
      </c>
      <c r="B8616" s="403" t="s">
        <v>417</v>
      </c>
      <c r="C8616" s="402" t="s">
        <v>35</v>
      </c>
      <c r="D8616" s="601">
        <v>25.39</v>
      </c>
    </row>
    <row r="8617" spans="1:4" ht="27">
      <c r="A8617" s="402">
        <v>89557</v>
      </c>
      <c r="B8617" s="403" t="s">
        <v>418</v>
      </c>
      <c r="C8617" s="402" t="s">
        <v>35</v>
      </c>
      <c r="D8617" s="601">
        <v>20.3</v>
      </c>
    </row>
    <row r="8618" spans="1:4" ht="27">
      <c r="A8618" s="402">
        <v>89558</v>
      </c>
      <c r="B8618" s="403" t="s">
        <v>1857</v>
      </c>
      <c r="C8618" s="402" t="s">
        <v>35</v>
      </c>
      <c r="D8618" s="601">
        <v>6.77</v>
      </c>
    </row>
    <row r="8619" spans="1:4" ht="27">
      <c r="A8619" s="402">
        <v>89559</v>
      </c>
      <c r="B8619" s="403" t="s">
        <v>419</v>
      </c>
      <c r="C8619" s="402" t="s">
        <v>35</v>
      </c>
      <c r="D8619" s="601">
        <v>43.89</v>
      </c>
    </row>
    <row r="8620" spans="1:4" ht="27">
      <c r="A8620" s="402">
        <v>89561</v>
      </c>
      <c r="B8620" s="403" t="s">
        <v>420</v>
      </c>
      <c r="C8620" s="402" t="s">
        <v>35</v>
      </c>
      <c r="D8620" s="601">
        <v>9.82</v>
      </c>
    </row>
    <row r="8621" spans="1:4" ht="27">
      <c r="A8621" s="402">
        <v>89562</v>
      </c>
      <c r="B8621" s="403" t="s">
        <v>1858</v>
      </c>
      <c r="C8621" s="402" t="s">
        <v>35</v>
      </c>
      <c r="D8621" s="601">
        <v>7.19</v>
      </c>
    </row>
    <row r="8622" spans="1:4" ht="27">
      <c r="A8622" s="402">
        <v>89563</v>
      </c>
      <c r="B8622" s="403" t="s">
        <v>421</v>
      </c>
      <c r="C8622" s="402" t="s">
        <v>35</v>
      </c>
      <c r="D8622" s="601">
        <v>15.76</v>
      </c>
    </row>
    <row r="8623" spans="1:4" ht="27">
      <c r="A8623" s="402">
        <v>89564</v>
      </c>
      <c r="B8623" s="403" t="s">
        <v>1859</v>
      </c>
      <c r="C8623" s="402" t="s">
        <v>35</v>
      </c>
      <c r="D8623" s="601">
        <v>12.77</v>
      </c>
    </row>
    <row r="8624" spans="1:4" ht="27">
      <c r="A8624" s="402">
        <v>89565</v>
      </c>
      <c r="B8624" s="403" t="s">
        <v>1860</v>
      </c>
      <c r="C8624" s="402" t="s">
        <v>35</v>
      </c>
      <c r="D8624" s="601">
        <v>37.85</v>
      </c>
    </row>
    <row r="8625" spans="1:4" ht="27">
      <c r="A8625" s="402">
        <v>89566</v>
      </c>
      <c r="B8625" s="403" t="s">
        <v>422</v>
      </c>
      <c r="C8625" s="402" t="s">
        <v>35</v>
      </c>
      <c r="D8625" s="601">
        <v>32.93</v>
      </c>
    </row>
    <row r="8626" spans="1:4" ht="27">
      <c r="A8626" s="402">
        <v>89567</v>
      </c>
      <c r="B8626" s="403" t="s">
        <v>1861</v>
      </c>
      <c r="C8626" s="402" t="s">
        <v>35</v>
      </c>
      <c r="D8626" s="601">
        <v>55.52</v>
      </c>
    </row>
    <row r="8627" spans="1:4" ht="27">
      <c r="A8627" s="402">
        <v>89568</v>
      </c>
      <c r="B8627" s="403" t="s">
        <v>1862</v>
      </c>
      <c r="C8627" s="402" t="s">
        <v>35</v>
      </c>
      <c r="D8627" s="601">
        <v>25.42</v>
      </c>
    </row>
    <row r="8628" spans="1:4" ht="27">
      <c r="A8628" s="402">
        <v>89569</v>
      </c>
      <c r="B8628" s="403" t="s">
        <v>1863</v>
      </c>
      <c r="C8628" s="402" t="s">
        <v>35</v>
      </c>
      <c r="D8628" s="601">
        <v>52.56</v>
      </c>
    </row>
    <row r="8629" spans="1:4" ht="27">
      <c r="A8629" s="402">
        <v>89570</v>
      </c>
      <c r="B8629" s="403" t="s">
        <v>1864</v>
      </c>
      <c r="C8629" s="402" t="s">
        <v>35</v>
      </c>
      <c r="D8629" s="601">
        <v>9.14</v>
      </c>
    </row>
    <row r="8630" spans="1:4" ht="27">
      <c r="A8630" s="402">
        <v>89571</v>
      </c>
      <c r="B8630" s="403" t="s">
        <v>1865</v>
      </c>
      <c r="C8630" s="402" t="s">
        <v>35</v>
      </c>
      <c r="D8630" s="601">
        <v>51.21</v>
      </c>
    </row>
    <row r="8631" spans="1:4" ht="27">
      <c r="A8631" s="402">
        <v>89572</v>
      </c>
      <c r="B8631" s="403" t="s">
        <v>1866</v>
      </c>
      <c r="C8631" s="402" t="s">
        <v>35</v>
      </c>
      <c r="D8631" s="601">
        <v>6.43</v>
      </c>
    </row>
    <row r="8632" spans="1:4" ht="27">
      <c r="A8632" s="402">
        <v>89573</v>
      </c>
      <c r="B8632" s="403" t="s">
        <v>1867</v>
      </c>
      <c r="C8632" s="402" t="s">
        <v>35</v>
      </c>
      <c r="D8632" s="601">
        <v>46.72</v>
      </c>
    </row>
    <row r="8633" spans="1:4" ht="27">
      <c r="A8633" s="402">
        <v>89574</v>
      </c>
      <c r="B8633" s="403" t="s">
        <v>1868</v>
      </c>
      <c r="C8633" s="402" t="s">
        <v>35</v>
      </c>
      <c r="D8633" s="601">
        <v>90.05</v>
      </c>
    </row>
    <row r="8634" spans="1:4" ht="27">
      <c r="A8634" s="402">
        <v>89575</v>
      </c>
      <c r="B8634" s="403" t="s">
        <v>1869</v>
      </c>
      <c r="C8634" s="402" t="s">
        <v>35</v>
      </c>
      <c r="D8634" s="601">
        <v>8.75</v>
      </c>
    </row>
    <row r="8635" spans="1:4" ht="27">
      <c r="A8635" s="402">
        <v>89577</v>
      </c>
      <c r="B8635" s="403" t="s">
        <v>423</v>
      </c>
      <c r="C8635" s="402" t="s">
        <v>35</v>
      </c>
      <c r="D8635" s="601">
        <v>26.31</v>
      </c>
    </row>
    <row r="8636" spans="1:4" ht="27">
      <c r="A8636" s="402">
        <v>89579</v>
      </c>
      <c r="B8636" s="403" t="s">
        <v>1872</v>
      </c>
      <c r="C8636" s="402" t="s">
        <v>35</v>
      </c>
      <c r="D8636" s="601">
        <v>8.9499999999999993</v>
      </c>
    </row>
    <row r="8637" spans="1:4" ht="27">
      <c r="A8637" s="402">
        <v>89581</v>
      </c>
      <c r="B8637" s="403" t="s">
        <v>1874</v>
      </c>
      <c r="C8637" s="402" t="s">
        <v>35</v>
      </c>
      <c r="D8637" s="601">
        <v>19.45</v>
      </c>
    </row>
    <row r="8638" spans="1:4" ht="27">
      <c r="A8638" s="402">
        <v>89582</v>
      </c>
      <c r="B8638" s="403" t="s">
        <v>1875</v>
      </c>
      <c r="C8638" s="402" t="s">
        <v>35</v>
      </c>
      <c r="D8638" s="601">
        <v>17.170000000000002</v>
      </c>
    </row>
    <row r="8639" spans="1:4" ht="40.5">
      <c r="A8639" s="402">
        <v>89583</v>
      </c>
      <c r="B8639" s="403" t="s">
        <v>1876</v>
      </c>
      <c r="C8639" s="402" t="s">
        <v>35</v>
      </c>
      <c r="D8639" s="601">
        <v>25.48</v>
      </c>
    </row>
    <row r="8640" spans="1:4" ht="27">
      <c r="A8640" s="402">
        <v>89584</v>
      </c>
      <c r="B8640" s="403" t="s">
        <v>1877</v>
      </c>
      <c r="C8640" s="402" t="s">
        <v>35</v>
      </c>
      <c r="D8640" s="601">
        <v>29.22</v>
      </c>
    </row>
    <row r="8641" spans="1:4" ht="27">
      <c r="A8641" s="402">
        <v>89585</v>
      </c>
      <c r="B8641" s="403" t="s">
        <v>1878</v>
      </c>
      <c r="C8641" s="402" t="s">
        <v>35</v>
      </c>
      <c r="D8641" s="601">
        <v>23.67</v>
      </c>
    </row>
    <row r="8642" spans="1:4" ht="40.5">
      <c r="A8642" s="402">
        <v>89586</v>
      </c>
      <c r="B8642" s="403" t="s">
        <v>1879</v>
      </c>
      <c r="C8642" s="402" t="s">
        <v>35</v>
      </c>
      <c r="D8642" s="601">
        <v>23.67</v>
      </c>
    </row>
    <row r="8643" spans="1:4" ht="40.5">
      <c r="A8643" s="402">
        <v>89587</v>
      </c>
      <c r="B8643" s="403" t="s">
        <v>1880</v>
      </c>
      <c r="C8643" s="402" t="s">
        <v>35</v>
      </c>
      <c r="D8643" s="601">
        <v>37.92</v>
      </c>
    </row>
    <row r="8644" spans="1:4" ht="27">
      <c r="A8644" s="402">
        <v>89590</v>
      </c>
      <c r="B8644" s="403" t="s">
        <v>1881</v>
      </c>
      <c r="C8644" s="402" t="s">
        <v>35</v>
      </c>
      <c r="D8644" s="601">
        <v>92.47</v>
      </c>
    </row>
    <row r="8645" spans="1:4" ht="27">
      <c r="A8645" s="402">
        <v>89591</v>
      </c>
      <c r="B8645" s="403" t="s">
        <v>1882</v>
      </c>
      <c r="C8645" s="402" t="s">
        <v>35</v>
      </c>
      <c r="D8645" s="601">
        <v>76.540000000000006</v>
      </c>
    </row>
    <row r="8646" spans="1:4" ht="40.5">
      <c r="A8646" s="402">
        <v>89592</v>
      </c>
      <c r="B8646" s="403" t="s">
        <v>1883</v>
      </c>
      <c r="C8646" s="402" t="s">
        <v>35</v>
      </c>
      <c r="D8646" s="601">
        <v>122.86</v>
      </c>
    </row>
    <row r="8647" spans="1:4" ht="27">
      <c r="A8647" s="402">
        <v>89593</v>
      </c>
      <c r="B8647" s="403" t="s">
        <v>1884</v>
      </c>
      <c r="C8647" s="402" t="s">
        <v>35</v>
      </c>
      <c r="D8647" s="601">
        <v>23.88</v>
      </c>
    </row>
    <row r="8648" spans="1:4" ht="27">
      <c r="A8648" s="402">
        <v>89594</v>
      </c>
      <c r="B8648" s="403" t="s">
        <v>1885</v>
      </c>
      <c r="C8648" s="402" t="s">
        <v>35</v>
      </c>
      <c r="D8648" s="601">
        <v>28.67</v>
      </c>
    </row>
    <row r="8649" spans="1:4" ht="27">
      <c r="A8649" s="402">
        <v>89595</v>
      </c>
      <c r="B8649" s="403" t="s">
        <v>1886</v>
      </c>
      <c r="C8649" s="402" t="s">
        <v>35</v>
      </c>
      <c r="D8649" s="601">
        <v>11.42</v>
      </c>
    </row>
    <row r="8650" spans="1:4" ht="27">
      <c r="A8650" s="402">
        <v>89596</v>
      </c>
      <c r="B8650" s="403" t="s">
        <v>1887</v>
      </c>
      <c r="C8650" s="402" t="s">
        <v>35</v>
      </c>
      <c r="D8650" s="601">
        <v>8.61</v>
      </c>
    </row>
    <row r="8651" spans="1:4" ht="27">
      <c r="A8651" s="402">
        <v>89597</v>
      </c>
      <c r="B8651" s="403" t="s">
        <v>1888</v>
      </c>
      <c r="C8651" s="402" t="s">
        <v>35</v>
      </c>
      <c r="D8651" s="601">
        <v>15.81</v>
      </c>
    </row>
    <row r="8652" spans="1:4" ht="27">
      <c r="A8652" s="402">
        <v>89598</v>
      </c>
      <c r="B8652" s="403" t="s">
        <v>1889</v>
      </c>
      <c r="C8652" s="402" t="s">
        <v>35</v>
      </c>
      <c r="D8652" s="601">
        <v>39.6</v>
      </c>
    </row>
    <row r="8653" spans="1:4" ht="27">
      <c r="A8653" s="402">
        <v>89599</v>
      </c>
      <c r="B8653" s="403" t="s">
        <v>1890</v>
      </c>
      <c r="C8653" s="402" t="s">
        <v>35</v>
      </c>
      <c r="D8653" s="601">
        <v>13.38</v>
      </c>
    </row>
    <row r="8654" spans="1:4" ht="27">
      <c r="A8654" s="402">
        <v>89600</v>
      </c>
      <c r="B8654" s="403" t="s">
        <v>1891</v>
      </c>
      <c r="C8654" s="402" t="s">
        <v>35</v>
      </c>
      <c r="D8654" s="601">
        <v>14.52</v>
      </c>
    </row>
    <row r="8655" spans="1:4" ht="27">
      <c r="A8655" s="402">
        <v>89605</v>
      </c>
      <c r="B8655" s="403" t="s">
        <v>1892</v>
      </c>
      <c r="C8655" s="402" t="s">
        <v>35</v>
      </c>
      <c r="D8655" s="601">
        <v>15.46</v>
      </c>
    </row>
    <row r="8656" spans="1:4" ht="27">
      <c r="A8656" s="402">
        <v>89609</v>
      </c>
      <c r="B8656" s="403" t="s">
        <v>1893</v>
      </c>
      <c r="C8656" s="402" t="s">
        <v>35</v>
      </c>
      <c r="D8656" s="601">
        <v>65.64</v>
      </c>
    </row>
    <row r="8657" spans="1:4" ht="27">
      <c r="A8657" s="402">
        <v>89610</v>
      </c>
      <c r="B8657" s="403" t="s">
        <v>1894</v>
      </c>
      <c r="C8657" s="402" t="s">
        <v>35</v>
      </c>
      <c r="D8657" s="601">
        <v>15.82</v>
      </c>
    </row>
    <row r="8658" spans="1:4" ht="27">
      <c r="A8658" s="402">
        <v>89611</v>
      </c>
      <c r="B8658" s="403" t="s">
        <v>1895</v>
      </c>
      <c r="C8658" s="402" t="s">
        <v>35</v>
      </c>
      <c r="D8658" s="601">
        <v>25.96</v>
      </c>
    </row>
    <row r="8659" spans="1:4" ht="27">
      <c r="A8659" s="402">
        <v>89612</v>
      </c>
      <c r="B8659" s="403" t="s">
        <v>1896</v>
      </c>
      <c r="C8659" s="402" t="s">
        <v>35</v>
      </c>
      <c r="D8659" s="601">
        <v>129.03</v>
      </c>
    </row>
    <row r="8660" spans="1:4" ht="27">
      <c r="A8660" s="402">
        <v>89613</v>
      </c>
      <c r="B8660" s="403" t="s">
        <v>1897</v>
      </c>
      <c r="C8660" s="402" t="s">
        <v>35</v>
      </c>
      <c r="D8660" s="601">
        <v>23.38</v>
      </c>
    </row>
    <row r="8661" spans="1:4" ht="27">
      <c r="A8661" s="402">
        <v>89614</v>
      </c>
      <c r="B8661" s="403" t="s">
        <v>1898</v>
      </c>
      <c r="C8661" s="402" t="s">
        <v>35</v>
      </c>
      <c r="D8661" s="601">
        <v>47.89</v>
      </c>
    </row>
    <row r="8662" spans="1:4" ht="27">
      <c r="A8662" s="402">
        <v>89615</v>
      </c>
      <c r="B8662" s="403" t="s">
        <v>1899</v>
      </c>
      <c r="C8662" s="402" t="s">
        <v>35</v>
      </c>
      <c r="D8662" s="601">
        <v>194.49</v>
      </c>
    </row>
    <row r="8663" spans="1:4" ht="27">
      <c r="A8663" s="402">
        <v>89616</v>
      </c>
      <c r="B8663" s="403" t="s">
        <v>1900</v>
      </c>
      <c r="C8663" s="402" t="s">
        <v>35</v>
      </c>
      <c r="D8663" s="601">
        <v>33.42</v>
      </c>
    </row>
    <row r="8664" spans="1:4" ht="27">
      <c r="A8664" s="402">
        <v>89617</v>
      </c>
      <c r="B8664" s="403" t="s">
        <v>1901</v>
      </c>
      <c r="C8664" s="402" t="s">
        <v>35</v>
      </c>
      <c r="D8664" s="601">
        <v>5.19</v>
      </c>
    </row>
    <row r="8665" spans="1:4" ht="27">
      <c r="A8665" s="402">
        <v>89618</v>
      </c>
      <c r="B8665" s="403" t="s">
        <v>1902</v>
      </c>
      <c r="C8665" s="402" t="s">
        <v>35</v>
      </c>
      <c r="D8665" s="601">
        <v>10.93</v>
      </c>
    </row>
    <row r="8666" spans="1:4" ht="27">
      <c r="A8666" s="402">
        <v>89619</v>
      </c>
      <c r="B8666" s="403" t="s">
        <v>424</v>
      </c>
      <c r="C8666" s="402" t="s">
        <v>35</v>
      </c>
      <c r="D8666" s="601">
        <v>6.72</v>
      </c>
    </row>
    <row r="8667" spans="1:4" ht="27">
      <c r="A8667" s="402">
        <v>89620</v>
      </c>
      <c r="B8667" s="403" t="s">
        <v>1903</v>
      </c>
      <c r="C8667" s="402" t="s">
        <v>35</v>
      </c>
      <c r="D8667" s="601">
        <v>8.56</v>
      </c>
    </row>
    <row r="8668" spans="1:4" ht="27">
      <c r="A8668" s="402">
        <v>89621</v>
      </c>
      <c r="B8668" s="403" t="s">
        <v>1904</v>
      </c>
      <c r="C8668" s="402" t="s">
        <v>35</v>
      </c>
      <c r="D8668" s="601">
        <v>18.29</v>
      </c>
    </row>
    <row r="8669" spans="1:4" ht="27">
      <c r="A8669" s="402">
        <v>89622</v>
      </c>
      <c r="B8669" s="403" t="s">
        <v>425</v>
      </c>
      <c r="C8669" s="402" t="s">
        <v>35</v>
      </c>
      <c r="D8669" s="601">
        <v>10.07</v>
      </c>
    </row>
    <row r="8670" spans="1:4" ht="27">
      <c r="A8670" s="402">
        <v>89623</v>
      </c>
      <c r="B8670" s="403" t="s">
        <v>1905</v>
      </c>
      <c r="C8670" s="402" t="s">
        <v>35</v>
      </c>
      <c r="D8670" s="601">
        <v>13.55</v>
      </c>
    </row>
    <row r="8671" spans="1:4" ht="27">
      <c r="A8671" s="402">
        <v>89624</v>
      </c>
      <c r="B8671" s="403" t="s">
        <v>426</v>
      </c>
      <c r="C8671" s="402" t="s">
        <v>35</v>
      </c>
      <c r="D8671" s="601">
        <v>14.32</v>
      </c>
    </row>
    <row r="8672" spans="1:4" ht="27">
      <c r="A8672" s="402">
        <v>89625</v>
      </c>
      <c r="B8672" s="403" t="s">
        <v>1906</v>
      </c>
      <c r="C8672" s="402" t="s">
        <v>35</v>
      </c>
      <c r="D8672" s="601">
        <v>16.64</v>
      </c>
    </row>
    <row r="8673" spans="1:4" ht="27">
      <c r="A8673" s="402">
        <v>89626</v>
      </c>
      <c r="B8673" s="403" t="s">
        <v>427</v>
      </c>
      <c r="C8673" s="402" t="s">
        <v>35</v>
      </c>
      <c r="D8673" s="601">
        <v>22.55</v>
      </c>
    </row>
    <row r="8674" spans="1:4" ht="27">
      <c r="A8674" s="402">
        <v>89627</v>
      </c>
      <c r="B8674" s="403" t="s">
        <v>428</v>
      </c>
      <c r="C8674" s="402" t="s">
        <v>35</v>
      </c>
      <c r="D8674" s="601">
        <v>15.75</v>
      </c>
    </row>
    <row r="8675" spans="1:4" ht="27">
      <c r="A8675" s="402">
        <v>89628</v>
      </c>
      <c r="B8675" s="403" t="s">
        <v>1907</v>
      </c>
      <c r="C8675" s="402" t="s">
        <v>35</v>
      </c>
      <c r="D8675" s="601">
        <v>34.22</v>
      </c>
    </row>
    <row r="8676" spans="1:4" ht="27">
      <c r="A8676" s="402">
        <v>89629</v>
      </c>
      <c r="B8676" s="403" t="s">
        <v>1908</v>
      </c>
      <c r="C8676" s="402" t="s">
        <v>35</v>
      </c>
      <c r="D8676" s="601">
        <v>62.64</v>
      </c>
    </row>
    <row r="8677" spans="1:4" ht="27">
      <c r="A8677" s="402">
        <v>89630</v>
      </c>
      <c r="B8677" s="403" t="s">
        <v>429</v>
      </c>
      <c r="C8677" s="402" t="s">
        <v>35</v>
      </c>
      <c r="D8677" s="601">
        <v>54.6</v>
      </c>
    </row>
    <row r="8678" spans="1:4" ht="27">
      <c r="A8678" s="402">
        <v>89631</v>
      </c>
      <c r="B8678" s="403" t="s">
        <v>1909</v>
      </c>
      <c r="C8678" s="402" t="s">
        <v>35</v>
      </c>
      <c r="D8678" s="601">
        <v>94.46</v>
      </c>
    </row>
    <row r="8679" spans="1:4" ht="27">
      <c r="A8679" s="402">
        <v>89632</v>
      </c>
      <c r="B8679" s="403" t="s">
        <v>430</v>
      </c>
      <c r="C8679" s="402" t="s">
        <v>35</v>
      </c>
      <c r="D8679" s="601">
        <v>78</v>
      </c>
    </row>
    <row r="8680" spans="1:4" ht="27">
      <c r="A8680" s="402">
        <v>89637</v>
      </c>
      <c r="B8680" s="403" t="s">
        <v>1911</v>
      </c>
      <c r="C8680" s="402" t="s">
        <v>35</v>
      </c>
      <c r="D8680" s="601">
        <v>8.08</v>
      </c>
    </row>
    <row r="8681" spans="1:4" ht="27">
      <c r="A8681" s="402">
        <v>89638</v>
      </c>
      <c r="B8681" s="403" t="s">
        <v>1912</v>
      </c>
      <c r="C8681" s="402" t="s">
        <v>35</v>
      </c>
      <c r="D8681" s="601">
        <v>9.1999999999999993</v>
      </c>
    </row>
    <row r="8682" spans="1:4" ht="27">
      <c r="A8682" s="402">
        <v>89639</v>
      </c>
      <c r="B8682" s="403" t="s">
        <v>1913</v>
      </c>
      <c r="C8682" s="402" t="s">
        <v>35</v>
      </c>
      <c r="D8682" s="601">
        <v>9.6300000000000008</v>
      </c>
    </row>
    <row r="8683" spans="1:4" ht="27">
      <c r="A8683" s="402">
        <v>89640</v>
      </c>
      <c r="B8683" s="403" t="s">
        <v>5661</v>
      </c>
      <c r="C8683" s="402" t="s">
        <v>35</v>
      </c>
      <c r="D8683" s="601">
        <v>16.3</v>
      </c>
    </row>
    <row r="8684" spans="1:4" ht="27">
      <c r="A8684" s="402">
        <v>89641</v>
      </c>
      <c r="B8684" s="403" t="s">
        <v>1914</v>
      </c>
      <c r="C8684" s="402" t="s">
        <v>35</v>
      </c>
      <c r="D8684" s="601">
        <v>11.63</v>
      </c>
    </row>
    <row r="8685" spans="1:4" ht="27">
      <c r="A8685" s="402">
        <v>89642</v>
      </c>
      <c r="B8685" s="403" t="s">
        <v>1915</v>
      </c>
      <c r="C8685" s="402" t="s">
        <v>35</v>
      </c>
      <c r="D8685" s="601">
        <v>13.78</v>
      </c>
    </row>
    <row r="8686" spans="1:4" ht="27">
      <c r="A8686" s="402">
        <v>89643</v>
      </c>
      <c r="B8686" s="403" t="s">
        <v>1916</v>
      </c>
      <c r="C8686" s="402" t="s">
        <v>35</v>
      </c>
      <c r="D8686" s="601">
        <v>14.5</v>
      </c>
    </row>
    <row r="8687" spans="1:4" ht="27">
      <c r="A8687" s="402">
        <v>89644</v>
      </c>
      <c r="B8687" s="403" t="s">
        <v>5662</v>
      </c>
      <c r="C8687" s="402" t="s">
        <v>35</v>
      </c>
      <c r="D8687" s="601">
        <v>24.66</v>
      </c>
    </row>
    <row r="8688" spans="1:4" ht="27">
      <c r="A8688" s="402">
        <v>89645</v>
      </c>
      <c r="B8688" s="403" t="s">
        <v>1917</v>
      </c>
      <c r="C8688" s="402" t="s">
        <v>35</v>
      </c>
      <c r="D8688" s="601">
        <v>28.27</v>
      </c>
    </row>
    <row r="8689" spans="1:4" ht="27">
      <c r="A8689" s="402">
        <v>89646</v>
      </c>
      <c r="B8689" s="403" t="s">
        <v>1918</v>
      </c>
      <c r="C8689" s="402" t="s">
        <v>35</v>
      </c>
      <c r="D8689" s="601">
        <v>19.079999999999998</v>
      </c>
    </row>
    <row r="8690" spans="1:4" ht="27">
      <c r="A8690" s="402">
        <v>89647</v>
      </c>
      <c r="B8690" s="403" t="s">
        <v>1919</v>
      </c>
      <c r="C8690" s="402" t="s">
        <v>35</v>
      </c>
      <c r="D8690" s="601">
        <v>18.579999999999998</v>
      </c>
    </row>
    <row r="8691" spans="1:4" ht="27">
      <c r="A8691" s="402">
        <v>89648</v>
      </c>
      <c r="B8691" s="403" t="s">
        <v>1920</v>
      </c>
      <c r="C8691" s="402" t="s">
        <v>35</v>
      </c>
      <c r="D8691" s="601">
        <v>20.89</v>
      </c>
    </row>
    <row r="8692" spans="1:4" ht="27">
      <c r="A8692" s="402">
        <v>89649</v>
      </c>
      <c r="B8692" s="403" t="s">
        <v>1921</v>
      </c>
      <c r="C8692" s="402" t="s">
        <v>35</v>
      </c>
      <c r="D8692" s="601">
        <v>29.05</v>
      </c>
    </row>
    <row r="8693" spans="1:4" ht="27">
      <c r="A8693" s="402">
        <v>89650</v>
      </c>
      <c r="B8693" s="403" t="s">
        <v>1922</v>
      </c>
      <c r="C8693" s="402" t="s">
        <v>35</v>
      </c>
      <c r="D8693" s="601">
        <v>29.05</v>
      </c>
    </row>
    <row r="8694" spans="1:4" ht="27">
      <c r="A8694" s="402">
        <v>89651</v>
      </c>
      <c r="B8694" s="403" t="s">
        <v>434</v>
      </c>
      <c r="C8694" s="402" t="s">
        <v>35</v>
      </c>
      <c r="D8694" s="601">
        <v>5.53</v>
      </c>
    </row>
    <row r="8695" spans="1:4" ht="27">
      <c r="A8695" s="402">
        <v>89652</v>
      </c>
      <c r="B8695" s="403" t="s">
        <v>1923</v>
      </c>
      <c r="C8695" s="402" t="s">
        <v>35</v>
      </c>
      <c r="D8695" s="601">
        <v>10.46</v>
      </c>
    </row>
    <row r="8696" spans="1:4" ht="27">
      <c r="A8696" s="402">
        <v>89653</v>
      </c>
      <c r="B8696" s="403" t="s">
        <v>1924</v>
      </c>
      <c r="C8696" s="402" t="s">
        <v>35</v>
      </c>
      <c r="D8696" s="601">
        <v>18.03</v>
      </c>
    </row>
    <row r="8697" spans="1:4" ht="27">
      <c r="A8697" s="402">
        <v>89654</v>
      </c>
      <c r="B8697" s="403" t="s">
        <v>1925</v>
      </c>
      <c r="C8697" s="402" t="s">
        <v>35</v>
      </c>
      <c r="D8697" s="601">
        <v>17.53</v>
      </c>
    </row>
    <row r="8698" spans="1:4" ht="27">
      <c r="A8698" s="402">
        <v>89655</v>
      </c>
      <c r="B8698" s="403" t="s">
        <v>1926</v>
      </c>
      <c r="C8698" s="402" t="s">
        <v>35</v>
      </c>
      <c r="D8698" s="601">
        <v>26.79</v>
      </c>
    </row>
    <row r="8699" spans="1:4" ht="27">
      <c r="A8699" s="402">
        <v>89656</v>
      </c>
      <c r="B8699" s="403" t="s">
        <v>1927</v>
      </c>
      <c r="C8699" s="402" t="s">
        <v>35</v>
      </c>
      <c r="D8699" s="601">
        <v>11.24</v>
      </c>
    </row>
    <row r="8700" spans="1:4" ht="27">
      <c r="A8700" s="402">
        <v>89657</v>
      </c>
      <c r="B8700" s="403" t="s">
        <v>1928</v>
      </c>
      <c r="C8700" s="402" t="s">
        <v>35</v>
      </c>
      <c r="D8700" s="601">
        <v>11.49</v>
      </c>
    </row>
    <row r="8701" spans="1:4" ht="27">
      <c r="A8701" s="402">
        <v>89658</v>
      </c>
      <c r="B8701" s="403" t="s">
        <v>1929</v>
      </c>
      <c r="C8701" s="402" t="s">
        <v>35</v>
      </c>
      <c r="D8701" s="601">
        <v>7.74</v>
      </c>
    </row>
    <row r="8702" spans="1:4" ht="27">
      <c r="A8702" s="402">
        <v>89659</v>
      </c>
      <c r="B8702" s="403" t="s">
        <v>1930</v>
      </c>
      <c r="C8702" s="402" t="s">
        <v>35</v>
      </c>
      <c r="D8702" s="601">
        <v>15.28</v>
      </c>
    </row>
    <row r="8703" spans="1:4" ht="27">
      <c r="A8703" s="402">
        <v>89660</v>
      </c>
      <c r="B8703" s="403" t="s">
        <v>1931</v>
      </c>
      <c r="C8703" s="402" t="s">
        <v>35</v>
      </c>
      <c r="D8703" s="601">
        <v>7.09</v>
      </c>
    </row>
    <row r="8704" spans="1:4" ht="27">
      <c r="A8704" s="402">
        <v>89661</v>
      </c>
      <c r="B8704" s="403" t="s">
        <v>1932</v>
      </c>
      <c r="C8704" s="402" t="s">
        <v>35</v>
      </c>
      <c r="D8704" s="601">
        <v>21.02</v>
      </c>
    </row>
    <row r="8705" spans="1:4" ht="27">
      <c r="A8705" s="402">
        <v>89662</v>
      </c>
      <c r="B8705" s="403" t="s">
        <v>1933</v>
      </c>
      <c r="C8705" s="402" t="s">
        <v>35</v>
      </c>
      <c r="D8705" s="601">
        <v>33.299999999999997</v>
      </c>
    </row>
    <row r="8706" spans="1:4" ht="27">
      <c r="A8706" s="402">
        <v>89663</v>
      </c>
      <c r="B8706" s="403" t="s">
        <v>1934</v>
      </c>
      <c r="C8706" s="402" t="s">
        <v>35</v>
      </c>
      <c r="D8706" s="601">
        <v>12.73</v>
      </c>
    </row>
    <row r="8707" spans="1:4" ht="27">
      <c r="A8707" s="402">
        <v>89664</v>
      </c>
      <c r="B8707" s="403" t="s">
        <v>1935</v>
      </c>
      <c r="C8707" s="402" t="s">
        <v>35</v>
      </c>
      <c r="D8707" s="601">
        <v>15.28</v>
      </c>
    </row>
    <row r="8708" spans="1:4" ht="40.5">
      <c r="A8708" s="402">
        <v>89665</v>
      </c>
      <c r="B8708" s="403" t="s">
        <v>1936</v>
      </c>
      <c r="C8708" s="402" t="s">
        <v>35</v>
      </c>
      <c r="D8708" s="601">
        <v>10.34</v>
      </c>
    </row>
    <row r="8709" spans="1:4" ht="27">
      <c r="A8709" s="402">
        <v>89666</v>
      </c>
      <c r="B8709" s="403" t="s">
        <v>1937</v>
      </c>
      <c r="C8709" s="402" t="s">
        <v>35</v>
      </c>
      <c r="D8709" s="601">
        <v>5.96</v>
      </c>
    </row>
    <row r="8710" spans="1:4" ht="27">
      <c r="A8710" s="402">
        <v>89667</v>
      </c>
      <c r="B8710" s="403" t="s">
        <v>1938</v>
      </c>
      <c r="C8710" s="402" t="s">
        <v>35</v>
      </c>
      <c r="D8710" s="601">
        <v>25.83</v>
      </c>
    </row>
    <row r="8711" spans="1:4" ht="27">
      <c r="A8711" s="402">
        <v>89668</v>
      </c>
      <c r="B8711" s="403" t="s">
        <v>1939</v>
      </c>
      <c r="C8711" s="402" t="s">
        <v>35</v>
      </c>
      <c r="D8711" s="601">
        <v>31.49</v>
      </c>
    </row>
    <row r="8712" spans="1:4" ht="27">
      <c r="A8712" s="402">
        <v>89669</v>
      </c>
      <c r="B8712" s="403" t="s">
        <v>1940</v>
      </c>
      <c r="C8712" s="402" t="s">
        <v>35</v>
      </c>
      <c r="D8712" s="601">
        <v>16.84</v>
      </c>
    </row>
    <row r="8713" spans="1:4" ht="27">
      <c r="A8713" s="402">
        <v>89670</v>
      </c>
      <c r="B8713" s="403" t="s">
        <v>1941</v>
      </c>
      <c r="C8713" s="402" t="s">
        <v>35</v>
      </c>
      <c r="D8713" s="601">
        <v>12.01</v>
      </c>
    </row>
    <row r="8714" spans="1:4" ht="27">
      <c r="A8714" s="402">
        <v>89671</v>
      </c>
      <c r="B8714" s="403" t="s">
        <v>1942</v>
      </c>
      <c r="C8714" s="402" t="s">
        <v>35</v>
      </c>
      <c r="D8714" s="601">
        <v>24.6</v>
      </c>
    </row>
    <row r="8715" spans="1:4" ht="27">
      <c r="A8715" s="402">
        <v>89672</v>
      </c>
      <c r="B8715" s="403" t="s">
        <v>1943</v>
      </c>
      <c r="C8715" s="402" t="s">
        <v>35</v>
      </c>
      <c r="D8715" s="601">
        <v>20.64</v>
      </c>
    </row>
    <row r="8716" spans="1:4" ht="40.5">
      <c r="A8716" s="402">
        <v>89673</v>
      </c>
      <c r="B8716" s="403" t="s">
        <v>1944</v>
      </c>
      <c r="C8716" s="402" t="s">
        <v>35</v>
      </c>
      <c r="D8716" s="601">
        <v>19.510000000000002</v>
      </c>
    </row>
    <row r="8717" spans="1:4" ht="27">
      <c r="A8717" s="402">
        <v>89674</v>
      </c>
      <c r="B8717" s="403" t="s">
        <v>1945</v>
      </c>
      <c r="C8717" s="402" t="s">
        <v>35</v>
      </c>
      <c r="D8717" s="601">
        <v>31.65</v>
      </c>
    </row>
    <row r="8718" spans="1:4" ht="27">
      <c r="A8718" s="402">
        <v>89675</v>
      </c>
      <c r="B8718" s="403" t="s">
        <v>1946</v>
      </c>
      <c r="C8718" s="402" t="s">
        <v>35</v>
      </c>
      <c r="D8718" s="601">
        <v>43.1</v>
      </c>
    </row>
    <row r="8719" spans="1:4" ht="27">
      <c r="A8719" s="402">
        <v>89676</v>
      </c>
      <c r="B8719" s="403" t="s">
        <v>1947</v>
      </c>
      <c r="C8719" s="402" t="s">
        <v>35</v>
      </c>
      <c r="D8719" s="601">
        <v>49.6</v>
      </c>
    </row>
    <row r="8720" spans="1:4" ht="27">
      <c r="A8720" s="402">
        <v>89677</v>
      </c>
      <c r="B8720" s="403" t="s">
        <v>1948</v>
      </c>
      <c r="C8720" s="402" t="s">
        <v>35</v>
      </c>
      <c r="D8720" s="601">
        <v>49.06</v>
      </c>
    </row>
    <row r="8721" spans="1:4" ht="27">
      <c r="A8721" s="402">
        <v>89678</v>
      </c>
      <c r="B8721" s="403" t="s">
        <v>1949</v>
      </c>
      <c r="C8721" s="402" t="s">
        <v>35</v>
      </c>
      <c r="D8721" s="601">
        <v>8.17</v>
      </c>
    </row>
    <row r="8722" spans="1:4" ht="27">
      <c r="A8722" s="402">
        <v>89679</v>
      </c>
      <c r="B8722" s="403" t="s">
        <v>1950</v>
      </c>
      <c r="C8722" s="402" t="s">
        <v>35</v>
      </c>
      <c r="D8722" s="601">
        <v>76.75</v>
      </c>
    </row>
    <row r="8723" spans="1:4" ht="27">
      <c r="A8723" s="402">
        <v>89680</v>
      </c>
      <c r="B8723" s="403" t="s">
        <v>1951</v>
      </c>
      <c r="C8723" s="402" t="s">
        <v>35</v>
      </c>
      <c r="D8723" s="601">
        <v>19.7</v>
      </c>
    </row>
    <row r="8724" spans="1:4" ht="40.5">
      <c r="A8724" s="402">
        <v>89681</v>
      </c>
      <c r="B8724" s="403" t="s">
        <v>1952</v>
      </c>
      <c r="C8724" s="402" t="s">
        <v>35</v>
      </c>
      <c r="D8724" s="601">
        <v>53.96</v>
      </c>
    </row>
    <row r="8725" spans="1:4" ht="27">
      <c r="A8725" s="402">
        <v>89682</v>
      </c>
      <c r="B8725" s="403" t="s">
        <v>1953</v>
      </c>
      <c r="C8725" s="402" t="s">
        <v>35</v>
      </c>
      <c r="D8725" s="601">
        <v>32.61</v>
      </c>
    </row>
    <row r="8726" spans="1:4" ht="27">
      <c r="A8726" s="402">
        <v>89684</v>
      </c>
      <c r="B8726" s="403" t="s">
        <v>1954</v>
      </c>
      <c r="C8726" s="402" t="s">
        <v>35</v>
      </c>
      <c r="D8726" s="601">
        <v>46.45</v>
      </c>
    </row>
    <row r="8727" spans="1:4" ht="27">
      <c r="A8727" s="402">
        <v>89685</v>
      </c>
      <c r="B8727" s="403" t="s">
        <v>1955</v>
      </c>
      <c r="C8727" s="402" t="s">
        <v>35</v>
      </c>
      <c r="D8727" s="601">
        <v>36.1</v>
      </c>
    </row>
    <row r="8728" spans="1:4" ht="27">
      <c r="A8728" s="402">
        <v>89686</v>
      </c>
      <c r="B8728" s="403" t="s">
        <v>1956</v>
      </c>
      <c r="C8728" s="402" t="s">
        <v>35</v>
      </c>
      <c r="D8728" s="601">
        <v>183.35</v>
      </c>
    </row>
    <row r="8729" spans="1:4" ht="27">
      <c r="A8729" s="402">
        <v>89687</v>
      </c>
      <c r="B8729" s="403" t="s">
        <v>1957</v>
      </c>
      <c r="C8729" s="402" t="s">
        <v>35</v>
      </c>
      <c r="D8729" s="601">
        <v>31.18</v>
      </c>
    </row>
    <row r="8730" spans="1:4" ht="27">
      <c r="A8730" s="402">
        <v>89689</v>
      </c>
      <c r="B8730" s="403" t="s">
        <v>1958</v>
      </c>
      <c r="C8730" s="402" t="s">
        <v>35</v>
      </c>
      <c r="D8730" s="601">
        <v>35.380000000000003</v>
      </c>
    </row>
    <row r="8731" spans="1:4" ht="27">
      <c r="A8731" s="402">
        <v>89690</v>
      </c>
      <c r="B8731" s="403" t="s">
        <v>1959</v>
      </c>
      <c r="C8731" s="402" t="s">
        <v>35</v>
      </c>
      <c r="D8731" s="601">
        <v>53.78</v>
      </c>
    </row>
    <row r="8732" spans="1:4" ht="27">
      <c r="A8732" s="402">
        <v>89691</v>
      </c>
      <c r="B8732" s="403" t="s">
        <v>435</v>
      </c>
      <c r="C8732" s="402" t="s">
        <v>35</v>
      </c>
      <c r="D8732" s="601">
        <v>10.29</v>
      </c>
    </row>
    <row r="8733" spans="1:4" ht="27">
      <c r="A8733" s="402">
        <v>89692</v>
      </c>
      <c r="B8733" s="403" t="s">
        <v>1960</v>
      </c>
      <c r="C8733" s="402" t="s">
        <v>35</v>
      </c>
      <c r="D8733" s="601">
        <v>50.82</v>
      </c>
    </row>
    <row r="8734" spans="1:4" ht="27">
      <c r="A8734" s="402">
        <v>89693</v>
      </c>
      <c r="B8734" s="403" t="s">
        <v>1961</v>
      </c>
      <c r="C8734" s="402" t="s">
        <v>35</v>
      </c>
      <c r="D8734" s="601">
        <v>49.47</v>
      </c>
    </row>
    <row r="8735" spans="1:4" ht="27">
      <c r="A8735" s="402">
        <v>89694</v>
      </c>
      <c r="B8735" s="403" t="s">
        <v>1962</v>
      </c>
      <c r="C8735" s="402" t="s">
        <v>35</v>
      </c>
      <c r="D8735" s="601">
        <v>18.739999999999998</v>
      </c>
    </row>
    <row r="8736" spans="1:4" ht="27">
      <c r="A8736" s="402">
        <v>89695</v>
      </c>
      <c r="B8736" s="403" t="s">
        <v>1963</v>
      </c>
      <c r="C8736" s="402" t="s">
        <v>35</v>
      </c>
      <c r="D8736" s="601">
        <v>17.149999999999999</v>
      </c>
    </row>
    <row r="8737" spans="1:4" ht="27">
      <c r="A8737" s="402">
        <v>89696</v>
      </c>
      <c r="B8737" s="403" t="s">
        <v>1964</v>
      </c>
      <c r="C8737" s="402" t="s">
        <v>35</v>
      </c>
      <c r="D8737" s="601">
        <v>44.98</v>
      </c>
    </row>
    <row r="8738" spans="1:4" ht="27">
      <c r="A8738" s="402">
        <v>89697</v>
      </c>
      <c r="B8738" s="403" t="s">
        <v>436</v>
      </c>
      <c r="C8738" s="402" t="s">
        <v>35</v>
      </c>
      <c r="D8738" s="601">
        <v>12.46</v>
      </c>
    </row>
    <row r="8739" spans="1:4" ht="27">
      <c r="A8739" s="402">
        <v>89698</v>
      </c>
      <c r="B8739" s="403" t="s">
        <v>1965</v>
      </c>
      <c r="C8739" s="402" t="s">
        <v>35</v>
      </c>
      <c r="D8739" s="601">
        <v>159.77000000000001</v>
      </c>
    </row>
    <row r="8740" spans="1:4" ht="27">
      <c r="A8740" s="402">
        <v>89699</v>
      </c>
      <c r="B8740" s="403" t="s">
        <v>1966</v>
      </c>
      <c r="C8740" s="402" t="s">
        <v>35</v>
      </c>
      <c r="D8740" s="601">
        <v>135.55000000000001</v>
      </c>
    </row>
    <row r="8741" spans="1:4" ht="27">
      <c r="A8741" s="402">
        <v>89700</v>
      </c>
      <c r="B8741" s="403" t="s">
        <v>1967</v>
      </c>
      <c r="C8741" s="402" t="s">
        <v>35</v>
      </c>
      <c r="D8741" s="601">
        <v>19.690000000000001</v>
      </c>
    </row>
    <row r="8742" spans="1:4" ht="27">
      <c r="A8742" s="402">
        <v>89701</v>
      </c>
      <c r="B8742" s="403" t="s">
        <v>1968</v>
      </c>
      <c r="C8742" s="402" t="s">
        <v>35</v>
      </c>
      <c r="D8742" s="601">
        <v>125.98</v>
      </c>
    </row>
    <row r="8743" spans="1:4" ht="27">
      <c r="A8743" s="402">
        <v>89702</v>
      </c>
      <c r="B8743" s="403" t="s">
        <v>1969</v>
      </c>
      <c r="C8743" s="402" t="s">
        <v>35</v>
      </c>
      <c r="D8743" s="601">
        <v>19.690000000000001</v>
      </c>
    </row>
    <row r="8744" spans="1:4" ht="27">
      <c r="A8744" s="402">
        <v>89703</v>
      </c>
      <c r="B8744" s="403" t="s">
        <v>437</v>
      </c>
      <c r="C8744" s="402" t="s">
        <v>35</v>
      </c>
      <c r="D8744" s="601">
        <v>49.05</v>
      </c>
    </row>
    <row r="8745" spans="1:4" ht="27">
      <c r="A8745" s="402">
        <v>89704</v>
      </c>
      <c r="B8745" s="403" t="s">
        <v>1970</v>
      </c>
      <c r="C8745" s="402" t="s">
        <v>35</v>
      </c>
      <c r="D8745" s="601">
        <v>87.1</v>
      </c>
    </row>
    <row r="8746" spans="1:4" ht="27">
      <c r="A8746" s="402">
        <v>89705</v>
      </c>
      <c r="B8746" s="403" t="s">
        <v>1971</v>
      </c>
      <c r="C8746" s="402" t="s">
        <v>35</v>
      </c>
      <c r="D8746" s="601">
        <v>22.25</v>
      </c>
    </row>
    <row r="8747" spans="1:4" ht="27">
      <c r="A8747" s="402">
        <v>89706</v>
      </c>
      <c r="B8747" s="403" t="s">
        <v>1972</v>
      </c>
      <c r="C8747" s="402" t="s">
        <v>35</v>
      </c>
      <c r="D8747" s="601">
        <v>53</v>
      </c>
    </row>
    <row r="8748" spans="1:4" ht="27">
      <c r="A8748" s="402">
        <v>89718</v>
      </c>
      <c r="B8748" s="403" t="s">
        <v>1982</v>
      </c>
      <c r="C8748" s="402" t="s">
        <v>17</v>
      </c>
      <c r="D8748" s="601">
        <v>42.49</v>
      </c>
    </row>
    <row r="8749" spans="1:4" ht="27">
      <c r="A8749" s="402">
        <v>89719</v>
      </c>
      <c r="B8749" s="403" t="s">
        <v>1983</v>
      </c>
      <c r="C8749" s="402" t="s">
        <v>35</v>
      </c>
      <c r="D8749" s="601">
        <v>9.85</v>
      </c>
    </row>
    <row r="8750" spans="1:4" ht="27">
      <c r="A8750" s="402">
        <v>89720</v>
      </c>
      <c r="B8750" s="403" t="s">
        <v>1984</v>
      </c>
      <c r="C8750" s="402" t="s">
        <v>35</v>
      </c>
      <c r="D8750" s="601">
        <v>12</v>
      </c>
    </row>
    <row r="8751" spans="1:4" ht="27">
      <c r="A8751" s="402">
        <v>89721</v>
      </c>
      <c r="B8751" s="403" t="s">
        <v>1985</v>
      </c>
      <c r="C8751" s="402" t="s">
        <v>35</v>
      </c>
      <c r="D8751" s="601">
        <v>12.72</v>
      </c>
    </row>
    <row r="8752" spans="1:4" ht="27">
      <c r="A8752" s="402">
        <v>89722</v>
      </c>
      <c r="B8752" s="403" t="s">
        <v>5663</v>
      </c>
      <c r="C8752" s="402" t="s">
        <v>35</v>
      </c>
      <c r="D8752" s="601">
        <v>22.88</v>
      </c>
    </row>
    <row r="8753" spans="1:4" ht="27">
      <c r="A8753" s="402">
        <v>89723</v>
      </c>
      <c r="B8753" s="403" t="s">
        <v>1986</v>
      </c>
      <c r="C8753" s="402" t="s">
        <v>35</v>
      </c>
      <c r="D8753" s="601">
        <v>17.02</v>
      </c>
    </row>
    <row r="8754" spans="1:4" ht="40.5">
      <c r="A8754" s="402">
        <v>89724</v>
      </c>
      <c r="B8754" s="403" t="s">
        <v>1987</v>
      </c>
      <c r="C8754" s="402" t="s">
        <v>35</v>
      </c>
      <c r="D8754" s="601">
        <v>7.54</v>
      </c>
    </row>
    <row r="8755" spans="1:4" ht="27">
      <c r="A8755" s="402">
        <v>89725</v>
      </c>
      <c r="B8755" s="403" t="s">
        <v>1988</v>
      </c>
      <c r="C8755" s="402" t="s">
        <v>35</v>
      </c>
      <c r="D8755" s="601">
        <v>16.52</v>
      </c>
    </row>
    <row r="8756" spans="1:4" ht="40.5">
      <c r="A8756" s="402">
        <v>89726</v>
      </c>
      <c r="B8756" s="403" t="s">
        <v>1989</v>
      </c>
      <c r="C8756" s="402" t="s">
        <v>35</v>
      </c>
      <c r="D8756" s="601">
        <v>5.74</v>
      </c>
    </row>
    <row r="8757" spans="1:4" ht="27">
      <c r="A8757" s="402">
        <v>89727</v>
      </c>
      <c r="B8757" s="403" t="s">
        <v>1990</v>
      </c>
      <c r="C8757" s="402" t="s">
        <v>35</v>
      </c>
      <c r="D8757" s="601">
        <v>18.829999999999998</v>
      </c>
    </row>
    <row r="8758" spans="1:4" ht="40.5">
      <c r="A8758" s="402">
        <v>89728</v>
      </c>
      <c r="B8758" s="403" t="s">
        <v>1991</v>
      </c>
      <c r="C8758" s="402" t="s">
        <v>35</v>
      </c>
      <c r="D8758" s="601">
        <v>7.98</v>
      </c>
    </row>
    <row r="8759" spans="1:4" ht="27">
      <c r="A8759" s="402">
        <v>89729</v>
      </c>
      <c r="B8759" s="403" t="s">
        <v>1992</v>
      </c>
      <c r="C8759" s="402" t="s">
        <v>35</v>
      </c>
      <c r="D8759" s="601">
        <v>26.62</v>
      </c>
    </row>
    <row r="8760" spans="1:4" ht="40.5">
      <c r="A8760" s="402">
        <v>89730</v>
      </c>
      <c r="B8760" s="403" t="s">
        <v>1993</v>
      </c>
      <c r="C8760" s="402" t="s">
        <v>35</v>
      </c>
      <c r="D8760" s="601">
        <v>8.57</v>
      </c>
    </row>
    <row r="8761" spans="1:4" ht="40.5">
      <c r="A8761" s="402">
        <v>89731</v>
      </c>
      <c r="B8761" s="403" t="s">
        <v>1994</v>
      </c>
      <c r="C8761" s="402" t="s">
        <v>35</v>
      </c>
      <c r="D8761" s="601">
        <v>8.2799999999999994</v>
      </c>
    </row>
    <row r="8762" spans="1:4" ht="40.5">
      <c r="A8762" s="402">
        <v>89732</v>
      </c>
      <c r="B8762" s="403" t="s">
        <v>1995</v>
      </c>
      <c r="C8762" s="402" t="s">
        <v>35</v>
      </c>
      <c r="D8762" s="601">
        <v>8.7100000000000009</v>
      </c>
    </row>
    <row r="8763" spans="1:4" ht="40.5">
      <c r="A8763" s="402">
        <v>89733</v>
      </c>
      <c r="B8763" s="403" t="s">
        <v>1996</v>
      </c>
      <c r="C8763" s="402" t="s">
        <v>35</v>
      </c>
      <c r="D8763" s="601">
        <v>13.28</v>
      </c>
    </row>
    <row r="8764" spans="1:4" ht="27">
      <c r="A8764" s="402">
        <v>89734</v>
      </c>
      <c r="B8764" s="403" t="s">
        <v>1997</v>
      </c>
      <c r="C8764" s="402" t="s">
        <v>35</v>
      </c>
      <c r="D8764" s="601">
        <v>26.62</v>
      </c>
    </row>
    <row r="8765" spans="1:4" ht="40.5">
      <c r="A8765" s="402">
        <v>89735</v>
      </c>
      <c r="B8765" s="403" t="s">
        <v>1998</v>
      </c>
      <c r="C8765" s="402" t="s">
        <v>35</v>
      </c>
      <c r="D8765" s="601">
        <v>13.98</v>
      </c>
    </row>
    <row r="8766" spans="1:4" ht="27">
      <c r="A8766" s="402">
        <v>89736</v>
      </c>
      <c r="B8766" s="403" t="s">
        <v>1999</v>
      </c>
      <c r="C8766" s="402" t="s">
        <v>35</v>
      </c>
      <c r="D8766" s="601">
        <v>6.57</v>
      </c>
    </row>
    <row r="8767" spans="1:4" ht="40.5">
      <c r="A8767" s="402">
        <v>89737</v>
      </c>
      <c r="B8767" s="403" t="s">
        <v>2000</v>
      </c>
      <c r="C8767" s="402" t="s">
        <v>35</v>
      </c>
      <c r="D8767" s="601">
        <v>14.01</v>
      </c>
    </row>
    <row r="8768" spans="1:4" ht="27">
      <c r="A8768" s="402">
        <v>89738</v>
      </c>
      <c r="B8768" s="403" t="s">
        <v>2001</v>
      </c>
      <c r="C8768" s="402" t="s">
        <v>35</v>
      </c>
      <c r="D8768" s="601">
        <v>14.11</v>
      </c>
    </row>
    <row r="8769" spans="1:4" ht="40.5">
      <c r="A8769" s="402">
        <v>89739</v>
      </c>
      <c r="B8769" s="403" t="s">
        <v>2002</v>
      </c>
      <c r="C8769" s="402" t="s">
        <v>35</v>
      </c>
      <c r="D8769" s="601">
        <v>14.62</v>
      </c>
    </row>
    <row r="8770" spans="1:4" ht="27">
      <c r="A8770" s="402">
        <v>89740</v>
      </c>
      <c r="B8770" s="403" t="s">
        <v>439</v>
      </c>
      <c r="C8770" s="402" t="s">
        <v>35</v>
      </c>
      <c r="D8770" s="601">
        <v>5.92</v>
      </c>
    </row>
    <row r="8771" spans="1:4" ht="27">
      <c r="A8771" s="402">
        <v>89741</v>
      </c>
      <c r="B8771" s="403" t="s">
        <v>440</v>
      </c>
      <c r="C8771" s="402" t="s">
        <v>35</v>
      </c>
      <c r="D8771" s="601">
        <v>19.850000000000001</v>
      </c>
    </row>
    <row r="8772" spans="1:4" ht="40.5">
      <c r="A8772" s="402">
        <v>89742</v>
      </c>
      <c r="B8772" s="403" t="s">
        <v>2003</v>
      </c>
      <c r="C8772" s="402" t="s">
        <v>35</v>
      </c>
      <c r="D8772" s="601">
        <v>22.68</v>
      </c>
    </row>
    <row r="8773" spans="1:4" ht="40.5">
      <c r="A8773" s="402">
        <v>89743</v>
      </c>
      <c r="B8773" s="403" t="s">
        <v>2004</v>
      </c>
      <c r="C8773" s="402" t="s">
        <v>35</v>
      </c>
      <c r="D8773" s="601">
        <v>31.38</v>
      </c>
    </row>
    <row r="8774" spans="1:4" ht="40.5">
      <c r="A8774" s="402">
        <v>89744</v>
      </c>
      <c r="B8774" s="403" t="s">
        <v>2005</v>
      </c>
      <c r="C8774" s="402" t="s">
        <v>35</v>
      </c>
      <c r="D8774" s="601">
        <v>18.260000000000002</v>
      </c>
    </row>
    <row r="8775" spans="1:4" ht="27">
      <c r="A8775" s="402">
        <v>89745</v>
      </c>
      <c r="B8775" s="403" t="s">
        <v>2006</v>
      </c>
      <c r="C8775" s="402" t="s">
        <v>35</v>
      </c>
      <c r="D8775" s="601">
        <v>32.130000000000003</v>
      </c>
    </row>
    <row r="8776" spans="1:4" ht="40.5">
      <c r="A8776" s="402">
        <v>89746</v>
      </c>
      <c r="B8776" s="403" t="s">
        <v>2007</v>
      </c>
      <c r="C8776" s="402" t="s">
        <v>35</v>
      </c>
      <c r="D8776" s="601">
        <v>18.22</v>
      </c>
    </row>
    <row r="8777" spans="1:4" ht="27">
      <c r="A8777" s="402">
        <v>89747</v>
      </c>
      <c r="B8777" s="403" t="s">
        <v>441</v>
      </c>
      <c r="C8777" s="402" t="s">
        <v>35</v>
      </c>
      <c r="D8777" s="601">
        <v>11.56</v>
      </c>
    </row>
    <row r="8778" spans="1:4" ht="40.5">
      <c r="A8778" s="402">
        <v>89748</v>
      </c>
      <c r="B8778" s="403" t="s">
        <v>2008</v>
      </c>
      <c r="C8778" s="402" t="s">
        <v>35</v>
      </c>
      <c r="D8778" s="601">
        <v>27.69</v>
      </c>
    </row>
    <row r="8779" spans="1:4" ht="27">
      <c r="A8779" s="402">
        <v>89749</v>
      </c>
      <c r="B8779" s="403" t="s">
        <v>442</v>
      </c>
      <c r="C8779" s="402" t="s">
        <v>35</v>
      </c>
      <c r="D8779" s="601">
        <v>14.11</v>
      </c>
    </row>
    <row r="8780" spans="1:4" ht="40.5">
      <c r="A8780" s="402">
        <v>89750</v>
      </c>
      <c r="B8780" s="403" t="s">
        <v>2009</v>
      </c>
      <c r="C8780" s="402" t="s">
        <v>35</v>
      </c>
      <c r="D8780" s="601">
        <v>44.43</v>
      </c>
    </row>
    <row r="8781" spans="1:4" ht="27">
      <c r="A8781" s="402">
        <v>89751</v>
      </c>
      <c r="B8781" s="403" t="s">
        <v>2010</v>
      </c>
      <c r="C8781" s="402" t="s">
        <v>35</v>
      </c>
      <c r="D8781" s="601">
        <v>4.79</v>
      </c>
    </row>
    <row r="8782" spans="1:4" ht="40.5">
      <c r="A8782" s="402">
        <v>89752</v>
      </c>
      <c r="B8782" s="403" t="s">
        <v>2011</v>
      </c>
      <c r="C8782" s="402" t="s">
        <v>35</v>
      </c>
      <c r="D8782" s="601">
        <v>4.96</v>
      </c>
    </row>
    <row r="8783" spans="1:4" ht="40.5">
      <c r="A8783" s="402">
        <v>89753</v>
      </c>
      <c r="B8783" s="403" t="s">
        <v>2012</v>
      </c>
      <c r="C8783" s="402" t="s">
        <v>35</v>
      </c>
      <c r="D8783" s="601">
        <v>6.95</v>
      </c>
    </row>
    <row r="8784" spans="1:4" ht="40.5">
      <c r="A8784" s="402">
        <v>89754</v>
      </c>
      <c r="B8784" s="403" t="s">
        <v>2013</v>
      </c>
      <c r="C8784" s="402" t="s">
        <v>35</v>
      </c>
      <c r="D8784" s="601">
        <v>12.03</v>
      </c>
    </row>
    <row r="8785" spans="1:4" ht="27">
      <c r="A8785" s="402">
        <v>89755</v>
      </c>
      <c r="B8785" s="403" t="s">
        <v>2014</v>
      </c>
      <c r="C8785" s="402" t="s">
        <v>35</v>
      </c>
      <c r="D8785" s="601">
        <v>10.65</v>
      </c>
    </row>
    <row r="8786" spans="1:4" ht="27">
      <c r="A8786" s="402">
        <v>89756</v>
      </c>
      <c r="B8786" s="403" t="s">
        <v>2015</v>
      </c>
      <c r="C8786" s="402" t="s">
        <v>35</v>
      </c>
      <c r="D8786" s="601">
        <v>19.28</v>
      </c>
    </row>
    <row r="8787" spans="1:4" ht="27">
      <c r="A8787" s="402">
        <v>89757</v>
      </c>
      <c r="B8787" s="403" t="s">
        <v>443</v>
      </c>
      <c r="C8787" s="402" t="s">
        <v>35</v>
      </c>
      <c r="D8787" s="601">
        <v>30.29</v>
      </c>
    </row>
    <row r="8788" spans="1:4" ht="27">
      <c r="A8788" s="402">
        <v>89758</v>
      </c>
      <c r="B8788" s="403" t="s">
        <v>2016</v>
      </c>
      <c r="C8788" s="402" t="s">
        <v>35</v>
      </c>
      <c r="D8788" s="601">
        <v>48.24</v>
      </c>
    </row>
    <row r="8789" spans="1:4" ht="27">
      <c r="A8789" s="402">
        <v>89759</v>
      </c>
      <c r="B8789" s="403" t="s">
        <v>2017</v>
      </c>
      <c r="C8789" s="402" t="s">
        <v>35</v>
      </c>
      <c r="D8789" s="601">
        <v>6.81</v>
      </c>
    </row>
    <row r="8790" spans="1:4" ht="27">
      <c r="A8790" s="402">
        <v>89760</v>
      </c>
      <c r="B8790" s="403" t="s">
        <v>2018</v>
      </c>
      <c r="C8790" s="402" t="s">
        <v>35</v>
      </c>
      <c r="D8790" s="601">
        <v>18.09</v>
      </c>
    </row>
    <row r="8791" spans="1:4" ht="27">
      <c r="A8791" s="402">
        <v>89761</v>
      </c>
      <c r="B8791" s="403" t="s">
        <v>2019</v>
      </c>
      <c r="C8791" s="402" t="s">
        <v>35</v>
      </c>
      <c r="D8791" s="601">
        <v>31</v>
      </c>
    </row>
    <row r="8792" spans="1:4" ht="27">
      <c r="A8792" s="402">
        <v>89762</v>
      </c>
      <c r="B8792" s="403" t="s">
        <v>2020</v>
      </c>
      <c r="C8792" s="402" t="s">
        <v>35</v>
      </c>
      <c r="D8792" s="601">
        <v>44.84</v>
      </c>
    </row>
    <row r="8793" spans="1:4" ht="27">
      <c r="A8793" s="402">
        <v>89763</v>
      </c>
      <c r="B8793" s="403" t="s">
        <v>2021</v>
      </c>
      <c r="C8793" s="402" t="s">
        <v>35</v>
      </c>
      <c r="D8793" s="601">
        <v>181.74</v>
      </c>
    </row>
    <row r="8794" spans="1:4" ht="27">
      <c r="A8794" s="402">
        <v>89764</v>
      </c>
      <c r="B8794" s="403" t="s">
        <v>444</v>
      </c>
      <c r="C8794" s="402" t="s">
        <v>35</v>
      </c>
      <c r="D8794" s="601">
        <v>33.770000000000003</v>
      </c>
    </row>
    <row r="8795" spans="1:4" ht="27">
      <c r="A8795" s="402">
        <v>89765</v>
      </c>
      <c r="B8795" s="403" t="s">
        <v>2022</v>
      </c>
      <c r="C8795" s="402" t="s">
        <v>35</v>
      </c>
      <c r="D8795" s="601">
        <v>12.58</v>
      </c>
    </row>
    <row r="8796" spans="1:4" ht="27">
      <c r="A8796" s="402">
        <v>89766</v>
      </c>
      <c r="B8796" s="403" t="s">
        <v>445</v>
      </c>
      <c r="C8796" s="402" t="s">
        <v>35</v>
      </c>
      <c r="D8796" s="601">
        <v>19.809999999999999</v>
      </c>
    </row>
    <row r="8797" spans="1:4" ht="27">
      <c r="A8797" s="402">
        <v>89767</v>
      </c>
      <c r="B8797" s="403" t="s">
        <v>2023</v>
      </c>
      <c r="C8797" s="402" t="s">
        <v>35</v>
      </c>
      <c r="D8797" s="601">
        <v>19.809999999999999</v>
      </c>
    </row>
    <row r="8798" spans="1:4" ht="27">
      <c r="A8798" s="402">
        <v>89768</v>
      </c>
      <c r="B8798" s="403" t="s">
        <v>2024</v>
      </c>
      <c r="C8798" s="402" t="s">
        <v>35</v>
      </c>
      <c r="D8798" s="601">
        <v>19.489999999999998</v>
      </c>
    </row>
    <row r="8799" spans="1:4" ht="27">
      <c r="A8799" s="402">
        <v>89769</v>
      </c>
      <c r="B8799" s="403" t="s">
        <v>446</v>
      </c>
      <c r="C8799" s="402" t="s">
        <v>35</v>
      </c>
      <c r="D8799" s="601">
        <v>49.74</v>
      </c>
    </row>
    <row r="8800" spans="1:4" ht="27">
      <c r="A8800" s="402">
        <v>89772</v>
      </c>
      <c r="B8800" s="403" t="s">
        <v>2027</v>
      </c>
      <c r="C8800" s="402" t="s">
        <v>17</v>
      </c>
      <c r="D8800" s="601">
        <v>80.239999999999995</v>
      </c>
    </row>
    <row r="8801" spans="1:4" ht="40.5">
      <c r="A8801" s="402">
        <v>89774</v>
      </c>
      <c r="B8801" s="403" t="s">
        <v>2029</v>
      </c>
      <c r="C8801" s="402" t="s">
        <v>35</v>
      </c>
      <c r="D8801" s="601">
        <v>11.37</v>
      </c>
    </row>
    <row r="8802" spans="1:4" ht="40.5">
      <c r="A8802" s="402">
        <v>89776</v>
      </c>
      <c r="B8802" s="403" t="s">
        <v>2031</v>
      </c>
      <c r="C8802" s="402" t="s">
        <v>35</v>
      </c>
      <c r="D8802" s="601">
        <v>15.3</v>
      </c>
    </row>
    <row r="8803" spans="1:4" ht="27">
      <c r="A8803" s="402">
        <v>89777</v>
      </c>
      <c r="B8803" s="403" t="s">
        <v>2032</v>
      </c>
      <c r="C8803" s="402" t="s">
        <v>35</v>
      </c>
      <c r="D8803" s="601">
        <v>25.51</v>
      </c>
    </row>
    <row r="8804" spans="1:4" ht="40.5">
      <c r="A8804" s="402">
        <v>89778</v>
      </c>
      <c r="B8804" s="403" t="s">
        <v>2033</v>
      </c>
      <c r="C8804" s="402" t="s">
        <v>35</v>
      </c>
      <c r="D8804" s="601">
        <v>14.37</v>
      </c>
    </row>
    <row r="8805" spans="1:4" ht="40.5">
      <c r="A8805" s="402">
        <v>89779</v>
      </c>
      <c r="B8805" s="403" t="s">
        <v>2034</v>
      </c>
      <c r="C8805" s="402" t="s">
        <v>35</v>
      </c>
      <c r="D8805" s="601">
        <v>21.65</v>
      </c>
    </row>
    <row r="8806" spans="1:4" ht="27">
      <c r="A8806" s="402">
        <v>89780</v>
      </c>
      <c r="B8806" s="403" t="s">
        <v>447</v>
      </c>
      <c r="C8806" s="402" t="s">
        <v>35</v>
      </c>
      <c r="D8806" s="601">
        <v>25.51</v>
      </c>
    </row>
    <row r="8807" spans="1:4" ht="27">
      <c r="A8807" s="402">
        <v>89781</v>
      </c>
      <c r="B8807" s="403" t="s">
        <v>2035</v>
      </c>
      <c r="C8807" s="402" t="s">
        <v>35</v>
      </c>
      <c r="D8807" s="601">
        <v>38.64</v>
      </c>
    </row>
    <row r="8808" spans="1:4" ht="40.5">
      <c r="A8808" s="402">
        <v>89782</v>
      </c>
      <c r="B8808" s="403" t="s">
        <v>2036</v>
      </c>
      <c r="C8808" s="402" t="s">
        <v>35</v>
      </c>
      <c r="D8808" s="601">
        <v>9.07</v>
      </c>
    </row>
    <row r="8809" spans="1:4" ht="40.5">
      <c r="A8809" s="402">
        <v>89783</v>
      </c>
      <c r="B8809" s="403" t="s">
        <v>2037</v>
      </c>
      <c r="C8809" s="402" t="s">
        <v>35</v>
      </c>
      <c r="D8809" s="601">
        <v>9.26</v>
      </c>
    </row>
    <row r="8810" spans="1:4" ht="40.5">
      <c r="A8810" s="402">
        <v>89784</v>
      </c>
      <c r="B8810" s="403" t="s">
        <v>2038</v>
      </c>
      <c r="C8810" s="402" t="s">
        <v>35</v>
      </c>
      <c r="D8810" s="601">
        <v>15.14</v>
      </c>
    </row>
    <row r="8811" spans="1:4" ht="40.5">
      <c r="A8811" s="402">
        <v>89785</v>
      </c>
      <c r="B8811" s="403" t="s">
        <v>2039</v>
      </c>
      <c r="C8811" s="402" t="s">
        <v>35</v>
      </c>
      <c r="D8811" s="601">
        <v>16.350000000000001</v>
      </c>
    </row>
    <row r="8812" spans="1:4" ht="40.5">
      <c r="A8812" s="402">
        <v>89786</v>
      </c>
      <c r="B8812" s="403" t="s">
        <v>2040</v>
      </c>
      <c r="C8812" s="402" t="s">
        <v>35</v>
      </c>
      <c r="D8812" s="601">
        <v>24.66</v>
      </c>
    </row>
    <row r="8813" spans="1:4" ht="27">
      <c r="A8813" s="402">
        <v>89787</v>
      </c>
      <c r="B8813" s="403" t="s">
        <v>2041</v>
      </c>
      <c r="C8813" s="402" t="s">
        <v>35</v>
      </c>
      <c r="D8813" s="601">
        <v>38.64</v>
      </c>
    </row>
    <row r="8814" spans="1:4" ht="27">
      <c r="A8814" s="402">
        <v>89788</v>
      </c>
      <c r="B8814" s="403" t="s">
        <v>2042</v>
      </c>
      <c r="C8814" s="402" t="s">
        <v>35</v>
      </c>
      <c r="D8814" s="601">
        <v>77.34</v>
      </c>
    </row>
    <row r="8815" spans="1:4" ht="27">
      <c r="A8815" s="402">
        <v>89789</v>
      </c>
      <c r="B8815" s="403" t="s">
        <v>2043</v>
      </c>
      <c r="C8815" s="402" t="s">
        <v>35</v>
      </c>
      <c r="D8815" s="601">
        <v>78.61</v>
      </c>
    </row>
    <row r="8816" spans="1:4" ht="27">
      <c r="A8816" s="402">
        <v>89790</v>
      </c>
      <c r="B8816" s="403" t="s">
        <v>2044</v>
      </c>
      <c r="C8816" s="402" t="s">
        <v>35</v>
      </c>
      <c r="D8816" s="601">
        <v>195</v>
      </c>
    </row>
    <row r="8817" spans="1:4" ht="27">
      <c r="A8817" s="402">
        <v>89791</v>
      </c>
      <c r="B8817" s="403" t="s">
        <v>2045</v>
      </c>
      <c r="C8817" s="402" t="s">
        <v>35</v>
      </c>
      <c r="D8817" s="601">
        <v>199.68</v>
      </c>
    </row>
    <row r="8818" spans="1:4" ht="27">
      <c r="A8818" s="402">
        <v>89792</v>
      </c>
      <c r="B8818" s="403" t="s">
        <v>2046</v>
      </c>
      <c r="C8818" s="402" t="s">
        <v>35</v>
      </c>
      <c r="D8818" s="601">
        <v>228.72</v>
      </c>
    </row>
    <row r="8819" spans="1:4" ht="27">
      <c r="A8819" s="402">
        <v>89793</v>
      </c>
      <c r="B8819" s="403" t="s">
        <v>2047</v>
      </c>
      <c r="C8819" s="402" t="s">
        <v>35</v>
      </c>
      <c r="D8819" s="601">
        <v>235.02</v>
      </c>
    </row>
    <row r="8820" spans="1:4" ht="27">
      <c r="A8820" s="402">
        <v>89794</v>
      </c>
      <c r="B8820" s="403" t="s">
        <v>2048</v>
      </c>
      <c r="C8820" s="402" t="s">
        <v>35</v>
      </c>
      <c r="D8820" s="601">
        <v>17.36</v>
      </c>
    </row>
    <row r="8821" spans="1:4" ht="40.5">
      <c r="A8821" s="402">
        <v>89795</v>
      </c>
      <c r="B8821" s="403" t="s">
        <v>2049</v>
      </c>
      <c r="C8821" s="402" t="s">
        <v>35</v>
      </c>
      <c r="D8821" s="601">
        <v>26.32</v>
      </c>
    </row>
    <row r="8822" spans="1:4" ht="40.5">
      <c r="A8822" s="402">
        <v>89796</v>
      </c>
      <c r="B8822" s="403" t="s">
        <v>2050</v>
      </c>
      <c r="C8822" s="402" t="s">
        <v>35</v>
      </c>
      <c r="D8822" s="601">
        <v>30.72</v>
      </c>
    </row>
    <row r="8823" spans="1:4" ht="40.5">
      <c r="A8823" s="402">
        <v>89797</v>
      </c>
      <c r="B8823" s="403" t="s">
        <v>2051</v>
      </c>
      <c r="C8823" s="402" t="s">
        <v>35</v>
      </c>
      <c r="D8823" s="601">
        <v>34.619999999999997</v>
      </c>
    </row>
    <row r="8824" spans="1:4" ht="40.5">
      <c r="A8824" s="402">
        <v>89801</v>
      </c>
      <c r="B8824" s="403" t="s">
        <v>2055</v>
      </c>
      <c r="C8824" s="402" t="s">
        <v>35</v>
      </c>
      <c r="D8824" s="601">
        <v>5.43</v>
      </c>
    </row>
    <row r="8825" spans="1:4" ht="40.5">
      <c r="A8825" s="402">
        <v>89802</v>
      </c>
      <c r="B8825" s="403" t="s">
        <v>2056</v>
      </c>
      <c r="C8825" s="402" t="s">
        <v>35</v>
      </c>
      <c r="D8825" s="601">
        <v>5.86</v>
      </c>
    </row>
    <row r="8826" spans="1:4" ht="40.5">
      <c r="A8826" s="402">
        <v>89803</v>
      </c>
      <c r="B8826" s="403" t="s">
        <v>2057</v>
      </c>
      <c r="C8826" s="402" t="s">
        <v>35</v>
      </c>
      <c r="D8826" s="601">
        <v>10.43</v>
      </c>
    </row>
    <row r="8827" spans="1:4" ht="40.5">
      <c r="A8827" s="402">
        <v>89804</v>
      </c>
      <c r="B8827" s="403" t="s">
        <v>2058</v>
      </c>
      <c r="C8827" s="402" t="s">
        <v>35</v>
      </c>
      <c r="D8827" s="601">
        <v>11.13</v>
      </c>
    </row>
    <row r="8828" spans="1:4" ht="40.5">
      <c r="A8828" s="402">
        <v>89805</v>
      </c>
      <c r="B8828" s="403" t="s">
        <v>2059</v>
      </c>
      <c r="C8828" s="402" t="s">
        <v>35</v>
      </c>
      <c r="D8828" s="601">
        <v>10.52</v>
      </c>
    </row>
    <row r="8829" spans="1:4" ht="40.5">
      <c r="A8829" s="402">
        <v>89806</v>
      </c>
      <c r="B8829" s="403" t="s">
        <v>2060</v>
      </c>
      <c r="C8829" s="402" t="s">
        <v>35</v>
      </c>
      <c r="D8829" s="601">
        <v>11.13</v>
      </c>
    </row>
    <row r="8830" spans="1:4" ht="40.5">
      <c r="A8830" s="402">
        <v>89807</v>
      </c>
      <c r="B8830" s="403" t="s">
        <v>2061</v>
      </c>
      <c r="C8830" s="402" t="s">
        <v>35</v>
      </c>
      <c r="D8830" s="601">
        <v>19.190000000000001</v>
      </c>
    </row>
    <row r="8831" spans="1:4" ht="40.5">
      <c r="A8831" s="402">
        <v>89808</v>
      </c>
      <c r="B8831" s="403" t="s">
        <v>2062</v>
      </c>
      <c r="C8831" s="402" t="s">
        <v>35</v>
      </c>
      <c r="D8831" s="601">
        <v>27.89</v>
      </c>
    </row>
    <row r="8832" spans="1:4" ht="40.5">
      <c r="A8832" s="402">
        <v>89809</v>
      </c>
      <c r="B8832" s="403" t="s">
        <v>2063</v>
      </c>
      <c r="C8832" s="402" t="s">
        <v>35</v>
      </c>
      <c r="D8832" s="601">
        <v>14.15</v>
      </c>
    </row>
    <row r="8833" spans="1:4" ht="40.5">
      <c r="A8833" s="402">
        <v>89810</v>
      </c>
      <c r="B8833" s="403" t="s">
        <v>2064</v>
      </c>
      <c r="C8833" s="402" t="s">
        <v>35</v>
      </c>
      <c r="D8833" s="601">
        <v>14.11</v>
      </c>
    </row>
    <row r="8834" spans="1:4" ht="40.5">
      <c r="A8834" s="402">
        <v>89811</v>
      </c>
      <c r="B8834" s="403" t="s">
        <v>2065</v>
      </c>
      <c r="C8834" s="402" t="s">
        <v>35</v>
      </c>
      <c r="D8834" s="601">
        <v>23.58</v>
      </c>
    </row>
    <row r="8835" spans="1:4" ht="40.5">
      <c r="A8835" s="402">
        <v>89812</v>
      </c>
      <c r="B8835" s="403" t="s">
        <v>2066</v>
      </c>
      <c r="C8835" s="402" t="s">
        <v>35</v>
      </c>
      <c r="D8835" s="601">
        <v>40.32</v>
      </c>
    </row>
    <row r="8836" spans="1:4" ht="40.5">
      <c r="A8836" s="402">
        <v>89813</v>
      </c>
      <c r="B8836" s="403" t="s">
        <v>2067</v>
      </c>
      <c r="C8836" s="402" t="s">
        <v>35</v>
      </c>
      <c r="D8836" s="601">
        <v>5.37</v>
      </c>
    </row>
    <row r="8837" spans="1:4" ht="40.5">
      <c r="A8837" s="402">
        <v>89814</v>
      </c>
      <c r="B8837" s="403" t="s">
        <v>2068</v>
      </c>
      <c r="C8837" s="402" t="s">
        <v>35</v>
      </c>
      <c r="D8837" s="601">
        <v>10.45</v>
      </c>
    </row>
    <row r="8838" spans="1:4" ht="27">
      <c r="A8838" s="402">
        <v>89815</v>
      </c>
      <c r="B8838" s="403" t="s">
        <v>2069</v>
      </c>
      <c r="C8838" s="402" t="s">
        <v>35</v>
      </c>
      <c r="D8838" s="601">
        <v>30.27</v>
      </c>
    </row>
    <row r="8839" spans="1:4" ht="27">
      <c r="A8839" s="402">
        <v>89816</v>
      </c>
      <c r="B8839" s="403" t="s">
        <v>2070</v>
      </c>
      <c r="C8839" s="402" t="s">
        <v>35</v>
      </c>
      <c r="D8839" s="601">
        <v>44.11</v>
      </c>
    </row>
    <row r="8840" spans="1:4" ht="40.5">
      <c r="A8840" s="402">
        <v>89817</v>
      </c>
      <c r="B8840" s="403" t="s">
        <v>2071</v>
      </c>
      <c r="C8840" s="402" t="s">
        <v>35</v>
      </c>
      <c r="D8840" s="601">
        <v>9.15</v>
      </c>
    </row>
    <row r="8841" spans="1:4" ht="27">
      <c r="A8841" s="402">
        <v>89818</v>
      </c>
      <c r="B8841" s="403" t="s">
        <v>2072</v>
      </c>
      <c r="C8841" s="402" t="s">
        <v>35</v>
      </c>
      <c r="D8841" s="601">
        <v>181.01</v>
      </c>
    </row>
    <row r="8842" spans="1:4" ht="40.5">
      <c r="A8842" s="402">
        <v>89819</v>
      </c>
      <c r="B8842" s="403" t="s">
        <v>2073</v>
      </c>
      <c r="C8842" s="402" t="s">
        <v>35</v>
      </c>
      <c r="D8842" s="601">
        <v>13.08</v>
      </c>
    </row>
    <row r="8843" spans="1:4" ht="27">
      <c r="A8843" s="402">
        <v>89820</v>
      </c>
      <c r="B8843" s="403" t="s">
        <v>2074</v>
      </c>
      <c r="C8843" s="402" t="s">
        <v>35</v>
      </c>
      <c r="D8843" s="601">
        <v>33.04</v>
      </c>
    </row>
    <row r="8844" spans="1:4" ht="40.5">
      <c r="A8844" s="402">
        <v>89821</v>
      </c>
      <c r="B8844" s="403" t="s">
        <v>2075</v>
      </c>
      <c r="C8844" s="402" t="s">
        <v>35</v>
      </c>
      <c r="D8844" s="601">
        <v>11.52</v>
      </c>
    </row>
    <row r="8845" spans="1:4" ht="27">
      <c r="A8845" s="402">
        <v>89822</v>
      </c>
      <c r="B8845" s="403" t="s">
        <v>2076</v>
      </c>
      <c r="C8845" s="402" t="s">
        <v>35</v>
      </c>
      <c r="D8845" s="601">
        <v>23.01</v>
      </c>
    </row>
    <row r="8846" spans="1:4" ht="40.5">
      <c r="A8846" s="402">
        <v>89823</v>
      </c>
      <c r="B8846" s="403" t="s">
        <v>2077</v>
      </c>
      <c r="C8846" s="402" t="s">
        <v>35</v>
      </c>
      <c r="D8846" s="601">
        <v>18.8</v>
      </c>
    </row>
    <row r="8847" spans="1:4" ht="27">
      <c r="A8847" s="402">
        <v>89824</v>
      </c>
      <c r="B8847" s="403" t="s">
        <v>2078</v>
      </c>
      <c r="C8847" s="402" t="s">
        <v>35</v>
      </c>
      <c r="D8847" s="601">
        <v>41.4</v>
      </c>
    </row>
    <row r="8848" spans="1:4" ht="40.5">
      <c r="A8848" s="402">
        <v>89825</v>
      </c>
      <c r="B8848" s="403" t="s">
        <v>2079</v>
      </c>
      <c r="C8848" s="402" t="s">
        <v>35</v>
      </c>
      <c r="D8848" s="601">
        <v>11.66</v>
      </c>
    </row>
    <row r="8849" spans="1:4" ht="27">
      <c r="A8849" s="402">
        <v>89826</v>
      </c>
      <c r="B8849" s="403" t="s">
        <v>2080</v>
      </c>
      <c r="C8849" s="402" t="s">
        <v>35</v>
      </c>
      <c r="D8849" s="601">
        <v>184.57</v>
      </c>
    </row>
    <row r="8850" spans="1:4" ht="40.5">
      <c r="A8850" s="402">
        <v>89827</v>
      </c>
      <c r="B8850" s="403" t="s">
        <v>2081</v>
      </c>
      <c r="C8850" s="402" t="s">
        <v>35</v>
      </c>
      <c r="D8850" s="601">
        <v>12.87</v>
      </c>
    </row>
    <row r="8851" spans="1:4" ht="27">
      <c r="A8851" s="402">
        <v>89828</v>
      </c>
      <c r="B8851" s="403" t="s">
        <v>2082</v>
      </c>
      <c r="C8851" s="402" t="s">
        <v>35</v>
      </c>
      <c r="D8851" s="601">
        <v>64.099999999999994</v>
      </c>
    </row>
    <row r="8852" spans="1:4" ht="40.5">
      <c r="A8852" s="402">
        <v>89829</v>
      </c>
      <c r="B8852" s="403" t="s">
        <v>2083</v>
      </c>
      <c r="C8852" s="402" t="s">
        <v>35</v>
      </c>
      <c r="D8852" s="601">
        <v>20.23</v>
      </c>
    </row>
    <row r="8853" spans="1:4" ht="40.5">
      <c r="A8853" s="402">
        <v>89830</v>
      </c>
      <c r="B8853" s="403" t="s">
        <v>2084</v>
      </c>
      <c r="C8853" s="402" t="s">
        <v>35</v>
      </c>
      <c r="D8853" s="601">
        <v>21.89</v>
      </c>
    </row>
    <row r="8854" spans="1:4" ht="27">
      <c r="A8854" s="402">
        <v>89831</v>
      </c>
      <c r="B8854" s="403" t="s">
        <v>2085</v>
      </c>
      <c r="C8854" s="402" t="s">
        <v>35</v>
      </c>
      <c r="D8854" s="601">
        <v>221.07</v>
      </c>
    </row>
    <row r="8855" spans="1:4" ht="27">
      <c r="A8855" s="402">
        <v>89832</v>
      </c>
      <c r="B8855" s="403" t="s">
        <v>2086</v>
      </c>
      <c r="C8855" s="402" t="s">
        <v>35</v>
      </c>
      <c r="D8855" s="601">
        <v>43.49</v>
      </c>
    </row>
    <row r="8856" spans="1:4" ht="40.5">
      <c r="A8856" s="402">
        <v>89833</v>
      </c>
      <c r="B8856" s="403" t="s">
        <v>2087</v>
      </c>
      <c r="C8856" s="402" t="s">
        <v>35</v>
      </c>
      <c r="D8856" s="601">
        <v>25.33</v>
      </c>
    </row>
    <row r="8857" spans="1:4" ht="40.5">
      <c r="A8857" s="402">
        <v>89834</v>
      </c>
      <c r="B8857" s="403" t="s">
        <v>2088</v>
      </c>
      <c r="C8857" s="402" t="s">
        <v>35</v>
      </c>
      <c r="D8857" s="601">
        <v>29.23</v>
      </c>
    </row>
    <row r="8858" spans="1:4" ht="27">
      <c r="A8858" s="402">
        <v>89835</v>
      </c>
      <c r="B8858" s="403" t="s">
        <v>2089</v>
      </c>
      <c r="C8858" s="402" t="s">
        <v>35</v>
      </c>
      <c r="D8858" s="601">
        <v>42.34</v>
      </c>
    </row>
    <row r="8859" spans="1:4" ht="27">
      <c r="A8859" s="402">
        <v>89836</v>
      </c>
      <c r="B8859" s="403" t="s">
        <v>2090</v>
      </c>
      <c r="C8859" s="402" t="s">
        <v>35</v>
      </c>
      <c r="D8859" s="601">
        <v>298.94</v>
      </c>
    </row>
    <row r="8860" spans="1:4" ht="27">
      <c r="A8860" s="402">
        <v>89837</v>
      </c>
      <c r="B8860" s="403" t="s">
        <v>2091</v>
      </c>
      <c r="C8860" s="402" t="s">
        <v>35</v>
      </c>
      <c r="D8860" s="601">
        <v>147.63</v>
      </c>
    </row>
    <row r="8861" spans="1:4" ht="27">
      <c r="A8861" s="402">
        <v>89838</v>
      </c>
      <c r="B8861" s="403" t="s">
        <v>2092</v>
      </c>
      <c r="C8861" s="402" t="s">
        <v>35</v>
      </c>
      <c r="D8861" s="601">
        <v>160.84</v>
      </c>
    </row>
    <row r="8862" spans="1:4" ht="27">
      <c r="A8862" s="402">
        <v>89839</v>
      </c>
      <c r="B8862" s="403" t="s">
        <v>2093</v>
      </c>
      <c r="C8862" s="402" t="s">
        <v>35</v>
      </c>
      <c r="D8862" s="601">
        <v>214.05</v>
      </c>
    </row>
    <row r="8863" spans="1:4" ht="27">
      <c r="A8863" s="402">
        <v>89840</v>
      </c>
      <c r="B8863" s="403" t="s">
        <v>2094</v>
      </c>
      <c r="C8863" s="402" t="s">
        <v>35</v>
      </c>
      <c r="D8863" s="601">
        <v>184.54</v>
      </c>
    </row>
    <row r="8864" spans="1:4" ht="27">
      <c r="A8864" s="402">
        <v>89841</v>
      </c>
      <c r="B8864" s="403" t="s">
        <v>2095</v>
      </c>
      <c r="C8864" s="402" t="s">
        <v>35</v>
      </c>
      <c r="D8864" s="601">
        <v>314.62</v>
      </c>
    </row>
    <row r="8865" spans="1:4" ht="27">
      <c r="A8865" s="402">
        <v>89842</v>
      </c>
      <c r="B8865" s="403" t="s">
        <v>2096</v>
      </c>
      <c r="C8865" s="402" t="s">
        <v>35</v>
      </c>
      <c r="D8865" s="601">
        <v>48.29</v>
      </c>
    </row>
    <row r="8866" spans="1:4" ht="27">
      <c r="A8866" s="402">
        <v>89844</v>
      </c>
      <c r="B8866" s="403" t="s">
        <v>2097</v>
      </c>
      <c r="C8866" s="402" t="s">
        <v>35</v>
      </c>
      <c r="D8866" s="601">
        <v>61.81</v>
      </c>
    </row>
    <row r="8867" spans="1:4" ht="27">
      <c r="A8867" s="402">
        <v>89845</v>
      </c>
      <c r="B8867" s="403" t="s">
        <v>2098</v>
      </c>
      <c r="C8867" s="402" t="s">
        <v>35</v>
      </c>
      <c r="D8867" s="601">
        <v>97.08</v>
      </c>
    </row>
    <row r="8868" spans="1:4" ht="27">
      <c r="A8868" s="402">
        <v>89846</v>
      </c>
      <c r="B8868" s="403" t="s">
        <v>2099</v>
      </c>
      <c r="C8868" s="402" t="s">
        <v>35</v>
      </c>
      <c r="D8868" s="601">
        <v>222.68</v>
      </c>
    </row>
    <row r="8869" spans="1:4" ht="27">
      <c r="A8869" s="402">
        <v>89847</v>
      </c>
      <c r="B8869" s="403" t="s">
        <v>2100</v>
      </c>
      <c r="C8869" s="402" t="s">
        <v>35</v>
      </c>
      <c r="D8869" s="601">
        <v>273.2</v>
      </c>
    </row>
    <row r="8870" spans="1:4" ht="40.5">
      <c r="A8870" s="402">
        <v>89850</v>
      </c>
      <c r="B8870" s="403" t="s">
        <v>2103</v>
      </c>
      <c r="C8870" s="402" t="s">
        <v>35</v>
      </c>
      <c r="D8870" s="601">
        <v>17.940000000000001</v>
      </c>
    </row>
    <row r="8871" spans="1:4" ht="40.5">
      <c r="A8871" s="402">
        <v>89851</v>
      </c>
      <c r="B8871" s="403" t="s">
        <v>2104</v>
      </c>
      <c r="C8871" s="402" t="s">
        <v>35</v>
      </c>
      <c r="D8871" s="601">
        <v>17.899999999999999</v>
      </c>
    </row>
    <row r="8872" spans="1:4" ht="40.5">
      <c r="A8872" s="402">
        <v>89852</v>
      </c>
      <c r="B8872" s="403" t="s">
        <v>2105</v>
      </c>
      <c r="C8872" s="402" t="s">
        <v>35</v>
      </c>
      <c r="D8872" s="601">
        <v>27.37</v>
      </c>
    </row>
    <row r="8873" spans="1:4" ht="40.5">
      <c r="A8873" s="402">
        <v>89853</v>
      </c>
      <c r="B8873" s="403" t="s">
        <v>2106</v>
      </c>
      <c r="C8873" s="402" t="s">
        <v>35</v>
      </c>
      <c r="D8873" s="601">
        <v>44.11</v>
      </c>
    </row>
    <row r="8874" spans="1:4" ht="40.5">
      <c r="A8874" s="402">
        <v>89854</v>
      </c>
      <c r="B8874" s="403" t="s">
        <v>2107</v>
      </c>
      <c r="C8874" s="402" t="s">
        <v>35</v>
      </c>
      <c r="D8874" s="601">
        <v>59.48</v>
      </c>
    </row>
    <row r="8875" spans="1:4" ht="40.5">
      <c r="A8875" s="402">
        <v>89855</v>
      </c>
      <c r="B8875" s="403" t="s">
        <v>2108</v>
      </c>
      <c r="C8875" s="402" t="s">
        <v>35</v>
      </c>
      <c r="D8875" s="601">
        <v>62.85</v>
      </c>
    </row>
    <row r="8876" spans="1:4" ht="27">
      <c r="A8876" s="402">
        <v>89856</v>
      </c>
      <c r="B8876" s="403" t="s">
        <v>2109</v>
      </c>
      <c r="C8876" s="402" t="s">
        <v>35</v>
      </c>
      <c r="D8876" s="601">
        <v>14.05</v>
      </c>
    </row>
    <row r="8877" spans="1:4" ht="40.5">
      <c r="A8877" s="402">
        <v>89857</v>
      </c>
      <c r="B8877" s="403" t="s">
        <v>2110</v>
      </c>
      <c r="C8877" s="402" t="s">
        <v>35</v>
      </c>
      <c r="D8877" s="601">
        <v>21.33</v>
      </c>
    </row>
    <row r="8878" spans="1:4" ht="40.5">
      <c r="A8878" s="402">
        <v>89859</v>
      </c>
      <c r="B8878" s="403" t="s">
        <v>2111</v>
      </c>
      <c r="C8878" s="402" t="s">
        <v>35</v>
      </c>
      <c r="D8878" s="601">
        <v>62.86</v>
      </c>
    </row>
    <row r="8879" spans="1:4" ht="27">
      <c r="A8879" s="402">
        <v>89860</v>
      </c>
      <c r="B8879" s="403" t="s">
        <v>2112</v>
      </c>
      <c r="C8879" s="402" t="s">
        <v>35</v>
      </c>
      <c r="D8879" s="601">
        <v>30.4</v>
      </c>
    </row>
    <row r="8880" spans="1:4" ht="40.5">
      <c r="A8880" s="402">
        <v>89861</v>
      </c>
      <c r="B8880" s="403" t="s">
        <v>2113</v>
      </c>
      <c r="C8880" s="402" t="s">
        <v>35</v>
      </c>
      <c r="D8880" s="601">
        <v>34.299999999999997</v>
      </c>
    </row>
    <row r="8881" spans="1:4" ht="27">
      <c r="A8881" s="402">
        <v>89862</v>
      </c>
      <c r="B8881" s="403" t="s">
        <v>2114</v>
      </c>
      <c r="C8881" s="402" t="s">
        <v>35</v>
      </c>
      <c r="D8881" s="601">
        <v>68.260000000000005</v>
      </c>
    </row>
    <row r="8882" spans="1:4" ht="40.5">
      <c r="A8882" s="402">
        <v>89863</v>
      </c>
      <c r="B8882" s="403" t="s">
        <v>2115</v>
      </c>
      <c r="C8882" s="402" t="s">
        <v>35</v>
      </c>
      <c r="D8882" s="601">
        <v>133.4</v>
      </c>
    </row>
    <row r="8883" spans="1:4" ht="27">
      <c r="A8883" s="402">
        <v>89866</v>
      </c>
      <c r="B8883" s="403" t="s">
        <v>2116</v>
      </c>
      <c r="C8883" s="402" t="s">
        <v>35</v>
      </c>
      <c r="D8883" s="601">
        <v>3.91</v>
      </c>
    </row>
    <row r="8884" spans="1:4" ht="27">
      <c r="A8884" s="402">
        <v>89867</v>
      </c>
      <c r="B8884" s="403" t="s">
        <v>2117</v>
      </c>
      <c r="C8884" s="402" t="s">
        <v>35</v>
      </c>
      <c r="D8884" s="601">
        <v>4.49</v>
      </c>
    </row>
    <row r="8885" spans="1:4" ht="27">
      <c r="A8885" s="402">
        <v>89868</v>
      </c>
      <c r="B8885" s="403" t="s">
        <v>450</v>
      </c>
      <c r="C8885" s="402" t="s">
        <v>35</v>
      </c>
      <c r="D8885" s="601">
        <v>3</v>
      </c>
    </row>
    <row r="8886" spans="1:4" ht="27">
      <c r="A8886" s="402">
        <v>89869</v>
      </c>
      <c r="B8886" s="403" t="s">
        <v>2118</v>
      </c>
      <c r="C8886" s="402" t="s">
        <v>35</v>
      </c>
      <c r="D8886" s="601">
        <v>6.58</v>
      </c>
    </row>
    <row r="8887" spans="1:4" ht="27">
      <c r="A8887" s="402">
        <v>89979</v>
      </c>
      <c r="B8887" s="403" t="s">
        <v>2129</v>
      </c>
      <c r="C8887" s="402" t="s">
        <v>35</v>
      </c>
      <c r="D8887" s="601">
        <v>19.28</v>
      </c>
    </row>
    <row r="8888" spans="1:4" ht="27">
      <c r="A8888" s="402">
        <v>89980</v>
      </c>
      <c r="B8888" s="403" t="s">
        <v>2130</v>
      </c>
      <c r="C8888" s="402" t="s">
        <v>35</v>
      </c>
      <c r="D8888" s="601">
        <v>7.5</v>
      </c>
    </row>
    <row r="8889" spans="1:4" ht="27">
      <c r="A8889" s="402">
        <v>89981</v>
      </c>
      <c r="B8889" s="403" t="s">
        <v>2131</v>
      </c>
      <c r="C8889" s="402" t="s">
        <v>35</v>
      </c>
      <c r="D8889" s="601">
        <v>16.98</v>
      </c>
    </row>
    <row r="8890" spans="1:4" ht="27">
      <c r="A8890" s="402">
        <v>90373</v>
      </c>
      <c r="B8890" s="403" t="s">
        <v>2172</v>
      </c>
      <c r="C8890" s="402" t="s">
        <v>35</v>
      </c>
      <c r="D8890" s="601">
        <v>10.57</v>
      </c>
    </row>
    <row r="8891" spans="1:4" ht="40.5">
      <c r="A8891" s="402">
        <v>90374</v>
      </c>
      <c r="B8891" s="403" t="s">
        <v>2173</v>
      </c>
      <c r="C8891" s="402" t="s">
        <v>35</v>
      </c>
      <c r="D8891" s="601">
        <v>16.510000000000002</v>
      </c>
    </row>
    <row r="8892" spans="1:4" ht="27">
      <c r="A8892" s="402">
        <v>90375</v>
      </c>
      <c r="B8892" s="403" t="s">
        <v>466</v>
      </c>
      <c r="C8892" s="402" t="s">
        <v>35</v>
      </c>
      <c r="D8892" s="601">
        <v>6.83</v>
      </c>
    </row>
    <row r="8893" spans="1:4" ht="27">
      <c r="A8893" s="402">
        <v>92287</v>
      </c>
      <c r="B8893" s="403" t="s">
        <v>5173</v>
      </c>
      <c r="C8893" s="402" t="s">
        <v>35</v>
      </c>
      <c r="D8893" s="601">
        <v>11.7</v>
      </c>
    </row>
    <row r="8894" spans="1:4" ht="27">
      <c r="A8894" s="402">
        <v>92288</v>
      </c>
      <c r="B8894" s="403" t="s">
        <v>5174</v>
      </c>
      <c r="C8894" s="402" t="s">
        <v>35</v>
      </c>
      <c r="D8894" s="601">
        <v>18.02</v>
      </c>
    </row>
    <row r="8895" spans="1:4" ht="27">
      <c r="A8895" s="402">
        <v>92289</v>
      </c>
      <c r="B8895" s="403" t="s">
        <v>5175</v>
      </c>
      <c r="C8895" s="402" t="s">
        <v>35</v>
      </c>
      <c r="D8895" s="601">
        <v>31.54</v>
      </c>
    </row>
    <row r="8896" spans="1:4" ht="27">
      <c r="A8896" s="402">
        <v>92290</v>
      </c>
      <c r="B8896" s="403" t="s">
        <v>5176</v>
      </c>
      <c r="C8896" s="402" t="s">
        <v>35</v>
      </c>
      <c r="D8896" s="601">
        <v>47.87</v>
      </c>
    </row>
    <row r="8897" spans="1:4" ht="27">
      <c r="A8897" s="402">
        <v>92291</v>
      </c>
      <c r="B8897" s="403" t="s">
        <v>5177</v>
      </c>
      <c r="C8897" s="402" t="s">
        <v>35</v>
      </c>
      <c r="D8897" s="601">
        <v>73.31</v>
      </c>
    </row>
    <row r="8898" spans="1:4" ht="27">
      <c r="A8898" s="402">
        <v>92292</v>
      </c>
      <c r="B8898" s="403" t="s">
        <v>5178</v>
      </c>
      <c r="C8898" s="402" t="s">
        <v>35</v>
      </c>
      <c r="D8898" s="601">
        <v>228.57</v>
      </c>
    </row>
    <row r="8899" spans="1:4" ht="27">
      <c r="A8899" s="402">
        <v>92293</v>
      </c>
      <c r="B8899" s="403" t="s">
        <v>5179</v>
      </c>
      <c r="C8899" s="402" t="s">
        <v>35</v>
      </c>
      <c r="D8899" s="601">
        <v>6.73</v>
      </c>
    </row>
    <row r="8900" spans="1:4" ht="27">
      <c r="A8900" s="402">
        <v>92294</v>
      </c>
      <c r="B8900" s="403" t="s">
        <v>5180</v>
      </c>
      <c r="C8900" s="402" t="s">
        <v>35</v>
      </c>
      <c r="D8900" s="601">
        <v>11.07</v>
      </c>
    </row>
    <row r="8901" spans="1:4" ht="27">
      <c r="A8901" s="402">
        <v>92295</v>
      </c>
      <c r="B8901" s="403" t="s">
        <v>5181</v>
      </c>
      <c r="C8901" s="402" t="s">
        <v>35</v>
      </c>
      <c r="D8901" s="601">
        <v>20.54</v>
      </c>
    </row>
    <row r="8902" spans="1:4" ht="27">
      <c r="A8902" s="402">
        <v>92296</v>
      </c>
      <c r="B8902" s="403" t="s">
        <v>5182</v>
      </c>
      <c r="C8902" s="402" t="s">
        <v>35</v>
      </c>
      <c r="D8902" s="601">
        <v>27.35</v>
      </c>
    </row>
    <row r="8903" spans="1:4" ht="27">
      <c r="A8903" s="402">
        <v>92297</v>
      </c>
      <c r="B8903" s="403" t="s">
        <v>5183</v>
      </c>
      <c r="C8903" s="402" t="s">
        <v>35</v>
      </c>
      <c r="D8903" s="601">
        <v>42.25</v>
      </c>
    </row>
    <row r="8904" spans="1:4" ht="27">
      <c r="A8904" s="402">
        <v>92298</v>
      </c>
      <c r="B8904" s="403" t="s">
        <v>5184</v>
      </c>
      <c r="C8904" s="402" t="s">
        <v>35</v>
      </c>
      <c r="D8904" s="601">
        <v>118.36</v>
      </c>
    </row>
    <row r="8905" spans="1:4" ht="27">
      <c r="A8905" s="402">
        <v>92299</v>
      </c>
      <c r="B8905" s="403" t="s">
        <v>5185</v>
      </c>
      <c r="C8905" s="402" t="s">
        <v>35</v>
      </c>
      <c r="D8905" s="601">
        <v>15.43</v>
      </c>
    </row>
    <row r="8906" spans="1:4" ht="27">
      <c r="A8906" s="402">
        <v>92300</v>
      </c>
      <c r="B8906" s="403" t="s">
        <v>5186</v>
      </c>
      <c r="C8906" s="402" t="s">
        <v>35</v>
      </c>
      <c r="D8906" s="601">
        <v>22.97</v>
      </c>
    </row>
    <row r="8907" spans="1:4" ht="27">
      <c r="A8907" s="402">
        <v>92301</v>
      </c>
      <c r="B8907" s="403" t="s">
        <v>5187</v>
      </c>
      <c r="C8907" s="402" t="s">
        <v>35</v>
      </c>
      <c r="D8907" s="601">
        <v>44.89</v>
      </c>
    </row>
    <row r="8908" spans="1:4" ht="27">
      <c r="A8908" s="402">
        <v>92302</v>
      </c>
      <c r="B8908" s="403" t="s">
        <v>5188</v>
      </c>
      <c r="C8908" s="402" t="s">
        <v>35</v>
      </c>
      <c r="D8908" s="601">
        <v>59.38</v>
      </c>
    </row>
    <row r="8909" spans="1:4" ht="27">
      <c r="A8909" s="402">
        <v>92303</v>
      </c>
      <c r="B8909" s="403" t="s">
        <v>5189</v>
      </c>
      <c r="C8909" s="402" t="s">
        <v>35</v>
      </c>
      <c r="D8909" s="601">
        <v>108.63</v>
      </c>
    </row>
    <row r="8910" spans="1:4" ht="27">
      <c r="A8910" s="402">
        <v>92304</v>
      </c>
      <c r="B8910" s="403" t="s">
        <v>5190</v>
      </c>
      <c r="C8910" s="402" t="s">
        <v>35</v>
      </c>
      <c r="D8910" s="601">
        <v>282.08</v>
      </c>
    </row>
    <row r="8911" spans="1:4" ht="27">
      <c r="A8911" s="402">
        <v>92311</v>
      </c>
      <c r="B8911" s="403" t="s">
        <v>5191</v>
      </c>
      <c r="C8911" s="402" t="s">
        <v>35</v>
      </c>
      <c r="D8911" s="601">
        <v>8.3699999999999992</v>
      </c>
    </row>
    <row r="8912" spans="1:4" ht="27">
      <c r="A8912" s="402">
        <v>92312</v>
      </c>
      <c r="B8912" s="403" t="s">
        <v>5192</v>
      </c>
      <c r="C8912" s="402" t="s">
        <v>35</v>
      </c>
      <c r="D8912" s="601">
        <v>13.69</v>
      </c>
    </row>
    <row r="8913" spans="1:4" ht="27">
      <c r="A8913" s="402">
        <v>92313</v>
      </c>
      <c r="B8913" s="403" t="s">
        <v>5193</v>
      </c>
      <c r="C8913" s="402" t="s">
        <v>35</v>
      </c>
      <c r="D8913" s="601">
        <v>20.010000000000002</v>
      </c>
    </row>
    <row r="8914" spans="1:4" ht="27">
      <c r="A8914" s="402">
        <v>92314</v>
      </c>
      <c r="B8914" s="403" t="s">
        <v>5194</v>
      </c>
      <c r="C8914" s="402" t="s">
        <v>35</v>
      </c>
      <c r="D8914" s="601">
        <v>5.44</v>
      </c>
    </row>
    <row r="8915" spans="1:4" ht="27">
      <c r="A8915" s="402">
        <v>92315</v>
      </c>
      <c r="B8915" s="403" t="s">
        <v>5195</v>
      </c>
      <c r="C8915" s="402" t="s">
        <v>35</v>
      </c>
      <c r="D8915" s="601">
        <v>8.09</v>
      </c>
    </row>
    <row r="8916" spans="1:4" ht="27">
      <c r="A8916" s="402">
        <v>92316</v>
      </c>
      <c r="B8916" s="403" t="s">
        <v>5196</v>
      </c>
      <c r="C8916" s="402" t="s">
        <v>35</v>
      </c>
      <c r="D8916" s="601">
        <v>12.41</v>
      </c>
    </row>
    <row r="8917" spans="1:4" ht="27">
      <c r="A8917" s="402">
        <v>92317</v>
      </c>
      <c r="B8917" s="403" t="s">
        <v>5197</v>
      </c>
      <c r="C8917" s="402" t="s">
        <v>35</v>
      </c>
      <c r="D8917" s="601">
        <v>11.39</v>
      </c>
    </row>
    <row r="8918" spans="1:4" ht="27">
      <c r="A8918" s="402">
        <v>92318</v>
      </c>
      <c r="B8918" s="403" t="s">
        <v>5198</v>
      </c>
      <c r="C8918" s="402" t="s">
        <v>35</v>
      </c>
      <c r="D8918" s="601">
        <v>18.09</v>
      </c>
    </row>
    <row r="8919" spans="1:4" ht="27">
      <c r="A8919" s="402">
        <v>92319</v>
      </c>
      <c r="B8919" s="403" t="s">
        <v>5199</v>
      </c>
      <c r="C8919" s="402" t="s">
        <v>35</v>
      </c>
      <c r="D8919" s="601">
        <v>25.62</v>
      </c>
    </row>
    <row r="8920" spans="1:4" ht="27">
      <c r="A8920" s="402">
        <v>92326</v>
      </c>
      <c r="B8920" s="403" t="s">
        <v>5200</v>
      </c>
      <c r="C8920" s="402" t="s">
        <v>35</v>
      </c>
      <c r="D8920" s="601">
        <v>9.82</v>
      </c>
    </row>
    <row r="8921" spans="1:4" ht="27">
      <c r="A8921" s="402">
        <v>92327</v>
      </c>
      <c r="B8921" s="403" t="s">
        <v>5201</v>
      </c>
      <c r="C8921" s="402" t="s">
        <v>35</v>
      </c>
      <c r="D8921" s="601">
        <v>15.52</v>
      </c>
    </row>
    <row r="8922" spans="1:4" ht="27">
      <c r="A8922" s="402">
        <v>92328</v>
      </c>
      <c r="B8922" s="403" t="s">
        <v>5202</v>
      </c>
      <c r="C8922" s="402" t="s">
        <v>35</v>
      </c>
      <c r="D8922" s="601">
        <v>23.26</v>
      </c>
    </row>
    <row r="8923" spans="1:4" ht="27">
      <c r="A8923" s="402">
        <v>92329</v>
      </c>
      <c r="B8923" s="403" t="s">
        <v>5203</v>
      </c>
      <c r="C8923" s="402" t="s">
        <v>35</v>
      </c>
      <c r="D8923" s="601">
        <v>5.58</v>
      </c>
    </row>
    <row r="8924" spans="1:4" ht="27">
      <c r="A8924" s="402">
        <v>92330</v>
      </c>
      <c r="B8924" s="403" t="s">
        <v>5204</v>
      </c>
      <c r="C8924" s="402" t="s">
        <v>35</v>
      </c>
      <c r="D8924" s="601">
        <v>9.2899999999999991</v>
      </c>
    </row>
    <row r="8925" spans="1:4" ht="27">
      <c r="A8925" s="402">
        <v>92331</v>
      </c>
      <c r="B8925" s="403" t="s">
        <v>5205</v>
      </c>
      <c r="C8925" s="402" t="s">
        <v>35</v>
      </c>
      <c r="D8925" s="601">
        <v>14.6</v>
      </c>
    </row>
    <row r="8926" spans="1:4" ht="27">
      <c r="A8926" s="402">
        <v>92332</v>
      </c>
      <c r="B8926" s="403" t="s">
        <v>5206</v>
      </c>
      <c r="C8926" s="402" t="s">
        <v>35</v>
      </c>
      <c r="D8926" s="601">
        <v>11.59</v>
      </c>
    </row>
    <row r="8927" spans="1:4" ht="27">
      <c r="A8927" s="402">
        <v>92333</v>
      </c>
      <c r="B8927" s="403" t="s">
        <v>5207</v>
      </c>
      <c r="C8927" s="402" t="s">
        <v>35</v>
      </c>
      <c r="D8927" s="601">
        <v>20.51</v>
      </c>
    </row>
    <row r="8928" spans="1:4" ht="27">
      <c r="A8928" s="402">
        <v>92334</v>
      </c>
      <c r="B8928" s="403" t="s">
        <v>5208</v>
      </c>
      <c r="C8928" s="402" t="s">
        <v>35</v>
      </c>
      <c r="D8928" s="601">
        <v>29.96</v>
      </c>
    </row>
    <row r="8929" spans="1:4" ht="27">
      <c r="A8929" s="402">
        <v>92344</v>
      </c>
      <c r="B8929" s="403" t="s">
        <v>629</v>
      </c>
      <c r="C8929" s="402" t="s">
        <v>35</v>
      </c>
      <c r="D8929" s="601">
        <v>38.53</v>
      </c>
    </row>
    <row r="8930" spans="1:4" ht="27">
      <c r="A8930" s="402">
        <v>92345</v>
      </c>
      <c r="B8930" s="403" t="s">
        <v>2658</v>
      </c>
      <c r="C8930" s="402" t="s">
        <v>35</v>
      </c>
      <c r="D8930" s="601">
        <v>38.520000000000003</v>
      </c>
    </row>
    <row r="8931" spans="1:4" ht="27">
      <c r="A8931" s="402">
        <v>92346</v>
      </c>
      <c r="B8931" s="403" t="s">
        <v>2659</v>
      </c>
      <c r="C8931" s="402" t="s">
        <v>35</v>
      </c>
      <c r="D8931" s="601">
        <v>49.8</v>
      </c>
    </row>
    <row r="8932" spans="1:4" ht="27">
      <c r="A8932" s="402">
        <v>92347</v>
      </c>
      <c r="B8932" s="403" t="s">
        <v>2660</v>
      </c>
      <c r="C8932" s="402" t="s">
        <v>35</v>
      </c>
      <c r="D8932" s="601">
        <v>54.95</v>
      </c>
    </row>
    <row r="8933" spans="1:4" ht="27">
      <c r="A8933" s="402">
        <v>92348</v>
      </c>
      <c r="B8933" s="403" t="s">
        <v>630</v>
      </c>
      <c r="C8933" s="402" t="s">
        <v>35</v>
      </c>
      <c r="D8933" s="601">
        <v>68.61</v>
      </c>
    </row>
    <row r="8934" spans="1:4" ht="27">
      <c r="A8934" s="402">
        <v>92349</v>
      </c>
      <c r="B8934" s="403" t="s">
        <v>2661</v>
      </c>
      <c r="C8934" s="402" t="s">
        <v>35</v>
      </c>
      <c r="D8934" s="601">
        <v>73.19</v>
      </c>
    </row>
    <row r="8935" spans="1:4" ht="27">
      <c r="A8935" s="402">
        <v>92350</v>
      </c>
      <c r="B8935" s="403" t="s">
        <v>631</v>
      </c>
      <c r="C8935" s="402" t="s">
        <v>35</v>
      </c>
      <c r="D8935" s="601">
        <v>57.28</v>
      </c>
    </row>
    <row r="8936" spans="1:4" ht="27">
      <c r="A8936" s="402">
        <v>92351</v>
      </c>
      <c r="B8936" s="403" t="s">
        <v>632</v>
      </c>
      <c r="C8936" s="402" t="s">
        <v>35</v>
      </c>
      <c r="D8936" s="601">
        <v>56.13</v>
      </c>
    </row>
    <row r="8937" spans="1:4" ht="27">
      <c r="A8937" s="402">
        <v>92352</v>
      </c>
      <c r="B8937" s="403" t="s">
        <v>2662</v>
      </c>
      <c r="C8937" s="402" t="s">
        <v>35</v>
      </c>
      <c r="D8937" s="601">
        <v>84.5</v>
      </c>
    </row>
    <row r="8938" spans="1:4" ht="27">
      <c r="A8938" s="402">
        <v>92353</v>
      </c>
      <c r="B8938" s="403" t="s">
        <v>2663</v>
      </c>
      <c r="C8938" s="402" t="s">
        <v>35</v>
      </c>
      <c r="D8938" s="601">
        <v>79.459999999999994</v>
      </c>
    </row>
    <row r="8939" spans="1:4" ht="27">
      <c r="A8939" s="402">
        <v>92354</v>
      </c>
      <c r="B8939" s="403" t="s">
        <v>633</v>
      </c>
      <c r="C8939" s="402" t="s">
        <v>35</v>
      </c>
      <c r="D8939" s="601">
        <v>110.68</v>
      </c>
    </row>
    <row r="8940" spans="1:4" ht="27">
      <c r="A8940" s="402">
        <v>92355</v>
      </c>
      <c r="B8940" s="403" t="s">
        <v>634</v>
      </c>
      <c r="C8940" s="402" t="s">
        <v>35</v>
      </c>
      <c r="D8940" s="601">
        <v>100.96</v>
      </c>
    </row>
    <row r="8941" spans="1:4" ht="27">
      <c r="A8941" s="402">
        <v>92356</v>
      </c>
      <c r="B8941" s="403" t="s">
        <v>635</v>
      </c>
      <c r="C8941" s="402" t="s">
        <v>35</v>
      </c>
      <c r="D8941" s="601">
        <v>74.849999999999994</v>
      </c>
    </row>
    <row r="8942" spans="1:4" ht="27">
      <c r="A8942" s="402">
        <v>92357</v>
      </c>
      <c r="B8942" s="403" t="s">
        <v>636</v>
      </c>
      <c r="C8942" s="402" t="s">
        <v>35</v>
      </c>
      <c r="D8942" s="601">
        <v>108.52</v>
      </c>
    </row>
    <row r="8943" spans="1:4" ht="27">
      <c r="A8943" s="402">
        <v>92358</v>
      </c>
      <c r="B8943" s="403" t="s">
        <v>637</v>
      </c>
      <c r="C8943" s="402" t="s">
        <v>35</v>
      </c>
      <c r="D8943" s="601">
        <v>133.72</v>
      </c>
    </row>
    <row r="8944" spans="1:4" ht="27">
      <c r="A8944" s="402">
        <v>92369</v>
      </c>
      <c r="B8944" s="403" t="s">
        <v>2671</v>
      </c>
      <c r="C8944" s="402" t="s">
        <v>35</v>
      </c>
      <c r="D8944" s="601">
        <v>21.55</v>
      </c>
    </row>
    <row r="8945" spans="1:4" ht="27">
      <c r="A8945" s="402">
        <v>92370</v>
      </c>
      <c r="B8945" s="403" t="s">
        <v>2672</v>
      </c>
      <c r="C8945" s="402" t="s">
        <v>35</v>
      </c>
      <c r="D8945" s="601">
        <v>22.48</v>
      </c>
    </row>
    <row r="8946" spans="1:4" ht="27">
      <c r="A8946" s="402">
        <v>92371</v>
      </c>
      <c r="B8946" s="403" t="s">
        <v>2673</v>
      </c>
      <c r="C8946" s="402" t="s">
        <v>35</v>
      </c>
      <c r="D8946" s="601">
        <v>25.74</v>
      </c>
    </row>
    <row r="8947" spans="1:4" ht="27">
      <c r="A8947" s="402">
        <v>92372</v>
      </c>
      <c r="B8947" s="403" t="s">
        <v>2674</v>
      </c>
      <c r="C8947" s="402" t="s">
        <v>35</v>
      </c>
      <c r="D8947" s="601">
        <v>26.61</v>
      </c>
    </row>
    <row r="8948" spans="1:4" ht="27">
      <c r="A8948" s="402">
        <v>92373</v>
      </c>
      <c r="B8948" s="403" t="s">
        <v>2675</v>
      </c>
      <c r="C8948" s="402" t="s">
        <v>35</v>
      </c>
      <c r="D8948" s="601">
        <v>30.16</v>
      </c>
    </row>
    <row r="8949" spans="1:4" ht="27">
      <c r="A8949" s="402">
        <v>92374</v>
      </c>
      <c r="B8949" s="403" t="s">
        <v>2676</v>
      </c>
      <c r="C8949" s="402" t="s">
        <v>35</v>
      </c>
      <c r="D8949" s="601">
        <v>30.32</v>
      </c>
    </row>
    <row r="8950" spans="1:4" ht="27">
      <c r="A8950" s="402">
        <v>92375</v>
      </c>
      <c r="B8950" s="403" t="s">
        <v>2677</v>
      </c>
      <c r="C8950" s="402" t="s">
        <v>35</v>
      </c>
      <c r="D8950" s="601">
        <v>38.5</v>
      </c>
    </row>
    <row r="8951" spans="1:4" ht="27">
      <c r="A8951" s="402">
        <v>92376</v>
      </c>
      <c r="B8951" s="403" t="s">
        <v>2678</v>
      </c>
      <c r="C8951" s="402" t="s">
        <v>35</v>
      </c>
      <c r="D8951" s="601">
        <v>38.49</v>
      </c>
    </row>
    <row r="8952" spans="1:4" ht="27">
      <c r="A8952" s="402">
        <v>92377</v>
      </c>
      <c r="B8952" s="403" t="s">
        <v>2679</v>
      </c>
      <c r="C8952" s="402" t="s">
        <v>35</v>
      </c>
      <c r="D8952" s="601">
        <v>50.88</v>
      </c>
    </row>
    <row r="8953" spans="1:4" ht="27">
      <c r="A8953" s="402">
        <v>92378</v>
      </c>
      <c r="B8953" s="403" t="s">
        <v>2680</v>
      </c>
      <c r="C8953" s="402" t="s">
        <v>35</v>
      </c>
      <c r="D8953" s="601">
        <v>56.03</v>
      </c>
    </row>
    <row r="8954" spans="1:4" ht="27">
      <c r="A8954" s="402">
        <v>92379</v>
      </c>
      <c r="B8954" s="403" t="s">
        <v>2681</v>
      </c>
      <c r="C8954" s="402" t="s">
        <v>35</v>
      </c>
      <c r="D8954" s="601">
        <v>70.83</v>
      </c>
    </row>
    <row r="8955" spans="1:4" ht="27">
      <c r="A8955" s="402">
        <v>92380</v>
      </c>
      <c r="B8955" s="403" t="s">
        <v>2682</v>
      </c>
      <c r="C8955" s="402" t="s">
        <v>35</v>
      </c>
      <c r="D8955" s="601">
        <v>75.41</v>
      </c>
    </row>
    <row r="8956" spans="1:4" ht="40.5">
      <c r="A8956" s="402">
        <v>92381</v>
      </c>
      <c r="B8956" s="403" t="s">
        <v>2683</v>
      </c>
      <c r="C8956" s="402" t="s">
        <v>35</v>
      </c>
      <c r="D8956" s="601">
        <v>32.56</v>
      </c>
    </row>
    <row r="8957" spans="1:4" ht="40.5">
      <c r="A8957" s="402">
        <v>92382</v>
      </c>
      <c r="B8957" s="403" t="s">
        <v>2684</v>
      </c>
      <c r="C8957" s="402" t="s">
        <v>35</v>
      </c>
      <c r="D8957" s="601">
        <v>31.33</v>
      </c>
    </row>
    <row r="8958" spans="1:4" ht="40.5">
      <c r="A8958" s="402">
        <v>92383</v>
      </c>
      <c r="B8958" s="403" t="s">
        <v>2685</v>
      </c>
      <c r="C8958" s="402" t="s">
        <v>35</v>
      </c>
      <c r="D8958" s="601">
        <v>40.32</v>
      </c>
    </row>
    <row r="8959" spans="1:4" ht="40.5">
      <c r="A8959" s="402">
        <v>92384</v>
      </c>
      <c r="B8959" s="403" t="s">
        <v>2686</v>
      </c>
      <c r="C8959" s="402" t="s">
        <v>35</v>
      </c>
      <c r="D8959" s="601">
        <v>37.880000000000003</v>
      </c>
    </row>
    <row r="8960" spans="1:4" ht="40.5">
      <c r="A8960" s="402">
        <v>92385</v>
      </c>
      <c r="B8960" s="403" t="s">
        <v>2687</v>
      </c>
      <c r="C8960" s="402" t="s">
        <v>35</v>
      </c>
      <c r="D8960" s="601">
        <v>45.97</v>
      </c>
    </row>
    <row r="8961" spans="1:4" ht="40.5">
      <c r="A8961" s="402">
        <v>92386</v>
      </c>
      <c r="B8961" s="403" t="s">
        <v>2688</v>
      </c>
      <c r="C8961" s="402" t="s">
        <v>35</v>
      </c>
      <c r="D8961" s="601">
        <v>44.28</v>
      </c>
    </row>
    <row r="8962" spans="1:4" ht="40.5">
      <c r="A8962" s="402">
        <v>92387</v>
      </c>
      <c r="B8962" s="403" t="s">
        <v>2689</v>
      </c>
      <c r="C8962" s="402" t="s">
        <v>35</v>
      </c>
      <c r="D8962" s="601">
        <v>57.21</v>
      </c>
    </row>
    <row r="8963" spans="1:4" ht="40.5">
      <c r="A8963" s="402">
        <v>92388</v>
      </c>
      <c r="B8963" s="403" t="s">
        <v>2690</v>
      </c>
      <c r="C8963" s="402" t="s">
        <v>35</v>
      </c>
      <c r="D8963" s="601">
        <v>56.06</v>
      </c>
    </row>
    <row r="8964" spans="1:4" ht="40.5">
      <c r="A8964" s="402">
        <v>92389</v>
      </c>
      <c r="B8964" s="403" t="s">
        <v>2691</v>
      </c>
      <c r="C8964" s="402" t="s">
        <v>35</v>
      </c>
      <c r="D8964" s="601">
        <v>86.15</v>
      </c>
    </row>
    <row r="8965" spans="1:4" ht="40.5">
      <c r="A8965" s="402">
        <v>92390</v>
      </c>
      <c r="B8965" s="403" t="s">
        <v>2692</v>
      </c>
      <c r="C8965" s="402" t="s">
        <v>35</v>
      </c>
      <c r="D8965" s="601">
        <v>81.11</v>
      </c>
    </row>
    <row r="8966" spans="1:4" ht="40.5">
      <c r="A8966" s="402">
        <v>92635</v>
      </c>
      <c r="B8966" s="403" t="s">
        <v>2854</v>
      </c>
      <c r="C8966" s="402" t="s">
        <v>35</v>
      </c>
      <c r="D8966" s="601">
        <v>114</v>
      </c>
    </row>
    <row r="8967" spans="1:4" ht="40.5">
      <c r="A8967" s="402">
        <v>92636</v>
      </c>
      <c r="B8967" s="403" t="s">
        <v>2855</v>
      </c>
      <c r="C8967" s="402" t="s">
        <v>35</v>
      </c>
      <c r="D8967" s="601">
        <v>104.28</v>
      </c>
    </row>
    <row r="8968" spans="1:4" ht="27">
      <c r="A8968" s="402">
        <v>92637</v>
      </c>
      <c r="B8968" s="403" t="s">
        <v>2856</v>
      </c>
      <c r="C8968" s="402" t="s">
        <v>35</v>
      </c>
      <c r="D8968" s="601">
        <v>42.26</v>
      </c>
    </row>
    <row r="8969" spans="1:4" ht="27">
      <c r="A8969" s="402">
        <v>92638</v>
      </c>
      <c r="B8969" s="403" t="s">
        <v>2857</v>
      </c>
      <c r="C8969" s="402" t="s">
        <v>35</v>
      </c>
      <c r="D8969" s="601">
        <v>50.83</v>
      </c>
    </row>
    <row r="8970" spans="1:4" ht="27">
      <c r="A8970" s="402">
        <v>92639</v>
      </c>
      <c r="B8970" s="403" t="s">
        <v>2858</v>
      </c>
      <c r="C8970" s="402" t="s">
        <v>35</v>
      </c>
      <c r="D8970" s="601">
        <v>58.44</v>
      </c>
    </row>
    <row r="8971" spans="1:4" ht="27">
      <c r="A8971" s="402">
        <v>92640</v>
      </c>
      <c r="B8971" s="403" t="s">
        <v>2859</v>
      </c>
      <c r="C8971" s="402" t="s">
        <v>35</v>
      </c>
      <c r="D8971" s="601">
        <v>74.760000000000005</v>
      </c>
    </row>
    <row r="8972" spans="1:4" ht="27">
      <c r="A8972" s="402">
        <v>92642</v>
      </c>
      <c r="B8972" s="403" t="s">
        <v>2860</v>
      </c>
      <c r="C8972" s="402" t="s">
        <v>35</v>
      </c>
      <c r="D8972" s="601">
        <v>110.68</v>
      </c>
    </row>
    <row r="8973" spans="1:4" ht="27">
      <c r="A8973" s="402">
        <v>92644</v>
      </c>
      <c r="B8973" s="403" t="s">
        <v>2861</v>
      </c>
      <c r="C8973" s="402" t="s">
        <v>35</v>
      </c>
      <c r="D8973" s="601">
        <v>138.16</v>
      </c>
    </row>
    <row r="8974" spans="1:4" ht="27">
      <c r="A8974" s="402">
        <v>92657</v>
      </c>
      <c r="B8974" s="403" t="s">
        <v>2870</v>
      </c>
      <c r="C8974" s="402" t="s">
        <v>35</v>
      </c>
      <c r="D8974" s="601">
        <v>15.57</v>
      </c>
    </row>
    <row r="8975" spans="1:4" ht="27">
      <c r="A8975" s="402">
        <v>92658</v>
      </c>
      <c r="B8975" s="403" t="s">
        <v>2871</v>
      </c>
      <c r="C8975" s="402" t="s">
        <v>35</v>
      </c>
      <c r="D8975" s="601">
        <v>16.5</v>
      </c>
    </row>
    <row r="8976" spans="1:4" ht="27">
      <c r="A8976" s="402">
        <v>92659</v>
      </c>
      <c r="B8976" s="403" t="s">
        <v>2872</v>
      </c>
      <c r="C8976" s="402" t="s">
        <v>35</v>
      </c>
      <c r="D8976" s="601">
        <v>18.93</v>
      </c>
    </row>
    <row r="8977" spans="1:4" ht="27">
      <c r="A8977" s="402">
        <v>92660</v>
      </c>
      <c r="B8977" s="403" t="s">
        <v>2873</v>
      </c>
      <c r="C8977" s="402" t="s">
        <v>35</v>
      </c>
      <c r="D8977" s="601">
        <v>19.8</v>
      </c>
    </row>
    <row r="8978" spans="1:4" ht="27">
      <c r="A8978" s="402">
        <v>92661</v>
      </c>
      <c r="B8978" s="403" t="s">
        <v>2874</v>
      </c>
      <c r="C8978" s="402" t="s">
        <v>35</v>
      </c>
      <c r="D8978" s="601">
        <v>22.4</v>
      </c>
    </row>
    <row r="8979" spans="1:4" ht="27">
      <c r="A8979" s="402">
        <v>92662</v>
      </c>
      <c r="B8979" s="403" t="s">
        <v>2875</v>
      </c>
      <c r="C8979" s="402" t="s">
        <v>35</v>
      </c>
      <c r="D8979" s="601">
        <v>22.56</v>
      </c>
    </row>
    <row r="8980" spans="1:4" ht="27">
      <c r="A8980" s="402">
        <v>92663</v>
      </c>
      <c r="B8980" s="403" t="s">
        <v>2876</v>
      </c>
      <c r="C8980" s="402" t="s">
        <v>35</v>
      </c>
      <c r="D8980" s="601">
        <v>29.57</v>
      </c>
    </row>
    <row r="8981" spans="1:4" ht="27">
      <c r="A8981" s="402">
        <v>92664</v>
      </c>
      <c r="B8981" s="403" t="s">
        <v>2877</v>
      </c>
      <c r="C8981" s="402" t="s">
        <v>35</v>
      </c>
      <c r="D8981" s="601">
        <v>29.56</v>
      </c>
    </row>
    <row r="8982" spans="1:4" ht="27">
      <c r="A8982" s="402">
        <v>92665</v>
      </c>
      <c r="B8982" s="403" t="s">
        <v>2878</v>
      </c>
      <c r="C8982" s="402" t="s">
        <v>35</v>
      </c>
      <c r="D8982" s="601">
        <v>40.19</v>
      </c>
    </row>
    <row r="8983" spans="1:4" ht="27">
      <c r="A8983" s="402">
        <v>92666</v>
      </c>
      <c r="B8983" s="403" t="s">
        <v>2879</v>
      </c>
      <c r="C8983" s="402" t="s">
        <v>35</v>
      </c>
      <c r="D8983" s="601">
        <v>45.34</v>
      </c>
    </row>
    <row r="8984" spans="1:4" ht="27">
      <c r="A8984" s="402">
        <v>92667</v>
      </c>
      <c r="B8984" s="403" t="s">
        <v>2880</v>
      </c>
      <c r="C8984" s="402" t="s">
        <v>35</v>
      </c>
      <c r="D8984" s="601">
        <v>58.38</v>
      </c>
    </row>
    <row r="8985" spans="1:4" ht="27">
      <c r="A8985" s="402">
        <v>92668</v>
      </c>
      <c r="B8985" s="403" t="s">
        <v>2881</v>
      </c>
      <c r="C8985" s="402" t="s">
        <v>35</v>
      </c>
      <c r="D8985" s="601">
        <v>62.96</v>
      </c>
    </row>
    <row r="8986" spans="1:4" ht="40.5">
      <c r="A8986" s="402">
        <v>92669</v>
      </c>
      <c r="B8986" s="403" t="s">
        <v>2882</v>
      </c>
      <c r="C8986" s="402" t="s">
        <v>35</v>
      </c>
      <c r="D8986" s="601">
        <v>23.57</v>
      </c>
    </row>
    <row r="8987" spans="1:4" ht="40.5">
      <c r="A8987" s="402">
        <v>92670</v>
      </c>
      <c r="B8987" s="403" t="s">
        <v>2883</v>
      </c>
      <c r="C8987" s="402" t="s">
        <v>35</v>
      </c>
      <c r="D8987" s="601">
        <v>22.34</v>
      </c>
    </row>
    <row r="8988" spans="1:4" ht="40.5">
      <c r="A8988" s="402">
        <v>92671</v>
      </c>
      <c r="B8988" s="403" t="s">
        <v>2884</v>
      </c>
      <c r="C8988" s="402" t="s">
        <v>35</v>
      </c>
      <c r="D8988" s="601">
        <v>30.12</v>
      </c>
    </row>
    <row r="8989" spans="1:4" ht="40.5">
      <c r="A8989" s="402">
        <v>92672</v>
      </c>
      <c r="B8989" s="403" t="s">
        <v>2885</v>
      </c>
      <c r="C8989" s="402" t="s">
        <v>35</v>
      </c>
      <c r="D8989" s="601">
        <v>27.68</v>
      </c>
    </row>
    <row r="8990" spans="1:4" ht="40.5">
      <c r="A8990" s="402">
        <v>92673</v>
      </c>
      <c r="B8990" s="403" t="s">
        <v>2886</v>
      </c>
      <c r="C8990" s="402" t="s">
        <v>35</v>
      </c>
      <c r="D8990" s="601">
        <v>34.35</v>
      </c>
    </row>
    <row r="8991" spans="1:4" ht="40.5">
      <c r="A8991" s="402">
        <v>92674</v>
      </c>
      <c r="B8991" s="403" t="s">
        <v>2887</v>
      </c>
      <c r="C8991" s="402" t="s">
        <v>35</v>
      </c>
      <c r="D8991" s="601">
        <v>32.659999999999997</v>
      </c>
    </row>
    <row r="8992" spans="1:4" ht="40.5">
      <c r="A8992" s="402">
        <v>92675</v>
      </c>
      <c r="B8992" s="403" t="s">
        <v>2888</v>
      </c>
      <c r="C8992" s="402" t="s">
        <v>35</v>
      </c>
      <c r="D8992" s="601">
        <v>43.85</v>
      </c>
    </row>
    <row r="8993" spans="1:4" ht="40.5">
      <c r="A8993" s="402">
        <v>92676</v>
      </c>
      <c r="B8993" s="403" t="s">
        <v>2889</v>
      </c>
      <c r="C8993" s="402" t="s">
        <v>35</v>
      </c>
      <c r="D8993" s="601">
        <v>42.7</v>
      </c>
    </row>
    <row r="8994" spans="1:4" ht="40.5">
      <c r="A8994" s="402">
        <v>92677</v>
      </c>
      <c r="B8994" s="403" t="s">
        <v>2890</v>
      </c>
      <c r="C8994" s="402" t="s">
        <v>35</v>
      </c>
      <c r="D8994" s="601">
        <v>70.12</v>
      </c>
    </row>
    <row r="8995" spans="1:4" ht="40.5">
      <c r="A8995" s="402">
        <v>92678</v>
      </c>
      <c r="B8995" s="403" t="s">
        <v>2891</v>
      </c>
      <c r="C8995" s="402" t="s">
        <v>35</v>
      </c>
      <c r="D8995" s="601">
        <v>65.08</v>
      </c>
    </row>
    <row r="8996" spans="1:4" ht="40.5">
      <c r="A8996" s="402">
        <v>92679</v>
      </c>
      <c r="B8996" s="403" t="s">
        <v>2892</v>
      </c>
      <c r="C8996" s="402" t="s">
        <v>35</v>
      </c>
      <c r="D8996" s="601">
        <v>95.35</v>
      </c>
    </row>
    <row r="8997" spans="1:4" ht="40.5">
      <c r="A8997" s="402">
        <v>92680</v>
      </c>
      <c r="B8997" s="403" t="s">
        <v>2893</v>
      </c>
      <c r="C8997" s="402" t="s">
        <v>35</v>
      </c>
      <c r="D8997" s="601">
        <v>85.63</v>
      </c>
    </row>
    <row r="8998" spans="1:4" ht="27">
      <c r="A8998" s="402">
        <v>92681</v>
      </c>
      <c r="B8998" s="403" t="s">
        <v>2894</v>
      </c>
      <c r="C8998" s="402" t="s">
        <v>35</v>
      </c>
      <c r="D8998" s="601">
        <v>30.26</v>
      </c>
    </row>
    <row r="8999" spans="1:4" ht="27">
      <c r="A8999" s="402">
        <v>92682</v>
      </c>
      <c r="B8999" s="403" t="s">
        <v>2895</v>
      </c>
      <c r="C8999" s="402" t="s">
        <v>35</v>
      </c>
      <c r="D8999" s="601">
        <v>37.18</v>
      </c>
    </row>
    <row r="9000" spans="1:4" ht="27">
      <c r="A9000" s="402">
        <v>92683</v>
      </c>
      <c r="B9000" s="403" t="s">
        <v>2896</v>
      </c>
      <c r="C9000" s="402" t="s">
        <v>35</v>
      </c>
      <c r="D9000" s="601">
        <v>42.96</v>
      </c>
    </row>
    <row r="9001" spans="1:4" ht="27">
      <c r="A9001" s="402">
        <v>92684</v>
      </c>
      <c r="B9001" s="403" t="s">
        <v>2897</v>
      </c>
      <c r="C9001" s="402" t="s">
        <v>35</v>
      </c>
      <c r="D9001" s="601">
        <v>56.93</v>
      </c>
    </row>
    <row r="9002" spans="1:4" ht="27">
      <c r="A9002" s="402">
        <v>92685</v>
      </c>
      <c r="B9002" s="403" t="s">
        <v>2898</v>
      </c>
      <c r="C9002" s="402" t="s">
        <v>35</v>
      </c>
      <c r="D9002" s="601">
        <v>89.34</v>
      </c>
    </row>
    <row r="9003" spans="1:4" ht="27">
      <c r="A9003" s="402">
        <v>92686</v>
      </c>
      <c r="B9003" s="403" t="s">
        <v>2899</v>
      </c>
      <c r="C9003" s="402" t="s">
        <v>35</v>
      </c>
      <c r="D9003" s="601">
        <v>113.27</v>
      </c>
    </row>
    <row r="9004" spans="1:4" ht="27">
      <c r="A9004" s="402">
        <v>92692</v>
      </c>
      <c r="B9004" s="403" t="s">
        <v>2902</v>
      </c>
      <c r="C9004" s="402" t="s">
        <v>35</v>
      </c>
      <c r="D9004" s="601">
        <v>8.44</v>
      </c>
    </row>
    <row r="9005" spans="1:4" ht="27">
      <c r="A9005" s="402">
        <v>92693</v>
      </c>
      <c r="B9005" s="403" t="s">
        <v>651</v>
      </c>
      <c r="C9005" s="402" t="s">
        <v>35</v>
      </c>
      <c r="D9005" s="601">
        <v>8.65</v>
      </c>
    </row>
    <row r="9006" spans="1:4" ht="27">
      <c r="A9006" s="402">
        <v>92694</v>
      </c>
      <c r="B9006" s="403" t="s">
        <v>2903</v>
      </c>
      <c r="C9006" s="402" t="s">
        <v>35</v>
      </c>
      <c r="D9006" s="601">
        <v>13.55</v>
      </c>
    </row>
    <row r="9007" spans="1:4" ht="27">
      <c r="A9007" s="402">
        <v>92695</v>
      </c>
      <c r="B9007" s="403" t="s">
        <v>652</v>
      </c>
      <c r="C9007" s="402" t="s">
        <v>35</v>
      </c>
      <c r="D9007" s="601">
        <v>13.75</v>
      </c>
    </row>
    <row r="9008" spans="1:4" ht="27">
      <c r="A9008" s="402">
        <v>92696</v>
      </c>
      <c r="B9008" s="403" t="s">
        <v>653</v>
      </c>
      <c r="C9008" s="402" t="s">
        <v>35</v>
      </c>
      <c r="D9008" s="601">
        <v>21.3</v>
      </c>
    </row>
    <row r="9009" spans="1:4" ht="27">
      <c r="A9009" s="402">
        <v>92697</v>
      </c>
      <c r="B9009" s="403" t="s">
        <v>2904</v>
      </c>
      <c r="C9009" s="402" t="s">
        <v>35</v>
      </c>
      <c r="D9009" s="601">
        <v>22.23</v>
      </c>
    </row>
    <row r="9010" spans="1:4" ht="40.5">
      <c r="A9010" s="402">
        <v>92698</v>
      </c>
      <c r="B9010" s="403" t="s">
        <v>2905</v>
      </c>
      <c r="C9010" s="402" t="s">
        <v>35</v>
      </c>
      <c r="D9010" s="601">
        <v>12.49</v>
      </c>
    </row>
    <row r="9011" spans="1:4" ht="40.5">
      <c r="A9011" s="402">
        <v>92699</v>
      </c>
      <c r="B9011" s="403" t="s">
        <v>2906</v>
      </c>
      <c r="C9011" s="402" t="s">
        <v>35</v>
      </c>
      <c r="D9011" s="601">
        <v>11.81</v>
      </c>
    </row>
    <row r="9012" spans="1:4" ht="40.5">
      <c r="A9012" s="402">
        <v>92700</v>
      </c>
      <c r="B9012" s="403" t="s">
        <v>2907</v>
      </c>
      <c r="C9012" s="402" t="s">
        <v>35</v>
      </c>
      <c r="D9012" s="601">
        <v>20.51</v>
      </c>
    </row>
    <row r="9013" spans="1:4" ht="40.5">
      <c r="A9013" s="402">
        <v>92701</v>
      </c>
      <c r="B9013" s="403" t="s">
        <v>2908</v>
      </c>
      <c r="C9013" s="402" t="s">
        <v>35</v>
      </c>
      <c r="D9013" s="601">
        <v>19.510000000000002</v>
      </c>
    </row>
    <row r="9014" spans="1:4" ht="40.5">
      <c r="A9014" s="402">
        <v>92702</v>
      </c>
      <c r="B9014" s="403" t="s">
        <v>2909</v>
      </c>
      <c r="C9014" s="402" t="s">
        <v>35</v>
      </c>
      <c r="D9014" s="601">
        <v>32.21</v>
      </c>
    </row>
    <row r="9015" spans="1:4" ht="40.5">
      <c r="A9015" s="402">
        <v>92703</v>
      </c>
      <c r="B9015" s="403" t="s">
        <v>2910</v>
      </c>
      <c r="C9015" s="402" t="s">
        <v>35</v>
      </c>
      <c r="D9015" s="601">
        <v>30.98</v>
      </c>
    </row>
    <row r="9016" spans="1:4" ht="27">
      <c r="A9016" s="402">
        <v>92704</v>
      </c>
      <c r="B9016" s="403" t="s">
        <v>2911</v>
      </c>
      <c r="C9016" s="402" t="s">
        <v>35</v>
      </c>
      <c r="D9016" s="601">
        <v>15.93</v>
      </c>
    </row>
    <row r="9017" spans="1:4" ht="27">
      <c r="A9017" s="402">
        <v>92705</v>
      </c>
      <c r="B9017" s="403" t="s">
        <v>2912</v>
      </c>
      <c r="C9017" s="402" t="s">
        <v>35</v>
      </c>
      <c r="D9017" s="601">
        <v>25.81</v>
      </c>
    </row>
    <row r="9018" spans="1:4" ht="27">
      <c r="A9018" s="402">
        <v>92706</v>
      </c>
      <c r="B9018" s="403" t="s">
        <v>654</v>
      </c>
      <c r="C9018" s="402" t="s">
        <v>35</v>
      </c>
      <c r="D9018" s="601">
        <v>41.78</v>
      </c>
    </row>
    <row r="9019" spans="1:4" ht="27">
      <c r="A9019" s="402">
        <v>92889</v>
      </c>
      <c r="B9019" s="403" t="s">
        <v>659</v>
      </c>
      <c r="C9019" s="402" t="s">
        <v>35</v>
      </c>
      <c r="D9019" s="601">
        <v>72</v>
      </c>
    </row>
    <row r="9020" spans="1:4" ht="27">
      <c r="A9020" s="402">
        <v>92890</v>
      </c>
      <c r="B9020" s="403" t="s">
        <v>3064</v>
      </c>
      <c r="C9020" s="402" t="s">
        <v>35</v>
      </c>
      <c r="D9020" s="601">
        <v>107.35</v>
      </c>
    </row>
    <row r="9021" spans="1:4" ht="27">
      <c r="A9021" s="402">
        <v>92891</v>
      </c>
      <c r="B9021" s="403" t="s">
        <v>660</v>
      </c>
      <c r="C9021" s="402" t="s">
        <v>35</v>
      </c>
      <c r="D9021" s="601">
        <v>155.68</v>
      </c>
    </row>
    <row r="9022" spans="1:4" ht="27">
      <c r="A9022" s="402">
        <v>92892</v>
      </c>
      <c r="B9022" s="403" t="s">
        <v>3065</v>
      </c>
      <c r="C9022" s="402" t="s">
        <v>35</v>
      </c>
      <c r="D9022" s="601">
        <v>32.450000000000003</v>
      </c>
    </row>
    <row r="9023" spans="1:4" ht="27">
      <c r="A9023" s="402">
        <v>92893</v>
      </c>
      <c r="B9023" s="403" t="s">
        <v>3066</v>
      </c>
      <c r="C9023" s="402" t="s">
        <v>35</v>
      </c>
      <c r="D9023" s="601">
        <v>45.13</v>
      </c>
    </row>
    <row r="9024" spans="1:4" ht="27">
      <c r="A9024" s="402">
        <v>92894</v>
      </c>
      <c r="B9024" s="403" t="s">
        <v>3067</v>
      </c>
      <c r="C9024" s="402" t="s">
        <v>35</v>
      </c>
      <c r="D9024" s="601">
        <v>53.57</v>
      </c>
    </row>
    <row r="9025" spans="1:4" ht="27">
      <c r="A9025" s="402">
        <v>92895</v>
      </c>
      <c r="B9025" s="403" t="s">
        <v>3068</v>
      </c>
      <c r="C9025" s="402" t="s">
        <v>35</v>
      </c>
      <c r="D9025" s="601">
        <v>71.97</v>
      </c>
    </row>
    <row r="9026" spans="1:4" ht="27">
      <c r="A9026" s="402">
        <v>92896</v>
      </c>
      <c r="B9026" s="403" t="s">
        <v>3069</v>
      </c>
      <c r="C9026" s="402" t="s">
        <v>35</v>
      </c>
      <c r="D9026" s="601">
        <v>108.43</v>
      </c>
    </row>
    <row r="9027" spans="1:4" ht="27">
      <c r="A9027" s="402">
        <v>92897</v>
      </c>
      <c r="B9027" s="403" t="s">
        <v>3070</v>
      </c>
      <c r="C9027" s="402" t="s">
        <v>35</v>
      </c>
      <c r="D9027" s="601">
        <v>157.9</v>
      </c>
    </row>
    <row r="9028" spans="1:4" ht="27">
      <c r="A9028" s="402">
        <v>92898</v>
      </c>
      <c r="B9028" s="403" t="s">
        <v>3071</v>
      </c>
      <c r="C9028" s="402" t="s">
        <v>35</v>
      </c>
      <c r="D9028" s="601">
        <v>26.47</v>
      </c>
    </row>
    <row r="9029" spans="1:4" ht="27">
      <c r="A9029" s="402">
        <v>92899</v>
      </c>
      <c r="B9029" s="403" t="s">
        <v>3072</v>
      </c>
      <c r="C9029" s="402" t="s">
        <v>35</v>
      </c>
      <c r="D9029" s="601">
        <v>38.32</v>
      </c>
    </row>
    <row r="9030" spans="1:4" ht="27">
      <c r="A9030" s="402">
        <v>92900</v>
      </c>
      <c r="B9030" s="403" t="s">
        <v>3073</v>
      </c>
      <c r="C9030" s="402" t="s">
        <v>35</v>
      </c>
      <c r="D9030" s="601">
        <v>45.81</v>
      </c>
    </row>
    <row r="9031" spans="1:4" ht="27">
      <c r="A9031" s="402">
        <v>92901</v>
      </c>
      <c r="B9031" s="403" t="s">
        <v>3074</v>
      </c>
      <c r="C9031" s="402" t="s">
        <v>35</v>
      </c>
      <c r="D9031" s="601">
        <v>63.04</v>
      </c>
    </row>
    <row r="9032" spans="1:4" ht="27">
      <c r="A9032" s="402">
        <v>92902</v>
      </c>
      <c r="B9032" s="403" t="s">
        <v>3075</v>
      </c>
      <c r="C9032" s="402" t="s">
        <v>35</v>
      </c>
      <c r="D9032" s="601">
        <v>97.74</v>
      </c>
    </row>
    <row r="9033" spans="1:4" ht="27">
      <c r="A9033" s="402">
        <v>92903</v>
      </c>
      <c r="B9033" s="403" t="s">
        <v>3076</v>
      </c>
      <c r="C9033" s="402" t="s">
        <v>35</v>
      </c>
      <c r="D9033" s="601">
        <v>145.44999999999999</v>
      </c>
    </row>
    <row r="9034" spans="1:4" ht="27">
      <c r="A9034" s="402">
        <v>92904</v>
      </c>
      <c r="B9034" s="403" t="s">
        <v>3077</v>
      </c>
      <c r="C9034" s="402" t="s">
        <v>35</v>
      </c>
      <c r="D9034" s="601">
        <v>17.79</v>
      </c>
    </row>
    <row r="9035" spans="1:4" ht="27">
      <c r="A9035" s="402">
        <v>92905</v>
      </c>
      <c r="B9035" s="403" t="s">
        <v>3078</v>
      </c>
      <c r="C9035" s="402" t="s">
        <v>35</v>
      </c>
      <c r="D9035" s="601">
        <v>25.75</v>
      </c>
    </row>
    <row r="9036" spans="1:4" ht="27">
      <c r="A9036" s="402">
        <v>92906</v>
      </c>
      <c r="B9036" s="403" t="s">
        <v>661</v>
      </c>
      <c r="C9036" s="402" t="s">
        <v>35</v>
      </c>
      <c r="D9036" s="601">
        <v>32.200000000000003</v>
      </c>
    </row>
    <row r="9037" spans="1:4" ht="27">
      <c r="A9037" s="402">
        <v>92907</v>
      </c>
      <c r="B9037" s="403" t="s">
        <v>4900</v>
      </c>
      <c r="C9037" s="402" t="s">
        <v>35</v>
      </c>
      <c r="D9037" s="601">
        <v>40.47</v>
      </c>
    </row>
    <row r="9038" spans="1:4" ht="27">
      <c r="A9038" s="402">
        <v>92908</v>
      </c>
      <c r="B9038" s="403" t="s">
        <v>4901</v>
      </c>
      <c r="C9038" s="402" t="s">
        <v>35</v>
      </c>
      <c r="D9038" s="601">
        <v>40.47</v>
      </c>
    </row>
    <row r="9039" spans="1:4" ht="27">
      <c r="A9039" s="402">
        <v>92909</v>
      </c>
      <c r="B9039" s="403" t="s">
        <v>3079</v>
      </c>
      <c r="C9039" s="402" t="s">
        <v>35</v>
      </c>
      <c r="D9039" s="601">
        <v>40.47</v>
      </c>
    </row>
    <row r="9040" spans="1:4" ht="27">
      <c r="A9040" s="402">
        <v>92910</v>
      </c>
      <c r="B9040" s="403" t="s">
        <v>4902</v>
      </c>
      <c r="C9040" s="402" t="s">
        <v>35</v>
      </c>
      <c r="D9040" s="601">
        <v>57.13</v>
      </c>
    </row>
    <row r="9041" spans="1:4" ht="27">
      <c r="A9041" s="402">
        <v>92911</v>
      </c>
      <c r="B9041" s="403" t="s">
        <v>4903</v>
      </c>
      <c r="C9041" s="402" t="s">
        <v>35</v>
      </c>
      <c r="D9041" s="601">
        <v>57.13</v>
      </c>
    </row>
    <row r="9042" spans="1:4" ht="27">
      <c r="A9042" s="402">
        <v>92912</v>
      </c>
      <c r="B9042" s="403" t="s">
        <v>4904</v>
      </c>
      <c r="C9042" s="402" t="s">
        <v>35</v>
      </c>
      <c r="D9042" s="601">
        <v>75.11</v>
      </c>
    </row>
    <row r="9043" spans="1:4" ht="27">
      <c r="A9043" s="402">
        <v>92913</v>
      </c>
      <c r="B9043" s="403" t="s">
        <v>4905</v>
      </c>
      <c r="C9043" s="402" t="s">
        <v>35</v>
      </c>
      <c r="D9043" s="601">
        <v>77</v>
      </c>
    </row>
    <row r="9044" spans="1:4" ht="27">
      <c r="A9044" s="402">
        <v>92914</v>
      </c>
      <c r="B9044" s="403" t="s">
        <v>3080</v>
      </c>
      <c r="C9044" s="402" t="s">
        <v>35</v>
      </c>
      <c r="D9044" s="601">
        <v>77</v>
      </c>
    </row>
    <row r="9045" spans="1:4" ht="40.5">
      <c r="A9045" s="402">
        <v>92918</v>
      </c>
      <c r="B9045" s="403" t="s">
        <v>3081</v>
      </c>
      <c r="C9045" s="402" t="s">
        <v>35</v>
      </c>
      <c r="D9045" s="601">
        <v>22.41</v>
      </c>
    </row>
    <row r="9046" spans="1:4" ht="40.5">
      <c r="A9046" s="402">
        <v>92920</v>
      </c>
      <c r="B9046" s="403" t="s">
        <v>3082</v>
      </c>
      <c r="C9046" s="402" t="s">
        <v>35</v>
      </c>
      <c r="D9046" s="601">
        <v>22.53</v>
      </c>
    </row>
    <row r="9047" spans="1:4" ht="40.5">
      <c r="A9047" s="402">
        <v>92925</v>
      </c>
      <c r="B9047" s="403" t="s">
        <v>3083</v>
      </c>
      <c r="C9047" s="402" t="s">
        <v>35</v>
      </c>
      <c r="D9047" s="601">
        <v>27.3</v>
      </c>
    </row>
    <row r="9048" spans="1:4" ht="40.5">
      <c r="A9048" s="402">
        <v>92926</v>
      </c>
      <c r="B9048" s="403" t="s">
        <v>3084</v>
      </c>
      <c r="C9048" s="402" t="s">
        <v>35</v>
      </c>
      <c r="D9048" s="601">
        <v>27.29</v>
      </c>
    </row>
    <row r="9049" spans="1:4" ht="40.5">
      <c r="A9049" s="402">
        <v>92927</v>
      </c>
      <c r="B9049" s="403" t="s">
        <v>3085</v>
      </c>
      <c r="C9049" s="402" t="s">
        <v>35</v>
      </c>
      <c r="D9049" s="601">
        <v>27.29</v>
      </c>
    </row>
    <row r="9050" spans="1:4" ht="40.5">
      <c r="A9050" s="402">
        <v>92928</v>
      </c>
      <c r="B9050" s="403" t="s">
        <v>4906</v>
      </c>
      <c r="C9050" s="402" t="s">
        <v>35</v>
      </c>
      <c r="D9050" s="601">
        <v>31.04</v>
      </c>
    </row>
    <row r="9051" spans="1:4" ht="40.5">
      <c r="A9051" s="402">
        <v>92929</v>
      </c>
      <c r="B9051" s="403" t="s">
        <v>4907</v>
      </c>
      <c r="C9051" s="402" t="s">
        <v>35</v>
      </c>
      <c r="D9051" s="601">
        <v>31.04</v>
      </c>
    </row>
    <row r="9052" spans="1:4" ht="40.5">
      <c r="A9052" s="402">
        <v>92930</v>
      </c>
      <c r="B9052" s="403" t="s">
        <v>4908</v>
      </c>
      <c r="C9052" s="402" t="s">
        <v>35</v>
      </c>
      <c r="D9052" s="601">
        <v>31.04</v>
      </c>
    </row>
    <row r="9053" spans="1:4" ht="40.5">
      <c r="A9053" s="402">
        <v>92931</v>
      </c>
      <c r="B9053" s="403" t="s">
        <v>4909</v>
      </c>
      <c r="C9053" s="402" t="s">
        <v>35</v>
      </c>
      <c r="D9053" s="601">
        <v>40.44</v>
      </c>
    </row>
    <row r="9054" spans="1:4" ht="40.5">
      <c r="A9054" s="402">
        <v>92932</v>
      </c>
      <c r="B9054" s="403" t="s">
        <v>4910</v>
      </c>
      <c r="C9054" s="402" t="s">
        <v>35</v>
      </c>
      <c r="D9054" s="601">
        <v>40.44</v>
      </c>
    </row>
    <row r="9055" spans="1:4" ht="27">
      <c r="A9055" s="402">
        <v>92933</v>
      </c>
      <c r="B9055" s="403" t="s">
        <v>3086</v>
      </c>
      <c r="C9055" s="402" t="s">
        <v>35</v>
      </c>
      <c r="D9055" s="601">
        <v>40.44</v>
      </c>
    </row>
    <row r="9056" spans="1:4" ht="40.5">
      <c r="A9056" s="402">
        <v>92934</v>
      </c>
      <c r="B9056" s="403" t="s">
        <v>4911</v>
      </c>
      <c r="C9056" s="402" t="s">
        <v>35</v>
      </c>
      <c r="D9056" s="601">
        <v>58.21</v>
      </c>
    </row>
    <row r="9057" spans="1:4" ht="40.5">
      <c r="A9057" s="402">
        <v>92935</v>
      </c>
      <c r="B9057" s="403" t="s">
        <v>4912</v>
      </c>
      <c r="C9057" s="402" t="s">
        <v>35</v>
      </c>
      <c r="D9057" s="601">
        <v>58.21</v>
      </c>
    </row>
    <row r="9058" spans="1:4" ht="40.5">
      <c r="A9058" s="402">
        <v>92936</v>
      </c>
      <c r="B9058" s="403" t="s">
        <v>4913</v>
      </c>
      <c r="C9058" s="402" t="s">
        <v>35</v>
      </c>
      <c r="D9058" s="601">
        <v>79.22</v>
      </c>
    </row>
    <row r="9059" spans="1:4" ht="27">
      <c r="A9059" s="402">
        <v>92937</v>
      </c>
      <c r="B9059" s="403" t="s">
        <v>3087</v>
      </c>
      <c r="C9059" s="402" t="s">
        <v>35</v>
      </c>
      <c r="D9059" s="601">
        <v>79.22</v>
      </c>
    </row>
    <row r="9060" spans="1:4" ht="40.5">
      <c r="A9060" s="402">
        <v>92938</v>
      </c>
      <c r="B9060" s="403" t="s">
        <v>3088</v>
      </c>
      <c r="C9060" s="402" t="s">
        <v>35</v>
      </c>
      <c r="D9060" s="601">
        <v>16.43</v>
      </c>
    </row>
    <row r="9061" spans="1:4" ht="40.5">
      <c r="A9061" s="402">
        <v>92939</v>
      </c>
      <c r="B9061" s="403" t="s">
        <v>3089</v>
      </c>
      <c r="C9061" s="402" t="s">
        <v>35</v>
      </c>
      <c r="D9061" s="601">
        <v>16.55</v>
      </c>
    </row>
    <row r="9062" spans="1:4" ht="40.5">
      <c r="A9062" s="402">
        <v>92940</v>
      </c>
      <c r="B9062" s="403" t="s">
        <v>4914</v>
      </c>
      <c r="C9062" s="402" t="s">
        <v>35</v>
      </c>
      <c r="D9062" s="601">
        <v>20.49</v>
      </c>
    </row>
    <row r="9063" spans="1:4" ht="40.5">
      <c r="A9063" s="402">
        <v>92941</v>
      </c>
      <c r="B9063" s="403" t="s">
        <v>4915</v>
      </c>
      <c r="C9063" s="402" t="s">
        <v>35</v>
      </c>
      <c r="D9063" s="601">
        <v>20.48</v>
      </c>
    </row>
    <row r="9064" spans="1:4" ht="40.5">
      <c r="A9064" s="402">
        <v>92942</v>
      </c>
      <c r="B9064" s="403" t="s">
        <v>4916</v>
      </c>
      <c r="C9064" s="402" t="s">
        <v>35</v>
      </c>
      <c r="D9064" s="601">
        <v>20.48</v>
      </c>
    </row>
    <row r="9065" spans="1:4" ht="40.5">
      <c r="A9065" s="402">
        <v>92943</v>
      </c>
      <c r="B9065" s="403" t="s">
        <v>4917</v>
      </c>
      <c r="C9065" s="402" t="s">
        <v>35</v>
      </c>
      <c r="D9065" s="601">
        <v>23.28</v>
      </c>
    </row>
    <row r="9066" spans="1:4" ht="40.5">
      <c r="A9066" s="402">
        <v>92944</v>
      </c>
      <c r="B9066" s="403" t="s">
        <v>4918</v>
      </c>
      <c r="C9066" s="402" t="s">
        <v>35</v>
      </c>
      <c r="D9066" s="601">
        <v>23.28</v>
      </c>
    </row>
    <row r="9067" spans="1:4" ht="40.5">
      <c r="A9067" s="402">
        <v>92945</v>
      </c>
      <c r="B9067" s="403" t="s">
        <v>4919</v>
      </c>
      <c r="C9067" s="402" t="s">
        <v>35</v>
      </c>
      <c r="D9067" s="601">
        <v>23.28</v>
      </c>
    </row>
    <row r="9068" spans="1:4" ht="40.5">
      <c r="A9068" s="402">
        <v>92946</v>
      </c>
      <c r="B9068" s="403" t="s">
        <v>4920</v>
      </c>
      <c r="C9068" s="402" t="s">
        <v>35</v>
      </c>
      <c r="D9068" s="601">
        <v>31.51</v>
      </c>
    </row>
    <row r="9069" spans="1:4" ht="40.5">
      <c r="A9069" s="402">
        <v>92947</v>
      </c>
      <c r="B9069" s="403" t="s">
        <v>4921</v>
      </c>
      <c r="C9069" s="402" t="s">
        <v>35</v>
      </c>
      <c r="D9069" s="601">
        <v>31.51</v>
      </c>
    </row>
    <row r="9070" spans="1:4" ht="40.5">
      <c r="A9070" s="402">
        <v>92948</v>
      </c>
      <c r="B9070" s="403" t="s">
        <v>3090</v>
      </c>
      <c r="C9070" s="402" t="s">
        <v>35</v>
      </c>
      <c r="D9070" s="601">
        <v>31.51</v>
      </c>
    </row>
    <row r="9071" spans="1:4" ht="40.5">
      <c r="A9071" s="402">
        <v>92949</v>
      </c>
      <c r="B9071" s="403" t="s">
        <v>4922</v>
      </c>
      <c r="C9071" s="402" t="s">
        <v>35</v>
      </c>
      <c r="D9071" s="601">
        <v>47.52</v>
      </c>
    </row>
    <row r="9072" spans="1:4" ht="40.5">
      <c r="A9072" s="402">
        <v>92950</v>
      </c>
      <c r="B9072" s="403" t="s">
        <v>3091</v>
      </c>
      <c r="C9072" s="402" t="s">
        <v>35</v>
      </c>
      <c r="D9072" s="601">
        <v>47.52</v>
      </c>
    </row>
    <row r="9073" spans="1:4" ht="40.5">
      <c r="A9073" s="402">
        <v>92951</v>
      </c>
      <c r="B9073" s="403" t="s">
        <v>4923</v>
      </c>
      <c r="C9073" s="402" t="s">
        <v>35</v>
      </c>
      <c r="D9073" s="601">
        <v>66.77</v>
      </c>
    </row>
    <row r="9074" spans="1:4" ht="40.5">
      <c r="A9074" s="402">
        <v>92952</v>
      </c>
      <c r="B9074" s="403" t="s">
        <v>3092</v>
      </c>
      <c r="C9074" s="402" t="s">
        <v>35</v>
      </c>
      <c r="D9074" s="601">
        <v>66.77</v>
      </c>
    </row>
    <row r="9075" spans="1:4" ht="40.5">
      <c r="A9075" s="402">
        <v>92953</v>
      </c>
      <c r="B9075" s="403" t="s">
        <v>662</v>
      </c>
      <c r="C9075" s="402" t="s">
        <v>35</v>
      </c>
      <c r="D9075" s="601">
        <v>14.42</v>
      </c>
    </row>
    <row r="9076" spans="1:4" ht="27">
      <c r="A9076" s="402">
        <v>93050</v>
      </c>
      <c r="B9076" s="403" t="s">
        <v>5209</v>
      </c>
      <c r="C9076" s="402" t="s">
        <v>35</v>
      </c>
      <c r="D9076" s="601">
        <v>7.58</v>
      </c>
    </row>
    <row r="9077" spans="1:4" ht="27">
      <c r="A9077" s="402">
        <v>93051</v>
      </c>
      <c r="B9077" s="403" t="s">
        <v>5210</v>
      </c>
      <c r="C9077" s="402" t="s">
        <v>35</v>
      </c>
      <c r="D9077" s="601">
        <v>7</v>
      </c>
    </row>
    <row r="9078" spans="1:4" ht="27">
      <c r="A9078" s="402">
        <v>93052</v>
      </c>
      <c r="B9078" s="403" t="s">
        <v>5211</v>
      </c>
      <c r="C9078" s="402" t="s">
        <v>35</v>
      </c>
      <c r="D9078" s="601">
        <v>334.98</v>
      </c>
    </row>
    <row r="9079" spans="1:4" ht="27">
      <c r="A9079" s="402">
        <v>93054</v>
      </c>
      <c r="B9079" s="403" t="s">
        <v>5212</v>
      </c>
      <c r="C9079" s="402" t="s">
        <v>35</v>
      </c>
      <c r="D9079" s="601">
        <v>14.41</v>
      </c>
    </row>
    <row r="9080" spans="1:4" ht="27">
      <c r="A9080" s="402">
        <v>93055</v>
      </c>
      <c r="B9080" s="403" t="s">
        <v>5213</v>
      </c>
      <c r="C9080" s="402" t="s">
        <v>35</v>
      </c>
      <c r="D9080" s="601">
        <v>29.27</v>
      </c>
    </row>
    <row r="9081" spans="1:4" ht="27">
      <c r="A9081" s="402">
        <v>93056</v>
      </c>
      <c r="B9081" s="403" t="s">
        <v>5214</v>
      </c>
      <c r="C9081" s="402" t="s">
        <v>35</v>
      </c>
      <c r="D9081" s="601">
        <v>11.07</v>
      </c>
    </row>
    <row r="9082" spans="1:4" ht="27">
      <c r="A9082" s="402">
        <v>93057</v>
      </c>
      <c r="B9082" s="403" t="s">
        <v>5215</v>
      </c>
      <c r="C9082" s="402" t="s">
        <v>35</v>
      </c>
      <c r="D9082" s="601">
        <v>9.68</v>
      </c>
    </row>
    <row r="9083" spans="1:4" ht="27">
      <c r="A9083" s="402">
        <v>93058</v>
      </c>
      <c r="B9083" s="403" t="s">
        <v>5216</v>
      </c>
      <c r="C9083" s="402" t="s">
        <v>35</v>
      </c>
      <c r="D9083" s="601">
        <v>368.38</v>
      </c>
    </row>
    <row r="9084" spans="1:4" ht="27">
      <c r="A9084" s="402">
        <v>93059</v>
      </c>
      <c r="B9084" s="403" t="s">
        <v>5217</v>
      </c>
      <c r="C9084" s="402" t="s">
        <v>35</v>
      </c>
      <c r="D9084" s="601">
        <v>19.78</v>
      </c>
    </row>
    <row r="9085" spans="1:4" ht="27">
      <c r="A9085" s="402">
        <v>93060</v>
      </c>
      <c r="B9085" s="403" t="s">
        <v>5218</v>
      </c>
      <c r="C9085" s="402" t="s">
        <v>35</v>
      </c>
      <c r="D9085" s="601">
        <v>50.94</v>
      </c>
    </row>
    <row r="9086" spans="1:4" ht="27">
      <c r="A9086" s="402">
        <v>93061</v>
      </c>
      <c r="B9086" s="403" t="s">
        <v>5219</v>
      </c>
      <c r="C9086" s="402" t="s">
        <v>35</v>
      </c>
      <c r="D9086" s="601">
        <v>20.62</v>
      </c>
    </row>
    <row r="9087" spans="1:4" ht="27">
      <c r="A9087" s="402">
        <v>93062</v>
      </c>
      <c r="B9087" s="403" t="s">
        <v>5220</v>
      </c>
      <c r="C9087" s="402" t="s">
        <v>35</v>
      </c>
      <c r="D9087" s="601">
        <v>17.93</v>
      </c>
    </row>
    <row r="9088" spans="1:4" ht="27">
      <c r="A9088" s="402">
        <v>93063</v>
      </c>
      <c r="B9088" s="403" t="s">
        <v>5221</v>
      </c>
      <c r="C9088" s="402" t="s">
        <v>35</v>
      </c>
      <c r="D9088" s="601">
        <v>421.94</v>
      </c>
    </row>
    <row r="9089" spans="1:4" ht="27">
      <c r="A9089" s="402">
        <v>93064</v>
      </c>
      <c r="B9089" s="403" t="s">
        <v>5222</v>
      </c>
      <c r="C9089" s="402" t="s">
        <v>35</v>
      </c>
      <c r="D9089" s="601">
        <v>31.77</v>
      </c>
    </row>
    <row r="9090" spans="1:4" ht="27">
      <c r="A9090" s="402">
        <v>93065</v>
      </c>
      <c r="B9090" s="403" t="s">
        <v>5223</v>
      </c>
      <c r="C9090" s="402" t="s">
        <v>35</v>
      </c>
      <c r="D9090" s="601">
        <v>29.78</v>
      </c>
    </row>
    <row r="9091" spans="1:4" ht="27">
      <c r="A9091" s="402">
        <v>93066</v>
      </c>
      <c r="B9091" s="403" t="s">
        <v>5224</v>
      </c>
      <c r="C9091" s="402" t="s">
        <v>35</v>
      </c>
      <c r="D9091" s="601">
        <v>529.65</v>
      </c>
    </row>
    <row r="9092" spans="1:4" ht="27">
      <c r="A9092" s="402">
        <v>93067</v>
      </c>
      <c r="B9092" s="403" t="s">
        <v>5225</v>
      </c>
      <c r="C9092" s="402" t="s">
        <v>35</v>
      </c>
      <c r="D9092" s="601">
        <v>47.06</v>
      </c>
    </row>
    <row r="9093" spans="1:4" ht="27">
      <c r="A9093" s="402">
        <v>93068</v>
      </c>
      <c r="B9093" s="403" t="s">
        <v>5226</v>
      </c>
      <c r="C9093" s="402" t="s">
        <v>35</v>
      </c>
      <c r="D9093" s="601">
        <v>41.22</v>
      </c>
    </row>
    <row r="9094" spans="1:4" ht="27">
      <c r="A9094" s="402">
        <v>93069</v>
      </c>
      <c r="B9094" s="403" t="s">
        <v>5227</v>
      </c>
      <c r="C9094" s="402" t="s">
        <v>35</v>
      </c>
      <c r="D9094" s="601">
        <v>734.01</v>
      </c>
    </row>
    <row r="9095" spans="1:4" ht="27">
      <c r="A9095" s="402">
        <v>93070</v>
      </c>
      <c r="B9095" s="403" t="s">
        <v>5228</v>
      </c>
      <c r="C9095" s="402" t="s">
        <v>35</v>
      </c>
      <c r="D9095" s="601">
        <v>118.36</v>
      </c>
    </row>
    <row r="9096" spans="1:4" ht="27">
      <c r="A9096" s="402">
        <v>93071</v>
      </c>
      <c r="B9096" s="403" t="s">
        <v>5229</v>
      </c>
      <c r="C9096" s="402" t="s">
        <v>35</v>
      </c>
      <c r="D9096" s="601">
        <v>109.94</v>
      </c>
    </row>
    <row r="9097" spans="1:4" ht="27">
      <c r="A9097" s="402">
        <v>93072</v>
      </c>
      <c r="B9097" s="403" t="s">
        <v>5230</v>
      </c>
      <c r="C9097" s="402" t="s">
        <v>35</v>
      </c>
      <c r="D9097" s="601">
        <v>968.4</v>
      </c>
    </row>
    <row r="9098" spans="1:4" ht="40.5">
      <c r="A9098" s="402">
        <v>93073</v>
      </c>
      <c r="B9098" s="403" t="s">
        <v>5231</v>
      </c>
      <c r="C9098" s="402" t="s">
        <v>35</v>
      </c>
      <c r="D9098" s="601">
        <v>53.56</v>
      </c>
    </row>
    <row r="9099" spans="1:4" ht="27">
      <c r="A9099" s="402">
        <v>93074</v>
      </c>
      <c r="B9099" s="403" t="s">
        <v>5232</v>
      </c>
      <c r="C9099" s="402" t="s">
        <v>35</v>
      </c>
      <c r="D9099" s="601">
        <v>8.35</v>
      </c>
    </row>
    <row r="9100" spans="1:4" ht="40.5">
      <c r="A9100" s="402">
        <v>93075</v>
      </c>
      <c r="B9100" s="403" t="s">
        <v>5233</v>
      </c>
      <c r="C9100" s="402" t="s">
        <v>35</v>
      </c>
      <c r="D9100" s="601">
        <v>13.91</v>
      </c>
    </row>
    <row r="9101" spans="1:4" ht="27">
      <c r="A9101" s="402">
        <v>93076</v>
      </c>
      <c r="B9101" s="403" t="s">
        <v>5234</v>
      </c>
      <c r="C9101" s="402" t="s">
        <v>35</v>
      </c>
      <c r="D9101" s="601">
        <v>13.5</v>
      </c>
    </row>
    <row r="9102" spans="1:4" ht="40.5">
      <c r="A9102" s="402">
        <v>93077</v>
      </c>
      <c r="B9102" s="403" t="s">
        <v>5235</v>
      </c>
      <c r="C9102" s="402" t="s">
        <v>35</v>
      </c>
      <c r="D9102" s="601">
        <v>19.739999999999998</v>
      </c>
    </row>
    <row r="9103" spans="1:4" ht="40.5">
      <c r="A9103" s="402">
        <v>93078</v>
      </c>
      <c r="B9103" s="403" t="s">
        <v>5236</v>
      </c>
      <c r="C9103" s="402" t="s">
        <v>35</v>
      </c>
      <c r="D9103" s="601">
        <v>21.38</v>
      </c>
    </row>
    <row r="9104" spans="1:4" ht="27">
      <c r="A9104" s="402">
        <v>93079</v>
      </c>
      <c r="B9104" s="403" t="s">
        <v>5237</v>
      </c>
      <c r="C9104" s="402" t="s">
        <v>35</v>
      </c>
      <c r="D9104" s="601">
        <v>18.87</v>
      </c>
    </row>
    <row r="9105" spans="1:4" ht="27">
      <c r="A9105" s="402">
        <v>93080</v>
      </c>
      <c r="B9105" s="403" t="s">
        <v>5238</v>
      </c>
      <c r="C9105" s="402" t="s">
        <v>35</v>
      </c>
      <c r="D9105" s="601">
        <v>5.46</v>
      </c>
    </row>
    <row r="9106" spans="1:4" ht="27">
      <c r="A9106" s="402">
        <v>93081</v>
      </c>
      <c r="B9106" s="403" t="s">
        <v>5239</v>
      </c>
      <c r="C9106" s="402" t="s">
        <v>35</v>
      </c>
      <c r="D9106" s="601">
        <v>12.52</v>
      </c>
    </row>
    <row r="9107" spans="1:4" ht="40.5">
      <c r="A9107" s="402">
        <v>93082</v>
      </c>
      <c r="B9107" s="403" t="s">
        <v>5240</v>
      </c>
      <c r="C9107" s="402" t="s">
        <v>35</v>
      </c>
      <c r="D9107" s="601">
        <v>15.33</v>
      </c>
    </row>
    <row r="9108" spans="1:4" ht="27">
      <c r="A9108" s="402">
        <v>93083</v>
      </c>
      <c r="B9108" s="403" t="s">
        <v>5241</v>
      </c>
      <c r="C9108" s="402" t="s">
        <v>35</v>
      </c>
      <c r="D9108" s="601">
        <v>289.64</v>
      </c>
    </row>
    <row r="9109" spans="1:4" ht="27">
      <c r="A9109" s="402">
        <v>93084</v>
      </c>
      <c r="B9109" s="403" t="s">
        <v>5242</v>
      </c>
      <c r="C9109" s="402" t="s">
        <v>35</v>
      </c>
      <c r="D9109" s="601">
        <v>8.94</v>
      </c>
    </row>
    <row r="9110" spans="1:4" ht="40.5">
      <c r="A9110" s="402">
        <v>93085</v>
      </c>
      <c r="B9110" s="403" t="s">
        <v>5243</v>
      </c>
      <c r="C9110" s="402" t="s">
        <v>35</v>
      </c>
      <c r="D9110" s="601">
        <v>8.36</v>
      </c>
    </row>
    <row r="9111" spans="1:4" ht="27">
      <c r="A9111" s="402">
        <v>93086</v>
      </c>
      <c r="B9111" s="403" t="s">
        <v>5244</v>
      </c>
      <c r="C9111" s="402" t="s">
        <v>35</v>
      </c>
      <c r="D9111" s="601">
        <v>336.34</v>
      </c>
    </row>
    <row r="9112" spans="1:4" ht="27">
      <c r="A9112" s="402">
        <v>93087</v>
      </c>
      <c r="B9112" s="403" t="s">
        <v>5245</v>
      </c>
      <c r="C9112" s="402" t="s">
        <v>35</v>
      </c>
      <c r="D9112" s="601">
        <v>13.59</v>
      </c>
    </row>
    <row r="9113" spans="1:4" ht="27">
      <c r="A9113" s="402">
        <v>93088</v>
      </c>
      <c r="B9113" s="403" t="s">
        <v>5246</v>
      </c>
      <c r="C9113" s="402" t="s">
        <v>35</v>
      </c>
      <c r="D9113" s="601">
        <v>15.95</v>
      </c>
    </row>
    <row r="9114" spans="1:4" ht="40.5">
      <c r="A9114" s="402">
        <v>93089</v>
      </c>
      <c r="B9114" s="403" t="s">
        <v>5247</v>
      </c>
      <c r="C9114" s="402" t="s">
        <v>35</v>
      </c>
      <c r="D9114" s="601">
        <v>30.63</v>
      </c>
    </row>
    <row r="9115" spans="1:4" ht="27">
      <c r="A9115" s="402">
        <v>93090</v>
      </c>
      <c r="B9115" s="403" t="s">
        <v>5248</v>
      </c>
      <c r="C9115" s="402" t="s">
        <v>35</v>
      </c>
      <c r="D9115" s="601">
        <v>12.41</v>
      </c>
    </row>
    <row r="9116" spans="1:4" ht="27">
      <c r="A9116" s="402">
        <v>93091</v>
      </c>
      <c r="B9116" s="403" t="s">
        <v>5249</v>
      </c>
      <c r="C9116" s="402" t="s">
        <v>35</v>
      </c>
      <c r="D9116" s="601">
        <v>11.02</v>
      </c>
    </row>
    <row r="9117" spans="1:4" ht="27">
      <c r="A9117" s="402">
        <v>93092</v>
      </c>
      <c r="B9117" s="403" t="s">
        <v>5250</v>
      </c>
      <c r="C9117" s="402" t="s">
        <v>35</v>
      </c>
      <c r="D9117" s="601">
        <v>369.72</v>
      </c>
    </row>
    <row r="9118" spans="1:4" ht="27">
      <c r="A9118" s="402">
        <v>93093</v>
      </c>
      <c r="B9118" s="403" t="s">
        <v>5251</v>
      </c>
      <c r="C9118" s="402" t="s">
        <v>35</v>
      </c>
      <c r="D9118" s="601">
        <v>21.12</v>
      </c>
    </row>
    <row r="9119" spans="1:4" ht="40.5">
      <c r="A9119" s="402">
        <v>93094</v>
      </c>
      <c r="B9119" s="403" t="s">
        <v>5252</v>
      </c>
      <c r="C9119" s="402" t="s">
        <v>35</v>
      </c>
      <c r="D9119" s="601">
        <v>52.28</v>
      </c>
    </row>
    <row r="9120" spans="1:4" ht="40.5">
      <c r="A9120" s="402">
        <v>93095</v>
      </c>
      <c r="B9120" s="403" t="s">
        <v>5253</v>
      </c>
      <c r="C9120" s="402" t="s">
        <v>35</v>
      </c>
      <c r="D9120" s="601">
        <v>39.450000000000003</v>
      </c>
    </row>
    <row r="9121" spans="1:4" ht="40.5">
      <c r="A9121" s="402">
        <v>93096</v>
      </c>
      <c r="B9121" s="403" t="s">
        <v>5254</v>
      </c>
      <c r="C9121" s="402" t="s">
        <v>35</v>
      </c>
      <c r="D9121" s="601">
        <v>56.22</v>
      </c>
    </row>
    <row r="9122" spans="1:4" ht="27">
      <c r="A9122" s="402">
        <v>93097</v>
      </c>
      <c r="B9122" s="403" t="s">
        <v>5255</v>
      </c>
      <c r="C9122" s="402" t="s">
        <v>35</v>
      </c>
      <c r="D9122" s="601">
        <v>8.51</v>
      </c>
    </row>
    <row r="9123" spans="1:4" ht="40.5">
      <c r="A9123" s="402">
        <v>93098</v>
      </c>
      <c r="B9123" s="403" t="s">
        <v>5256</v>
      </c>
      <c r="C9123" s="402" t="s">
        <v>35</v>
      </c>
      <c r="D9123" s="601">
        <v>14.07</v>
      </c>
    </row>
    <row r="9124" spans="1:4" ht="27">
      <c r="A9124" s="402">
        <v>93099</v>
      </c>
      <c r="B9124" s="403" t="s">
        <v>5257</v>
      </c>
      <c r="C9124" s="402" t="s">
        <v>35</v>
      </c>
      <c r="D9124" s="601">
        <v>15.33</v>
      </c>
    </row>
    <row r="9125" spans="1:4" ht="40.5">
      <c r="A9125" s="402">
        <v>93100</v>
      </c>
      <c r="B9125" s="403" t="s">
        <v>5258</v>
      </c>
      <c r="C9125" s="402" t="s">
        <v>35</v>
      </c>
      <c r="D9125" s="601">
        <v>21.57</v>
      </c>
    </row>
    <row r="9126" spans="1:4" ht="40.5">
      <c r="A9126" s="402">
        <v>93101</v>
      </c>
      <c r="B9126" s="403" t="s">
        <v>5259</v>
      </c>
      <c r="C9126" s="402" t="s">
        <v>35</v>
      </c>
      <c r="D9126" s="601">
        <v>23.21</v>
      </c>
    </row>
    <row r="9127" spans="1:4" ht="27">
      <c r="A9127" s="402">
        <v>93102</v>
      </c>
      <c r="B9127" s="403" t="s">
        <v>5260</v>
      </c>
      <c r="C9127" s="402" t="s">
        <v>35</v>
      </c>
      <c r="D9127" s="601">
        <v>20.53</v>
      </c>
    </row>
    <row r="9128" spans="1:4" ht="27">
      <c r="A9128" s="402">
        <v>93103</v>
      </c>
      <c r="B9128" s="403" t="s">
        <v>5261</v>
      </c>
      <c r="C9128" s="402" t="s">
        <v>35</v>
      </c>
      <c r="D9128" s="601">
        <v>5.6</v>
      </c>
    </row>
    <row r="9129" spans="1:4" ht="27">
      <c r="A9129" s="402">
        <v>93104</v>
      </c>
      <c r="B9129" s="403" t="s">
        <v>5262</v>
      </c>
      <c r="C9129" s="402" t="s">
        <v>35</v>
      </c>
      <c r="D9129" s="601">
        <v>12.66</v>
      </c>
    </row>
    <row r="9130" spans="1:4" ht="27">
      <c r="A9130" s="402">
        <v>93105</v>
      </c>
      <c r="B9130" s="403" t="s">
        <v>5263</v>
      </c>
      <c r="C9130" s="402" t="s">
        <v>35</v>
      </c>
      <c r="D9130" s="601">
        <v>15.47</v>
      </c>
    </row>
    <row r="9131" spans="1:4" ht="27">
      <c r="A9131" s="402">
        <v>93106</v>
      </c>
      <c r="B9131" s="403" t="s">
        <v>5264</v>
      </c>
      <c r="C9131" s="402" t="s">
        <v>35</v>
      </c>
      <c r="D9131" s="601">
        <v>289.77999999999997</v>
      </c>
    </row>
    <row r="9132" spans="1:4" ht="27">
      <c r="A9132" s="402">
        <v>93107</v>
      </c>
      <c r="B9132" s="403" t="s">
        <v>5265</v>
      </c>
      <c r="C9132" s="402" t="s">
        <v>35</v>
      </c>
      <c r="D9132" s="601">
        <v>10.14</v>
      </c>
    </row>
    <row r="9133" spans="1:4" ht="27">
      <c r="A9133" s="402">
        <v>93108</v>
      </c>
      <c r="B9133" s="403" t="s">
        <v>5266</v>
      </c>
      <c r="C9133" s="402" t="s">
        <v>35</v>
      </c>
      <c r="D9133" s="601">
        <v>9.56</v>
      </c>
    </row>
    <row r="9134" spans="1:4" ht="27">
      <c r="A9134" s="402">
        <v>93109</v>
      </c>
      <c r="B9134" s="403" t="s">
        <v>5267</v>
      </c>
      <c r="C9134" s="402" t="s">
        <v>35</v>
      </c>
      <c r="D9134" s="601">
        <v>337.54</v>
      </c>
    </row>
    <row r="9135" spans="1:4" ht="27">
      <c r="A9135" s="402">
        <v>93110</v>
      </c>
      <c r="B9135" s="403" t="s">
        <v>5268</v>
      </c>
      <c r="C9135" s="402" t="s">
        <v>35</v>
      </c>
      <c r="D9135" s="601">
        <v>14.79</v>
      </c>
    </row>
    <row r="9136" spans="1:4" ht="27">
      <c r="A9136" s="402">
        <v>93111</v>
      </c>
      <c r="B9136" s="403" t="s">
        <v>5269</v>
      </c>
      <c r="C9136" s="402" t="s">
        <v>35</v>
      </c>
      <c r="D9136" s="601">
        <v>16.97</v>
      </c>
    </row>
    <row r="9137" spans="1:4" ht="27">
      <c r="A9137" s="402">
        <v>93112</v>
      </c>
      <c r="B9137" s="403" t="s">
        <v>5270</v>
      </c>
      <c r="C9137" s="402" t="s">
        <v>35</v>
      </c>
      <c r="D9137" s="601">
        <v>31.83</v>
      </c>
    </row>
    <row r="9138" spans="1:4" ht="27">
      <c r="A9138" s="402">
        <v>93113</v>
      </c>
      <c r="B9138" s="403" t="s">
        <v>5271</v>
      </c>
      <c r="C9138" s="402" t="s">
        <v>35</v>
      </c>
      <c r="D9138" s="601">
        <v>14.6</v>
      </c>
    </row>
    <row r="9139" spans="1:4" ht="27">
      <c r="A9139" s="402">
        <v>93114</v>
      </c>
      <c r="B9139" s="403" t="s">
        <v>5272</v>
      </c>
      <c r="C9139" s="402" t="s">
        <v>35</v>
      </c>
      <c r="D9139" s="601">
        <v>23.31</v>
      </c>
    </row>
    <row r="9140" spans="1:4" ht="27">
      <c r="A9140" s="402">
        <v>93115</v>
      </c>
      <c r="B9140" s="403" t="s">
        <v>5273</v>
      </c>
      <c r="C9140" s="402" t="s">
        <v>35</v>
      </c>
      <c r="D9140" s="601">
        <v>54.47</v>
      </c>
    </row>
    <row r="9141" spans="1:4" ht="27">
      <c r="A9141" s="402">
        <v>93116</v>
      </c>
      <c r="B9141" s="403" t="s">
        <v>5274</v>
      </c>
      <c r="C9141" s="402" t="s">
        <v>35</v>
      </c>
      <c r="D9141" s="601">
        <v>371.91</v>
      </c>
    </row>
    <row r="9142" spans="1:4" ht="40.5">
      <c r="A9142" s="402">
        <v>93117</v>
      </c>
      <c r="B9142" s="403" t="s">
        <v>5275</v>
      </c>
      <c r="C9142" s="402" t="s">
        <v>35</v>
      </c>
      <c r="D9142" s="601">
        <v>39.65</v>
      </c>
    </row>
    <row r="9143" spans="1:4" ht="40.5">
      <c r="A9143" s="402">
        <v>93118</v>
      </c>
      <c r="B9143" s="403" t="s">
        <v>5276</v>
      </c>
      <c r="C9143" s="402" t="s">
        <v>35</v>
      </c>
      <c r="D9143" s="601">
        <v>58.64</v>
      </c>
    </row>
    <row r="9144" spans="1:4" ht="27">
      <c r="A9144" s="402">
        <v>93119</v>
      </c>
      <c r="B9144" s="403" t="s">
        <v>5277</v>
      </c>
      <c r="C9144" s="402" t="s">
        <v>35</v>
      </c>
      <c r="D9144" s="601">
        <v>11.51</v>
      </c>
    </row>
    <row r="9145" spans="1:4" ht="27">
      <c r="A9145" s="402">
        <v>93120</v>
      </c>
      <c r="B9145" s="403" t="s">
        <v>5278</v>
      </c>
      <c r="C9145" s="402" t="s">
        <v>35</v>
      </c>
      <c r="D9145" s="601">
        <v>17.75</v>
      </c>
    </row>
    <row r="9146" spans="1:4" ht="27">
      <c r="A9146" s="402">
        <v>93121</v>
      </c>
      <c r="B9146" s="403" t="s">
        <v>5279</v>
      </c>
      <c r="C9146" s="402" t="s">
        <v>35</v>
      </c>
      <c r="D9146" s="601">
        <v>19.39</v>
      </c>
    </row>
    <row r="9147" spans="1:4" ht="27">
      <c r="A9147" s="402">
        <v>93122</v>
      </c>
      <c r="B9147" s="403" t="s">
        <v>5280</v>
      </c>
      <c r="C9147" s="402" t="s">
        <v>35</v>
      </c>
      <c r="D9147" s="601">
        <v>16.88</v>
      </c>
    </row>
    <row r="9148" spans="1:4" ht="27">
      <c r="A9148" s="402">
        <v>93123</v>
      </c>
      <c r="B9148" s="403" t="s">
        <v>5281</v>
      </c>
      <c r="C9148" s="402" t="s">
        <v>35</v>
      </c>
      <c r="D9148" s="601">
        <v>37.130000000000003</v>
      </c>
    </row>
    <row r="9149" spans="1:4" ht="27">
      <c r="A9149" s="402">
        <v>93124</v>
      </c>
      <c r="B9149" s="403" t="s">
        <v>5282</v>
      </c>
      <c r="C9149" s="402" t="s">
        <v>35</v>
      </c>
      <c r="D9149" s="601">
        <v>58.37</v>
      </c>
    </row>
    <row r="9150" spans="1:4" ht="27">
      <c r="A9150" s="402">
        <v>93125</v>
      </c>
      <c r="B9150" s="403" t="s">
        <v>5283</v>
      </c>
      <c r="C9150" s="402" t="s">
        <v>35</v>
      </c>
      <c r="D9150" s="601">
        <v>84.93</v>
      </c>
    </row>
    <row r="9151" spans="1:4" ht="27">
      <c r="A9151" s="402">
        <v>93126</v>
      </c>
      <c r="B9151" s="403" t="s">
        <v>5284</v>
      </c>
      <c r="C9151" s="402" t="s">
        <v>35</v>
      </c>
      <c r="D9151" s="601">
        <v>188.13</v>
      </c>
    </row>
    <row r="9152" spans="1:4" ht="27">
      <c r="A9152" s="402">
        <v>93133</v>
      </c>
      <c r="B9152" s="403" t="s">
        <v>5285</v>
      </c>
      <c r="C9152" s="402" t="s">
        <v>35</v>
      </c>
      <c r="D9152" s="601">
        <v>13.21</v>
      </c>
    </row>
    <row r="9153" spans="1:4" ht="40.5">
      <c r="A9153" s="402">
        <v>94465</v>
      </c>
      <c r="B9153" s="403" t="s">
        <v>3375</v>
      </c>
      <c r="C9153" s="402" t="s">
        <v>35</v>
      </c>
      <c r="D9153" s="601">
        <v>29.1</v>
      </c>
    </row>
    <row r="9154" spans="1:4" ht="40.5">
      <c r="A9154" s="402">
        <v>94466</v>
      </c>
      <c r="B9154" s="403" t="s">
        <v>3376</v>
      </c>
      <c r="C9154" s="402" t="s">
        <v>35</v>
      </c>
      <c r="D9154" s="601">
        <v>29.11</v>
      </c>
    </row>
    <row r="9155" spans="1:4" ht="40.5">
      <c r="A9155" s="402">
        <v>94467</v>
      </c>
      <c r="B9155" s="403" t="s">
        <v>3377</v>
      </c>
      <c r="C9155" s="402" t="s">
        <v>35</v>
      </c>
      <c r="D9155" s="601">
        <v>43.62</v>
      </c>
    </row>
    <row r="9156" spans="1:4" ht="40.5">
      <c r="A9156" s="402">
        <v>94468</v>
      </c>
      <c r="B9156" s="403" t="s">
        <v>3378</v>
      </c>
      <c r="C9156" s="402" t="s">
        <v>35</v>
      </c>
      <c r="D9156" s="601">
        <v>38.47</v>
      </c>
    </row>
    <row r="9157" spans="1:4" ht="40.5">
      <c r="A9157" s="402">
        <v>94469</v>
      </c>
      <c r="B9157" s="403" t="s">
        <v>3379</v>
      </c>
      <c r="C9157" s="402" t="s">
        <v>35</v>
      </c>
      <c r="D9157" s="601">
        <v>62.86</v>
      </c>
    </row>
    <row r="9158" spans="1:4" ht="40.5">
      <c r="A9158" s="402">
        <v>94470</v>
      </c>
      <c r="B9158" s="403" t="s">
        <v>3380</v>
      </c>
      <c r="C9158" s="402" t="s">
        <v>35</v>
      </c>
      <c r="D9158" s="601">
        <v>58.28</v>
      </c>
    </row>
    <row r="9159" spans="1:4" ht="40.5">
      <c r="A9159" s="402">
        <v>94471</v>
      </c>
      <c r="B9159" s="403" t="s">
        <v>3381</v>
      </c>
      <c r="C9159" s="402" t="s">
        <v>35</v>
      </c>
      <c r="D9159" s="601">
        <v>42.02</v>
      </c>
    </row>
    <row r="9160" spans="1:4" ht="40.5">
      <c r="A9160" s="402">
        <v>94472</v>
      </c>
      <c r="B9160" s="403" t="s">
        <v>3382</v>
      </c>
      <c r="C9160" s="402" t="s">
        <v>35</v>
      </c>
      <c r="D9160" s="601">
        <v>43.17</v>
      </c>
    </row>
    <row r="9161" spans="1:4" ht="40.5">
      <c r="A9161" s="402">
        <v>94473</v>
      </c>
      <c r="B9161" s="403" t="s">
        <v>3383</v>
      </c>
      <c r="C9161" s="402" t="s">
        <v>35</v>
      </c>
      <c r="D9161" s="601">
        <v>62.55</v>
      </c>
    </row>
    <row r="9162" spans="1:4" ht="40.5">
      <c r="A9162" s="402">
        <v>94474</v>
      </c>
      <c r="B9162" s="403" t="s">
        <v>3384</v>
      </c>
      <c r="C9162" s="402" t="s">
        <v>35</v>
      </c>
      <c r="D9162" s="601">
        <v>67.59</v>
      </c>
    </row>
    <row r="9163" spans="1:4" ht="40.5">
      <c r="A9163" s="402">
        <v>94475</v>
      </c>
      <c r="B9163" s="403" t="s">
        <v>3385</v>
      </c>
      <c r="C9163" s="402" t="s">
        <v>35</v>
      </c>
      <c r="D9163" s="601">
        <v>85.5</v>
      </c>
    </row>
    <row r="9164" spans="1:4" ht="40.5">
      <c r="A9164" s="402">
        <v>94476</v>
      </c>
      <c r="B9164" s="403" t="s">
        <v>3386</v>
      </c>
      <c r="C9164" s="402" t="s">
        <v>35</v>
      </c>
      <c r="D9164" s="601">
        <v>95.22</v>
      </c>
    </row>
    <row r="9165" spans="1:4" ht="40.5">
      <c r="A9165" s="402">
        <v>94477</v>
      </c>
      <c r="B9165" s="403" t="s">
        <v>3387</v>
      </c>
      <c r="C9165" s="402" t="s">
        <v>35</v>
      </c>
      <c r="D9165" s="601">
        <v>55.95</v>
      </c>
    </row>
    <row r="9166" spans="1:4" ht="40.5">
      <c r="A9166" s="402">
        <v>94478</v>
      </c>
      <c r="B9166" s="403" t="s">
        <v>3388</v>
      </c>
      <c r="C9166" s="402" t="s">
        <v>35</v>
      </c>
      <c r="D9166" s="601">
        <v>85.86</v>
      </c>
    </row>
    <row r="9167" spans="1:4" ht="40.5">
      <c r="A9167" s="402">
        <v>94479</v>
      </c>
      <c r="B9167" s="403" t="s">
        <v>3389</v>
      </c>
      <c r="C9167" s="402" t="s">
        <v>35</v>
      </c>
      <c r="D9167" s="601">
        <v>113.02</v>
      </c>
    </row>
    <row r="9168" spans="1:4" ht="40.5">
      <c r="A9168" s="402">
        <v>94606</v>
      </c>
      <c r="B9168" s="403" t="s">
        <v>5286</v>
      </c>
      <c r="C9168" s="402" t="s">
        <v>35</v>
      </c>
      <c r="D9168" s="601">
        <v>51.7</v>
      </c>
    </row>
    <row r="9169" spans="1:4" ht="40.5">
      <c r="A9169" s="402">
        <v>94608</v>
      </c>
      <c r="B9169" s="403" t="s">
        <v>5287</v>
      </c>
      <c r="C9169" s="402" t="s">
        <v>35</v>
      </c>
      <c r="D9169" s="601">
        <v>125.79</v>
      </c>
    </row>
    <row r="9170" spans="1:4" ht="40.5">
      <c r="A9170" s="402">
        <v>94610</v>
      </c>
      <c r="B9170" s="403" t="s">
        <v>5288</v>
      </c>
      <c r="C9170" s="402" t="s">
        <v>35</v>
      </c>
      <c r="D9170" s="601">
        <v>186.51</v>
      </c>
    </row>
    <row r="9171" spans="1:4" ht="40.5">
      <c r="A9171" s="402">
        <v>94612</v>
      </c>
      <c r="B9171" s="403" t="s">
        <v>5289</v>
      </c>
      <c r="C9171" s="402" t="s">
        <v>35</v>
      </c>
      <c r="D9171" s="601">
        <v>261.31</v>
      </c>
    </row>
    <row r="9172" spans="1:4" ht="40.5">
      <c r="A9172" s="402">
        <v>94614</v>
      </c>
      <c r="B9172" s="403" t="s">
        <v>5290</v>
      </c>
      <c r="C9172" s="402" t="s">
        <v>35</v>
      </c>
      <c r="D9172" s="601">
        <v>87.29</v>
      </c>
    </row>
    <row r="9173" spans="1:4" ht="40.5">
      <c r="A9173" s="402">
        <v>94615</v>
      </c>
      <c r="B9173" s="403" t="s">
        <v>5291</v>
      </c>
      <c r="C9173" s="402" t="s">
        <v>35</v>
      </c>
      <c r="D9173" s="601">
        <v>98.91</v>
      </c>
    </row>
    <row r="9174" spans="1:4" ht="40.5">
      <c r="A9174" s="402">
        <v>94616</v>
      </c>
      <c r="B9174" s="403" t="s">
        <v>5292</v>
      </c>
      <c r="C9174" s="402" t="s">
        <v>35</v>
      </c>
      <c r="D9174" s="601">
        <v>240.15</v>
      </c>
    </row>
    <row r="9175" spans="1:4" ht="40.5">
      <c r="A9175" s="402">
        <v>94617</v>
      </c>
      <c r="B9175" s="403" t="s">
        <v>5293</v>
      </c>
      <c r="C9175" s="402" t="s">
        <v>35</v>
      </c>
      <c r="D9175" s="601">
        <v>199.71</v>
      </c>
    </row>
    <row r="9176" spans="1:4" ht="40.5">
      <c r="A9176" s="402">
        <v>94618</v>
      </c>
      <c r="B9176" s="403" t="s">
        <v>5294</v>
      </c>
      <c r="C9176" s="402" t="s">
        <v>35</v>
      </c>
      <c r="D9176" s="601">
        <v>235.98</v>
      </c>
    </row>
    <row r="9177" spans="1:4" ht="40.5">
      <c r="A9177" s="402">
        <v>94620</v>
      </c>
      <c r="B9177" s="403" t="s">
        <v>5295</v>
      </c>
      <c r="C9177" s="402" t="s">
        <v>35</v>
      </c>
      <c r="D9177" s="601">
        <v>538.47</v>
      </c>
    </row>
    <row r="9178" spans="1:4" ht="40.5">
      <c r="A9178" s="402">
        <v>94622</v>
      </c>
      <c r="B9178" s="403" t="s">
        <v>5296</v>
      </c>
      <c r="C9178" s="402" t="s">
        <v>35</v>
      </c>
      <c r="D9178" s="601">
        <v>127.55</v>
      </c>
    </row>
    <row r="9179" spans="1:4" ht="40.5">
      <c r="A9179" s="402">
        <v>94623</v>
      </c>
      <c r="B9179" s="403" t="s">
        <v>5297</v>
      </c>
      <c r="C9179" s="402" t="s">
        <v>35</v>
      </c>
      <c r="D9179" s="601">
        <v>297.58</v>
      </c>
    </row>
    <row r="9180" spans="1:4" ht="40.5">
      <c r="A9180" s="402">
        <v>94624</v>
      </c>
      <c r="B9180" s="403" t="s">
        <v>5298</v>
      </c>
      <c r="C9180" s="402" t="s">
        <v>35</v>
      </c>
      <c r="D9180" s="601">
        <v>452.07</v>
      </c>
    </row>
    <row r="9181" spans="1:4" ht="40.5">
      <c r="A9181" s="402">
        <v>94625</v>
      </c>
      <c r="B9181" s="403" t="s">
        <v>5299</v>
      </c>
      <c r="C9181" s="402" t="s">
        <v>35</v>
      </c>
      <c r="D9181" s="601">
        <v>938.61</v>
      </c>
    </row>
    <row r="9182" spans="1:4" ht="40.5">
      <c r="A9182" s="402">
        <v>94656</v>
      </c>
      <c r="B9182" s="403" t="s">
        <v>3415</v>
      </c>
      <c r="C9182" s="402" t="s">
        <v>35</v>
      </c>
      <c r="D9182" s="601">
        <v>4.9000000000000004</v>
      </c>
    </row>
    <row r="9183" spans="1:4" ht="40.5">
      <c r="A9183" s="402">
        <v>94657</v>
      </c>
      <c r="B9183" s="403" t="s">
        <v>3416</v>
      </c>
      <c r="C9183" s="402" t="s">
        <v>35</v>
      </c>
      <c r="D9183" s="601">
        <v>4.82</v>
      </c>
    </row>
    <row r="9184" spans="1:4" ht="40.5">
      <c r="A9184" s="402">
        <v>94658</v>
      </c>
      <c r="B9184" s="403" t="s">
        <v>3417</v>
      </c>
      <c r="C9184" s="402" t="s">
        <v>35</v>
      </c>
      <c r="D9184" s="601">
        <v>5.61</v>
      </c>
    </row>
    <row r="9185" spans="1:4" ht="40.5">
      <c r="A9185" s="402">
        <v>94659</v>
      </c>
      <c r="B9185" s="403" t="s">
        <v>3418</v>
      </c>
      <c r="C9185" s="402" t="s">
        <v>35</v>
      </c>
      <c r="D9185" s="601">
        <v>5.69</v>
      </c>
    </row>
    <row r="9186" spans="1:4" ht="40.5">
      <c r="A9186" s="402">
        <v>94660</v>
      </c>
      <c r="B9186" s="403" t="s">
        <v>3419</v>
      </c>
      <c r="C9186" s="402" t="s">
        <v>35</v>
      </c>
      <c r="D9186" s="601">
        <v>9.2899999999999991</v>
      </c>
    </row>
    <row r="9187" spans="1:4" ht="40.5">
      <c r="A9187" s="402">
        <v>94661</v>
      </c>
      <c r="B9187" s="403" t="s">
        <v>3420</v>
      </c>
      <c r="C9187" s="402" t="s">
        <v>35</v>
      </c>
      <c r="D9187" s="601">
        <v>9.6300000000000008</v>
      </c>
    </row>
    <row r="9188" spans="1:4" ht="40.5">
      <c r="A9188" s="402">
        <v>94662</v>
      </c>
      <c r="B9188" s="403" t="s">
        <v>3421</v>
      </c>
      <c r="C9188" s="402" t="s">
        <v>35</v>
      </c>
      <c r="D9188" s="601">
        <v>10.01</v>
      </c>
    </row>
    <row r="9189" spans="1:4" ht="40.5">
      <c r="A9189" s="402">
        <v>94663</v>
      </c>
      <c r="B9189" s="403" t="s">
        <v>3422</v>
      </c>
      <c r="C9189" s="402" t="s">
        <v>35</v>
      </c>
      <c r="D9189" s="601">
        <v>10.15</v>
      </c>
    </row>
    <row r="9190" spans="1:4" ht="40.5">
      <c r="A9190" s="402">
        <v>94664</v>
      </c>
      <c r="B9190" s="403" t="s">
        <v>3423</v>
      </c>
      <c r="C9190" s="402" t="s">
        <v>35</v>
      </c>
      <c r="D9190" s="601">
        <v>21.69</v>
      </c>
    </row>
    <row r="9191" spans="1:4" ht="40.5">
      <c r="A9191" s="402">
        <v>94665</v>
      </c>
      <c r="B9191" s="403" t="s">
        <v>3424</v>
      </c>
      <c r="C9191" s="402" t="s">
        <v>35</v>
      </c>
      <c r="D9191" s="601">
        <v>21.68</v>
      </c>
    </row>
    <row r="9192" spans="1:4" ht="40.5">
      <c r="A9192" s="402">
        <v>94666</v>
      </c>
      <c r="B9192" s="403" t="s">
        <v>3425</v>
      </c>
      <c r="C9192" s="402" t="s">
        <v>35</v>
      </c>
      <c r="D9192" s="601">
        <v>25.83</v>
      </c>
    </row>
    <row r="9193" spans="1:4" ht="40.5">
      <c r="A9193" s="402">
        <v>94667</v>
      </c>
      <c r="B9193" s="403" t="s">
        <v>3426</v>
      </c>
      <c r="C9193" s="402" t="s">
        <v>35</v>
      </c>
      <c r="D9193" s="601">
        <v>28.41</v>
      </c>
    </row>
    <row r="9194" spans="1:4" ht="40.5">
      <c r="A9194" s="402">
        <v>94668</v>
      </c>
      <c r="B9194" s="403" t="s">
        <v>3427</v>
      </c>
      <c r="C9194" s="402" t="s">
        <v>35</v>
      </c>
      <c r="D9194" s="601">
        <v>44.62</v>
      </c>
    </row>
    <row r="9195" spans="1:4" ht="40.5">
      <c r="A9195" s="402">
        <v>94669</v>
      </c>
      <c r="B9195" s="403" t="s">
        <v>3428</v>
      </c>
      <c r="C9195" s="402" t="s">
        <v>35</v>
      </c>
      <c r="D9195" s="601">
        <v>59.09</v>
      </c>
    </row>
    <row r="9196" spans="1:4" ht="40.5">
      <c r="A9196" s="402">
        <v>94670</v>
      </c>
      <c r="B9196" s="403" t="s">
        <v>3429</v>
      </c>
      <c r="C9196" s="402" t="s">
        <v>35</v>
      </c>
      <c r="D9196" s="601">
        <v>57.5</v>
      </c>
    </row>
    <row r="9197" spans="1:4" ht="40.5">
      <c r="A9197" s="402">
        <v>94671</v>
      </c>
      <c r="B9197" s="403" t="s">
        <v>3430</v>
      </c>
      <c r="C9197" s="402" t="s">
        <v>35</v>
      </c>
      <c r="D9197" s="601">
        <v>81.62</v>
      </c>
    </row>
    <row r="9198" spans="1:4" ht="40.5">
      <c r="A9198" s="402">
        <v>94672</v>
      </c>
      <c r="B9198" s="403" t="s">
        <v>3431</v>
      </c>
      <c r="C9198" s="402" t="s">
        <v>35</v>
      </c>
      <c r="D9198" s="601">
        <v>8.0399999999999991</v>
      </c>
    </row>
    <row r="9199" spans="1:4" ht="40.5">
      <c r="A9199" s="402">
        <v>94673</v>
      </c>
      <c r="B9199" s="403" t="s">
        <v>3432</v>
      </c>
      <c r="C9199" s="402" t="s">
        <v>35</v>
      </c>
      <c r="D9199" s="601">
        <v>7.84</v>
      </c>
    </row>
    <row r="9200" spans="1:4" ht="40.5">
      <c r="A9200" s="402">
        <v>94674</v>
      </c>
      <c r="B9200" s="403" t="s">
        <v>3433</v>
      </c>
      <c r="C9200" s="402" t="s">
        <v>35</v>
      </c>
      <c r="D9200" s="601">
        <v>7.17</v>
      </c>
    </row>
    <row r="9201" spans="1:4" ht="40.5">
      <c r="A9201" s="402">
        <v>94675</v>
      </c>
      <c r="B9201" s="403" t="s">
        <v>3434</v>
      </c>
      <c r="C9201" s="402" t="s">
        <v>35</v>
      </c>
      <c r="D9201" s="601">
        <v>10.81</v>
      </c>
    </row>
    <row r="9202" spans="1:4" ht="40.5">
      <c r="A9202" s="402">
        <v>94676</v>
      </c>
      <c r="B9202" s="403" t="s">
        <v>3435</v>
      </c>
      <c r="C9202" s="402" t="s">
        <v>35</v>
      </c>
      <c r="D9202" s="601">
        <v>12.42</v>
      </c>
    </row>
    <row r="9203" spans="1:4" ht="40.5">
      <c r="A9203" s="402">
        <v>94677</v>
      </c>
      <c r="B9203" s="403" t="s">
        <v>3436</v>
      </c>
      <c r="C9203" s="402" t="s">
        <v>35</v>
      </c>
      <c r="D9203" s="601">
        <v>17.899999999999999</v>
      </c>
    </row>
    <row r="9204" spans="1:4" ht="40.5">
      <c r="A9204" s="402">
        <v>94678</v>
      </c>
      <c r="B9204" s="403" t="s">
        <v>3437</v>
      </c>
      <c r="C9204" s="402" t="s">
        <v>35</v>
      </c>
      <c r="D9204" s="601">
        <v>12.74</v>
      </c>
    </row>
    <row r="9205" spans="1:4" ht="40.5">
      <c r="A9205" s="402">
        <v>94679</v>
      </c>
      <c r="B9205" s="403" t="s">
        <v>3438</v>
      </c>
      <c r="C9205" s="402" t="s">
        <v>35</v>
      </c>
      <c r="D9205" s="601">
        <v>19.96</v>
      </c>
    </row>
    <row r="9206" spans="1:4" ht="40.5">
      <c r="A9206" s="402">
        <v>94680</v>
      </c>
      <c r="B9206" s="403" t="s">
        <v>3439</v>
      </c>
      <c r="C9206" s="402" t="s">
        <v>35</v>
      </c>
      <c r="D9206" s="601">
        <v>34.01</v>
      </c>
    </row>
    <row r="9207" spans="1:4" ht="40.5">
      <c r="A9207" s="402">
        <v>94681</v>
      </c>
      <c r="B9207" s="403" t="s">
        <v>3440</v>
      </c>
      <c r="C9207" s="402" t="s">
        <v>35</v>
      </c>
      <c r="D9207" s="601">
        <v>43.91</v>
      </c>
    </row>
    <row r="9208" spans="1:4" ht="40.5">
      <c r="A9208" s="402">
        <v>94682</v>
      </c>
      <c r="B9208" s="403" t="s">
        <v>3441</v>
      </c>
      <c r="C9208" s="402" t="s">
        <v>35</v>
      </c>
      <c r="D9208" s="601">
        <v>84.95</v>
      </c>
    </row>
    <row r="9209" spans="1:4" ht="40.5">
      <c r="A9209" s="402">
        <v>94683</v>
      </c>
      <c r="B9209" s="403" t="s">
        <v>3442</v>
      </c>
      <c r="C9209" s="402" t="s">
        <v>35</v>
      </c>
      <c r="D9209" s="601">
        <v>55.88</v>
      </c>
    </row>
    <row r="9210" spans="1:4" ht="40.5">
      <c r="A9210" s="402">
        <v>94684</v>
      </c>
      <c r="B9210" s="403" t="s">
        <v>3443</v>
      </c>
      <c r="C9210" s="402" t="s">
        <v>35</v>
      </c>
      <c r="D9210" s="601">
        <v>110.22</v>
      </c>
    </row>
    <row r="9211" spans="1:4" ht="40.5">
      <c r="A9211" s="402">
        <v>94685</v>
      </c>
      <c r="B9211" s="403" t="s">
        <v>3444</v>
      </c>
      <c r="C9211" s="402" t="s">
        <v>35</v>
      </c>
      <c r="D9211" s="601">
        <v>86.03</v>
      </c>
    </row>
    <row r="9212" spans="1:4" ht="40.5">
      <c r="A9212" s="402">
        <v>94686</v>
      </c>
      <c r="B9212" s="403" t="s">
        <v>3445</v>
      </c>
      <c r="C9212" s="402" t="s">
        <v>35</v>
      </c>
      <c r="D9212" s="601">
        <v>201.42</v>
      </c>
    </row>
    <row r="9213" spans="1:4" ht="40.5">
      <c r="A9213" s="402">
        <v>94687</v>
      </c>
      <c r="B9213" s="403" t="s">
        <v>3446</v>
      </c>
      <c r="C9213" s="402" t="s">
        <v>35</v>
      </c>
      <c r="D9213" s="601">
        <v>164.96</v>
      </c>
    </row>
    <row r="9214" spans="1:4" ht="40.5">
      <c r="A9214" s="402">
        <v>94688</v>
      </c>
      <c r="B9214" s="403" t="s">
        <v>3447</v>
      </c>
      <c r="C9214" s="402" t="s">
        <v>35</v>
      </c>
      <c r="D9214" s="601">
        <v>8.49</v>
      </c>
    </row>
    <row r="9215" spans="1:4" ht="40.5">
      <c r="A9215" s="402">
        <v>94689</v>
      </c>
      <c r="B9215" s="403" t="s">
        <v>3448</v>
      </c>
      <c r="C9215" s="402" t="s">
        <v>35</v>
      </c>
      <c r="D9215" s="601">
        <v>11.11</v>
      </c>
    </row>
    <row r="9216" spans="1:4" ht="40.5">
      <c r="A9216" s="402">
        <v>94690</v>
      </c>
      <c r="B9216" s="403" t="s">
        <v>3449</v>
      </c>
      <c r="C9216" s="402" t="s">
        <v>35</v>
      </c>
      <c r="D9216" s="601">
        <v>10.69</v>
      </c>
    </row>
    <row r="9217" spans="1:4" ht="40.5">
      <c r="A9217" s="402">
        <v>94691</v>
      </c>
      <c r="B9217" s="403" t="s">
        <v>3450</v>
      </c>
      <c r="C9217" s="402" t="s">
        <v>35</v>
      </c>
      <c r="D9217" s="601">
        <v>12.2</v>
      </c>
    </row>
    <row r="9218" spans="1:4" ht="40.5">
      <c r="A9218" s="402">
        <v>94692</v>
      </c>
      <c r="B9218" s="403" t="s">
        <v>3451</v>
      </c>
      <c r="C9218" s="402" t="s">
        <v>35</v>
      </c>
      <c r="D9218" s="601">
        <v>18.670000000000002</v>
      </c>
    </row>
    <row r="9219" spans="1:4" ht="40.5">
      <c r="A9219" s="402">
        <v>94693</v>
      </c>
      <c r="B9219" s="403" t="s">
        <v>3452</v>
      </c>
      <c r="C9219" s="402" t="s">
        <v>35</v>
      </c>
      <c r="D9219" s="601">
        <v>19.440000000000001</v>
      </c>
    </row>
    <row r="9220" spans="1:4" ht="40.5">
      <c r="A9220" s="402">
        <v>94694</v>
      </c>
      <c r="B9220" s="403" t="s">
        <v>3453</v>
      </c>
      <c r="C9220" s="402" t="s">
        <v>35</v>
      </c>
      <c r="D9220" s="601">
        <v>19.48</v>
      </c>
    </row>
    <row r="9221" spans="1:4" ht="40.5">
      <c r="A9221" s="402">
        <v>94695</v>
      </c>
      <c r="B9221" s="403" t="s">
        <v>3454</v>
      </c>
      <c r="C9221" s="402" t="s">
        <v>35</v>
      </c>
      <c r="D9221" s="601">
        <v>25.39</v>
      </c>
    </row>
    <row r="9222" spans="1:4" ht="40.5">
      <c r="A9222" s="402">
        <v>94696</v>
      </c>
      <c r="B9222" s="403" t="s">
        <v>3455</v>
      </c>
      <c r="C9222" s="402" t="s">
        <v>35</v>
      </c>
      <c r="D9222" s="601">
        <v>44.76</v>
      </c>
    </row>
    <row r="9223" spans="1:4" ht="40.5">
      <c r="A9223" s="402">
        <v>94697</v>
      </c>
      <c r="B9223" s="403" t="s">
        <v>3456</v>
      </c>
      <c r="C9223" s="402" t="s">
        <v>35</v>
      </c>
      <c r="D9223" s="601">
        <v>67.64</v>
      </c>
    </row>
    <row r="9224" spans="1:4" ht="40.5">
      <c r="A9224" s="402">
        <v>94698</v>
      </c>
      <c r="B9224" s="403" t="s">
        <v>3457</v>
      </c>
      <c r="C9224" s="402" t="s">
        <v>35</v>
      </c>
      <c r="D9224" s="601">
        <v>59.6</v>
      </c>
    </row>
    <row r="9225" spans="1:4" ht="40.5">
      <c r="A9225" s="402">
        <v>94699</v>
      </c>
      <c r="B9225" s="403" t="s">
        <v>3458</v>
      </c>
      <c r="C9225" s="402" t="s">
        <v>35</v>
      </c>
      <c r="D9225" s="601">
        <v>114.53</v>
      </c>
    </row>
    <row r="9226" spans="1:4" ht="40.5">
      <c r="A9226" s="402">
        <v>94700</v>
      </c>
      <c r="B9226" s="403" t="s">
        <v>3459</v>
      </c>
      <c r="C9226" s="402" t="s">
        <v>35</v>
      </c>
      <c r="D9226" s="601">
        <v>98.07</v>
      </c>
    </row>
    <row r="9227" spans="1:4" ht="40.5">
      <c r="A9227" s="402">
        <v>94701</v>
      </c>
      <c r="B9227" s="403" t="s">
        <v>3460</v>
      </c>
      <c r="C9227" s="402" t="s">
        <v>35</v>
      </c>
      <c r="D9227" s="601">
        <v>166.73</v>
      </c>
    </row>
    <row r="9228" spans="1:4" ht="40.5">
      <c r="A9228" s="402">
        <v>94702</v>
      </c>
      <c r="B9228" s="403" t="s">
        <v>3461</v>
      </c>
      <c r="C9228" s="402" t="s">
        <v>35</v>
      </c>
      <c r="D9228" s="601">
        <v>158.32</v>
      </c>
    </row>
    <row r="9229" spans="1:4" ht="40.5">
      <c r="A9229" s="402">
        <v>94703</v>
      </c>
      <c r="B9229" s="403" t="s">
        <v>3462</v>
      </c>
      <c r="C9229" s="402" t="s">
        <v>35</v>
      </c>
      <c r="D9229" s="601">
        <v>14.69</v>
      </c>
    </row>
    <row r="9230" spans="1:4" ht="40.5">
      <c r="A9230" s="402">
        <v>94704</v>
      </c>
      <c r="B9230" s="403" t="s">
        <v>719</v>
      </c>
      <c r="C9230" s="402" t="s">
        <v>35</v>
      </c>
      <c r="D9230" s="601">
        <v>17.22</v>
      </c>
    </row>
    <row r="9231" spans="1:4" ht="40.5">
      <c r="A9231" s="402">
        <v>94705</v>
      </c>
      <c r="B9231" s="403" t="s">
        <v>3463</v>
      </c>
      <c r="C9231" s="402" t="s">
        <v>35</v>
      </c>
      <c r="D9231" s="601">
        <v>21.04</v>
      </c>
    </row>
    <row r="9232" spans="1:4" ht="40.5">
      <c r="A9232" s="402">
        <v>94706</v>
      </c>
      <c r="B9232" s="403" t="s">
        <v>3464</v>
      </c>
      <c r="C9232" s="402" t="s">
        <v>35</v>
      </c>
      <c r="D9232" s="601">
        <v>32.24</v>
      </c>
    </row>
    <row r="9233" spans="1:4" ht="40.5">
      <c r="A9233" s="402">
        <v>94707</v>
      </c>
      <c r="B9233" s="403" t="s">
        <v>720</v>
      </c>
      <c r="C9233" s="402" t="s">
        <v>35</v>
      </c>
      <c r="D9233" s="601">
        <v>39.340000000000003</v>
      </c>
    </row>
    <row r="9234" spans="1:4" ht="40.5">
      <c r="A9234" s="402">
        <v>94708</v>
      </c>
      <c r="B9234" s="403" t="s">
        <v>3465</v>
      </c>
      <c r="C9234" s="402" t="s">
        <v>35</v>
      </c>
      <c r="D9234" s="601">
        <v>18.78</v>
      </c>
    </row>
    <row r="9235" spans="1:4" ht="40.5">
      <c r="A9235" s="402">
        <v>94709</v>
      </c>
      <c r="B9235" s="403" t="s">
        <v>3466</v>
      </c>
      <c r="C9235" s="402" t="s">
        <v>35</v>
      </c>
      <c r="D9235" s="601">
        <v>23.82</v>
      </c>
    </row>
    <row r="9236" spans="1:4" ht="40.5">
      <c r="A9236" s="402">
        <v>94710</v>
      </c>
      <c r="B9236" s="403" t="s">
        <v>3467</v>
      </c>
      <c r="C9236" s="402" t="s">
        <v>35</v>
      </c>
      <c r="D9236" s="601">
        <v>36.32</v>
      </c>
    </row>
    <row r="9237" spans="1:4" ht="40.5">
      <c r="A9237" s="402">
        <v>94711</v>
      </c>
      <c r="B9237" s="403" t="s">
        <v>3468</v>
      </c>
      <c r="C9237" s="402" t="s">
        <v>35</v>
      </c>
      <c r="D9237" s="601">
        <v>45.47</v>
      </c>
    </row>
    <row r="9238" spans="1:4" ht="40.5">
      <c r="A9238" s="402">
        <v>94712</v>
      </c>
      <c r="B9238" s="403" t="s">
        <v>3469</v>
      </c>
      <c r="C9238" s="402" t="s">
        <v>35</v>
      </c>
      <c r="D9238" s="601">
        <v>59.82</v>
      </c>
    </row>
    <row r="9239" spans="1:4" ht="40.5">
      <c r="A9239" s="402">
        <v>94713</v>
      </c>
      <c r="B9239" s="403" t="s">
        <v>3470</v>
      </c>
      <c r="C9239" s="402" t="s">
        <v>35</v>
      </c>
      <c r="D9239" s="601">
        <v>150.9</v>
      </c>
    </row>
    <row r="9240" spans="1:4" ht="40.5">
      <c r="A9240" s="402">
        <v>94714</v>
      </c>
      <c r="B9240" s="403" t="s">
        <v>3471</v>
      </c>
      <c r="C9240" s="402" t="s">
        <v>35</v>
      </c>
      <c r="D9240" s="601">
        <v>203.42</v>
      </c>
    </row>
    <row r="9241" spans="1:4" ht="40.5">
      <c r="A9241" s="402">
        <v>94715</v>
      </c>
      <c r="B9241" s="403" t="s">
        <v>3472</v>
      </c>
      <c r="C9241" s="402" t="s">
        <v>35</v>
      </c>
      <c r="D9241" s="601">
        <v>279.57</v>
      </c>
    </row>
    <row r="9242" spans="1:4" ht="40.5">
      <c r="A9242" s="402">
        <v>94724</v>
      </c>
      <c r="B9242" s="403" t="s">
        <v>3480</v>
      </c>
      <c r="C9242" s="402" t="s">
        <v>35</v>
      </c>
      <c r="D9242" s="601">
        <v>29.8</v>
      </c>
    </row>
    <row r="9243" spans="1:4" ht="40.5">
      <c r="A9243" s="402">
        <v>94725</v>
      </c>
      <c r="B9243" s="403" t="s">
        <v>3481</v>
      </c>
      <c r="C9243" s="402" t="s">
        <v>35</v>
      </c>
      <c r="D9243" s="601">
        <v>6.05</v>
      </c>
    </row>
    <row r="9244" spans="1:4" ht="40.5">
      <c r="A9244" s="402">
        <v>94726</v>
      </c>
      <c r="B9244" s="403" t="s">
        <v>3482</v>
      </c>
      <c r="C9244" s="402" t="s">
        <v>35</v>
      </c>
      <c r="D9244" s="601">
        <v>46.79</v>
      </c>
    </row>
    <row r="9245" spans="1:4" ht="40.5">
      <c r="A9245" s="402">
        <v>94727</v>
      </c>
      <c r="B9245" s="403" t="s">
        <v>3483</v>
      </c>
      <c r="C9245" s="402" t="s">
        <v>35</v>
      </c>
      <c r="D9245" s="601">
        <v>9.1999999999999993</v>
      </c>
    </row>
    <row r="9246" spans="1:4" ht="40.5">
      <c r="A9246" s="402">
        <v>94728</v>
      </c>
      <c r="B9246" s="403" t="s">
        <v>3484</v>
      </c>
      <c r="C9246" s="402" t="s">
        <v>35</v>
      </c>
      <c r="D9246" s="601">
        <v>180.52</v>
      </c>
    </row>
    <row r="9247" spans="1:4" ht="40.5">
      <c r="A9247" s="402">
        <v>94729</v>
      </c>
      <c r="B9247" s="403" t="s">
        <v>3485</v>
      </c>
      <c r="C9247" s="402" t="s">
        <v>35</v>
      </c>
      <c r="D9247" s="601">
        <v>16.87</v>
      </c>
    </row>
    <row r="9248" spans="1:4" ht="40.5">
      <c r="A9248" s="402">
        <v>94730</v>
      </c>
      <c r="B9248" s="403" t="s">
        <v>3486</v>
      </c>
      <c r="C9248" s="402" t="s">
        <v>35</v>
      </c>
      <c r="D9248" s="601">
        <v>219.7</v>
      </c>
    </row>
    <row r="9249" spans="1:4" ht="40.5">
      <c r="A9249" s="402">
        <v>94731</v>
      </c>
      <c r="B9249" s="403" t="s">
        <v>3487</v>
      </c>
      <c r="C9249" s="402" t="s">
        <v>35</v>
      </c>
      <c r="D9249" s="601">
        <v>21.64</v>
      </c>
    </row>
    <row r="9250" spans="1:4" ht="40.5">
      <c r="A9250" s="402">
        <v>94733</v>
      </c>
      <c r="B9250" s="403" t="s">
        <v>3488</v>
      </c>
      <c r="C9250" s="402" t="s">
        <v>35</v>
      </c>
      <c r="D9250" s="601">
        <v>42.36</v>
      </c>
    </row>
    <row r="9251" spans="1:4" ht="40.5">
      <c r="A9251" s="402">
        <v>94737</v>
      </c>
      <c r="B9251" s="403" t="s">
        <v>3489</v>
      </c>
      <c r="C9251" s="402" t="s">
        <v>35</v>
      </c>
      <c r="D9251" s="601">
        <v>184.07</v>
      </c>
    </row>
    <row r="9252" spans="1:4" ht="40.5">
      <c r="A9252" s="402">
        <v>94740</v>
      </c>
      <c r="B9252" s="403" t="s">
        <v>3490</v>
      </c>
      <c r="C9252" s="402" t="s">
        <v>35</v>
      </c>
      <c r="D9252" s="601">
        <v>9.65</v>
      </c>
    </row>
    <row r="9253" spans="1:4" ht="40.5">
      <c r="A9253" s="402">
        <v>94741</v>
      </c>
      <c r="B9253" s="403" t="s">
        <v>3491</v>
      </c>
      <c r="C9253" s="402" t="s">
        <v>35</v>
      </c>
      <c r="D9253" s="601">
        <v>12.52</v>
      </c>
    </row>
    <row r="9254" spans="1:4" ht="40.5">
      <c r="A9254" s="402">
        <v>94742</v>
      </c>
      <c r="B9254" s="403" t="s">
        <v>3492</v>
      </c>
      <c r="C9254" s="402" t="s">
        <v>35</v>
      </c>
      <c r="D9254" s="601">
        <v>15.73</v>
      </c>
    </row>
    <row r="9255" spans="1:4" ht="40.5">
      <c r="A9255" s="402">
        <v>94743</v>
      </c>
      <c r="B9255" s="403" t="s">
        <v>3493</v>
      </c>
      <c r="C9255" s="402" t="s">
        <v>35</v>
      </c>
      <c r="D9255" s="601">
        <v>17.54</v>
      </c>
    </row>
    <row r="9256" spans="1:4" ht="40.5">
      <c r="A9256" s="402">
        <v>94744</v>
      </c>
      <c r="B9256" s="403" t="s">
        <v>3494</v>
      </c>
      <c r="C9256" s="402" t="s">
        <v>35</v>
      </c>
      <c r="D9256" s="601">
        <v>25.71</v>
      </c>
    </row>
    <row r="9257" spans="1:4" ht="40.5">
      <c r="A9257" s="402">
        <v>94746</v>
      </c>
      <c r="B9257" s="403" t="s">
        <v>3495</v>
      </c>
      <c r="C9257" s="402" t="s">
        <v>35</v>
      </c>
      <c r="D9257" s="601">
        <v>37.799999999999997</v>
      </c>
    </row>
    <row r="9258" spans="1:4" ht="40.5">
      <c r="A9258" s="402">
        <v>94748</v>
      </c>
      <c r="B9258" s="403" t="s">
        <v>3496</v>
      </c>
      <c r="C9258" s="402" t="s">
        <v>35</v>
      </c>
      <c r="D9258" s="601">
        <v>78.81</v>
      </c>
    </row>
    <row r="9259" spans="1:4" ht="40.5">
      <c r="A9259" s="402">
        <v>94750</v>
      </c>
      <c r="B9259" s="403" t="s">
        <v>3497</v>
      </c>
      <c r="C9259" s="402" t="s">
        <v>35</v>
      </c>
      <c r="D9259" s="601">
        <v>193.2</v>
      </c>
    </row>
    <row r="9260" spans="1:4" ht="40.5">
      <c r="A9260" s="402">
        <v>94752</v>
      </c>
      <c r="B9260" s="403" t="s">
        <v>3498</v>
      </c>
      <c r="C9260" s="402" t="s">
        <v>35</v>
      </c>
      <c r="D9260" s="601">
        <v>231.79</v>
      </c>
    </row>
    <row r="9261" spans="1:4" ht="40.5">
      <c r="A9261" s="402">
        <v>94756</v>
      </c>
      <c r="B9261" s="403" t="s">
        <v>3499</v>
      </c>
      <c r="C9261" s="402" t="s">
        <v>35</v>
      </c>
      <c r="D9261" s="601">
        <v>12.08</v>
      </c>
    </row>
    <row r="9262" spans="1:4" ht="40.5">
      <c r="A9262" s="402">
        <v>94757</v>
      </c>
      <c r="B9262" s="403" t="s">
        <v>3500</v>
      </c>
      <c r="C9262" s="402" t="s">
        <v>35</v>
      </c>
      <c r="D9262" s="601">
        <v>17.5</v>
      </c>
    </row>
    <row r="9263" spans="1:4" ht="40.5">
      <c r="A9263" s="402">
        <v>94758</v>
      </c>
      <c r="B9263" s="403" t="s">
        <v>3501</v>
      </c>
      <c r="C9263" s="402" t="s">
        <v>35</v>
      </c>
      <c r="D9263" s="601">
        <v>48.16</v>
      </c>
    </row>
    <row r="9264" spans="1:4" ht="40.5">
      <c r="A9264" s="402">
        <v>94759</v>
      </c>
      <c r="B9264" s="403" t="s">
        <v>3502</v>
      </c>
      <c r="C9264" s="402" t="s">
        <v>35</v>
      </c>
      <c r="D9264" s="601">
        <v>60.22</v>
      </c>
    </row>
    <row r="9265" spans="1:4" ht="40.5">
      <c r="A9265" s="402">
        <v>94760</v>
      </c>
      <c r="B9265" s="403" t="s">
        <v>3503</v>
      </c>
      <c r="C9265" s="402" t="s">
        <v>35</v>
      </c>
      <c r="D9265" s="601">
        <v>98.56</v>
      </c>
    </row>
    <row r="9266" spans="1:4" ht="40.5">
      <c r="A9266" s="402">
        <v>94761</v>
      </c>
      <c r="B9266" s="403" t="s">
        <v>3504</v>
      </c>
      <c r="C9266" s="402" t="s">
        <v>35</v>
      </c>
      <c r="D9266" s="601">
        <v>219.47</v>
      </c>
    </row>
    <row r="9267" spans="1:4" ht="40.5">
      <c r="A9267" s="402">
        <v>94762</v>
      </c>
      <c r="B9267" s="403" t="s">
        <v>3505</v>
      </c>
      <c r="C9267" s="402" t="s">
        <v>35</v>
      </c>
      <c r="D9267" s="601">
        <v>276.14</v>
      </c>
    </row>
    <row r="9268" spans="1:4" ht="40.5">
      <c r="A9268" s="402">
        <v>94783</v>
      </c>
      <c r="B9268" s="403" t="s">
        <v>3508</v>
      </c>
      <c r="C9268" s="402" t="s">
        <v>35</v>
      </c>
      <c r="D9268" s="601">
        <v>13.59</v>
      </c>
    </row>
    <row r="9269" spans="1:4" ht="40.5">
      <c r="A9269" s="402">
        <v>94785</v>
      </c>
      <c r="B9269" s="403" t="s">
        <v>3509</v>
      </c>
      <c r="C9269" s="402" t="s">
        <v>35</v>
      </c>
      <c r="D9269" s="601">
        <v>24.17</v>
      </c>
    </row>
    <row r="9270" spans="1:4" ht="40.5">
      <c r="A9270" s="402">
        <v>94786</v>
      </c>
      <c r="B9270" s="403" t="s">
        <v>721</v>
      </c>
      <c r="C9270" s="402" t="s">
        <v>35</v>
      </c>
      <c r="D9270" s="601">
        <v>31.31</v>
      </c>
    </row>
    <row r="9271" spans="1:4" ht="40.5">
      <c r="A9271" s="402">
        <v>94787</v>
      </c>
      <c r="B9271" s="403" t="s">
        <v>722</v>
      </c>
      <c r="C9271" s="402" t="s">
        <v>35</v>
      </c>
      <c r="D9271" s="601">
        <v>43.58</v>
      </c>
    </row>
    <row r="9272" spans="1:4" ht="40.5">
      <c r="A9272" s="402">
        <v>94788</v>
      </c>
      <c r="B9272" s="403" t="s">
        <v>3510</v>
      </c>
      <c r="C9272" s="402" t="s">
        <v>35</v>
      </c>
      <c r="D9272" s="601">
        <v>61.53</v>
      </c>
    </row>
    <row r="9273" spans="1:4" ht="40.5">
      <c r="A9273" s="402">
        <v>94789</v>
      </c>
      <c r="B9273" s="403" t="s">
        <v>723</v>
      </c>
      <c r="C9273" s="402" t="s">
        <v>35</v>
      </c>
      <c r="D9273" s="601">
        <v>186.1</v>
      </c>
    </row>
    <row r="9274" spans="1:4" ht="40.5">
      <c r="A9274" s="402">
        <v>94790</v>
      </c>
      <c r="B9274" s="403" t="s">
        <v>3511</v>
      </c>
      <c r="C9274" s="402" t="s">
        <v>35</v>
      </c>
      <c r="D9274" s="601">
        <v>214.75</v>
      </c>
    </row>
    <row r="9275" spans="1:4" ht="40.5">
      <c r="A9275" s="402">
        <v>94791</v>
      </c>
      <c r="B9275" s="403" t="s">
        <v>3512</v>
      </c>
      <c r="C9275" s="402" t="s">
        <v>35</v>
      </c>
      <c r="D9275" s="601">
        <v>299.52</v>
      </c>
    </row>
    <row r="9276" spans="1:4" ht="40.5">
      <c r="A9276" s="402">
        <v>94863</v>
      </c>
      <c r="B9276" s="403" t="s">
        <v>3516</v>
      </c>
      <c r="C9276" s="402" t="s">
        <v>35</v>
      </c>
      <c r="D9276" s="601">
        <v>159.16</v>
      </c>
    </row>
    <row r="9277" spans="1:4" ht="40.5">
      <c r="A9277" s="402">
        <v>95141</v>
      </c>
      <c r="B9277" s="403" t="s">
        <v>3581</v>
      </c>
      <c r="C9277" s="402" t="s">
        <v>35</v>
      </c>
      <c r="D9277" s="601">
        <v>22.62</v>
      </c>
    </row>
    <row r="9278" spans="1:4" ht="27">
      <c r="A9278" s="402">
        <v>95237</v>
      </c>
      <c r="B9278" s="403" t="s">
        <v>3594</v>
      </c>
      <c r="C9278" s="402" t="s">
        <v>35</v>
      </c>
      <c r="D9278" s="601">
        <v>17.71</v>
      </c>
    </row>
    <row r="9279" spans="1:4" ht="27">
      <c r="A9279" s="402">
        <v>95693</v>
      </c>
      <c r="B9279" s="403" t="s">
        <v>3791</v>
      </c>
      <c r="C9279" s="402" t="s">
        <v>35</v>
      </c>
      <c r="D9279" s="601">
        <v>40.01</v>
      </c>
    </row>
    <row r="9280" spans="1:4" ht="27">
      <c r="A9280" s="402">
        <v>95694</v>
      </c>
      <c r="B9280" s="403" t="s">
        <v>751</v>
      </c>
      <c r="C9280" s="402" t="s">
        <v>35</v>
      </c>
      <c r="D9280" s="601">
        <v>48.6</v>
      </c>
    </row>
    <row r="9281" spans="1:4" ht="27">
      <c r="A9281" s="402">
        <v>95695</v>
      </c>
      <c r="B9281" s="403" t="s">
        <v>3792</v>
      </c>
      <c r="C9281" s="402" t="s">
        <v>35</v>
      </c>
      <c r="D9281" s="601">
        <v>47.32</v>
      </c>
    </row>
    <row r="9282" spans="1:4" ht="27">
      <c r="A9282" s="402">
        <v>95696</v>
      </c>
      <c r="B9282" s="403" t="s">
        <v>4924</v>
      </c>
      <c r="C9282" s="402" t="s">
        <v>35</v>
      </c>
      <c r="D9282" s="601">
        <v>33.729999999999997</v>
      </c>
    </row>
    <row r="9283" spans="1:4" ht="27">
      <c r="A9283" s="402">
        <v>96637</v>
      </c>
      <c r="B9283" s="403" t="s">
        <v>4030</v>
      </c>
      <c r="C9283" s="402" t="s">
        <v>35</v>
      </c>
      <c r="D9283" s="601">
        <v>9.59</v>
      </c>
    </row>
    <row r="9284" spans="1:4" ht="27">
      <c r="A9284" s="402">
        <v>96638</v>
      </c>
      <c r="B9284" s="403" t="s">
        <v>4031</v>
      </c>
      <c r="C9284" s="402" t="s">
        <v>35</v>
      </c>
      <c r="D9284" s="601">
        <v>9.19</v>
      </c>
    </row>
    <row r="9285" spans="1:4" ht="27">
      <c r="A9285" s="402">
        <v>96639</v>
      </c>
      <c r="B9285" s="403" t="s">
        <v>4032</v>
      </c>
      <c r="C9285" s="402" t="s">
        <v>35</v>
      </c>
      <c r="D9285" s="601">
        <v>6.71</v>
      </c>
    </row>
    <row r="9286" spans="1:4" ht="27">
      <c r="A9286" s="402">
        <v>96640</v>
      </c>
      <c r="B9286" s="403" t="s">
        <v>4033</v>
      </c>
      <c r="C9286" s="402" t="s">
        <v>35</v>
      </c>
      <c r="D9286" s="601">
        <v>17.63</v>
      </c>
    </row>
    <row r="9287" spans="1:4" ht="27">
      <c r="A9287" s="402">
        <v>96641</v>
      </c>
      <c r="B9287" s="403" t="s">
        <v>4034</v>
      </c>
      <c r="C9287" s="402" t="s">
        <v>35</v>
      </c>
      <c r="D9287" s="601">
        <v>13.73</v>
      </c>
    </row>
    <row r="9288" spans="1:4" ht="27">
      <c r="A9288" s="402">
        <v>96642</v>
      </c>
      <c r="B9288" s="403" t="s">
        <v>4035</v>
      </c>
      <c r="C9288" s="402" t="s">
        <v>35</v>
      </c>
      <c r="D9288" s="601">
        <v>12.68</v>
      </c>
    </row>
    <row r="9289" spans="1:4" ht="27">
      <c r="A9289" s="402">
        <v>96643</v>
      </c>
      <c r="B9289" s="403" t="s">
        <v>4036</v>
      </c>
      <c r="C9289" s="402" t="s">
        <v>35</v>
      </c>
      <c r="D9289" s="601">
        <v>35.549999999999997</v>
      </c>
    </row>
    <row r="9290" spans="1:4" ht="27">
      <c r="A9290" s="402">
        <v>96650</v>
      </c>
      <c r="B9290" s="403" t="s">
        <v>4043</v>
      </c>
      <c r="C9290" s="402" t="s">
        <v>35</v>
      </c>
      <c r="D9290" s="601">
        <v>7.18</v>
      </c>
    </row>
    <row r="9291" spans="1:4" ht="27">
      <c r="A9291" s="402">
        <v>96651</v>
      </c>
      <c r="B9291" s="403" t="s">
        <v>4044</v>
      </c>
      <c r="C9291" s="402" t="s">
        <v>35</v>
      </c>
      <c r="D9291" s="601">
        <v>6.78</v>
      </c>
    </row>
    <row r="9292" spans="1:4" ht="27">
      <c r="A9292" s="402">
        <v>96652</v>
      </c>
      <c r="B9292" s="403" t="s">
        <v>4045</v>
      </c>
      <c r="C9292" s="402" t="s">
        <v>35</v>
      </c>
      <c r="D9292" s="601">
        <v>13.63</v>
      </c>
    </row>
    <row r="9293" spans="1:4" ht="27">
      <c r="A9293" s="402">
        <v>96653</v>
      </c>
      <c r="B9293" s="403" t="s">
        <v>4046</v>
      </c>
      <c r="C9293" s="402" t="s">
        <v>35</v>
      </c>
      <c r="D9293" s="601">
        <v>13.58</v>
      </c>
    </row>
    <row r="9294" spans="1:4" ht="27">
      <c r="A9294" s="402">
        <v>96654</v>
      </c>
      <c r="B9294" s="403" t="s">
        <v>4047</v>
      </c>
      <c r="C9294" s="402" t="s">
        <v>35</v>
      </c>
      <c r="D9294" s="601">
        <v>22.64</v>
      </c>
    </row>
    <row r="9295" spans="1:4" ht="27">
      <c r="A9295" s="402">
        <v>96655</v>
      </c>
      <c r="B9295" s="403" t="s">
        <v>4048</v>
      </c>
      <c r="C9295" s="402" t="s">
        <v>35</v>
      </c>
      <c r="D9295" s="601">
        <v>22.21</v>
      </c>
    </row>
    <row r="9296" spans="1:4" ht="27">
      <c r="A9296" s="402">
        <v>96656</v>
      </c>
      <c r="B9296" s="403" t="s">
        <v>4049</v>
      </c>
      <c r="C9296" s="402" t="s">
        <v>35</v>
      </c>
      <c r="D9296" s="601">
        <v>5.13</v>
      </c>
    </row>
    <row r="9297" spans="1:4" ht="27">
      <c r="A9297" s="402">
        <v>96657</v>
      </c>
      <c r="B9297" s="403" t="s">
        <v>4050</v>
      </c>
      <c r="C9297" s="402" t="s">
        <v>35</v>
      </c>
      <c r="D9297" s="601">
        <v>16.05</v>
      </c>
    </row>
    <row r="9298" spans="1:4" ht="27">
      <c r="A9298" s="402">
        <v>96658</v>
      </c>
      <c r="B9298" s="403" t="s">
        <v>4051</v>
      </c>
      <c r="C9298" s="402" t="s">
        <v>35</v>
      </c>
      <c r="D9298" s="601">
        <v>12.15</v>
      </c>
    </row>
    <row r="9299" spans="1:4" ht="27">
      <c r="A9299" s="402">
        <v>96659</v>
      </c>
      <c r="B9299" s="403" t="s">
        <v>4052</v>
      </c>
      <c r="C9299" s="402" t="s">
        <v>35</v>
      </c>
      <c r="D9299" s="601">
        <v>9.2200000000000006</v>
      </c>
    </row>
    <row r="9300" spans="1:4" ht="27">
      <c r="A9300" s="402">
        <v>96660</v>
      </c>
      <c r="B9300" s="403" t="s">
        <v>4053</v>
      </c>
      <c r="C9300" s="402" t="s">
        <v>35</v>
      </c>
      <c r="D9300" s="601">
        <v>27.43</v>
      </c>
    </row>
    <row r="9301" spans="1:4" ht="27">
      <c r="A9301" s="402">
        <v>96661</v>
      </c>
      <c r="B9301" s="403" t="s">
        <v>4054</v>
      </c>
      <c r="C9301" s="402" t="s">
        <v>35</v>
      </c>
      <c r="D9301" s="601">
        <v>21.43</v>
      </c>
    </row>
    <row r="9302" spans="1:4" ht="27">
      <c r="A9302" s="402">
        <v>96662</v>
      </c>
      <c r="B9302" s="403" t="s">
        <v>4055</v>
      </c>
      <c r="C9302" s="402" t="s">
        <v>35</v>
      </c>
      <c r="D9302" s="601">
        <v>9.42</v>
      </c>
    </row>
    <row r="9303" spans="1:4" ht="27">
      <c r="A9303" s="402">
        <v>96663</v>
      </c>
      <c r="B9303" s="403" t="s">
        <v>4056</v>
      </c>
      <c r="C9303" s="402" t="s">
        <v>35</v>
      </c>
      <c r="D9303" s="601">
        <v>16.829999999999998</v>
      </c>
    </row>
    <row r="9304" spans="1:4" ht="27">
      <c r="A9304" s="402">
        <v>96664</v>
      </c>
      <c r="B9304" s="403" t="s">
        <v>4057</v>
      </c>
      <c r="C9304" s="402" t="s">
        <v>35</v>
      </c>
      <c r="D9304" s="601">
        <v>18.11</v>
      </c>
    </row>
    <row r="9305" spans="1:4" ht="27">
      <c r="A9305" s="402">
        <v>96665</v>
      </c>
      <c r="B9305" s="403" t="s">
        <v>4058</v>
      </c>
      <c r="C9305" s="402" t="s">
        <v>35</v>
      </c>
      <c r="D9305" s="601">
        <v>9.4499999999999993</v>
      </c>
    </row>
    <row r="9306" spans="1:4" ht="27">
      <c r="A9306" s="402">
        <v>96666</v>
      </c>
      <c r="B9306" s="403" t="s">
        <v>4059</v>
      </c>
      <c r="C9306" s="402" t="s">
        <v>35</v>
      </c>
      <c r="D9306" s="601">
        <v>18.27</v>
      </c>
    </row>
    <row r="9307" spans="1:4" ht="27">
      <c r="A9307" s="402">
        <v>96667</v>
      </c>
      <c r="B9307" s="403" t="s">
        <v>4060</v>
      </c>
      <c r="C9307" s="402" t="s">
        <v>35</v>
      </c>
      <c r="D9307" s="601">
        <v>31.96</v>
      </c>
    </row>
    <row r="9308" spans="1:4" ht="27">
      <c r="A9308" s="402">
        <v>96684</v>
      </c>
      <c r="B9308" s="403" t="s">
        <v>4077</v>
      </c>
      <c r="C9308" s="402" t="s">
        <v>35</v>
      </c>
      <c r="D9308" s="601">
        <v>3.57</v>
      </c>
    </row>
    <row r="9309" spans="1:4" ht="27">
      <c r="A9309" s="402">
        <v>96685</v>
      </c>
      <c r="B9309" s="403" t="s">
        <v>4078</v>
      </c>
      <c r="C9309" s="402" t="s">
        <v>35</v>
      </c>
      <c r="D9309" s="601">
        <v>3.17</v>
      </c>
    </row>
    <row r="9310" spans="1:4" ht="27">
      <c r="A9310" s="402">
        <v>96686</v>
      </c>
      <c r="B9310" s="403" t="s">
        <v>4079</v>
      </c>
      <c r="C9310" s="402" t="s">
        <v>35</v>
      </c>
      <c r="D9310" s="601">
        <v>5.37</v>
      </c>
    </row>
    <row r="9311" spans="1:4" ht="27">
      <c r="A9311" s="402">
        <v>96687</v>
      </c>
      <c r="B9311" s="403" t="s">
        <v>4080</v>
      </c>
      <c r="C9311" s="402" t="s">
        <v>35</v>
      </c>
      <c r="D9311" s="601">
        <v>5.32</v>
      </c>
    </row>
    <row r="9312" spans="1:4" ht="27">
      <c r="A9312" s="402">
        <v>96688</v>
      </c>
      <c r="B9312" s="403" t="s">
        <v>4081</v>
      </c>
      <c r="C9312" s="402" t="s">
        <v>35</v>
      </c>
      <c r="D9312" s="601">
        <v>9.27</v>
      </c>
    </row>
    <row r="9313" spans="1:4" ht="27">
      <c r="A9313" s="402">
        <v>96689</v>
      </c>
      <c r="B9313" s="403" t="s">
        <v>4082</v>
      </c>
      <c r="C9313" s="402" t="s">
        <v>35</v>
      </c>
      <c r="D9313" s="601">
        <v>8.84</v>
      </c>
    </row>
    <row r="9314" spans="1:4" ht="27">
      <c r="A9314" s="402">
        <v>96690</v>
      </c>
      <c r="B9314" s="403" t="s">
        <v>4083</v>
      </c>
      <c r="C9314" s="402" t="s">
        <v>35</v>
      </c>
      <c r="D9314" s="601">
        <v>17.37</v>
      </c>
    </row>
    <row r="9315" spans="1:4" ht="27">
      <c r="A9315" s="402">
        <v>96691</v>
      </c>
      <c r="B9315" s="403" t="s">
        <v>4084</v>
      </c>
      <c r="C9315" s="402" t="s">
        <v>35</v>
      </c>
      <c r="D9315" s="601">
        <v>17.95</v>
      </c>
    </row>
    <row r="9316" spans="1:4" ht="27">
      <c r="A9316" s="402">
        <v>96692</v>
      </c>
      <c r="B9316" s="403" t="s">
        <v>4085</v>
      </c>
      <c r="C9316" s="402" t="s">
        <v>35</v>
      </c>
      <c r="D9316" s="601">
        <v>26.25</v>
      </c>
    </row>
    <row r="9317" spans="1:4" ht="27">
      <c r="A9317" s="402">
        <v>96693</v>
      </c>
      <c r="B9317" s="403" t="s">
        <v>4086</v>
      </c>
      <c r="C9317" s="402" t="s">
        <v>35</v>
      </c>
      <c r="D9317" s="601">
        <v>24.82</v>
      </c>
    </row>
    <row r="9318" spans="1:4" ht="27">
      <c r="A9318" s="402">
        <v>96694</v>
      </c>
      <c r="B9318" s="403" t="s">
        <v>4087</v>
      </c>
      <c r="C9318" s="402" t="s">
        <v>35</v>
      </c>
      <c r="D9318" s="601">
        <v>58.32</v>
      </c>
    </row>
    <row r="9319" spans="1:4" ht="27">
      <c r="A9319" s="402">
        <v>96695</v>
      </c>
      <c r="B9319" s="403" t="s">
        <v>4088</v>
      </c>
      <c r="C9319" s="402" t="s">
        <v>35</v>
      </c>
      <c r="D9319" s="601">
        <v>56.64</v>
      </c>
    </row>
    <row r="9320" spans="1:4" ht="27">
      <c r="A9320" s="402">
        <v>96696</v>
      </c>
      <c r="B9320" s="403" t="s">
        <v>4089</v>
      </c>
      <c r="C9320" s="402" t="s">
        <v>35</v>
      </c>
      <c r="D9320" s="601">
        <v>87.91</v>
      </c>
    </row>
    <row r="9321" spans="1:4" ht="27">
      <c r="A9321" s="402">
        <v>96697</v>
      </c>
      <c r="B9321" s="403" t="s">
        <v>4090</v>
      </c>
      <c r="C9321" s="402" t="s">
        <v>35</v>
      </c>
      <c r="D9321" s="601">
        <v>131.55000000000001</v>
      </c>
    </row>
    <row r="9322" spans="1:4" ht="27">
      <c r="A9322" s="402">
        <v>96698</v>
      </c>
      <c r="B9322" s="403" t="s">
        <v>4091</v>
      </c>
      <c r="C9322" s="402" t="s">
        <v>35</v>
      </c>
      <c r="D9322" s="601">
        <v>2.72</v>
      </c>
    </row>
    <row r="9323" spans="1:4" ht="27">
      <c r="A9323" s="402">
        <v>96699</v>
      </c>
      <c r="B9323" s="403" t="s">
        <v>4092</v>
      </c>
      <c r="C9323" s="402" t="s">
        <v>35</v>
      </c>
      <c r="D9323" s="601">
        <v>13.64</v>
      </c>
    </row>
    <row r="9324" spans="1:4" ht="27">
      <c r="A9324" s="402">
        <v>96700</v>
      </c>
      <c r="B9324" s="403" t="s">
        <v>4093</v>
      </c>
      <c r="C9324" s="402" t="s">
        <v>35</v>
      </c>
      <c r="D9324" s="601">
        <v>9.74</v>
      </c>
    </row>
    <row r="9325" spans="1:4" ht="27">
      <c r="A9325" s="402">
        <v>96701</v>
      </c>
      <c r="B9325" s="403" t="s">
        <v>4094</v>
      </c>
      <c r="C9325" s="402" t="s">
        <v>35</v>
      </c>
      <c r="D9325" s="601">
        <v>3.72</v>
      </c>
    </row>
    <row r="9326" spans="1:4" ht="27">
      <c r="A9326" s="402">
        <v>96702</v>
      </c>
      <c r="B9326" s="403" t="s">
        <v>4095</v>
      </c>
      <c r="C9326" s="402" t="s">
        <v>35</v>
      </c>
      <c r="D9326" s="601">
        <v>3.92</v>
      </c>
    </row>
    <row r="9327" spans="1:4" ht="27">
      <c r="A9327" s="402">
        <v>96703</v>
      </c>
      <c r="B9327" s="403" t="s">
        <v>4096</v>
      </c>
      <c r="C9327" s="402" t="s">
        <v>35</v>
      </c>
      <c r="D9327" s="601">
        <v>7.9</v>
      </c>
    </row>
    <row r="9328" spans="1:4" ht="27">
      <c r="A9328" s="402">
        <v>96704</v>
      </c>
      <c r="B9328" s="403" t="s">
        <v>4097</v>
      </c>
      <c r="C9328" s="402" t="s">
        <v>35</v>
      </c>
      <c r="D9328" s="601">
        <v>9.18</v>
      </c>
    </row>
    <row r="9329" spans="1:4" ht="27">
      <c r="A9329" s="402">
        <v>96705</v>
      </c>
      <c r="B9329" s="403" t="s">
        <v>4098</v>
      </c>
      <c r="C9329" s="402" t="s">
        <v>35</v>
      </c>
      <c r="D9329" s="601">
        <v>11.9</v>
      </c>
    </row>
    <row r="9330" spans="1:4" ht="27">
      <c r="A9330" s="402">
        <v>96706</v>
      </c>
      <c r="B9330" s="403" t="s">
        <v>4099</v>
      </c>
      <c r="C9330" s="402" t="s">
        <v>35</v>
      </c>
      <c r="D9330" s="601">
        <v>17.87</v>
      </c>
    </row>
    <row r="9331" spans="1:4" ht="27">
      <c r="A9331" s="402">
        <v>96707</v>
      </c>
      <c r="B9331" s="403" t="s">
        <v>4100</v>
      </c>
      <c r="C9331" s="402" t="s">
        <v>35</v>
      </c>
      <c r="D9331" s="601">
        <v>37.46</v>
      </c>
    </row>
    <row r="9332" spans="1:4" ht="27">
      <c r="A9332" s="402">
        <v>96708</v>
      </c>
      <c r="B9332" s="403" t="s">
        <v>4101</v>
      </c>
      <c r="C9332" s="402" t="s">
        <v>35</v>
      </c>
      <c r="D9332" s="601">
        <v>59.19</v>
      </c>
    </row>
    <row r="9333" spans="1:4" ht="27">
      <c r="A9333" s="402">
        <v>96709</v>
      </c>
      <c r="B9333" s="403" t="s">
        <v>4102</v>
      </c>
      <c r="C9333" s="402" t="s">
        <v>35</v>
      </c>
      <c r="D9333" s="601">
        <v>93.6</v>
      </c>
    </row>
    <row r="9334" spans="1:4" ht="27">
      <c r="A9334" s="402">
        <v>96710</v>
      </c>
      <c r="B9334" s="403" t="s">
        <v>4103</v>
      </c>
      <c r="C9334" s="402" t="s">
        <v>35</v>
      </c>
      <c r="D9334" s="601">
        <v>4.67</v>
      </c>
    </row>
    <row r="9335" spans="1:4" ht="27">
      <c r="A9335" s="402">
        <v>96711</v>
      </c>
      <c r="B9335" s="403" t="s">
        <v>4104</v>
      </c>
      <c r="C9335" s="402" t="s">
        <v>35</v>
      </c>
      <c r="D9335" s="601">
        <v>7.28</v>
      </c>
    </row>
    <row r="9336" spans="1:4" ht="27">
      <c r="A9336" s="402">
        <v>96712</v>
      </c>
      <c r="B9336" s="403" t="s">
        <v>4105</v>
      </c>
      <c r="C9336" s="402" t="s">
        <v>35</v>
      </c>
      <c r="D9336" s="601">
        <v>14.11</v>
      </c>
    </row>
    <row r="9337" spans="1:4" ht="27">
      <c r="A9337" s="402">
        <v>96713</v>
      </c>
      <c r="B9337" s="403" t="s">
        <v>4106</v>
      </c>
      <c r="C9337" s="402" t="s">
        <v>35</v>
      </c>
      <c r="D9337" s="601">
        <v>19.55</v>
      </c>
    </row>
    <row r="9338" spans="1:4" ht="27">
      <c r="A9338" s="402">
        <v>96714</v>
      </c>
      <c r="B9338" s="403" t="s">
        <v>4107</v>
      </c>
      <c r="C9338" s="402" t="s">
        <v>35</v>
      </c>
      <c r="D9338" s="601">
        <v>33.06</v>
      </c>
    </row>
    <row r="9339" spans="1:4" ht="27">
      <c r="A9339" s="402">
        <v>96715</v>
      </c>
      <c r="B9339" s="403" t="s">
        <v>4108</v>
      </c>
      <c r="C9339" s="402" t="s">
        <v>35</v>
      </c>
      <c r="D9339" s="601">
        <v>62.54</v>
      </c>
    </row>
    <row r="9340" spans="1:4" ht="27">
      <c r="A9340" s="402">
        <v>96716</v>
      </c>
      <c r="B9340" s="403" t="s">
        <v>4109</v>
      </c>
      <c r="C9340" s="402" t="s">
        <v>35</v>
      </c>
      <c r="D9340" s="601">
        <v>94.02</v>
      </c>
    </row>
    <row r="9341" spans="1:4" ht="27">
      <c r="A9341" s="402">
        <v>96717</v>
      </c>
      <c r="B9341" s="403" t="s">
        <v>4110</v>
      </c>
      <c r="C9341" s="402" t="s">
        <v>35</v>
      </c>
      <c r="D9341" s="601">
        <v>148.21</v>
      </c>
    </row>
    <row r="9342" spans="1:4" ht="40.5">
      <c r="A9342" s="402">
        <v>96736</v>
      </c>
      <c r="B9342" s="403" t="s">
        <v>4129</v>
      </c>
      <c r="C9342" s="402" t="s">
        <v>35</v>
      </c>
      <c r="D9342" s="601">
        <v>3.86</v>
      </c>
    </row>
    <row r="9343" spans="1:4" ht="40.5">
      <c r="A9343" s="402">
        <v>96737</v>
      </c>
      <c r="B9343" s="403" t="s">
        <v>4130</v>
      </c>
      <c r="C9343" s="402" t="s">
        <v>35</v>
      </c>
      <c r="D9343" s="601">
        <v>4.46</v>
      </c>
    </row>
    <row r="9344" spans="1:4" ht="40.5">
      <c r="A9344" s="402">
        <v>96738</v>
      </c>
      <c r="B9344" s="403" t="s">
        <v>4131</v>
      </c>
      <c r="C9344" s="402" t="s">
        <v>35</v>
      </c>
      <c r="D9344" s="601">
        <v>15.38</v>
      </c>
    </row>
    <row r="9345" spans="1:4" ht="40.5">
      <c r="A9345" s="402">
        <v>96739</v>
      </c>
      <c r="B9345" s="403" t="s">
        <v>4132</v>
      </c>
      <c r="C9345" s="402" t="s">
        <v>35</v>
      </c>
      <c r="D9345" s="601">
        <v>5.77</v>
      </c>
    </row>
    <row r="9346" spans="1:4" ht="40.5">
      <c r="A9346" s="402">
        <v>96740</v>
      </c>
      <c r="B9346" s="403" t="s">
        <v>4133</v>
      </c>
      <c r="C9346" s="402" t="s">
        <v>35</v>
      </c>
      <c r="D9346" s="601">
        <v>23.98</v>
      </c>
    </row>
    <row r="9347" spans="1:4" ht="40.5">
      <c r="A9347" s="402">
        <v>96741</v>
      </c>
      <c r="B9347" s="403" t="s">
        <v>4134</v>
      </c>
      <c r="C9347" s="402" t="s">
        <v>35</v>
      </c>
      <c r="D9347" s="601">
        <v>9.32</v>
      </c>
    </row>
    <row r="9348" spans="1:4" ht="40.5">
      <c r="A9348" s="402">
        <v>96742</v>
      </c>
      <c r="B9348" s="403" t="s">
        <v>4135</v>
      </c>
      <c r="C9348" s="402" t="s">
        <v>35</v>
      </c>
      <c r="D9348" s="601">
        <v>14.15</v>
      </c>
    </row>
    <row r="9349" spans="1:4" ht="40.5">
      <c r="A9349" s="402">
        <v>96743</v>
      </c>
      <c r="B9349" s="403" t="s">
        <v>4136</v>
      </c>
      <c r="C9349" s="402" t="s">
        <v>35</v>
      </c>
      <c r="D9349" s="601">
        <v>18.47</v>
      </c>
    </row>
    <row r="9350" spans="1:4" ht="40.5">
      <c r="A9350" s="402">
        <v>96744</v>
      </c>
      <c r="B9350" s="403" t="s">
        <v>4137</v>
      </c>
      <c r="C9350" s="402" t="s">
        <v>35</v>
      </c>
      <c r="D9350" s="601">
        <v>39.67</v>
      </c>
    </row>
    <row r="9351" spans="1:4" ht="40.5">
      <c r="A9351" s="402">
        <v>96745</v>
      </c>
      <c r="B9351" s="403" t="s">
        <v>4138</v>
      </c>
      <c r="C9351" s="402" t="s">
        <v>35</v>
      </c>
      <c r="D9351" s="601">
        <v>58.65</v>
      </c>
    </row>
    <row r="9352" spans="1:4" ht="40.5">
      <c r="A9352" s="402">
        <v>96746</v>
      </c>
      <c r="B9352" s="403" t="s">
        <v>4139</v>
      </c>
      <c r="C9352" s="402" t="s">
        <v>35</v>
      </c>
      <c r="D9352" s="601">
        <v>93.57</v>
      </c>
    </row>
    <row r="9353" spans="1:4" ht="40.5">
      <c r="A9353" s="402">
        <v>96747</v>
      </c>
      <c r="B9353" s="403" t="s">
        <v>4140</v>
      </c>
      <c r="C9353" s="402" t="s">
        <v>35</v>
      </c>
      <c r="D9353" s="601">
        <v>5.45</v>
      </c>
    </row>
    <row r="9354" spans="1:4" ht="40.5">
      <c r="A9354" s="402">
        <v>96748</v>
      </c>
      <c r="B9354" s="403" t="s">
        <v>4141</v>
      </c>
      <c r="C9354" s="402" t="s">
        <v>35</v>
      </c>
      <c r="D9354" s="601">
        <v>6.2</v>
      </c>
    </row>
    <row r="9355" spans="1:4" ht="40.5">
      <c r="A9355" s="402">
        <v>96749</v>
      </c>
      <c r="B9355" s="403" t="s">
        <v>4142</v>
      </c>
      <c r="C9355" s="402" t="s">
        <v>35</v>
      </c>
      <c r="D9355" s="601">
        <v>8.4700000000000006</v>
      </c>
    </row>
    <row r="9356" spans="1:4" ht="40.5">
      <c r="A9356" s="402">
        <v>96750</v>
      </c>
      <c r="B9356" s="403" t="s">
        <v>4143</v>
      </c>
      <c r="C9356" s="402" t="s">
        <v>35</v>
      </c>
      <c r="D9356" s="601">
        <v>11.39</v>
      </c>
    </row>
    <row r="9357" spans="1:4" ht="40.5">
      <c r="A9357" s="402">
        <v>96751</v>
      </c>
      <c r="B9357" s="403" t="s">
        <v>4144</v>
      </c>
      <c r="C9357" s="402" t="s">
        <v>35</v>
      </c>
      <c r="D9357" s="601">
        <v>20.73</v>
      </c>
    </row>
    <row r="9358" spans="1:4" ht="40.5">
      <c r="A9358" s="402">
        <v>96752</v>
      </c>
      <c r="B9358" s="403" t="s">
        <v>4145</v>
      </c>
      <c r="C9358" s="402" t="s">
        <v>35</v>
      </c>
      <c r="D9358" s="601">
        <v>27.14</v>
      </c>
    </row>
    <row r="9359" spans="1:4" ht="40.5">
      <c r="A9359" s="402">
        <v>96753</v>
      </c>
      <c r="B9359" s="403" t="s">
        <v>4146</v>
      </c>
      <c r="C9359" s="402" t="s">
        <v>35</v>
      </c>
      <c r="D9359" s="601">
        <v>61.65</v>
      </c>
    </row>
    <row r="9360" spans="1:4" ht="40.5">
      <c r="A9360" s="402">
        <v>96754</v>
      </c>
      <c r="B9360" s="403" t="s">
        <v>4147</v>
      </c>
      <c r="C9360" s="402" t="s">
        <v>35</v>
      </c>
      <c r="D9360" s="601">
        <v>87.09</v>
      </c>
    </row>
    <row r="9361" spans="1:4" ht="40.5">
      <c r="A9361" s="402">
        <v>96755</v>
      </c>
      <c r="B9361" s="403" t="s">
        <v>4148</v>
      </c>
      <c r="C9361" s="402" t="s">
        <v>35</v>
      </c>
      <c r="D9361" s="601">
        <v>131.52000000000001</v>
      </c>
    </row>
    <row r="9362" spans="1:4" ht="40.5">
      <c r="A9362" s="402">
        <v>96756</v>
      </c>
      <c r="B9362" s="403" t="s">
        <v>4149</v>
      </c>
      <c r="C9362" s="402" t="s">
        <v>35</v>
      </c>
      <c r="D9362" s="601">
        <v>10.1</v>
      </c>
    </row>
    <row r="9363" spans="1:4" ht="40.5">
      <c r="A9363" s="402">
        <v>96757</v>
      </c>
      <c r="B9363" s="403" t="s">
        <v>4150</v>
      </c>
      <c r="C9363" s="402" t="s">
        <v>35</v>
      </c>
      <c r="D9363" s="601">
        <v>9.6999999999999993</v>
      </c>
    </row>
    <row r="9364" spans="1:4" ht="40.5">
      <c r="A9364" s="402">
        <v>96758</v>
      </c>
      <c r="B9364" s="403" t="s">
        <v>4151</v>
      </c>
      <c r="C9364" s="402" t="s">
        <v>35</v>
      </c>
      <c r="D9364" s="601">
        <v>11.4</v>
      </c>
    </row>
    <row r="9365" spans="1:4" ht="40.5">
      <c r="A9365" s="402">
        <v>96759</v>
      </c>
      <c r="B9365" s="403" t="s">
        <v>4152</v>
      </c>
      <c r="C9365" s="402" t="s">
        <v>35</v>
      </c>
      <c r="D9365" s="601">
        <v>16.96</v>
      </c>
    </row>
    <row r="9366" spans="1:4" ht="40.5">
      <c r="A9366" s="402">
        <v>96760</v>
      </c>
      <c r="B9366" s="403" t="s">
        <v>4153</v>
      </c>
      <c r="C9366" s="402" t="s">
        <v>35</v>
      </c>
      <c r="D9366" s="601">
        <v>24</v>
      </c>
    </row>
    <row r="9367" spans="1:4" ht="40.5">
      <c r="A9367" s="402">
        <v>96761</v>
      </c>
      <c r="B9367" s="403" t="s">
        <v>4154</v>
      </c>
      <c r="C9367" s="402" t="s">
        <v>35</v>
      </c>
      <c r="D9367" s="601">
        <v>34.26</v>
      </c>
    </row>
    <row r="9368" spans="1:4" ht="40.5">
      <c r="A9368" s="402">
        <v>96762</v>
      </c>
      <c r="B9368" s="403" t="s">
        <v>4155</v>
      </c>
      <c r="C9368" s="402" t="s">
        <v>35</v>
      </c>
      <c r="D9368" s="601">
        <v>66.94</v>
      </c>
    </row>
    <row r="9369" spans="1:4" ht="40.5">
      <c r="A9369" s="402">
        <v>96763</v>
      </c>
      <c r="B9369" s="403" t="s">
        <v>4156</v>
      </c>
      <c r="C9369" s="402" t="s">
        <v>35</v>
      </c>
      <c r="D9369" s="601">
        <v>92.91</v>
      </c>
    </row>
    <row r="9370" spans="1:4" ht="40.5">
      <c r="A9370" s="402">
        <v>96764</v>
      </c>
      <c r="B9370" s="403" t="s">
        <v>4157</v>
      </c>
      <c r="C9370" s="402" t="s">
        <v>35</v>
      </c>
      <c r="D9370" s="601">
        <v>148.15</v>
      </c>
    </row>
    <row r="9371" spans="1:4" ht="27">
      <c r="A9371" s="402">
        <v>96802</v>
      </c>
      <c r="B9371" s="403" t="s">
        <v>4166</v>
      </c>
      <c r="C9371" s="402" t="s">
        <v>35</v>
      </c>
      <c r="D9371" s="601">
        <v>212.51</v>
      </c>
    </row>
    <row r="9372" spans="1:4" ht="27">
      <c r="A9372" s="402">
        <v>96803</v>
      </c>
      <c r="B9372" s="403" t="s">
        <v>4167</v>
      </c>
      <c r="C9372" s="402" t="s">
        <v>35</v>
      </c>
      <c r="D9372" s="601">
        <v>108.75</v>
      </c>
    </row>
    <row r="9373" spans="1:4" ht="27">
      <c r="A9373" s="402">
        <v>96804</v>
      </c>
      <c r="B9373" s="403" t="s">
        <v>4168</v>
      </c>
      <c r="C9373" s="402" t="s">
        <v>35</v>
      </c>
      <c r="D9373" s="601">
        <v>193.62</v>
      </c>
    </row>
    <row r="9374" spans="1:4" ht="27">
      <c r="A9374" s="402">
        <v>96805</v>
      </c>
      <c r="B9374" s="403" t="s">
        <v>4169</v>
      </c>
      <c r="C9374" s="402" t="s">
        <v>35</v>
      </c>
      <c r="D9374" s="601">
        <v>218.71</v>
      </c>
    </row>
    <row r="9375" spans="1:4" ht="27">
      <c r="A9375" s="402">
        <v>96806</v>
      </c>
      <c r="B9375" s="403" t="s">
        <v>4170</v>
      </c>
      <c r="C9375" s="402" t="s">
        <v>35</v>
      </c>
      <c r="D9375" s="601">
        <v>105.33</v>
      </c>
    </row>
    <row r="9376" spans="1:4" ht="40.5">
      <c r="A9376" s="402">
        <v>96807</v>
      </c>
      <c r="B9376" s="403" t="s">
        <v>4171</v>
      </c>
      <c r="C9376" s="402" t="s">
        <v>35</v>
      </c>
      <c r="D9376" s="601">
        <v>174.99</v>
      </c>
    </row>
    <row r="9377" spans="1:4" ht="27">
      <c r="A9377" s="402">
        <v>96808</v>
      </c>
      <c r="B9377" s="403" t="s">
        <v>4172</v>
      </c>
      <c r="C9377" s="402" t="s">
        <v>35</v>
      </c>
      <c r="D9377" s="601">
        <v>9.59</v>
      </c>
    </row>
    <row r="9378" spans="1:4" ht="27">
      <c r="A9378" s="402">
        <v>96809</v>
      </c>
      <c r="B9378" s="403" t="s">
        <v>4173</v>
      </c>
      <c r="C9378" s="402" t="s">
        <v>35</v>
      </c>
      <c r="D9378" s="601">
        <v>11.04</v>
      </c>
    </row>
    <row r="9379" spans="1:4" ht="27">
      <c r="A9379" s="402">
        <v>96810</v>
      </c>
      <c r="B9379" s="403" t="s">
        <v>4174</v>
      </c>
      <c r="C9379" s="402" t="s">
        <v>35</v>
      </c>
      <c r="D9379" s="601">
        <v>12.01</v>
      </c>
    </row>
    <row r="9380" spans="1:4" ht="27">
      <c r="A9380" s="402">
        <v>96811</v>
      </c>
      <c r="B9380" s="403" t="s">
        <v>4175</v>
      </c>
      <c r="C9380" s="402" t="s">
        <v>35</v>
      </c>
      <c r="D9380" s="601">
        <v>12.88</v>
      </c>
    </row>
    <row r="9381" spans="1:4" ht="27">
      <c r="A9381" s="402">
        <v>96812</v>
      </c>
      <c r="B9381" s="403" t="s">
        <v>4176</v>
      </c>
      <c r="C9381" s="402" t="s">
        <v>35</v>
      </c>
      <c r="D9381" s="601">
        <v>12.36</v>
      </c>
    </row>
    <row r="9382" spans="1:4" ht="27">
      <c r="A9382" s="402">
        <v>96813</v>
      </c>
      <c r="B9382" s="403" t="s">
        <v>4177</v>
      </c>
      <c r="C9382" s="402" t="s">
        <v>35</v>
      </c>
      <c r="D9382" s="601">
        <v>14.3</v>
      </c>
    </row>
    <row r="9383" spans="1:4" ht="27">
      <c r="A9383" s="402">
        <v>96814</v>
      </c>
      <c r="B9383" s="403" t="s">
        <v>4178</v>
      </c>
      <c r="C9383" s="402" t="s">
        <v>35</v>
      </c>
      <c r="D9383" s="601">
        <v>12.03</v>
      </c>
    </row>
    <row r="9384" spans="1:4" ht="27">
      <c r="A9384" s="402">
        <v>96815</v>
      </c>
      <c r="B9384" s="403" t="s">
        <v>4179</v>
      </c>
      <c r="C9384" s="402" t="s">
        <v>35</v>
      </c>
      <c r="D9384" s="601">
        <v>20.47</v>
      </c>
    </row>
    <row r="9385" spans="1:4" ht="27">
      <c r="A9385" s="402">
        <v>96816</v>
      </c>
      <c r="B9385" s="403" t="s">
        <v>4180</v>
      </c>
      <c r="C9385" s="402" t="s">
        <v>35</v>
      </c>
      <c r="D9385" s="601">
        <v>16.78</v>
      </c>
    </row>
    <row r="9386" spans="1:4" ht="27">
      <c r="A9386" s="402">
        <v>96817</v>
      </c>
      <c r="B9386" s="403" t="s">
        <v>4181</v>
      </c>
      <c r="C9386" s="402" t="s">
        <v>35</v>
      </c>
      <c r="D9386" s="601">
        <v>19.13</v>
      </c>
    </row>
    <row r="9387" spans="1:4" ht="27">
      <c r="A9387" s="402">
        <v>96818</v>
      </c>
      <c r="B9387" s="403" t="s">
        <v>4182</v>
      </c>
      <c r="C9387" s="402" t="s">
        <v>35</v>
      </c>
      <c r="D9387" s="601">
        <v>17.79</v>
      </c>
    </row>
    <row r="9388" spans="1:4" ht="27">
      <c r="A9388" s="402">
        <v>96819</v>
      </c>
      <c r="B9388" s="403" t="s">
        <v>4183</v>
      </c>
      <c r="C9388" s="402" t="s">
        <v>35</v>
      </c>
      <c r="D9388" s="601">
        <v>17.79</v>
      </c>
    </row>
    <row r="9389" spans="1:4" ht="27">
      <c r="A9389" s="402">
        <v>96820</v>
      </c>
      <c r="B9389" s="403" t="s">
        <v>4184</v>
      </c>
      <c r="C9389" s="402" t="s">
        <v>35</v>
      </c>
      <c r="D9389" s="601">
        <v>32.58</v>
      </c>
    </row>
    <row r="9390" spans="1:4" ht="27">
      <c r="A9390" s="402">
        <v>96821</v>
      </c>
      <c r="B9390" s="403" t="s">
        <v>4185</v>
      </c>
      <c r="C9390" s="402" t="s">
        <v>35</v>
      </c>
      <c r="D9390" s="601">
        <v>27.68</v>
      </c>
    </row>
    <row r="9391" spans="1:4" ht="27">
      <c r="A9391" s="402">
        <v>96822</v>
      </c>
      <c r="B9391" s="403" t="s">
        <v>4186</v>
      </c>
      <c r="C9391" s="402" t="s">
        <v>35</v>
      </c>
      <c r="D9391" s="601">
        <v>28.06</v>
      </c>
    </row>
    <row r="9392" spans="1:4" ht="27">
      <c r="A9392" s="402">
        <v>96823</v>
      </c>
      <c r="B9392" s="403" t="s">
        <v>4187</v>
      </c>
      <c r="C9392" s="402" t="s">
        <v>35</v>
      </c>
      <c r="D9392" s="601">
        <v>11.55</v>
      </c>
    </row>
    <row r="9393" spans="1:4" ht="27">
      <c r="A9393" s="402">
        <v>96824</v>
      </c>
      <c r="B9393" s="403" t="s">
        <v>4188</v>
      </c>
      <c r="C9393" s="402" t="s">
        <v>35</v>
      </c>
      <c r="D9393" s="601">
        <v>13.06</v>
      </c>
    </row>
    <row r="9394" spans="1:4" ht="27">
      <c r="A9394" s="402">
        <v>96825</v>
      </c>
      <c r="B9394" s="403" t="s">
        <v>4189</v>
      </c>
      <c r="C9394" s="402" t="s">
        <v>35</v>
      </c>
      <c r="D9394" s="601">
        <v>17.77</v>
      </c>
    </row>
    <row r="9395" spans="1:4" ht="27">
      <c r="A9395" s="402">
        <v>96826</v>
      </c>
      <c r="B9395" s="403" t="s">
        <v>4190</v>
      </c>
      <c r="C9395" s="402" t="s">
        <v>35</v>
      </c>
      <c r="D9395" s="601">
        <v>16.07</v>
      </c>
    </row>
    <row r="9396" spans="1:4" ht="27">
      <c r="A9396" s="402">
        <v>96827</v>
      </c>
      <c r="B9396" s="403" t="s">
        <v>4191</v>
      </c>
      <c r="C9396" s="402" t="s">
        <v>35</v>
      </c>
      <c r="D9396" s="601">
        <v>16.68</v>
      </c>
    </row>
    <row r="9397" spans="1:4" ht="27">
      <c r="A9397" s="402">
        <v>96828</v>
      </c>
      <c r="B9397" s="403" t="s">
        <v>4192</v>
      </c>
      <c r="C9397" s="402" t="s">
        <v>35</v>
      </c>
      <c r="D9397" s="601">
        <v>20.99</v>
      </c>
    </row>
    <row r="9398" spans="1:4" ht="27">
      <c r="A9398" s="402">
        <v>96829</v>
      </c>
      <c r="B9398" s="403" t="s">
        <v>4193</v>
      </c>
      <c r="C9398" s="402" t="s">
        <v>35</v>
      </c>
      <c r="D9398" s="601">
        <v>16.04</v>
      </c>
    </row>
    <row r="9399" spans="1:4" ht="27">
      <c r="A9399" s="402">
        <v>96830</v>
      </c>
      <c r="B9399" s="403" t="s">
        <v>4194</v>
      </c>
      <c r="C9399" s="402" t="s">
        <v>35</v>
      </c>
      <c r="D9399" s="601">
        <v>23.37</v>
      </c>
    </row>
    <row r="9400" spans="1:4" ht="27">
      <c r="A9400" s="402">
        <v>96831</v>
      </c>
      <c r="B9400" s="403" t="s">
        <v>4195</v>
      </c>
      <c r="C9400" s="402" t="s">
        <v>35</v>
      </c>
      <c r="D9400" s="601">
        <v>19.010000000000002</v>
      </c>
    </row>
    <row r="9401" spans="1:4" ht="27">
      <c r="A9401" s="402">
        <v>96832</v>
      </c>
      <c r="B9401" s="403" t="s">
        <v>4196</v>
      </c>
      <c r="C9401" s="402" t="s">
        <v>35</v>
      </c>
      <c r="D9401" s="601">
        <v>22.01</v>
      </c>
    </row>
    <row r="9402" spans="1:4" ht="27">
      <c r="A9402" s="402">
        <v>96833</v>
      </c>
      <c r="B9402" s="403" t="s">
        <v>4197</v>
      </c>
      <c r="C9402" s="402" t="s">
        <v>35</v>
      </c>
      <c r="D9402" s="601">
        <v>20.6</v>
      </c>
    </row>
    <row r="9403" spans="1:4" ht="27">
      <c r="A9403" s="402">
        <v>96834</v>
      </c>
      <c r="B9403" s="403" t="s">
        <v>4198</v>
      </c>
      <c r="C9403" s="402" t="s">
        <v>35</v>
      </c>
      <c r="D9403" s="601">
        <v>34.14</v>
      </c>
    </row>
    <row r="9404" spans="1:4" ht="27">
      <c r="A9404" s="402">
        <v>96835</v>
      </c>
      <c r="B9404" s="403" t="s">
        <v>4199</v>
      </c>
      <c r="C9404" s="402" t="s">
        <v>35</v>
      </c>
      <c r="D9404" s="601">
        <v>29.47</v>
      </c>
    </row>
    <row r="9405" spans="1:4" ht="27">
      <c r="A9405" s="402">
        <v>96836</v>
      </c>
      <c r="B9405" s="403" t="s">
        <v>4200</v>
      </c>
      <c r="C9405" s="402" t="s">
        <v>35</v>
      </c>
      <c r="D9405" s="601">
        <v>31.41</v>
      </c>
    </row>
    <row r="9406" spans="1:4" ht="27">
      <c r="A9406" s="402">
        <v>96837</v>
      </c>
      <c r="B9406" s="403" t="s">
        <v>4201</v>
      </c>
      <c r="C9406" s="402" t="s">
        <v>35</v>
      </c>
      <c r="D9406" s="601">
        <v>16.84</v>
      </c>
    </row>
    <row r="9407" spans="1:4" ht="40.5">
      <c r="A9407" s="402">
        <v>96838</v>
      </c>
      <c r="B9407" s="403" t="s">
        <v>4202</v>
      </c>
      <c r="C9407" s="402" t="s">
        <v>35</v>
      </c>
      <c r="D9407" s="601">
        <v>15.45</v>
      </c>
    </row>
    <row r="9408" spans="1:4" ht="40.5">
      <c r="A9408" s="402">
        <v>96839</v>
      </c>
      <c r="B9408" s="403" t="s">
        <v>4203</v>
      </c>
      <c r="C9408" s="402" t="s">
        <v>35</v>
      </c>
      <c r="D9408" s="601">
        <v>15.2</v>
      </c>
    </row>
    <row r="9409" spans="1:4" ht="27">
      <c r="A9409" s="402">
        <v>96840</v>
      </c>
      <c r="B9409" s="403" t="s">
        <v>4204</v>
      </c>
      <c r="C9409" s="402" t="s">
        <v>35</v>
      </c>
      <c r="D9409" s="601">
        <v>19.670000000000002</v>
      </c>
    </row>
    <row r="9410" spans="1:4" ht="40.5">
      <c r="A9410" s="402">
        <v>96841</v>
      </c>
      <c r="B9410" s="403" t="s">
        <v>4205</v>
      </c>
      <c r="C9410" s="402" t="s">
        <v>35</v>
      </c>
      <c r="D9410" s="601">
        <v>17.16</v>
      </c>
    </row>
    <row r="9411" spans="1:4" ht="40.5">
      <c r="A9411" s="402">
        <v>96842</v>
      </c>
      <c r="B9411" s="403" t="s">
        <v>4206</v>
      </c>
      <c r="C9411" s="402" t="s">
        <v>35</v>
      </c>
      <c r="D9411" s="601">
        <v>21.97</v>
      </c>
    </row>
    <row r="9412" spans="1:4" ht="40.5">
      <c r="A9412" s="402">
        <v>96843</v>
      </c>
      <c r="B9412" s="403" t="s">
        <v>4207</v>
      </c>
      <c r="C9412" s="402" t="s">
        <v>35</v>
      </c>
      <c r="D9412" s="601">
        <v>21.11</v>
      </c>
    </row>
    <row r="9413" spans="1:4" ht="27">
      <c r="A9413" s="402">
        <v>96844</v>
      </c>
      <c r="B9413" s="403" t="s">
        <v>4208</v>
      </c>
      <c r="C9413" s="402" t="s">
        <v>35</v>
      </c>
      <c r="D9413" s="601">
        <v>28.94</v>
      </c>
    </row>
    <row r="9414" spans="1:4" ht="27">
      <c r="A9414" s="402">
        <v>96845</v>
      </c>
      <c r="B9414" s="403" t="s">
        <v>4209</v>
      </c>
      <c r="C9414" s="402" t="s">
        <v>35</v>
      </c>
      <c r="D9414" s="601">
        <v>30.93</v>
      </c>
    </row>
    <row r="9415" spans="1:4" ht="40.5">
      <c r="A9415" s="402">
        <v>96846</v>
      </c>
      <c r="B9415" s="403" t="s">
        <v>4210</v>
      </c>
      <c r="C9415" s="402" t="s">
        <v>35</v>
      </c>
      <c r="D9415" s="601">
        <v>24.24</v>
      </c>
    </row>
    <row r="9416" spans="1:4" ht="40.5">
      <c r="A9416" s="402">
        <v>96847</v>
      </c>
      <c r="B9416" s="403" t="s">
        <v>4211</v>
      </c>
      <c r="C9416" s="402" t="s">
        <v>35</v>
      </c>
      <c r="D9416" s="601">
        <v>26.69</v>
      </c>
    </row>
    <row r="9417" spans="1:4" ht="27">
      <c r="A9417" s="402">
        <v>96848</v>
      </c>
      <c r="B9417" s="403" t="s">
        <v>4212</v>
      </c>
      <c r="C9417" s="402" t="s">
        <v>35</v>
      </c>
      <c r="D9417" s="601">
        <v>40.14</v>
      </c>
    </row>
    <row r="9418" spans="1:4" ht="27">
      <c r="A9418" s="402">
        <v>96849</v>
      </c>
      <c r="B9418" s="403" t="s">
        <v>4213</v>
      </c>
      <c r="C9418" s="402" t="s">
        <v>35</v>
      </c>
      <c r="D9418" s="601">
        <v>14.52</v>
      </c>
    </row>
    <row r="9419" spans="1:4" ht="27">
      <c r="A9419" s="402">
        <v>96850</v>
      </c>
      <c r="B9419" s="403" t="s">
        <v>4214</v>
      </c>
      <c r="C9419" s="402" t="s">
        <v>35</v>
      </c>
      <c r="D9419" s="601">
        <v>17.03</v>
      </c>
    </row>
    <row r="9420" spans="1:4" ht="27">
      <c r="A9420" s="402">
        <v>96851</v>
      </c>
      <c r="B9420" s="403" t="s">
        <v>4215</v>
      </c>
      <c r="C9420" s="402" t="s">
        <v>35</v>
      </c>
      <c r="D9420" s="601">
        <v>22.63</v>
      </c>
    </row>
    <row r="9421" spans="1:4" ht="27">
      <c r="A9421" s="402">
        <v>96852</v>
      </c>
      <c r="B9421" s="403" t="s">
        <v>4216</v>
      </c>
      <c r="C9421" s="402" t="s">
        <v>35</v>
      </c>
      <c r="D9421" s="601">
        <v>19.37</v>
      </c>
    </row>
    <row r="9422" spans="1:4" ht="27">
      <c r="A9422" s="402">
        <v>96853</v>
      </c>
      <c r="B9422" s="403" t="s">
        <v>4217</v>
      </c>
      <c r="C9422" s="402" t="s">
        <v>35</v>
      </c>
      <c r="D9422" s="601">
        <v>21.82</v>
      </c>
    </row>
    <row r="9423" spans="1:4" ht="27">
      <c r="A9423" s="402">
        <v>96854</v>
      </c>
      <c r="B9423" s="403" t="s">
        <v>4218</v>
      </c>
      <c r="C9423" s="402" t="s">
        <v>35</v>
      </c>
      <c r="D9423" s="601">
        <v>26.15</v>
      </c>
    </row>
    <row r="9424" spans="1:4" ht="27">
      <c r="A9424" s="402">
        <v>96855</v>
      </c>
      <c r="B9424" s="403" t="s">
        <v>4219</v>
      </c>
      <c r="C9424" s="402" t="s">
        <v>35</v>
      </c>
      <c r="D9424" s="601">
        <v>24.06</v>
      </c>
    </row>
    <row r="9425" spans="1:4" ht="27">
      <c r="A9425" s="402">
        <v>96856</v>
      </c>
      <c r="B9425" s="403" t="s">
        <v>4220</v>
      </c>
      <c r="C9425" s="402" t="s">
        <v>35</v>
      </c>
      <c r="D9425" s="601">
        <v>24.42</v>
      </c>
    </row>
    <row r="9426" spans="1:4" ht="27">
      <c r="A9426" s="402">
        <v>96857</v>
      </c>
      <c r="B9426" s="403" t="s">
        <v>4221</v>
      </c>
      <c r="C9426" s="402" t="s">
        <v>35</v>
      </c>
      <c r="D9426" s="601">
        <v>39.08</v>
      </c>
    </row>
    <row r="9427" spans="1:4" ht="27">
      <c r="A9427" s="402">
        <v>96858</v>
      </c>
      <c r="B9427" s="403" t="s">
        <v>4222</v>
      </c>
      <c r="C9427" s="402" t="s">
        <v>35</v>
      </c>
      <c r="D9427" s="601">
        <v>39.43</v>
      </c>
    </row>
    <row r="9428" spans="1:4" ht="27">
      <c r="A9428" s="402">
        <v>96859</v>
      </c>
      <c r="B9428" s="403" t="s">
        <v>4223</v>
      </c>
      <c r="C9428" s="402" t="s">
        <v>35</v>
      </c>
      <c r="D9428" s="601">
        <v>48.96</v>
      </c>
    </row>
    <row r="9429" spans="1:4" ht="27">
      <c r="A9429" s="402">
        <v>96860</v>
      </c>
      <c r="B9429" s="403" t="s">
        <v>4224</v>
      </c>
      <c r="C9429" s="402" t="s">
        <v>35</v>
      </c>
      <c r="D9429" s="601">
        <v>19.48</v>
      </c>
    </row>
    <row r="9430" spans="1:4" ht="27">
      <c r="A9430" s="402">
        <v>96861</v>
      </c>
      <c r="B9430" s="403" t="s">
        <v>4225</v>
      </c>
      <c r="C9430" s="402" t="s">
        <v>35</v>
      </c>
      <c r="D9430" s="601">
        <v>21.07</v>
      </c>
    </row>
    <row r="9431" spans="1:4" ht="27">
      <c r="A9431" s="402">
        <v>96862</v>
      </c>
      <c r="B9431" s="403" t="s">
        <v>4226</v>
      </c>
      <c r="C9431" s="402" t="s">
        <v>35</v>
      </c>
      <c r="D9431" s="601">
        <v>23.5</v>
      </c>
    </row>
    <row r="9432" spans="1:4" ht="27">
      <c r="A9432" s="402">
        <v>96863</v>
      </c>
      <c r="B9432" s="403" t="s">
        <v>4227</v>
      </c>
      <c r="C9432" s="402" t="s">
        <v>35</v>
      </c>
      <c r="D9432" s="601">
        <v>23.23</v>
      </c>
    </row>
    <row r="9433" spans="1:4" ht="27">
      <c r="A9433" s="402">
        <v>96864</v>
      </c>
      <c r="B9433" s="403" t="s">
        <v>4228</v>
      </c>
      <c r="C9433" s="402" t="s">
        <v>35</v>
      </c>
      <c r="D9433" s="601">
        <v>36.99</v>
      </c>
    </row>
    <row r="9434" spans="1:4" ht="27">
      <c r="A9434" s="402">
        <v>96865</v>
      </c>
      <c r="B9434" s="403" t="s">
        <v>4229</v>
      </c>
      <c r="C9434" s="402" t="s">
        <v>35</v>
      </c>
      <c r="D9434" s="601">
        <v>36.22</v>
      </c>
    </row>
    <row r="9435" spans="1:4" ht="27">
      <c r="A9435" s="402">
        <v>96866</v>
      </c>
      <c r="B9435" s="403" t="s">
        <v>4230</v>
      </c>
      <c r="C9435" s="402" t="s">
        <v>35</v>
      </c>
      <c r="D9435" s="601">
        <v>48.67</v>
      </c>
    </row>
    <row r="9436" spans="1:4" ht="27">
      <c r="A9436" s="402">
        <v>96867</v>
      </c>
      <c r="B9436" s="403" t="s">
        <v>4231</v>
      </c>
      <c r="C9436" s="402" t="s">
        <v>35</v>
      </c>
      <c r="D9436" s="601">
        <v>56.67</v>
      </c>
    </row>
    <row r="9437" spans="1:4" ht="27">
      <c r="A9437" s="402">
        <v>96868</v>
      </c>
      <c r="B9437" s="403" t="s">
        <v>4232</v>
      </c>
      <c r="C9437" s="402" t="s">
        <v>35</v>
      </c>
      <c r="D9437" s="601">
        <v>22.56</v>
      </c>
    </row>
    <row r="9438" spans="1:4" ht="27">
      <c r="A9438" s="402">
        <v>96869</v>
      </c>
      <c r="B9438" s="403" t="s">
        <v>4233</v>
      </c>
      <c r="C9438" s="402" t="s">
        <v>35</v>
      </c>
      <c r="D9438" s="601">
        <v>26.95</v>
      </c>
    </row>
    <row r="9439" spans="1:4" ht="27">
      <c r="A9439" s="402">
        <v>96870</v>
      </c>
      <c r="B9439" s="403" t="s">
        <v>4234</v>
      </c>
      <c r="C9439" s="402" t="s">
        <v>35</v>
      </c>
      <c r="D9439" s="601">
        <v>42.71</v>
      </c>
    </row>
    <row r="9440" spans="1:4" ht="27">
      <c r="A9440" s="402">
        <v>96871</v>
      </c>
      <c r="B9440" s="403" t="s">
        <v>4235</v>
      </c>
      <c r="C9440" s="402" t="s">
        <v>35</v>
      </c>
      <c r="D9440" s="601">
        <v>62.01</v>
      </c>
    </row>
    <row r="9441" spans="1:4" ht="40.5">
      <c r="A9441" s="402">
        <v>96872</v>
      </c>
      <c r="B9441" s="403" t="s">
        <v>4236</v>
      </c>
      <c r="C9441" s="402" t="s">
        <v>35</v>
      </c>
      <c r="D9441" s="601">
        <v>58.07</v>
      </c>
    </row>
    <row r="9442" spans="1:4" ht="40.5">
      <c r="A9442" s="402">
        <v>96873</v>
      </c>
      <c r="B9442" s="403" t="s">
        <v>4237</v>
      </c>
      <c r="C9442" s="402" t="s">
        <v>35</v>
      </c>
      <c r="D9442" s="601">
        <v>66.89</v>
      </c>
    </row>
    <row r="9443" spans="1:4" ht="40.5">
      <c r="A9443" s="402">
        <v>96874</v>
      </c>
      <c r="B9443" s="403" t="s">
        <v>4238</v>
      </c>
      <c r="C9443" s="402" t="s">
        <v>35</v>
      </c>
      <c r="D9443" s="601">
        <v>70.31</v>
      </c>
    </row>
    <row r="9444" spans="1:4" ht="40.5">
      <c r="A9444" s="402">
        <v>96875</v>
      </c>
      <c r="B9444" s="403" t="s">
        <v>4239</v>
      </c>
      <c r="C9444" s="402" t="s">
        <v>35</v>
      </c>
      <c r="D9444" s="601">
        <v>84.5</v>
      </c>
    </row>
    <row r="9445" spans="1:4" ht="27">
      <c r="A9445" s="402">
        <v>96876</v>
      </c>
      <c r="B9445" s="403" t="s">
        <v>4240</v>
      </c>
      <c r="C9445" s="402" t="s">
        <v>35</v>
      </c>
      <c r="D9445" s="601">
        <v>148.22999999999999</v>
      </c>
    </row>
    <row r="9446" spans="1:4" ht="27">
      <c r="A9446" s="402">
        <v>96877</v>
      </c>
      <c r="B9446" s="403" t="s">
        <v>4241</v>
      </c>
      <c r="C9446" s="402" t="s">
        <v>35</v>
      </c>
      <c r="D9446" s="601">
        <v>158.53</v>
      </c>
    </row>
    <row r="9447" spans="1:4" ht="27">
      <c r="A9447" s="402">
        <v>96878</v>
      </c>
      <c r="B9447" s="403" t="s">
        <v>4242</v>
      </c>
      <c r="C9447" s="402" t="s">
        <v>35</v>
      </c>
      <c r="D9447" s="601">
        <v>160.44999999999999</v>
      </c>
    </row>
    <row r="9448" spans="1:4" ht="27">
      <c r="A9448" s="402">
        <v>96879</v>
      </c>
      <c r="B9448" s="403" t="s">
        <v>4243</v>
      </c>
      <c r="C9448" s="402" t="s">
        <v>35</v>
      </c>
      <c r="D9448" s="601">
        <v>160.88999999999999</v>
      </c>
    </row>
    <row r="9449" spans="1:4" ht="27">
      <c r="A9449" s="402">
        <v>96880</v>
      </c>
      <c r="B9449" s="403" t="s">
        <v>4244</v>
      </c>
      <c r="C9449" s="402" t="s">
        <v>35</v>
      </c>
      <c r="D9449" s="601">
        <v>183.96</v>
      </c>
    </row>
    <row r="9450" spans="1:4" ht="27">
      <c r="A9450" s="402">
        <v>96881</v>
      </c>
      <c r="B9450" s="403" t="s">
        <v>4245</v>
      </c>
      <c r="C9450" s="402" t="s">
        <v>35</v>
      </c>
      <c r="D9450" s="601">
        <v>194.42</v>
      </c>
    </row>
    <row r="9451" spans="1:4" ht="40.5">
      <c r="A9451" s="402">
        <v>97425</v>
      </c>
      <c r="B9451" s="403" t="s">
        <v>4925</v>
      </c>
      <c r="C9451" s="402" t="s">
        <v>35</v>
      </c>
      <c r="D9451" s="601">
        <v>17.739999999999998</v>
      </c>
    </row>
    <row r="9452" spans="1:4" ht="40.5">
      <c r="A9452" s="402">
        <v>97426</v>
      </c>
      <c r="B9452" s="403" t="s">
        <v>4926</v>
      </c>
      <c r="C9452" s="402" t="s">
        <v>35</v>
      </c>
      <c r="D9452" s="601">
        <v>21.12</v>
      </c>
    </row>
    <row r="9453" spans="1:4" ht="40.5">
      <c r="A9453" s="402">
        <v>97427</v>
      </c>
      <c r="B9453" s="403" t="s">
        <v>4927</v>
      </c>
      <c r="C9453" s="402" t="s">
        <v>35</v>
      </c>
      <c r="D9453" s="601">
        <v>23.67</v>
      </c>
    </row>
    <row r="9454" spans="1:4" ht="40.5">
      <c r="A9454" s="402">
        <v>97428</v>
      </c>
      <c r="B9454" s="403" t="s">
        <v>4928</v>
      </c>
      <c r="C9454" s="402" t="s">
        <v>35</v>
      </c>
      <c r="D9454" s="601">
        <v>29.59</v>
      </c>
    </row>
    <row r="9455" spans="1:4" ht="40.5">
      <c r="A9455" s="402">
        <v>97429</v>
      </c>
      <c r="B9455" s="403" t="s">
        <v>4929</v>
      </c>
      <c r="C9455" s="402" t="s">
        <v>35</v>
      </c>
      <c r="D9455" s="601">
        <v>35.049999999999997</v>
      </c>
    </row>
    <row r="9456" spans="1:4" ht="27">
      <c r="A9456" s="402">
        <v>97430</v>
      </c>
      <c r="B9456" s="403" t="s">
        <v>4930</v>
      </c>
      <c r="C9456" s="402" t="s">
        <v>35</v>
      </c>
      <c r="D9456" s="601">
        <v>30.78</v>
      </c>
    </row>
    <row r="9457" spans="1:4" ht="27">
      <c r="A9457" s="402">
        <v>97431</v>
      </c>
      <c r="B9457" s="403" t="s">
        <v>4931</v>
      </c>
      <c r="C9457" s="402" t="s">
        <v>35</v>
      </c>
      <c r="D9457" s="601">
        <v>34.229999999999997</v>
      </c>
    </row>
    <row r="9458" spans="1:4" ht="27">
      <c r="A9458" s="402">
        <v>97432</v>
      </c>
      <c r="B9458" s="403" t="s">
        <v>4932</v>
      </c>
      <c r="C9458" s="402" t="s">
        <v>35</v>
      </c>
      <c r="D9458" s="601">
        <v>38.630000000000003</v>
      </c>
    </row>
    <row r="9459" spans="1:4" ht="27">
      <c r="A9459" s="402">
        <v>97433</v>
      </c>
      <c r="B9459" s="403" t="s">
        <v>5664</v>
      </c>
      <c r="C9459" s="402" t="s">
        <v>35</v>
      </c>
      <c r="D9459" s="601">
        <v>72.790000000000006</v>
      </c>
    </row>
    <row r="9460" spans="1:4" ht="27">
      <c r="A9460" s="402">
        <v>97434</v>
      </c>
      <c r="B9460" s="403" t="s">
        <v>4933</v>
      </c>
      <c r="C9460" s="402" t="s">
        <v>35</v>
      </c>
      <c r="D9460" s="601">
        <v>74.239999999999995</v>
      </c>
    </row>
    <row r="9461" spans="1:4" ht="27">
      <c r="A9461" s="402">
        <v>97435</v>
      </c>
      <c r="B9461" s="403" t="s">
        <v>4934</v>
      </c>
      <c r="C9461" s="402" t="s">
        <v>35</v>
      </c>
      <c r="D9461" s="601">
        <v>85.25</v>
      </c>
    </row>
    <row r="9462" spans="1:4" ht="27">
      <c r="A9462" s="402">
        <v>97436</v>
      </c>
      <c r="B9462" s="403" t="s">
        <v>5665</v>
      </c>
      <c r="C9462" s="402" t="s">
        <v>35</v>
      </c>
      <c r="D9462" s="601">
        <v>88.04</v>
      </c>
    </row>
    <row r="9463" spans="1:4" ht="27">
      <c r="A9463" s="402">
        <v>97437</v>
      </c>
      <c r="B9463" s="403" t="s">
        <v>4935</v>
      </c>
      <c r="C9463" s="402" t="s">
        <v>35</v>
      </c>
      <c r="D9463" s="601">
        <v>97.66</v>
      </c>
    </row>
    <row r="9464" spans="1:4" ht="27">
      <c r="A9464" s="402">
        <v>97438</v>
      </c>
      <c r="B9464" s="403" t="s">
        <v>4936</v>
      </c>
      <c r="C9464" s="402" t="s">
        <v>35</v>
      </c>
      <c r="D9464" s="601">
        <v>100.66</v>
      </c>
    </row>
    <row r="9465" spans="1:4" ht="27">
      <c r="A9465" s="402">
        <v>97439</v>
      </c>
      <c r="B9465" s="403" t="s">
        <v>4937</v>
      </c>
      <c r="C9465" s="402" t="s">
        <v>35</v>
      </c>
      <c r="D9465" s="601">
        <v>111.01</v>
      </c>
    </row>
    <row r="9466" spans="1:4" ht="27">
      <c r="A9466" s="402">
        <v>97440</v>
      </c>
      <c r="B9466" s="403" t="s">
        <v>4938</v>
      </c>
      <c r="C9466" s="402" t="s">
        <v>35</v>
      </c>
      <c r="D9466" s="601">
        <v>133.41999999999999</v>
      </c>
    </row>
    <row r="9467" spans="1:4" ht="27">
      <c r="A9467" s="402">
        <v>97442</v>
      </c>
      <c r="B9467" s="403" t="s">
        <v>4939</v>
      </c>
      <c r="C9467" s="402" t="s">
        <v>35</v>
      </c>
      <c r="D9467" s="601">
        <v>147.08000000000001</v>
      </c>
    </row>
    <row r="9468" spans="1:4" ht="27">
      <c r="A9468" s="402">
        <v>97443</v>
      </c>
      <c r="B9468" s="403" t="s">
        <v>4940</v>
      </c>
      <c r="C9468" s="402" t="s">
        <v>35</v>
      </c>
      <c r="D9468" s="601">
        <v>68.849999999999994</v>
      </c>
    </row>
    <row r="9469" spans="1:4" ht="27">
      <c r="A9469" s="402">
        <v>97444</v>
      </c>
      <c r="B9469" s="403" t="s">
        <v>5666</v>
      </c>
      <c r="C9469" s="402" t="s">
        <v>35</v>
      </c>
      <c r="D9469" s="601">
        <v>81.03</v>
      </c>
    </row>
    <row r="9470" spans="1:4" ht="27">
      <c r="A9470" s="402">
        <v>97446</v>
      </c>
      <c r="B9470" s="403" t="s">
        <v>4941</v>
      </c>
      <c r="C9470" s="402" t="s">
        <v>35</v>
      </c>
      <c r="D9470" s="601">
        <v>139.91999999999999</v>
      </c>
    </row>
    <row r="9471" spans="1:4" ht="27">
      <c r="A9471" s="402">
        <v>97447</v>
      </c>
      <c r="B9471" s="403" t="s">
        <v>4942</v>
      </c>
      <c r="C9471" s="402" t="s">
        <v>35</v>
      </c>
      <c r="D9471" s="601">
        <v>139.91999999999999</v>
      </c>
    </row>
    <row r="9472" spans="1:4" ht="27">
      <c r="A9472" s="402">
        <v>97449</v>
      </c>
      <c r="B9472" s="403" t="s">
        <v>5667</v>
      </c>
      <c r="C9472" s="402" t="s">
        <v>35</v>
      </c>
      <c r="D9472" s="601">
        <v>148.88</v>
      </c>
    </row>
    <row r="9473" spans="1:4" ht="27">
      <c r="A9473" s="402">
        <v>97450</v>
      </c>
      <c r="B9473" s="403" t="s">
        <v>4943</v>
      </c>
      <c r="C9473" s="402" t="s">
        <v>35</v>
      </c>
      <c r="D9473" s="601">
        <v>182.04</v>
      </c>
    </row>
    <row r="9474" spans="1:4" ht="27">
      <c r="A9474" s="402">
        <v>97452</v>
      </c>
      <c r="B9474" s="403" t="s">
        <v>5668</v>
      </c>
      <c r="C9474" s="402" t="s">
        <v>35</v>
      </c>
      <c r="D9474" s="601">
        <v>113.42</v>
      </c>
    </row>
    <row r="9475" spans="1:4" ht="27">
      <c r="A9475" s="402">
        <v>97453</v>
      </c>
      <c r="B9475" s="403" t="s">
        <v>5669</v>
      </c>
      <c r="C9475" s="402" t="s">
        <v>35</v>
      </c>
      <c r="D9475" s="601">
        <v>120.37</v>
      </c>
    </row>
    <row r="9476" spans="1:4" ht="27">
      <c r="A9476" s="402">
        <v>97454</v>
      </c>
      <c r="B9476" s="403" t="s">
        <v>5670</v>
      </c>
      <c r="C9476" s="402" t="s">
        <v>35</v>
      </c>
      <c r="D9476" s="601">
        <v>192.62</v>
      </c>
    </row>
    <row r="9477" spans="1:4" ht="27">
      <c r="A9477" s="402">
        <v>97455</v>
      </c>
      <c r="B9477" s="403" t="s">
        <v>5671</v>
      </c>
      <c r="C9477" s="402" t="s">
        <v>35</v>
      </c>
      <c r="D9477" s="601">
        <v>203.73</v>
      </c>
    </row>
    <row r="9478" spans="1:4" ht="27">
      <c r="A9478" s="402">
        <v>97456</v>
      </c>
      <c r="B9478" s="403" t="s">
        <v>5672</v>
      </c>
      <c r="C9478" s="402" t="s">
        <v>35</v>
      </c>
      <c r="D9478" s="601">
        <v>435.86</v>
      </c>
    </row>
    <row r="9479" spans="1:4" ht="27">
      <c r="A9479" s="402">
        <v>97457</v>
      </c>
      <c r="B9479" s="403" t="s">
        <v>5673</v>
      </c>
      <c r="C9479" s="402" t="s">
        <v>35</v>
      </c>
      <c r="D9479" s="601">
        <v>385.99</v>
      </c>
    </row>
    <row r="9480" spans="1:4" ht="27">
      <c r="A9480" s="402">
        <v>97458</v>
      </c>
      <c r="B9480" s="403" t="s">
        <v>4944</v>
      </c>
      <c r="C9480" s="402" t="s">
        <v>35</v>
      </c>
      <c r="D9480" s="601">
        <v>179.1</v>
      </c>
    </row>
    <row r="9481" spans="1:4" ht="27">
      <c r="A9481" s="402">
        <v>97459</v>
      </c>
      <c r="B9481" s="403" t="s">
        <v>4945</v>
      </c>
      <c r="C9481" s="402" t="s">
        <v>35</v>
      </c>
      <c r="D9481" s="601">
        <v>306.66000000000003</v>
      </c>
    </row>
    <row r="9482" spans="1:4" ht="27">
      <c r="A9482" s="402">
        <v>97460</v>
      </c>
      <c r="B9482" s="403" t="s">
        <v>4946</v>
      </c>
      <c r="C9482" s="402" t="s">
        <v>35</v>
      </c>
      <c r="D9482" s="601">
        <v>471.01</v>
      </c>
    </row>
    <row r="9483" spans="1:4" ht="27">
      <c r="A9483" s="402">
        <v>97461</v>
      </c>
      <c r="B9483" s="403" t="s">
        <v>5674</v>
      </c>
      <c r="C9483" s="402" t="s">
        <v>35</v>
      </c>
      <c r="D9483" s="601">
        <v>21.64</v>
      </c>
    </row>
    <row r="9484" spans="1:4" ht="40.5">
      <c r="A9484" s="402">
        <v>97462</v>
      </c>
      <c r="B9484" s="403" t="s">
        <v>5675</v>
      </c>
      <c r="C9484" s="402" t="s">
        <v>35</v>
      </c>
      <c r="D9484" s="601">
        <v>18.07</v>
      </c>
    </row>
    <row r="9485" spans="1:4" ht="27">
      <c r="A9485" s="402">
        <v>97464</v>
      </c>
      <c r="B9485" s="403" t="s">
        <v>5676</v>
      </c>
      <c r="C9485" s="402" t="s">
        <v>35</v>
      </c>
      <c r="D9485" s="601">
        <v>31.16</v>
      </c>
    </row>
    <row r="9486" spans="1:4" ht="40.5">
      <c r="A9486" s="402">
        <v>97465</v>
      </c>
      <c r="B9486" s="403" t="s">
        <v>5677</v>
      </c>
      <c r="C9486" s="402" t="s">
        <v>35</v>
      </c>
      <c r="D9486" s="601">
        <v>37.18</v>
      </c>
    </row>
    <row r="9487" spans="1:4" ht="27">
      <c r="A9487" s="402">
        <v>97467</v>
      </c>
      <c r="B9487" s="403" t="s">
        <v>5678</v>
      </c>
      <c r="C9487" s="402" t="s">
        <v>35</v>
      </c>
      <c r="D9487" s="601">
        <v>39.54</v>
      </c>
    </row>
    <row r="9488" spans="1:4" ht="40.5">
      <c r="A9488" s="402">
        <v>97468</v>
      </c>
      <c r="B9488" s="403" t="s">
        <v>5679</v>
      </c>
      <c r="C9488" s="402" t="s">
        <v>35</v>
      </c>
      <c r="D9488" s="601">
        <v>47.24</v>
      </c>
    </row>
    <row r="9489" spans="1:4" ht="27">
      <c r="A9489" s="402">
        <v>97470</v>
      </c>
      <c r="B9489" s="403" t="s">
        <v>5680</v>
      </c>
      <c r="C9489" s="402" t="s">
        <v>35</v>
      </c>
      <c r="D9489" s="601">
        <v>58.38</v>
      </c>
    </row>
    <row r="9490" spans="1:4" ht="40.5">
      <c r="A9490" s="402">
        <v>97471</v>
      </c>
      <c r="B9490" s="403" t="s">
        <v>5681</v>
      </c>
      <c r="C9490" s="402" t="s">
        <v>35</v>
      </c>
      <c r="D9490" s="601">
        <v>70.56</v>
      </c>
    </row>
    <row r="9491" spans="1:4" ht="27">
      <c r="A9491" s="402">
        <v>97474</v>
      </c>
      <c r="B9491" s="403" t="s">
        <v>5682</v>
      </c>
      <c r="C9491" s="402" t="s">
        <v>35</v>
      </c>
      <c r="D9491" s="601">
        <v>106.62</v>
      </c>
    </row>
    <row r="9492" spans="1:4" ht="40.5">
      <c r="A9492" s="402">
        <v>97475</v>
      </c>
      <c r="B9492" s="403" t="s">
        <v>5683</v>
      </c>
      <c r="C9492" s="402" t="s">
        <v>35</v>
      </c>
      <c r="D9492" s="601">
        <v>131.22999999999999</v>
      </c>
    </row>
    <row r="9493" spans="1:4" ht="27">
      <c r="A9493" s="402">
        <v>97477</v>
      </c>
      <c r="B9493" s="403" t="s">
        <v>5684</v>
      </c>
      <c r="C9493" s="402" t="s">
        <v>35</v>
      </c>
      <c r="D9493" s="601">
        <v>141.99</v>
      </c>
    </row>
    <row r="9494" spans="1:4" ht="40.5">
      <c r="A9494" s="402">
        <v>97478</v>
      </c>
      <c r="B9494" s="403" t="s">
        <v>5685</v>
      </c>
      <c r="C9494" s="402" t="s">
        <v>35</v>
      </c>
      <c r="D9494" s="601">
        <v>175.15</v>
      </c>
    </row>
    <row r="9495" spans="1:4" ht="27">
      <c r="A9495" s="402">
        <v>97479</v>
      </c>
      <c r="B9495" s="403" t="s">
        <v>5686</v>
      </c>
      <c r="C9495" s="402" t="s">
        <v>35</v>
      </c>
      <c r="D9495" s="601">
        <v>34.979999999999997</v>
      </c>
    </row>
    <row r="9496" spans="1:4" ht="27">
      <c r="A9496" s="402">
        <v>97480</v>
      </c>
      <c r="B9496" s="403" t="s">
        <v>5687</v>
      </c>
      <c r="C9496" s="402" t="s">
        <v>35</v>
      </c>
      <c r="D9496" s="601">
        <v>34.979999999999997</v>
      </c>
    </row>
    <row r="9497" spans="1:4" ht="27">
      <c r="A9497" s="402">
        <v>97481</v>
      </c>
      <c r="B9497" s="403" t="s">
        <v>5688</v>
      </c>
      <c r="C9497" s="402" t="s">
        <v>35</v>
      </c>
      <c r="D9497" s="601">
        <v>50.65</v>
      </c>
    </row>
    <row r="9498" spans="1:4" ht="27">
      <c r="A9498" s="402">
        <v>97482</v>
      </c>
      <c r="B9498" s="403" t="s">
        <v>5689</v>
      </c>
      <c r="C9498" s="402" t="s">
        <v>35</v>
      </c>
      <c r="D9498" s="601">
        <v>50.65</v>
      </c>
    </row>
    <row r="9499" spans="1:4" ht="27">
      <c r="A9499" s="402">
        <v>97483</v>
      </c>
      <c r="B9499" s="403" t="s">
        <v>4947</v>
      </c>
      <c r="C9499" s="402" t="s">
        <v>35</v>
      </c>
      <c r="D9499" s="601">
        <v>70.91</v>
      </c>
    </row>
    <row r="9500" spans="1:4" ht="27">
      <c r="A9500" s="402">
        <v>97484</v>
      </c>
      <c r="B9500" s="403" t="s">
        <v>4948</v>
      </c>
      <c r="C9500" s="402" t="s">
        <v>35</v>
      </c>
      <c r="D9500" s="601">
        <v>70.91</v>
      </c>
    </row>
    <row r="9501" spans="1:4" ht="27">
      <c r="A9501" s="402">
        <v>97485</v>
      </c>
      <c r="B9501" s="403" t="s">
        <v>4949</v>
      </c>
      <c r="C9501" s="402" t="s">
        <v>35</v>
      </c>
      <c r="D9501" s="601">
        <v>97.74</v>
      </c>
    </row>
    <row r="9502" spans="1:4" ht="27">
      <c r="A9502" s="402">
        <v>97486</v>
      </c>
      <c r="B9502" s="403" t="s">
        <v>4950</v>
      </c>
      <c r="C9502" s="402" t="s">
        <v>35</v>
      </c>
      <c r="D9502" s="601">
        <v>104.69</v>
      </c>
    </row>
    <row r="9503" spans="1:4" ht="27">
      <c r="A9503" s="402">
        <v>97487</v>
      </c>
      <c r="B9503" s="403" t="s">
        <v>4951</v>
      </c>
      <c r="C9503" s="402" t="s">
        <v>35</v>
      </c>
      <c r="D9503" s="601">
        <v>179.61</v>
      </c>
    </row>
    <row r="9504" spans="1:4" ht="27">
      <c r="A9504" s="402">
        <v>97488</v>
      </c>
      <c r="B9504" s="403" t="s">
        <v>4952</v>
      </c>
      <c r="C9504" s="402" t="s">
        <v>35</v>
      </c>
      <c r="D9504" s="601">
        <v>190.72</v>
      </c>
    </row>
    <row r="9505" spans="1:4" ht="27">
      <c r="A9505" s="402">
        <v>97489</v>
      </c>
      <c r="B9505" s="403" t="s">
        <v>4953</v>
      </c>
      <c r="C9505" s="402" t="s">
        <v>35</v>
      </c>
      <c r="D9505" s="601">
        <v>425.49</v>
      </c>
    </row>
    <row r="9506" spans="1:4" ht="27">
      <c r="A9506" s="402">
        <v>97490</v>
      </c>
      <c r="B9506" s="403" t="s">
        <v>4954</v>
      </c>
      <c r="C9506" s="402" t="s">
        <v>35</v>
      </c>
      <c r="D9506" s="601">
        <v>375.62</v>
      </c>
    </row>
    <row r="9507" spans="1:4" ht="27">
      <c r="A9507" s="402">
        <v>97491</v>
      </c>
      <c r="B9507" s="403" t="s">
        <v>4955</v>
      </c>
      <c r="C9507" s="402" t="s">
        <v>35</v>
      </c>
      <c r="D9507" s="601">
        <v>53.97</v>
      </c>
    </row>
    <row r="9508" spans="1:4" ht="27">
      <c r="A9508" s="402">
        <v>97492</v>
      </c>
      <c r="B9508" s="403" t="s">
        <v>4956</v>
      </c>
      <c r="C9508" s="402" t="s">
        <v>35</v>
      </c>
      <c r="D9508" s="601">
        <v>79.13</v>
      </c>
    </row>
    <row r="9509" spans="1:4" ht="27">
      <c r="A9509" s="402">
        <v>97493</v>
      </c>
      <c r="B9509" s="403" t="s">
        <v>4957</v>
      </c>
      <c r="C9509" s="402" t="s">
        <v>35</v>
      </c>
      <c r="D9509" s="601">
        <v>102.04</v>
      </c>
    </row>
    <row r="9510" spans="1:4" ht="27">
      <c r="A9510" s="402">
        <v>97494</v>
      </c>
      <c r="B9510" s="403" t="s">
        <v>4958</v>
      </c>
      <c r="C9510" s="402" t="s">
        <v>35</v>
      </c>
      <c r="D9510" s="601">
        <v>158.15</v>
      </c>
    </row>
    <row r="9511" spans="1:4" ht="27">
      <c r="A9511" s="402">
        <v>97495</v>
      </c>
      <c r="B9511" s="403" t="s">
        <v>4959</v>
      </c>
      <c r="C9511" s="402" t="s">
        <v>35</v>
      </c>
      <c r="D9511" s="601">
        <v>289.29000000000002</v>
      </c>
    </row>
    <row r="9512" spans="1:4" ht="27">
      <c r="A9512" s="402">
        <v>97496</v>
      </c>
      <c r="B9512" s="403" t="s">
        <v>4960</v>
      </c>
      <c r="C9512" s="402" t="s">
        <v>35</v>
      </c>
      <c r="D9512" s="601">
        <v>457.22</v>
      </c>
    </row>
    <row r="9513" spans="1:4" ht="27">
      <c r="A9513" s="402">
        <v>97499</v>
      </c>
      <c r="B9513" s="403" t="s">
        <v>4961</v>
      </c>
      <c r="C9513" s="402" t="s">
        <v>35</v>
      </c>
      <c r="D9513" s="601">
        <v>19.95</v>
      </c>
    </row>
    <row r="9514" spans="1:4" ht="40.5">
      <c r="A9514" s="402">
        <v>97500</v>
      </c>
      <c r="B9514" s="403" t="s">
        <v>4962</v>
      </c>
      <c r="C9514" s="402" t="s">
        <v>35</v>
      </c>
      <c r="D9514" s="601">
        <v>16.38</v>
      </c>
    </row>
    <row r="9515" spans="1:4" ht="27">
      <c r="A9515" s="402">
        <v>97502</v>
      </c>
      <c r="B9515" s="403" t="s">
        <v>4963</v>
      </c>
      <c r="C9515" s="402" t="s">
        <v>35</v>
      </c>
      <c r="D9515" s="601">
        <v>28.02</v>
      </c>
    </row>
    <row r="9516" spans="1:4" ht="40.5">
      <c r="A9516" s="402">
        <v>97503</v>
      </c>
      <c r="B9516" s="403" t="s">
        <v>4964</v>
      </c>
      <c r="C9516" s="402" t="s">
        <v>35</v>
      </c>
      <c r="D9516" s="601">
        <v>34.200000000000003</v>
      </c>
    </row>
    <row r="9517" spans="1:4" ht="27">
      <c r="A9517" s="402">
        <v>97505</v>
      </c>
      <c r="B9517" s="403" t="s">
        <v>4965</v>
      </c>
      <c r="C9517" s="402" t="s">
        <v>35</v>
      </c>
      <c r="D9517" s="601">
        <v>35.130000000000003</v>
      </c>
    </row>
    <row r="9518" spans="1:4" ht="40.5">
      <c r="A9518" s="402">
        <v>97506</v>
      </c>
      <c r="B9518" s="403" t="s">
        <v>4966</v>
      </c>
      <c r="C9518" s="402" t="s">
        <v>35</v>
      </c>
      <c r="D9518" s="601">
        <v>42.83</v>
      </c>
    </row>
    <row r="9519" spans="1:4" ht="27">
      <c r="A9519" s="402">
        <v>97508</v>
      </c>
      <c r="B9519" s="403" t="s">
        <v>4967</v>
      </c>
      <c r="C9519" s="402" t="s">
        <v>35</v>
      </c>
      <c r="D9519" s="601">
        <v>52.12</v>
      </c>
    </row>
    <row r="9520" spans="1:4" ht="40.5">
      <c r="A9520" s="402">
        <v>97509</v>
      </c>
      <c r="B9520" s="403" t="s">
        <v>4968</v>
      </c>
      <c r="C9520" s="402" t="s">
        <v>35</v>
      </c>
      <c r="D9520" s="601">
        <v>64.3</v>
      </c>
    </row>
    <row r="9521" spans="1:4" ht="27">
      <c r="A9521" s="402">
        <v>97511</v>
      </c>
      <c r="B9521" s="403" t="s">
        <v>4969</v>
      </c>
      <c r="C9521" s="402" t="s">
        <v>35</v>
      </c>
      <c r="D9521" s="601">
        <v>97.63</v>
      </c>
    </row>
    <row r="9522" spans="1:4" ht="40.5">
      <c r="A9522" s="402">
        <v>97512</v>
      </c>
      <c r="B9522" s="403" t="s">
        <v>4970</v>
      </c>
      <c r="C9522" s="402" t="s">
        <v>35</v>
      </c>
      <c r="D9522" s="601">
        <v>122.24</v>
      </c>
    </row>
    <row r="9523" spans="1:4" ht="27">
      <c r="A9523" s="402">
        <v>97514</v>
      </c>
      <c r="B9523" s="403" t="s">
        <v>4971</v>
      </c>
      <c r="C9523" s="402" t="s">
        <v>35</v>
      </c>
      <c r="D9523" s="601">
        <v>130.18</v>
      </c>
    </row>
    <row r="9524" spans="1:4" ht="40.5">
      <c r="A9524" s="402">
        <v>97515</v>
      </c>
      <c r="B9524" s="403" t="s">
        <v>4972</v>
      </c>
      <c r="C9524" s="402" t="s">
        <v>35</v>
      </c>
      <c r="D9524" s="601">
        <v>163.34</v>
      </c>
    </row>
    <row r="9525" spans="1:4" ht="27">
      <c r="A9525" s="402">
        <v>97517</v>
      </c>
      <c r="B9525" s="403" t="s">
        <v>4973</v>
      </c>
      <c r="C9525" s="402" t="s">
        <v>35</v>
      </c>
      <c r="D9525" s="601">
        <v>32.44</v>
      </c>
    </row>
    <row r="9526" spans="1:4" ht="27">
      <c r="A9526" s="402">
        <v>97518</v>
      </c>
      <c r="B9526" s="403" t="s">
        <v>4974</v>
      </c>
      <c r="C9526" s="402" t="s">
        <v>35</v>
      </c>
      <c r="D9526" s="601">
        <v>32.44</v>
      </c>
    </row>
    <row r="9527" spans="1:4" ht="27">
      <c r="A9527" s="402">
        <v>97519</v>
      </c>
      <c r="B9527" s="403" t="s">
        <v>4975</v>
      </c>
      <c r="C9527" s="402" t="s">
        <v>35</v>
      </c>
      <c r="D9527" s="601">
        <v>46.19</v>
      </c>
    </row>
    <row r="9528" spans="1:4" ht="27">
      <c r="A9528" s="402">
        <v>97520</v>
      </c>
      <c r="B9528" s="403" t="s">
        <v>4976</v>
      </c>
      <c r="C9528" s="402" t="s">
        <v>35</v>
      </c>
      <c r="D9528" s="601">
        <v>46.19</v>
      </c>
    </row>
    <row r="9529" spans="1:4" ht="27">
      <c r="A9529" s="402">
        <v>97521</v>
      </c>
      <c r="B9529" s="403" t="s">
        <v>4977</v>
      </c>
      <c r="C9529" s="402" t="s">
        <v>35</v>
      </c>
      <c r="D9529" s="601">
        <v>64.260000000000005</v>
      </c>
    </row>
    <row r="9530" spans="1:4" ht="27">
      <c r="A9530" s="402">
        <v>97522</v>
      </c>
      <c r="B9530" s="403" t="s">
        <v>4978</v>
      </c>
      <c r="C9530" s="402" t="s">
        <v>35</v>
      </c>
      <c r="D9530" s="601">
        <v>64.260000000000005</v>
      </c>
    </row>
    <row r="9531" spans="1:4" ht="27">
      <c r="A9531" s="402">
        <v>97523</v>
      </c>
      <c r="B9531" s="403" t="s">
        <v>4979</v>
      </c>
      <c r="C9531" s="402" t="s">
        <v>35</v>
      </c>
      <c r="D9531" s="601">
        <v>88.36</v>
      </c>
    </row>
    <row r="9532" spans="1:4" ht="27">
      <c r="A9532" s="402">
        <v>97524</v>
      </c>
      <c r="B9532" s="403" t="s">
        <v>4980</v>
      </c>
      <c r="C9532" s="402" t="s">
        <v>35</v>
      </c>
      <c r="D9532" s="601">
        <v>95.31</v>
      </c>
    </row>
    <row r="9533" spans="1:4" ht="27">
      <c r="A9533" s="402">
        <v>97525</v>
      </c>
      <c r="B9533" s="403" t="s">
        <v>4981</v>
      </c>
      <c r="C9533" s="402" t="s">
        <v>35</v>
      </c>
      <c r="D9533" s="601">
        <v>166.06</v>
      </c>
    </row>
    <row r="9534" spans="1:4" ht="27">
      <c r="A9534" s="402">
        <v>97526</v>
      </c>
      <c r="B9534" s="403" t="s">
        <v>4982</v>
      </c>
      <c r="C9534" s="402" t="s">
        <v>35</v>
      </c>
      <c r="D9534" s="601">
        <v>177.17</v>
      </c>
    </row>
    <row r="9535" spans="1:4" ht="27">
      <c r="A9535" s="402">
        <v>97527</v>
      </c>
      <c r="B9535" s="403" t="s">
        <v>4983</v>
      </c>
      <c r="C9535" s="402" t="s">
        <v>35</v>
      </c>
      <c r="D9535" s="601">
        <v>407.82</v>
      </c>
    </row>
    <row r="9536" spans="1:4" ht="27">
      <c r="A9536" s="402">
        <v>97528</v>
      </c>
      <c r="B9536" s="403" t="s">
        <v>4984</v>
      </c>
      <c r="C9536" s="402" t="s">
        <v>35</v>
      </c>
      <c r="D9536" s="601">
        <v>357.95</v>
      </c>
    </row>
    <row r="9537" spans="1:4" ht="27">
      <c r="A9537" s="402">
        <v>97529</v>
      </c>
      <c r="B9537" s="403" t="s">
        <v>4985</v>
      </c>
      <c r="C9537" s="402" t="s">
        <v>35</v>
      </c>
      <c r="D9537" s="601">
        <v>50.65</v>
      </c>
    </row>
    <row r="9538" spans="1:4" ht="27">
      <c r="A9538" s="402">
        <v>97530</v>
      </c>
      <c r="B9538" s="403" t="s">
        <v>4986</v>
      </c>
      <c r="C9538" s="402" t="s">
        <v>35</v>
      </c>
      <c r="D9538" s="601">
        <v>73.17</v>
      </c>
    </row>
    <row r="9539" spans="1:4" ht="27">
      <c r="A9539" s="402">
        <v>97531</v>
      </c>
      <c r="B9539" s="403" t="s">
        <v>4987</v>
      </c>
      <c r="C9539" s="402" t="s">
        <v>35</v>
      </c>
      <c r="D9539" s="601">
        <v>93.16</v>
      </c>
    </row>
    <row r="9540" spans="1:4" ht="27">
      <c r="A9540" s="402">
        <v>97532</v>
      </c>
      <c r="B9540" s="403" t="s">
        <v>4988</v>
      </c>
      <c r="C9540" s="402" t="s">
        <v>35</v>
      </c>
      <c r="D9540" s="601">
        <v>145.63999999999999</v>
      </c>
    </row>
    <row r="9541" spans="1:4" ht="27">
      <c r="A9541" s="402">
        <v>97533</v>
      </c>
      <c r="B9541" s="403" t="s">
        <v>4989</v>
      </c>
      <c r="C9541" s="402" t="s">
        <v>35</v>
      </c>
      <c r="D9541" s="601">
        <v>273.89</v>
      </c>
    </row>
    <row r="9542" spans="1:4" ht="27">
      <c r="A9542" s="402">
        <v>97534</v>
      </c>
      <c r="B9542" s="403" t="s">
        <v>4990</v>
      </c>
      <c r="C9542" s="402" t="s">
        <v>35</v>
      </c>
      <c r="D9542" s="601">
        <v>433.64</v>
      </c>
    </row>
    <row r="9543" spans="1:4" ht="27">
      <c r="A9543" s="402">
        <v>97537</v>
      </c>
      <c r="B9543" s="403" t="s">
        <v>4991</v>
      </c>
      <c r="C9543" s="402" t="s">
        <v>35</v>
      </c>
      <c r="D9543" s="601">
        <v>15.04</v>
      </c>
    </row>
    <row r="9544" spans="1:4" ht="27">
      <c r="A9544" s="402">
        <v>97540</v>
      </c>
      <c r="B9544" s="403" t="s">
        <v>4992</v>
      </c>
      <c r="C9544" s="402" t="s">
        <v>35</v>
      </c>
      <c r="D9544" s="601">
        <v>20.28</v>
      </c>
    </row>
    <row r="9545" spans="1:4" ht="40.5">
      <c r="A9545" s="402">
        <v>97541</v>
      </c>
      <c r="B9545" s="403" t="s">
        <v>4993</v>
      </c>
      <c r="C9545" s="402" t="s">
        <v>35</v>
      </c>
      <c r="D9545" s="601">
        <v>17.32</v>
      </c>
    </row>
    <row r="9546" spans="1:4" ht="27">
      <c r="A9546" s="402">
        <v>97543</v>
      </c>
      <c r="B9546" s="403" t="s">
        <v>4994</v>
      </c>
      <c r="C9546" s="402" t="s">
        <v>35</v>
      </c>
      <c r="D9546" s="601">
        <v>33.11</v>
      </c>
    </row>
    <row r="9547" spans="1:4" ht="40.5">
      <c r="A9547" s="402">
        <v>97544</v>
      </c>
      <c r="B9547" s="403" t="s">
        <v>4995</v>
      </c>
      <c r="C9547" s="402" t="s">
        <v>35</v>
      </c>
      <c r="D9547" s="601">
        <v>29.54</v>
      </c>
    </row>
    <row r="9548" spans="1:4" ht="27">
      <c r="A9548" s="402">
        <v>97546</v>
      </c>
      <c r="B9548" s="403" t="s">
        <v>4996</v>
      </c>
      <c r="C9548" s="402" t="s">
        <v>35</v>
      </c>
      <c r="D9548" s="601">
        <v>21.09</v>
      </c>
    </row>
    <row r="9549" spans="1:4" ht="27">
      <c r="A9549" s="402">
        <v>97547</v>
      </c>
      <c r="B9549" s="403" t="s">
        <v>4997</v>
      </c>
      <c r="C9549" s="402" t="s">
        <v>35</v>
      </c>
      <c r="D9549" s="601">
        <v>21.09</v>
      </c>
    </row>
    <row r="9550" spans="1:4" ht="27">
      <c r="A9550" s="402">
        <v>97548</v>
      </c>
      <c r="B9550" s="403" t="s">
        <v>4998</v>
      </c>
      <c r="C9550" s="402" t="s">
        <v>35</v>
      </c>
      <c r="D9550" s="601">
        <v>31.35</v>
      </c>
    </row>
    <row r="9551" spans="1:4" ht="27">
      <c r="A9551" s="402">
        <v>97549</v>
      </c>
      <c r="B9551" s="403" t="s">
        <v>4999</v>
      </c>
      <c r="C9551" s="402" t="s">
        <v>35</v>
      </c>
      <c r="D9551" s="601">
        <v>31.35</v>
      </c>
    </row>
    <row r="9552" spans="1:4" ht="27">
      <c r="A9552" s="402">
        <v>97550</v>
      </c>
      <c r="B9552" s="403" t="s">
        <v>5000</v>
      </c>
      <c r="C9552" s="402" t="s">
        <v>35</v>
      </c>
      <c r="D9552" s="601">
        <v>52.2</v>
      </c>
    </row>
    <row r="9553" spans="1:4" ht="27">
      <c r="A9553" s="402">
        <v>97551</v>
      </c>
      <c r="B9553" s="403" t="s">
        <v>5001</v>
      </c>
      <c r="C9553" s="402" t="s">
        <v>35</v>
      </c>
      <c r="D9553" s="601">
        <v>52.2</v>
      </c>
    </row>
    <row r="9554" spans="1:4" ht="27">
      <c r="A9554" s="402">
        <v>97552</v>
      </c>
      <c r="B9554" s="403" t="s">
        <v>5002</v>
      </c>
      <c r="C9554" s="402" t="s">
        <v>35</v>
      </c>
      <c r="D9554" s="601">
        <v>30.7</v>
      </c>
    </row>
    <row r="9555" spans="1:4" ht="27">
      <c r="A9555" s="402">
        <v>97553</v>
      </c>
      <c r="B9555" s="403" t="s">
        <v>5003</v>
      </c>
      <c r="C9555" s="402" t="s">
        <v>35</v>
      </c>
      <c r="D9555" s="601">
        <v>44.37</v>
      </c>
    </row>
    <row r="9556" spans="1:4" ht="27">
      <c r="A9556" s="402">
        <v>97554</v>
      </c>
      <c r="B9556" s="403" t="s">
        <v>5004</v>
      </c>
      <c r="C9556" s="402" t="s">
        <v>35</v>
      </c>
      <c r="D9556" s="601">
        <v>77.010000000000005</v>
      </c>
    </row>
    <row r="9557" spans="1:4" ht="27">
      <c r="A9557" s="402">
        <v>98602</v>
      </c>
      <c r="B9557" s="403" t="s">
        <v>5300</v>
      </c>
      <c r="C9557" s="402" t="s">
        <v>35</v>
      </c>
      <c r="D9557" s="601">
        <v>12.23</v>
      </c>
    </row>
    <row r="9558" spans="1:4" ht="13.5">
      <c r="A9558" s="402">
        <v>6171</v>
      </c>
      <c r="B9558" s="403" t="s">
        <v>90</v>
      </c>
      <c r="C9558" s="402" t="s">
        <v>35</v>
      </c>
      <c r="D9558" s="601">
        <v>23.44</v>
      </c>
    </row>
    <row r="9559" spans="1:4" ht="27">
      <c r="A9559" s="402" t="s">
        <v>4426</v>
      </c>
      <c r="B9559" s="403" t="s">
        <v>807</v>
      </c>
      <c r="C9559" s="402" t="s">
        <v>35</v>
      </c>
      <c r="D9559" s="601">
        <v>210.64</v>
      </c>
    </row>
    <row r="9560" spans="1:4" ht="40.5">
      <c r="A9560" s="402" t="s">
        <v>4427</v>
      </c>
      <c r="B9560" s="403" t="s">
        <v>808</v>
      </c>
      <c r="C9560" s="402" t="s">
        <v>35</v>
      </c>
      <c r="D9560" s="601">
        <v>293.76</v>
      </c>
    </row>
    <row r="9561" spans="1:4" ht="13.5">
      <c r="A9561" s="402">
        <v>88503</v>
      </c>
      <c r="B9561" s="403" t="s">
        <v>323</v>
      </c>
      <c r="C9561" s="402" t="s">
        <v>35</v>
      </c>
      <c r="D9561" s="601">
        <v>649.24</v>
      </c>
    </row>
    <row r="9562" spans="1:4" ht="13.5">
      <c r="A9562" s="402">
        <v>88504</v>
      </c>
      <c r="B9562" s="403" t="s">
        <v>324</v>
      </c>
      <c r="C9562" s="402" t="s">
        <v>35</v>
      </c>
      <c r="D9562" s="601">
        <v>523.61</v>
      </c>
    </row>
    <row r="9563" spans="1:4" ht="27">
      <c r="A9563" s="402">
        <v>97900</v>
      </c>
      <c r="B9563" s="403" t="s">
        <v>5005</v>
      </c>
      <c r="C9563" s="402" t="s">
        <v>35</v>
      </c>
      <c r="D9563" s="601">
        <v>130.24</v>
      </c>
    </row>
    <row r="9564" spans="1:4" ht="27">
      <c r="A9564" s="402">
        <v>97901</v>
      </c>
      <c r="B9564" s="403" t="s">
        <v>5006</v>
      </c>
      <c r="C9564" s="402" t="s">
        <v>35</v>
      </c>
      <c r="D9564" s="601">
        <v>206.82</v>
      </c>
    </row>
    <row r="9565" spans="1:4" ht="27">
      <c r="A9565" s="402">
        <v>97902</v>
      </c>
      <c r="B9565" s="403" t="s">
        <v>5007</v>
      </c>
      <c r="C9565" s="402" t="s">
        <v>35</v>
      </c>
      <c r="D9565" s="601">
        <v>408.23</v>
      </c>
    </row>
    <row r="9566" spans="1:4" ht="27">
      <c r="A9566" s="402">
        <v>97903</v>
      </c>
      <c r="B9566" s="403" t="s">
        <v>5008</v>
      </c>
      <c r="C9566" s="402" t="s">
        <v>35</v>
      </c>
      <c r="D9566" s="601">
        <v>563.42999999999995</v>
      </c>
    </row>
    <row r="9567" spans="1:4" ht="27">
      <c r="A9567" s="402">
        <v>97904</v>
      </c>
      <c r="B9567" s="403" t="s">
        <v>5009</v>
      </c>
      <c r="C9567" s="402" t="s">
        <v>35</v>
      </c>
      <c r="D9567" s="601">
        <v>667.2</v>
      </c>
    </row>
    <row r="9568" spans="1:4" ht="27">
      <c r="A9568" s="402">
        <v>97905</v>
      </c>
      <c r="B9568" s="403" t="s">
        <v>5010</v>
      </c>
      <c r="C9568" s="402" t="s">
        <v>35</v>
      </c>
      <c r="D9568" s="601">
        <v>167.66</v>
      </c>
    </row>
    <row r="9569" spans="1:4" ht="27">
      <c r="A9569" s="402">
        <v>97906</v>
      </c>
      <c r="B9569" s="403" t="s">
        <v>5011</v>
      </c>
      <c r="C9569" s="402" t="s">
        <v>35</v>
      </c>
      <c r="D9569" s="601">
        <v>313.43</v>
      </c>
    </row>
    <row r="9570" spans="1:4" ht="27">
      <c r="A9570" s="402">
        <v>97907</v>
      </c>
      <c r="B9570" s="403" t="s">
        <v>5012</v>
      </c>
      <c r="C9570" s="402" t="s">
        <v>35</v>
      </c>
      <c r="D9570" s="601">
        <v>442.45</v>
      </c>
    </row>
    <row r="9571" spans="1:4" ht="27">
      <c r="A9571" s="402">
        <v>97908</v>
      </c>
      <c r="B9571" s="403" t="s">
        <v>5013</v>
      </c>
      <c r="C9571" s="402" t="s">
        <v>35</v>
      </c>
      <c r="D9571" s="601">
        <v>524.04</v>
      </c>
    </row>
    <row r="9572" spans="1:4" ht="27">
      <c r="A9572" s="402">
        <v>98102</v>
      </c>
      <c r="B9572" s="403" t="s">
        <v>5014</v>
      </c>
      <c r="C9572" s="402" t="s">
        <v>35</v>
      </c>
      <c r="D9572" s="601">
        <v>76.98</v>
      </c>
    </row>
    <row r="9573" spans="1:4" ht="27">
      <c r="A9573" s="402">
        <v>98103</v>
      </c>
      <c r="B9573" s="403" t="s">
        <v>5015</v>
      </c>
      <c r="C9573" s="402" t="s">
        <v>35</v>
      </c>
      <c r="D9573" s="601">
        <v>162.19999999999999</v>
      </c>
    </row>
    <row r="9574" spans="1:4" ht="40.5">
      <c r="A9574" s="402">
        <v>98104</v>
      </c>
      <c r="B9574" s="403" t="s">
        <v>5016</v>
      </c>
      <c r="C9574" s="402" t="s">
        <v>35</v>
      </c>
      <c r="D9574" s="601">
        <v>275.08999999999997</v>
      </c>
    </row>
    <row r="9575" spans="1:4" ht="40.5">
      <c r="A9575" s="402">
        <v>98105</v>
      </c>
      <c r="B9575" s="403" t="s">
        <v>5017</v>
      </c>
      <c r="C9575" s="402" t="s">
        <v>35</v>
      </c>
      <c r="D9575" s="601">
        <v>475.98</v>
      </c>
    </row>
    <row r="9576" spans="1:4" ht="40.5">
      <c r="A9576" s="402">
        <v>98106</v>
      </c>
      <c r="B9576" s="403" t="s">
        <v>5018</v>
      </c>
      <c r="C9576" s="402" t="s">
        <v>35</v>
      </c>
      <c r="D9576" s="601">
        <v>787.39</v>
      </c>
    </row>
    <row r="9577" spans="1:4" ht="40.5">
      <c r="A9577" s="402">
        <v>98107</v>
      </c>
      <c r="B9577" s="403" t="s">
        <v>5019</v>
      </c>
      <c r="C9577" s="402" t="s">
        <v>35</v>
      </c>
      <c r="D9577" s="601">
        <v>201.3</v>
      </c>
    </row>
    <row r="9578" spans="1:4" ht="40.5">
      <c r="A9578" s="402">
        <v>98108</v>
      </c>
      <c r="B9578" s="403" t="s">
        <v>5020</v>
      </c>
      <c r="C9578" s="402" t="s">
        <v>35</v>
      </c>
      <c r="D9578" s="601">
        <v>357.05</v>
      </c>
    </row>
    <row r="9579" spans="1:4" ht="27">
      <c r="A9579" s="402">
        <v>99250</v>
      </c>
      <c r="B9579" s="403" t="s">
        <v>5690</v>
      </c>
      <c r="C9579" s="402" t="s">
        <v>35</v>
      </c>
      <c r="D9579" s="601">
        <v>127.12</v>
      </c>
    </row>
    <row r="9580" spans="1:4" ht="27">
      <c r="A9580" s="402">
        <v>99251</v>
      </c>
      <c r="B9580" s="403" t="s">
        <v>5691</v>
      </c>
      <c r="C9580" s="402" t="s">
        <v>35</v>
      </c>
      <c r="D9580" s="601">
        <v>201.46</v>
      </c>
    </row>
    <row r="9581" spans="1:4" ht="27">
      <c r="A9581" s="402">
        <v>99253</v>
      </c>
      <c r="B9581" s="403" t="s">
        <v>5692</v>
      </c>
      <c r="C9581" s="402" t="s">
        <v>35</v>
      </c>
      <c r="D9581" s="601">
        <v>396.18</v>
      </c>
    </row>
    <row r="9582" spans="1:4" ht="27">
      <c r="A9582" s="402">
        <v>99255</v>
      </c>
      <c r="B9582" s="403" t="s">
        <v>5693</v>
      </c>
      <c r="C9582" s="402" t="s">
        <v>35</v>
      </c>
      <c r="D9582" s="601">
        <v>546.91999999999996</v>
      </c>
    </row>
    <row r="9583" spans="1:4" ht="27">
      <c r="A9583" s="402">
        <v>99257</v>
      </c>
      <c r="B9583" s="403" t="s">
        <v>5694</v>
      </c>
      <c r="C9583" s="402" t="s">
        <v>35</v>
      </c>
      <c r="D9583" s="601">
        <v>645.85</v>
      </c>
    </row>
    <row r="9584" spans="1:4" ht="27">
      <c r="A9584" s="402">
        <v>99258</v>
      </c>
      <c r="B9584" s="403" t="s">
        <v>5695</v>
      </c>
      <c r="C9584" s="402" t="s">
        <v>35</v>
      </c>
      <c r="D9584" s="601">
        <v>163.22999999999999</v>
      </c>
    </row>
    <row r="9585" spans="1:4" ht="27">
      <c r="A9585" s="402">
        <v>99260</v>
      </c>
      <c r="B9585" s="403" t="s">
        <v>5696</v>
      </c>
      <c r="C9585" s="402" t="s">
        <v>35</v>
      </c>
      <c r="D9585" s="601">
        <v>305.85000000000002</v>
      </c>
    </row>
    <row r="9586" spans="1:4" ht="27">
      <c r="A9586" s="402">
        <v>99262</v>
      </c>
      <c r="B9586" s="403" t="s">
        <v>5697</v>
      </c>
      <c r="C9586" s="402" t="s">
        <v>35</v>
      </c>
      <c r="D9586" s="601">
        <v>431.62</v>
      </c>
    </row>
    <row r="9587" spans="1:4" ht="27">
      <c r="A9587" s="402">
        <v>99264</v>
      </c>
      <c r="B9587" s="403" t="s">
        <v>5698</v>
      </c>
      <c r="C9587" s="402" t="s">
        <v>35</v>
      </c>
      <c r="D9587" s="601">
        <v>509.42</v>
      </c>
    </row>
    <row r="9588" spans="1:4" ht="27">
      <c r="A9588" s="402">
        <v>89482</v>
      </c>
      <c r="B9588" s="403" t="s">
        <v>1826</v>
      </c>
      <c r="C9588" s="402" t="s">
        <v>35</v>
      </c>
      <c r="D9588" s="601">
        <v>20.48</v>
      </c>
    </row>
    <row r="9589" spans="1:4" ht="27">
      <c r="A9589" s="402">
        <v>89491</v>
      </c>
      <c r="B9589" s="403" t="s">
        <v>1832</v>
      </c>
      <c r="C9589" s="402" t="s">
        <v>35</v>
      </c>
      <c r="D9589" s="601">
        <v>48.48</v>
      </c>
    </row>
    <row r="9590" spans="1:4" ht="27">
      <c r="A9590" s="402">
        <v>89495</v>
      </c>
      <c r="B9590" s="403" t="s">
        <v>1833</v>
      </c>
      <c r="C9590" s="402" t="s">
        <v>35</v>
      </c>
      <c r="D9590" s="601">
        <v>7.78</v>
      </c>
    </row>
    <row r="9591" spans="1:4" ht="27">
      <c r="A9591" s="402">
        <v>89707</v>
      </c>
      <c r="B9591" s="403" t="s">
        <v>1973</v>
      </c>
      <c r="C9591" s="402" t="s">
        <v>35</v>
      </c>
      <c r="D9591" s="601">
        <v>24.36</v>
      </c>
    </row>
    <row r="9592" spans="1:4" ht="27">
      <c r="A9592" s="402">
        <v>89708</v>
      </c>
      <c r="B9592" s="403" t="s">
        <v>1974</v>
      </c>
      <c r="C9592" s="402" t="s">
        <v>35</v>
      </c>
      <c r="D9592" s="601">
        <v>53.53</v>
      </c>
    </row>
    <row r="9593" spans="1:4" ht="27">
      <c r="A9593" s="402">
        <v>89709</v>
      </c>
      <c r="B9593" s="403" t="s">
        <v>1975</v>
      </c>
      <c r="C9593" s="402" t="s">
        <v>35</v>
      </c>
      <c r="D9593" s="601">
        <v>8.9</v>
      </c>
    </row>
    <row r="9594" spans="1:4" ht="27">
      <c r="A9594" s="402">
        <v>89710</v>
      </c>
      <c r="B9594" s="403" t="s">
        <v>438</v>
      </c>
      <c r="C9594" s="402" t="s">
        <v>35</v>
      </c>
      <c r="D9594" s="601">
        <v>8.73</v>
      </c>
    </row>
    <row r="9595" spans="1:4" ht="27">
      <c r="A9595" s="402">
        <v>86872</v>
      </c>
      <c r="B9595" s="403" t="s">
        <v>6881</v>
      </c>
      <c r="C9595" s="402" t="s">
        <v>35</v>
      </c>
      <c r="D9595" s="601">
        <v>575.64</v>
      </c>
    </row>
    <row r="9596" spans="1:4" ht="27">
      <c r="A9596" s="402">
        <v>86874</v>
      </c>
      <c r="B9596" s="403" t="s">
        <v>6882</v>
      </c>
      <c r="C9596" s="402" t="s">
        <v>35</v>
      </c>
      <c r="D9596" s="601">
        <v>353.71</v>
      </c>
    </row>
    <row r="9597" spans="1:4" ht="27">
      <c r="A9597" s="402">
        <v>86875</v>
      </c>
      <c r="B9597" s="403" t="s">
        <v>6883</v>
      </c>
      <c r="C9597" s="402" t="s">
        <v>35</v>
      </c>
      <c r="D9597" s="601">
        <v>327.27999999999997</v>
      </c>
    </row>
    <row r="9598" spans="1:4" ht="27">
      <c r="A9598" s="402">
        <v>86876</v>
      </c>
      <c r="B9598" s="403" t="s">
        <v>6884</v>
      </c>
      <c r="C9598" s="402" t="s">
        <v>35</v>
      </c>
      <c r="D9598" s="601">
        <v>188.19</v>
      </c>
    </row>
    <row r="9599" spans="1:4" ht="27">
      <c r="A9599" s="402">
        <v>86877</v>
      </c>
      <c r="B9599" s="403" t="s">
        <v>6885</v>
      </c>
      <c r="C9599" s="402" t="s">
        <v>35</v>
      </c>
      <c r="D9599" s="601">
        <v>25.52</v>
      </c>
    </row>
    <row r="9600" spans="1:4" ht="27">
      <c r="A9600" s="402">
        <v>86878</v>
      </c>
      <c r="B9600" s="403" t="s">
        <v>6886</v>
      </c>
      <c r="C9600" s="402" t="s">
        <v>35</v>
      </c>
      <c r="D9600" s="601">
        <v>55.07</v>
      </c>
    </row>
    <row r="9601" spans="1:4" ht="27">
      <c r="A9601" s="402">
        <v>86879</v>
      </c>
      <c r="B9601" s="403" t="s">
        <v>6887</v>
      </c>
      <c r="C9601" s="402" t="s">
        <v>35</v>
      </c>
      <c r="D9601" s="601">
        <v>5.75</v>
      </c>
    </row>
    <row r="9602" spans="1:4" ht="27">
      <c r="A9602" s="402">
        <v>86880</v>
      </c>
      <c r="B9602" s="403" t="s">
        <v>6888</v>
      </c>
      <c r="C9602" s="402" t="s">
        <v>35</v>
      </c>
      <c r="D9602" s="601">
        <v>17.14</v>
      </c>
    </row>
    <row r="9603" spans="1:4" ht="27">
      <c r="A9603" s="402">
        <v>86881</v>
      </c>
      <c r="B9603" s="403" t="s">
        <v>6889</v>
      </c>
      <c r="C9603" s="402" t="s">
        <v>35</v>
      </c>
      <c r="D9603" s="601">
        <v>155.6</v>
      </c>
    </row>
    <row r="9604" spans="1:4" ht="27">
      <c r="A9604" s="402">
        <v>86882</v>
      </c>
      <c r="B9604" s="403" t="s">
        <v>6890</v>
      </c>
      <c r="C9604" s="402" t="s">
        <v>35</v>
      </c>
      <c r="D9604" s="601">
        <v>17.55</v>
      </c>
    </row>
    <row r="9605" spans="1:4" ht="27">
      <c r="A9605" s="402">
        <v>86883</v>
      </c>
      <c r="B9605" s="403" t="s">
        <v>6891</v>
      </c>
      <c r="C9605" s="402" t="s">
        <v>35</v>
      </c>
      <c r="D9605" s="601">
        <v>10.01</v>
      </c>
    </row>
    <row r="9606" spans="1:4" ht="27">
      <c r="A9606" s="402">
        <v>86884</v>
      </c>
      <c r="B9606" s="403" t="s">
        <v>6892</v>
      </c>
      <c r="C9606" s="402" t="s">
        <v>35</v>
      </c>
      <c r="D9606" s="601">
        <v>7.08</v>
      </c>
    </row>
    <row r="9607" spans="1:4" ht="27">
      <c r="A9607" s="402">
        <v>86885</v>
      </c>
      <c r="B9607" s="403" t="s">
        <v>6893</v>
      </c>
      <c r="C9607" s="402" t="s">
        <v>35</v>
      </c>
      <c r="D9607" s="601">
        <v>9.5</v>
      </c>
    </row>
    <row r="9608" spans="1:4" ht="13.5">
      <c r="A9608" s="402">
        <v>86886</v>
      </c>
      <c r="B9608" s="403" t="s">
        <v>6894</v>
      </c>
      <c r="C9608" s="402" t="s">
        <v>35</v>
      </c>
      <c r="D9608" s="601">
        <v>37.729999999999997</v>
      </c>
    </row>
    <row r="9609" spans="1:4" ht="13.5">
      <c r="A9609" s="402">
        <v>86887</v>
      </c>
      <c r="B9609" s="403" t="s">
        <v>6895</v>
      </c>
      <c r="C9609" s="402" t="s">
        <v>35</v>
      </c>
      <c r="D9609" s="601">
        <v>40.97</v>
      </c>
    </row>
    <row r="9610" spans="1:4" ht="27">
      <c r="A9610" s="402">
        <v>86888</v>
      </c>
      <c r="B9610" s="403" t="s">
        <v>6896</v>
      </c>
      <c r="C9610" s="402" t="s">
        <v>35</v>
      </c>
      <c r="D9610" s="601">
        <v>339.43</v>
      </c>
    </row>
    <row r="9611" spans="1:4" ht="27">
      <c r="A9611" s="402">
        <v>86889</v>
      </c>
      <c r="B9611" s="403" t="s">
        <v>12953</v>
      </c>
      <c r="C9611" s="402" t="s">
        <v>35</v>
      </c>
      <c r="D9611" s="601">
        <v>583.9</v>
      </c>
    </row>
    <row r="9612" spans="1:4" ht="27">
      <c r="A9612" s="402">
        <v>86893</v>
      </c>
      <c r="B9612" s="403" t="s">
        <v>12954</v>
      </c>
      <c r="C9612" s="402" t="s">
        <v>35</v>
      </c>
      <c r="D9612" s="601">
        <v>459.42</v>
      </c>
    </row>
    <row r="9613" spans="1:4" ht="27">
      <c r="A9613" s="402">
        <v>86894</v>
      </c>
      <c r="B9613" s="403" t="s">
        <v>12955</v>
      </c>
      <c r="C9613" s="402" t="s">
        <v>35</v>
      </c>
      <c r="D9613" s="601">
        <v>181.71</v>
      </c>
    </row>
    <row r="9614" spans="1:4" ht="27">
      <c r="A9614" s="402">
        <v>86895</v>
      </c>
      <c r="B9614" s="403" t="s">
        <v>12956</v>
      </c>
      <c r="C9614" s="402" t="s">
        <v>35</v>
      </c>
      <c r="D9614" s="601">
        <v>271.85000000000002</v>
      </c>
    </row>
    <row r="9615" spans="1:4" ht="27">
      <c r="A9615" s="402">
        <v>86899</v>
      </c>
      <c r="B9615" s="403" t="s">
        <v>12957</v>
      </c>
      <c r="C9615" s="402" t="s">
        <v>35</v>
      </c>
      <c r="D9615" s="601">
        <v>225.15</v>
      </c>
    </row>
    <row r="9616" spans="1:4" ht="27">
      <c r="A9616" s="402">
        <v>86900</v>
      </c>
      <c r="B9616" s="403" t="s">
        <v>6897</v>
      </c>
      <c r="C9616" s="402" t="s">
        <v>35</v>
      </c>
      <c r="D9616" s="601">
        <v>154.1</v>
      </c>
    </row>
    <row r="9617" spans="1:4" ht="27">
      <c r="A9617" s="402">
        <v>86901</v>
      </c>
      <c r="B9617" s="403" t="s">
        <v>6898</v>
      </c>
      <c r="C9617" s="402" t="s">
        <v>35</v>
      </c>
      <c r="D9617" s="601">
        <v>105.47</v>
      </c>
    </row>
    <row r="9618" spans="1:4" ht="27">
      <c r="A9618" s="402">
        <v>86902</v>
      </c>
      <c r="B9618" s="403" t="s">
        <v>6899</v>
      </c>
      <c r="C9618" s="402" t="s">
        <v>35</v>
      </c>
      <c r="D9618" s="601">
        <v>204.11</v>
      </c>
    </row>
    <row r="9619" spans="1:4" ht="27">
      <c r="A9619" s="402">
        <v>86903</v>
      </c>
      <c r="B9619" s="403" t="s">
        <v>6900</v>
      </c>
      <c r="C9619" s="402" t="s">
        <v>35</v>
      </c>
      <c r="D9619" s="601">
        <v>265.85000000000002</v>
      </c>
    </row>
    <row r="9620" spans="1:4" ht="27">
      <c r="A9620" s="402">
        <v>86904</v>
      </c>
      <c r="B9620" s="403" t="s">
        <v>6901</v>
      </c>
      <c r="C9620" s="402" t="s">
        <v>35</v>
      </c>
      <c r="D9620" s="601">
        <v>103.29</v>
      </c>
    </row>
    <row r="9621" spans="1:4" ht="27">
      <c r="A9621" s="402">
        <v>86905</v>
      </c>
      <c r="B9621" s="403" t="s">
        <v>6902</v>
      </c>
      <c r="C9621" s="402" t="s">
        <v>35</v>
      </c>
      <c r="D9621" s="601">
        <v>212.78</v>
      </c>
    </row>
    <row r="9622" spans="1:4" ht="27">
      <c r="A9622" s="402">
        <v>86906</v>
      </c>
      <c r="B9622" s="403" t="s">
        <v>6903</v>
      </c>
      <c r="C9622" s="402" t="s">
        <v>35</v>
      </c>
      <c r="D9622" s="601">
        <v>49.7</v>
      </c>
    </row>
    <row r="9623" spans="1:4" ht="27">
      <c r="A9623" s="402">
        <v>86908</v>
      </c>
      <c r="B9623" s="403" t="s">
        <v>6904</v>
      </c>
      <c r="C9623" s="402" t="s">
        <v>35</v>
      </c>
      <c r="D9623" s="601">
        <v>256.12</v>
      </c>
    </row>
    <row r="9624" spans="1:4" ht="27">
      <c r="A9624" s="402">
        <v>86909</v>
      </c>
      <c r="B9624" s="403" t="s">
        <v>6905</v>
      </c>
      <c r="C9624" s="402" t="s">
        <v>35</v>
      </c>
      <c r="D9624" s="601">
        <v>99.54</v>
      </c>
    </row>
    <row r="9625" spans="1:4" ht="27">
      <c r="A9625" s="402">
        <v>86910</v>
      </c>
      <c r="B9625" s="403" t="s">
        <v>6906</v>
      </c>
      <c r="C9625" s="402" t="s">
        <v>35</v>
      </c>
      <c r="D9625" s="601">
        <v>94.08</v>
      </c>
    </row>
    <row r="9626" spans="1:4" ht="27">
      <c r="A9626" s="402">
        <v>86911</v>
      </c>
      <c r="B9626" s="403" t="s">
        <v>6907</v>
      </c>
      <c r="C9626" s="402" t="s">
        <v>35</v>
      </c>
      <c r="D9626" s="601">
        <v>42</v>
      </c>
    </row>
    <row r="9627" spans="1:4" ht="27">
      <c r="A9627" s="402">
        <v>86913</v>
      </c>
      <c r="B9627" s="403" t="s">
        <v>6908</v>
      </c>
      <c r="C9627" s="402" t="s">
        <v>35</v>
      </c>
      <c r="D9627" s="601">
        <v>18.5</v>
      </c>
    </row>
    <row r="9628" spans="1:4" ht="27">
      <c r="A9628" s="402">
        <v>86914</v>
      </c>
      <c r="B9628" s="403" t="s">
        <v>6909</v>
      </c>
      <c r="C9628" s="402" t="s">
        <v>35</v>
      </c>
      <c r="D9628" s="601">
        <v>38.17</v>
      </c>
    </row>
    <row r="9629" spans="1:4" ht="27">
      <c r="A9629" s="402">
        <v>86915</v>
      </c>
      <c r="B9629" s="403" t="s">
        <v>6910</v>
      </c>
      <c r="C9629" s="402" t="s">
        <v>35</v>
      </c>
      <c r="D9629" s="601">
        <v>83.91</v>
      </c>
    </row>
    <row r="9630" spans="1:4" ht="13.5">
      <c r="A9630" s="402">
        <v>86916</v>
      </c>
      <c r="B9630" s="403" t="s">
        <v>6911</v>
      </c>
      <c r="C9630" s="402" t="s">
        <v>35</v>
      </c>
      <c r="D9630" s="601">
        <v>30.18</v>
      </c>
    </row>
    <row r="9631" spans="1:4" ht="40.5">
      <c r="A9631" s="402">
        <v>86919</v>
      </c>
      <c r="B9631" s="403" t="s">
        <v>6912</v>
      </c>
      <c r="C9631" s="402" t="s">
        <v>35</v>
      </c>
      <c r="D9631" s="601">
        <v>649.34</v>
      </c>
    </row>
    <row r="9632" spans="1:4" ht="40.5">
      <c r="A9632" s="402">
        <v>86920</v>
      </c>
      <c r="B9632" s="403" t="s">
        <v>6913</v>
      </c>
      <c r="C9632" s="402" t="s">
        <v>35</v>
      </c>
      <c r="D9632" s="601">
        <v>609.9</v>
      </c>
    </row>
    <row r="9633" spans="1:4" ht="40.5">
      <c r="A9633" s="402">
        <v>86921</v>
      </c>
      <c r="B9633" s="403" t="s">
        <v>6914</v>
      </c>
      <c r="C9633" s="402" t="s">
        <v>35</v>
      </c>
      <c r="D9633" s="601">
        <v>621.58000000000004</v>
      </c>
    </row>
    <row r="9634" spans="1:4" ht="40.5">
      <c r="A9634" s="402">
        <v>86922</v>
      </c>
      <c r="B9634" s="403" t="s">
        <v>6915</v>
      </c>
      <c r="C9634" s="402" t="s">
        <v>35</v>
      </c>
      <c r="D9634" s="601">
        <v>573</v>
      </c>
    </row>
    <row r="9635" spans="1:4" ht="40.5">
      <c r="A9635" s="402">
        <v>86923</v>
      </c>
      <c r="B9635" s="403" t="s">
        <v>6916</v>
      </c>
      <c r="C9635" s="402" t="s">
        <v>35</v>
      </c>
      <c r="D9635" s="601">
        <v>395.51</v>
      </c>
    </row>
    <row r="9636" spans="1:4" ht="40.5">
      <c r="A9636" s="402">
        <v>86924</v>
      </c>
      <c r="B9636" s="403" t="s">
        <v>6917</v>
      </c>
      <c r="C9636" s="402" t="s">
        <v>35</v>
      </c>
      <c r="D9636" s="601">
        <v>407.19</v>
      </c>
    </row>
    <row r="9637" spans="1:4" ht="40.5">
      <c r="A9637" s="402">
        <v>86925</v>
      </c>
      <c r="B9637" s="403" t="s">
        <v>6918</v>
      </c>
      <c r="C9637" s="402" t="s">
        <v>35</v>
      </c>
      <c r="D9637" s="601">
        <v>361.54</v>
      </c>
    </row>
    <row r="9638" spans="1:4" ht="40.5">
      <c r="A9638" s="402">
        <v>86926</v>
      </c>
      <c r="B9638" s="403" t="s">
        <v>6919</v>
      </c>
      <c r="C9638" s="402" t="s">
        <v>35</v>
      </c>
      <c r="D9638" s="601">
        <v>373.22</v>
      </c>
    </row>
    <row r="9639" spans="1:4" ht="40.5">
      <c r="A9639" s="402">
        <v>86927</v>
      </c>
      <c r="B9639" s="403" t="s">
        <v>6920</v>
      </c>
      <c r="C9639" s="402" t="s">
        <v>35</v>
      </c>
      <c r="D9639" s="601">
        <v>229.99</v>
      </c>
    </row>
    <row r="9640" spans="1:4" ht="40.5">
      <c r="A9640" s="402">
        <v>86928</v>
      </c>
      <c r="B9640" s="403" t="s">
        <v>6921</v>
      </c>
      <c r="C9640" s="402" t="s">
        <v>35</v>
      </c>
      <c r="D9640" s="601">
        <v>241.67</v>
      </c>
    </row>
    <row r="9641" spans="1:4" ht="40.5">
      <c r="A9641" s="402">
        <v>86929</v>
      </c>
      <c r="B9641" s="403" t="s">
        <v>6922</v>
      </c>
      <c r="C9641" s="402" t="s">
        <v>35</v>
      </c>
      <c r="D9641" s="601">
        <v>222.45</v>
      </c>
    </row>
    <row r="9642" spans="1:4" ht="40.5">
      <c r="A9642" s="402">
        <v>86930</v>
      </c>
      <c r="B9642" s="403" t="s">
        <v>6923</v>
      </c>
      <c r="C9642" s="402" t="s">
        <v>35</v>
      </c>
      <c r="D9642" s="601">
        <v>234.13</v>
      </c>
    </row>
    <row r="9643" spans="1:4" ht="40.5">
      <c r="A9643" s="402">
        <v>86931</v>
      </c>
      <c r="B9643" s="403" t="s">
        <v>6924</v>
      </c>
      <c r="C9643" s="402" t="s">
        <v>35</v>
      </c>
      <c r="D9643" s="601">
        <v>348.93</v>
      </c>
    </row>
    <row r="9644" spans="1:4" ht="40.5">
      <c r="A9644" s="402">
        <v>86932</v>
      </c>
      <c r="B9644" s="403" t="s">
        <v>6925</v>
      </c>
      <c r="C9644" s="402" t="s">
        <v>35</v>
      </c>
      <c r="D9644" s="601">
        <v>380.4</v>
      </c>
    </row>
    <row r="9645" spans="1:4" ht="54">
      <c r="A9645" s="402">
        <v>86933</v>
      </c>
      <c r="B9645" s="403" t="s">
        <v>6926</v>
      </c>
      <c r="C9645" s="402" t="s">
        <v>35</v>
      </c>
      <c r="D9645" s="601">
        <v>258.39999999999998</v>
      </c>
    </row>
    <row r="9646" spans="1:4" ht="54">
      <c r="A9646" s="402">
        <v>86934</v>
      </c>
      <c r="B9646" s="403" t="s">
        <v>6927</v>
      </c>
      <c r="C9646" s="402" t="s">
        <v>35</v>
      </c>
      <c r="D9646" s="601">
        <v>250.86</v>
      </c>
    </row>
    <row r="9647" spans="1:4" ht="40.5">
      <c r="A9647" s="402">
        <v>86935</v>
      </c>
      <c r="B9647" s="403" t="s">
        <v>6928</v>
      </c>
      <c r="C9647" s="402" t="s">
        <v>35</v>
      </c>
      <c r="D9647" s="601">
        <v>219.18</v>
      </c>
    </row>
    <row r="9648" spans="1:4" ht="27">
      <c r="A9648" s="402">
        <v>86936</v>
      </c>
      <c r="B9648" s="403" t="s">
        <v>6929</v>
      </c>
      <c r="C9648" s="402" t="s">
        <v>35</v>
      </c>
      <c r="D9648" s="601">
        <v>364.77</v>
      </c>
    </row>
    <row r="9649" spans="1:4" ht="40.5">
      <c r="A9649" s="402">
        <v>86937</v>
      </c>
      <c r="B9649" s="403" t="s">
        <v>6930</v>
      </c>
      <c r="C9649" s="402" t="s">
        <v>35</v>
      </c>
      <c r="D9649" s="601">
        <v>141</v>
      </c>
    </row>
    <row r="9650" spans="1:4" ht="40.5">
      <c r="A9650" s="402">
        <v>86938</v>
      </c>
      <c r="B9650" s="403" t="s">
        <v>6931</v>
      </c>
      <c r="C9650" s="402" t="s">
        <v>35</v>
      </c>
      <c r="D9650" s="601">
        <v>286.58999999999997</v>
      </c>
    </row>
    <row r="9651" spans="1:4" ht="40.5">
      <c r="A9651" s="402">
        <v>86939</v>
      </c>
      <c r="B9651" s="403" t="s">
        <v>6932</v>
      </c>
      <c r="C9651" s="402" t="s">
        <v>35</v>
      </c>
      <c r="D9651" s="601">
        <v>276.64999999999998</v>
      </c>
    </row>
    <row r="9652" spans="1:4" ht="54">
      <c r="A9652" s="402">
        <v>86940</v>
      </c>
      <c r="B9652" s="403" t="s">
        <v>6933</v>
      </c>
      <c r="C9652" s="402" t="s">
        <v>35</v>
      </c>
      <c r="D9652" s="601">
        <v>741.69</v>
      </c>
    </row>
    <row r="9653" spans="1:4" ht="54">
      <c r="A9653" s="402">
        <v>86941</v>
      </c>
      <c r="B9653" s="403" t="s">
        <v>6934</v>
      </c>
      <c r="C9653" s="402" t="s">
        <v>35</v>
      </c>
      <c r="D9653" s="601">
        <v>571.85</v>
      </c>
    </row>
    <row r="9654" spans="1:4" ht="54">
      <c r="A9654" s="402">
        <v>86942</v>
      </c>
      <c r="B9654" s="403" t="s">
        <v>6935</v>
      </c>
      <c r="C9654" s="402" t="s">
        <v>35</v>
      </c>
      <c r="D9654" s="601">
        <v>183.37</v>
      </c>
    </row>
    <row r="9655" spans="1:4" ht="54">
      <c r="A9655" s="402">
        <v>86943</v>
      </c>
      <c r="B9655" s="403" t="s">
        <v>6936</v>
      </c>
      <c r="C9655" s="402" t="s">
        <v>35</v>
      </c>
      <c r="D9655" s="601">
        <v>175.83</v>
      </c>
    </row>
    <row r="9656" spans="1:4" ht="54">
      <c r="A9656" s="402">
        <v>86947</v>
      </c>
      <c r="B9656" s="403" t="s">
        <v>6937</v>
      </c>
      <c r="C9656" s="402" t="s">
        <v>35</v>
      </c>
      <c r="D9656" s="601">
        <v>806.46</v>
      </c>
    </row>
    <row r="9657" spans="1:4" ht="54">
      <c r="A9657" s="402">
        <v>93396</v>
      </c>
      <c r="B9657" s="403" t="s">
        <v>6938</v>
      </c>
      <c r="C9657" s="402" t="s">
        <v>35</v>
      </c>
      <c r="D9657" s="601">
        <v>469.63</v>
      </c>
    </row>
    <row r="9658" spans="1:4" ht="54">
      <c r="A9658" s="402">
        <v>93441</v>
      </c>
      <c r="B9658" s="403" t="s">
        <v>6939</v>
      </c>
      <c r="C9658" s="402" t="s">
        <v>35</v>
      </c>
      <c r="D9658" s="601">
        <v>852.16</v>
      </c>
    </row>
    <row r="9659" spans="1:4" ht="54">
      <c r="A9659" s="402">
        <v>93442</v>
      </c>
      <c r="B9659" s="403" t="s">
        <v>6940</v>
      </c>
      <c r="C9659" s="402" t="s">
        <v>35</v>
      </c>
      <c r="D9659" s="601">
        <v>930.81</v>
      </c>
    </row>
    <row r="9660" spans="1:4" ht="27">
      <c r="A9660" s="402">
        <v>95469</v>
      </c>
      <c r="B9660" s="403" t="s">
        <v>6941</v>
      </c>
      <c r="C9660" s="402" t="s">
        <v>35</v>
      </c>
      <c r="D9660" s="601">
        <v>157.34</v>
      </c>
    </row>
    <row r="9661" spans="1:4" ht="40.5">
      <c r="A9661" s="402">
        <v>95470</v>
      </c>
      <c r="B9661" s="403" t="s">
        <v>3739</v>
      </c>
      <c r="C9661" s="402" t="s">
        <v>35</v>
      </c>
      <c r="D9661" s="601">
        <v>163.66</v>
      </c>
    </row>
    <row r="9662" spans="1:4" ht="27">
      <c r="A9662" s="402">
        <v>95471</v>
      </c>
      <c r="B9662" s="403" t="s">
        <v>6942</v>
      </c>
      <c r="C9662" s="402" t="s">
        <v>35</v>
      </c>
      <c r="D9662" s="601">
        <v>592.11</v>
      </c>
    </row>
    <row r="9663" spans="1:4" ht="40.5">
      <c r="A9663" s="402">
        <v>95472</v>
      </c>
      <c r="B9663" s="403" t="s">
        <v>6943</v>
      </c>
      <c r="C9663" s="402" t="s">
        <v>35</v>
      </c>
      <c r="D9663" s="601">
        <v>598.42999999999995</v>
      </c>
    </row>
    <row r="9664" spans="1:4" ht="27">
      <c r="A9664" s="402">
        <v>95542</v>
      </c>
      <c r="B9664" s="403" t="s">
        <v>6944</v>
      </c>
      <c r="C9664" s="402" t="s">
        <v>35</v>
      </c>
      <c r="D9664" s="601">
        <v>25.46</v>
      </c>
    </row>
    <row r="9665" spans="1:4" ht="13.5">
      <c r="A9665" s="402">
        <v>95543</v>
      </c>
      <c r="B9665" s="403" t="s">
        <v>6945</v>
      </c>
      <c r="C9665" s="402" t="s">
        <v>35</v>
      </c>
      <c r="D9665" s="601">
        <v>42.78</v>
      </c>
    </row>
    <row r="9666" spans="1:4" ht="13.5">
      <c r="A9666" s="402">
        <v>95544</v>
      </c>
      <c r="B9666" s="403" t="s">
        <v>6946</v>
      </c>
      <c r="C9666" s="402" t="s">
        <v>35</v>
      </c>
      <c r="D9666" s="601">
        <v>31.15</v>
      </c>
    </row>
    <row r="9667" spans="1:4" ht="13.5">
      <c r="A9667" s="402">
        <v>95545</v>
      </c>
      <c r="B9667" s="403" t="s">
        <v>6947</v>
      </c>
      <c r="C9667" s="402" t="s">
        <v>35</v>
      </c>
      <c r="D9667" s="601">
        <v>30.55</v>
      </c>
    </row>
    <row r="9668" spans="1:4" ht="27">
      <c r="A9668" s="402">
        <v>95546</v>
      </c>
      <c r="B9668" s="403" t="s">
        <v>6948</v>
      </c>
      <c r="C9668" s="402" t="s">
        <v>35</v>
      </c>
      <c r="D9668" s="601">
        <v>104.27</v>
      </c>
    </row>
    <row r="9669" spans="1:4" ht="27">
      <c r="A9669" s="402">
        <v>95547</v>
      </c>
      <c r="B9669" s="403" t="s">
        <v>6949</v>
      </c>
      <c r="C9669" s="402" t="s">
        <v>35</v>
      </c>
      <c r="D9669" s="601">
        <v>50.65</v>
      </c>
    </row>
    <row r="9670" spans="1:4" ht="13.5">
      <c r="A9670" s="402">
        <v>100848</v>
      </c>
      <c r="B9670" s="403" t="s">
        <v>6950</v>
      </c>
      <c r="C9670" s="402" t="s">
        <v>35</v>
      </c>
      <c r="D9670" s="601">
        <v>289.45999999999998</v>
      </c>
    </row>
    <row r="9671" spans="1:4" ht="13.5">
      <c r="A9671" s="402">
        <v>100849</v>
      </c>
      <c r="B9671" s="403" t="s">
        <v>6951</v>
      </c>
      <c r="C9671" s="402" t="s">
        <v>35</v>
      </c>
      <c r="D9671" s="601">
        <v>31</v>
      </c>
    </row>
    <row r="9672" spans="1:4" ht="13.5">
      <c r="A9672" s="402">
        <v>100851</v>
      </c>
      <c r="B9672" s="403" t="s">
        <v>6952</v>
      </c>
      <c r="C9672" s="402" t="s">
        <v>35</v>
      </c>
      <c r="D9672" s="601">
        <v>62.11</v>
      </c>
    </row>
    <row r="9673" spans="1:4" ht="27">
      <c r="A9673" s="402">
        <v>100852</v>
      </c>
      <c r="B9673" s="403" t="s">
        <v>6953</v>
      </c>
      <c r="C9673" s="402" t="s">
        <v>35</v>
      </c>
      <c r="D9673" s="601">
        <v>169.03</v>
      </c>
    </row>
    <row r="9674" spans="1:4" ht="13.5">
      <c r="A9674" s="402">
        <v>100854</v>
      </c>
      <c r="B9674" s="403" t="s">
        <v>6954</v>
      </c>
      <c r="C9674" s="402" t="s">
        <v>35</v>
      </c>
      <c r="D9674" s="601">
        <v>630.34</v>
      </c>
    </row>
    <row r="9675" spans="1:4" ht="27">
      <c r="A9675" s="402">
        <v>100855</v>
      </c>
      <c r="B9675" s="403" t="s">
        <v>6955</v>
      </c>
      <c r="C9675" s="402" t="s">
        <v>35</v>
      </c>
      <c r="D9675" s="601">
        <v>30.55</v>
      </c>
    </row>
    <row r="9676" spans="1:4" ht="13.5">
      <c r="A9676" s="402">
        <v>100856</v>
      </c>
      <c r="B9676" s="403" t="s">
        <v>6956</v>
      </c>
      <c r="C9676" s="402" t="s">
        <v>35</v>
      </c>
      <c r="D9676" s="601">
        <v>23.57</v>
      </c>
    </row>
    <row r="9677" spans="1:4" ht="13.5">
      <c r="A9677" s="402">
        <v>100857</v>
      </c>
      <c r="B9677" s="403" t="s">
        <v>6957</v>
      </c>
      <c r="C9677" s="402" t="s">
        <v>35</v>
      </c>
      <c r="D9677" s="601">
        <v>235.9</v>
      </c>
    </row>
    <row r="9678" spans="1:4" ht="27">
      <c r="A9678" s="402">
        <v>100858</v>
      </c>
      <c r="B9678" s="403" t="s">
        <v>6958</v>
      </c>
      <c r="C9678" s="402" t="s">
        <v>35</v>
      </c>
      <c r="D9678" s="601">
        <v>429.69</v>
      </c>
    </row>
    <row r="9679" spans="1:4" ht="27">
      <c r="A9679" s="402">
        <v>100860</v>
      </c>
      <c r="B9679" s="403" t="s">
        <v>6959</v>
      </c>
      <c r="C9679" s="402" t="s">
        <v>35</v>
      </c>
      <c r="D9679" s="601">
        <v>71.239999999999995</v>
      </c>
    </row>
    <row r="9680" spans="1:4" ht="27">
      <c r="A9680" s="402">
        <v>100861</v>
      </c>
      <c r="B9680" s="403" t="s">
        <v>6960</v>
      </c>
      <c r="C9680" s="402" t="s">
        <v>35</v>
      </c>
      <c r="D9680" s="601">
        <v>21.72</v>
      </c>
    </row>
    <row r="9681" spans="1:4" ht="27">
      <c r="A9681" s="402">
        <v>100862</v>
      </c>
      <c r="B9681" s="403" t="s">
        <v>6961</v>
      </c>
      <c r="C9681" s="402" t="s">
        <v>35</v>
      </c>
      <c r="D9681" s="601">
        <v>23.71</v>
      </c>
    </row>
    <row r="9682" spans="1:4" ht="27">
      <c r="A9682" s="402">
        <v>100863</v>
      </c>
      <c r="B9682" s="403" t="s">
        <v>6962</v>
      </c>
      <c r="C9682" s="402" t="s">
        <v>35</v>
      </c>
      <c r="D9682" s="601">
        <v>601.78</v>
      </c>
    </row>
    <row r="9683" spans="1:4" ht="27">
      <c r="A9683" s="402">
        <v>100864</v>
      </c>
      <c r="B9683" s="403" t="s">
        <v>6963</v>
      </c>
      <c r="C9683" s="402" t="s">
        <v>35</v>
      </c>
      <c r="D9683" s="601">
        <v>670.59</v>
      </c>
    </row>
    <row r="9684" spans="1:4" ht="27">
      <c r="A9684" s="402">
        <v>100865</v>
      </c>
      <c r="B9684" s="403" t="s">
        <v>6964</v>
      </c>
      <c r="C9684" s="402" t="s">
        <v>35</v>
      </c>
      <c r="D9684" s="601">
        <v>639.04</v>
      </c>
    </row>
    <row r="9685" spans="1:4" ht="27">
      <c r="A9685" s="402">
        <v>100866</v>
      </c>
      <c r="B9685" s="403" t="s">
        <v>6965</v>
      </c>
      <c r="C9685" s="402" t="s">
        <v>35</v>
      </c>
      <c r="D9685" s="601">
        <v>295.66000000000003</v>
      </c>
    </row>
    <row r="9686" spans="1:4" ht="27">
      <c r="A9686" s="402">
        <v>100867</v>
      </c>
      <c r="B9686" s="403" t="s">
        <v>6966</v>
      </c>
      <c r="C9686" s="402" t="s">
        <v>35</v>
      </c>
      <c r="D9686" s="601">
        <v>318.35000000000002</v>
      </c>
    </row>
    <row r="9687" spans="1:4" ht="27">
      <c r="A9687" s="402">
        <v>100868</v>
      </c>
      <c r="B9687" s="403" t="s">
        <v>6967</v>
      </c>
      <c r="C9687" s="402" t="s">
        <v>35</v>
      </c>
      <c r="D9687" s="601">
        <v>333.45</v>
      </c>
    </row>
    <row r="9688" spans="1:4" ht="27">
      <c r="A9688" s="402">
        <v>100869</v>
      </c>
      <c r="B9688" s="403" t="s">
        <v>6968</v>
      </c>
      <c r="C9688" s="402" t="s">
        <v>35</v>
      </c>
      <c r="D9688" s="601">
        <v>345.03</v>
      </c>
    </row>
    <row r="9689" spans="1:4" ht="27">
      <c r="A9689" s="402">
        <v>100870</v>
      </c>
      <c r="B9689" s="403" t="s">
        <v>6969</v>
      </c>
      <c r="C9689" s="402" t="s">
        <v>35</v>
      </c>
      <c r="D9689" s="601">
        <v>190.43</v>
      </c>
    </row>
    <row r="9690" spans="1:4" ht="27">
      <c r="A9690" s="402">
        <v>100871</v>
      </c>
      <c r="B9690" s="403" t="s">
        <v>6970</v>
      </c>
      <c r="C9690" s="402" t="s">
        <v>35</v>
      </c>
      <c r="D9690" s="601">
        <v>205.1</v>
      </c>
    </row>
    <row r="9691" spans="1:4" ht="27">
      <c r="A9691" s="402">
        <v>100872</v>
      </c>
      <c r="B9691" s="403" t="s">
        <v>6971</v>
      </c>
      <c r="C9691" s="402" t="s">
        <v>35</v>
      </c>
      <c r="D9691" s="601">
        <v>214.46</v>
      </c>
    </row>
    <row r="9692" spans="1:4" ht="27">
      <c r="A9692" s="402">
        <v>100873</v>
      </c>
      <c r="B9692" s="403" t="s">
        <v>6972</v>
      </c>
      <c r="C9692" s="402" t="s">
        <v>35</v>
      </c>
      <c r="D9692" s="601">
        <v>220.3</v>
      </c>
    </row>
    <row r="9693" spans="1:4" ht="13.5">
      <c r="A9693" s="402">
        <v>100874</v>
      </c>
      <c r="B9693" s="403" t="s">
        <v>6973</v>
      </c>
      <c r="C9693" s="402" t="s">
        <v>35</v>
      </c>
      <c r="D9693" s="601">
        <v>295.66000000000003</v>
      </c>
    </row>
    <row r="9694" spans="1:4" ht="27">
      <c r="A9694" s="402">
        <v>100875</v>
      </c>
      <c r="B9694" s="403" t="s">
        <v>6974</v>
      </c>
      <c r="C9694" s="402" t="s">
        <v>35</v>
      </c>
      <c r="D9694" s="601">
        <v>1172.8599999999999</v>
      </c>
    </row>
    <row r="9695" spans="1:4" ht="13.5">
      <c r="A9695" s="402">
        <v>6087</v>
      </c>
      <c r="B9695" s="403" t="s">
        <v>89</v>
      </c>
      <c r="C9695" s="402" t="s">
        <v>35</v>
      </c>
      <c r="D9695" s="601">
        <v>23.23</v>
      </c>
    </row>
    <row r="9696" spans="1:4" ht="40.5">
      <c r="A9696" s="402">
        <v>98052</v>
      </c>
      <c r="B9696" s="403" t="s">
        <v>5021</v>
      </c>
      <c r="C9696" s="402" t="s">
        <v>35</v>
      </c>
      <c r="D9696" s="601">
        <v>1217.26</v>
      </c>
    </row>
    <row r="9697" spans="1:4" ht="40.5">
      <c r="A9697" s="402">
        <v>98053</v>
      </c>
      <c r="B9697" s="403" t="s">
        <v>5022</v>
      </c>
      <c r="C9697" s="402" t="s">
        <v>35</v>
      </c>
      <c r="D9697" s="601">
        <v>1804.53</v>
      </c>
    </row>
    <row r="9698" spans="1:4" ht="40.5">
      <c r="A9698" s="402">
        <v>98054</v>
      </c>
      <c r="B9698" s="403" t="s">
        <v>5023</v>
      </c>
      <c r="C9698" s="402" t="s">
        <v>35</v>
      </c>
      <c r="D9698" s="601">
        <v>2689.59</v>
      </c>
    </row>
    <row r="9699" spans="1:4" ht="40.5">
      <c r="A9699" s="402">
        <v>98055</v>
      </c>
      <c r="B9699" s="403" t="s">
        <v>5024</v>
      </c>
      <c r="C9699" s="402" t="s">
        <v>35</v>
      </c>
      <c r="D9699" s="601">
        <v>3564.72</v>
      </c>
    </row>
    <row r="9700" spans="1:4" ht="40.5">
      <c r="A9700" s="402">
        <v>98056</v>
      </c>
      <c r="B9700" s="403" t="s">
        <v>5025</v>
      </c>
      <c r="C9700" s="402" t="s">
        <v>35</v>
      </c>
      <c r="D9700" s="601">
        <v>4138.1000000000004</v>
      </c>
    </row>
    <row r="9701" spans="1:4" ht="40.5">
      <c r="A9701" s="402">
        <v>98057</v>
      </c>
      <c r="B9701" s="403" t="s">
        <v>5026</v>
      </c>
      <c r="C9701" s="402" t="s">
        <v>35</v>
      </c>
      <c r="D9701" s="601">
        <v>5503.34</v>
      </c>
    </row>
    <row r="9702" spans="1:4" ht="40.5">
      <c r="A9702" s="402">
        <v>98066</v>
      </c>
      <c r="B9702" s="403" t="s">
        <v>5027</v>
      </c>
      <c r="C9702" s="402" t="s">
        <v>35</v>
      </c>
      <c r="D9702" s="601">
        <v>3544.62</v>
      </c>
    </row>
    <row r="9703" spans="1:4" ht="40.5">
      <c r="A9703" s="402">
        <v>98067</v>
      </c>
      <c r="B9703" s="403" t="s">
        <v>5028</v>
      </c>
      <c r="C9703" s="402" t="s">
        <v>35</v>
      </c>
      <c r="D9703" s="601">
        <v>4738.53</v>
      </c>
    </row>
    <row r="9704" spans="1:4" ht="40.5">
      <c r="A9704" s="402">
        <v>98068</v>
      </c>
      <c r="B9704" s="403" t="s">
        <v>5029</v>
      </c>
      <c r="C9704" s="402" t="s">
        <v>35</v>
      </c>
      <c r="D9704" s="601">
        <v>6701.94</v>
      </c>
    </row>
    <row r="9705" spans="1:4" ht="40.5">
      <c r="A9705" s="402">
        <v>98069</v>
      </c>
      <c r="B9705" s="403" t="s">
        <v>5030</v>
      </c>
      <c r="C9705" s="402" t="s">
        <v>35</v>
      </c>
      <c r="D9705" s="601">
        <v>8975.3700000000008</v>
      </c>
    </row>
    <row r="9706" spans="1:4" ht="40.5">
      <c r="A9706" s="402">
        <v>98070</v>
      </c>
      <c r="B9706" s="403" t="s">
        <v>5031</v>
      </c>
      <c r="C9706" s="402" t="s">
        <v>35</v>
      </c>
      <c r="D9706" s="601">
        <v>10295.219999999999</v>
      </c>
    </row>
    <row r="9707" spans="1:4" ht="40.5">
      <c r="A9707" s="402">
        <v>98071</v>
      </c>
      <c r="B9707" s="403" t="s">
        <v>5032</v>
      </c>
      <c r="C9707" s="402" t="s">
        <v>35</v>
      </c>
      <c r="D9707" s="601">
        <v>11319.69</v>
      </c>
    </row>
    <row r="9708" spans="1:4" ht="40.5">
      <c r="A9708" s="402">
        <v>98072</v>
      </c>
      <c r="B9708" s="403" t="s">
        <v>5033</v>
      </c>
      <c r="C9708" s="402" t="s">
        <v>35</v>
      </c>
      <c r="D9708" s="601">
        <v>2951.12</v>
      </c>
    </row>
    <row r="9709" spans="1:4" ht="40.5">
      <c r="A9709" s="402">
        <v>98073</v>
      </c>
      <c r="B9709" s="403" t="s">
        <v>5034</v>
      </c>
      <c r="C9709" s="402" t="s">
        <v>35</v>
      </c>
      <c r="D9709" s="601">
        <v>4605.18</v>
      </c>
    </row>
    <row r="9710" spans="1:4" ht="40.5">
      <c r="A9710" s="402">
        <v>98074</v>
      </c>
      <c r="B9710" s="403" t="s">
        <v>5035</v>
      </c>
      <c r="C9710" s="402" t="s">
        <v>35</v>
      </c>
      <c r="D9710" s="601">
        <v>7139.14</v>
      </c>
    </row>
    <row r="9711" spans="1:4" ht="40.5">
      <c r="A9711" s="402">
        <v>98075</v>
      </c>
      <c r="B9711" s="403" t="s">
        <v>5036</v>
      </c>
      <c r="C9711" s="402" t="s">
        <v>35</v>
      </c>
      <c r="D9711" s="601">
        <v>9278.5300000000007</v>
      </c>
    </row>
    <row r="9712" spans="1:4" ht="40.5">
      <c r="A9712" s="402">
        <v>98076</v>
      </c>
      <c r="B9712" s="403" t="s">
        <v>5037</v>
      </c>
      <c r="C9712" s="402" t="s">
        <v>35</v>
      </c>
      <c r="D9712" s="601">
        <v>10684.47</v>
      </c>
    </row>
    <row r="9713" spans="1:4" ht="40.5">
      <c r="A9713" s="402">
        <v>98077</v>
      </c>
      <c r="B9713" s="403" t="s">
        <v>5038</v>
      </c>
      <c r="C9713" s="402" t="s">
        <v>35</v>
      </c>
      <c r="D9713" s="601">
        <v>12575.49</v>
      </c>
    </row>
    <row r="9714" spans="1:4" ht="40.5">
      <c r="A9714" s="402">
        <v>98078</v>
      </c>
      <c r="B9714" s="403" t="s">
        <v>5039</v>
      </c>
      <c r="C9714" s="402" t="s">
        <v>35</v>
      </c>
      <c r="D9714" s="601">
        <v>2988.34</v>
      </c>
    </row>
    <row r="9715" spans="1:4" ht="40.5">
      <c r="A9715" s="402">
        <v>98079</v>
      </c>
      <c r="B9715" s="403" t="s">
        <v>5040</v>
      </c>
      <c r="C9715" s="402" t="s">
        <v>35</v>
      </c>
      <c r="D9715" s="601">
        <v>5236.29</v>
      </c>
    </row>
    <row r="9716" spans="1:4" ht="40.5">
      <c r="A9716" s="402">
        <v>98080</v>
      </c>
      <c r="B9716" s="403" t="s">
        <v>5041</v>
      </c>
      <c r="C9716" s="402" t="s">
        <v>35</v>
      </c>
      <c r="D9716" s="601">
        <v>6733.13</v>
      </c>
    </row>
    <row r="9717" spans="1:4" ht="40.5">
      <c r="A9717" s="402">
        <v>98081</v>
      </c>
      <c r="B9717" s="403" t="s">
        <v>5042</v>
      </c>
      <c r="C9717" s="402" t="s">
        <v>35</v>
      </c>
      <c r="D9717" s="601">
        <v>9974.59</v>
      </c>
    </row>
    <row r="9718" spans="1:4" ht="40.5">
      <c r="A9718" s="402">
        <v>98082</v>
      </c>
      <c r="B9718" s="403" t="s">
        <v>5043</v>
      </c>
      <c r="C9718" s="402" t="s">
        <v>35</v>
      </c>
      <c r="D9718" s="601">
        <v>2777.75</v>
      </c>
    </row>
    <row r="9719" spans="1:4" ht="40.5">
      <c r="A9719" s="402">
        <v>98083</v>
      </c>
      <c r="B9719" s="403" t="s">
        <v>5044</v>
      </c>
      <c r="C9719" s="402" t="s">
        <v>35</v>
      </c>
      <c r="D9719" s="601">
        <v>3675.88</v>
      </c>
    </row>
    <row r="9720" spans="1:4" ht="40.5">
      <c r="A9720" s="402">
        <v>98084</v>
      </c>
      <c r="B9720" s="403" t="s">
        <v>5045</v>
      </c>
      <c r="C9720" s="402" t="s">
        <v>35</v>
      </c>
      <c r="D9720" s="601">
        <v>5165.63</v>
      </c>
    </row>
    <row r="9721" spans="1:4" ht="40.5">
      <c r="A9721" s="402">
        <v>98085</v>
      </c>
      <c r="B9721" s="403" t="s">
        <v>5046</v>
      </c>
      <c r="C9721" s="402" t="s">
        <v>35</v>
      </c>
      <c r="D9721" s="601">
        <v>6986.28</v>
      </c>
    </row>
    <row r="9722" spans="1:4" ht="40.5">
      <c r="A9722" s="402">
        <v>98086</v>
      </c>
      <c r="B9722" s="403" t="s">
        <v>5047</v>
      </c>
      <c r="C9722" s="402" t="s">
        <v>35</v>
      </c>
      <c r="D9722" s="601">
        <v>7914.87</v>
      </c>
    </row>
    <row r="9723" spans="1:4" ht="40.5">
      <c r="A9723" s="402">
        <v>98087</v>
      </c>
      <c r="B9723" s="403" t="s">
        <v>5048</v>
      </c>
      <c r="C9723" s="402" t="s">
        <v>35</v>
      </c>
      <c r="D9723" s="601">
        <v>8505.73</v>
      </c>
    </row>
    <row r="9724" spans="1:4" ht="40.5">
      <c r="A9724" s="402">
        <v>98088</v>
      </c>
      <c r="B9724" s="403" t="s">
        <v>5049</v>
      </c>
      <c r="C9724" s="402" t="s">
        <v>35</v>
      </c>
      <c r="D9724" s="601">
        <v>2371.39</v>
      </c>
    </row>
    <row r="9725" spans="1:4" ht="40.5">
      <c r="A9725" s="402">
        <v>98089</v>
      </c>
      <c r="B9725" s="403" t="s">
        <v>5050</v>
      </c>
      <c r="C9725" s="402" t="s">
        <v>35</v>
      </c>
      <c r="D9725" s="601">
        <v>3745.32</v>
      </c>
    </row>
    <row r="9726" spans="1:4" ht="40.5">
      <c r="A9726" s="402">
        <v>98090</v>
      </c>
      <c r="B9726" s="403" t="s">
        <v>5051</v>
      </c>
      <c r="C9726" s="402" t="s">
        <v>35</v>
      </c>
      <c r="D9726" s="601">
        <v>5877.78</v>
      </c>
    </row>
    <row r="9727" spans="1:4" ht="40.5">
      <c r="A9727" s="402">
        <v>98091</v>
      </c>
      <c r="B9727" s="403" t="s">
        <v>5052</v>
      </c>
      <c r="C9727" s="402" t="s">
        <v>35</v>
      </c>
      <c r="D9727" s="601">
        <v>7600.84</v>
      </c>
    </row>
    <row r="9728" spans="1:4" ht="40.5">
      <c r="A9728" s="402">
        <v>98092</v>
      </c>
      <c r="B9728" s="403" t="s">
        <v>5053</v>
      </c>
      <c r="C9728" s="402" t="s">
        <v>35</v>
      </c>
      <c r="D9728" s="601">
        <v>8907.34</v>
      </c>
    </row>
    <row r="9729" spans="1:4" ht="40.5">
      <c r="A9729" s="402">
        <v>98093</v>
      </c>
      <c r="B9729" s="403" t="s">
        <v>5054</v>
      </c>
      <c r="C9729" s="402" t="s">
        <v>35</v>
      </c>
      <c r="D9729" s="601">
        <v>10512.82</v>
      </c>
    </row>
    <row r="9730" spans="1:4" ht="40.5">
      <c r="A9730" s="402">
        <v>98094</v>
      </c>
      <c r="B9730" s="403" t="s">
        <v>5055</v>
      </c>
      <c r="C9730" s="402" t="s">
        <v>35</v>
      </c>
      <c r="D9730" s="601">
        <v>2011.09</v>
      </c>
    </row>
    <row r="9731" spans="1:4" ht="40.5">
      <c r="A9731" s="402">
        <v>98099</v>
      </c>
      <c r="B9731" s="403" t="s">
        <v>5056</v>
      </c>
      <c r="C9731" s="402" t="s">
        <v>35</v>
      </c>
      <c r="D9731" s="601">
        <v>3453.04</v>
      </c>
    </row>
    <row r="9732" spans="1:4" ht="40.5">
      <c r="A9732" s="402">
        <v>98100</v>
      </c>
      <c r="B9732" s="403" t="s">
        <v>5057</v>
      </c>
      <c r="C9732" s="402" t="s">
        <v>35</v>
      </c>
      <c r="D9732" s="601">
        <v>4502.1099999999997</v>
      </c>
    </row>
    <row r="9733" spans="1:4" ht="40.5">
      <c r="A9733" s="402">
        <v>98101</v>
      </c>
      <c r="B9733" s="403" t="s">
        <v>5058</v>
      </c>
      <c r="C9733" s="402" t="s">
        <v>35</v>
      </c>
      <c r="D9733" s="601">
        <v>6656.38</v>
      </c>
    </row>
    <row r="9734" spans="1:4" ht="40.5">
      <c r="A9734" s="402">
        <v>98109</v>
      </c>
      <c r="B9734" s="403" t="s">
        <v>5059</v>
      </c>
      <c r="C9734" s="402" t="s">
        <v>35</v>
      </c>
      <c r="D9734" s="601">
        <v>582.17999999999995</v>
      </c>
    </row>
    <row r="9735" spans="1:4" ht="27">
      <c r="A9735" s="402">
        <v>98110</v>
      </c>
      <c r="B9735" s="403" t="s">
        <v>5060</v>
      </c>
      <c r="C9735" s="402" t="s">
        <v>35</v>
      </c>
      <c r="D9735" s="601">
        <v>380.35</v>
      </c>
    </row>
    <row r="9736" spans="1:4" ht="27">
      <c r="A9736" s="402">
        <v>98111</v>
      </c>
      <c r="B9736" s="403" t="s">
        <v>5061</v>
      </c>
      <c r="C9736" s="402" t="s">
        <v>35</v>
      </c>
      <c r="D9736" s="601">
        <v>19.45</v>
      </c>
    </row>
    <row r="9737" spans="1:4" ht="27">
      <c r="A9737" s="402">
        <v>98114</v>
      </c>
      <c r="B9737" s="403" t="s">
        <v>5062</v>
      </c>
      <c r="C9737" s="402" t="s">
        <v>35</v>
      </c>
      <c r="D9737" s="601">
        <v>459.81</v>
      </c>
    </row>
    <row r="9738" spans="1:4" ht="27">
      <c r="A9738" s="402">
        <v>98115</v>
      </c>
      <c r="B9738" s="403" t="s">
        <v>5063</v>
      </c>
      <c r="C9738" s="402" t="s">
        <v>35</v>
      </c>
      <c r="D9738" s="601">
        <v>83.39</v>
      </c>
    </row>
    <row r="9739" spans="1:4" ht="40.5">
      <c r="A9739" s="402">
        <v>89957</v>
      </c>
      <c r="B9739" s="403" t="s">
        <v>2119</v>
      </c>
      <c r="C9739" s="402" t="s">
        <v>35</v>
      </c>
      <c r="D9739" s="601">
        <v>97.4</v>
      </c>
    </row>
    <row r="9740" spans="1:4" ht="40.5">
      <c r="A9740" s="402">
        <v>89959</v>
      </c>
      <c r="B9740" s="403" t="s">
        <v>2120</v>
      </c>
      <c r="C9740" s="402" t="s">
        <v>35</v>
      </c>
      <c r="D9740" s="601">
        <v>187.51</v>
      </c>
    </row>
    <row r="9741" spans="1:4" ht="27">
      <c r="A9741" s="402">
        <v>89349</v>
      </c>
      <c r="B9741" s="403" t="s">
        <v>1721</v>
      </c>
      <c r="C9741" s="402" t="s">
        <v>35</v>
      </c>
      <c r="D9741" s="601">
        <v>20</v>
      </c>
    </row>
    <row r="9742" spans="1:4" ht="27">
      <c r="A9742" s="402">
        <v>89351</v>
      </c>
      <c r="B9742" s="403" t="s">
        <v>5699</v>
      </c>
      <c r="C9742" s="402" t="s">
        <v>35</v>
      </c>
      <c r="D9742" s="601">
        <v>22.62</v>
      </c>
    </row>
    <row r="9743" spans="1:4" ht="27">
      <c r="A9743" s="402">
        <v>89352</v>
      </c>
      <c r="B9743" s="403" t="s">
        <v>352</v>
      </c>
      <c r="C9743" s="402" t="s">
        <v>35</v>
      </c>
      <c r="D9743" s="601">
        <v>25.55</v>
      </c>
    </row>
    <row r="9744" spans="1:4" ht="27">
      <c r="A9744" s="402">
        <v>89353</v>
      </c>
      <c r="B9744" s="403" t="s">
        <v>353</v>
      </c>
      <c r="C9744" s="402" t="s">
        <v>35</v>
      </c>
      <c r="D9744" s="601">
        <v>26.59</v>
      </c>
    </row>
    <row r="9745" spans="1:4" ht="27">
      <c r="A9745" s="402">
        <v>89354</v>
      </c>
      <c r="B9745" s="403" t="s">
        <v>354</v>
      </c>
      <c r="C9745" s="402" t="s">
        <v>35</v>
      </c>
      <c r="D9745" s="601">
        <v>241.15</v>
      </c>
    </row>
    <row r="9746" spans="1:4" ht="27">
      <c r="A9746" s="402">
        <v>89969</v>
      </c>
      <c r="B9746" s="403" t="s">
        <v>2121</v>
      </c>
      <c r="C9746" s="402" t="s">
        <v>35</v>
      </c>
      <c r="D9746" s="601">
        <v>30.67</v>
      </c>
    </row>
    <row r="9747" spans="1:4" ht="27">
      <c r="A9747" s="402">
        <v>89970</v>
      </c>
      <c r="B9747" s="403" t="s">
        <v>2122</v>
      </c>
      <c r="C9747" s="402" t="s">
        <v>35</v>
      </c>
      <c r="D9747" s="601">
        <v>33.200000000000003</v>
      </c>
    </row>
    <row r="9748" spans="1:4" ht="27">
      <c r="A9748" s="402">
        <v>89971</v>
      </c>
      <c r="B9748" s="403" t="s">
        <v>2123</v>
      </c>
      <c r="C9748" s="402" t="s">
        <v>35</v>
      </c>
      <c r="D9748" s="601">
        <v>33.97</v>
      </c>
    </row>
    <row r="9749" spans="1:4" ht="27">
      <c r="A9749" s="402">
        <v>89972</v>
      </c>
      <c r="B9749" s="403" t="s">
        <v>2124</v>
      </c>
      <c r="C9749" s="402" t="s">
        <v>35</v>
      </c>
      <c r="D9749" s="601">
        <v>36.61</v>
      </c>
    </row>
    <row r="9750" spans="1:4" ht="40.5">
      <c r="A9750" s="402">
        <v>89973</v>
      </c>
      <c r="B9750" s="403" t="s">
        <v>2125</v>
      </c>
      <c r="C9750" s="402" t="s">
        <v>35</v>
      </c>
      <c r="D9750" s="601">
        <v>442.25</v>
      </c>
    </row>
    <row r="9751" spans="1:4" ht="27">
      <c r="A9751" s="402">
        <v>89974</v>
      </c>
      <c r="B9751" s="403" t="s">
        <v>2126</v>
      </c>
      <c r="C9751" s="402" t="s">
        <v>35</v>
      </c>
      <c r="D9751" s="601">
        <v>263.89999999999998</v>
      </c>
    </row>
    <row r="9752" spans="1:4" ht="27">
      <c r="A9752" s="402">
        <v>89984</v>
      </c>
      <c r="B9752" s="403" t="s">
        <v>2132</v>
      </c>
      <c r="C9752" s="402" t="s">
        <v>35</v>
      </c>
      <c r="D9752" s="601">
        <v>53.42</v>
      </c>
    </row>
    <row r="9753" spans="1:4" ht="27">
      <c r="A9753" s="402">
        <v>89985</v>
      </c>
      <c r="B9753" s="403" t="s">
        <v>2133</v>
      </c>
      <c r="C9753" s="402" t="s">
        <v>35</v>
      </c>
      <c r="D9753" s="601">
        <v>54.92</v>
      </c>
    </row>
    <row r="9754" spans="1:4" ht="27">
      <c r="A9754" s="402">
        <v>89986</v>
      </c>
      <c r="B9754" s="403" t="s">
        <v>2134</v>
      </c>
      <c r="C9754" s="402" t="s">
        <v>35</v>
      </c>
      <c r="D9754" s="601">
        <v>52.14</v>
      </c>
    </row>
    <row r="9755" spans="1:4" ht="27">
      <c r="A9755" s="402">
        <v>89987</v>
      </c>
      <c r="B9755" s="403" t="s">
        <v>2135</v>
      </c>
      <c r="C9755" s="402" t="s">
        <v>35</v>
      </c>
      <c r="D9755" s="601">
        <v>57.71</v>
      </c>
    </row>
    <row r="9756" spans="1:4" ht="27">
      <c r="A9756" s="402">
        <v>90371</v>
      </c>
      <c r="B9756" s="403" t="s">
        <v>2171</v>
      </c>
      <c r="C9756" s="402" t="s">
        <v>35</v>
      </c>
      <c r="D9756" s="601">
        <v>16.02</v>
      </c>
    </row>
    <row r="9757" spans="1:4" ht="40.5">
      <c r="A9757" s="402">
        <v>94489</v>
      </c>
      <c r="B9757" s="403" t="s">
        <v>3394</v>
      </c>
      <c r="C9757" s="402" t="s">
        <v>35</v>
      </c>
      <c r="D9757" s="601">
        <v>13.83</v>
      </c>
    </row>
    <row r="9758" spans="1:4" ht="40.5">
      <c r="A9758" s="402">
        <v>94490</v>
      </c>
      <c r="B9758" s="403" t="s">
        <v>3395</v>
      </c>
      <c r="C9758" s="402" t="s">
        <v>35</v>
      </c>
      <c r="D9758" s="601">
        <v>22.86</v>
      </c>
    </row>
    <row r="9759" spans="1:4" ht="40.5">
      <c r="A9759" s="402">
        <v>94491</v>
      </c>
      <c r="B9759" s="403" t="s">
        <v>3396</v>
      </c>
      <c r="C9759" s="402" t="s">
        <v>35</v>
      </c>
      <c r="D9759" s="601">
        <v>32.29</v>
      </c>
    </row>
    <row r="9760" spans="1:4" ht="40.5">
      <c r="A9760" s="402">
        <v>94492</v>
      </c>
      <c r="B9760" s="403" t="s">
        <v>3397</v>
      </c>
      <c r="C9760" s="402" t="s">
        <v>35</v>
      </c>
      <c r="D9760" s="601">
        <v>32.96</v>
      </c>
    </row>
    <row r="9761" spans="1:4" ht="40.5">
      <c r="A9761" s="402">
        <v>94493</v>
      </c>
      <c r="B9761" s="403" t="s">
        <v>3398</v>
      </c>
      <c r="C9761" s="402" t="s">
        <v>35</v>
      </c>
      <c r="D9761" s="601">
        <v>60.63</v>
      </c>
    </row>
    <row r="9762" spans="1:4" ht="40.5">
      <c r="A9762" s="402">
        <v>94494</v>
      </c>
      <c r="B9762" s="403" t="s">
        <v>3399</v>
      </c>
      <c r="C9762" s="402" t="s">
        <v>35</v>
      </c>
      <c r="D9762" s="601">
        <v>44.73</v>
      </c>
    </row>
    <row r="9763" spans="1:4" ht="40.5">
      <c r="A9763" s="402">
        <v>94495</v>
      </c>
      <c r="B9763" s="403" t="s">
        <v>3400</v>
      </c>
      <c r="C9763" s="402" t="s">
        <v>35</v>
      </c>
      <c r="D9763" s="601">
        <v>56.35</v>
      </c>
    </row>
    <row r="9764" spans="1:4" ht="40.5">
      <c r="A9764" s="402">
        <v>94496</v>
      </c>
      <c r="B9764" s="403" t="s">
        <v>3401</v>
      </c>
      <c r="C9764" s="402" t="s">
        <v>35</v>
      </c>
      <c r="D9764" s="601">
        <v>68.45</v>
      </c>
    </row>
    <row r="9765" spans="1:4" ht="40.5">
      <c r="A9765" s="402">
        <v>94497</v>
      </c>
      <c r="B9765" s="403" t="s">
        <v>3402</v>
      </c>
      <c r="C9765" s="402" t="s">
        <v>35</v>
      </c>
      <c r="D9765" s="601">
        <v>79.8</v>
      </c>
    </row>
    <row r="9766" spans="1:4" ht="40.5">
      <c r="A9766" s="402">
        <v>94498</v>
      </c>
      <c r="B9766" s="403" t="s">
        <v>3403</v>
      </c>
      <c r="C9766" s="402" t="s">
        <v>35</v>
      </c>
      <c r="D9766" s="601">
        <v>102.43</v>
      </c>
    </row>
    <row r="9767" spans="1:4" ht="40.5">
      <c r="A9767" s="402">
        <v>94499</v>
      </c>
      <c r="B9767" s="403" t="s">
        <v>3404</v>
      </c>
      <c r="C9767" s="402" t="s">
        <v>35</v>
      </c>
      <c r="D9767" s="601">
        <v>184.02</v>
      </c>
    </row>
    <row r="9768" spans="1:4" ht="40.5">
      <c r="A9768" s="402">
        <v>94500</v>
      </c>
      <c r="B9768" s="403" t="s">
        <v>3405</v>
      </c>
      <c r="C9768" s="402" t="s">
        <v>35</v>
      </c>
      <c r="D9768" s="601">
        <v>218.42</v>
      </c>
    </row>
    <row r="9769" spans="1:4" ht="40.5">
      <c r="A9769" s="402">
        <v>94501</v>
      </c>
      <c r="B9769" s="403" t="s">
        <v>3406</v>
      </c>
      <c r="C9769" s="402" t="s">
        <v>35</v>
      </c>
      <c r="D9769" s="601">
        <v>425.15</v>
      </c>
    </row>
    <row r="9770" spans="1:4" ht="40.5">
      <c r="A9770" s="402">
        <v>94792</v>
      </c>
      <c r="B9770" s="403" t="s">
        <v>3513</v>
      </c>
      <c r="C9770" s="402" t="s">
        <v>35</v>
      </c>
      <c r="D9770" s="601">
        <v>84.63</v>
      </c>
    </row>
    <row r="9771" spans="1:4" ht="40.5">
      <c r="A9771" s="402">
        <v>94793</v>
      </c>
      <c r="B9771" s="403" t="s">
        <v>3514</v>
      </c>
      <c r="C9771" s="402" t="s">
        <v>35</v>
      </c>
      <c r="D9771" s="601">
        <v>108.64</v>
      </c>
    </row>
    <row r="9772" spans="1:4" ht="40.5">
      <c r="A9772" s="402">
        <v>94794</v>
      </c>
      <c r="B9772" s="403" t="s">
        <v>3515</v>
      </c>
      <c r="C9772" s="402" t="s">
        <v>35</v>
      </c>
      <c r="D9772" s="601">
        <v>112.47</v>
      </c>
    </row>
    <row r="9773" spans="1:4" ht="27">
      <c r="A9773" s="402">
        <v>94795</v>
      </c>
      <c r="B9773" s="403" t="s">
        <v>5700</v>
      </c>
      <c r="C9773" s="402" t="s">
        <v>35</v>
      </c>
      <c r="D9773" s="601">
        <v>22.08</v>
      </c>
    </row>
    <row r="9774" spans="1:4" ht="27">
      <c r="A9774" s="402">
        <v>94796</v>
      </c>
      <c r="B9774" s="403" t="s">
        <v>5701</v>
      </c>
      <c r="C9774" s="402" t="s">
        <v>35</v>
      </c>
      <c r="D9774" s="601">
        <v>25.69</v>
      </c>
    </row>
    <row r="9775" spans="1:4" ht="27">
      <c r="A9775" s="402">
        <v>94797</v>
      </c>
      <c r="B9775" s="403" t="s">
        <v>5702</v>
      </c>
      <c r="C9775" s="402" t="s">
        <v>35</v>
      </c>
      <c r="D9775" s="601">
        <v>39.11</v>
      </c>
    </row>
    <row r="9776" spans="1:4" ht="27">
      <c r="A9776" s="402">
        <v>94798</v>
      </c>
      <c r="B9776" s="403" t="s">
        <v>5703</v>
      </c>
      <c r="C9776" s="402" t="s">
        <v>35</v>
      </c>
      <c r="D9776" s="601">
        <v>84.94</v>
      </c>
    </row>
    <row r="9777" spans="1:4" ht="27">
      <c r="A9777" s="402">
        <v>94799</v>
      </c>
      <c r="B9777" s="403" t="s">
        <v>5704</v>
      </c>
      <c r="C9777" s="402" t="s">
        <v>35</v>
      </c>
      <c r="D9777" s="601">
        <v>82.38</v>
      </c>
    </row>
    <row r="9778" spans="1:4" ht="27">
      <c r="A9778" s="402">
        <v>94800</v>
      </c>
      <c r="B9778" s="403" t="s">
        <v>5705</v>
      </c>
      <c r="C9778" s="402" t="s">
        <v>35</v>
      </c>
      <c r="D9778" s="601">
        <v>140.37</v>
      </c>
    </row>
    <row r="9779" spans="1:4" ht="40.5">
      <c r="A9779" s="402">
        <v>95248</v>
      </c>
      <c r="B9779" s="403" t="s">
        <v>3595</v>
      </c>
      <c r="C9779" s="402" t="s">
        <v>35</v>
      </c>
      <c r="D9779" s="601">
        <v>53.19</v>
      </c>
    </row>
    <row r="9780" spans="1:4" ht="40.5">
      <c r="A9780" s="402">
        <v>95249</v>
      </c>
      <c r="B9780" s="403" t="s">
        <v>3596</v>
      </c>
      <c r="C9780" s="402" t="s">
        <v>35</v>
      </c>
      <c r="D9780" s="601">
        <v>57.59</v>
      </c>
    </row>
    <row r="9781" spans="1:4" ht="40.5">
      <c r="A9781" s="402">
        <v>95250</v>
      </c>
      <c r="B9781" s="403" t="s">
        <v>3597</v>
      </c>
      <c r="C9781" s="402" t="s">
        <v>35</v>
      </c>
      <c r="D9781" s="601">
        <v>69.13</v>
      </c>
    </row>
    <row r="9782" spans="1:4" ht="40.5">
      <c r="A9782" s="402">
        <v>95251</v>
      </c>
      <c r="B9782" s="403" t="s">
        <v>3598</v>
      </c>
      <c r="C9782" s="402" t="s">
        <v>35</v>
      </c>
      <c r="D9782" s="601">
        <v>91.54</v>
      </c>
    </row>
    <row r="9783" spans="1:4" ht="40.5">
      <c r="A9783" s="402">
        <v>95252</v>
      </c>
      <c r="B9783" s="403" t="s">
        <v>3599</v>
      </c>
      <c r="C9783" s="402" t="s">
        <v>35</v>
      </c>
      <c r="D9783" s="601">
        <v>105.14</v>
      </c>
    </row>
    <row r="9784" spans="1:4" ht="40.5">
      <c r="A9784" s="402">
        <v>95253</v>
      </c>
      <c r="B9784" s="403" t="s">
        <v>3600</v>
      </c>
      <c r="C9784" s="402" t="s">
        <v>35</v>
      </c>
      <c r="D9784" s="601">
        <v>149.63999999999999</v>
      </c>
    </row>
    <row r="9785" spans="1:4" ht="27">
      <c r="A9785" s="402">
        <v>99619</v>
      </c>
      <c r="B9785" s="403" t="s">
        <v>5706</v>
      </c>
      <c r="C9785" s="402" t="s">
        <v>35</v>
      </c>
      <c r="D9785" s="601">
        <v>59.44</v>
      </c>
    </row>
    <row r="9786" spans="1:4" ht="27">
      <c r="A9786" s="402">
        <v>99620</v>
      </c>
      <c r="B9786" s="403" t="s">
        <v>5707</v>
      </c>
      <c r="C9786" s="402" t="s">
        <v>35</v>
      </c>
      <c r="D9786" s="601">
        <v>96.6</v>
      </c>
    </row>
    <row r="9787" spans="1:4" ht="27">
      <c r="A9787" s="402">
        <v>99621</v>
      </c>
      <c r="B9787" s="403" t="s">
        <v>5708</v>
      </c>
      <c r="C9787" s="402" t="s">
        <v>35</v>
      </c>
      <c r="D9787" s="601">
        <v>132.96</v>
      </c>
    </row>
    <row r="9788" spans="1:4" ht="27">
      <c r="A9788" s="402">
        <v>99622</v>
      </c>
      <c r="B9788" s="403" t="s">
        <v>5709</v>
      </c>
      <c r="C9788" s="402" t="s">
        <v>35</v>
      </c>
      <c r="D9788" s="601">
        <v>145.62</v>
      </c>
    </row>
    <row r="9789" spans="1:4" ht="27">
      <c r="A9789" s="402">
        <v>99623</v>
      </c>
      <c r="B9789" s="403" t="s">
        <v>5710</v>
      </c>
      <c r="C9789" s="402" t="s">
        <v>35</v>
      </c>
      <c r="D9789" s="601">
        <v>195.09</v>
      </c>
    </row>
    <row r="9790" spans="1:4" ht="27">
      <c r="A9790" s="402">
        <v>99624</v>
      </c>
      <c r="B9790" s="403" t="s">
        <v>5711</v>
      </c>
      <c r="C9790" s="402" t="s">
        <v>35</v>
      </c>
      <c r="D9790" s="601">
        <v>267.61</v>
      </c>
    </row>
    <row r="9791" spans="1:4" ht="27">
      <c r="A9791" s="402">
        <v>99625</v>
      </c>
      <c r="B9791" s="403" t="s">
        <v>5712</v>
      </c>
      <c r="C9791" s="402" t="s">
        <v>35</v>
      </c>
      <c r="D9791" s="601">
        <v>360.75</v>
      </c>
    </row>
    <row r="9792" spans="1:4" ht="27">
      <c r="A9792" s="402">
        <v>99626</v>
      </c>
      <c r="B9792" s="403" t="s">
        <v>5713</v>
      </c>
      <c r="C9792" s="402" t="s">
        <v>35</v>
      </c>
      <c r="D9792" s="601">
        <v>544.28</v>
      </c>
    </row>
    <row r="9793" spans="1:4" ht="27">
      <c r="A9793" s="402">
        <v>99627</v>
      </c>
      <c r="B9793" s="403" t="s">
        <v>5714</v>
      </c>
      <c r="C9793" s="402" t="s">
        <v>35</v>
      </c>
      <c r="D9793" s="601">
        <v>57.05</v>
      </c>
    </row>
    <row r="9794" spans="1:4" ht="27">
      <c r="A9794" s="402">
        <v>99628</v>
      </c>
      <c r="B9794" s="403" t="s">
        <v>5715</v>
      </c>
      <c r="C9794" s="402" t="s">
        <v>35</v>
      </c>
      <c r="D9794" s="601">
        <v>40.44</v>
      </c>
    </row>
    <row r="9795" spans="1:4" ht="27">
      <c r="A9795" s="402">
        <v>99629</v>
      </c>
      <c r="B9795" s="403" t="s">
        <v>5716</v>
      </c>
      <c r="C9795" s="402" t="s">
        <v>35</v>
      </c>
      <c r="D9795" s="601">
        <v>61.72</v>
      </c>
    </row>
    <row r="9796" spans="1:4" ht="27">
      <c r="A9796" s="402">
        <v>99630</v>
      </c>
      <c r="B9796" s="403" t="s">
        <v>5717</v>
      </c>
      <c r="C9796" s="402" t="s">
        <v>35</v>
      </c>
      <c r="D9796" s="601">
        <v>80.87</v>
      </c>
    </row>
    <row r="9797" spans="1:4" ht="27">
      <c r="A9797" s="402">
        <v>99631</v>
      </c>
      <c r="B9797" s="403" t="s">
        <v>5718</v>
      </c>
      <c r="C9797" s="402" t="s">
        <v>35</v>
      </c>
      <c r="D9797" s="601">
        <v>89.33</v>
      </c>
    </row>
    <row r="9798" spans="1:4" ht="27">
      <c r="A9798" s="402">
        <v>99632</v>
      </c>
      <c r="B9798" s="403" t="s">
        <v>5719</v>
      </c>
      <c r="C9798" s="402" t="s">
        <v>35</v>
      </c>
      <c r="D9798" s="601">
        <v>119.82</v>
      </c>
    </row>
    <row r="9799" spans="1:4" ht="27">
      <c r="A9799" s="402">
        <v>99633</v>
      </c>
      <c r="B9799" s="403" t="s">
        <v>5720</v>
      </c>
      <c r="C9799" s="402" t="s">
        <v>35</v>
      </c>
      <c r="D9799" s="601">
        <v>231.96</v>
      </c>
    </row>
    <row r="9800" spans="1:4" ht="27">
      <c r="A9800" s="402">
        <v>99634</v>
      </c>
      <c r="B9800" s="403" t="s">
        <v>5721</v>
      </c>
      <c r="C9800" s="402" t="s">
        <v>35</v>
      </c>
      <c r="D9800" s="601">
        <v>382.25</v>
      </c>
    </row>
    <row r="9801" spans="1:4" ht="27">
      <c r="A9801" s="402">
        <v>99635</v>
      </c>
      <c r="B9801" s="403" t="s">
        <v>5722</v>
      </c>
      <c r="C9801" s="402" t="s">
        <v>35</v>
      </c>
      <c r="D9801" s="601">
        <v>185.31</v>
      </c>
    </row>
    <row r="9802" spans="1:4" ht="27">
      <c r="A9802" s="402">
        <v>95634</v>
      </c>
      <c r="B9802" s="403" t="s">
        <v>5723</v>
      </c>
      <c r="C9802" s="402" t="s">
        <v>35</v>
      </c>
      <c r="D9802" s="601">
        <v>116.45</v>
      </c>
    </row>
    <row r="9803" spans="1:4" ht="27">
      <c r="A9803" s="402">
        <v>95635</v>
      </c>
      <c r="B9803" s="403" t="s">
        <v>5724</v>
      </c>
      <c r="C9803" s="402" t="s">
        <v>35</v>
      </c>
      <c r="D9803" s="601">
        <v>126.27</v>
      </c>
    </row>
    <row r="9804" spans="1:4" ht="27">
      <c r="A9804" s="402">
        <v>95637</v>
      </c>
      <c r="B9804" s="403" t="s">
        <v>3778</v>
      </c>
      <c r="C9804" s="402" t="s">
        <v>35</v>
      </c>
      <c r="D9804" s="601">
        <v>338.2</v>
      </c>
    </row>
    <row r="9805" spans="1:4" ht="27">
      <c r="A9805" s="402">
        <v>95638</v>
      </c>
      <c r="B9805" s="403" t="s">
        <v>3779</v>
      </c>
      <c r="C9805" s="402" t="s">
        <v>35</v>
      </c>
      <c r="D9805" s="601">
        <v>408.56</v>
      </c>
    </row>
    <row r="9806" spans="1:4" ht="27">
      <c r="A9806" s="402">
        <v>95639</v>
      </c>
      <c r="B9806" s="403" t="s">
        <v>3780</v>
      </c>
      <c r="C9806" s="402" t="s">
        <v>35</v>
      </c>
      <c r="D9806" s="601">
        <v>512.79</v>
      </c>
    </row>
    <row r="9807" spans="1:4" ht="40.5">
      <c r="A9807" s="402">
        <v>95641</v>
      </c>
      <c r="B9807" s="403" t="s">
        <v>3781</v>
      </c>
      <c r="C9807" s="402" t="s">
        <v>35</v>
      </c>
      <c r="D9807" s="601">
        <v>212.48</v>
      </c>
    </row>
    <row r="9808" spans="1:4" ht="40.5">
      <c r="A9808" s="402">
        <v>95642</v>
      </c>
      <c r="B9808" s="403" t="s">
        <v>3782</v>
      </c>
      <c r="C9808" s="402" t="s">
        <v>35</v>
      </c>
      <c r="D9808" s="601">
        <v>313.97000000000003</v>
      </c>
    </row>
    <row r="9809" spans="1:4" ht="40.5">
      <c r="A9809" s="402">
        <v>95643</v>
      </c>
      <c r="B9809" s="403" t="s">
        <v>3783</v>
      </c>
      <c r="C9809" s="402" t="s">
        <v>35</v>
      </c>
      <c r="D9809" s="601">
        <v>411.07</v>
      </c>
    </row>
    <row r="9810" spans="1:4" ht="40.5">
      <c r="A9810" s="402">
        <v>95644</v>
      </c>
      <c r="B9810" s="403" t="s">
        <v>3784</v>
      </c>
      <c r="C9810" s="402" t="s">
        <v>35</v>
      </c>
      <c r="D9810" s="601">
        <v>153.24</v>
      </c>
    </row>
    <row r="9811" spans="1:4" ht="40.5">
      <c r="A9811" s="402">
        <v>95645</v>
      </c>
      <c r="B9811" s="403" t="s">
        <v>3785</v>
      </c>
      <c r="C9811" s="402" t="s">
        <v>35</v>
      </c>
      <c r="D9811" s="601">
        <v>281.26</v>
      </c>
    </row>
    <row r="9812" spans="1:4" ht="40.5">
      <c r="A9812" s="402">
        <v>95646</v>
      </c>
      <c r="B9812" s="403" t="s">
        <v>3786</v>
      </c>
      <c r="C9812" s="402" t="s">
        <v>35</v>
      </c>
      <c r="D9812" s="601">
        <v>418.87</v>
      </c>
    </row>
    <row r="9813" spans="1:4" ht="40.5">
      <c r="A9813" s="402">
        <v>95647</v>
      </c>
      <c r="B9813" s="403" t="s">
        <v>3787</v>
      </c>
      <c r="C9813" s="402" t="s">
        <v>35</v>
      </c>
      <c r="D9813" s="601">
        <v>549.55999999999995</v>
      </c>
    </row>
    <row r="9814" spans="1:4" ht="13.5">
      <c r="A9814" s="402">
        <v>95673</v>
      </c>
      <c r="B9814" s="403" t="s">
        <v>3788</v>
      </c>
      <c r="C9814" s="402" t="s">
        <v>35</v>
      </c>
      <c r="D9814" s="601">
        <v>95.61</v>
      </c>
    </row>
    <row r="9815" spans="1:4" ht="13.5">
      <c r="A9815" s="402">
        <v>95674</v>
      </c>
      <c r="B9815" s="403" t="s">
        <v>3789</v>
      </c>
      <c r="C9815" s="402" t="s">
        <v>35</v>
      </c>
      <c r="D9815" s="601">
        <v>101.56</v>
      </c>
    </row>
    <row r="9816" spans="1:4" ht="13.5">
      <c r="A9816" s="402">
        <v>95675</v>
      </c>
      <c r="B9816" s="403" t="s">
        <v>750</v>
      </c>
      <c r="C9816" s="402" t="s">
        <v>35</v>
      </c>
      <c r="D9816" s="601">
        <v>124.13</v>
      </c>
    </row>
    <row r="9817" spans="1:4" ht="27">
      <c r="A9817" s="402">
        <v>95676</v>
      </c>
      <c r="B9817" s="403" t="s">
        <v>3790</v>
      </c>
      <c r="C9817" s="402" t="s">
        <v>35</v>
      </c>
      <c r="D9817" s="601">
        <v>85.45</v>
      </c>
    </row>
    <row r="9818" spans="1:4" ht="40.5">
      <c r="A9818" s="402">
        <v>97741</v>
      </c>
      <c r="B9818" s="403" t="s">
        <v>4662</v>
      </c>
      <c r="C9818" s="402" t="s">
        <v>35</v>
      </c>
      <c r="D9818" s="601">
        <v>118.51</v>
      </c>
    </row>
    <row r="9819" spans="1:4" ht="13.5">
      <c r="A9819" s="402">
        <v>72285</v>
      </c>
      <c r="B9819" s="403" t="s">
        <v>115</v>
      </c>
      <c r="C9819" s="402" t="s">
        <v>35</v>
      </c>
      <c r="D9819" s="601">
        <v>77.680000000000007</v>
      </c>
    </row>
    <row r="9820" spans="1:4" ht="13.5">
      <c r="A9820" s="402">
        <v>90436</v>
      </c>
      <c r="B9820" s="403" t="s">
        <v>467</v>
      </c>
      <c r="C9820" s="402" t="s">
        <v>35</v>
      </c>
      <c r="D9820" s="601">
        <v>9.84</v>
      </c>
    </row>
    <row r="9821" spans="1:4" ht="27">
      <c r="A9821" s="402">
        <v>90437</v>
      </c>
      <c r="B9821" s="403" t="s">
        <v>468</v>
      </c>
      <c r="C9821" s="402" t="s">
        <v>35</v>
      </c>
      <c r="D9821" s="601">
        <v>23.93</v>
      </c>
    </row>
    <row r="9822" spans="1:4" ht="13.5">
      <c r="A9822" s="402">
        <v>90438</v>
      </c>
      <c r="B9822" s="403" t="s">
        <v>469</v>
      </c>
      <c r="C9822" s="402" t="s">
        <v>35</v>
      </c>
      <c r="D9822" s="601">
        <v>34.31</v>
      </c>
    </row>
    <row r="9823" spans="1:4" ht="13.5">
      <c r="A9823" s="402">
        <v>90439</v>
      </c>
      <c r="B9823" s="403" t="s">
        <v>470</v>
      </c>
      <c r="C9823" s="402" t="s">
        <v>35</v>
      </c>
      <c r="D9823" s="601">
        <v>39.51</v>
      </c>
    </row>
    <row r="9824" spans="1:4" ht="27">
      <c r="A9824" s="402">
        <v>90440</v>
      </c>
      <c r="B9824" s="403" t="s">
        <v>471</v>
      </c>
      <c r="C9824" s="402" t="s">
        <v>35</v>
      </c>
      <c r="D9824" s="601">
        <v>63.29</v>
      </c>
    </row>
    <row r="9825" spans="1:4" ht="13.5">
      <c r="A9825" s="402">
        <v>90441</v>
      </c>
      <c r="B9825" s="403" t="s">
        <v>472</v>
      </c>
      <c r="C9825" s="402" t="s">
        <v>35</v>
      </c>
      <c r="D9825" s="601">
        <v>80.849999999999994</v>
      </c>
    </row>
    <row r="9826" spans="1:4" ht="27">
      <c r="A9826" s="402">
        <v>90443</v>
      </c>
      <c r="B9826" s="403" t="s">
        <v>473</v>
      </c>
      <c r="C9826" s="402" t="s">
        <v>17</v>
      </c>
      <c r="D9826" s="601">
        <v>8.9499999999999993</v>
      </c>
    </row>
    <row r="9827" spans="1:4" ht="27">
      <c r="A9827" s="402">
        <v>90444</v>
      </c>
      <c r="B9827" s="403" t="s">
        <v>474</v>
      </c>
      <c r="C9827" s="402" t="s">
        <v>17</v>
      </c>
      <c r="D9827" s="601">
        <v>16.95</v>
      </c>
    </row>
    <row r="9828" spans="1:4" ht="27">
      <c r="A9828" s="402">
        <v>90445</v>
      </c>
      <c r="B9828" s="403" t="s">
        <v>2178</v>
      </c>
      <c r="C9828" s="402" t="s">
        <v>17</v>
      </c>
      <c r="D9828" s="601">
        <v>18.09</v>
      </c>
    </row>
    <row r="9829" spans="1:4" ht="27">
      <c r="A9829" s="402">
        <v>90446</v>
      </c>
      <c r="B9829" s="403" t="s">
        <v>2179</v>
      </c>
      <c r="C9829" s="402" t="s">
        <v>17</v>
      </c>
      <c r="D9829" s="601">
        <v>19.670000000000002</v>
      </c>
    </row>
    <row r="9830" spans="1:4" ht="27">
      <c r="A9830" s="402">
        <v>90447</v>
      </c>
      <c r="B9830" s="403" t="s">
        <v>475</v>
      </c>
      <c r="C9830" s="402" t="s">
        <v>17</v>
      </c>
      <c r="D9830" s="601">
        <v>4.45</v>
      </c>
    </row>
    <row r="9831" spans="1:4" ht="27">
      <c r="A9831" s="402">
        <v>90451</v>
      </c>
      <c r="B9831" s="403" t="s">
        <v>2180</v>
      </c>
      <c r="C9831" s="402" t="s">
        <v>35</v>
      </c>
      <c r="D9831" s="601">
        <v>3.02</v>
      </c>
    </row>
    <row r="9832" spans="1:4" ht="27">
      <c r="A9832" s="402">
        <v>90452</v>
      </c>
      <c r="B9832" s="403" t="s">
        <v>476</v>
      </c>
      <c r="C9832" s="402" t="s">
        <v>35</v>
      </c>
      <c r="D9832" s="601">
        <v>13.05</v>
      </c>
    </row>
    <row r="9833" spans="1:4" ht="27">
      <c r="A9833" s="402">
        <v>90453</v>
      </c>
      <c r="B9833" s="403" t="s">
        <v>477</v>
      </c>
      <c r="C9833" s="402" t="s">
        <v>35</v>
      </c>
      <c r="D9833" s="601">
        <v>1.9</v>
      </c>
    </row>
    <row r="9834" spans="1:4" ht="27">
      <c r="A9834" s="402">
        <v>90454</v>
      </c>
      <c r="B9834" s="403" t="s">
        <v>478</v>
      </c>
      <c r="C9834" s="402" t="s">
        <v>35</v>
      </c>
      <c r="D9834" s="601">
        <v>3.4</v>
      </c>
    </row>
    <row r="9835" spans="1:4" ht="13.5">
      <c r="A9835" s="402">
        <v>90455</v>
      </c>
      <c r="B9835" s="403" t="s">
        <v>2181</v>
      </c>
      <c r="C9835" s="402" t="s">
        <v>35</v>
      </c>
      <c r="D9835" s="601">
        <v>4.49</v>
      </c>
    </row>
    <row r="9836" spans="1:4" ht="27">
      <c r="A9836" s="402">
        <v>90456</v>
      </c>
      <c r="B9836" s="403" t="s">
        <v>2182</v>
      </c>
      <c r="C9836" s="402" t="s">
        <v>35</v>
      </c>
      <c r="D9836" s="601">
        <v>2.87</v>
      </c>
    </row>
    <row r="9837" spans="1:4" ht="27">
      <c r="A9837" s="402">
        <v>90457</v>
      </c>
      <c r="B9837" s="403" t="s">
        <v>2183</v>
      </c>
      <c r="C9837" s="402" t="s">
        <v>35</v>
      </c>
      <c r="D9837" s="601">
        <v>6.55</v>
      </c>
    </row>
    <row r="9838" spans="1:4" ht="27">
      <c r="A9838" s="402">
        <v>90458</v>
      </c>
      <c r="B9838" s="403" t="s">
        <v>2184</v>
      </c>
      <c r="C9838" s="402" t="s">
        <v>35</v>
      </c>
      <c r="D9838" s="601">
        <v>18.600000000000001</v>
      </c>
    </row>
    <row r="9839" spans="1:4" ht="27">
      <c r="A9839" s="402">
        <v>90459</v>
      </c>
      <c r="B9839" s="403" t="s">
        <v>2185</v>
      </c>
      <c r="C9839" s="402" t="s">
        <v>35</v>
      </c>
      <c r="D9839" s="601">
        <v>26.23</v>
      </c>
    </row>
    <row r="9840" spans="1:4" ht="27">
      <c r="A9840" s="402">
        <v>90460</v>
      </c>
      <c r="B9840" s="403" t="s">
        <v>14329</v>
      </c>
      <c r="C9840" s="402" t="s">
        <v>17</v>
      </c>
      <c r="D9840" s="601">
        <v>20.67</v>
      </c>
    </row>
    <row r="9841" spans="1:4" ht="27">
      <c r="A9841" s="402">
        <v>90461</v>
      </c>
      <c r="B9841" s="403" t="s">
        <v>14330</v>
      </c>
      <c r="C9841" s="402" t="s">
        <v>17</v>
      </c>
      <c r="D9841" s="601">
        <v>11.37</v>
      </c>
    </row>
    <row r="9842" spans="1:4" ht="27">
      <c r="A9842" s="402">
        <v>90462</v>
      </c>
      <c r="B9842" s="403" t="s">
        <v>14331</v>
      </c>
      <c r="C9842" s="402" t="s">
        <v>17</v>
      </c>
      <c r="D9842" s="601">
        <v>2.48</v>
      </c>
    </row>
    <row r="9843" spans="1:4" ht="27">
      <c r="A9843" s="402">
        <v>90463</v>
      </c>
      <c r="B9843" s="403" t="s">
        <v>14332</v>
      </c>
      <c r="C9843" s="402" t="s">
        <v>17</v>
      </c>
      <c r="D9843" s="601">
        <v>1.99</v>
      </c>
    </row>
    <row r="9844" spans="1:4" ht="27">
      <c r="A9844" s="402">
        <v>90466</v>
      </c>
      <c r="B9844" s="403" t="s">
        <v>479</v>
      </c>
      <c r="C9844" s="402" t="s">
        <v>17</v>
      </c>
      <c r="D9844" s="601">
        <v>8.99</v>
      </c>
    </row>
    <row r="9845" spans="1:4" ht="27">
      <c r="A9845" s="402">
        <v>90467</v>
      </c>
      <c r="B9845" s="403" t="s">
        <v>480</v>
      </c>
      <c r="C9845" s="402" t="s">
        <v>17</v>
      </c>
      <c r="D9845" s="601">
        <v>14.22</v>
      </c>
    </row>
    <row r="9846" spans="1:4" ht="27">
      <c r="A9846" s="402">
        <v>90468</v>
      </c>
      <c r="B9846" s="403" t="s">
        <v>2186</v>
      </c>
      <c r="C9846" s="402" t="s">
        <v>17</v>
      </c>
      <c r="D9846" s="601">
        <v>3.97</v>
      </c>
    </row>
    <row r="9847" spans="1:4" ht="27">
      <c r="A9847" s="402">
        <v>90469</v>
      </c>
      <c r="B9847" s="403" t="s">
        <v>2187</v>
      </c>
      <c r="C9847" s="402" t="s">
        <v>17</v>
      </c>
      <c r="D9847" s="601">
        <v>6.36</v>
      </c>
    </row>
    <row r="9848" spans="1:4" ht="27">
      <c r="A9848" s="402">
        <v>90470</v>
      </c>
      <c r="B9848" s="403" t="s">
        <v>2188</v>
      </c>
      <c r="C9848" s="402" t="s">
        <v>17</v>
      </c>
      <c r="D9848" s="601">
        <v>8.76</v>
      </c>
    </row>
    <row r="9849" spans="1:4" ht="27">
      <c r="A9849" s="402">
        <v>91166</v>
      </c>
      <c r="B9849" s="403" t="s">
        <v>2371</v>
      </c>
      <c r="C9849" s="402" t="s">
        <v>17</v>
      </c>
      <c r="D9849" s="601">
        <v>2.99</v>
      </c>
    </row>
    <row r="9850" spans="1:4" ht="40.5">
      <c r="A9850" s="402">
        <v>91167</v>
      </c>
      <c r="B9850" s="403" t="s">
        <v>2372</v>
      </c>
      <c r="C9850" s="402" t="s">
        <v>17</v>
      </c>
      <c r="D9850" s="601">
        <v>8.6300000000000008</v>
      </c>
    </row>
    <row r="9851" spans="1:4" ht="40.5">
      <c r="A9851" s="402">
        <v>91168</v>
      </c>
      <c r="B9851" s="403" t="s">
        <v>2373</v>
      </c>
      <c r="C9851" s="402" t="s">
        <v>17</v>
      </c>
      <c r="D9851" s="601">
        <v>6.56</v>
      </c>
    </row>
    <row r="9852" spans="1:4" ht="40.5">
      <c r="A9852" s="402">
        <v>91169</v>
      </c>
      <c r="B9852" s="403" t="s">
        <v>2374</v>
      </c>
      <c r="C9852" s="402" t="s">
        <v>17</v>
      </c>
      <c r="D9852" s="601">
        <v>7.76</v>
      </c>
    </row>
    <row r="9853" spans="1:4" ht="40.5">
      <c r="A9853" s="402">
        <v>91170</v>
      </c>
      <c r="B9853" s="403" t="s">
        <v>2375</v>
      </c>
      <c r="C9853" s="402" t="s">
        <v>17</v>
      </c>
      <c r="D9853" s="601">
        <v>2.21</v>
      </c>
    </row>
    <row r="9854" spans="1:4" ht="40.5">
      <c r="A9854" s="402">
        <v>91171</v>
      </c>
      <c r="B9854" s="403" t="s">
        <v>2376</v>
      </c>
      <c r="C9854" s="402" t="s">
        <v>17</v>
      </c>
      <c r="D9854" s="601">
        <v>2.79</v>
      </c>
    </row>
    <row r="9855" spans="1:4" ht="40.5">
      <c r="A9855" s="402">
        <v>91172</v>
      </c>
      <c r="B9855" s="403" t="s">
        <v>2377</v>
      </c>
      <c r="C9855" s="402" t="s">
        <v>17</v>
      </c>
      <c r="D9855" s="601">
        <v>4.0999999999999996</v>
      </c>
    </row>
    <row r="9856" spans="1:4" ht="40.5">
      <c r="A9856" s="402">
        <v>91173</v>
      </c>
      <c r="B9856" s="403" t="s">
        <v>2378</v>
      </c>
      <c r="C9856" s="402" t="s">
        <v>17</v>
      </c>
      <c r="D9856" s="601">
        <v>1.1200000000000001</v>
      </c>
    </row>
    <row r="9857" spans="1:4" ht="40.5">
      <c r="A9857" s="402">
        <v>91174</v>
      </c>
      <c r="B9857" s="403" t="s">
        <v>2379</v>
      </c>
      <c r="C9857" s="402" t="s">
        <v>17</v>
      </c>
      <c r="D9857" s="601">
        <v>2.2200000000000002</v>
      </c>
    </row>
    <row r="9858" spans="1:4" ht="40.5">
      <c r="A9858" s="402">
        <v>91175</v>
      </c>
      <c r="B9858" s="403" t="s">
        <v>2380</v>
      </c>
      <c r="C9858" s="402" t="s">
        <v>17</v>
      </c>
      <c r="D9858" s="601">
        <v>3.6</v>
      </c>
    </row>
    <row r="9859" spans="1:4" ht="40.5">
      <c r="A9859" s="402">
        <v>91176</v>
      </c>
      <c r="B9859" s="403" t="s">
        <v>2381</v>
      </c>
      <c r="C9859" s="402" t="s">
        <v>17</v>
      </c>
      <c r="D9859" s="601">
        <v>30.67</v>
      </c>
    </row>
    <row r="9860" spans="1:4" ht="40.5">
      <c r="A9860" s="402">
        <v>91177</v>
      </c>
      <c r="B9860" s="403" t="s">
        <v>2382</v>
      </c>
      <c r="C9860" s="402" t="s">
        <v>17</v>
      </c>
      <c r="D9860" s="601">
        <v>13.71</v>
      </c>
    </row>
    <row r="9861" spans="1:4" ht="40.5">
      <c r="A9861" s="402">
        <v>91178</v>
      </c>
      <c r="B9861" s="403" t="s">
        <v>2383</v>
      </c>
      <c r="C9861" s="402" t="s">
        <v>17</v>
      </c>
      <c r="D9861" s="601">
        <v>14</v>
      </c>
    </row>
    <row r="9862" spans="1:4" ht="40.5">
      <c r="A9862" s="402">
        <v>91179</v>
      </c>
      <c r="B9862" s="403" t="s">
        <v>2384</v>
      </c>
      <c r="C9862" s="402" t="s">
        <v>17</v>
      </c>
      <c r="D9862" s="601">
        <v>7.85</v>
      </c>
    </row>
    <row r="9863" spans="1:4" ht="40.5">
      <c r="A9863" s="402">
        <v>91180</v>
      </c>
      <c r="B9863" s="403" t="s">
        <v>2385</v>
      </c>
      <c r="C9863" s="402" t="s">
        <v>17</v>
      </c>
      <c r="D9863" s="601">
        <v>6.4</v>
      </c>
    </row>
    <row r="9864" spans="1:4" ht="40.5">
      <c r="A9864" s="402">
        <v>91181</v>
      </c>
      <c r="B9864" s="403" t="s">
        <v>2386</v>
      </c>
      <c r="C9864" s="402" t="s">
        <v>17</v>
      </c>
      <c r="D9864" s="601">
        <v>6.77</v>
      </c>
    </row>
    <row r="9865" spans="1:4" ht="27">
      <c r="A9865" s="402">
        <v>91182</v>
      </c>
      <c r="B9865" s="403" t="s">
        <v>2387</v>
      </c>
      <c r="C9865" s="402" t="s">
        <v>17</v>
      </c>
      <c r="D9865" s="601">
        <v>19.25</v>
      </c>
    </row>
    <row r="9866" spans="1:4" ht="40.5">
      <c r="A9866" s="402">
        <v>91183</v>
      </c>
      <c r="B9866" s="403" t="s">
        <v>2388</v>
      </c>
      <c r="C9866" s="402" t="s">
        <v>17</v>
      </c>
      <c r="D9866" s="601">
        <v>9.4700000000000006</v>
      </c>
    </row>
    <row r="9867" spans="1:4" ht="27">
      <c r="A9867" s="402">
        <v>91184</v>
      </c>
      <c r="B9867" s="403" t="s">
        <v>2389</v>
      </c>
      <c r="C9867" s="402" t="s">
        <v>17</v>
      </c>
      <c r="D9867" s="601">
        <v>8.81</v>
      </c>
    </row>
    <row r="9868" spans="1:4" ht="40.5">
      <c r="A9868" s="402">
        <v>91185</v>
      </c>
      <c r="B9868" s="403" t="s">
        <v>2390</v>
      </c>
      <c r="C9868" s="402" t="s">
        <v>17</v>
      </c>
      <c r="D9868" s="601">
        <v>4.9400000000000004</v>
      </c>
    </row>
    <row r="9869" spans="1:4" ht="40.5">
      <c r="A9869" s="402">
        <v>91186</v>
      </c>
      <c r="B9869" s="403" t="s">
        <v>2391</v>
      </c>
      <c r="C9869" s="402" t="s">
        <v>17</v>
      </c>
      <c r="D9869" s="601">
        <v>4.03</v>
      </c>
    </row>
    <row r="9870" spans="1:4" ht="40.5">
      <c r="A9870" s="402">
        <v>91187</v>
      </c>
      <c r="B9870" s="403" t="s">
        <v>2392</v>
      </c>
      <c r="C9870" s="402" t="s">
        <v>17</v>
      </c>
      <c r="D9870" s="601">
        <v>4.6500000000000004</v>
      </c>
    </row>
    <row r="9871" spans="1:4" ht="27">
      <c r="A9871" s="402">
        <v>91188</v>
      </c>
      <c r="B9871" s="403" t="s">
        <v>2393</v>
      </c>
      <c r="C9871" s="402" t="s">
        <v>35</v>
      </c>
      <c r="D9871" s="601">
        <v>4.84</v>
      </c>
    </row>
    <row r="9872" spans="1:4" ht="27">
      <c r="A9872" s="402">
        <v>91189</v>
      </c>
      <c r="B9872" s="403" t="s">
        <v>561</v>
      </c>
      <c r="C9872" s="402" t="s">
        <v>35</v>
      </c>
      <c r="D9872" s="601">
        <v>33</v>
      </c>
    </row>
    <row r="9873" spans="1:4" ht="27">
      <c r="A9873" s="402">
        <v>91190</v>
      </c>
      <c r="B9873" s="403" t="s">
        <v>562</v>
      </c>
      <c r="C9873" s="402" t="s">
        <v>35</v>
      </c>
      <c r="D9873" s="601">
        <v>3.47</v>
      </c>
    </row>
    <row r="9874" spans="1:4" ht="27">
      <c r="A9874" s="402">
        <v>91191</v>
      </c>
      <c r="B9874" s="403" t="s">
        <v>563</v>
      </c>
      <c r="C9874" s="402" t="s">
        <v>35</v>
      </c>
      <c r="D9874" s="601">
        <v>3.68</v>
      </c>
    </row>
    <row r="9875" spans="1:4" ht="27">
      <c r="A9875" s="402">
        <v>91192</v>
      </c>
      <c r="B9875" s="403" t="s">
        <v>564</v>
      </c>
      <c r="C9875" s="402" t="s">
        <v>35</v>
      </c>
      <c r="D9875" s="601">
        <v>4.08</v>
      </c>
    </row>
    <row r="9876" spans="1:4" ht="27">
      <c r="A9876" s="402">
        <v>91222</v>
      </c>
      <c r="B9876" s="403" t="s">
        <v>565</v>
      </c>
      <c r="C9876" s="402" t="s">
        <v>17</v>
      </c>
      <c r="D9876" s="601">
        <v>9.64</v>
      </c>
    </row>
    <row r="9877" spans="1:4" ht="40.5">
      <c r="A9877" s="402">
        <v>94480</v>
      </c>
      <c r="B9877" s="403" t="s">
        <v>3390</v>
      </c>
      <c r="C9877" s="402" t="s">
        <v>35</v>
      </c>
      <c r="D9877" s="601">
        <v>1566.21</v>
      </c>
    </row>
    <row r="9878" spans="1:4" ht="40.5">
      <c r="A9878" s="402">
        <v>94481</v>
      </c>
      <c r="B9878" s="403" t="s">
        <v>3391</v>
      </c>
      <c r="C9878" s="402" t="s">
        <v>35</v>
      </c>
      <c r="D9878" s="601">
        <v>1119.72</v>
      </c>
    </row>
    <row r="9879" spans="1:4" ht="40.5">
      <c r="A9879" s="402">
        <v>94482</v>
      </c>
      <c r="B9879" s="403" t="s">
        <v>3392</v>
      </c>
      <c r="C9879" s="402" t="s">
        <v>35</v>
      </c>
      <c r="D9879" s="601">
        <v>897.91</v>
      </c>
    </row>
    <row r="9880" spans="1:4" ht="40.5">
      <c r="A9880" s="402">
        <v>94483</v>
      </c>
      <c r="B9880" s="403" t="s">
        <v>3393</v>
      </c>
      <c r="C9880" s="402" t="s">
        <v>35</v>
      </c>
      <c r="D9880" s="601">
        <v>762.81</v>
      </c>
    </row>
    <row r="9881" spans="1:4" ht="27">
      <c r="A9881" s="402">
        <v>95541</v>
      </c>
      <c r="B9881" s="403" t="s">
        <v>3740</v>
      </c>
      <c r="C9881" s="402" t="s">
        <v>35</v>
      </c>
      <c r="D9881" s="601">
        <v>3.19</v>
      </c>
    </row>
    <row r="9882" spans="1:4" ht="27">
      <c r="A9882" s="402">
        <v>96559</v>
      </c>
      <c r="B9882" s="403" t="s">
        <v>14333</v>
      </c>
      <c r="C9882" s="402" t="s">
        <v>48</v>
      </c>
      <c r="D9882" s="601">
        <v>58.31</v>
      </c>
    </row>
    <row r="9883" spans="1:4" ht="27">
      <c r="A9883" s="402">
        <v>96560</v>
      </c>
      <c r="B9883" s="403" t="s">
        <v>14334</v>
      </c>
      <c r="C9883" s="402" t="s">
        <v>48</v>
      </c>
      <c r="D9883" s="601">
        <v>30.21</v>
      </c>
    </row>
    <row r="9884" spans="1:4" ht="27">
      <c r="A9884" s="402">
        <v>96561</v>
      </c>
      <c r="B9884" s="403" t="s">
        <v>14335</v>
      </c>
      <c r="C9884" s="402" t="s">
        <v>48</v>
      </c>
      <c r="D9884" s="601">
        <v>18.920000000000002</v>
      </c>
    </row>
    <row r="9885" spans="1:4" ht="40.5">
      <c r="A9885" s="402">
        <v>96562</v>
      </c>
      <c r="B9885" s="403" t="s">
        <v>14336</v>
      </c>
      <c r="C9885" s="402" t="s">
        <v>17</v>
      </c>
      <c r="D9885" s="601">
        <v>30.41</v>
      </c>
    </row>
    <row r="9886" spans="1:4" ht="40.5">
      <c r="A9886" s="402">
        <v>96563</v>
      </c>
      <c r="B9886" s="403" t="s">
        <v>14337</v>
      </c>
      <c r="C9886" s="402" t="s">
        <v>17</v>
      </c>
      <c r="D9886" s="601">
        <v>33.28</v>
      </c>
    </row>
    <row r="9887" spans="1:4" ht="13.5">
      <c r="A9887" s="402" t="s">
        <v>4282</v>
      </c>
      <c r="B9887" s="403" t="s">
        <v>758</v>
      </c>
      <c r="C9887" s="402" t="s">
        <v>35</v>
      </c>
      <c r="D9887" s="601">
        <v>355.05</v>
      </c>
    </row>
    <row r="9888" spans="1:4" ht="13.5">
      <c r="A9888" s="402" t="s">
        <v>4283</v>
      </c>
      <c r="B9888" s="403" t="s">
        <v>759</v>
      </c>
      <c r="C9888" s="402" t="s">
        <v>35</v>
      </c>
      <c r="D9888" s="601">
        <v>461.56</v>
      </c>
    </row>
    <row r="9889" spans="1:4" ht="13.5">
      <c r="A9889" s="402" t="s">
        <v>4292</v>
      </c>
      <c r="B9889" s="403" t="s">
        <v>768</v>
      </c>
      <c r="C9889" s="402" t="s">
        <v>35</v>
      </c>
      <c r="D9889" s="601">
        <v>150.41999999999999</v>
      </c>
    </row>
    <row r="9890" spans="1:4" ht="13.5">
      <c r="A9890" s="402" t="s">
        <v>4293</v>
      </c>
      <c r="B9890" s="403" t="s">
        <v>769</v>
      </c>
      <c r="C9890" s="402" t="s">
        <v>35</v>
      </c>
      <c r="D9890" s="601">
        <v>240.68</v>
      </c>
    </row>
    <row r="9891" spans="1:4" ht="13.5">
      <c r="A9891" s="402" t="s">
        <v>4294</v>
      </c>
      <c r="B9891" s="403" t="s">
        <v>770</v>
      </c>
      <c r="C9891" s="402" t="s">
        <v>35</v>
      </c>
      <c r="D9891" s="601">
        <v>481.36</v>
      </c>
    </row>
    <row r="9892" spans="1:4" ht="13.5">
      <c r="A9892" s="402" t="s">
        <v>4295</v>
      </c>
      <c r="B9892" s="403" t="s">
        <v>771</v>
      </c>
      <c r="C9892" s="402" t="s">
        <v>35</v>
      </c>
      <c r="D9892" s="601">
        <v>722.04</v>
      </c>
    </row>
    <row r="9893" spans="1:4" ht="13.5">
      <c r="A9893" s="402" t="s">
        <v>4296</v>
      </c>
      <c r="B9893" s="403" t="s">
        <v>772</v>
      </c>
      <c r="C9893" s="402" t="s">
        <v>35</v>
      </c>
      <c r="D9893" s="601">
        <v>921.87</v>
      </c>
    </row>
    <row r="9894" spans="1:4" ht="13.5">
      <c r="A9894" s="402" t="s">
        <v>4297</v>
      </c>
      <c r="B9894" s="403" t="s">
        <v>773</v>
      </c>
      <c r="C9894" s="402" t="s">
        <v>35</v>
      </c>
      <c r="D9894" s="601">
        <v>1253.75</v>
      </c>
    </row>
    <row r="9895" spans="1:4" ht="13.5">
      <c r="A9895" s="402" t="s">
        <v>4298</v>
      </c>
      <c r="B9895" s="403" t="s">
        <v>774</v>
      </c>
      <c r="C9895" s="402" t="s">
        <v>35</v>
      </c>
      <c r="D9895" s="601">
        <v>1401.25</v>
      </c>
    </row>
    <row r="9896" spans="1:4" ht="13.5">
      <c r="A9896" s="402" t="s">
        <v>4299</v>
      </c>
      <c r="B9896" s="403" t="s">
        <v>775</v>
      </c>
      <c r="C9896" s="402" t="s">
        <v>35</v>
      </c>
      <c r="D9896" s="601">
        <v>368.75</v>
      </c>
    </row>
    <row r="9897" spans="1:4" ht="13.5">
      <c r="A9897" s="402" t="s">
        <v>4300</v>
      </c>
      <c r="B9897" s="403" t="s">
        <v>776</v>
      </c>
      <c r="C9897" s="402" t="s">
        <v>35</v>
      </c>
      <c r="D9897" s="601">
        <v>479.37</v>
      </c>
    </row>
    <row r="9898" spans="1:4" ht="13.5">
      <c r="A9898" s="402" t="s">
        <v>4301</v>
      </c>
      <c r="B9898" s="403" t="s">
        <v>777</v>
      </c>
      <c r="C9898" s="402" t="s">
        <v>35</v>
      </c>
      <c r="D9898" s="601">
        <v>737.5</v>
      </c>
    </row>
    <row r="9899" spans="1:4" ht="13.5">
      <c r="A9899" s="402" t="s">
        <v>4302</v>
      </c>
      <c r="B9899" s="403" t="s">
        <v>778</v>
      </c>
      <c r="C9899" s="402" t="s">
        <v>35</v>
      </c>
      <c r="D9899" s="601">
        <v>1180</v>
      </c>
    </row>
    <row r="9900" spans="1:4" ht="13.5">
      <c r="A9900" s="402" t="s">
        <v>4303</v>
      </c>
      <c r="B9900" s="403" t="s">
        <v>779</v>
      </c>
      <c r="C9900" s="402" t="s">
        <v>35</v>
      </c>
      <c r="D9900" s="601">
        <v>150.41999999999999</v>
      </c>
    </row>
    <row r="9901" spans="1:4" ht="13.5">
      <c r="A9901" s="402" t="s">
        <v>4304</v>
      </c>
      <c r="B9901" s="403" t="s">
        <v>780</v>
      </c>
      <c r="C9901" s="402" t="s">
        <v>35</v>
      </c>
      <c r="D9901" s="601">
        <v>300.85000000000002</v>
      </c>
    </row>
    <row r="9902" spans="1:4" ht="13.5">
      <c r="A9902" s="402" t="s">
        <v>4305</v>
      </c>
      <c r="B9902" s="403" t="s">
        <v>781</v>
      </c>
      <c r="C9902" s="402" t="s">
        <v>35</v>
      </c>
      <c r="D9902" s="601">
        <v>601.70000000000005</v>
      </c>
    </row>
    <row r="9903" spans="1:4" ht="54">
      <c r="A9903" s="402">
        <v>93350</v>
      </c>
      <c r="B9903" s="403" t="s">
        <v>3207</v>
      </c>
      <c r="C9903" s="402" t="s">
        <v>35</v>
      </c>
      <c r="D9903" s="601">
        <v>731.36</v>
      </c>
    </row>
    <row r="9904" spans="1:4" ht="54">
      <c r="A9904" s="402">
        <v>93351</v>
      </c>
      <c r="B9904" s="403" t="s">
        <v>3208</v>
      </c>
      <c r="C9904" s="402" t="s">
        <v>35</v>
      </c>
      <c r="D9904" s="601">
        <v>598.12</v>
      </c>
    </row>
    <row r="9905" spans="1:4" ht="54">
      <c r="A9905" s="402">
        <v>93352</v>
      </c>
      <c r="B9905" s="403" t="s">
        <v>3209</v>
      </c>
      <c r="C9905" s="402" t="s">
        <v>35</v>
      </c>
      <c r="D9905" s="601">
        <v>465.06</v>
      </c>
    </row>
    <row r="9906" spans="1:4" ht="54">
      <c r="A9906" s="402">
        <v>93353</v>
      </c>
      <c r="B9906" s="403" t="s">
        <v>3210</v>
      </c>
      <c r="C9906" s="402" t="s">
        <v>35</v>
      </c>
      <c r="D9906" s="601">
        <v>335.78</v>
      </c>
    </row>
    <row r="9907" spans="1:4" ht="54">
      <c r="A9907" s="402">
        <v>93354</v>
      </c>
      <c r="B9907" s="403" t="s">
        <v>3211</v>
      </c>
      <c r="C9907" s="402" t="s">
        <v>35</v>
      </c>
      <c r="D9907" s="601">
        <v>475.12</v>
      </c>
    </row>
    <row r="9908" spans="1:4" ht="54">
      <c r="A9908" s="402">
        <v>93355</v>
      </c>
      <c r="B9908" s="403" t="s">
        <v>3212</v>
      </c>
      <c r="C9908" s="402" t="s">
        <v>35</v>
      </c>
      <c r="D9908" s="601">
        <v>396.13</v>
      </c>
    </row>
    <row r="9909" spans="1:4" ht="54">
      <c r="A9909" s="402">
        <v>93356</v>
      </c>
      <c r="B9909" s="403" t="s">
        <v>3213</v>
      </c>
      <c r="C9909" s="402" t="s">
        <v>35</v>
      </c>
      <c r="D9909" s="601">
        <v>315.81</v>
      </c>
    </row>
    <row r="9910" spans="1:4" ht="54">
      <c r="A9910" s="402">
        <v>93357</v>
      </c>
      <c r="B9910" s="403" t="s">
        <v>3214</v>
      </c>
      <c r="C9910" s="402" t="s">
        <v>35</v>
      </c>
      <c r="D9910" s="601">
        <v>237.77</v>
      </c>
    </row>
    <row r="9911" spans="1:4" ht="40.5">
      <c r="A9911" s="402" t="s">
        <v>4420</v>
      </c>
      <c r="B9911" s="403" t="s">
        <v>805</v>
      </c>
      <c r="C9911" s="402" t="s">
        <v>33</v>
      </c>
      <c r="D9911" s="601">
        <v>2.34</v>
      </c>
    </row>
    <row r="9912" spans="1:4" ht="27">
      <c r="A9912" s="402" t="s">
        <v>4421</v>
      </c>
      <c r="B9912" s="403" t="s">
        <v>806</v>
      </c>
      <c r="C9912" s="402" t="s">
        <v>33</v>
      </c>
      <c r="D9912" s="601">
        <v>3.45</v>
      </c>
    </row>
    <row r="9913" spans="1:4" ht="27">
      <c r="A9913" s="402" t="s">
        <v>4422</v>
      </c>
      <c r="B9913" s="403" t="s">
        <v>4423</v>
      </c>
      <c r="C9913" s="402" t="s">
        <v>33</v>
      </c>
      <c r="D9913" s="601">
        <v>1.25</v>
      </c>
    </row>
    <row r="9914" spans="1:4" ht="27">
      <c r="A9914" s="402" t="s">
        <v>4424</v>
      </c>
      <c r="B9914" s="403" t="s">
        <v>4425</v>
      </c>
      <c r="C9914" s="402" t="s">
        <v>33</v>
      </c>
      <c r="D9914" s="601">
        <v>2.4300000000000002</v>
      </c>
    </row>
    <row r="9915" spans="1:4" ht="27">
      <c r="A9915" s="402" t="s">
        <v>4433</v>
      </c>
      <c r="B9915" s="403" t="s">
        <v>810</v>
      </c>
      <c r="C9915" s="402" t="s">
        <v>33</v>
      </c>
      <c r="D9915" s="601">
        <v>1.18</v>
      </c>
    </row>
    <row r="9916" spans="1:4" ht="13.5">
      <c r="A9916" s="402">
        <v>79480</v>
      </c>
      <c r="B9916" s="403" t="s">
        <v>1191</v>
      </c>
      <c r="C9916" s="402" t="s">
        <v>33</v>
      </c>
      <c r="D9916" s="601">
        <v>1.75</v>
      </c>
    </row>
    <row r="9917" spans="1:4" ht="27">
      <c r="A9917" s="402">
        <v>83336</v>
      </c>
      <c r="B9917" s="403" t="s">
        <v>1192</v>
      </c>
      <c r="C9917" s="402" t="s">
        <v>33</v>
      </c>
      <c r="D9917" s="601">
        <v>3.52</v>
      </c>
    </row>
    <row r="9918" spans="1:4" ht="27">
      <c r="A9918" s="402">
        <v>83338</v>
      </c>
      <c r="B9918" s="403" t="s">
        <v>1193</v>
      </c>
      <c r="C9918" s="402" t="s">
        <v>33</v>
      </c>
      <c r="D9918" s="601">
        <v>1.91</v>
      </c>
    </row>
    <row r="9919" spans="1:4" ht="27">
      <c r="A9919" s="402">
        <v>96520</v>
      </c>
      <c r="B9919" s="403" t="s">
        <v>3986</v>
      </c>
      <c r="C9919" s="402" t="s">
        <v>33</v>
      </c>
      <c r="D9919" s="601">
        <v>61.9</v>
      </c>
    </row>
    <row r="9920" spans="1:4" ht="27">
      <c r="A9920" s="402">
        <v>96521</v>
      </c>
      <c r="B9920" s="403" t="s">
        <v>3987</v>
      </c>
      <c r="C9920" s="402" t="s">
        <v>33</v>
      </c>
      <c r="D9920" s="601">
        <v>25.29</v>
      </c>
    </row>
    <row r="9921" spans="1:4" ht="27">
      <c r="A9921" s="402">
        <v>96522</v>
      </c>
      <c r="B9921" s="403" t="s">
        <v>3988</v>
      </c>
      <c r="C9921" s="402" t="s">
        <v>33</v>
      </c>
      <c r="D9921" s="601">
        <v>101.52</v>
      </c>
    </row>
    <row r="9922" spans="1:4" ht="27">
      <c r="A9922" s="402">
        <v>96523</v>
      </c>
      <c r="B9922" s="403" t="s">
        <v>3989</v>
      </c>
      <c r="C9922" s="402" t="s">
        <v>33</v>
      </c>
      <c r="D9922" s="601">
        <v>64.98</v>
      </c>
    </row>
    <row r="9923" spans="1:4" ht="27">
      <c r="A9923" s="402">
        <v>96524</v>
      </c>
      <c r="B9923" s="403" t="s">
        <v>3990</v>
      </c>
      <c r="C9923" s="402" t="s">
        <v>33</v>
      </c>
      <c r="D9923" s="601">
        <v>119.69</v>
      </c>
    </row>
    <row r="9924" spans="1:4" ht="27">
      <c r="A9924" s="402">
        <v>96525</v>
      </c>
      <c r="B9924" s="403" t="s">
        <v>3991</v>
      </c>
      <c r="C9924" s="402" t="s">
        <v>33</v>
      </c>
      <c r="D9924" s="601">
        <v>25.4</v>
      </c>
    </row>
    <row r="9925" spans="1:4" ht="27">
      <c r="A9925" s="402">
        <v>96526</v>
      </c>
      <c r="B9925" s="403" t="s">
        <v>3992</v>
      </c>
      <c r="C9925" s="402" t="s">
        <v>33</v>
      </c>
      <c r="D9925" s="601">
        <v>204.77</v>
      </c>
    </row>
    <row r="9926" spans="1:4" ht="27">
      <c r="A9926" s="402">
        <v>96527</v>
      </c>
      <c r="B9926" s="403" t="s">
        <v>3993</v>
      </c>
      <c r="C9926" s="402" t="s">
        <v>33</v>
      </c>
      <c r="D9926" s="601">
        <v>85.37</v>
      </c>
    </row>
    <row r="9927" spans="1:4" ht="27">
      <c r="A9927" s="402">
        <v>96528</v>
      </c>
      <c r="B9927" s="403" t="s">
        <v>3994</v>
      </c>
      <c r="C9927" s="402" t="s">
        <v>48</v>
      </c>
      <c r="D9927" s="601">
        <v>99.74</v>
      </c>
    </row>
    <row r="9928" spans="1:4" ht="54">
      <c r="A9928" s="402">
        <v>101206</v>
      </c>
      <c r="B9928" s="403" t="s">
        <v>14338</v>
      </c>
      <c r="C9928" s="402" t="s">
        <v>33</v>
      </c>
      <c r="D9928" s="601">
        <v>6.39</v>
      </c>
    </row>
    <row r="9929" spans="1:4" ht="54">
      <c r="A9929" s="402">
        <v>101207</v>
      </c>
      <c r="B9929" s="403" t="s">
        <v>14339</v>
      </c>
      <c r="C9929" s="402" t="s">
        <v>33</v>
      </c>
      <c r="D9929" s="601">
        <v>5.58</v>
      </c>
    </row>
    <row r="9930" spans="1:4" ht="54">
      <c r="A9930" s="402">
        <v>101208</v>
      </c>
      <c r="B9930" s="403" t="s">
        <v>14340</v>
      </c>
      <c r="C9930" s="402" t="s">
        <v>33</v>
      </c>
      <c r="D9930" s="601">
        <v>5.43</v>
      </c>
    </row>
    <row r="9931" spans="1:4" ht="54">
      <c r="A9931" s="402">
        <v>101209</v>
      </c>
      <c r="B9931" s="403" t="s">
        <v>14341</v>
      </c>
      <c r="C9931" s="402" t="s">
        <v>33</v>
      </c>
      <c r="D9931" s="601">
        <v>5.0199999999999996</v>
      </c>
    </row>
    <row r="9932" spans="1:4" ht="54">
      <c r="A9932" s="402">
        <v>101210</v>
      </c>
      <c r="B9932" s="403" t="s">
        <v>14342</v>
      </c>
      <c r="C9932" s="402" t="s">
        <v>33</v>
      </c>
      <c r="D9932" s="601">
        <v>9.02</v>
      </c>
    </row>
    <row r="9933" spans="1:4" ht="54">
      <c r="A9933" s="402">
        <v>101211</v>
      </c>
      <c r="B9933" s="403" t="s">
        <v>14343</v>
      </c>
      <c r="C9933" s="402" t="s">
        <v>33</v>
      </c>
      <c r="D9933" s="601">
        <v>9.68</v>
      </c>
    </row>
    <row r="9934" spans="1:4" ht="54">
      <c r="A9934" s="402">
        <v>101212</v>
      </c>
      <c r="B9934" s="403" t="s">
        <v>14344</v>
      </c>
      <c r="C9934" s="402" t="s">
        <v>33</v>
      </c>
      <c r="D9934" s="601">
        <v>11.27</v>
      </c>
    </row>
    <row r="9935" spans="1:4" ht="54">
      <c r="A9935" s="402">
        <v>101213</v>
      </c>
      <c r="B9935" s="403" t="s">
        <v>14345</v>
      </c>
      <c r="C9935" s="402" t="s">
        <v>33</v>
      </c>
      <c r="D9935" s="601">
        <v>12.56</v>
      </c>
    </row>
    <row r="9936" spans="1:4" ht="54">
      <c r="A9936" s="402">
        <v>101214</v>
      </c>
      <c r="B9936" s="403" t="s">
        <v>14346</v>
      </c>
      <c r="C9936" s="402" t="s">
        <v>33</v>
      </c>
      <c r="D9936" s="601">
        <v>15.23</v>
      </c>
    </row>
    <row r="9937" spans="1:4" ht="54">
      <c r="A9937" s="402">
        <v>101215</v>
      </c>
      <c r="B9937" s="403" t="s">
        <v>14347</v>
      </c>
      <c r="C9937" s="402" t="s">
        <v>33</v>
      </c>
      <c r="D9937" s="601">
        <v>8.6</v>
      </c>
    </row>
    <row r="9938" spans="1:4" ht="54">
      <c r="A9938" s="402">
        <v>101216</v>
      </c>
      <c r="B9938" s="403" t="s">
        <v>14348</v>
      </c>
      <c r="C9938" s="402" t="s">
        <v>33</v>
      </c>
      <c r="D9938" s="601">
        <v>9.0500000000000007</v>
      </c>
    </row>
    <row r="9939" spans="1:4" ht="54">
      <c r="A9939" s="402">
        <v>101217</v>
      </c>
      <c r="B9939" s="403" t="s">
        <v>14349</v>
      </c>
      <c r="C9939" s="402" t="s">
        <v>33</v>
      </c>
      <c r="D9939" s="601">
        <v>10.51</v>
      </c>
    </row>
    <row r="9940" spans="1:4" ht="54">
      <c r="A9940" s="402">
        <v>101218</v>
      </c>
      <c r="B9940" s="403" t="s">
        <v>14350</v>
      </c>
      <c r="C9940" s="402" t="s">
        <v>33</v>
      </c>
      <c r="D9940" s="601">
        <v>11.16</v>
      </c>
    </row>
    <row r="9941" spans="1:4" ht="54">
      <c r="A9941" s="402">
        <v>101219</v>
      </c>
      <c r="B9941" s="403" t="s">
        <v>14351</v>
      </c>
      <c r="C9941" s="402" t="s">
        <v>33</v>
      </c>
      <c r="D9941" s="601">
        <v>13.55</v>
      </c>
    </row>
    <row r="9942" spans="1:4" ht="54">
      <c r="A9942" s="402">
        <v>101220</v>
      </c>
      <c r="B9942" s="403" t="s">
        <v>14352</v>
      </c>
      <c r="C9942" s="402" t="s">
        <v>33</v>
      </c>
      <c r="D9942" s="601">
        <v>8.4700000000000006</v>
      </c>
    </row>
    <row r="9943" spans="1:4" ht="54">
      <c r="A9943" s="402">
        <v>101221</v>
      </c>
      <c r="B9943" s="403" t="s">
        <v>14353</v>
      </c>
      <c r="C9943" s="402" t="s">
        <v>33</v>
      </c>
      <c r="D9943" s="601">
        <v>8.98</v>
      </c>
    </row>
    <row r="9944" spans="1:4" ht="54">
      <c r="A9944" s="402">
        <v>101222</v>
      </c>
      <c r="B9944" s="403" t="s">
        <v>14354</v>
      </c>
      <c r="C9944" s="402" t="s">
        <v>33</v>
      </c>
      <c r="D9944" s="601">
        <v>10.45</v>
      </c>
    </row>
    <row r="9945" spans="1:4" ht="54">
      <c r="A9945" s="402">
        <v>101223</v>
      </c>
      <c r="B9945" s="403" t="s">
        <v>14355</v>
      </c>
      <c r="C9945" s="402" t="s">
        <v>33</v>
      </c>
      <c r="D9945" s="601">
        <v>11.6</v>
      </c>
    </row>
    <row r="9946" spans="1:4" ht="54">
      <c r="A9946" s="402">
        <v>101224</v>
      </c>
      <c r="B9946" s="403" t="s">
        <v>14356</v>
      </c>
      <c r="C9946" s="402" t="s">
        <v>33</v>
      </c>
      <c r="D9946" s="601">
        <v>14.55</v>
      </c>
    </row>
    <row r="9947" spans="1:4" ht="54">
      <c r="A9947" s="402">
        <v>101225</v>
      </c>
      <c r="B9947" s="403" t="s">
        <v>14357</v>
      </c>
      <c r="C9947" s="402" t="s">
        <v>33</v>
      </c>
      <c r="D9947" s="601">
        <v>7.75</v>
      </c>
    </row>
    <row r="9948" spans="1:4" ht="54">
      <c r="A9948" s="402">
        <v>101226</v>
      </c>
      <c r="B9948" s="403" t="s">
        <v>14358</v>
      </c>
      <c r="C9948" s="402" t="s">
        <v>33</v>
      </c>
      <c r="D9948" s="601">
        <v>8.19</v>
      </c>
    </row>
    <row r="9949" spans="1:4" ht="54">
      <c r="A9949" s="402">
        <v>101227</v>
      </c>
      <c r="B9949" s="403" t="s">
        <v>14359</v>
      </c>
      <c r="C9949" s="402" t="s">
        <v>33</v>
      </c>
      <c r="D9949" s="601">
        <v>9.5</v>
      </c>
    </row>
    <row r="9950" spans="1:4" ht="54">
      <c r="A9950" s="402">
        <v>101228</v>
      </c>
      <c r="B9950" s="403" t="s">
        <v>14360</v>
      </c>
      <c r="C9950" s="402" t="s">
        <v>33</v>
      </c>
      <c r="D9950" s="601">
        <v>10.17</v>
      </c>
    </row>
    <row r="9951" spans="1:4" ht="54">
      <c r="A9951" s="402">
        <v>101229</v>
      </c>
      <c r="B9951" s="403" t="s">
        <v>14361</v>
      </c>
      <c r="C9951" s="402" t="s">
        <v>33</v>
      </c>
      <c r="D9951" s="601">
        <v>12.8</v>
      </c>
    </row>
    <row r="9952" spans="1:4" ht="54">
      <c r="A9952" s="402">
        <v>101230</v>
      </c>
      <c r="B9952" s="403" t="s">
        <v>14362</v>
      </c>
      <c r="C9952" s="402" t="s">
        <v>33</v>
      </c>
      <c r="D9952" s="601">
        <v>5.65</v>
      </c>
    </row>
    <row r="9953" spans="1:4" ht="54">
      <c r="A9953" s="402">
        <v>101231</v>
      </c>
      <c r="B9953" s="403" t="s">
        <v>14363</v>
      </c>
      <c r="C9953" s="402" t="s">
        <v>33</v>
      </c>
      <c r="D9953" s="601">
        <v>5.36</v>
      </c>
    </row>
    <row r="9954" spans="1:4" ht="54">
      <c r="A9954" s="402">
        <v>101232</v>
      </c>
      <c r="B9954" s="403" t="s">
        <v>14364</v>
      </c>
      <c r="C9954" s="402" t="s">
        <v>33</v>
      </c>
      <c r="D9954" s="601">
        <v>4.87</v>
      </c>
    </row>
    <row r="9955" spans="1:4" ht="54">
      <c r="A9955" s="402">
        <v>101233</v>
      </c>
      <c r="B9955" s="403" t="s">
        <v>14365</v>
      </c>
      <c r="C9955" s="402" t="s">
        <v>33</v>
      </c>
      <c r="D9955" s="601">
        <v>4.46</v>
      </c>
    </row>
    <row r="9956" spans="1:4" ht="54">
      <c r="A9956" s="402">
        <v>101234</v>
      </c>
      <c r="B9956" s="403" t="s">
        <v>14366</v>
      </c>
      <c r="C9956" s="402" t="s">
        <v>33</v>
      </c>
      <c r="D9956" s="601">
        <v>8.7799999999999994</v>
      </c>
    </row>
    <row r="9957" spans="1:4" ht="54">
      <c r="A9957" s="402">
        <v>101235</v>
      </c>
      <c r="B9957" s="403" t="s">
        <v>14367</v>
      </c>
      <c r="C9957" s="402" t="s">
        <v>33</v>
      </c>
      <c r="D9957" s="601">
        <v>9.2799999999999994</v>
      </c>
    </row>
    <row r="9958" spans="1:4" ht="54">
      <c r="A9958" s="402">
        <v>101236</v>
      </c>
      <c r="B9958" s="403" t="s">
        <v>14368</v>
      </c>
      <c r="C9958" s="402" t="s">
        <v>33</v>
      </c>
      <c r="D9958" s="601">
        <v>10.81</v>
      </c>
    </row>
    <row r="9959" spans="1:4" ht="54">
      <c r="A9959" s="402">
        <v>101237</v>
      </c>
      <c r="B9959" s="403" t="s">
        <v>14369</v>
      </c>
      <c r="C9959" s="402" t="s">
        <v>33</v>
      </c>
      <c r="D9959" s="601">
        <v>11.55</v>
      </c>
    </row>
    <row r="9960" spans="1:4" ht="54">
      <c r="A9960" s="402">
        <v>101238</v>
      </c>
      <c r="B9960" s="403" t="s">
        <v>14370</v>
      </c>
      <c r="C9960" s="402" t="s">
        <v>33</v>
      </c>
      <c r="D9960" s="601">
        <v>14.6</v>
      </c>
    </row>
    <row r="9961" spans="1:4" ht="54">
      <c r="A9961" s="402">
        <v>101239</v>
      </c>
      <c r="B9961" s="403" t="s">
        <v>14371</v>
      </c>
      <c r="C9961" s="402" t="s">
        <v>33</v>
      </c>
      <c r="D9961" s="601">
        <v>7.76</v>
      </c>
    </row>
    <row r="9962" spans="1:4" ht="54">
      <c r="A9962" s="402">
        <v>101240</v>
      </c>
      <c r="B9962" s="403" t="s">
        <v>14372</v>
      </c>
      <c r="C9962" s="402" t="s">
        <v>33</v>
      </c>
      <c r="D9962" s="601">
        <v>8.2100000000000009</v>
      </c>
    </row>
    <row r="9963" spans="1:4" ht="54">
      <c r="A9963" s="402">
        <v>101241</v>
      </c>
      <c r="B9963" s="403" t="s">
        <v>14373</v>
      </c>
      <c r="C9963" s="402" t="s">
        <v>33</v>
      </c>
      <c r="D9963" s="601">
        <v>9.57</v>
      </c>
    </row>
    <row r="9964" spans="1:4" ht="54">
      <c r="A9964" s="402">
        <v>101242</v>
      </c>
      <c r="B9964" s="403" t="s">
        <v>14374</v>
      </c>
      <c r="C9964" s="402" t="s">
        <v>33</v>
      </c>
      <c r="D9964" s="601">
        <v>10.66</v>
      </c>
    </row>
    <row r="9965" spans="1:4" ht="54">
      <c r="A9965" s="402">
        <v>101243</v>
      </c>
      <c r="B9965" s="403" t="s">
        <v>14375</v>
      </c>
      <c r="C9965" s="402" t="s">
        <v>33</v>
      </c>
      <c r="D9965" s="601">
        <v>12.97</v>
      </c>
    </row>
    <row r="9966" spans="1:4" ht="54">
      <c r="A9966" s="402">
        <v>101244</v>
      </c>
      <c r="B9966" s="403" t="s">
        <v>14376</v>
      </c>
      <c r="C9966" s="402" t="s">
        <v>33</v>
      </c>
      <c r="D9966" s="601">
        <v>8.1199999999999992</v>
      </c>
    </row>
    <row r="9967" spans="1:4" ht="54">
      <c r="A9967" s="402">
        <v>101245</v>
      </c>
      <c r="B9967" s="403" t="s">
        <v>14377</v>
      </c>
      <c r="C9967" s="402" t="s">
        <v>33</v>
      </c>
      <c r="D9967" s="601">
        <v>8.6300000000000008</v>
      </c>
    </row>
    <row r="9968" spans="1:4" ht="54">
      <c r="A9968" s="402">
        <v>101246</v>
      </c>
      <c r="B9968" s="403" t="s">
        <v>14378</v>
      </c>
      <c r="C9968" s="402" t="s">
        <v>33</v>
      </c>
      <c r="D9968" s="601">
        <v>10.039999999999999</v>
      </c>
    </row>
    <row r="9969" spans="1:4" ht="54">
      <c r="A9969" s="402">
        <v>101247</v>
      </c>
      <c r="B9969" s="403" t="s">
        <v>14379</v>
      </c>
      <c r="C9969" s="402" t="s">
        <v>33</v>
      </c>
      <c r="D9969" s="601">
        <v>11.13</v>
      </c>
    </row>
    <row r="9970" spans="1:4" ht="54">
      <c r="A9970" s="402">
        <v>101248</v>
      </c>
      <c r="B9970" s="403" t="s">
        <v>14380</v>
      </c>
      <c r="C9970" s="402" t="s">
        <v>33</v>
      </c>
      <c r="D9970" s="601">
        <v>13.95</v>
      </c>
    </row>
    <row r="9971" spans="1:4" ht="54">
      <c r="A9971" s="402">
        <v>101249</v>
      </c>
      <c r="B9971" s="403" t="s">
        <v>14381</v>
      </c>
      <c r="C9971" s="402" t="s">
        <v>33</v>
      </c>
      <c r="D9971" s="601">
        <v>7.09</v>
      </c>
    </row>
    <row r="9972" spans="1:4" ht="54">
      <c r="A9972" s="402">
        <v>101250</v>
      </c>
      <c r="B9972" s="403" t="s">
        <v>14382</v>
      </c>
      <c r="C9972" s="402" t="s">
        <v>33</v>
      </c>
      <c r="D9972" s="601">
        <v>7.84</v>
      </c>
    </row>
    <row r="9973" spans="1:4" ht="54">
      <c r="A9973" s="402">
        <v>101251</v>
      </c>
      <c r="B9973" s="403" t="s">
        <v>14383</v>
      </c>
      <c r="C9973" s="402" t="s">
        <v>33</v>
      </c>
      <c r="D9973" s="601">
        <v>8.9600000000000009</v>
      </c>
    </row>
    <row r="9974" spans="1:4" ht="54">
      <c r="A9974" s="402">
        <v>101252</v>
      </c>
      <c r="B9974" s="403" t="s">
        <v>14384</v>
      </c>
      <c r="C9974" s="402" t="s">
        <v>33</v>
      </c>
      <c r="D9974" s="601">
        <v>9.73</v>
      </c>
    </row>
    <row r="9975" spans="1:4" ht="54">
      <c r="A9975" s="402">
        <v>101253</v>
      </c>
      <c r="B9975" s="403" t="s">
        <v>14385</v>
      </c>
      <c r="C9975" s="402" t="s">
        <v>33</v>
      </c>
      <c r="D9975" s="601">
        <v>12.26</v>
      </c>
    </row>
    <row r="9976" spans="1:4" ht="54">
      <c r="A9976" s="402">
        <v>101254</v>
      </c>
      <c r="B9976" s="403" t="s">
        <v>14386</v>
      </c>
      <c r="C9976" s="402" t="s">
        <v>33</v>
      </c>
      <c r="D9976" s="601">
        <v>6.47</v>
      </c>
    </row>
    <row r="9977" spans="1:4" ht="54">
      <c r="A9977" s="402">
        <v>101255</v>
      </c>
      <c r="B9977" s="403" t="s">
        <v>14387</v>
      </c>
      <c r="C9977" s="402" t="s">
        <v>33</v>
      </c>
      <c r="D9977" s="601">
        <v>5.75</v>
      </c>
    </row>
    <row r="9978" spans="1:4" ht="54">
      <c r="A9978" s="402">
        <v>101256</v>
      </c>
      <c r="B9978" s="403" t="s">
        <v>14388</v>
      </c>
      <c r="C9978" s="402" t="s">
        <v>33</v>
      </c>
      <c r="D9978" s="601">
        <v>9.98</v>
      </c>
    </row>
    <row r="9979" spans="1:4" ht="54">
      <c r="A9979" s="402">
        <v>101257</v>
      </c>
      <c r="B9979" s="403" t="s">
        <v>14389</v>
      </c>
      <c r="C9979" s="402" t="s">
        <v>33</v>
      </c>
      <c r="D9979" s="601">
        <v>10.55</v>
      </c>
    </row>
    <row r="9980" spans="1:4" ht="54">
      <c r="A9980" s="402">
        <v>101258</v>
      </c>
      <c r="B9980" s="403" t="s">
        <v>14390</v>
      </c>
      <c r="C9980" s="402" t="s">
        <v>33</v>
      </c>
      <c r="D9980" s="601">
        <v>12.23</v>
      </c>
    </row>
    <row r="9981" spans="1:4" ht="54">
      <c r="A9981" s="402">
        <v>101259</v>
      </c>
      <c r="B9981" s="403" t="s">
        <v>14391</v>
      </c>
      <c r="C9981" s="402" t="s">
        <v>33</v>
      </c>
      <c r="D9981" s="601">
        <v>13.55</v>
      </c>
    </row>
    <row r="9982" spans="1:4" ht="54">
      <c r="A9982" s="402">
        <v>101260</v>
      </c>
      <c r="B9982" s="403" t="s">
        <v>14392</v>
      </c>
      <c r="C9982" s="402" t="s">
        <v>33</v>
      </c>
      <c r="D9982" s="601">
        <v>16.940000000000001</v>
      </c>
    </row>
    <row r="9983" spans="1:4" ht="54">
      <c r="A9983" s="402">
        <v>101261</v>
      </c>
      <c r="B9983" s="403" t="s">
        <v>14393</v>
      </c>
      <c r="C9983" s="402" t="s">
        <v>33</v>
      </c>
      <c r="D9983" s="601">
        <v>9.4499999999999993</v>
      </c>
    </row>
    <row r="9984" spans="1:4" ht="54">
      <c r="A9984" s="402">
        <v>101262</v>
      </c>
      <c r="B9984" s="403" t="s">
        <v>14394</v>
      </c>
      <c r="C9984" s="402" t="s">
        <v>33</v>
      </c>
      <c r="D9984" s="601">
        <v>10.01</v>
      </c>
    </row>
    <row r="9985" spans="1:4" ht="54">
      <c r="A9985" s="402">
        <v>101263</v>
      </c>
      <c r="B9985" s="403" t="s">
        <v>14395</v>
      </c>
      <c r="C9985" s="402" t="s">
        <v>33</v>
      </c>
      <c r="D9985" s="601">
        <v>11.58</v>
      </c>
    </row>
    <row r="9986" spans="1:4" ht="54">
      <c r="A9986" s="402">
        <v>101264</v>
      </c>
      <c r="B9986" s="403" t="s">
        <v>14396</v>
      </c>
      <c r="C9986" s="402" t="s">
        <v>33</v>
      </c>
      <c r="D9986" s="601">
        <v>12.82</v>
      </c>
    </row>
    <row r="9987" spans="1:4" ht="54">
      <c r="A9987" s="402">
        <v>101265</v>
      </c>
      <c r="B9987" s="403" t="s">
        <v>14397</v>
      </c>
      <c r="C9987" s="402" t="s">
        <v>33</v>
      </c>
      <c r="D9987" s="601">
        <v>15.98</v>
      </c>
    </row>
    <row r="9988" spans="1:4" ht="54">
      <c r="A9988" s="402">
        <v>101266</v>
      </c>
      <c r="B9988" s="403" t="s">
        <v>14398</v>
      </c>
      <c r="C9988" s="402" t="s">
        <v>33</v>
      </c>
      <c r="D9988" s="601">
        <v>5.77</v>
      </c>
    </row>
    <row r="9989" spans="1:4" ht="54">
      <c r="A9989" s="402">
        <v>101267</v>
      </c>
      <c r="B9989" s="403" t="s">
        <v>14399</v>
      </c>
      <c r="C9989" s="402" t="s">
        <v>33</v>
      </c>
      <c r="D9989" s="601">
        <v>5.52</v>
      </c>
    </row>
    <row r="9990" spans="1:4" ht="54">
      <c r="A9990" s="402">
        <v>101268</v>
      </c>
      <c r="B9990" s="403" t="s">
        <v>14400</v>
      </c>
      <c r="C9990" s="402" t="s">
        <v>33</v>
      </c>
      <c r="D9990" s="601">
        <v>9.11</v>
      </c>
    </row>
    <row r="9991" spans="1:4" ht="54">
      <c r="A9991" s="402">
        <v>101269</v>
      </c>
      <c r="B9991" s="403" t="s">
        <v>14401</v>
      </c>
      <c r="C9991" s="402" t="s">
        <v>33</v>
      </c>
      <c r="D9991" s="601">
        <v>10.11</v>
      </c>
    </row>
    <row r="9992" spans="1:4" ht="54">
      <c r="A9992" s="402">
        <v>101270</v>
      </c>
      <c r="B9992" s="403" t="s">
        <v>14402</v>
      </c>
      <c r="C9992" s="402" t="s">
        <v>33</v>
      </c>
      <c r="D9992" s="601">
        <v>11.71</v>
      </c>
    </row>
    <row r="9993" spans="1:4" ht="54">
      <c r="A9993" s="402">
        <v>101271</v>
      </c>
      <c r="B9993" s="403" t="s">
        <v>14403</v>
      </c>
      <c r="C9993" s="402" t="s">
        <v>33</v>
      </c>
      <c r="D9993" s="601">
        <v>12.97</v>
      </c>
    </row>
    <row r="9994" spans="1:4" ht="54">
      <c r="A9994" s="402">
        <v>101272</v>
      </c>
      <c r="B9994" s="403" t="s">
        <v>14404</v>
      </c>
      <c r="C9994" s="402" t="s">
        <v>33</v>
      </c>
      <c r="D9994" s="601">
        <v>16.2</v>
      </c>
    </row>
    <row r="9995" spans="1:4" ht="54">
      <c r="A9995" s="402">
        <v>101273</v>
      </c>
      <c r="B9995" s="403" t="s">
        <v>14405</v>
      </c>
      <c r="C9995" s="402" t="s">
        <v>33</v>
      </c>
      <c r="D9995" s="601">
        <v>8.7100000000000009</v>
      </c>
    </row>
    <row r="9996" spans="1:4" ht="54">
      <c r="A9996" s="402">
        <v>101274</v>
      </c>
      <c r="B9996" s="403" t="s">
        <v>14406</v>
      </c>
      <c r="C9996" s="402" t="s">
        <v>33</v>
      </c>
      <c r="D9996" s="601">
        <v>9.6</v>
      </c>
    </row>
    <row r="9997" spans="1:4" ht="54">
      <c r="A9997" s="402">
        <v>101275</v>
      </c>
      <c r="B9997" s="403" t="s">
        <v>14407</v>
      </c>
      <c r="C9997" s="402" t="s">
        <v>33</v>
      </c>
      <c r="D9997" s="601">
        <v>11.13</v>
      </c>
    </row>
    <row r="9998" spans="1:4" ht="54">
      <c r="A9998" s="402">
        <v>101276</v>
      </c>
      <c r="B9998" s="403" t="s">
        <v>14408</v>
      </c>
      <c r="C9998" s="402" t="s">
        <v>33</v>
      </c>
      <c r="D9998" s="601">
        <v>12.3</v>
      </c>
    </row>
    <row r="9999" spans="1:4" ht="54">
      <c r="A9999" s="402">
        <v>101277</v>
      </c>
      <c r="B9999" s="403" t="s">
        <v>14409</v>
      </c>
      <c r="C9999" s="402" t="s">
        <v>33</v>
      </c>
      <c r="D9999" s="601">
        <v>15.7</v>
      </c>
    </row>
    <row r="10000" spans="1:4" ht="27">
      <c r="A10000" s="402">
        <v>72915</v>
      </c>
      <c r="B10000" s="403" t="s">
        <v>1176</v>
      </c>
      <c r="C10000" s="402" t="s">
        <v>33</v>
      </c>
      <c r="D10000" s="601">
        <v>8.36</v>
      </c>
    </row>
    <row r="10001" spans="1:4" ht="27">
      <c r="A10001" s="402">
        <v>72917</v>
      </c>
      <c r="B10001" s="403" t="s">
        <v>57</v>
      </c>
      <c r="C10001" s="402" t="s">
        <v>33</v>
      </c>
      <c r="D10001" s="601">
        <v>9.5500000000000007</v>
      </c>
    </row>
    <row r="10002" spans="1:4" ht="27">
      <c r="A10002" s="402">
        <v>72918</v>
      </c>
      <c r="B10002" s="403" t="s">
        <v>147</v>
      </c>
      <c r="C10002" s="402" t="s">
        <v>33</v>
      </c>
      <c r="D10002" s="601">
        <v>11.15</v>
      </c>
    </row>
    <row r="10003" spans="1:4" ht="27">
      <c r="A10003" s="402" t="s">
        <v>4363</v>
      </c>
      <c r="B10003" s="403" t="s">
        <v>4364</v>
      </c>
      <c r="C10003" s="402" t="s">
        <v>33</v>
      </c>
      <c r="D10003" s="601">
        <v>143.69999999999999</v>
      </c>
    </row>
    <row r="10004" spans="1:4" ht="13.5">
      <c r="A10004" s="402" t="s">
        <v>4448</v>
      </c>
      <c r="B10004" s="403" t="s">
        <v>815</v>
      </c>
      <c r="C10004" s="402" t="s">
        <v>33</v>
      </c>
      <c r="D10004" s="601">
        <v>215.55</v>
      </c>
    </row>
    <row r="10005" spans="1:4" ht="27">
      <c r="A10005" s="402">
        <v>83343</v>
      </c>
      <c r="B10005" s="403" t="s">
        <v>1194</v>
      </c>
      <c r="C10005" s="402" t="s">
        <v>33</v>
      </c>
      <c r="D10005" s="601">
        <v>10.43</v>
      </c>
    </row>
    <row r="10006" spans="1:4" ht="54">
      <c r="A10006" s="402">
        <v>90082</v>
      </c>
      <c r="B10006" s="403" t="s">
        <v>5725</v>
      </c>
      <c r="C10006" s="402" t="s">
        <v>33</v>
      </c>
      <c r="D10006" s="601">
        <v>6.58</v>
      </c>
    </row>
    <row r="10007" spans="1:4" ht="54">
      <c r="A10007" s="402">
        <v>90084</v>
      </c>
      <c r="B10007" s="403" t="s">
        <v>2143</v>
      </c>
      <c r="C10007" s="402" t="s">
        <v>33</v>
      </c>
      <c r="D10007" s="601">
        <v>6.4</v>
      </c>
    </row>
    <row r="10008" spans="1:4" ht="54">
      <c r="A10008" s="402">
        <v>90085</v>
      </c>
      <c r="B10008" s="403" t="s">
        <v>2144</v>
      </c>
      <c r="C10008" s="402" t="s">
        <v>33</v>
      </c>
      <c r="D10008" s="601">
        <v>6.01</v>
      </c>
    </row>
    <row r="10009" spans="1:4" ht="54">
      <c r="A10009" s="402">
        <v>90086</v>
      </c>
      <c r="B10009" s="403" t="s">
        <v>2145</v>
      </c>
      <c r="C10009" s="402" t="s">
        <v>33</v>
      </c>
      <c r="D10009" s="601">
        <v>6.08</v>
      </c>
    </row>
    <row r="10010" spans="1:4" ht="54">
      <c r="A10010" s="402">
        <v>90087</v>
      </c>
      <c r="B10010" s="403" t="s">
        <v>2146</v>
      </c>
      <c r="C10010" s="402" t="s">
        <v>33</v>
      </c>
      <c r="D10010" s="601">
        <v>5.23</v>
      </c>
    </row>
    <row r="10011" spans="1:4" ht="54">
      <c r="A10011" s="402">
        <v>90088</v>
      </c>
      <c r="B10011" s="403" t="s">
        <v>2147</v>
      </c>
      <c r="C10011" s="402" t="s">
        <v>33</v>
      </c>
      <c r="D10011" s="601">
        <v>5.33</v>
      </c>
    </row>
    <row r="10012" spans="1:4" ht="54">
      <c r="A10012" s="402">
        <v>90090</v>
      </c>
      <c r="B10012" s="403" t="s">
        <v>2148</v>
      </c>
      <c r="C10012" s="402" t="s">
        <v>33</v>
      </c>
      <c r="D10012" s="601">
        <v>5.12</v>
      </c>
    </row>
    <row r="10013" spans="1:4" ht="54">
      <c r="A10013" s="402">
        <v>90091</v>
      </c>
      <c r="B10013" s="403" t="s">
        <v>5726</v>
      </c>
      <c r="C10013" s="402" t="s">
        <v>33</v>
      </c>
      <c r="D10013" s="601">
        <v>3.93</v>
      </c>
    </row>
    <row r="10014" spans="1:4" ht="54">
      <c r="A10014" s="402">
        <v>90092</v>
      </c>
      <c r="B10014" s="403" t="s">
        <v>2149</v>
      </c>
      <c r="C10014" s="402" t="s">
        <v>33</v>
      </c>
      <c r="D10014" s="601">
        <v>3.8</v>
      </c>
    </row>
    <row r="10015" spans="1:4" ht="54">
      <c r="A10015" s="402">
        <v>90093</v>
      </c>
      <c r="B10015" s="403" t="s">
        <v>2150</v>
      </c>
      <c r="C10015" s="402" t="s">
        <v>33</v>
      </c>
      <c r="D10015" s="601">
        <v>3.58</v>
      </c>
    </row>
    <row r="10016" spans="1:4" ht="54">
      <c r="A10016" s="402">
        <v>90094</v>
      </c>
      <c r="B10016" s="403" t="s">
        <v>2151</v>
      </c>
      <c r="C10016" s="402" t="s">
        <v>33</v>
      </c>
      <c r="D10016" s="601">
        <v>3.61</v>
      </c>
    </row>
    <row r="10017" spans="1:4" ht="54">
      <c r="A10017" s="402">
        <v>90095</v>
      </c>
      <c r="B10017" s="403" t="s">
        <v>2152</v>
      </c>
      <c r="C10017" s="402" t="s">
        <v>33</v>
      </c>
      <c r="D10017" s="601">
        <v>3.11</v>
      </c>
    </row>
    <row r="10018" spans="1:4" ht="54">
      <c r="A10018" s="402">
        <v>90096</v>
      </c>
      <c r="B10018" s="403" t="s">
        <v>2153</v>
      </c>
      <c r="C10018" s="402" t="s">
        <v>33</v>
      </c>
      <c r="D10018" s="601">
        <v>3.18</v>
      </c>
    </row>
    <row r="10019" spans="1:4" ht="54">
      <c r="A10019" s="402">
        <v>90098</v>
      </c>
      <c r="B10019" s="403" t="s">
        <v>2154</v>
      </c>
      <c r="C10019" s="402" t="s">
        <v>33</v>
      </c>
      <c r="D10019" s="601">
        <v>3.04</v>
      </c>
    </row>
    <row r="10020" spans="1:4" ht="54">
      <c r="A10020" s="402">
        <v>90099</v>
      </c>
      <c r="B10020" s="403" t="s">
        <v>2155</v>
      </c>
      <c r="C10020" s="402" t="s">
        <v>33</v>
      </c>
      <c r="D10020" s="601">
        <v>8.82</v>
      </c>
    </row>
    <row r="10021" spans="1:4" ht="54">
      <c r="A10021" s="402">
        <v>90100</v>
      </c>
      <c r="B10021" s="403" t="s">
        <v>2156</v>
      </c>
      <c r="C10021" s="402" t="s">
        <v>33</v>
      </c>
      <c r="D10021" s="601">
        <v>7.51</v>
      </c>
    </row>
    <row r="10022" spans="1:4" ht="54">
      <c r="A10022" s="402">
        <v>90101</v>
      </c>
      <c r="B10022" s="403" t="s">
        <v>2157</v>
      </c>
      <c r="C10022" s="402" t="s">
        <v>33</v>
      </c>
      <c r="D10022" s="601">
        <v>7.41</v>
      </c>
    </row>
    <row r="10023" spans="1:4" ht="54">
      <c r="A10023" s="402">
        <v>90102</v>
      </c>
      <c r="B10023" s="403" t="s">
        <v>2158</v>
      </c>
      <c r="C10023" s="402" t="s">
        <v>33</v>
      </c>
      <c r="D10023" s="601">
        <v>6.75</v>
      </c>
    </row>
    <row r="10024" spans="1:4" ht="67.5">
      <c r="A10024" s="402">
        <v>90105</v>
      </c>
      <c r="B10024" s="403" t="s">
        <v>2159</v>
      </c>
      <c r="C10024" s="402" t="s">
        <v>33</v>
      </c>
      <c r="D10024" s="601">
        <v>5.26</v>
      </c>
    </row>
    <row r="10025" spans="1:4" ht="67.5">
      <c r="A10025" s="402">
        <v>90106</v>
      </c>
      <c r="B10025" s="403" t="s">
        <v>2160</v>
      </c>
      <c r="C10025" s="402" t="s">
        <v>33</v>
      </c>
      <c r="D10025" s="601">
        <v>4.4800000000000004</v>
      </c>
    </row>
    <row r="10026" spans="1:4" ht="67.5">
      <c r="A10026" s="402">
        <v>90107</v>
      </c>
      <c r="B10026" s="403" t="s">
        <v>4715</v>
      </c>
      <c r="C10026" s="402" t="s">
        <v>33</v>
      </c>
      <c r="D10026" s="601">
        <v>4.42</v>
      </c>
    </row>
    <row r="10027" spans="1:4" ht="67.5">
      <c r="A10027" s="402">
        <v>90108</v>
      </c>
      <c r="B10027" s="403" t="s">
        <v>2161</v>
      </c>
      <c r="C10027" s="402" t="s">
        <v>33</v>
      </c>
      <c r="D10027" s="601">
        <v>4.03</v>
      </c>
    </row>
    <row r="10028" spans="1:4" ht="27">
      <c r="A10028" s="402">
        <v>93358</v>
      </c>
      <c r="B10028" s="403" t="s">
        <v>4716</v>
      </c>
      <c r="C10028" s="402" t="s">
        <v>33</v>
      </c>
      <c r="D10028" s="601">
        <v>56.84</v>
      </c>
    </row>
    <row r="10029" spans="1:4" ht="40.5">
      <c r="A10029" s="402">
        <v>94304</v>
      </c>
      <c r="B10029" s="403" t="s">
        <v>3351</v>
      </c>
      <c r="C10029" s="402" t="s">
        <v>33</v>
      </c>
      <c r="D10029" s="601">
        <v>22.7</v>
      </c>
    </row>
    <row r="10030" spans="1:4" ht="40.5">
      <c r="A10030" s="402">
        <v>94305</v>
      </c>
      <c r="B10030" s="403" t="s">
        <v>3352</v>
      </c>
      <c r="C10030" s="402" t="s">
        <v>33</v>
      </c>
      <c r="D10030" s="601">
        <v>20.6</v>
      </c>
    </row>
    <row r="10031" spans="1:4" ht="40.5">
      <c r="A10031" s="402">
        <v>94306</v>
      </c>
      <c r="B10031" s="403" t="s">
        <v>3353</v>
      </c>
      <c r="C10031" s="402" t="s">
        <v>33</v>
      </c>
      <c r="D10031" s="601">
        <v>17.940000000000001</v>
      </c>
    </row>
    <row r="10032" spans="1:4" ht="40.5">
      <c r="A10032" s="402">
        <v>94307</v>
      </c>
      <c r="B10032" s="403" t="s">
        <v>3354</v>
      </c>
      <c r="C10032" s="402" t="s">
        <v>33</v>
      </c>
      <c r="D10032" s="601">
        <v>18.55</v>
      </c>
    </row>
    <row r="10033" spans="1:4" ht="40.5">
      <c r="A10033" s="402">
        <v>94308</v>
      </c>
      <c r="B10033" s="403" t="s">
        <v>3355</v>
      </c>
      <c r="C10033" s="402" t="s">
        <v>33</v>
      </c>
      <c r="D10033" s="601">
        <v>16.920000000000002</v>
      </c>
    </row>
    <row r="10034" spans="1:4" ht="40.5">
      <c r="A10034" s="402">
        <v>94309</v>
      </c>
      <c r="B10034" s="403" t="s">
        <v>3356</v>
      </c>
      <c r="C10034" s="402" t="s">
        <v>33</v>
      </c>
      <c r="D10034" s="601">
        <v>17.66</v>
      </c>
    </row>
    <row r="10035" spans="1:4" ht="40.5">
      <c r="A10035" s="402">
        <v>94310</v>
      </c>
      <c r="B10035" s="403" t="s">
        <v>3357</v>
      </c>
      <c r="C10035" s="402" t="s">
        <v>33</v>
      </c>
      <c r="D10035" s="601">
        <v>16.41</v>
      </c>
    </row>
    <row r="10036" spans="1:4" ht="40.5">
      <c r="A10036" s="402">
        <v>94315</v>
      </c>
      <c r="B10036" s="403" t="s">
        <v>714</v>
      </c>
      <c r="C10036" s="402" t="s">
        <v>33</v>
      </c>
      <c r="D10036" s="601">
        <v>26.98</v>
      </c>
    </row>
    <row r="10037" spans="1:4" ht="40.5">
      <c r="A10037" s="402">
        <v>94316</v>
      </c>
      <c r="B10037" s="403" t="s">
        <v>3358</v>
      </c>
      <c r="C10037" s="402" t="s">
        <v>33</v>
      </c>
      <c r="D10037" s="601">
        <v>22.09</v>
      </c>
    </row>
    <row r="10038" spans="1:4" ht="40.5">
      <c r="A10038" s="402">
        <v>94317</v>
      </c>
      <c r="B10038" s="403" t="s">
        <v>715</v>
      </c>
      <c r="C10038" s="402" t="s">
        <v>33</v>
      </c>
      <c r="D10038" s="601">
        <v>19.91</v>
      </c>
    </row>
    <row r="10039" spans="1:4" ht="40.5">
      <c r="A10039" s="402">
        <v>94318</v>
      </c>
      <c r="B10039" s="403" t="s">
        <v>3359</v>
      </c>
      <c r="C10039" s="402" t="s">
        <v>33</v>
      </c>
      <c r="D10039" s="601">
        <v>17.14</v>
      </c>
    </row>
    <row r="10040" spans="1:4" ht="27">
      <c r="A10040" s="402">
        <v>94319</v>
      </c>
      <c r="B10040" s="403" t="s">
        <v>3360</v>
      </c>
      <c r="C10040" s="402" t="s">
        <v>33</v>
      </c>
      <c r="D10040" s="601">
        <v>30.77</v>
      </c>
    </row>
    <row r="10041" spans="1:4" ht="40.5">
      <c r="A10041" s="402">
        <v>94327</v>
      </c>
      <c r="B10041" s="403" t="s">
        <v>3361</v>
      </c>
      <c r="C10041" s="402" t="s">
        <v>33</v>
      </c>
      <c r="D10041" s="601">
        <v>73.48</v>
      </c>
    </row>
    <row r="10042" spans="1:4" ht="40.5">
      <c r="A10042" s="402">
        <v>94328</v>
      </c>
      <c r="B10042" s="403" t="s">
        <v>3362</v>
      </c>
      <c r="C10042" s="402" t="s">
        <v>33</v>
      </c>
      <c r="D10042" s="601">
        <v>71.38</v>
      </c>
    </row>
    <row r="10043" spans="1:4" ht="40.5">
      <c r="A10043" s="402">
        <v>94329</v>
      </c>
      <c r="B10043" s="403" t="s">
        <v>3363</v>
      </c>
      <c r="C10043" s="402" t="s">
        <v>33</v>
      </c>
      <c r="D10043" s="601">
        <v>68.72</v>
      </c>
    </row>
    <row r="10044" spans="1:4" ht="40.5">
      <c r="A10044" s="402">
        <v>94330</v>
      </c>
      <c r="B10044" s="403" t="s">
        <v>3364</v>
      </c>
      <c r="C10044" s="402" t="s">
        <v>33</v>
      </c>
      <c r="D10044" s="601">
        <v>69.33</v>
      </c>
    </row>
    <row r="10045" spans="1:4" ht="40.5">
      <c r="A10045" s="402">
        <v>94331</v>
      </c>
      <c r="B10045" s="403" t="s">
        <v>3365</v>
      </c>
      <c r="C10045" s="402" t="s">
        <v>33</v>
      </c>
      <c r="D10045" s="601">
        <v>67.7</v>
      </c>
    </row>
    <row r="10046" spans="1:4" ht="40.5">
      <c r="A10046" s="402">
        <v>94332</v>
      </c>
      <c r="B10046" s="403" t="s">
        <v>3366</v>
      </c>
      <c r="C10046" s="402" t="s">
        <v>33</v>
      </c>
      <c r="D10046" s="601">
        <v>68.44</v>
      </c>
    </row>
    <row r="10047" spans="1:4" ht="40.5">
      <c r="A10047" s="402">
        <v>94333</v>
      </c>
      <c r="B10047" s="403" t="s">
        <v>3367</v>
      </c>
      <c r="C10047" s="402" t="s">
        <v>33</v>
      </c>
      <c r="D10047" s="601">
        <v>67.19</v>
      </c>
    </row>
    <row r="10048" spans="1:4" ht="40.5">
      <c r="A10048" s="402">
        <v>94338</v>
      </c>
      <c r="B10048" s="403" t="s">
        <v>716</v>
      </c>
      <c r="C10048" s="402" t="s">
        <v>33</v>
      </c>
      <c r="D10048" s="601">
        <v>77.760000000000005</v>
      </c>
    </row>
    <row r="10049" spans="1:4" ht="40.5">
      <c r="A10049" s="402">
        <v>94339</v>
      </c>
      <c r="B10049" s="403" t="s">
        <v>3368</v>
      </c>
      <c r="C10049" s="402" t="s">
        <v>33</v>
      </c>
      <c r="D10049" s="601">
        <v>72.87</v>
      </c>
    </row>
    <row r="10050" spans="1:4" ht="40.5">
      <c r="A10050" s="402">
        <v>94340</v>
      </c>
      <c r="B10050" s="403" t="s">
        <v>717</v>
      </c>
      <c r="C10050" s="402" t="s">
        <v>33</v>
      </c>
      <c r="D10050" s="601">
        <v>70.69</v>
      </c>
    </row>
    <row r="10051" spans="1:4" ht="40.5">
      <c r="A10051" s="402">
        <v>94341</v>
      </c>
      <c r="B10051" s="403" t="s">
        <v>3369</v>
      </c>
      <c r="C10051" s="402" t="s">
        <v>33</v>
      </c>
      <c r="D10051" s="601">
        <v>67.92</v>
      </c>
    </row>
    <row r="10052" spans="1:4" ht="27">
      <c r="A10052" s="402">
        <v>94342</v>
      </c>
      <c r="B10052" s="403" t="s">
        <v>718</v>
      </c>
      <c r="C10052" s="402" t="s">
        <v>33</v>
      </c>
      <c r="D10052" s="601">
        <v>81.55</v>
      </c>
    </row>
    <row r="10053" spans="1:4" ht="27">
      <c r="A10053" s="402">
        <v>96385</v>
      </c>
      <c r="B10053" s="403" t="s">
        <v>6975</v>
      </c>
      <c r="C10053" s="402" t="s">
        <v>33</v>
      </c>
      <c r="D10053" s="601">
        <v>5.77</v>
      </c>
    </row>
    <row r="10054" spans="1:4" ht="27">
      <c r="A10054" s="402">
        <v>96386</v>
      </c>
      <c r="B10054" s="403" t="s">
        <v>6976</v>
      </c>
      <c r="C10054" s="402" t="s">
        <v>33</v>
      </c>
      <c r="D10054" s="601">
        <v>4.13</v>
      </c>
    </row>
    <row r="10055" spans="1:4" ht="54">
      <c r="A10055" s="402">
        <v>93360</v>
      </c>
      <c r="B10055" s="403" t="s">
        <v>5727</v>
      </c>
      <c r="C10055" s="402" t="s">
        <v>33</v>
      </c>
      <c r="D10055" s="601">
        <v>11.9</v>
      </c>
    </row>
    <row r="10056" spans="1:4" ht="54">
      <c r="A10056" s="402">
        <v>93361</v>
      </c>
      <c r="B10056" s="403" t="s">
        <v>5728</v>
      </c>
      <c r="C10056" s="402" t="s">
        <v>33</v>
      </c>
      <c r="D10056" s="601">
        <v>9.8699999999999992</v>
      </c>
    </row>
    <row r="10057" spans="1:4" ht="54">
      <c r="A10057" s="402">
        <v>93362</v>
      </c>
      <c r="B10057" s="403" t="s">
        <v>5729</v>
      </c>
      <c r="C10057" s="402" t="s">
        <v>33</v>
      </c>
      <c r="D10057" s="601">
        <v>7.16</v>
      </c>
    </row>
    <row r="10058" spans="1:4" ht="54">
      <c r="A10058" s="402">
        <v>93363</v>
      </c>
      <c r="B10058" s="403" t="s">
        <v>5730</v>
      </c>
      <c r="C10058" s="402" t="s">
        <v>33</v>
      </c>
      <c r="D10058" s="601">
        <v>7.75</v>
      </c>
    </row>
    <row r="10059" spans="1:4" ht="54">
      <c r="A10059" s="402">
        <v>93364</v>
      </c>
      <c r="B10059" s="403" t="s">
        <v>3215</v>
      </c>
      <c r="C10059" s="402" t="s">
        <v>33</v>
      </c>
      <c r="D10059" s="601">
        <v>6.13</v>
      </c>
    </row>
    <row r="10060" spans="1:4" ht="54">
      <c r="A10060" s="402">
        <v>93365</v>
      </c>
      <c r="B10060" s="403" t="s">
        <v>5731</v>
      </c>
      <c r="C10060" s="402" t="s">
        <v>33</v>
      </c>
      <c r="D10060" s="601">
        <v>6.82</v>
      </c>
    </row>
    <row r="10061" spans="1:4" ht="54">
      <c r="A10061" s="402">
        <v>93366</v>
      </c>
      <c r="B10061" s="403" t="s">
        <v>5732</v>
      </c>
      <c r="C10061" s="402" t="s">
        <v>33</v>
      </c>
      <c r="D10061" s="601">
        <v>5.63</v>
      </c>
    </row>
    <row r="10062" spans="1:4" ht="54">
      <c r="A10062" s="402">
        <v>93367</v>
      </c>
      <c r="B10062" s="403" t="s">
        <v>5733</v>
      </c>
      <c r="C10062" s="402" t="s">
        <v>33</v>
      </c>
      <c r="D10062" s="601">
        <v>11.13</v>
      </c>
    </row>
    <row r="10063" spans="1:4" ht="54">
      <c r="A10063" s="402">
        <v>93368</v>
      </c>
      <c r="B10063" s="403" t="s">
        <v>5734</v>
      </c>
      <c r="C10063" s="402" t="s">
        <v>33</v>
      </c>
      <c r="D10063" s="601">
        <v>9.0399999999999991</v>
      </c>
    </row>
    <row r="10064" spans="1:4" ht="54">
      <c r="A10064" s="402">
        <v>93369</v>
      </c>
      <c r="B10064" s="403" t="s">
        <v>3216</v>
      </c>
      <c r="C10064" s="402" t="s">
        <v>33</v>
      </c>
      <c r="D10064" s="601">
        <v>6.39</v>
      </c>
    </row>
    <row r="10065" spans="1:4" ht="54">
      <c r="A10065" s="402">
        <v>93370</v>
      </c>
      <c r="B10065" s="403" t="s">
        <v>5735</v>
      </c>
      <c r="C10065" s="402" t="s">
        <v>33</v>
      </c>
      <c r="D10065" s="601">
        <v>6.99</v>
      </c>
    </row>
    <row r="10066" spans="1:4" ht="54">
      <c r="A10066" s="402">
        <v>93371</v>
      </c>
      <c r="B10066" s="403" t="s">
        <v>3217</v>
      </c>
      <c r="C10066" s="402" t="s">
        <v>33</v>
      </c>
      <c r="D10066" s="601">
        <v>5.36</v>
      </c>
    </row>
    <row r="10067" spans="1:4" ht="54">
      <c r="A10067" s="402">
        <v>93372</v>
      </c>
      <c r="B10067" s="403" t="s">
        <v>5736</v>
      </c>
      <c r="C10067" s="402" t="s">
        <v>33</v>
      </c>
      <c r="D10067" s="601">
        <v>6.1</v>
      </c>
    </row>
    <row r="10068" spans="1:4" ht="54">
      <c r="A10068" s="402">
        <v>93373</v>
      </c>
      <c r="B10068" s="403" t="s">
        <v>3218</v>
      </c>
      <c r="C10068" s="402" t="s">
        <v>33</v>
      </c>
      <c r="D10068" s="601">
        <v>4.8600000000000003</v>
      </c>
    </row>
    <row r="10069" spans="1:4" ht="54">
      <c r="A10069" s="402">
        <v>93374</v>
      </c>
      <c r="B10069" s="403" t="s">
        <v>3219</v>
      </c>
      <c r="C10069" s="402" t="s">
        <v>33</v>
      </c>
      <c r="D10069" s="601">
        <v>14.13</v>
      </c>
    </row>
    <row r="10070" spans="1:4" ht="54">
      <c r="A10070" s="402">
        <v>93375</v>
      </c>
      <c r="B10070" s="403" t="s">
        <v>5737</v>
      </c>
      <c r="C10070" s="402" t="s">
        <v>33</v>
      </c>
      <c r="D10070" s="601">
        <v>10.88</v>
      </c>
    </row>
    <row r="10071" spans="1:4" ht="54">
      <c r="A10071" s="402">
        <v>93376</v>
      </c>
      <c r="B10071" s="403" t="s">
        <v>5738</v>
      </c>
      <c r="C10071" s="402" t="s">
        <v>33</v>
      </c>
      <c r="D10071" s="601">
        <v>8.8800000000000008</v>
      </c>
    </row>
    <row r="10072" spans="1:4" ht="54">
      <c r="A10072" s="402">
        <v>93377</v>
      </c>
      <c r="B10072" s="403" t="s">
        <v>3220</v>
      </c>
      <c r="C10072" s="402" t="s">
        <v>33</v>
      </c>
      <c r="D10072" s="601">
        <v>5.96</v>
      </c>
    </row>
    <row r="10073" spans="1:4" ht="54">
      <c r="A10073" s="402">
        <v>93378</v>
      </c>
      <c r="B10073" s="403" t="s">
        <v>5739</v>
      </c>
      <c r="C10073" s="402" t="s">
        <v>33</v>
      </c>
      <c r="D10073" s="601">
        <v>13.21</v>
      </c>
    </row>
    <row r="10074" spans="1:4" ht="54">
      <c r="A10074" s="402">
        <v>93379</v>
      </c>
      <c r="B10074" s="403" t="s">
        <v>5740</v>
      </c>
      <c r="C10074" s="402" t="s">
        <v>33</v>
      </c>
      <c r="D10074" s="601">
        <v>10.19</v>
      </c>
    </row>
    <row r="10075" spans="1:4" ht="54">
      <c r="A10075" s="402">
        <v>93380</v>
      </c>
      <c r="B10075" s="403" t="s">
        <v>5741</v>
      </c>
      <c r="C10075" s="402" t="s">
        <v>33</v>
      </c>
      <c r="D10075" s="601">
        <v>8.34</v>
      </c>
    </row>
    <row r="10076" spans="1:4" ht="54">
      <c r="A10076" s="402">
        <v>93381</v>
      </c>
      <c r="B10076" s="403" t="s">
        <v>3221</v>
      </c>
      <c r="C10076" s="402" t="s">
        <v>33</v>
      </c>
      <c r="D10076" s="601">
        <v>5.58</v>
      </c>
    </row>
    <row r="10077" spans="1:4" ht="13.5">
      <c r="A10077" s="402">
        <v>93382</v>
      </c>
      <c r="B10077" s="403" t="s">
        <v>681</v>
      </c>
      <c r="C10077" s="402" t="s">
        <v>33</v>
      </c>
      <c r="D10077" s="601">
        <v>19.22</v>
      </c>
    </row>
    <row r="10078" spans="1:4" ht="13.5">
      <c r="A10078" s="402">
        <v>96995</v>
      </c>
      <c r="B10078" s="403" t="s">
        <v>4493</v>
      </c>
      <c r="C10078" s="402" t="s">
        <v>33</v>
      </c>
      <c r="D10078" s="601">
        <v>34.46</v>
      </c>
    </row>
    <row r="10079" spans="1:4" ht="13.5">
      <c r="A10079" s="402">
        <v>72838</v>
      </c>
      <c r="B10079" s="403" t="s">
        <v>1162</v>
      </c>
      <c r="C10079" s="402" t="s">
        <v>140</v>
      </c>
      <c r="D10079" s="601">
        <v>0.68</v>
      </c>
    </row>
    <row r="10080" spans="1:4" ht="27">
      <c r="A10080" s="402">
        <v>72839</v>
      </c>
      <c r="B10080" s="403" t="s">
        <v>1163</v>
      </c>
      <c r="C10080" s="402" t="s">
        <v>140</v>
      </c>
      <c r="D10080" s="601">
        <v>0.55000000000000004</v>
      </c>
    </row>
    <row r="10081" spans="1:4" ht="13.5">
      <c r="A10081" s="402">
        <v>72840</v>
      </c>
      <c r="B10081" s="403" t="s">
        <v>141</v>
      </c>
      <c r="C10081" s="402" t="s">
        <v>140</v>
      </c>
      <c r="D10081" s="601">
        <v>0.46</v>
      </c>
    </row>
    <row r="10082" spans="1:4" ht="27">
      <c r="A10082" s="402">
        <v>72844</v>
      </c>
      <c r="B10082" s="403" t="s">
        <v>1164</v>
      </c>
      <c r="C10082" s="402" t="s">
        <v>59</v>
      </c>
      <c r="D10082" s="601">
        <v>0.51</v>
      </c>
    </row>
    <row r="10083" spans="1:4" ht="27">
      <c r="A10083" s="402">
        <v>72845</v>
      </c>
      <c r="B10083" s="403" t="s">
        <v>142</v>
      </c>
      <c r="C10083" s="402" t="s">
        <v>59</v>
      </c>
      <c r="D10083" s="601">
        <v>3.06</v>
      </c>
    </row>
    <row r="10084" spans="1:4" ht="27">
      <c r="A10084" s="402">
        <v>72846</v>
      </c>
      <c r="B10084" s="403" t="s">
        <v>1165</v>
      </c>
      <c r="C10084" s="402" t="s">
        <v>59</v>
      </c>
      <c r="D10084" s="601">
        <v>2.52</v>
      </c>
    </row>
    <row r="10085" spans="1:4" ht="27">
      <c r="A10085" s="402">
        <v>72847</v>
      </c>
      <c r="B10085" s="403" t="s">
        <v>143</v>
      </c>
      <c r="C10085" s="402" t="s">
        <v>59</v>
      </c>
      <c r="D10085" s="601">
        <v>5.44</v>
      </c>
    </row>
    <row r="10086" spans="1:4" ht="27">
      <c r="A10086" s="402">
        <v>72848</v>
      </c>
      <c r="B10086" s="403" t="s">
        <v>1166</v>
      </c>
      <c r="C10086" s="402" t="s">
        <v>59</v>
      </c>
      <c r="D10086" s="601">
        <v>1.36</v>
      </c>
    </row>
    <row r="10087" spans="1:4" ht="27">
      <c r="A10087" s="402">
        <v>72849</v>
      </c>
      <c r="B10087" s="403" t="s">
        <v>1167</v>
      </c>
      <c r="C10087" s="402" t="s">
        <v>59</v>
      </c>
      <c r="D10087" s="601">
        <v>1.74</v>
      </c>
    </row>
    <row r="10088" spans="1:4" ht="27">
      <c r="A10088" s="402">
        <v>72850</v>
      </c>
      <c r="B10088" s="403" t="s">
        <v>1168</v>
      </c>
      <c r="C10088" s="402" t="s">
        <v>59</v>
      </c>
      <c r="D10088" s="601">
        <v>8.66</v>
      </c>
    </row>
    <row r="10089" spans="1:4" ht="13.5">
      <c r="A10089" s="402">
        <v>72882</v>
      </c>
      <c r="B10089" s="403" t="s">
        <v>1162</v>
      </c>
      <c r="C10089" s="402" t="s">
        <v>144</v>
      </c>
      <c r="D10089" s="601">
        <v>1.02</v>
      </c>
    </row>
    <row r="10090" spans="1:4" ht="27">
      <c r="A10090" s="402">
        <v>72883</v>
      </c>
      <c r="B10090" s="403" t="s">
        <v>1163</v>
      </c>
      <c r="C10090" s="402" t="s">
        <v>144</v>
      </c>
      <c r="D10090" s="601">
        <v>0.82</v>
      </c>
    </row>
    <row r="10091" spans="1:4" ht="13.5">
      <c r="A10091" s="402">
        <v>72884</v>
      </c>
      <c r="B10091" s="403" t="s">
        <v>141</v>
      </c>
      <c r="C10091" s="402" t="s">
        <v>144</v>
      </c>
      <c r="D10091" s="601">
        <v>0.68</v>
      </c>
    </row>
    <row r="10092" spans="1:4" ht="27">
      <c r="A10092" s="402">
        <v>72888</v>
      </c>
      <c r="B10092" s="403" t="s">
        <v>1164</v>
      </c>
      <c r="C10092" s="402" t="s">
        <v>33</v>
      </c>
      <c r="D10092" s="601">
        <v>0.76</v>
      </c>
    </row>
    <row r="10093" spans="1:4" ht="27">
      <c r="A10093" s="402">
        <v>72890</v>
      </c>
      <c r="B10093" s="403" t="s">
        <v>145</v>
      </c>
      <c r="C10093" s="402" t="s">
        <v>33</v>
      </c>
      <c r="D10093" s="601">
        <v>4.59</v>
      </c>
    </row>
    <row r="10094" spans="1:4" ht="27">
      <c r="A10094" s="402">
        <v>72891</v>
      </c>
      <c r="B10094" s="403" t="s">
        <v>1169</v>
      </c>
      <c r="C10094" s="402" t="s">
        <v>33</v>
      </c>
      <c r="D10094" s="601">
        <v>3.79</v>
      </c>
    </row>
    <row r="10095" spans="1:4" ht="27">
      <c r="A10095" s="402">
        <v>72892</v>
      </c>
      <c r="B10095" s="403" t="s">
        <v>1170</v>
      </c>
      <c r="C10095" s="402" t="s">
        <v>33</v>
      </c>
      <c r="D10095" s="601">
        <v>8.17</v>
      </c>
    </row>
    <row r="10096" spans="1:4" ht="27">
      <c r="A10096" s="402">
        <v>72893</v>
      </c>
      <c r="B10096" s="403" t="s">
        <v>1171</v>
      </c>
      <c r="C10096" s="402" t="s">
        <v>33</v>
      </c>
      <c r="D10096" s="601">
        <v>2.0299999999999998</v>
      </c>
    </row>
    <row r="10097" spans="1:4" ht="27">
      <c r="A10097" s="402">
        <v>72894</v>
      </c>
      <c r="B10097" s="403" t="s">
        <v>1172</v>
      </c>
      <c r="C10097" s="402" t="s">
        <v>33</v>
      </c>
      <c r="D10097" s="601">
        <v>2.61</v>
      </c>
    </row>
    <row r="10098" spans="1:4" ht="27">
      <c r="A10098" s="402">
        <v>72895</v>
      </c>
      <c r="B10098" s="403" t="s">
        <v>1173</v>
      </c>
      <c r="C10098" s="402" t="s">
        <v>33</v>
      </c>
      <c r="D10098" s="601">
        <v>13.78</v>
      </c>
    </row>
    <row r="10099" spans="1:4" ht="13.5">
      <c r="A10099" s="402">
        <v>72897</v>
      </c>
      <c r="B10099" s="403" t="s">
        <v>38</v>
      </c>
      <c r="C10099" s="402" t="s">
        <v>33</v>
      </c>
      <c r="D10099" s="601">
        <v>17.510000000000002</v>
      </c>
    </row>
    <row r="10100" spans="1:4" ht="13.5">
      <c r="A10100" s="402">
        <v>72898</v>
      </c>
      <c r="B10100" s="403" t="s">
        <v>146</v>
      </c>
      <c r="C10100" s="402" t="s">
        <v>33</v>
      </c>
      <c r="D10100" s="601">
        <v>2.97</v>
      </c>
    </row>
    <row r="10101" spans="1:4" ht="27">
      <c r="A10101" s="402">
        <v>72899</v>
      </c>
      <c r="B10101" s="403" t="s">
        <v>1174</v>
      </c>
      <c r="C10101" s="402" t="s">
        <v>33</v>
      </c>
      <c r="D10101" s="601">
        <v>3.56</v>
      </c>
    </row>
    <row r="10102" spans="1:4" ht="27">
      <c r="A10102" s="402">
        <v>72900</v>
      </c>
      <c r="B10102" s="403" t="s">
        <v>1175</v>
      </c>
      <c r="C10102" s="402" t="s">
        <v>33</v>
      </c>
      <c r="D10102" s="601">
        <v>3.92</v>
      </c>
    </row>
    <row r="10103" spans="1:4" ht="40.5">
      <c r="A10103" s="402" t="s">
        <v>4370</v>
      </c>
      <c r="B10103" s="403" t="s">
        <v>4371</v>
      </c>
      <c r="C10103" s="402" t="s">
        <v>33</v>
      </c>
      <c r="D10103" s="601">
        <v>1.3</v>
      </c>
    </row>
    <row r="10104" spans="1:4" ht="13.5">
      <c r="A10104" s="402">
        <v>83356</v>
      </c>
      <c r="B10104" s="403" t="s">
        <v>160</v>
      </c>
      <c r="C10104" s="402" t="s">
        <v>144</v>
      </c>
      <c r="D10104" s="601">
        <v>0.63</v>
      </c>
    </row>
    <row r="10105" spans="1:4" ht="13.5">
      <c r="A10105" s="402">
        <v>83358</v>
      </c>
      <c r="B10105" s="403" t="s">
        <v>161</v>
      </c>
      <c r="C10105" s="402" t="s">
        <v>144</v>
      </c>
      <c r="D10105" s="601">
        <v>1.3</v>
      </c>
    </row>
    <row r="10106" spans="1:4" ht="27">
      <c r="A10106" s="402">
        <v>95303</v>
      </c>
      <c r="B10106" s="403" t="s">
        <v>3625</v>
      </c>
      <c r="C10106" s="402" t="s">
        <v>144</v>
      </c>
      <c r="D10106" s="601">
        <v>0.8</v>
      </c>
    </row>
    <row r="10107" spans="1:4" ht="27">
      <c r="A10107" s="402">
        <v>97916</v>
      </c>
      <c r="B10107" s="403" t="s">
        <v>4682</v>
      </c>
      <c r="C10107" s="402" t="s">
        <v>140</v>
      </c>
      <c r="D10107" s="601">
        <v>1</v>
      </c>
    </row>
    <row r="10108" spans="1:4" ht="27">
      <c r="A10108" s="402">
        <v>97917</v>
      </c>
      <c r="B10108" s="403" t="s">
        <v>4683</v>
      </c>
      <c r="C10108" s="402" t="s">
        <v>140</v>
      </c>
      <c r="D10108" s="601">
        <v>0.76</v>
      </c>
    </row>
    <row r="10109" spans="1:4" ht="27">
      <c r="A10109" s="402">
        <v>97918</v>
      </c>
      <c r="B10109" s="403" t="s">
        <v>4684</v>
      </c>
      <c r="C10109" s="402" t="s">
        <v>140</v>
      </c>
      <c r="D10109" s="601">
        <v>0.71</v>
      </c>
    </row>
    <row r="10110" spans="1:4" ht="27">
      <c r="A10110" s="402">
        <v>97919</v>
      </c>
      <c r="B10110" s="403" t="s">
        <v>4685</v>
      </c>
      <c r="C10110" s="402" t="s">
        <v>140</v>
      </c>
      <c r="D10110" s="601">
        <v>0.5</v>
      </c>
    </row>
    <row r="10111" spans="1:4" ht="27">
      <c r="A10111" s="402">
        <v>94097</v>
      </c>
      <c r="B10111" s="403" t="s">
        <v>3314</v>
      </c>
      <c r="C10111" s="402" t="s">
        <v>48</v>
      </c>
      <c r="D10111" s="601">
        <v>4.17</v>
      </c>
    </row>
    <row r="10112" spans="1:4" ht="27">
      <c r="A10112" s="402">
        <v>94098</v>
      </c>
      <c r="B10112" s="403" t="s">
        <v>3315</v>
      </c>
      <c r="C10112" s="402" t="s">
        <v>48</v>
      </c>
      <c r="D10112" s="601">
        <v>4.7699999999999996</v>
      </c>
    </row>
    <row r="10113" spans="1:4" ht="27">
      <c r="A10113" s="402">
        <v>94099</v>
      </c>
      <c r="B10113" s="403" t="s">
        <v>3316</v>
      </c>
      <c r="C10113" s="402" t="s">
        <v>48</v>
      </c>
      <c r="D10113" s="601">
        <v>2.09</v>
      </c>
    </row>
    <row r="10114" spans="1:4" ht="27">
      <c r="A10114" s="402">
        <v>94100</v>
      </c>
      <c r="B10114" s="403" t="s">
        <v>3317</v>
      </c>
      <c r="C10114" s="402" t="s">
        <v>48</v>
      </c>
      <c r="D10114" s="601">
        <v>2.66</v>
      </c>
    </row>
    <row r="10115" spans="1:4" ht="40.5">
      <c r="A10115" s="402">
        <v>94102</v>
      </c>
      <c r="B10115" s="403" t="s">
        <v>3318</v>
      </c>
      <c r="C10115" s="402" t="s">
        <v>33</v>
      </c>
      <c r="D10115" s="601">
        <v>152.11000000000001</v>
      </c>
    </row>
    <row r="10116" spans="1:4" ht="40.5">
      <c r="A10116" s="402">
        <v>94103</v>
      </c>
      <c r="B10116" s="403" t="s">
        <v>3319</v>
      </c>
      <c r="C10116" s="402" t="s">
        <v>33</v>
      </c>
      <c r="D10116" s="601">
        <v>214.63</v>
      </c>
    </row>
    <row r="10117" spans="1:4" ht="40.5">
      <c r="A10117" s="402">
        <v>94104</v>
      </c>
      <c r="B10117" s="403" t="s">
        <v>3320</v>
      </c>
      <c r="C10117" s="402" t="s">
        <v>33</v>
      </c>
      <c r="D10117" s="601">
        <v>155.41999999999999</v>
      </c>
    </row>
    <row r="10118" spans="1:4" ht="40.5">
      <c r="A10118" s="402">
        <v>94105</v>
      </c>
      <c r="B10118" s="403" t="s">
        <v>3321</v>
      </c>
      <c r="C10118" s="402" t="s">
        <v>33</v>
      </c>
      <c r="D10118" s="601">
        <v>217.98</v>
      </c>
    </row>
    <row r="10119" spans="1:4" ht="40.5">
      <c r="A10119" s="402">
        <v>94106</v>
      </c>
      <c r="B10119" s="403" t="s">
        <v>3322</v>
      </c>
      <c r="C10119" s="402" t="s">
        <v>33</v>
      </c>
      <c r="D10119" s="601">
        <v>135.47999999999999</v>
      </c>
    </row>
    <row r="10120" spans="1:4" ht="40.5">
      <c r="A10120" s="402">
        <v>94107</v>
      </c>
      <c r="B10120" s="403" t="s">
        <v>3323</v>
      </c>
      <c r="C10120" s="402" t="s">
        <v>33</v>
      </c>
      <c r="D10120" s="601">
        <v>198.03</v>
      </c>
    </row>
    <row r="10121" spans="1:4" ht="40.5">
      <c r="A10121" s="402">
        <v>94108</v>
      </c>
      <c r="B10121" s="403" t="s">
        <v>3324</v>
      </c>
      <c r="C10121" s="402" t="s">
        <v>33</v>
      </c>
      <c r="D10121" s="601">
        <v>138.82</v>
      </c>
    </row>
    <row r="10122" spans="1:4" ht="40.5">
      <c r="A10122" s="402">
        <v>94110</v>
      </c>
      <c r="B10122" s="403" t="s">
        <v>3325</v>
      </c>
      <c r="C10122" s="402" t="s">
        <v>33</v>
      </c>
      <c r="D10122" s="601">
        <v>201.35</v>
      </c>
    </row>
    <row r="10123" spans="1:4" ht="40.5">
      <c r="A10123" s="402">
        <v>94111</v>
      </c>
      <c r="B10123" s="403" t="s">
        <v>3326</v>
      </c>
      <c r="C10123" s="402" t="s">
        <v>33</v>
      </c>
      <c r="D10123" s="601">
        <v>126.22</v>
      </c>
    </row>
    <row r="10124" spans="1:4" ht="40.5">
      <c r="A10124" s="402">
        <v>94112</v>
      </c>
      <c r="B10124" s="403" t="s">
        <v>3327</v>
      </c>
      <c r="C10124" s="402" t="s">
        <v>33</v>
      </c>
      <c r="D10124" s="601">
        <v>182.73</v>
      </c>
    </row>
    <row r="10125" spans="1:4" ht="40.5">
      <c r="A10125" s="402">
        <v>94113</v>
      </c>
      <c r="B10125" s="403" t="s">
        <v>3328</v>
      </c>
      <c r="C10125" s="402" t="s">
        <v>33</v>
      </c>
      <c r="D10125" s="601">
        <v>131.26</v>
      </c>
    </row>
    <row r="10126" spans="1:4" ht="40.5">
      <c r="A10126" s="402">
        <v>94114</v>
      </c>
      <c r="B10126" s="403" t="s">
        <v>3329</v>
      </c>
      <c r="C10126" s="402" t="s">
        <v>33</v>
      </c>
      <c r="D10126" s="601">
        <v>188.41</v>
      </c>
    </row>
    <row r="10127" spans="1:4" ht="40.5">
      <c r="A10127" s="402">
        <v>94115</v>
      </c>
      <c r="B10127" s="403" t="s">
        <v>3330</v>
      </c>
      <c r="C10127" s="402" t="s">
        <v>33</v>
      </c>
      <c r="D10127" s="601">
        <v>102.6</v>
      </c>
    </row>
    <row r="10128" spans="1:4" ht="40.5">
      <c r="A10128" s="402">
        <v>94116</v>
      </c>
      <c r="B10128" s="403" t="s">
        <v>3331</v>
      </c>
      <c r="C10128" s="402" t="s">
        <v>33</v>
      </c>
      <c r="D10128" s="601">
        <v>155.68</v>
      </c>
    </row>
    <row r="10129" spans="1:4" ht="40.5">
      <c r="A10129" s="402">
        <v>94117</v>
      </c>
      <c r="B10129" s="403" t="s">
        <v>3332</v>
      </c>
      <c r="C10129" s="402" t="s">
        <v>33</v>
      </c>
      <c r="D10129" s="601">
        <v>107.29</v>
      </c>
    </row>
    <row r="10130" spans="1:4" ht="40.5">
      <c r="A10130" s="402">
        <v>94118</v>
      </c>
      <c r="B10130" s="403" t="s">
        <v>3333</v>
      </c>
      <c r="C10130" s="402" t="s">
        <v>33</v>
      </c>
      <c r="D10130" s="601">
        <v>161.19999999999999</v>
      </c>
    </row>
    <row r="10131" spans="1:4" ht="13.5">
      <c r="A10131" s="402">
        <v>95606</v>
      </c>
      <c r="B10131" s="403" t="s">
        <v>3761</v>
      </c>
      <c r="C10131" s="402" t="s">
        <v>33</v>
      </c>
      <c r="D10131" s="601">
        <v>1.1599999999999999</v>
      </c>
    </row>
    <row r="10132" spans="1:4" ht="40.5">
      <c r="A10132" s="402">
        <v>87471</v>
      </c>
      <c r="B10132" s="403" t="s">
        <v>1312</v>
      </c>
      <c r="C10132" s="402" t="s">
        <v>48</v>
      </c>
      <c r="D10132" s="601">
        <v>38.58</v>
      </c>
    </row>
    <row r="10133" spans="1:4" ht="40.5">
      <c r="A10133" s="402">
        <v>87472</v>
      </c>
      <c r="B10133" s="403" t="s">
        <v>1313</v>
      </c>
      <c r="C10133" s="402" t="s">
        <v>48</v>
      </c>
      <c r="D10133" s="601">
        <v>39.56</v>
      </c>
    </row>
    <row r="10134" spans="1:4" ht="40.5">
      <c r="A10134" s="402">
        <v>87473</v>
      </c>
      <c r="B10134" s="403" t="s">
        <v>1314</v>
      </c>
      <c r="C10134" s="402" t="s">
        <v>48</v>
      </c>
      <c r="D10134" s="601">
        <v>53.18</v>
      </c>
    </row>
    <row r="10135" spans="1:4" ht="40.5">
      <c r="A10135" s="402">
        <v>87474</v>
      </c>
      <c r="B10135" s="403" t="s">
        <v>1315</v>
      </c>
      <c r="C10135" s="402" t="s">
        <v>48</v>
      </c>
      <c r="D10135" s="601">
        <v>54.29</v>
      </c>
    </row>
    <row r="10136" spans="1:4" ht="40.5">
      <c r="A10136" s="402">
        <v>87475</v>
      </c>
      <c r="B10136" s="403" t="s">
        <v>1316</v>
      </c>
      <c r="C10136" s="402" t="s">
        <v>48</v>
      </c>
      <c r="D10136" s="601">
        <v>63.99</v>
      </c>
    </row>
    <row r="10137" spans="1:4" ht="40.5">
      <c r="A10137" s="402">
        <v>87476</v>
      </c>
      <c r="B10137" s="403" t="s">
        <v>1317</v>
      </c>
      <c r="C10137" s="402" t="s">
        <v>48</v>
      </c>
      <c r="D10137" s="601">
        <v>65.3</v>
      </c>
    </row>
    <row r="10138" spans="1:4" ht="40.5">
      <c r="A10138" s="402">
        <v>87477</v>
      </c>
      <c r="B10138" s="403" t="s">
        <v>1318</v>
      </c>
      <c r="C10138" s="402" t="s">
        <v>48</v>
      </c>
      <c r="D10138" s="601">
        <v>35.049999999999997</v>
      </c>
    </row>
    <row r="10139" spans="1:4" ht="40.5">
      <c r="A10139" s="402">
        <v>87478</v>
      </c>
      <c r="B10139" s="403" t="s">
        <v>1319</v>
      </c>
      <c r="C10139" s="402" t="s">
        <v>48</v>
      </c>
      <c r="D10139" s="601">
        <v>36.03</v>
      </c>
    </row>
    <row r="10140" spans="1:4" ht="40.5">
      <c r="A10140" s="402">
        <v>87479</v>
      </c>
      <c r="B10140" s="403" t="s">
        <v>1320</v>
      </c>
      <c r="C10140" s="402" t="s">
        <v>48</v>
      </c>
      <c r="D10140" s="601">
        <v>49.13</v>
      </c>
    </row>
    <row r="10141" spans="1:4" ht="40.5">
      <c r="A10141" s="402">
        <v>87480</v>
      </c>
      <c r="B10141" s="403" t="s">
        <v>1321</v>
      </c>
      <c r="C10141" s="402" t="s">
        <v>48</v>
      </c>
      <c r="D10141" s="601">
        <v>50.24</v>
      </c>
    </row>
    <row r="10142" spans="1:4" ht="40.5">
      <c r="A10142" s="402">
        <v>87481</v>
      </c>
      <c r="B10142" s="403" t="s">
        <v>1322</v>
      </c>
      <c r="C10142" s="402" t="s">
        <v>48</v>
      </c>
      <c r="D10142" s="601">
        <v>59.27</v>
      </c>
    </row>
    <row r="10143" spans="1:4" ht="40.5">
      <c r="A10143" s="402">
        <v>87482</v>
      </c>
      <c r="B10143" s="403" t="s">
        <v>1323</v>
      </c>
      <c r="C10143" s="402" t="s">
        <v>48</v>
      </c>
      <c r="D10143" s="601">
        <v>60.58</v>
      </c>
    </row>
    <row r="10144" spans="1:4" ht="40.5">
      <c r="A10144" s="402">
        <v>87483</v>
      </c>
      <c r="B10144" s="403" t="s">
        <v>1324</v>
      </c>
      <c r="C10144" s="402" t="s">
        <v>48</v>
      </c>
      <c r="D10144" s="601">
        <v>43.93</v>
      </c>
    </row>
    <row r="10145" spans="1:4" ht="40.5">
      <c r="A10145" s="402">
        <v>87484</v>
      </c>
      <c r="B10145" s="403" t="s">
        <v>1325</v>
      </c>
      <c r="C10145" s="402" t="s">
        <v>48</v>
      </c>
      <c r="D10145" s="601">
        <v>44.91</v>
      </c>
    </row>
    <row r="10146" spans="1:4" ht="40.5">
      <c r="A10146" s="402">
        <v>87485</v>
      </c>
      <c r="B10146" s="403" t="s">
        <v>1326</v>
      </c>
      <c r="C10146" s="402" t="s">
        <v>48</v>
      </c>
      <c r="D10146" s="601">
        <v>58.64</v>
      </c>
    </row>
    <row r="10147" spans="1:4" ht="40.5">
      <c r="A10147" s="402">
        <v>87487</v>
      </c>
      <c r="B10147" s="403" t="s">
        <v>1327</v>
      </c>
      <c r="C10147" s="402" t="s">
        <v>48</v>
      </c>
      <c r="D10147" s="601">
        <v>69.290000000000006</v>
      </c>
    </row>
    <row r="10148" spans="1:4" ht="40.5">
      <c r="A10148" s="402">
        <v>87488</v>
      </c>
      <c r="B10148" s="403" t="s">
        <v>1328</v>
      </c>
      <c r="C10148" s="402" t="s">
        <v>48</v>
      </c>
      <c r="D10148" s="601">
        <v>70.599999999999994</v>
      </c>
    </row>
    <row r="10149" spans="1:4" ht="40.5">
      <c r="A10149" s="402">
        <v>87489</v>
      </c>
      <c r="B10149" s="403" t="s">
        <v>1329</v>
      </c>
      <c r="C10149" s="402" t="s">
        <v>48</v>
      </c>
      <c r="D10149" s="601">
        <v>38.14</v>
      </c>
    </row>
    <row r="10150" spans="1:4" ht="40.5">
      <c r="A10150" s="402">
        <v>87490</v>
      </c>
      <c r="B10150" s="403" t="s">
        <v>1330</v>
      </c>
      <c r="C10150" s="402" t="s">
        <v>48</v>
      </c>
      <c r="D10150" s="601">
        <v>39.119999999999997</v>
      </c>
    </row>
    <row r="10151" spans="1:4" ht="40.5">
      <c r="A10151" s="402">
        <v>87491</v>
      </c>
      <c r="B10151" s="403" t="s">
        <v>1331</v>
      </c>
      <c r="C10151" s="402" t="s">
        <v>48</v>
      </c>
      <c r="D10151" s="601">
        <v>52.34</v>
      </c>
    </row>
    <row r="10152" spans="1:4" ht="40.5">
      <c r="A10152" s="402">
        <v>87492</v>
      </c>
      <c r="B10152" s="403" t="s">
        <v>1332</v>
      </c>
      <c r="C10152" s="402" t="s">
        <v>48</v>
      </c>
      <c r="D10152" s="601">
        <v>53.45</v>
      </c>
    </row>
    <row r="10153" spans="1:4" ht="40.5">
      <c r="A10153" s="402">
        <v>87493</v>
      </c>
      <c r="B10153" s="403" t="s">
        <v>1333</v>
      </c>
      <c r="C10153" s="402" t="s">
        <v>48</v>
      </c>
      <c r="D10153" s="601">
        <v>62.59</v>
      </c>
    </row>
    <row r="10154" spans="1:4" ht="40.5">
      <c r="A10154" s="402">
        <v>87494</v>
      </c>
      <c r="B10154" s="403" t="s">
        <v>1334</v>
      </c>
      <c r="C10154" s="402" t="s">
        <v>48</v>
      </c>
      <c r="D10154" s="601">
        <v>63.9</v>
      </c>
    </row>
    <row r="10155" spans="1:4" ht="40.5">
      <c r="A10155" s="402">
        <v>87495</v>
      </c>
      <c r="B10155" s="403" t="s">
        <v>1335</v>
      </c>
      <c r="C10155" s="402" t="s">
        <v>48</v>
      </c>
      <c r="D10155" s="601">
        <v>63.11</v>
      </c>
    </row>
    <row r="10156" spans="1:4" ht="40.5">
      <c r="A10156" s="402">
        <v>87496</v>
      </c>
      <c r="B10156" s="403" t="s">
        <v>1336</v>
      </c>
      <c r="C10156" s="402" t="s">
        <v>48</v>
      </c>
      <c r="D10156" s="601">
        <v>64.03</v>
      </c>
    </row>
    <row r="10157" spans="1:4" ht="40.5">
      <c r="A10157" s="402">
        <v>87497</v>
      </c>
      <c r="B10157" s="403" t="s">
        <v>1337</v>
      </c>
      <c r="C10157" s="402" t="s">
        <v>48</v>
      </c>
      <c r="D10157" s="601">
        <v>61.84</v>
      </c>
    </row>
    <row r="10158" spans="1:4" ht="40.5">
      <c r="A10158" s="402">
        <v>87498</v>
      </c>
      <c r="B10158" s="403" t="s">
        <v>1338</v>
      </c>
      <c r="C10158" s="402" t="s">
        <v>48</v>
      </c>
      <c r="D10158" s="601">
        <v>63.02</v>
      </c>
    </row>
    <row r="10159" spans="1:4" ht="40.5">
      <c r="A10159" s="402">
        <v>87499</v>
      </c>
      <c r="B10159" s="403" t="s">
        <v>1339</v>
      </c>
      <c r="C10159" s="402" t="s">
        <v>48</v>
      </c>
      <c r="D10159" s="601">
        <v>68.5</v>
      </c>
    </row>
    <row r="10160" spans="1:4" ht="40.5">
      <c r="A10160" s="402">
        <v>87500</v>
      </c>
      <c r="B10160" s="403" t="s">
        <v>1340</v>
      </c>
      <c r="C10160" s="402" t="s">
        <v>48</v>
      </c>
      <c r="D10160" s="601">
        <v>69.510000000000005</v>
      </c>
    </row>
    <row r="10161" spans="1:4" ht="40.5">
      <c r="A10161" s="402">
        <v>87501</v>
      </c>
      <c r="B10161" s="403" t="s">
        <v>1341</v>
      </c>
      <c r="C10161" s="402" t="s">
        <v>48</v>
      </c>
      <c r="D10161" s="601">
        <v>106.52</v>
      </c>
    </row>
    <row r="10162" spans="1:4" ht="40.5">
      <c r="A10162" s="402">
        <v>87502</v>
      </c>
      <c r="B10162" s="403" t="s">
        <v>1342</v>
      </c>
      <c r="C10162" s="402" t="s">
        <v>48</v>
      </c>
      <c r="D10162" s="601">
        <v>107.8</v>
      </c>
    </row>
    <row r="10163" spans="1:4" ht="40.5">
      <c r="A10163" s="402">
        <v>87503</v>
      </c>
      <c r="B10163" s="403" t="s">
        <v>1343</v>
      </c>
      <c r="C10163" s="402" t="s">
        <v>48</v>
      </c>
      <c r="D10163" s="601">
        <v>54.34</v>
      </c>
    </row>
    <row r="10164" spans="1:4" ht="40.5">
      <c r="A10164" s="402">
        <v>87504</v>
      </c>
      <c r="B10164" s="403" t="s">
        <v>1344</v>
      </c>
      <c r="C10164" s="402" t="s">
        <v>48</v>
      </c>
      <c r="D10164" s="601">
        <v>55.26</v>
      </c>
    </row>
    <row r="10165" spans="1:4" ht="54">
      <c r="A10165" s="402">
        <v>87505</v>
      </c>
      <c r="B10165" s="403" t="s">
        <v>1345</v>
      </c>
      <c r="C10165" s="402" t="s">
        <v>48</v>
      </c>
      <c r="D10165" s="601">
        <v>52.99</v>
      </c>
    </row>
    <row r="10166" spans="1:4" ht="40.5">
      <c r="A10166" s="402">
        <v>87506</v>
      </c>
      <c r="B10166" s="403" t="s">
        <v>1346</v>
      </c>
      <c r="C10166" s="402" t="s">
        <v>48</v>
      </c>
      <c r="D10166" s="601">
        <v>54.17</v>
      </c>
    </row>
    <row r="10167" spans="1:4" ht="40.5">
      <c r="A10167" s="402">
        <v>87507</v>
      </c>
      <c r="B10167" s="403" t="s">
        <v>1347</v>
      </c>
      <c r="C10167" s="402" t="s">
        <v>48</v>
      </c>
      <c r="D10167" s="601">
        <v>56.88</v>
      </c>
    </row>
    <row r="10168" spans="1:4" ht="40.5">
      <c r="A10168" s="402">
        <v>87508</v>
      </c>
      <c r="B10168" s="403" t="s">
        <v>1348</v>
      </c>
      <c r="C10168" s="402" t="s">
        <v>48</v>
      </c>
      <c r="D10168" s="601">
        <v>57.89</v>
      </c>
    </row>
    <row r="10169" spans="1:4" ht="54">
      <c r="A10169" s="402">
        <v>87509</v>
      </c>
      <c r="B10169" s="403" t="s">
        <v>1349</v>
      </c>
      <c r="C10169" s="402" t="s">
        <v>48</v>
      </c>
      <c r="D10169" s="601">
        <v>87.66</v>
      </c>
    </row>
    <row r="10170" spans="1:4" ht="40.5">
      <c r="A10170" s="402">
        <v>87510</v>
      </c>
      <c r="B10170" s="403" t="s">
        <v>1350</v>
      </c>
      <c r="C10170" s="402" t="s">
        <v>48</v>
      </c>
      <c r="D10170" s="601">
        <v>88.94</v>
      </c>
    </row>
    <row r="10171" spans="1:4" ht="40.5">
      <c r="A10171" s="402">
        <v>87511</v>
      </c>
      <c r="B10171" s="403" t="s">
        <v>1351</v>
      </c>
      <c r="C10171" s="402" t="s">
        <v>48</v>
      </c>
      <c r="D10171" s="601">
        <v>70.56</v>
      </c>
    </row>
    <row r="10172" spans="1:4" ht="40.5">
      <c r="A10172" s="402">
        <v>87512</v>
      </c>
      <c r="B10172" s="403" t="s">
        <v>1352</v>
      </c>
      <c r="C10172" s="402" t="s">
        <v>48</v>
      </c>
      <c r="D10172" s="601">
        <v>71.48</v>
      </c>
    </row>
    <row r="10173" spans="1:4" ht="40.5">
      <c r="A10173" s="402">
        <v>87513</v>
      </c>
      <c r="B10173" s="403" t="s">
        <v>1353</v>
      </c>
      <c r="C10173" s="402" t="s">
        <v>48</v>
      </c>
      <c r="D10173" s="601">
        <v>69.59</v>
      </c>
    </row>
    <row r="10174" spans="1:4" ht="40.5">
      <c r="A10174" s="402">
        <v>87514</v>
      </c>
      <c r="B10174" s="403" t="s">
        <v>1354</v>
      </c>
      <c r="C10174" s="402" t="s">
        <v>48</v>
      </c>
      <c r="D10174" s="601">
        <v>70.77</v>
      </c>
    </row>
    <row r="10175" spans="1:4" ht="40.5">
      <c r="A10175" s="402">
        <v>87515</v>
      </c>
      <c r="B10175" s="403" t="s">
        <v>1355</v>
      </c>
      <c r="C10175" s="402" t="s">
        <v>48</v>
      </c>
      <c r="D10175" s="601">
        <v>78.83</v>
      </c>
    </row>
    <row r="10176" spans="1:4" ht="40.5">
      <c r="A10176" s="402">
        <v>87516</v>
      </c>
      <c r="B10176" s="403" t="s">
        <v>1356</v>
      </c>
      <c r="C10176" s="402" t="s">
        <v>48</v>
      </c>
      <c r="D10176" s="601">
        <v>79.84</v>
      </c>
    </row>
    <row r="10177" spans="1:4" ht="40.5">
      <c r="A10177" s="402">
        <v>87517</v>
      </c>
      <c r="B10177" s="403" t="s">
        <v>1357</v>
      </c>
      <c r="C10177" s="402" t="s">
        <v>48</v>
      </c>
      <c r="D10177" s="601">
        <v>122.61</v>
      </c>
    </row>
    <row r="10178" spans="1:4" ht="40.5">
      <c r="A10178" s="402">
        <v>87518</v>
      </c>
      <c r="B10178" s="403" t="s">
        <v>1358</v>
      </c>
      <c r="C10178" s="402" t="s">
        <v>48</v>
      </c>
      <c r="D10178" s="601">
        <v>123.89</v>
      </c>
    </row>
    <row r="10179" spans="1:4" ht="40.5">
      <c r="A10179" s="402">
        <v>87519</v>
      </c>
      <c r="B10179" s="403" t="s">
        <v>1359</v>
      </c>
      <c r="C10179" s="402" t="s">
        <v>48</v>
      </c>
      <c r="D10179" s="601">
        <v>59.04</v>
      </c>
    </row>
    <row r="10180" spans="1:4" ht="40.5">
      <c r="A10180" s="402">
        <v>87520</v>
      </c>
      <c r="B10180" s="403" t="s">
        <v>1360</v>
      </c>
      <c r="C10180" s="402" t="s">
        <v>48</v>
      </c>
      <c r="D10180" s="601">
        <v>59.96</v>
      </c>
    </row>
    <row r="10181" spans="1:4" ht="54">
      <c r="A10181" s="402">
        <v>87521</v>
      </c>
      <c r="B10181" s="403" t="s">
        <v>1361</v>
      </c>
      <c r="C10181" s="402" t="s">
        <v>48</v>
      </c>
      <c r="D10181" s="601">
        <v>57.75</v>
      </c>
    </row>
    <row r="10182" spans="1:4" ht="40.5">
      <c r="A10182" s="402">
        <v>87522</v>
      </c>
      <c r="B10182" s="403" t="s">
        <v>1362</v>
      </c>
      <c r="C10182" s="402" t="s">
        <v>48</v>
      </c>
      <c r="D10182" s="601">
        <v>58.93</v>
      </c>
    </row>
    <row r="10183" spans="1:4" ht="40.5">
      <c r="A10183" s="402">
        <v>87523</v>
      </c>
      <c r="B10183" s="403" t="s">
        <v>1363</v>
      </c>
      <c r="C10183" s="402" t="s">
        <v>48</v>
      </c>
      <c r="D10183" s="601">
        <v>63.18</v>
      </c>
    </row>
    <row r="10184" spans="1:4" ht="40.5">
      <c r="A10184" s="402">
        <v>87524</v>
      </c>
      <c r="B10184" s="403" t="s">
        <v>1364</v>
      </c>
      <c r="C10184" s="402" t="s">
        <v>48</v>
      </c>
      <c r="D10184" s="601">
        <v>64.19</v>
      </c>
    </row>
    <row r="10185" spans="1:4" ht="54">
      <c r="A10185" s="402">
        <v>87525</v>
      </c>
      <c r="B10185" s="403" t="s">
        <v>1365</v>
      </c>
      <c r="C10185" s="402" t="s">
        <v>48</v>
      </c>
      <c r="D10185" s="601">
        <v>97.44</v>
      </c>
    </row>
    <row r="10186" spans="1:4" ht="40.5">
      <c r="A10186" s="402">
        <v>87526</v>
      </c>
      <c r="B10186" s="403" t="s">
        <v>1366</v>
      </c>
      <c r="C10186" s="402" t="s">
        <v>48</v>
      </c>
      <c r="D10186" s="601">
        <v>98.72</v>
      </c>
    </row>
    <row r="10187" spans="1:4" ht="40.5">
      <c r="A10187" s="402">
        <v>89043</v>
      </c>
      <c r="B10187" s="403" t="s">
        <v>1627</v>
      </c>
      <c r="C10187" s="402" t="s">
        <v>48</v>
      </c>
      <c r="D10187" s="601">
        <v>60.16</v>
      </c>
    </row>
    <row r="10188" spans="1:4" ht="40.5">
      <c r="A10188" s="402">
        <v>89168</v>
      </c>
      <c r="B10188" s="403" t="s">
        <v>1637</v>
      </c>
      <c r="C10188" s="402" t="s">
        <v>48</v>
      </c>
      <c r="D10188" s="601">
        <v>61.86</v>
      </c>
    </row>
    <row r="10189" spans="1:4" ht="54">
      <c r="A10189" s="402">
        <v>89977</v>
      </c>
      <c r="B10189" s="403" t="s">
        <v>2127</v>
      </c>
      <c r="C10189" s="402" t="s">
        <v>48</v>
      </c>
      <c r="D10189" s="601">
        <v>103.77</v>
      </c>
    </row>
    <row r="10190" spans="1:4" ht="40.5">
      <c r="A10190" s="402">
        <v>90112</v>
      </c>
      <c r="B10190" s="403" t="s">
        <v>2162</v>
      </c>
      <c r="C10190" s="402" t="s">
        <v>48</v>
      </c>
      <c r="D10190" s="601">
        <v>59.75</v>
      </c>
    </row>
    <row r="10191" spans="1:4" ht="27">
      <c r="A10191" s="402">
        <v>101159</v>
      </c>
      <c r="B10191" s="403" t="s">
        <v>14410</v>
      </c>
      <c r="C10191" s="402" t="s">
        <v>48</v>
      </c>
      <c r="D10191" s="601">
        <v>84.23</v>
      </c>
    </row>
    <row r="10192" spans="1:4" ht="40.5">
      <c r="A10192" s="402">
        <v>89282</v>
      </c>
      <c r="B10192" s="403" t="s">
        <v>1689</v>
      </c>
      <c r="C10192" s="402" t="s">
        <v>48</v>
      </c>
      <c r="D10192" s="601">
        <v>50.85</v>
      </c>
    </row>
    <row r="10193" spans="1:4" ht="40.5">
      <c r="A10193" s="402">
        <v>89283</v>
      </c>
      <c r="B10193" s="403" t="s">
        <v>1690</v>
      </c>
      <c r="C10193" s="402" t="s">
        <v>48</v>
      </c>
      <c r="D10193" s="601">
        <v>51.99</v>
      </c>
    </row>
    <row r="10194" spans="1:4" ht="40.5">
      <c r="A10194" s="402">
        <v>89284</v>
      </c>
      <c r="B10194" s="403" t="s">
        <v>1691</v>
      </c>
      <c r="C10194" s="402" t="s">
        <v>48</v>
      </c>
      <c r="D10194" s="601">
        <v>46.55</v>
      </c>
    </row>
    <row r="10195" spans="1:4" ht="40.5">
      <c r="A10195" s="402">
        <v>89285</v>
      </c>
      <c r="B10195" s="403" t="s">
        <v>1692</v>
      </c>
      <c r="C10195" s="402" t="s">
        <v>48</v>
      </c>
      <c r="D10195" s="601">
        <v>47.69</v>
      </c>
    </row>
    <row r="10196" spans="1:4" ht="40.5">
      <c r="A10196" s="402">
        <v>89286</v>
      </c>
      <c r="B10196" s="403" t="s">
        <v>1693</v>
      </c>
      <c r="C10196" s="402" t="s">
        <v>48</v>
      </c>
      <c r="D10196" s="601">
        <v>54.91</v>
      </c>
    </row>
    <row r="10197" spans="1:4" ht="40.5">
      <c r="A10197" s="402">
        <v>89287</v>
      </c>
      <c r="B10197" s="403" t="s">
        <v>1694</v>
      </c>
      <c r="C10197" s="402" t="s">
        <v>48</v>
      </c>
      <c r="D10197" s="601">
        <v>56.05</v>
      </c>
    </row>
    <row r="10198" spans="1:4" ht="40.5">
      <c r="A10198" s="402">
        <v>89288</v>
      </c>
      <c r="B10198" s="403" t="s">
        <v>1695</v>
      </c>
      <c r="C10198" s="402" t="s">
        <v>48</v>
      </c>
      <c r="D10198" s="601">
        <v>49.02</v>
      </c>
    </row>
    <row r="10199" spans="1:4" ht="40.5">
      <c r="A10199" s="402">
        <v>89289</v>
      </c>
      <c r="B10199" s="403" t="s">
        <v>1696</v>
      </c>
      <c r="C10199" s="402" t="s">
        <v>48</v>
      </c>
      <c r="D10199" s="601">
        <v>50.16</v>
      </c>
    </row>
    <row r="10200" spans="1:4" ht="40.5">
      <c r="A10200" s="402">
        <v>89290</v>
      </c>
      <c r="B10200" s="403" t="s">
        <v>1697</v>
      </c>
      <c r="C10200" s="402" t="s">
        <v>48</v>
      </c>
      <c r="D10200" s="601">
        <v>58.71</v>
      </c>
    </row>
    <row r="10201" spans="1:4" ht="40.5">
      <c r="A10201" s="402">
        <v>89291</v>
      </c>
      <c r="B10201" s="403" t="s">
        <v>1698</v>
      </c>
      <c r="C10201" s="402" t="s">
        <v>48</v>
      </c>
      <c r="D10201" s="601">
        <v>59.98</v>
      </c>
    </row>
    <row r="10202" spans="1:4" ht="40.5">
      <c r="A10202" s="402">
        <v>89292</v>
      </c>
      <c r="B10202" s="403" t="s">
        <v>1699</v>
      </c>
      <c r="C10202" s="402" t="s">
        <v>48</v>
      </c>
      <c r="D10202" s="601">
        <v>54.49</v>
      </c>
    </row>
    <row r="10203" spans="1:4" ht="40.5">
      <c r="A10203" s="402">
        <v>89293</v>
      </c>
      <c r="B10203" s="403" t="s">
        <v>1700</v>
      </c>
      <c r="C10203" s="402" t="s">
        <v>48</v>
      </c>
      <c r="D10203" s="601">
        <v>55.76</v>
      </c>
    </row>
    <row r="10204" spans="1:4" ht="40.5">
      <c r="A10204" s="402">
        <v>89294</v>
      </c>
      <c r="B10204" s="403" t="s">
        <v>1701</v>
      </c>
      <c r="C10204" s="402" t="s">
        <v>48</v>
      </c>
      <c r="D10204" s="601">
        <v>64.13</v>
      </c>
    </row>
    <row r="10205" spans="1:4" ht="40.5">
      <c r="A10205" s="402">
        <v>89295</v>
      </c>
      <c r="B10205" s="403" t="s">
        <v>1702</v>
      </c>
      <c r="C10205" s="402" t="s">
        <v>48</v>
      </c>
      <c r="D10205" s="601">
        <v>65.400000000000006</v>
      </c>
    </row>
    <row r="10206" spans="1:4" ht="40.5">
      <c r="A10206" s="402">
        <v>89296</v>
      </c>
      <c r="B10206" s="403" t="s">
        <v>1703</v>
      </c>
      <c r="C10206" s="402" t="s">
        <v>48</v>
      </c>
      <c r="D10206" s="601">
        <v>57.62</v>
      </c>
    </row>
    <row r="10207" spans="1:4" ht="40.5">
      <c r="A10207" s="402">
        <v>89297</v>
      </c>
      <c r="B10207" s="403" t="s">
        <v>1704</v>
      </c>
      <c r="C10207" s="402" t="s">
        <v>48</v>
      </c>
      <c r="D10207" s="601">
        <v>58.89</v>
      </c>
    </row>
    <row r="10208" spans="1:4" ht="40.5">
      <c r="A10208" s="402">
        <v>89298</v>
      </c>
      <c r="B10208" s="403" t="s">
        <v>1705</v>
      </c>
      <c r="C10208" s="402" t="s">
        <v>48</v>
      </c>
      <c r="D10208" s="601">
        <v>59.83</v>
      </c>
    </row>
    <row r="10209" spans="1:4" ht="40.5">
      <c r="A10209" s="402">
        <v>89299</v>
      </c>
      <c r="B10209" s="403" t="s">
        <v>1706</v>
      </c>
      <c r="C10209" s="402" t="s">
        <v>48</v>
      </c>
      <c r="D10209" s="601">
        <v>61.45</v>
      </c>
    </row>
    <row r="10210" spans="1:4" ht="54">
      <c r="A10210" s="402">
        <v>89300</v>
      </c>
      <c r="B10210" s="403" t="s">
        <v>1707</v>
      </c>
      <c r="C10210" s="402" t="s">
        <v>48</v>
      </c>
      <c r="D10210" s="601">
        <v>55.53</v>
      </c>
    </row>
    <row r="10211" spans="1:4" ht="54">
      <c r="A10211" s="402">
        <v>89301</v>
      </c>
      <c r="B10211" s="403" t="s">
        <v>1708</v>
      </c>
      <c r="C10211" s="402" t="s">
        <v>48</v>
      </c>
      <c r="D10211" s="601">
        <v>57.15</v>
      </c>
    </row>
    <row r="10212" spans="1:4" ht="40.5">
      <c r="A10212" s="402">
        <v>89302</v>
      </c>
      <c r="B10212" s="403" t="s">
        <v>1709</v>
      </c>
      <c r="C10212" s="402" t="s">
        <v>48</v>
      </c>
      <c r="D10212" s="601">
        <v>66.53</v>
      </c>
    </row>
    <row r="10213" spans="1:4" ht="40.5">
      <c r="A10213" s="402">
        <v>89303</v>
      </c>
      <c r="B10213" s="403" t="s">
        <v>1710</v>
      </c>
      <c r="C10213" s="402" t="s">
        <v>48</v>
      </c>
      <c r="D10213" s="601">
        <v>68.150000000000006</v>
      </c>
    </row>
    <row r="10214" spans="1:4" ht="54">
      <c r="A10214" s="402">
        <v>89304</v>
      </c>
      <c r="B10214" s="403" t="s">
        <v>1711</v>
      </c>
      <c r="C10214" s="402" t="s">
        <v>48</v>
      </c>
      <c r="D10214" s="601">
        <v>59.63</v>
      </c>
    </row>
    <row r="10215" spans="1:4" ht="54">
      <c r="A10215" s="402">
        <v>89305</v>
      </c>
      <c r="B10215" s="403" t="s">
        <v>1712</v>
      </c>
      <c r="C10215" s="402" t="s">
        <v>48</v>
      </c>
      <c r="D10215" s="601">
        <v>61.25</v>
      </c>
    </row>
    <row r="10216" spans="1:4" ht="40.5">
      <c r="A10216" s="402">
        <v>89306</v>
      </c>
      <c r="B10216" s="403" t="s">
        <v>1713</v>
      </c>
      <c r="C10216" s="402" t="s">
        <v>48</v>
      </c>
      <c r="D10216" s="601">
        <v>67.900000000000006</v>
      </c>
    </row>
    <row r="10217" spans="1:4" ht="40.5">
      <c r="A10217" s="402">
        <v>89307</v>
      </c>
      <c r="B10217" s="403" t="s">
        <v>1714</v>
      </c>
      <c r="C10217" s="402" t="s">
        <v>48</v>
      </c>
      <c r="D10217" s="601">
        <v>69.7</v>
      </c>
    </row>
    <row r="10218" spans="1:4" ht="54">
      <c r="A10218" s="402">
        <v>89308</v>
      </c>
      <c r="B10218" s="403" t="s">
        <v>1715</v>
      </c>
      <c r="C10218" s="402" t="s">
        <v>48</v>
      </c>
      <c r="D10218" s="601">
        <v>63.68</v>
      </c>
    </row>
    <row r="10219" spans="1:4" ht="54">
      <c r="A10219" s="402">
        <v>89309</v>
      </c>
      <c r="B10219" s="403" t="s">
        <v>1716</v>
      </c>
      <c r="C10219" s="402" t="s">
        <v>48</v>
      </c>
      <c r="D10219" s="601">
        <v>65.48</v>
      </c>
    </row>
    <row r="10220" spans="1:4" ht="40.5">
      <c r="A10220" s="402">
        <v>89310</v>
      </c>
      <c r="B10220" s="403" t="s">
        <v>1717</v>
      </c>
      <c r="C10220" s="402" t="s">
        <v>48</v>
      </c>
      <c r="D10220" s="601">
        <v>77.53</v>
      </c>
    </row>
    <row r="10221" spans="1:4" ht="40.5">
      <c r="A10221" s="402">
        <v>89311</v>
      </c>
      <c r="B10221" s="403" t="s">
        <v>1718</v>
      </c>
      <c r="C10221" s="402" t="s">
        <v>48</v>
      </c>
      <c r="D10221" s="601">
        <v>79.33</v>
      </c>
    </row>
    <row r="10222" spans="1:4" ht="54">
      <c r="A10222" s="402">
        <v>89312</v>
      </c>
      <c r="B10222" s="403" t="s">
        <v>1719</v>
      </c>
      <c r="C10222" s="402" t="s">
        <v>48</v>
      </c>
      <c r="D10222" s="601">
        <v>68.459999999999994</v>
      </c>
    </row>
    <row r="10223" spans="1:4" ht="54">
      <c r="A10223" s="402">
        <v>89313</v>
      </c>
      <c r="B10223" s="403" t="s">
        <v>1720</v>
      </c>
      <c r="C10223" s="402" t="s">
        <v>48</v>
      </c>
      <c r="D10223" s="601">
        <v>70.260000000000005</v>
      </c>
    </row>
    <row r="10224" spans="1:4" ht="27">
      <c r="A10224" s="402">
        <v>101162</v>
      </c>
      <c r="B10224" s="403" t="s">
        <v>14411</v>
      </c>
      <c r="C10224" s="402" t="s">
        <v>48</v>
      </c>
      <c r="D10224" s="601">
        <v>127.93</v>
      </c>
    </row>
    <row r="10225" spans="1:4" ht="40.5">
      <c r="A10225" s="402">
        <v>87447</v>
      </c>
      <c r="B10225" s="403" t="s">
        <v>1288</v>
      </c>
      <c r="C10225" s="402" t="s">
        <v>48</v>
      </c>
      <c r="D10225" s="601">
        <v>49.33</v>
      </c>
    </row>
    <row r="10226" spans="1:4" ht="40.5">
      <c r="A10226" s="402">
        <v>87448</v>
      </c>
      <c r="B10226" s="403" t="s">
        <v>1289</v>
      </c>
      <c r="C10226" s="402" t="s">
        <v>48</v>
      </c>
      <c r="D10226" s="601">
        <v>49.81</v>
      </c>
    </row>
    <row r="10227" spans="1:4" ht="40.5">
      <c r="A10227" s="402">
        <v>87449</v>
      </c>
      <c r="B10227" s="403" t="s">
        <v>1290</v>
      </c>
      <c r="C10227" s="402" t="s">
        <v>48</v>
      </c>
      <c r="D10227" s="601">
        <v>62.41</v>
      </c>
    </row>
    <row r="10228" spans="1:4" ht="40.5">
      <c r="A10228" s="402">
        <v>87450</v>
      </c>
      <c r="B10228" s="403" t="s">
        <v>1291</v>
      </c>
      <c r="C10228" s="402" t="s">
        <v>48</v>
      </c>
      <c r="D10228" s="601">
        <v>63.39</v>
      </c>
    </row>
    <row r="10229" spans="1:4" ht="40.5">
      <c r="A10229" s="402">
        <v>87451</v>
      </c>
      <c r="B10229" s="403" t="s">
        <v>1292</v>
      </c>
      <c r="C10229" s="402" t="s">
        <v>48</v>
      </c>
      <c r="D10229" s="601">
        <v>77.77</v>
      </c>
    </row>
    <row r="10230" spans="1:4" ht="40.5">
      <c r="A10230" s="402">
        <v>87452</v>
      </c>
      <c r="B10230" s="403" t="s">
        <v>1293</v>
      </c>
      <c r="C10230" s="402" t="s">
        <v>48</v>
      </c>
      <c r="D10230" s="601">
        <v>78.22</v>
      </c>
    </row>
    <row r="10231" spans="1:4" ht="40.5">
      <c r="A10231" s="402">
        <v>87453</v>
      </c>
      <c r="B10231" s="403" t="s">
        <v>1294</v>
      </c>
      <c r="C10231" s="402" t="s">
        <v>48</v>
      </c>
      <c r="D10231" s="601">
        <v>46.05</v>
      </c>
    </row>
    <row r="10232" spans="1:4" ht="40.5">
      <c r="A10232" s="402">
        <v>87454</v>
      </c>
      <c r="B10232" s="403" t="s">
        <v>1295</v>
      </c>
      <c r="C10232" s="402" t="s">
        <v>48</v>
      </c>
      <c r="D10232" s="601">
        <v>46.88</v>
      </c>
    </row>
    <row r="10233" spans="1:4" ht="40.5">
      <c r="A10233" s="402">
        <v>87455</v>
      </c>
      <c r="B10233" s="403" t="s">
        <v>1296</v>
      </c>
      <c r="C10233" s="402" t="s">
        <v>48</v>
      </c>
      <c r="D10233" s="601">
        <v>58.25</v>
      </c>
    </row>
    <row r="10234" spans="1:4" ht="40.5">
      <c r="A10234" s="402">
        <v>87456</v>
      </c>
      <c r="B10234" s="403" t="s">
        <v>1297</v>
      </c>
      <c r="C10234" s="402" t="s">
        <v>48</v>
      </c>
      <c r="D10234" s="601">
        <v>59.58</v>
      </c>
    </row>
    <row r="10235" spans="1:4" ht="40.5">
      <c r="A10235" s="402">
        <v>87457</v>
      </c>
      <c r="B10235" s="403" t="s">
        <v>1298</v>
      </c>
      <c r="C10235" s="402" t="s">
        <v>48</v>
      </c>
      <c r="D10235" s="601">
        <v>72.08</v>
      </c>
    </row>
    <row r="10236" spans="1:4" ht="40.5">
      <c r="A10236" s="402">
        <v>87458</v>
      </c>
      <c r="B10236" s="403" t="s">
        <v>1299</v>
      </c>
      <c r="C10236" s="402" t="s">
        <v>48</v>
      </c>
      <c r="D10236" s="601">
        <v>73.3</v>
      </c>
    </row>
    <row r="10237" spans="1:4" ht="40.5">
      <c r="A10237" s="402">
        <v>87459</v>
      </c>
      <c r="B10237" s="403" t="s">
        <v>1300</v>
      </c>
      <c r="C10237" s="402" t="s">
        <v>48</v>
      </c>
      <c r="D10237" s="601">
        <v>54.51</v>
      </c>
    </row>
    <row r="10238" spans="1:4" ht="40.5">
      <c r="A10238" s="402">
        <v>87460</v>
      </c>
      <c r="B10238" s="403" t="s">
        <v>1301</v>
      </c>
      <c r="C10238" s="402" t="s">
        <v>48</v>
      </c>
      <c r="D10238" s="601">
        <v>55.34</v>
      </c>
    </row>
    <row r="10239" spans="1:4" ht="40.5">
      <c r="A10239" s="402">
        <v>87461</v>
      </c>
      <c r="B10239" s="403" t="s">
        <v>1302</v>
      </c>
      <c r="C10239" s="402" t="s">
        <v>48</v>
      </c>
      <c r="D10239" s="601">
        <v>67.63</v>
      </c>
    </row>
    <row r="10240" spans="1:4" ht="40.5">
      <c r="A10240" s="402">
        <v>87462</v>
      </c>
      <c r="B10240" s="403" t="s">
        <v>1303</v>
      </c>
      <c r="C10240" s="402" t="s">
        <v>48</v>
      </c>
      <c r="D10240" s="601">
        <v>68.61</v>
      </c>
    </row>
    <row r="10241" spans="1:4" ht="40.5">
      <c r="A10241" s="402">
        <v>87463</v>
      </c>
      <c r="B10241" s="403" t="s">
        <v>1304</v>
      </c>
      <c r="C10241" s="402" t="s">
        <v>48</v>
      </c>
      <c r="D10241" s="601">
        <v>82.29</v>
      </c>
    </row>
    <row r="10242" spans="1:4" ht="40.5">
      <c r="A10242" s="402">
        <v>87464</v>
      </c>
      <c r="B10242" s="403" t="s">
        <v>1305</v>
      </c>
      <c r="C10242" s="402" t="s">
        <v>48</v>
      </c>
      <c r="D10242" s="601">
        <v>83.51</v>
      </c>
    </row>
    <row r="10243" spans="1:4" ht="40.5">
      <c r="A10243" s="402">
        <v>87465</v>
      </c>
      <c r="B10243" s="403" t="s">
        <v>1306</v>
      </c>
      <c r="C10243" s="402" t="s">
        <v>48</v>
      </c>
      <c r="D10243" s="601">
        <v>48.98</v>
      </c>
    </row>
    <row r="10244" spans="1:4" ht="40.5">
      <c r="A10244" s="402">
        <v>87466</v>
      </c>
      <c r="B10244" s="403" t="s">
        <v>1307</v>
      </c>
      <c r="C10244" s="402" t="s">
        <v>48</v>
      </c>
      <c r="D10244" s="601">
        <v>49.81</v>
      </c>
    </row>
    <row r="10245" spans="1:4" ht="40.5">
      <c r="A10245" s="402">
        <v>87467</v>
      </c>
      <c r="B10245" s="403" t="s">
        <v>1308</v>
      </c>
      <c r="C10245" s="402" t="s">
        <v>48</v>
      </c>
      <c r="D10245" s="601">
        <v>61.58</v>
      </c>
    </row>
    <row r="10246" spans="1:4" ht="40.5">
      <c r="A10246" s="402">
        <v>87468</v>
      </c>
      <c r="B10246" s="403" t="s">
        <v>1309</v>
      </c>
      <c r="C10246" s="402" t="s">
        <v>48</v>
      </c>
      <c r="D10246" s="601">
        <v>62.56</v>
      </c>
    </row>
    <row r="10247" spans="1:4" ht="40.5">
      <c r="A10247" s="402">
        <v>87469</v>
      </c>
      <c r="B10247" s="403" t="s">
        <v>1310</v>
      </c>
      <c r="C10247" s="402" t="s">
        <v>48</v>
      </c>
      <c r="D10247" s="601">
        <v>75.569999999999993</v>
      </c>
    </row>
    <row r="10248" spans="1:4" ht="40.5">
      <c r="A10248" s="402">
        <v>87470</v>
      </c>
      <c r="B10248" s="403" t="s">
        <v>1311</v>
      </c>
      <c r="C10248" s="402" t="s">
        <v>48</v>
      </c>
      <c r="D10248" s="601">
        <v>76.790000000000006</v>
      </c>
    </row>
    <row r="10249" spans="1:4" ht="40.5">
      <c r="A10249" s="402">
        <v>89044</v>
      </c>
      <c r="B10249" s="403" t="s">
        <v>1628</v>
      </c>
      <c r="C10249" s="402" t="s">
        <v>48</v>
      </c>
      <c r="D10249" s="601">
        <v>49.11</v>
      </c>
    </row>
    <row r="10250" spans="1:4" ht="40.5">
      <c r="A10250" s="402">
        <v>89169</v>
      </c>
      <c r="B10250" s="403" t="s">
        <v>1638</v>
      </c>
      <c r="C10250" s="402" t="s">
        <v>48</v>
      </c>
      <c r="D10250" s="601">
        <v>49.81</v>
      </c>
    </row>
    <row r="10251" spans="1:4" ht="40.5">
      <c r="A10251" s="402">
        <v>89978</v>
      </c>
      <c r="B10251" s="403" t="s">
        <v>2128</v>
      </c>
      <c r="C10251" s="402" t="s">
        <v>48</v>
      </c>
      <c r="D10251" s="601">
        <v>62.57</v>
      </c>
    </row>
    <row r="10252" spans="1:4" ht="40.5">
      <c r="A10252" s="402">
        <v>89453</v>
      </c>
      <c r="B10252" s="403" t="s">
        <v>1799</v>
      </c>
      <c r="C10252" s="402" t="s">
        <v>48</v>
      </c>
      <c r="D10252" s="601">
        <v>57.9</v>
      </c>
    </row>
    <row r="10253" spans="1:4" ht="40.5">
      <c r="A10253" s="402">
        <v>89454</v>
      </c>
      <c r="B10253" s="403" t="s">
        <v>1800</v>
      </c>
      <c r="C10253" s="402" t="s">
        <v>48</v>
      </c>
      <c r="D10253" s="601">
        <v>55.19</v>
      </c>
    </row>
    <row r="10254" spans="1:4" ht="40.5">
      <c r="A10254" s="402">
        <v>89455</v>
      </c>
      <c r="B10254" s="403" t="s">
        <v>1801</v>
      </c>
      <c r="C10254" s="402" t="s">
        <v>48</v>
      </c>
      <c r="D10254" s="601">
        <v>72.010000000000005</v>
      </c>
    </row>
    <row r="10255" spans="1:4" ht="40.5">
      <c r="A10255" s="402">
        <v>89456</v>
      </c>
      <c r="B10255" s="403" t="s">
        <v>1802</v>
      </c>
      <c r="C10255" s="402" t="s">
        <v>48</v>
      </c>
      <c r="D10255" s="601">
        <v>68.760000000000005</v>
      </c>
    </row>
    <row r="10256" spans="1:4" ht="40.5">
      <c r="A10256" s="402">
        <v>89457</v>
      </c>
      <c r="B10256" s="403" t="s">
        <v>1803</v>
      </c>
      <c r="C10256" s="402" t="s">
        <v>48</v>
      </c>
      <c r="D10256" s="601">
        <v>61.44</v>
      </c>
    </row>
    <row r="10257" spans="1:4" ht="40.5">
      <c r="A10257" s="402">
        <v>89458</v>
      </c>
      <c r="B10257" s="403" t="s">
        <v>1804</v>
      </c>
      <c r="C10257" s="402" t="s">
        <v>48</v>
      </c>
      <c r="D10257" s="601">
        <v>57.18</v>
      </c>
    </row>
    <row r="10258" spans="1:4" ht="40.5">
      <c r="A10258" s="402">
        <v>89459</v>
      </c>
      <c r="B10258" s="403" t="s">
        <v>1805</v>
      </c>
      <c r="C10258" s="402" t="s">
        <v>48</v>
      </c>
      <c r="D10258" s="601">
        <v>77.05</v>
      </c>
    </row>
    <row r="10259" spans="1:4" ht="40.5">
      <c r="A10259" s="402">
        <v>89460</v>
      </c>
      <c r="B10259" s="403" t="s">
        <v>1806</v>
      </c>
      <c r="C10259" s="402" t="s">
        <v>48</v>
      </c>
      <c r="D10259" s="601">
        <v>71.790000000000006</v>
      </c>
    </row>
    <row r="10260" spans="1:4" ht="40.5">
      <c r="A10260" s="402">
        <v>89462</v>
      </c>
      <c r="B10260" s="403" t="s">
        <v>1807</v>
      </c>
      <c r="C10260" s="402" t="s">
        <v>48</v>
      </c>
      <c r="D10260" s="601">
        <v>66.760000000000005</v>
      </c>
    </row>
    <row r="10261" spans="1:4" ht="40.5">
      <c r="A10261" s="402">
        <v>89463</v>
      </c>
      <c r="B10261" s="403" t="s">
        <v>1808</v>
      </c>
      <c r="C10261" s="402" t="s">
        <v>48</v>
      </c>
      <c r="D10261" s="601">
        <v>64.319999999999993</v>
      </c>
    </row>
    <row r="10262" spans="1:4" ht="40.5">
      <c r="A10262" s="402">
        <v>89464</v>
      </c>
      <c r="B10262" s="403" t="s">
        <v>1809</v>
      </c>
      <c r="C10262" s="402" t="s">
        <v>48</v>
      </c>
      <c r="D10262" s="601">
        <v>89.79</v>
      </c>
    </row>
    <row r="10263" spans="1:4" ht="40.5">
      <c r="A10263" s="402">
        <v>89465</v>
      </c>
      <c r="B10263" s="403" t="s">
        <v>1810</v>
      </c>
      <c r="C10263" s="402" t="s">
        <v>48</v>
      </c>
      <c r="D10263" s="601">
        <v>86.91</v>
      </c>
    </row>
    <row r="10264" spans="1:4" ht="40.5">
      <c r="A10264" s="402">
        <v>89466</v>
      </c>
      <c r="B10264" s="403" t="s">
        <v>1811</v>
      </c>
      <c r="C10264" s="402" t="s">
        <v>48</v>
      </c>
      <c r="D10264" s="601">
        <v>70.39</v>
      </c>
    </row>
    <row r="10265" spans="1:4" ht="40.5">
      <c r="A10265" s="402">
        <v>89467</v>
      </c>
      <c r="B10265" s="403" t="s">
        <v>1812</v>
      </c>
      <c r="C10265" s="402" t="s">
        <v>48</v>
      </c>
      <c r="D10265" s="601">
        <v>66.25</v>
      </c>
    </row>
    <row r="10266" spans="1:4" ht="40.5">
      <c r="A10266" s="402">
        <v>89468</v>
      </c>
      <c r="B10266" s="403" t="s">
        <v>1813</v>
      </c>
      <c r="C10266" s="402" t="s">
        <v>48</v>
      </c>
      <c r="D10266" s="601">
        <v>94.34</v>
      </c>
    </row>
    <row r="10267" spans="1:4" ht="40.5">
      <c r="A10267" s="402">
        <v>89469</v>
      </c>
      <c r="B10267" s="403" t="s">
        <v>1814</v>
      </c>
      <c r="C10267" s="402" t="s">
        <v>48</v>
      </c>
      <c r="D10267" s="601">
        <v>89.31</v>
      </c>
    </row>
    <row r="10268" spans="1:4" ht="40.5">
      <c r="A10268" s="402">
        <v>89470</v>
      </c>
      <c r="B10268" s="403" t="s">
        <v>1815</v>
      </c>
      <c r="C10268" s="402" t="s">
        <v>48</v>
      </c>
      <c r="D10268" s="601">
        <v>68.290000000000006</v>
      </c>
    </row>
    <row r="10269" spans="1:4" ht="40.5">
      <c r="A10269" s="402">
        <v>89471</v>
      </c>
      <c r="B10269" s="403" t="s">
        <v>1816</v>
      </c>
      <c r="C10269" s="402" t="s">
        <v>48</v>
      </c>
      <c r="D10269" s="601">
        <v>65.59</v>
      </c>
    </row>
    <row r="10270" spans="1:4" ht="40.5">
      <c r="A10270" s="402">
        <v>89472</v>
      </c>
      <c r="B10270" s="403" t="s">
        <v>1817</v>
      </c>
      <c r="C10270" s="402" t="s">
        <v>48</v>
      </c>
      <c r="D10270" s="601">
        <v>82.33</v>
      </c>
    </row>
    <row r="10271" spans="1:4" ht="40.5">
      <c r="A10271" s="402">
        <v>89473</v>
      </c>
      <c r="B10271" s="403" t="s">
        <v>1818</v>
      </c>
      <c r="C10271" s="402" t="s">
        <v>48</v>
      </c>
      <c r="D10271" s="601">
        <v>79.260000000000005</v>
      </c>
    </row>
    <row r="10272" spans="1:4" ht="40.5">
      <c r="A10272" s="402">
        <v>89474</v>
      </c>
      <c r="B10272" s="403" t="s">
        <v>1819</v>
      </c>
      <c r="C10272" s="402" t="s">
        <v>48</v>
      </c>
      <c r="D10272" s="601">
        <v>74.760000000000005</v>
      </c>
    </row>
    <row r="10273" spans="1:4" ht="40.5">
      <c r="A10273" s="402">
        <v>89475</v>
      </c>
      <c r="B10273" s="403" t="s">
        <v>1820</v>
      </c>
      <c r="C10273" s="402" t="s">
        <v>48</v>
      </c>
      <c r="D10273" s="601">
        <v>69.180000000000007</v>
      </c>
    </row>
    <row r="10274" spans="1:4" ht="40.5">
      <c r="A10274" s="402">
        <v>89476</v>
      </c>
      <c r="B10274" s="403" t="s">
        <v>1821</v>
      </c>
      <c r="C10274" s="402" t="s">
        <v>48</v>
      </c>
      <c r="D10274" s="601">
        <v>90.47</v>
      </c>
    </row>
    <row r="10275" spans="1:4" ht="40.5">
      <c r="A10275" s="402">
        <v>89477</v>
      </c>
      <c r="B10275" s="403" t="s">
        <v>1822</v>
      </c>
      <c r="C10275" s="402" t="s">
        <v>48</v>
      </c>
      <c r="D10275" s="601">
        <v>84.07</v>
      </c>
    </row>
    <row r="10276" spans="1:4" ht="40.5">
      <c r="A10276" s="402">
        <v>89478</v>
      </c>
      <c r="B10276" s="403" t="s">
        <v>1823</v>
      </c>
      <c r="C10276" s="402" t="s">
        <v>48</v>
      </c>
      <c r="D10276" s="601">
        <v>77.349999999999994</v>
      </c>
    </row>
    <row r="10277" spans="1:4" ht="40.5">
      <c r="A10277" s="402">
        <v>89479</v>
      </c>
      <c r="B10277" s="403" t="s">
        <v>1824</v>
      </c>
      <c r="C10277" s="402" t="s">
        <v>48</v>
      </c>
      <c r="D10277" s="601">
        <v>74.92</v>
      </c>
    </row>
    <row r="10278" spans="1:4" ht="40.5">
      <c r="A10278" s="402">
        <v>89480</v>
      </c>
      <c r="B10278" s="403" t="s">
        <v>1825</v>
      </c>
      <c r="C10278" s="402" t="s">
        <v>48</v>
      </c>
      <c r="D10278" s="601">
        <v>100.33</v>
      </c>
    </row>
    <row r="10279" spans="1:4" ht="40.5">
      <c r="A10279" s="402">
        <v>89483</v>
      </c>
      <c r="B10279" s="403" t="s">
        <v>1827</v>
      </c>
      <c r="C10279" s="402" t="s">
        <v>48</v>
      </c>
      <c r="D10279" s="601">
        <v>97.63</v>
      </c>
    </row>
    <row r="10280" spans="1:4" ht="40.5">
      <c r="A10280" s="402">
        <v>89484</v>
      </c>
      <c r="B10280" s="403" t="s">
        <v>1828</v>
      </c>
      <c r="C10280" s="402" t="s">
        <v>48</v>
      </c>
      <c r="D10280" s="601">
        <v>83.9</v>
      </c>
    </row>
    <row r="10281" spans="1:4" ht="40.5">
      <c r="A10281" s="402">
        <v>89486</v>
      </c>
      <c r="B10281" s="403" t="s">
        <v>1829</v>
      </c>
      <c r="C10281" s="402" t="s">
        <v>48</v>
      </c>
      <c r="D10281" s="601">
        <v>78.63</v>
      </c>
    </row>
    <row r="10282" spans="1:4" ht="40.5">
      <c r="A10282" s="402">
        <v>89487</v>
      </c>
      <c r="B10282" s="403" t="s">
        <v>1830</v>
      </c>
      <c r="C10282" s="402" t="s">
        <v>48</v>
      </c>
      <c r="D10282" s="601">
        <v>107.98</v>
      </c>
    </row>
    <row r="10283" spans="1:4" ht="40.5">
      <c r="A10283" s="402">
        <v>89488</v>
      </c>
      <c r="B10283" s="403" t="s">
        <v>1831</v>
      </c>
      <c r="C10283" s="402" t="s">
        <v>48</v>
      </c>
      <c r="D10283" s="601">
        <v>101.8</v>
      </c>
    </row>
    <row r="10284" spans="1:4" ht="40.5">
      <c r="A10284" s="402">
        <v>91815</v>
      </c>
      <c r="B10284" s="403" t="s">
        <v>2478</v>
      </c>
      <c r="C10284" s="402" t="s">
        <v>48</v>
      </c>
      <c r="D10284" s="601">
        <v>57.81</v>
      </c>
    </row>
    <row r="10285" spans="1:4" ht="40.5">
      <c r="A10285" s="402">
        <v>91816</v>
      </c>
      <c r="B10285" s="403" t="s">
        <v>2479</v>
      </c>
      <c r="C10285" s="402" t="s">
        <v>48</v>
      </c>
      <c r="D10285" s="601">
        <v>66.819999999999993</v>
      </c>
    </row>
    <row r="10286" spans="1:4" ht="27">
      <c r="A10286" s="402">
        <v>101161</v>
      </c>
      <c r="B10286" s="403" t="s">
        <v>14412</v>
      </c>
      <c r="C10286" s="402" t="s">
        <v>48</v>
      </c>
      <c r="D10286" s="601">
        <v>142.91999999999999</v>
      </c>
    </row>
    <row r="10287" spans="1:4" ht="27">
      <c r="A10287" s="402">
        <v>101163</v>
      </c>
      <c r="B10287" s="403" t="s">
        <v>14413</v>
      </c>
      <c r="C10287" s="402" t="s">
        <v>48</v>
      </c>
      <c r="D10287" s="601">
        <v>713.2</v>
      </c>
    </row>
    <row r="10288" spans="1:4" ht="27">
      <c r="A10288" s="402">
        <v>101164</v>
      </c>
      <c r="B10288" s="403" t="s">
        <v>14414</v>
      </c>
      <c r="C10288" s="402" t="s">
        <v>48</v>
      </c>
      <c r="D10288" s="601">
        <v>517.57000000000005</v>
      </c>
    </row>
    <row r="10289" spans="1:4" ht="13.5">
      <c r="A10289" s="402">
        <v>72178</v>
      </c>
      <c r="B10289" s="403" t="s">
        <v>109</v>
      </c>
      <c r="C10289" s="402" t="s">
        <v>48</v>
      </c>
      <c r="D10289" s="601">
        <v>22.6</v>
      </c>
    </row>
    <row r="10290" spans="1:4" ht="27">
      <c r="A10290" s="402">
        <v>72179</v>
      </c>
      <c r="B10290" s="403" t="s">
        <v>1153</v>
      </c>
      <c r="C10290" s="402" t="s">
        <v>48</v>
      </c>
      <c r="D10290" s="601">
        <v>44.4</v>
      </c>
    </row>
    <row r="10291" spans="1:4" ht="27">
      <c r="A10291" s="402">
        <v>72180</v>
      </c>
      <c r="B10291" s="403" t="s">
        <v>1154</v>
      </c>
      <c r="C10291" s="402" t="s">
        <v>48</v>
      </c>
      <c r="D10291" s="601">
        <v>14.14</v>
      </c>
    </row>
    <row r="10292" spans="1:4" ht="27">
      <c r="A10292" s="402">
        <v>72181</v>
      </c>
      <c r="B10292" s="403" t="s">
        <v>1155</v>
      </c>
      <c r="C10292" s="402" t="s">
        <v>48</v>
      </c>
      <c r="D10292" s="601">
        <v>28.75</v>
      </c>
    </row>
    <row r="10293" spans="1:4" ht="27">
      <c r="A10293" s="402" t="s">
        <v>4264</v>
      </c>
      <c r="B10293" s="403" t="s">
        <v>4265</v>
      </c>
      <c r="C10293" s="402" t="s">
        <v>48</v>
      </c>
      <c r="D10293" s="601">
        <v>262.87</v>
      </c>
    </row>
    <row r="10294" spans="1:4" ht="27">
      <c r="A10294" s="402" t="s">
        <v>4360</v>
      </c>
      <c r="B10294" s="403" t="s">
        <v>796</v>
      </c>
      <c r="C10294" s="402" t="s">
        <v>48</v>
      </c>
      <c r="D10294" s="601">
        <v>187.51</v>
      </c>
    </row>
    <row r="10295" spans="1:4" ht="40.5">
      <c r="A10295" s="402" t="s">
        <v>4436</v>
      </c>
      <c r="B10295" s="403" t="s">
        <v>4437</v>
      </c>
      <c r="C10295" s="402" t="s">
        <v>48</v>
      </c>
      <c r="D10295" s="601">
        <v>592.12</v>
      </c>
    </row>
    <row r="10296" spans="1:4" ht="27">
      <c r="A10296" s="402">
        <v>79627</v>
      </c>
      <c r="B10296" s="403" t="s">
        <v>159</v>
      </c>
      <c r="C10296" s="402" t="s">
        <v>48</v>
      </c>
      <c r="D10296" s="601">
        <v>670.53</v>
      </c>
    </row>
    <row r="10297" spans="1:4" ht="27">
      <c r="A10297" s="402">
        <v>96358</v>
      </c>
      <c r="B10297" s="403" t="s">
        <v>3960</v>
      </c>
      <c r="C10297" s="402" t="s">
        <v>48</v>
      </c>
      <c r="D10297" s="601">
        <v>76.56</v>
      </c>
    </row>
    <row r="10298" spans="1:4" ht="27">
      <c r="A10298" s="402">
        <v>96359</v>
      </c>
      <c r="B10298" s="403" t="s">
        <v>3961</v>
      </c>
      <c r="C10298" s="402" t="s">
        <v>48</v>
      </c>
      <c r="D10298" s="601">
        <v>84.36</v>
      </c>
    </row>
    <row r="10299" spans="1:4" ht="27">
      <c r="A10299" s="402">
        <v>96360</v>
      </c>
      <c r="B10299" s="403" t="s">
        <v>3962</v>
      </c>
      <c r="C10299" s="402" t="s">
        <v>48</v>
      </c>
      <c r="D10299" s="601">
        <v>97.62</v>
      </c>
    </row>
    <row r="10300" spans="1:4" ht="27">
      <c r="A10300" s="402">
        <v>96361</v>
      </c>
      <c r="B10300" s="403" t="s">
        <v>3963</v>
      </c>
      <c r="C10300" s="402" t="s">
        <v>48</v>
      </c>
      <c r="D10300" s="601">
        <v>112.85</v>
      </c>
    </row>
    <row r="10301" spans="1:4" ht="40.5">
      <c r="A10301" s="402">
        <v>96362</v>
      </c>
      <c r="B10301" s="403" t="s">
        <v>3964</v>
      </c>
      <c r="C10301" s="402" t="s">
        <v>48</v>
      </c>
      <c r="D10301" s="601">
        <v>101.1</v>
      </c>
    </row>
    <row r="10302" spans="1:4" ht="40.5">
      <c r="A10302" s="402">
        <v>96363</v>
      </c>
      <c r="B10302" s="403" t="s">
        <v>3965</v>
      </c>
      <c r="C10302" s="402" t="s">
        <v>48</v>
      </c>
      <c r="D10302" s="601">
        <v>109.13</v>
      </c>
    </row>
    <row r="10303" spans="1:4" ht="40.5">
      <c r="A10303" s="402">
        <v>96364</v>
      </c>
      <c r="B10303" s="403" t="s">
        <v>3966</v>
      </c>
      <c r="C10303" s="402" t="s">
        <v>48</v>
      </c>
      <c r="D10303" s="601">
        <v>122.16</v>
      </c>
    </row>
    <row r="10304" spans="1:4" ht="40.5">
      <c r="A10304" s="402">
        <v>96365</v>
      </c>
      <c r="B10304" s="403" t="s">
        <v>3967</v>
      </c>
      <c r="C10304" s="402" t="s">
        <v>48</v>
      </c>
      <c r="D10304" s="601">
        <v>137.6</v>
      </c>
    </row>
    <row r="10305" spans="1:4" ht="27">
      <c r="A10305" s="402">
        <v>96366</v>
      </c>
      <c r="B10305" s="403" t="s">
        <v>3968</v>
      </c>
      <c r="C10305" s="402" t="s">
        <v>48</v>
      </c>
      <c r="D10305" s="601">
        <v>125.64</v>
      </c>
    </row>
    <row r="10306" spans="1:4" ht="27">
      <c r="A10306" s="402">
        <v>96367</v>
      </c>
      <c r="B10306" s="403" t="s">
        <v>3969</v>
      </c>
      <c r="C10306" s="402" t="s">
        <v>48</v>
      </c>
      <c r="D10306" s="601">
        <v>133.88999999999999</v>
      </c>
    </row>
    <row r="10307" spans="1:4" ht="27">
      <c r="A10307" s="402">
        <v>96368</v>
      </c>
      <c r="B10307" s="403" t="s">
        <v>3970</v>
      </c>
      <c r="C10307" s="402" t="s">
        <v>48</v>
      </c>
      <c r="D10307" s="601">
        <v>146.69999999999999</v>
      </c>
    </row>
    <row r="10308" spans="1:4" ht="27">
      <c r="A10308" s="402">
        <v>96369</v>
      </c>
      <c r="B10308" s="403" t="s">
        <v>3971</v>
      </c>
      <c r="C10308" s="402" t="s">
        <v>48</v>
      </c>
      <c r="D10308" s="601">
        <v>162.37</v>
      </c>
    </row>
    <row r="10309" spans="1:4" ht="27">
      <c r="A10309" s="402">
        <v>96370</v>
      </c>
      <c r="B10309" s="403" t="s">
        <v>3972</v>
      </c>
      <c r="C10309" s="402" t="s">
        <v>48</v>
      </c>
      <c r="D10309" s="601">
        <v>49.15</v>
      </c>
    </row>
    <row r="10310" spans="1:4" ht="27">
      <c r="A10310" s="402">
        <v>96371</v>
      </c>
      <c r="B10310" s="403" t="s">
        <v>3973</v>
      </c>
      <c r="C10310" s="402" t="s">
        <v>48</v>
      </c>
      <c r="D10310" s="601">
        <v>56.81</v>
      </c>
    </row>
    <row r="10311" spans="1:4" ht="13.5">
      <c r="A10311" s="402">
        <v>96372</v>
      </c>
      <c r="B10311" s="403" t="s">
        <v>3974</v>
      </c>
      <c r="C10311" s="402" t="s">
        <v>48</v>
      </c>
      <c r="D10311" s="601">
        <v>22.3</v>
      </c>
    </row>
    <row r="10312" spans="1:4" ht="13.5">
      <c r="A10312" s="402">
        <v>96373</v>
      </c>
      <c r="B10312" s="403" t="s">
        <v>3975</v>
      </c>
      <c r="C10312" s="402" t="s">
        <v>17</v>
      </c>
      <c r="D10312" s="601">
        <v>7.51</v>
      </c>
    </row>
    <row r="10313" spans="1:4" ht="13.5">
      <c r="A10313" s="402">
        <v>96374</v>
      </c>
      <c r="B10313" s="403" t="s">
        <v>3976</v>
      </c>
      <c r="C10313" s="402" t="s">
        <v>17</v>
      </c>
      <c r="D10313" s="601">
        <v>16.39</v>
      </c>
    </row>
    <row r="10314" spans="1:4" ht="27">
      <c r="A10314" s="402">
        <v>101154</v>
      </c>
      <c r="B10314" s="403" t="s">
        <v>14415</v>
      </c>
      <c r="C10314" s="402" t="s">
        <v>48</v>
      </c>
      <c r="D10314" s="601">
        <v>73.209999999999994</v>
      </c>
    </row>
    <row r="10315" spans="1:4" ht="27">
      <c r="A10315" s="402">
        <v>101155</v>
      </c>
      <c r="B10315" s="403" t="s">
        <v>14416</v>
      </c>
      <c r="C10315" s="402" t="s">
        <v>48</v>
      </c>
      <c r="D10315" s="601">
        <v>109.84</v>
      </c>
    </row>
    <row r="10316" spans="1:4" ht="27">
      <c r="A10316" s="402">
        <v>101156</v>
      </c>
      <c r="B10316" s="403" t="s">
        <v>14417</v>
      </c>
      <c r="C10316" s="402" t="s">
        <v>48</v>
      </c>
      <c r="D10316" s="601">
        <v>141.36000000000001</v>
      </c>
    </row>
    <row r="10317" spans="1:4" ht="40.5">
      <c r="A10317" s="402" t="s">
        <v>4273</v>
      </c>
      <c r="B10317" s="403" t="s">
        <v>4274</v>
      </c>
      <c r="C10317" s="402" t="s">
        <v>48</v>
      </c>
      <c r="D10317" s="601">
        <v>51.92</v>
      </c>
    </row>
    <row r="10318" spans="1:4" ht="40.5">
      <c r="A10318" s="402" t="s">
        <v>4275</v>
      </c>
      <c r="B10318" s="403" t="s">
        <v>4276</v>
      </c>
      <c r="C10318" s="402" t="s">
        <v>48</v>
      </c>
      <c r="D10318" s="601">
        <v>40.020000000000003</v>
      </c>
    </row>
    <row r="10319" spans="1:4" ht="27">
      <c r="A10319" s="402">
        <v>83694</v>
      </c>
      <c r="B10319" s="403" t="s">
        <v>1211</v>
      </c>
      <c r="C10319" s="402" t="s">
        <v>48</v>
      </c>
      <c r="D10319" s="601">
        <v>14.47</v>
      </c>
    </row>
    <row r="10320" spans="1:4" ht="13.5">
      <c r="A10320" s="402" t="s">
        <v>4449</v>
      </c>
      <c r="B10320" s="403" t="s">
        <v>816</v>
      </c>
      <c r="C10320" s="402" t="s">
        <v>48</v>
      </c>
      <c r="D10320" s="601">
        <v>25.79</v>
      </c>
    </row>
    <row r="10321" spans="1:4" ht="13.5">
      <c r="A10321" s="402">
        <v>83771</v>
      </c>
      <c r="B10321" s="403" t="s">
        <v>185</v>
      </c>
      <c r="C10321" s="402" t="s">
        <v>33</v>
      </c>
      <c r="D10321" s="601">
        <v>6.2</v>
      </c>
    </row>
    <row r="10322" spans="1:4" ht="27">
      <c r="A10322" s="402">
        <v>100576</v>
      </c>
      <c r="B10322" s="403" t="s">
        <v>6977</v>
      </c>
      <c r="C10322" s="402" t="s">
        <v>48</v>
      </c>
      <c r="D10322" s="601">
        <v>1.23</v>
      </c>
    </row>
    <row r="10323" spans="1:4" ht="27">
      <c r="A10323" s="402">
        <v>100577</v>
      </c>
      <c r="B10323" s="403" t="s">
        <v>6978</v>
      </c>
      <c r="C10323" s="402" t="s">
        <v>48</v>
      </c>
      <c r="D10323" s="601">
        <v>0.57999999999999996</v>
      </c>
    </row>
    <row r="10324" spans="1:4" ht="40.5">
      <c r="A10324" s="402">
        <v>96388</v>
      </c>
      <c r="B10324" s="403" t="s">
        <v>6979</v>
      </c>
      <c r="C10324" s="402" t="s">
        <v>33</v>
      </c>
      <c r="D10324" s="601">
        <v>5.82</v>
      </c>
    </row>
    <row r="10325" spans="1:4" ht="40.5">
      <c r="A10325" s="402">
        <v>96389</v>
      </c>
      <c r="B10325" s="403" t="s">
        <v>12958</v>
      </c>
      <c r="C10325" s="402" t="s">
        <v>33</v>
      </c>
      <c r="D10325" s="601">
        <v>32.340000000000003</v>
      </c>
    </row>
    <row r="10326" spans="1:4" ht="40.5">
      <c r="A10326" s="402">
        <v>96390</v>
      </c>
      <c r="B10326" s="403" t="s">
        <v>12959</v>
      </c>
      <c r="C10326" s="402" t="s">
        <v>33</v>
      </c>
      <c r="D10326" s="601">
        <v>53.36</v>
      </c>
    </row>
    <row r="10327" spans="1:4" ht="40.5">
      <c r="A10327" s="402">
        <v>96391</v>
      </c>
      <c r="B10327" s="403" t="s">
        <v>6980</v>
      </c>
      <c r="C10327" s="402" t="s">
        <v>33</v>
      </c>
      <c r="D10327" s="601">
        <v>75.16</v>
      </c>
    </row>
    <row r="10328" spans="1:4" ht="40.5">
      <c r="A10328" s="402">
        <v>96392</v>
      </c>
      <c r="B10328" s="403" t="s">
        <v>6981</v>
      </c>
      <c r="C10328" s="402" t="s">
        <v>33</v>
      </c>
      <c r="D10328" s="601">
        <v>96.26</v>
      </c>
    </row>
    <row r="10329" spans="1:4" ht="27">
      <c r="A10329" s="402">
        <v>96396</v>
      </c>
      <c r="B10329" s="403" t="s">
        <v>6982</v>
      </c>
      <c r="C10329" s="402" t="s">
        <v>33</v>
      </c>
      <c r="D10329" s="601">
        <v>137.5</v>
      </c>
    </row>
    <row r="10330" spans="1:4" ht="40.5">
      <c r="A10330" s="402">
        <v>96397</v>
      </c>
      <c r="B10330" s="403" t="s">
        <v>6983</v>
      </c>
      <c r="C10330" s="402" t="s">
        <v>33</v>
      </c>
      <c r="D10330" s="601">
        <v>176.34</v>
      </c>
    </row>
    <row r="10331" spans="1:4" ht="27">
      <c r="A10331" s="402">
        <v>96398</v>
      </c>
      <c r="B10331" s="403" t="s">
        <v>6984</v>
      </c>
      <c r="C10331" s="402" t="s">
        <v>33</v>
      </c>
      <c r="D10331" s="601">
        <v>229.22</v>
      </c>
    </row>
    <row r="10332" spans="1:4" ht="27">
      <c r="A10332" s="402">
        <v>96399</v>
      </c>
      <c r="B10332" s="403" t="s">
        <v>12960</v>
      </c>
      <c r="C10332" s="402" t="s">
        <v>33</v>
      </c>
      <c r="D10332" s="601">
        <v>99.61</v>
      </c>
    </row>
    <row r="10333" spans="1:4" ht="27">
      <c r="A10333" s="402">
        <v>96400</v>
      </c>
      <c r="B10333" s="403" t="s">
        <v>6985</v>
      </c>
      <c r="C10333" s="402" t="s">
        <v>33</v>
      </c>
      <c r="D10333" s="601">
        <v>125.94</v>
      </c>
    </row>
    <row r="10334" spans="1:4" ht="13.5">
      <c r="A10334" s="402">
        <v>96401</v>
      </c>
      <c r="B10334" s="403" t="s">
        <v>6986</v>
      </c>
      <c r="C10334" s="402" t="s">
        <v>48</v>
      </c>
      <c r="D10334" s="601">
        <v>7.54</v>
      </c>
    </row>
    <row r="10335" spans="1:4" ht="13.5">
      <c r="A10335" s="402">
        <v>96402</v>
      </c>
      <c r="B10335" s="403" t="s">
        <v>6987</v>
      </c>
      <c r="C10335" s="402" t="s">
        <v>48</v>
      </c>
      <c r="D10335" s="601">
        <v>1.49</v>
      </c>
    </row>
    <row r="10336" spans="1:4" ht="40.5">
      <c r="A10336" s="402">
        <v>100564</v>
      </c>
      <c r="B10336" s="403" t="s">
        <v>6988</v>
      </c>
      <c r="C10336" s="402" t="s">
        <v>33</v>
      </c>
      <c r="D10336" s="601">
        <v>77.8</v>
      </c>
    </row>
    <row r="10337" spans="1:4" ht="40.5">
      <c r="A10337" s="402">
        <v>100565</v>
      </c>
      <c r="B10337" s="403" t="s">
        <v>6989</v>
      </c>
      <c r="C10337" s="402" t="s">
        <v>33</v>
      </c>
      <c r="D10337" s="601">
        <v>66.84</v>
      </c>
    </row>
    <row r="10338" spans="1:4" ht="40.5">
      <c r="A10338" s="402">
        <v>100566</v>
      </c>
      <c r="B10338" s="403" t="s">
        <v>6990</v>
      </c>
      <c r="C10338" s="402" t="s">
        <v>33</v>
      </c>
      <c r="D10338" s="601">
        <v>120.74</v>
      </c>
    </row>
    <row r="10339" spans="1:4" ht="40.5">
      <c r="A10339" s="402">
        <v>100567</v>
      </c>
      <c r="B10339" s="403" t="s">
        <v>6991</v>
      </c>
      <c r="C10339" s="402" t="s">
        <v>33</v>
      </c>
      <c r="D10339" s="601">
        <v>140.84</v>
      </c>
    </row>
    <row r="10340" spans="1:4" ht="40.5">
      <c r="A10340" s="402">
        <v>100568</v>
      </c>
      <c r="B10340" s="403" t="s">
        <v>6992</v>
      </c>
      <c r="C10340" s="402" t="s">
        <v>33</v>
      </c>
      <c r="D10340" s="601">
        <v>160.58000000000001</v>
      </c>
    </row>
    <row r="10341" spans="1:4" ht="40.5">
      <c r="A10341" s="402">
        <v>100569</v>
      </c>
      <c r="B10341" s="403" t="s">
        <v>6993</v>
      </c>
      <c r="C10341" s="402" t="s">
        <v>33</v>
      </c>
      <c r="D10341" s="601">
        <v>110.18</v>
      </c>
    </row>
    <row r="10342" spans="1:4" ht="40.5">
      <c r="A10342" s="402">
        <v>100570</v>
      </c>
      <c r="B10342" s="403" t="s">
        <v>6994</v>
      </c>
      <c r="C10342" s="402" t="s">
        <v>33</v>
      </c>
      <c r="D10342" s="601">
        <v>131.63999999999999</v>
      </c>
    </row>
    <row r="10343" spans="1:4" ht="40.5">
      <c r="A10343" s="402">
        <v>100571</v>
      </c>
      <c r="B10343" s="403" t="s">
        <v>6995</v>
      </c>
      <c r="C10343" s="402" t="s">
        <v>33</v>
      </c>
      <c r="D10343" s="601">
        <v>150.5</v>
      </c>
    </row>
    <row r="10344" spans="1:4" ht="40.5">
      <c r="A10344" s="402">
        <v>100572</v>
      </c>
      <c r="B10344" s="403" t="s">
        <v>6996</v>
      </c>
      <c r="C10344" s="402" t="s">
        <v>33</v>
      </c>
      <c r="D10344" s="601">
        <v>80.650000000000006</v>
      </c>
    </row>
    <row r="10345" spans="1:4" ht="40.5">
      <c r="A10345" s="402">
        <v>100573</v>
      </c>
      <c r="B10345" s="403" t="s">
        <v>6997</v>
      </c>
      <c r="C10345" s="402" t="s">
        <v>33</v>
      </c>
      <c r="D10345" s="601">
        <v>69.69</v>
      </c>
    </row>
    <row r="10346" spans="1:4" ht="13.5">
      <c r="A10346" s="402">
        <v>100574</v>
      </c>
      <c r="B10346" s="403" t="s">
        <v>6998</v>
      </c>
      <c r="C10346" s="402" t="s">
        <v>33</v>
      </c>
      <c r="D10346" s="601">
        <v>0.75</v>
      </c>
    </row>
    <row r="10347" spans="1:4" ht="13.5">
      <c r="A10347" s="402">
        <v>100575</v>
      </c>
      <c r="B10347" s="403" t="s">
        <v>6999</v>
      </c>
      <c r="C10347" s="402" t="s">
        <v>48</v>
      </c>
      <c r="D10347" s="601">
        <v>0.06</v>
      </c>
    </row>
    <row r="10348" spans="1:4" ht="27">
      <c r="A10348" s="402">
        <v>92391</v>
      </c>
      <c r="B10348" s="403" t="s">
        <v>638</v>
      </c>
      <c r="C10348" s="402" t="s">
        <v>48</v>
      </c>
      <c r="D10348" s="601">
        <v>46.07</v>
      </c>
    </row>
    <row r="10349" spans="1:4" ht="27">
      <c r="A10349" s="402">
        <v>92392</v>
      </c>
      <c r="B10349" s="403" t="s">
        <v>639</v>
      </c>
      <c r="C10349" s="402" t="s">
        <v>48</v>
      </c>
      <c r="D10349" s="601">
        <v>95.38</v>
      </c>
    </row>
    <row r="10350" spans="1:4" ht="27">
      <c r="A10350" s="402">
        <v>92393</v>
      </c>
      <c r="B10350" s="403" t="s">
        <v>640</v>
      </c>
      <c r="C10350" s="402" t="s">
        <v>48</v>
      </c>
      <c r="D10350" s="601">
        <v>45.93</v>
      </c>
    </row>
    <row r="10351" spans="1:4" ht="27">
      <c r="A10351" s="402">
        <v>92394</v>
      </c>
      <c r="B10351" s="403" t="s">
        <v>641</v>
      </c>
      <c r="C10351" s="402" t="s">
        <v>48</v>
      </c>
      <c r="D10351" s="601">
        <v>57.65</v>
      </c>
    </row>
    <row r="10352" spans="1:4" ht="27">
      <c r="A10352" s="402">
        <v>92395</v>
      </c>
      <c r="B10352" s="403" t="s">
        <v>642</v>
      </c>
      <c r="C10352" s="402" t="s">
        <v>48</v>
      </c>
      <c r="D10352" s="601">
        <v>70.180000000000007</v>
      </c>
    </row>
    <row r="10353" spans="1:4" ht="27">
      <c r="A10353" s="402">
        <v>92396</v>
      </c>
      <c r="B10353" s="403" t="s">
        <v>2693</v>
      </c>
      <c r="C10353" s="402" t="s">
        <v>48</v>
      </c>
      <c r="D10353" s="601">
        <v>56.14</v>
      </c>
    </row>
    <row r="10354" spans="1:4" ht="27">
      <c r="A10354" s="402">
        <v>92397</v>
      </c>
      <c r="B10354" s="403" t="s">
        <v>2694</v>
      </c>
      <c r="C10354" s="402" t="s">
        <v>48</v>
      </c>
      <c r="D10354" s="601">
        <v>46.12</v>
      </c>
    </row>
    <row r="10355" spans="1:4" ht="27">
      <c r="A10355" s="402">
        <v>92398</v>
      </c>
      <c r="B10355" s="403" t="s">
        <v>2695</v>
      </c>
      <c r="C10355" s="402" t="s">
        <v>48</v>
      </c>
      <c r="D10355" s="601">
        <v>59.04</v>
      </c>
    </row>
    <row r="10356" spans="1:4" ht="27">
      <c r="A10356" s="402">
        <v>92399</v>
      </c>
      <c r="B10356" s="403" t="s">
        <v>643</v>
      </c>
      <c r="C10356" s="402" t="s">
        <v>48</v>
      </c>
      <c r="D10356" s="601">
        <v>60.19</v>
      </c>
    </row>
    <row r="10357" spans="1:4" ht="27">
      <c r="A10357" s="402">
        <v>92400</v>
      </c>
      <c r="B10357" s="403" t="s">
        <v>2696</v>
      </c>
      <c r="C10357" s="402" t="s">
        <v>48</v>
      </c>
      <c r="D10357" s="601">
        <v>70.59</v>
      </c>
    </row>
    <row r="10358" spans="1:4" ht="27">
      <c r="A10358" s="402">
        <v>92401</v>
      </c>
      <c r="B10358" s="403" t="s">
        <v>644</v>
      </c>
      <c r="C10358" s="402" t="s">
        <v>48</v>
      </c>
      <c r="D10358" s="601">
        <v>71.819999999999993</v>
      </c>
    </row>
    <row r="10359" spans="1:4" ht="27">
      <c r="A10359" s="402">
        <v>92402</v>
      </c>
      <c r="B10359" s="403" t="s">
        <v>2697</v>
      </c>
      <c r="C10359" s="402" t="s">
        <v>48</v>
      </c>
      <c r="D10359" s="601">
        <v>57.53</v>
      </c>
    </row>
    <row r="10360" spans="1:4" ht="27">
      <c r="A10360" s="402">
        <v>92403</v>
      </c>
      <c r="B10360" s="403" t="s">
        <v>2698</v>
      </c>
      <c r="C10360" s="402" t="s">
        <v>48</v>
      </c>
      <c r="D10360" s="601">
        <v>47.4</v>
      </c>
    </row>
    <row r="10361" spans="1:4" ht="27">
      <c r="A10361" s="402">
        <v>92404</v>
      </c>
      <c r="B10361" s="403" t="s">
        <v>2699</v>
      </c>
      <c r="C10361" s="402" t="s">
        <v>48</v>
      </c>
      <c r="D10361" s="601">
        <v>60.33</v>
      </c>
    </row>
    <row r="10362" spans="1:4" ht="27">
      <c r="A10362" s="402">
        <v>92405</v>
      </c>
      <c r="B10362" s="403" t="s">
        <v>2700</v>
      </c>
      <c r="C10362" s="402" t="s">
        <v>48</v>
      </c>
      <c r="D10362" s="601">
        <v>61.45</v>
      </c>
    </row>
    <row r="10363" spans="1:4" ht="27">
      <c r="A10363" s="402">
        <v>92406</v>
      </c>
      <c r="B10363" s="403" t="s">
        <v>2701</v>
      </c>
      <c r="C10363" s="402" t="s">
        <v>48</v>
      </c>
      <c r="D10363" s="601">
        <v>71.89</v>
      </c>
    </row>
    <row r="10364" spans="1:4" ht="27">
      <c r="A10364" s="402">
        <v>92407</v>
      </c>
      <c r="B10364" s="403" t="s">
        <v>2702</v>
      </c>
      <c r="C10364" s="402" t="s">
        <v>48</v>
      </c>
      <c r="D10364" s="601">
        <v>73.09</v>
      </c>
    </row>
    <row r="10365" spans="1:4" ht="27">
      <c r="A10365" s="402">
        <v>93679</v>
      </c>
      <c r="B10365" s="403" t="s">
        <v>3275</v>
      </c>
      <c r="C10365" s="402" t="s">
        <v>48</v>
      </c>
      <c r="D10365" s="601">
        <v>62.25</v>
      </c>
    </row>
    <row r="10366" spans="1:4" ht="27">
      <c r="A10366" s="402">
        <v>93680</v>
      </c>
      <c r="B10366" s="403" t="s">
        <v>3276</v>
      </c>
      <c r="C10366" s="402" t="s">
        <v>48</v>
      </c>
      <c r="D10366" s="601">
        <v>51.96</v>
      </c>
    </row>
    <row r="10367" spans="1:4" ht="27">
      <c r="A10367" s="402">
        <v>93681</v>
      </c>
      <c r="B10367" s="403" t="s">
        <v>3277</v>
      </c>
      <c r="C10367" s="402" t="s">
        <v>48</v>
      </c>
      <c r="D10367" s="601">
        <v>63.71</v>
      </c>
    </row>
    <row r="10368" spans="1:4" ht="27">
      <c r="A10368" s="402">
        <v>93682</v>
      </c>
      <c r="B10368" s="403" t="s">
        <v>704</v>
      </c>
      <c r="C10368" s="402" t="s">
        <v>48</v>
      </c>
      <c r="D10368" s="601">
        <v>64.91</v>
      </c>
    </row>
    <row r="10369" spans="1:4" ht="13.5">
      <c r="A10369" s="402">
        <v>97114</v>
      </c>
      <c r="B10369" s="403" t="s">
        <v>4519</v>
      </c>
      <c r="C10369" s="402" t="s">
        <v>17</v>
      </c>
      <c r="D10369" s="601">
        <v>0.33</v>
      </c>
    </row>
    <row r="10370" spans="1:4" ht="27">
      <c r="A10370" s="402">
        <v>97115</v>
      </c>
      <c r="B10370" s="403" t="s">
        <v>4520</v>
      </c>
      <c r="C10370" s="402" t="s">
        <v>20</v>
      </c>
      <c r="D10370" s="601">
        <v>28.2</v>
      </c>
    </row>
    <row r="10371" spans="1:4" ht="27">
      <c r="A10371" s="402">
        <v>97120</v>
      </c>
      <c r="B10371" s="403" t="s">
        <v>4521</v>
      </c>
      <c r="C10371" s="402" t="s">
        <v>20</v>
      </c>
      <c r="D10371" s="601">
        <v>6.7</v>
      </c>
    </row>
    <row r="10372" spans="1:4" ht="27">
      <c r="A10372" s="402">
        <v>97802</v>
      </c>
      <c r="B10372" s="403" t="s">
        <v>7000</v>
      </c>
      <c r="C10372" s="402" t="s">
        <v>48</v>
      </c>
      <c r="D10372" s="601">
        <v>4.2699999999999996</v>
      </c>
    </row>
    <row r="10373" spans="1:4" ht="27">
      <c r="A10373" s="402">
        <v>97803</v>
      </c>
      <c r="B10373" s="403" t="s">
        <v>7001</v>
      </c>
      <c r="C10373" s="402" t="s">
        <v>48</v>
      </c>
      <c r="D10373" s="601">
        <v>6.32</v>
      </c>
    </row>
    <row r="10374" spans="1:4" ht="27">
      <c r="A10374" s="402">
        <v>97805</v>
      </c>
      <c r="B10374" s="403" t="s">
        <v>7002</v>
      </c>
      <c r="C10374" s="402" t="s">
        <v>48</v>
      </c>
      <c r="D10374" s="601">
        <v>10.75</v>
      </c>
    </row>
    <row r="10375" spans="1:4" ht="27">
      <c r="A10375" s="402">
        <v>97806</v>
      </c>
      <c r="B10375" s="403" t="s">
        <v>7003</v>
      </c>
      <c r="C10375" s="402" t="s">
        <v>48</v>
      </c>
      <c r="D10375" s="601">
        <v>12.8</v>
      </c>
    </row>
    <row r="10376" spans="1:4" ht="27">
      <c r="A10376" s="402">
        <v>97807</v>
      </c>
      <c r="B10376" s="403" t="s">
        <v>7004</v>
      </c>
      <c r="C10376" s="402" t="s">
        <v>48</v>
      </c>
      <c r="D10376" s="601">
        <v>14.55</v>
      </c>
    </row>
    <row r="10377" spans="1:4" ht="27">
      <c r="A10377" s="402">
        <v>97809</v>
      </c>
      <c r="B10377" s="403" t="s">
        <v>7005</v>
      </c>
      <c r="C10377" s="402" t="s">
        <v>48</v>
      </c>
      <c r="D10377" s="601">
        <v>12.04</v>
      </c>
    </row>
    <row r="10378" spans="1:4" ht="27">
      <c r="A10378" s="402">
        <v>97810</v>
      </c>
      <c r="B10378" s="403" t="s">
        <v>7006</v>
      </c>
      <c r="C10378" s="402" t="s">
        <v>48</v>
      </c>
      <c r="D10378" s="601">
        <v>13</v>
      </c>
    </row>
    <row r="10379" spans="1:4" ht="27">
      <c r="A10379" s="402">
        <v>97811</v>
      </c>
      <c r="B10379" s="403" t="s">
        <v>7007</v>
      </c>
      <c r="C10379" s="402" t="s">
        <v>48</v>
      </c>
      <c r="D10379" s="601">
        <v>14.79</v>
      </c>
    </row>
    <row r="10380" spans="1:4" ht="27">
      <c r="A10380" s="402">
        <v>101167</v>
      </c>
      <c r="B10380" s="403" t="s">
        <v>14418</v>
      </c>
      <c r="C10380" s="402" t="s">
        <v>48</v>
      </c>
      <c r="D10380" s="601">
        <v>68.260000000000005</v>
      </c>
    </row>
    <row r="10381" spans="1:4" ht="27">
      <c r="A10381" s="402">
        <v>101168</v>
      </c>
      <c r="B10381" s="403" t="s">
        <v>14419</v>
      </c>
      <c r="C10381" s="402" t="s">
        <v>48</v>
      </c>
      <c r="D10381" s="601">
        <v>95.04</v>
      </c>
    </row>
    <row r="10382" spans="1:4" ht="27">
      <c r="A10382" s="402">
        <v>101169</v>
      </c>
      <c r="B10382" s="403" t="s">
        <v>14420</v>
      </c>
      <c r="C10382" s="402" t="s">
        <v>48</v>
      </c>
      <c r="D10382" s="601">
        <v>76.88</v>
      </c>
    </row>
    <row r="10383" spans="1:4" ht="27">
      <c r="A10383" s="402">
        <v>101170</v>
      </c>
      <c r="B10383" s="403" t="s">
        <v>14421</v>
      </c>
      <c r="C10383" s="402" t="s">
        <v>48</v>
      </c>
      <c r="D10383" s="601">
        <v>31.78</v>
      </c>
    </row>
    <row r="10384" spans="1:4" ht="27">
      <c r="A10384" s="402">
        <v>101171</v>
      </c>
      <c r="B10384" s="403" t="s">
        <v>14422</v>
      </c>
      <c r="C10384" s="402" t="s">
        <v>48</v>
      </c>
      <c r="D10384" s="601">
        <v>66.36</v>
      </c>
    </row>
    <row r="10385" spans="1:4" ht="27">
      <c r="A10385" s="402">
        <v>101172</v>
      </c>
      <c r="B10385" s="403" t="s">
        <v>14423</v>
      </c>
      <c r="C10385" s="402" t="s">
        <v>48</v>
      </c>
      <c r="D10385" s="601">
        <v>46.83</v>
      </c>
    </row>
    <row r="10386" spans="1:4" ht="27">
      <c r="A10386" s="402">
        <v>72947</v>
      </c>
      <c r="B10386" s="403" t="s">
        <v>1178</v>
      </c>
      <c r="C10386" s="402" t="s">
        <v>48</v>
      </c>
      <c r="D10386" s="601">
        <v>11.22</v>
      </c>
    </row>
    <row r="10387" spans="1:4" ht="13.5">
      <c r="A10387" s="402">
        <v>83693</v>
      </c>
      <c r="B10387" s="403" t="s">
        <v>184</v>
      </c>
      <c r="C10387" s="402" t="s">
        <v>48</v>
      </c>
      <c r="D10387" s="601">
        <v>3.23</v>
      </c>
    </row>
    <row r="10388" spans="1:4" ht="27">
      <c r="A10388" s="402">
        <v>95995</v>
      </c>
      <c r="B10388" s="403" t="s">
        <v>7008</v>
      </c>
      <c r="C10388" s="402" t="s">
        <v>33</v>
      </c>
      <c r="D10388" s="601">
        <v>901.26</v>
      </c>
    </row>
    <row r="10389" spans="1:4" ht="27">
      <c r="A10389" s="402">
        <v>95996</v>
      </c>
      <c r="B10389" s="403" t="s">
        <v>7009</v>
      </c>
      <c r="C10389" s="402" t="s">
        <v>33</v>
      </c>
      <c r="D10389" s="601">
        <v>856.76</v>
      </c>
    </row>
    <row r="10390" spans="1:4" ht="27">
      <c r="A10390" s="402">
        <v>96001</v>
      </c>
      <c r="B10390" s="403" t="s">
        <v>7010</v>
      </c>
      <c r="C10390" s="402" t="s">
        <v>48</v>
      </c>
      <c r="D10390" s="601">
        <v>4.8899999999999997</v>
      </c>
    </row>
    <row r="10391" spans="1:4" ht="13.5">
      <c r="A10391" s="402">
        <v>96393</v>
      </c>
      <c r="B10391" s="403" t="s">
        <v>12961</v>
      </c>
      <c r="C10391" s="402" t="s">
        <v>33</v>
      </c>
      <c r="D10391" s="601">
        <v>131.01</v>
      </c>
    </row>
    <row r="10392" spans="1:4" ht="13.5">
      <c r="A10392" s="402">
        <v>96394</v>
      </c>
      <c r="B10392" s="403" t="s">
        <v>12962</v>
      </c>
      <c r="C10392" s="402" t="s">
        <v>33</v>
      </c>
      <c r="D10392" s="601">
        <v>168.99</v>
      </c>
    </row>
    <row r="10393" spans="1:4" ht="13.5">
      <c r="A10393" s="402">
        <v>96395</v>
      </c>
      <c r="B10393" s="403" t="s">
        <v>12963</v>
      </c>
      <c r="C10393" s="402" t="s">
        <v>33</v>
      </c>
      <c r="D10393" s="601">
        <v>222.73</v>
      </c>
    </row>
    <row r="10394" spans="1:4" ht="27">
      <c r="A10394" s="402">
        <v>101020</v>
      </c>
      <c r="B10394" s="403" t="s">
        <v>12964</v>
      </c>
      <c r="C10394" s="402" t="s">
        <v>59</v>
      </c>
      <c r="D10394" s="601">
        <v>316.06</v>
      </c>
    </row>
    <row r="10395" spans="1:4" ht="27">
      <c r="A10395" s="402">
        <v>101021</v>
      </c>
      <c r="B10395" s="403" t="s">
        <v>12965</v>
      </c>
      <c r="C10395" s="402" t="s">
        <v>59</v>
      </c>
      <c r="D10395" s="601">
        <v>319.39999999999998</v>
      </c>
    </row>
    <row r="10396" spans="1:4" ht="27">
      <c r="A10396" s="402">
        <v>101022</v>
      </c>
      <c r="B10396" s="403" t="s">
        <v>12966</v>
      </c>
      <c r="C10396" s="402" t="s">
        <v>59</v>
      </c>
      <c r="D10396" s="601">
        <v>283.62</v>
      </c>
    </row>
    <row r="10397" spans="1:4" ht="27">
      <c r="A10397" s="402">
        <v>101023</v>
      </c>
      <c r="B10397" s="403" t="s">
        <v>12967</v>
      </c>
      <c r="C10397" s="402" t="s">
        <v>59</v>
      </c>
      <c r="D10397" s="601">
        <v>288.26</v>
      </c>
    </row>
    <row r="10398" spans="1:4" ht="27">
      <c r="A10398" s="402">
        <v>101024</v>
      </c>
      <c r="B10398" s="403" t="s">
        <v>12968</v>
      </c>
      <c r="C10398" s="402" t="s">
        <v>59</v>
      </c>
      <c r="D10398" s="601">
        <v>287.64999999999998</v>
      </c>
    </row>
    <row r="10399" spans="1:4" ht="40.5">
      <c r="A10399" s="402">
        <v>101025</v>
      </c>
      <c r="B10399" s="403" t="s">
        <v>12969</v>
      </c>
      <c r="C10399" s="402" t="s">
        <v>59</v>
      </c>
      <c r="D10399" s="601">
        <v>290.99</v>
      </c>
    </row>
    <row r="10400" spans="1:4" ht="27">
      <c r="A10400" s="402">
        <v>101026</v>
      </c>
      <c r="B10400" s="403" t="s">
        <v>12970</v>
      </c>
      <c r="C10400" s="402" t="s">
        <v>59</v>
      </c>
      <c r="D10400" s="601">
        <v>290.35000000000002</v>
      </c>
    </row>
    <row r="10401" spans="1:4" ht="27">
      <c r="A10401" s="402">
        <v>101027</v>
      </c>
      <c r="B10401" s="403" t="s">
        <v>12971</v>
      </c>
      <c r="C10401" s="402" t="s">
        <v>59</v>
      </c>
      <c r="D10401" s="601">
        <v>316.01</v>
      </c>
    </row>
    <row r="10402" spans="1:4" ht="27">
      <c r="A10402" s="402">
        <v>88411</v>
      </c>
      <c r="B10402" s="403" t="s">
        <v>1539</v>
      </c>
      <c r="C10402" s="402" t="s">
        <v>48</v>
      </c>
      <c r="D10402" s="601">
        <v>1.69</v>
      </c>
    </row>
    <row r="10403" spans="1:4" ht="27">
      <c r="A10403" s="402">
        <v>88412</v>
      </c>
      <c r="B10403" s="403" t="s">
        <v>1540</v>
      </c>
      <c r="C10403" s="402" t="s">
        <v>48</v>
      </c>
      <c r="D10403" s="601">
        <v>1.19</v>
      </c>
    </row>
    <row r="10404" spans="1:4" ht="27">
      <c r="A10404" s="402">
        <v>88413</v>
      </c>
      <c r="B10404" s="403" t="s">
        <v>300</v>
      </c>
      <c r="C10404" s="402" t="s">
        <v>48</v>
      </c>
      <c r="D10404" s="601">
        <v>2.7</v>
      </c>
    </row>
    <row r="10405" spans="1:4" ht="27">
      <c r="A10405" s="402">
        <v>88414</v>
      </c>
      <c r="B10405" s="403" t="s">
        <v>301</v>
      </c>
      <c r="C10405" s="402" t="s">
        <v>48</v>
      </c>
      <c r="D10405" s="601">
        <v>3.02</v>
      </c>
    </row>
    <row r="10406" spans="1:4" ht="27">
      <c r="A10406" s="402">
        <v>88415</v>
      </c>
      <c r="B10406" s="403" t="s">
        <v>1541</v>
      </c>
      <c r="C10406" s="402" t="s">
        <v>48</v>
      </c>
      <c r="D10406" s="601">
        <v>1.85</v>
      </c>
    </row>
    <row r="10407" spans="1:4" ht="27">
      <c r="A10407" s="402">
        <v>88416</v>
      </c>
      <c r="B10407" s="403" t="s">
        <v>1542</v>
      </c>
      <c r="C10407" s="402" t="s">
        <v>48</v>
      </c>
      <c r="D10407" s="601">
        <v>15.65</v>
      </c>
    </row>
    <row r="10408" spans="1:4" ht="40.5">
      <c r="A10408" s="402">
        <v>88417</v>
      </c>
      <c r="B10408" s="403" t="s">
        <v>1543</v>
      </c>
      <c r="C10408" s="402" t="s">
        <v>48</v>
      </c>
      <c r="D10408" s="601">
        <v>13.86</v>
      </c>
    </row>
    <row r="10409" spans="1:4" ht="27">
      <c r="A10409" s="402">
        <v>88420</v>
      </c>
      <c r="B10409" s="403" t="s">
        <v>1544</v>
      </c>
      <c r="C10409" s="402" t="s">
        <v>48</v>
      </c>
      <c r="D10409" s="601">
        <v>19.25</v>
      </c>
    </row>
    <row r="10410" spans="1:4" ht="27">
      <c r="A10410" s="402">
        <v>88421</v>
      </c>
      <c r="B10410" s="403" t="s">
        <v>1545</v>
      </c>
      <c r="C10410" s="402" t="s">
        <v>48</v>
      </c>
      <c r="D10410" s="601">
        <v>20.38</v>
      </c>
    </row>
    <row r="10411" spans="1:4" ht="27">
      <c r="A10411" s="402">
        <v>88423</v>
      </c>
      <c r="B10411" s="403" t="s">
        <v>305</v>
      </c>
      <c r="C10411" s="402" t="s">
        <v>48</v>
      </c>
      <c r="D10411" s="601">
        <v>16.21</v>
      </c>
    </row>
    <row r="10412" spans="1:4" ht="40.5">
      <c r="A10412" s="402">
        <v>88424</v>
      </c>
      <c r="B10412" s="403" t="s">
        <v>1546</v>
      </c>
      <c r="C10412" s="402" t="s">
        <v>48</v>
      </c>
      <c r="D10412" s="601">
        <v>18.09</v>
      </c>
    </row>
    <row r="10413" spans="1:4" ht="40.5">
      <c r="A10413" s="402">
        <v>88426</v>
      </c>
      <c r="B10413" s="403" t="s">
        <v>1547</v>
      </c>
      <c r="C10413" s="402" t="s">
        <v>48</v>
      </c>
      <c r="D10413" s="601">
        <v>15.02</v>
      </c>
    </row>
    <row r="10414" spans="1:4" ht="40.5">
      <c r="A10414" s="402">
        <v>88428</v>
      </c>
      <c r="B10414" s="403" t="s">
        <v>1549</v>
      </c>
      <c r="C10414" s="402" t="s">
        <v>48</v>
      </c>
      <c r="D10414" s="601">
        <v>24.28</v>
      </c>
    </row>
    <row r="10415" spans="1:4" ht="40.5">
      <c r="A10415" s="402">
        <v>88429</v>
      </c>
      <c r="B10415" s="403" t="s">
        <v>1550</v>
      </c>
      <c r="C10415" s="402" t="s">
        <v>48</v>
      </c>
      <c r="D10415" s="601">
        <v>26.26</v>
      </c>
    </row>
    <row r="10416" spans="1:4" ht="27">
      <c r="A10416" s="402">
        <v>88431</v>
      </c>
      <c r="B10416" s="403" t="s">
        <v>308</v>
      </c>
      <c r="C10416" s="402" t="s">
        <v>48</v>
      </c>
      <c r="D10416" s="601">
        <v>19.07</v>
      </c>
    </row>
    <row r="10417" spans="1:4" ht="27">
      <c r="A10417" s="402">
        <v>88432</v>
      </c>
      <c r="B10417" s="403" t="s">
        <v>309</v>
      </c>
      <c r="C10417" s="402" t="s">
        <v>48</v>
      </c>
      <c r="D10417" s="601">
        <v>13.34</v>
      </c>
    </row>
    <row r="10418" spans="1:4" ht="13.5">
      <c r="A10418" s="402">
        <v>88482</v>
      </c>
      <c r="B10418" s="403" t="s">
        <v>317</v>
      </c>
      <c r="C10418" s="402" t="s">
        <v>48</v>
      </c>
      <c r="D10418" s="601">
        <v>2.0699999999999998</v>
      </c>
    </row>
    <row r="10419" spans="1:4" ht="13.5">
      <c r="A10419" s="402">
        <v>88483</v>
      </c>
      <c r="B10419" s="403" t="s">
        <v>51</v>
      </c>
      <c r="C10419" s="402" t="s">
        <v>48</v>
      </c>
      <c r="D10419" s="601">
        <v>1.86</v>
      </c>
    </row>
    <row r="10420" spans="1:4" ht="13.5">
      <c r="A10420" s="402">
        <v>88484</v>
      </c>
      <c r="B10420" s="403" t="s">
        <v>318</v>
      </c>
      <c r="C10420" s="402" t="s">
        <v>48</v>
      </c>
      <c r="D10420" s="601">
        <v>1.87</v>
      </c>
    </row>
    <row r="10421" spans="1:4" ht="13.5">
      <c r="A10421" s="402">
        <v>88485</v>
      </c>
      <c r="B10421" s="403" t="s">
        <v>42</v>
      </c>
      <c r="C10421" s="402" t="s">
        <v>48</v>
      </c>
      <c r="D10421" s="601">
        <v>1.57</v>
      </c>
    </row>
    <row r="10422" spans="1:4" ht="27">
      <c r="A10422" s="402">
        <v>88486</v>
      </c>
      <c r="B10422" s="403" t="s">
        <v>319</v>
      </c>
      <c r="C10422" s="402" t="s">
        <v>48</v>
      </c>
      <c r="D10422" s="601">
        <v>9.9499999999999993</v>
      </c>
    </row>
    <row r="10423" spans="1:4" ht="27">
      <c r="A10423" s="402">
        <v>88487</v>
      </c>
      <c r="B10423" s="403" t="s">
        <v>1557</v>
      </c>
      <c r="C10423" s="402" t="s">
        <v>48</v>
      </c>
      <c r="D10423" s="601">
        <v>8.99</v>
      </c>
    </row>
    <row r="10424" spans="1:4" ht="27">
      <c r="A10424" s="402">
        <v>88488</v>
      </c>
      <c r="B10424" s="403" t="s">
        <v>1558</v>
      </c>
      <c r="C10424" s="402" t="s">
        <v>48</v>
      </c>
      <c r="D10424" s="601">
        <v>12.65</v>
      </c>
    </row>
    <row r="10425" spans="1:4" ht="27">
      <c r="A10425" s="402">
        <v>88489</v>
      </c>
      <c r="B10425" s="403" t="s">
        <v>34</v>
      </c>
      <c r="C10425" s="402" t="s">
        <v>48</v>
      </c>
      <c r="D10425" s="601">
        <v>11.3</v>
      </c>
    </row>
    <row r="10426" spans="1:4" ht="27">
      <c r="A10426" s="402">
        <v>88490</v>
      </c>
      <c r="B10426" s="403" t="s">
        <v>1559</v>
      </c>
      <c r="C10426" s="402" t="s">
        <v>48</v>
      </c>
      <c r="D10426" s="601">
        <v>7.57</v>
      </c>
    </row>
    <row r="10427" spans="1:4" ht="27">
      <c r="A10427" s="402">
        <v>88491</v>
      </c>
      <c r="B10427" s="403" t="s">
        <v>1560</v>
      </c>
      <c r="C10427" s="402" t="s">
        <v>48</v>
      </c>
      <c r="D10427" s="601">
        <v>7.34</v>
      </c>
    </row>
    <row r="10428" spans="1:4" ht="27">
      <c r="A10428" s="402">
        <v>88492</v>
      </c>
      <c r="B10428" s="403" t="s">
        <v>1561</v>
      </c>
      <c r="C10428" s="402" t="s">
        <v>48</v>
      </c>
      <c r="D10428" s="601">
        <v>9.0500000000000007</v>
      </c>
    </row>
    <row r="10429" spans="1:4" ht="27">
      <c r="A10429" s="402">
        <v>88493</v>
      </c>
      <c r="B10429" s="403" t="s">
        <v>1562</v>
      </c>
      <c r="C10429" s="402" t="s">
        <v>48</v>
      </c>
      <c r="D10429" s="601">
        <v>8.7100000000000009</v>
      </c>
    </row>
    <row r="10430" spans="1:4" ht="13.5">
      <c r="A10430" s="402">
        <v>88494</v>
      </c>
      <c r="B10430" s="403" t="s">
        <v>320</v>
      </c>
      <c r="C10430" s="402" t="s">
        <v>48</v>
      </c>
      <c r="D10430" s="601">
        <v>14.53</v>
      </c>
    </row>
    <row r="10431" spans="1:4" ht="13.5">
      <c r="A10431" s="402">
        <v>88495</v>
      </c>
      <c r="B10431" s="403" t="s">
        <v>321</v>
      </c>
      <c r="C10431" s="402" t="s">
        <v>48</v>
      </c>
      <c r="D10431" s="601">
        <v>8.01</v>
      </c>
    </row>
    <row r="10432" spans="1:4" ht="13.5">
      <c r="A10432" s="402">
        <v>88496</v>
      </c>
      <c r="B10432" s="403" t="s">
        <v>322</v>
      </c>
      <c r="C10432" s="402" t="s">
        <v>48</v>
      </c>
      <c r="D10432" s="601">
        <v>19.77</v>
      </c>
    </row>
    <row r="10433" spans="1:4" ht="13.5">
      <c r="A10433" s="402">
        <v>88497</v>
      </c>
      <c r="B10433" s="403" t="s">
        <v>1563</v>
      </c>
      <c r="C10433" s="402" t="s">
        <v>48</v>
      </c>
      <c r="D10433" s="601">
        <v>11.07</v>
      </c>
    </row>
    <row r="10434" spans="1:4" ht="13.5">
      <c r="A10434" s="402">
        <v>95305</v>
      </c>
      <c r="B10434" s="403" t="s">
        <v>739</v>
      </c>
      <c r="C10434" s="402" t="s">
        <v>48</v>
      </c>
      <c r="D10434" s="601">
        <v>11.74</v>
      </c>
    </row>
    <row r="10435" spans="1:4" ht="13.5">
      <c r="A10435" s="402">
        <v>95306</v>
      </c>
      <c r="B10435" s="403" t="s">
        <v>740</v>
      </c>
      <c r="C10435" s="402" t="s">
        <v>48</v>
      </c>
      <c r="D10435" s="601">
        <v>13.46</v>
      </c>
    </row>
    <row r="10436" spans="1:4" ht="27">
      <c r="A10436" s="402">
        <v>95622</v>
      </c>
      <c r="B10436" s="403" t="s">
        <v>747</v>
      </c>
      <c r="C10436" s="402" t="s">
        <v>48</v>
      </c>
      <c r="D10436" s="601">
        <v>11.04</v>
      </c>
    </row>
    <row r="10437" spans="1:4" ht="27">
      <c r="A10437" s="402">
        <v>95623</v>
      </c>
      <c r="B10437" s="403" t="s">
        <v>748</v>
      </c>
      <c r="C10437" s="402" t="s">
        <v>48</v>
      </c>
      <c r="D10437" s="601">
        <v>8.61</v>
      </c>
    </row>
    <row r="10438" spans="1:4" ht="27">
      <c r="A10438" s="402">
        <v>95624</v>
      </c>
      <c r="B10438" s="403" t="s">
        <v>3770</v>
      </c>
      <c r="C10438" s="402" t="s">
        <v>48</v>
      </c>
      <c r="D10438" s="601">
        <v>15.98</v>
      </c>
    </row>
    <row r="10439" spans="1:4" ht="27">
      <c r="A10439" s="402">
        <v>95625</v>
      </c>
      <c r="B10439" s="403" t="s">
        <v>3771</v>
      </c>
      <c r="C10439" s="402" t="s">
        <v>48</v>
      </c>
      <c r="D10439" s="601">
        <v>17.55</v>
      </c>
    </row>
    <row r="10440" spans="1:4" ht="27">
      <c r="A10440" s="402">
        <v>95626</v>
      </c>
      <c r="B10440" s="403" t="s">
        <v>749</v>
      </c>
      <c r="C10440" s="402" t="s">
        <v>48</v>
      </c>
      <c r="D10440" s="601">
        <v>11.83</v>
      </c>
    </row>
    <row r="10441" spans="1:4" ht="27">
      <c r="A10441" s="402">
        <v>96126</v>
      </c>
      <c r="B10441" s="403" t="s">
        <v>3925</v>
      </c>
      <c r="C10441" s="402" t="s">
        <v>48</v>
      </c>
      <c r="D10441" s="601">
        <v>13.39</v>
      </c>
    </row>
    <row r="10442" spans="1:4" ht="27">
      <c r="A10442" s="402">
        <v>96127</v>
      </c>
      <c r="B10442" s="403" t="s">
        <v>3926</v>
      </c>
      <c r="C10442" s="402" t="s">
        <v>48</v>
      </c>
      <c r="D10442" s="601">
        <v>10.35</v>
      </c>
    </row>
    <row r="10443" spans="1:4" ht="27">
      <c r="A10443" s="402">
        <v>96128</v>
      </c>
      <c r="B10443" s="403" t="s">
        <v>3927</v>
      </c>
      <c r="C10443" s="402" t="s">
        <v>48</v>
      </c>
      <c r="D10443" s="601">
        <v>19.55</v>
      </c>
    </row>
    <row r="10444" spans="1:4" ht="27">
      <c r="A10444" s="402">
        <v>96129</v>
      </c>
      <c r="B10444" s="403" t="s">
        <v>3928</v>
      </c>
      <c r="C10444" s="402" t="s">
        <v>48</v>
      </c>
      <c r="D10444" s="601">
        <v>21.5</v>
      </c>
    </row>
    <row r="10445" spans="1:4" ht="27">
      <c r="A10445" s="402">
        <v>96130</v>
      </c>
      <c r="B10445" s="403" t="s">
        <v>3929</v>
      </c>
      <c r="C10445" s="402" t="s">
        <v>48</v>
      </c>
      <c r="D10445" s="601">
        <v>14.34</v>
      </c>
    </row>
    <row r="10446" spans="1:4" ht="27">
      <c r="A10446" s="402">
        <v>96131</v>
      </c>
      <c r="B10446" s="403" t="s">
        <v>3930</v>
      </c>
      <c r="C10446" s="402" t="s">
        <v>48</v>
      </c>
      <c r="D10446" s="601">
        <v>18.559999999999999</v>
      </c>
    </row>
    <row r="10447" spans="1:4" ht="27">
      <c r="A10447" s="402">
        <v>96132</v>
      </c>
      <c r="B10447" s="403" t="s">
        <v>3931</v>
      </c>
      <c r="C10447" s="402" t="s">
        <v>48</v>
      </c>
      <c r="D10447" s="601">
        <v>14.52</v>
      </c>
    </row>
    <row r="10448" spans="1:4" ht="27">
      <c r="A10448" s="402">
        <v>96133</v>
      </c>
      <c r="B10448" s="403" t="s">
        <v>3932</v>
      </c>
      <c r="C10448" s="402" t="s">
        <v>48</v>
      </c>
      <c r="D10448" s="601">
        <v>26.74</v>
      </c>
    </row>
    <row r="10449" spans="1:4" ht="27">
      <c r="A10449" s="402">
        <v>96134</v>
      </c>
      <c r="B10449" s="403" t="s">
        <v>3933</v>
      </c>
      <c r="C10449" s="402" t="s">
        <v>48</v>
      </c>
      <c r="D10449" s="601">
        <v>29.35</v>
      </c>
    </row>
    <row r="10450" spans="1:4" ht="27">
      <c r="A10450" s="402">
        <v>96135</v>
      </c>
      <c r="B10450" s="403" t="s">
        <v>3934</v>
      </c>
      <c r="C10450" s="402" t="s">
        <v>48</v>
      </c>
      <c r="D10450" s="601">
        <v>19.86</v>
      </c>
    </row>
    <row r="10451" spans="1:4" ht="13.5">
      <c r="A10451" s="402">
        <v>6082</v>
      </c>
      <c r="B10451" s="403" t="s">
        <v>88</v>
      </c>
      <c r="C10451" s="402" t="s">
        <v>48</v>
      </c>
      <c r="D10451" s="601">
        <v>14.85</v>
      </c>
    </row>
    <row r="10452" spans="1:4" ht="13.5">
      <c r="A10452" s="402">
        <v>40905</v>
      </c>
      <c r="B10452" s="403" t="s">
        <v>99</v>
      </c>
      <c r="C10452" s="402" t="s">
        <v>48</v>
      </c>
      <c r="D10452" s="601">
        <v>18.88</v>
      </c>
    </row>
    <row r="10453" spans="1:4" ht="13.5">
      <c r="A10453" s="402" t="s">
        <v>4248</v>
      </c>
      <c r="B10453" s="403" t="s">
        <v>752</v>
      </c>
      <c r="C10453" s="402" t="s">
        <v>48</v>
      </c>
      <c r="D10453" s="601">
        <v>14.95</v>
      </c>
    </row>
    <row r="10454" spans="1:4" ht="27">
      <c r="A10454" s="402" t="s">
        <v>4376</v>
      </c>
      <c r="B10454" s="403" t="s">
        <v>799</v>
      </c>
      <c r="C10454" s="402" t="s">
        <v>48</v>
      </c>
      <c r="D10454" s="601">
        <v>21.43</v>
      </c>
    </row>
    <row r="10455" spans="1:4" ht="27">
      <c r="A10455" s="402" t="s">
        <v>4377</v>
      </c>
      <c r="B10455" s="403" t="s">
        <v>4378</v>
      </c>
      <c r="C10455" s="402" t="s">
        <v>48</v>
      </c>
      <c r="D10455" s="601">
        <v>21.05</v>
      </c>
    </row>
    <row r="10456" spans="1:4" ht="27">
      <c r="A10456" s="402" t="s">
        <v>4379</v>
      </c>
      <c r="B10456" s="403" t="s">
        <v>4380</v>
      </c>
      <c r="C10456" s="402" t="s">
        <v>48</v>
      </c>
      <c r="D10456" s="601">
        <v>20.94</v>
      </c>
    </row>
    <row r="10457" spans="1:4" ht="13.5">
      <c r="A10457" s="402">
        <v>79463</v>
      </c>
      <c r="B10457" s="403" t="s">
        <v>155</v>
      </c>
      <c r="C10457" s="402" t="s">
        <v>48</v>
      </c>
      <c r="D10457" s="601">
        <v>12.56</v>
      </c>
    </row>
    <row r="10458" spans="1:4" ht="13.5">
      <c r="A10458" s="402">
        <v>79464</v>
      </c>
      <c r="B10458" s="403" t="s">
        <v>156</v>
      </c>
      <c r="C10458" s="402" t="s">
        <v>48</v>
      </c>
      <c r="D10458" s="601">
        <v>16.87</v>
      </c>
    </row>
    <row r="10459" spans="1:4" ht="13.5">
      <c r="A10459" s="402">
        <v>79466</v>
      </c>
      <c r="B10459" s="403" t="s">
        <v>157</v>
      </c>
      <c r="C10459" s="402" t="s">
        <v>48</v>
      </c>
      <c r="D10459" s="601">
        <v>16.23</v>
      </c>
    </row>
    <row r="10460" spans="1:4" ht="13.5">
      <c r="A10460" s="402" t="s">
        <v>4446</v>
      </c>
      <c r="B10460" s="403" t="s">
        <v>813</v>
      </c>
      <c r="C10460" s="402" t="s">
        <v>48</v>
      </c>
      <c r="D10460" s="601">
        <v>20.95</v>
      </c>
    </row>
    <row r="10461" spans="1:4" ht="13.5">
      <c r="A10461" s="402">
        <v>84645</v>
      </c>
      <c r="B10461" s="403" t="s">
        <v>194</v>
      </c>
      <c r="C10461" s="402" t="s">
        <v>48</v>
      </c>
      <c r="D10461" s="601">
        <v>16.010000000000002</v>
      </c>
    </row>
    <row r="10462" spans="1:4" ht="13.5">
      <c r="A10462" s="402">
        <v>84657</v>
      </c>
      <c r="B10462" s="403" t="s">
        <v>195</v>
      </c>
      <c r="C10462" s="402" t="s">
        <v>48</v>
      </c>
      <c r="D10462" s="601">
        <v>8.69</v>
      </c>
    </row>
    <row r="10463" spans="1:4" ht="13.5">
      <c r="A10463" s="402">
        <v>84659</v>
      </c>
      <c r="B10463" s="403" t="s">
        <v>196</v>
      </c>
      <c r="C10463" s="402" t="s">
        <v>48</v>
      </c>
      <c r="D10463" s="601">
        <v>13.92</v>
      </c>
    </row>
    <row r="10464" spans="1:4" ht="13.5">
      <c r="A10464" s="402">
        <v>84679</v>
      </c>
      <c r="B10464" s="403" t="s">
        <v>199</v>
      </c>
      <c r="C10464" s="402" t="s">
        <v>48</v>
      </c>
      <c r="D10464" s="601">
        <v>16.04</v>
      </c>
    </row>
    <row r="10465" spans="1:4" ht="13.5">
      <c r="A10465" s="402">
        <v>95464</v>
      </c>
      <c r="B10465" s="403" t="s">
        <v>741</v>
      </c>
      <c r="C10465" s="402" t="s">
        <v>48</v>
      </c>
      <c r="D10465" s="601">
        <v>18.96</v>
      </c>
    </row>
    <row r="10466" spans="1:4" ht="27">
      <c r="A10466" s="402">
        <v>100716</v>
      </c>
      <c r="B10466" s="403" t="s">
        <v>7011</v>
      </c>
      <c r="C10466" s="402" t="s">
        <v>48</v>
      </c>
      <c r="D10466" s="601">
        <v>20.98</v>
      </c>
    </row>
    <row r="10467" spans="1:4" ht="13.5">
      <c r="A10467" s="402">
        <v>100717</v>
      </c>
      <c r="B10467" s="403" t="s">
        <v>7012</v>
      </c>
      <c r="C10467" s="402" t="s">
        <v>48</v>
      </c>
      <c r="D10467" s="601">
        <v>6.41</v>
      </c>
    </row>
    <row r="10468" spans="1:4" ht="13.5">
      <c r="A10468" s="402">
        <v>100718</v>
      </c>
      <c r="B10468" s="403" t="s">
        <v>7013</v>
      </c>
      <c r="C10468" s="402" t="s">
        <v>17</v>
      </c>
      <c r="D10468" s="601">
        <v>0.92</v>
      </c>
    </row>
    <row r="10469" spans="1:4" ht="27">
      <c r="A10469" s="402">
        <v>100719</v>
      </c>
      <c r="B10469" s="403" t="s">
        <v>7014</v>
      </c>
      <c r="C10469" s="402" t="s">
        <v>48</v>
      </c>
      <c r="D10469" s="601">
        <v>7.06</v>
      </c>
    </row>
    <row r="10470" spans="1:4" ht="27">
      <c r="A10470" s="402">
        <v>100720</v>
      </c>
      <c r="B10470" s="403" t="s">
        <v>7015</v>
      </c>
      <c r="C10470" s="402" t="s">
        <v>48</v>
      </c>
      <c r="D10470" s="601">
        <v>7.04</v>
      </c>
    </row>
    <row r="10471" spans="1:4" ht="40.5">
      <c r="A10471" s="402">
        <v>100721</v>
      </c>
      <c r="B10471" s="403" t="s">
        <v>7016</v>
      </c>
      <c r="C10471" s="402" t="s">
        <v>48</v>
      </c>
      <c r="D10471" s="601">
        <v>16.510000000000002</v>
      </c>
    </row>
    <row r="10472" spans="1:4" ht="40.5">
      <c r="A10472" s="402">
        <v>100722</v>
      </c>
      <c r="B10472" s="403" t="s">
        <v>7017</v>
      </c>
      <c r="C10472" s="402" t="s">
        <v>48</v>
      </c>
      <c r="D10472" s="601">
        <v>15.88</v>
      </c>
    </row>
    <row r="10473" spans="1:4" ht="40.5">
      <c r="A10473" s="402">
        <v>100723</v>
      </c>
      <c r="B10473" s="403" t="s">
        <v>7018</v>
      </c>
      <c r="C10473" s="402" t="s">
        <v>48</v>
      </c>
      <c r="D10473" s="601">
        <v>6.94</v>
      </c>
    </row>
    <row r="10474" spans="1:4" ht="40.5">
      <c r="A10474" s="402">
        <v>100724</v>
      </c>
      <c r="B10474" s="403" t="s">
        <v>7019</v>
      </c>
      <c r="C10474" s="402" t="s">
        <v>48</v>
      </c>
      <c r="D10474" s="601">
        <v>8.6</v>
      </c>
    </row>
    <row r="10475" spans="1:4" ht="40.5">
      <c r="A10475" s="402">
        <v>100725</v>
      </c>
      <c r="B10475" s="403" t="s">
        <v>7020</v>
      </c>
      <c r="C10475" s="402" t="s">
        <v>48</v>
      </c>
      <c r="D10475" s="601">
        <v>16.04</v>
      </c>
    </row>
    <row r="10476" spans="1:4" ht="40.5">
      <c r="A10476" s="402">
        <v>100726</v>
      </c>
      <c r="B10476" s="403" t="s">
        <v>7021</v>
      </c>
      <c r="C10476" s="402" t="s">
        <v>48</v>
      </c>
      <c r="D10476" s="601">
        <v>17.37</v>
      </c>
    </row>
    <row r="10477" spans="1:4" ht="27">
      <c r="A10477" s="402">
        <v>100727</v>
      </c>
      <c r="B10477" s="403" t="s">
        <v>7022</v>
      </c>
      <c r="C10477" s="402" t="s">
        <v>48</v>
      </c>
      <c r="D10477" s="601">
        <v>11.72</v>
      </c>
    </row>
    <row r="10478" spans="1:4" ht="27">
      <c r="A10478" s="402">
        <v>100728</v>
      </c>
      <c r="B10478" s="403" t="s">
        <v>7023</v>
      </c>
      <c r="C10478" s="402" t="s">
        <v>48</v>
      </c>
      <c r="D10478" s="601">
        <v>11.74</v>
      </c>
    </row>
    <row r="10479" spans="1:4" ht="27">
      <c r="A10479" s="402">
        <v>100729</v>
      </c>
      <c r="B10479" s="403" t="s">
        <v>7024</v>
      </c>
      <c r="C10479" s="402" t="s">
        <v>48</v>
      </c>
      <c r="D10479" s="601">
        <v>14.15</v>
      </c>
    </row>
    <row r="10480" spans="1:4" ht="27">
      <c r="A10480" s="402">
        <v>100730</v>
      </c>
      <c r="B10480" s="403" t="s">
        <v>7025</v>
      </c>
      <c r="C10480" s="402" t="s">
        <v>48</v>
      </c>
      <c r="D10480" s="601">
        <v>16.440000000000001</v>
      </c>
    </row>
    <row r="10481" spans="1:4" ht="27">
      <c r="A10481" s="402">
        <v>100733</v>
      </c>
      <c r="B10481" s="403" t="s">
        <v>7026</v>
      </c>
      <c r="C10481" s="402" t="s">
        <v>48</v>
      </c>
      <c r="D10481" s="601">
        <v>7.24</v>
      </c>
    </row>
    <row r="10482" spans="1:4" ht="40.5">
      <c r="A10482" s="402">
        <v>100734</v>
      </c>
      <c r="B10482" s="403" t="s">
        <v>7027</v>
      </c>
      <c r="C10482" s="402" t="s">
        <v>48</v>
      </c>
      <c r="D10482" s="601">
        <v>9.6199999999999992</v>
      </c>
    </row>
    <row r="10483" spans="1:4" ht="27">
      <c r="A10483" s="402">
        <v>100735</v>
      </c>
      <c r="B10483" s="403" t="s">
        <v>7028</v>
      </c>
      <c r="C10483" s="402" t="s">
        <v>48</v>
      </c>
      <c r="D10483" s="601">
        <v>7.03</v>
      </c>
    </row>
    <row r="10484" spans="1:4" ht="40.5">
      <c r="A10484" s="402">
        <v>100736</v>
      </c>
      <c r="B10484" s="403" t="s">
        <v>7029</v>
      </c>
      <c r="C10484" s="402" t="s">
        <v>48</v>
      </c>
      <c r="D10484" s="601">
        <v>9.39</v>
      </c>
    </row>
    <row r="10485" spans="1:4" ht="40.5">
      <c r="A10485" s="402">
        <v>100739</v>
      </c>
      <c r="B10485" s="403" t="s">
        <v>7030</v>
      </c>
      <c r="C10485" s="402" t="s">
        <v>48</v>
      </c>
      <c r="D10485" s="601">
        <v>6.54</v>
      </c>
    </row>
    <row r="10486" spans="1:4" ht="40.5">
      <c r="A10486" s="402">
        <v>100740</v>
      </c>
      <c r="B10486" s="403" t="s">
        <v>7031</v>
      </c>
      <c r="C10486" s="402" t="s">
        <v>48</v>
      </c>
      <c r="D10486" s="601">
        <v>7.15</v>
      </c>
    </row>
    <row r="10487" spans="1:4" ht="40.5">
      <c r="A10487" s="402">
        <v>100741</v>
      </c>
      <c r="B10487" s="403" t="s">
        <v>7032</v>
      </c>
      <c r="C10487" s="402" t="s">
        <v>48</v>
      </c>
      <c r="D10487" s="601">
        <v>15.84</v>
      </c>
    </row>
    <row r="10488" spans="1:4" ht="40.5">
      <c r="A10488" s="402">
        <v>100742</v>
      </c>
      <c r="B10488" s="403" t="s">
        <v>7033</v>
      </c>
      <c r="C10488" s="402" t="s">
        <v>48</v>
      </c>
      <c r="D10488" s="601">
        <v>15.97</v>
      </c>
    </row>
    <row r="10489" spans="1:4" ht="40.5">
      <c r="A10489" s="402">
        <v>100743</v>
      </c>
      <c r="B10489" s="403" t="s">
        <v>7034</v>
      </c>
      <c r="C10489" s="402" t="s">
        <v>48</v>
      </c>
      <c r="D10489" s="601">
        <v>6.41</v>
      </c>
    </row>
    <row r="10490" spans="1:4" ht="40.5">
      <c r="A10490" s="402">
        <v>100744</v>
      </c>
      <c r="B10490" s="403" t="s">
        <v>7035</v>
      </c>
      <c r="C10490" s="402" t="s">
        <v>48</v>
      </c>
      <c r="D10490" s="601">
        <v>7.07</v>
      </c>
    </row>
    <row r="10491" spans="1:4" ht="40.5">
      <c r="A10491" s="402">
        <v>100745</v>
      </c>
      <c r="B10491" s="403" t="s">
        <v>7036</v>
      </c>
      <c r="C10491" s="402" t="s">
        <v>48</v>
      </c>
      <c r="D10491" s="601">
        <v>15.7</v>
      </c>
    </row>
    <row r="10492" spans="1:4" ht="40.5">
      <c r="A10492" s="402">
        <v>100746</v>
      </c>
      <c r="B10492" s="403" t="s">
        <v>7037</v>
      </c>
      <c r="C10492" s="402" t="s">
        <v>48</v>
      </c>
      <c r="D10492" s="601">
        <v>15.88</v>
      </c>
    </row>
    <row r="10493" spans="1:4" ht="40.5">
      <c r="A10493" s="402">
        <v>100747</v>
      </c>
      <c r="B10493" s="403" t="s">
        <v>7038</v>
      </c>
      <c r="C10493" s="402" t="s">
        <v>48</v>
      </c>
      <c r="D10493" s="601">
        <v>7</v>
      </c>
    </row>
    <row r="10494" spans="1:4" ht="40.5">
      <c r="A10494" s="402">
        <v>100748</v>
      </c>
      <c r="B10494" s="403" t="s">
        <v>7039</v>
      </c>
      <c r="C10494" s="402" t="s">
        <v>48</v>
      </c>
      <c r="D10494" s="601">
        <v>7.45</v>
      </c>
    </row>
    <row r="10495" spans="1:4" ht="40.5">
      <c r="A10495" s="402">
        <v>100749</v>
      </c>
      <c r="B10495" s="403" t="s">
        <v>7040</v>
      </c>
      <c r="C10495" s="402" t="s">
        <v>48</v>
      </c>
      <c r="D10495" s="601">
        <v>16.329999999999998</v>
      </c>
    </row>
    <row r="10496" spans="1:4" ht="40.5">
      <c r="A10496" s="402">
        <v>100750</v>
      </c>
      <c r="B10496" s="403" t="s">
        <v>7041</v>
      </c>
      <c r="C10496" s="402" t="s">
        <v>48</v>
      </c>
      <c r="D10496" s="601">
        <v>16.28</v>
      </c>
    </row>
    <row r="10497" spans="1:4" ht="27">
      <c r="A10497" s="402">
        <v>100751</v>
      </c>
      <c r="B10497" s="403" t="s">
        <v>7042</v>
      </c>
      <c r="C10497" s="402" t="s">
        <v>48</v>
      </c>
      <c r="D10497" s="601">
        <v>28.33</v>
      </c>
    </row>
    <row r="10498" spans="1:4" ht="27">
      <c r="A10498" s="402">
        <v>100752</v>
      </c>
      <c r="B10498" s="403" t="s">
        <v>7043</v>
      </c>
      <c r="C10498" s="402" t="s">
        <v>48</v>
      </c>
      <c r="D10498" s="601">
        <v>32.880000000000003</v>
      </c>
    </row>
    <row r="10499" spans="1:4" ht="27">
      <c r="A10499" s="402">
        <v>100753</v>
      </c>
      <c r="B10499" s="403" t="s">
        <v>7044</v>
      </c>
      <c r="C10499" s="402" t="s">
        <v>48</v>
      </c>
      <c r="D10499" s="601">
        <v>14.08</v>
      </c>
    </row>
    <row r="10500" spans="1:4" ht="40.5">
      <c r="A10500" s="402">
        <v>100754</v>
      </c>
      <c r="B10500" s="403" t="s">
        <v>7045</v>
      </c>
      <c r="C10500" s="402" t="s">
        <v>48</v>
      </c>
      <c r="D10500" s="601">
        <v>18.79</v>
      </c>
    </row>
    <row r="10501" spans="1:4" ht="40.5">
      <c r="A10501" s="402">
        <v>100757</v>
      </c>
      <c r="B10501" s="403" t="s">
        <v>7046</v>
      </c>
      <c r="C10501" s="402" t="s">
        <v>48</v>
      </c>
      <c r="D10501" s="601">
        <v>31.7</v>
      </c>
    </row>
    <row r="10502" spans="1:4" ht="40.5">
      <c r="A10502" s="402">
        <v>100758</v>
      </c>
      <c r="B10502" s="403" t="s">
        <v>7047</v>
      </c>
      <c r="C10502" s="402" t="s">
        <v>48</v>
      </c>
      <c r="D10502" s="601">
        <v>31.96</v>
      </c>
    </row>
    <row r="10503" spans="1:4" ht="40.5">
      <c r="A10503" s="402">
        <v>100759</v>
      </c>
      <c r="B10503" s="403" t="s">
        <v>7048</v>
      </c>
      <c r="C10503" s="402" t="s">
        <v>48</v>
      </c>
      <c r="D10503" s="601">
        <v>31.41</v>
      </c>
    </row>
    <row r="10504" spans="1:4" ht="40.5">
      <c r="A10504" s="402">
        <v>100760</v>
      </c>
      <c r="B10504" s="403" t="s">
        <v>7049</v>
      </c>
      <c r="C10504" s="402" t="s">
        <v>48</v>
      </c>
      <c r="D10504" s="601">
        <v>31.78</v>
      </c>
    </row>
    <row r="10505" spans="1:4" ht="40.5">
      <c r="A10505" s="402">
        <v>100761</v>
      </c>
      <c r="B10505" s="403" t="s">
        <v>7050</v>
      </c>
      <c r="C10505" s="402" t="s">
        <v>48</v>
      </c>
      <c r="D10505" s="601">
        <v>32.68</v>
      </c>
    </row>
    <row r="10506" spans="1:4" ht="40.5">
      <c r="A10506" s="402">
        <v>100762</v>
      </c>
      <c r="B10506" s="403" t="s">
        <v>7051</v>
      </c>
      <c r="C10506" s="402" t="s">
        <v>48</v>
      </c>
      <c r="D10506" s="601">
        <v>32.57</v>
      </c>
    </row>
    <row r="10507" spans="1:4" ht="27">
      <c r="A10507" s="402">
        <v>41595</v>
      </c>
      <c r="B10507" s="403" t="s">
        <v>100</v>
      </c>
      <c r="C10507" s="402" t="s">
        <v>17</v>
      </c>
      <c r="D10507" s="601">
        <v>9.6199999999999992</v>
      </c>
    </row>
    <row r="10508" spans="1:4" ht="13.5">
      <c r="A10508" s="402" t="s">
        <v>4367</v>
      </c>
      <c r="B10508" s="403" t="s">
        <v>798</v>
      </c>
      <c r="C10508" s="402" t="s">
        <v>48</v>
      </c>
      <c r="D10508" s="601">
        <v>15.63</v>
      </c>
    </row>
    <row r="10509" spans="1:4" ht="13.5">
      <c r="A10509" s="402" t="s">
        <v>4442</v>
      </c>
      <c r="B10509" s="403" t="s">
        <v>811</v>
      </c>
      <c r="C10509" s="402" t="s">
        <v>48</v>
      </c>
      <c r="D10509" s="601">
        <v>12.52</v>
      </c>
    </row>
    <row r="10510" spans="1:4" ht="27">
      <c r="A10510" s="402">
        <v>79467</v>
      </c>
      <c r="B10510" s="403" t="s">
        <v>1190</v>
      </c>
      <c r="C10510" s="402" t="s">
        <v>158</v>
      </c>
      <c r="D10510" s="601">
        <v>12.36</v>
      </c>
    </row>
    <row r="10511" spans="1:4" ht="13.5">
      <c r="A10511" s="402" t="s">
        <v>4447</v>
      </c>
      <c r="B10511" s="403" t="s">
        <v>814</v>
      </c>
      <c r="C10511" s="402" t="s">
        <v>48</v>
      </c>
      <c r="D10511" s="601">
        <v>17.57</v>
      </c>
    </row>
    <row r="10512" spans="1:4" ht="27">
      <c r="A10512" s="402">
        <v>84663</v>
      </c>
      <c r="B10512" s="403" t="s">
        <v>1224</v>
      </c>
      <c r="C10512" s="402" t="s">
        <v>48</v>
      </c>
      <c r="D10512" s="601">
        <v>19.21</v>
      </c>
    </row>
    <row r="10513" spans="1:4" ht="13.5">
      <c r="A10513" s="402">
        <v>84665</v>
      </c>
      <c r="B10513" s="403" t="s">
        <v>197</v>
      </c>
      <c r="C10513" s="402" t="s">
        <v>48</v>
      </c>
      <c r="D10513" s="601">
        <v>16.75</v>
      </c>
    </row>
    <row r="10514" spans="1:4" ht="13.5">
      <c r="A10514" s="402">
        <v>84666</v>
      </c>
      <c r="B10514" s="403" t="s">
        <v>198</v>
      </c>
      <c r="C10514" s="402" t="s">
        <v>48</v>
      </c>
      <c r="D10514" s="601">
        <v>18.29</v>
      </c>
    </row>
    <row r="10515" spans="1:4" ht="27">
      <c r="A10515" s="402">
        <v>72191</v>
      </c>
      <c r="B10515" s="403" t="s">
        <v>1158</v>
      </c>
      <c r="C10515" s="402" t="s">
        <v>48</v>
      </c>
      <c r="D10515" s="601">
        <v>69.650000000000006</v>
      </c>
    </row>
    <row r="10516" spans="1:4" ht="27">
      <c r="A10516" s="402" t="s">
        <v>4246</v>
      </c>
      <c r="B10516" s="403" t="s">
        <v>4247</v>
      </c>
      <c r="C10516" s="402" t="s">
        <v>48</v>
      </c>
      <c r="D10516" s="601">
        <v>158.38</v>
      </c>
    </row>
    <row r="10517" spans="1:4" ht="13.5">
      <c r="A10517" s="402">
        <v>84181</v>
      </c>
      <c r="B10517" s="403" t="s">
        <v>190</v>
      </c>
      <c r="C10517" s="402" t="s">
        <v>48</v>
      </c>
      <c r="D10517" s="601">
        <v>130.02000000000001</v>
      </c>
    </row>
    <row r="10518" spans="1:4" ht="27">
      <c r="A10518" s="402">
        <v>87246</v>
      </c>
      <c r="B10518" s="403" t="s">
        <v>1232</v>
      </c>
      <c r="C10518" s="402" t="s">
        <v>48</v>
      </c>
      <c r="D10518" s="601">
        <v>37.020000000000003</v>
      </c>
    </row>
    <row r="10519" spans="1:4" ht="27">
      <c r="A10519" s="402">
        <v>87247</v>
      </c>
      <c r="B10519" s="403" t="s">
        <v>1233</v>
      </c>
      <c r="C10519" s="402" t="s">
        <v>48</v>
      </c>
      <c r="D10519" s="601">
        <v>32.11</v>
      </c>
    </row>
    <row r="10520" spans="1:4" ht="27">
      <c r="A10520" s="402">
        <v>87248</v>
      </c>
      <c r="B10520" s="403" t="s">
        <v>1234</v>
      </c>
      <c r="C10520" s="402" t="s">
        <v>48</v>
      </c>
      <c r="D10520" s="601">
        <v>28.03</v>
      </c>
    </row>
    <row r="10521" spans="1:4" ht="27">
      <c r="A10521" s="402">
        <v>87249</v>
      </c>
      <c r="B10521" s="403" t="s">
        <v>1235</v>
      </c>
      <c r="C10521" s="402" t="s">
        <v>48</v>
      </c>
      <c r="D10521" s="601">
        <v>41.89</v>
      </c>
    </row>
    <row r="10522" spans="1:4" ht="27">
      <c r="A10522" s="402">
        <v>87250</v>
      </c>
      <c r="B10522" s="403" t="s">
        <v>1236</v>
      </c>
      <c r="C10522" s="402" t="s">
        <v>48</v>
      </c>
      <c r="D10522" s="601">
        <v>34.1</v>
      </c>
    </row>
    <row r="10523" spans="1:4" ht="27">
      <c r="A10523" s="402">
        <v>87251</v>
      </c>
      <c r="B10523" s="403" t="s">
        <v>1237</v>
      </c>
      <c r="C10523" s="402" t="s">
        <v>48</v>
      </c>
      <c r="D10523" s="601">
        <v>29.01</v>
      </c>
    </row>
    <row r="10524" spans="1:4" ht="27">
      <c r="A10524" s="402">
        <v>87255</v>
      </c>
      <c r="B10524" s="403" t="s">
        <v>1238</v>
      </c>
      <c r="C10524" s="402" t="s">
        <v>48</v>
      </c>
      <c r="D10524" s="601">
        <v>65.180000000000007</v>
      </c>
    </row>
    <row r="10525" spans="1:4" ht="27">
      <c r="A10525" s="402">
        <v>87256</v>
      </c>
      <c r="B10525" s="403" t="s">
        <v>1239</v>
      </c>
      <c r="C10525" s="402" t="s">
        <v>48</v>
      </c>
      <c r="D10525" s="601">
        <v>56.02</v>
      </c>
    </row>
    <row r="10526" spans="1:4" ht="27">
      <c r="A10526" s="402">
        <v>87257</v>
      </c>
      <c r="B10526" s="403" t="s">
        <v>1240</v>
      </c>
      <c r="C10526" s="402" t="s">
        <v>48</v>
      </c>
      <c r="D10526" s="601">
        <v>50.08</v>
      </c>
    </row>
    <row r="10527" spans="1:4" ht="27">
      <c r="A10527" s="402">
        <v>87258</v>
      </c>
      <c r="B10527" s="403" t="s">
        <v>1241</v>
      </c>
      <c r="C10527" s="402" t="s">
        <v>48</v>
      </c>
      <c r="D10527" s="601">
        <v>89.06</v>
      </c>
    </row>
    <row r="10528" spans="1:4" ht="27">
      <c r="A10528" s="402">
        <v>87259</v>
      </c>
      <c r="B10528" s="403" t="s">
        <v>1242</v>
      </c>
      <c r="C10528" s="402" t="s">
        <v>48</v>
      </c>
      <c r="D10528" s="601">
        <v>80.400000000000006</v>
      </c>
    </row>
    <row r="10529" spans="1:4" ht="27">
      <c r="A10529" s="402">
        <v>87260</v>
      </c>
      <c r="B10529" s="403" t="s">
        <v>1243</v>
      </c>
      <c r="C10529" s="402" t="s">
        <v>48</v>
      </c>
      <c r="D10529" s="601">
        <v>75.19</v>
      </c>
    </row>
    <row r="10530" spans="1:4" ht="27">
      <c r="A10530" s="402">
        <v>87261</v>
      </c>
      <c r="B10530" s="403" t="s">
        <v>1244</v>
      </c>
      <c r="C10530" s="402" t="s">
        <v>48</v>
      </c>
      <c r="D10530" s="601">
        <v>101</v>
      </c>
    </row>
    <row r="10531" spans="1:4" ht="27">
      <c r="A10531" s="402">
        <v>87262</v>
      </c>
      <c r="B10531" s="403" t="s">
        <v>1245</v>
      </c>
      <c r="C10531" s="402" t="s">
        <v>48</v>
      </c>
      <c r="D10531" s="601">
        <v>91.06</v>
      </c>
    </row>
    <row r="10532" spans="1:4" ht="27">
      <c r="A10532" s="402">
        <v>87263</v>
      </c>
      <c r="B10532" s="403" t="s">
        <v>1246</v>
      </c>
      <c r="C10532" s="402" t="s">
        <v>48</v>
      </c>
      <c r="D10532" s="601">
        <v>84.93</v>
      </c>
    </row>
    <row r="10533" spans="1:4" ht="40.5">
      <c r="A10533" s="402">
        <v>89046</v>
      </c>
      <c r="B10533" s="403" t="s">
        <v>1630</v>
      </c>
      <c r="C10533" s="402" t="s">
        <v>48</v>
      </c>
      <c r="D10533" s="601">
        <v>31.87</v>
      </c>
    </row>
    <row r="10534" spans="1:4" ht="40.5">
      <c r="A10534" s="402">
        <v>89171</v>
      </c>
      <c r="B10534" s="403" t="s">
        <v>1640</v>
      </c>
      <c r="C10534" s="402" t="s">
        <v>48</v>
      </c>
      <c r="D10534" s="601">
        <v>29.88</v>
      </c>
    </row>
    <row r="10535" spans="1:4" ht="27">
      <c r="A10535" s="402">
        <v>93389</v>
      </c>
      <c r="B10535" s="403" t="s">
        <v>3222</v>
      </c>
      <c r="C10535" s="402" t="s">
        <v>48</v>
      </c>
      <c r="D10535" s="601">
        <v>33.97</v>
      </c>
    </row>
    <row r="10536" spans="1:4" ht="40.5">
      <c r="A10536" s="402">
        <v>93390</v>
      </c>
      <c r="B10536" s="403" t="s">
        <v>3223</v>
      </c>
      <c r="C10536" s="402" t="s">
        <v>48</v>
      </c>
      <c r="D10536" s="601">
        <v>29.12</v>
      </c>
    </row>
    <row r="10537" spans="1:4" ht="27">
      <c r="A10537" s="402">
        <v>93391</v>
      </c>
      <c r="B10537" s="403" t="s">
        <v>3224</v>
      </c>
      <c r="C10537" s="402" t="s">
        <v>48</v>
      </c>
      <c r="D10537" s="601">
        <v>25.04</v>
      </c>
    </row>
    <row r="10538" spans="1:4" ht="27">
      <c r="A10538" s="402" t="s">
        <v>4249</v>
      </c>
      <c r="B10538" s="403" t="s">
        <v>753</v>
      </c>
      <c r="C10538" s="402" t="s">
        <v>48</v>
      </c>
      <c r="D10538" s="601">
        <v>189.81</v>
      </c>
    </row>
    <row r="10539" spans="1:4" ht="27">
      <c r="A10539" s="402" t="s">
        <v>4361</v>
      </c>
      <c r="B10539" s="403" t="s">
        <v>797</v>
      </c>
      <c r="C10539" s="402" t="s">
        <v>48</v>
      </c>
      <c r="D10539" s="601">
        <v>40.19</v>
      </c>
    </row>
    <row r="10540" spans="1:4" ht="27">
      <c r="A10540" s="402">
        <v>84183</v>
      </c>
      <c r="B10540" s="403" t="s">
        <v>191</v>
      </c>
      <c r="C10540" s="402" t="s">
        <v>48</v>
      </c>
      <c r="D10540" s="601">
        <v>134.21</v>
      </c>
    </row>
    <row r="10541" spans="1:4" ht="27">
      <c r="A10541" s="402">
        <v>98670</v>
      </c>
      <c r="B10541" s="403" t="s">
        <v>5064</v>
      </c>
      <c r="C10541" s="402" t="s">
        <v>48</v>
      </c>
      <c r="D10541" s="601">
        <v>127.23</v>
      </c>
    </row>
    <row r="10542" spans="1:4" ht="13.5">
      <c r="A10542" s="402">
        <v>98671</v>
      </c>
      <c r="B10542" s="403" t="s">
        <v>5065</v>
      </c>
      <c r="C10542" s="402" t="s">
        <v>48</v>
      </c>
      <c r="D10542" s="601">
        <v>334.17</v>
      </c>
    </row>
    <row r="10543" spans="1:4" ht="13.5">
      <c r="A10543" s="402">
        <v>98672</v>
      </c>
      <c r="B10543" s="403" t="s">
        <v>5066</v>
      </c>
      <c r="C10543" s="402" t="s">
        <v>48</v>
      </c>
      <c r="D10543" s="601">
        <v>404.75</v>
      </c>
    </row>
    <row r="10544" spans="1:4" ht="27">
      <c r="A10544" s="402">
        <v>98673</v>
      </c>
      <c r="B10544" s="403" t="s">
        <v>5067</v>
      </c>
      <c r="C10544" s="402" t="s">
        <v>48</v>
      </c>
      <c r="D10544" s="601">
        <v>154.15</v>
      </c>
    </row>
    <row r="10545" spans="1:4" ht="27">
      <c r="A10545" s="402">
        <v>98679</v>
      </c>
      <c r="B10545" s="403" t="s">
        <v>5068</v>
      </c>
      <c r="C10545" s="402" t="s">
        <v>48</v>
      </c>
      <c r="D10545" s="601">
        <v>23.53</v>
      </c>
    </row>
    <row r="10546" spans="1:4" ht="27">
      <c r="A10546" s="402">
        <v>98680</v>
      </c>
      <c r="B10546" s="403" t="s">
        <v>5069</v>
      </c>
      <c r="C10546" s="402" t="s">
        <v>48</v>
      </c>
      <c r="D10546" s="601">
        <v>29.48</v>
      </c>
    </row>
    <row r="10547" spans="1:4" ht="27">
      <c r="A10547" s="402">
        <v>98681</v>
      </c>
      <c r="B10547" s="403" t="s">
        <v>5070</v>
      </c>
      <c r="C10547" s="402" t="s">
        <v>48</v>
      </c>
      <c r="D10547" s="601">
        <v>21.9</v>
      </c>
    </row>
    <row r="10548" spans="1:4" ht="27">
      <c r="A10548" s="402">
        <v>98682</v>
      </c>
      <c r="B10548" s="403" t="s">
        <v>5071</v>
      </c>
      <c r="C10548" s="402" t="s">
        <v>48</v>
      </c>
      <c r="D10548" s="601">
        <v>27.84</v>
      </c>
    </row>
    <row r="10549" spans="1:4" ht="13.5">
      <c r="A10549" s="402">
        <v>98685</v>
      </c>
      <c r="B10549" s="403" t="s">
        <v>5072</v>
      </c>
      <c r="C10549" s="402" t="s">
        <v>17</v>
      </c>
      <c r="D10549" s="601">
        <v>60.34</v>
      </c>
    </row>
    <row r="10550" spans="1:4" ht="13.5">
      <c r="A10550" s="402">
        <v>98686</v>
      </c>
      <c r="B10550" s="403" t="s">
        <v>5073</v>
      </c>
      <c r="C10550" s="402" t="s">
        <v>17</v>
      </c>
      <c r="D10550" s="601">
        <v>28.77</v>
      </c>
    </row>
    <row r="10551" spans="1:4" ht="13.5">
      <c r="A10551" s="402">
        <v>98688</v>
      </c>
      <c r="B10551" s="403" t="s">
        <v>5074</v>
      </c>
      <c r="C10551" s="402" t="s">
        <v>17</v>
      </c>
      <c r="D10551" s="601">
        <v>34.119999999999997</v>
      </c>
    </row>
    <row r="10552" spans="1:4" ht="13.5">
      <c r="A10552" s="402">
        <v>98689</v>
      </c>
      <c r="B10552" s="403" t="s">
        <v>5075</v>
      </c>
      <c r="C10552" s="402" t="s">
        <v>17</v>
      </c>
      <c r="D10552" s="601">
        <v>85.3</v>
      </c>
    </row>
    <row r="10553" spans="1:4" ht="27">
      <c r="A10553" s="402">
        <v>101090</v>
      </c>
      <c r="B10553" s="403" t="s">
        <v>14424</v>
      </c>
      <c r="C10553" s="402" t="s">
        <v>48</v>
      </c>
      <c r="D10553" s="601">
        <v>137.74</v>
      </c>
    </row>
    <row r="10554" spans="1:4" ht="13.5">
      <c r="A10554" s="402">
        <v>101091</v>
      </c>
      <c r="B10554" s="403" t="s">
        <v>14425</v>
      </c>
      <c r="C10554" s="402" t="s">
        <v>48</v>
      </c>
      <c r="D10554" s="601">
        <v>99.52</v>
      </c>
    </row>
    <row r="10555" spans="1:4" ht="27">
      <c r="A10555" s="402">
        <v>72187</v>
      </c>
      <c r="B10555" s="403" t="s">
        <v>110</v>
      </c>
      <c r="C10555" s="402" t="s">
        <v>48</v>
      </c>
      <c r="D10555" s="601">
        <v>198.67</v>
      </c>
    </row>
    <row r="10556" spans="1:4" ht="27">
      <c r="A10556" s="402">
        <v>72188</v>
      </c>
      <c r="B10556" s="403" t="s">
        <v>1157</v>
      </c>
      <c r="C10556" s="402" t="s">
        <v>48</v>
      </c>
      <c r="D10556" s="601">
        <v>198.67</v>
      </c>
    </row>
    <row r="10557" spans="1:4" ht="13.5">
      <c r="A10557" s="402" t="s">
        <v>4353</v>
      </c>
      <c r="B10557" s="403" t="s">
        <v>789</v>
      </c>
      <c r="C10557" s="402" t="s">
        <v>48</v>
      </c>
      <c r="D10557" s="601">
        <v>180.73</v>
      </c>
    </row>
    <row r="10558" spans="1:4" ht="13.5">
      <c r="A10558" s="402">
        <v>84186</v>
      </c>
      <c r="B10558" s="403" t="s">
        <v>192</v>
      </c>
      <c r="C10558" s="402" t="s">
        <v>48</v>
      </c>
      <c r="D10558" s="601">
        <v>75.33</v>
      </c>
    </row>
    <row r="10559" spans="1:4" ht="13.5">
      <c r="A10559" s="402">
        <v>84187</v>
      </c>
      <c r="B10559" s="403" t="s">
        <v>193</v>
      </c>
      <c r="C10559" s="402" t="s">
        <v>48</v>
      </c>
      <c r="D10559" s="601">
        <v>10.62</v>
      </c>
    </row>
    <row r="10560" spans="1:4" ht="13.5">
      <c r="A10560" s="402">
        <v>101094</v>
      </c>
      <c r="B10560" s="403" t="s">
        <v>14426</v>
      </c>
      <c r="C10560" s="402" t="s">
        <v>17</v>
      </c>
      <c r="D10560" s="601">
        <v>129.4</v>
      </c>
    </row>
    <row r="10561" spans="1:4" ht="13.5">
      <c r="A10561" s="402">
        <v>72815</v>
      </c>
      <c r="B10561" s="403" t="s">
        <v>139</v>
      </c>
      <c r="C10561" s="402" t="s">
        <v>48</v>
      </c>
      <c r="D10561" s="601">
        <v>44.94</v>
      </c>
    </row>
    <row r="10562" spans="1:4" ht="27">
      <c r="A10562" s="402">
        <v>84191</v>
      </c>
      <c r="B10562" s="403" t="s">
        <v>1222</v>
      </c>
      <c r="C10562" s="402" t="s">
        <v>48</v>
      </c>
      <c r="D10562" s="601">
        <v>96.14</v>
      </c>
    </row>
    <row r="10563" spans="1:4" ht="13.5">
      <c r="A10563" s="402">
        <v>101092</v>
      </c>
      <c r="B10563" s="403" t="s">
        <v>14427</v>
      </c>
      <c r="C10563" s="402" t="s">
        <v>48</v>
      </c>
      <c r="D10563" s="601">
        <v>341.4</v>
      </c>
    </row>
    <row r="10564" spans="1:4" ht="13.5">
      <c r="A10564" s="402">
        <v>101093</v>
      </c>
      <c r="B10564" s="403" t="s">
        <v>14428</v>
      </c>
      <c r="C10564" s="402" t="s">
        <v>48</v>
      </c>
      <c r="D10564" s="601">
        <v>411.98</v>
      </c>
    </row>
    <row r="10565" spans="1:4" ht="27">
      <c r="A10565" s="402" t="s">
        <v>4381</v>
      </c>
      <c r="B10565" s="403" t="s">
        <v>4382</v>
      </c>
      <c r="C10565" s="402" t="s">
        <v>17</v>
      </c>
      <c r="D10565" s="601">
        <v>34.14</v>
      </c>
    </row>
    <row r="10566" spans="1:4" ht="13.5">
      <c r="A10566" s="402">
        <v>98695</v>
      </c>
      <c r="B10566" s="403" t="s">
        <v>5076</v>
      </c>
      <c r="C10566" s="402" t="s">
        <v>17</v>
      </c>
      <c r="D10566" s="601">
        <v>71.03</v>
      </c>
    </row>
    <row r="10567" spans="1:4" ht="13.5">
      <c r="A10567" s="402">
        <v>98697</v>
      </c>
      <c r="B10567" s="403" t="s">
        <v>5077</v>
      </c>
      <c r="C10567" s="402" t="s">
        <v>17</v>
      </c>
      <c r="D10567" s="601">
        <v>47.14</v>
      </c>
    </row>
    <row r="10568" spans="1:4" ht="13.5">
      <c r="A10568" s="402" t="s">
        <v>4359</v>
      </c>
      <c r="B10568" s="403" t="s">
        <v>795</v>
      </c>
      <c r="C10568" s="402" t="s">
        <v>17</v>
      </c>
      <c r="D10568" s="601">
        <v>15.84</v>
      </c>
    </row>
    <row r="10569" spans="1:4" ht="13.5">
      <c r="A10569" s="402">
        <v>84162</v>
      </c>
      <c r="B10569" s="403" t="s">
        <v>188</v>
      </c>
      <c r="C10569" s="402" t="s">
        <v>17</v>
      </c>
      <c r="D10569" s="601">
        <v>16.95</v>
      </c>
    </row>
    <row r="10570" spans="1:4" ht="27">
      <c r="A10570" s="402">
        <v>88648</v>
      </c>
      <c r="B10570" s="403" t="s">
        <v>1568</v>
      </c>
      <c r="C10570" s="402" t="s">
        <v>17</v>
      </c>
      <c r="D10570" s="601">
        <v>4.43</v>
      </c>
    </row>
    <row r="10571" spans="1:4" ht="27">
      <c r="A10571" s="402">
        <v>88649</v>
      </c>
      <c r="B10571" s="403" t="s">
        <v>1569</v>
      </c>
      <c r="C10571" s="402" t="s">
        <v>17</v>
      </c>
      <c r="D10571" s="601">
        <v>4.95</v>
      </c>
    </row>
    <row r="10572" spans="1:4" ht="27">
      <c r="A10572" s="402">
        <v>88650</v>
      </c>
      <c r="B10572" s="403" t="s">
        <v>1570</v>
      </c>
      <c r="C10572" s="402" t="s">
        <v>17</v>
      </c>
      <c r="D10572" s="601">
        <v>8.99</v>
      </c>
    </row>
    <row r="10573" spans="1:4" ht="27">
      <c r="A10573" s="402">
        <v>96467</v>
      </c>
      <c r="B10573" s="403" t="s">
        <v>3983</v>
      </c>
      <c r="C10573" s="402" t="s">
        <v>17</v>
      </c>
      <c r="D10573" s="601">
        <v>4.09</v>
      </c>
    </row>
    <row r="10574" spans="1:4" ht="13.5">
      <c r="A10574" s="402" t="s">
        <v>4308</v>
      </c>
      <c r="B10574" s="403" t="s">
        <v>782</v>
      </c>
      <c r="C10574" s="402" t="s">
        <v>17</v>
      </c>
      <c r="D10574" s="601">
        <v>22.25</v>
      </c>
    </row>
    <row r="10575" spans="1:4" ht="27">
      <c r="A10575" s="402">
        <v>84168</v>
      </c>
      <c r="B10575" s="403" t="s">
        <v>189</v>
      </c>
      <c r="C10575" s="402" t="s">
        <v>17</v>
      </c>
      <c r="D10575" s="601">
        <v>17.73</v>
      </c>
    </row>
    <row r="10576" spans="1:4" ht="27">
      <c r="A10576" s="402">
        <v>68325</v>
      </c>
      <c r="B10576" s="403" t="s">
        <v>1147</v>
      </c>
      <c r="C10576" s="402" t="s">
        <v>48</v>
      </c>
      <c r="D10576" s="601">
        <v>40.97</v>
      </c>
    </row>
    <row r="10577" spans="1:4" ht="27">
      <c r="A10577" s="402">
        <v>68333</v>
      </c>
      <c r="B10577" s="403" t="s">
        <v>1148</v>
      </c>
      <c r="C10577" s="402" t="s">
        <v>48</v>
      </c>
      <c r="D10577" s="601">
        <v>42.22</v>
      </c>
    </row>
    <row r="10578" spans="1:4" ht="27">
      <c r="A10578" s="402">
        <v>72183</v>
      </c>
      <c r="B10578" s="403" t="s">
        <v>1156</v>
      </c>
      <c r="C10578" s="402" t="s">
        <v>48</v>
      </c>
      <c r="D10578" s="601">
        <v>75.069999999999993</v>
      </c>
    </row>
    <row r="10579" spans="1:4" ht="27">
      <c r="A10579" s="402">
        <v>94990</v>
      </c>
      <c r="B10579" s="403" t="s">
        <v>3553</v>
      </c>
      <c r="C10579" s="402" t="s">
        <v>33</v>
      </c>
      <c r="D10579" s="601">
        <v>530.04</v>
      </c>
    </row>
    <row r="10580" spans="1:4" ht="27">
      <c r="A10580" s="402">
        <v>94991</v>
      </c>
      <c r="B10580" s="403" t="s">
        <v>726</v>
      </c>
      <c r="C10580" s="402" t="s">
        <v>33</v>
      </c>
      <c r="D10580" s="601">
        <v>500.16</v>
      </c>
    </row>
    <row r="10581" spans="1:4" ht="40.5">
      <c r="A10581" s="402">
        <v>94992</v>
      </c>
      <c r="B10581" s="403" t="s">
        <v>3554</v>
      </c>
      <c r="C10581" s="402" t="s">
        <v>48</v>
      </c>
      <c r="D10581" s="601">
        <v>58.47</v>
      </c>
    </row>
    <row r="10582" spans="1:4" ht="27">
      <c r="A10582" s="402">
        <v>94993</v>
      </c>
      <c r="B10582" s="403" t="s">
        <v>3555</v>
      </c>
      <c r="C10582" s="402" t="s">
        <v>48</v>
      </c>
      <c r="D10582" s="601">
        <v>56.68</v>
      </c>
    </row>
    <row r="10583" spans="1:4" ht="40.5">
      <c r="A10583" s="402">
        <v>94994</v>
      </c>
      <c r="B10583" s="403" t="s">
        <v>3556</v>
      </c>
      <c r="C10583" s="402" t="s">
        <v>48</v>
      </c>
      <c r="D10583" s="601">
        <v>70.010000000000005</v>
      </c>
    </row>
    <row r="10584" spans="1:4" ht="27">
      <c r="A10584" s="402">
        <v>94995</v>
      </c>
      <c r="B10584" s="403" t="s">
        <v>3557</v>
      </c>
      <c r="C10584" s="402" t="s">
        <v>48</v>
      </c>
      <c r="D10584" s="601">
        <v>67.62</v>
      </c>
    </row>
    <row r="10585" spans="1:4" ht="40.5">
      <c r="A10585" s="402">
        <v>94996</v>
      </c>
      <c r="B10585" s="403" t="s">
        <v>3558</v>
      </c>
      <c r="C10585" s="402" t="s">
        <v>48</v>
      </c>
      <c r="D10585" s="601">
        <v>80.78</v>
      </c>
    </row>
    <row r="10586" spans="1:4" ht="27">
      <c r="A10586" s="402">
        <v>94997</v>
      </c>
      <c r="B10586" s="403" t="s">
        <v>3559</v>
      </c>
      <c r="C10586" s="402" t="s">
        <v>48</v>
      </c>
      <c r="D10586" s="601">
        <v>77.790000000000006</v>
      </c>
    </row>
    <row r="10587" spans="1:4" ht="40.5">
      <c r="A10587" s="402">
        <v>94998</v>
      </c>
      <c r="B10587" s="403" t="s">
        <v>3560</v>
      </c>
      <c r="C10587" s="402" t="s">
        <v>48</v>
      </c>
      <c r="D10587" s="601">
        <v>91.29</v>
      </c>
    </row>
    <row r="10588" spans="1:4" ht="27">
      <c r="A10588" s="402">
        <v>94999</v>
      </c>
      <c r="B10588" s="403" t="s">
        <v>3561</v>
      </c>
      <c r="C10588" s="402" t="s">
        <v>48</v>
      </c>
      <c r="D10588" s="601">
        <v>87.7</v>
      </c>
    </row>
    <row r="10589" spans="1:4" ht="40.5">
      <c r="A10589" s="402">
        <v>87620</v>
      </c>
      <c r="B10589" s="403" t="s">
        <v>1392</v>
      </c>
      <c r="C10589" s="402" t="s">
        <v>48</v>
      </c>
      <c r="D10589" s="601">
        <v>22.47</v>
      </c>
    </row>
    <row r="10590" spans="1:4" ht="27">
      <c r="A10590" s="402">
        <v>87622</v>
      </c>
      <c r="B10590" s="403" t="s">
        <v>1393</v>
      </c>
      <c r="C10590" s="402" t="s">
        <v>48</v>
      </c>
      <c r="D10590" s="601">
        <v>25.26</v>
      </c>
    </row>
    <row r="10591" spans="1:4" ht="27">
      <c r="A10591" s="402">
        <v>87623</v>
      </c>
      <c r="B10591" s="403" t="s">
        <v>1394</v>
      </c>
      <c r="C10591" s="402" t="s">
        <v>48</v>
      </c>
      <c r="D10591" s="601">
        <v>61.3</v>
      </c>
    </row>
    <row r="10592" spans="1:4" ht="27">
      <c r="A10592" s="402">
        <v>87624</v>
      </c>
      <c r="B10592" s="403" t="s">
        <v>1395</v>
      </c>
      <c r="C10592" s="402" t="s">
        <v>48</v>
      </c>
      <c r="D10592" s="601">
        <v>66.27</v>
      </c>
    </row>
    <row r="10593" spans="1:4" ht="40.5">
      <c r="A10593" s="402">
        <v>87630</v>
      </c>
      <c r="B10593" s="403" t="s">
        <v>1396</v>
      </c>
      <c r="C10593" s="402" t="s">
        <v>48</v>
      </c>
      <c r="D10593" s="601">
        <v>28.01</v>
      </c>
    </row>
    <row r="10594" spans="1:4" ht="27">
      <c r="A10594" s="402">
        <v>87632</v>
      </c>
      <c r="B10594" s="403" t="s">
        <v>1397</v>
      </c>
      <c r="C10594" s="402" t="s">
        <v>48</v>
      </c>
      <c r="D10594" s="601">
        <v>31.9</v>
      </c>
    </row>
    <row r="10595" spans="1:4" ht="27">
      <c r="A10595" s="402">
        <v>87633</v>
      </c>
      <c r="B10595" s="403" t="s">
        <v>1398</v>
      </c>
      <c r="C10595" s="402" t="s">
        <v>48</v>
      </c>
      <c r="D10595" s="601">
        <v>82</v>
      </c>
    </row>
    <row r="10596" spans="1:4" ht="27">
      <c r="A10596" s="402">
        <v>87634</v>
      </c>
      <c r="B10596" s="403" t="s">
        <v>1399</v>
      </c>
      <c r="C10596" s="402" t="s">
        <v>48</v>
      </c>
      <c r="D10596" s="601">
        <v>88.91</v>
      </c>
    </row>
    <row r="10597" spans="1:4" ht="40.5">
      <c r="A10597" s="402">
        <v>87640</v>
      </c>
      <c r="B10597" s="403" t="s">
        <v>1400</v>
      </c>
      <c r="C10597" s="402" t="s">
        <v>48</v>
      </c>
      <c r="D10597" s="601">
        <v>32.47</v>
      </c>
    </row>
    <row r="10598" spans="1:4" ht="27">
      <c r="A10598" s="402">
        <v>87642</v>
      </c>
      <c r="B10598" s="403" t="s">
        <v>1401</v>
      </c>
      <c r="C10598" s="402" t="s">
        <v>48</v>
      </c>
      <c r="D10598" s="601">
        <v>37.24</v>
      </c>
    </row>
    <row r="10599" spans="1:4" ht="27">
      <c r="A10599" s="402">
        <v>87643</v>
      </c>
      <c r="B10599" s="403" t="s">
        <v>1402</v>
      </c>
      <c r="C10599" s="402" t="s">
        <v>48</v>
      </c>
      <c r="D10599" s="601">
        <v>98.86</v>
      </c>
    </row>
    <row r="10600" spans="1:4" ht="27">
      <c r="A10600" s="402">
        <v>87644</v>
      </c>
      <c r="B10600" s="403" t="s">
        <v>1403</v>
      </c>
      <c r="C10600" s="402" t="s">
        <v>48</v>
      </c>
      <c r="D10600" s="601">
        <v>107.36</v>
      </c>
    </row>
    <row r="10601" spans="1:4" ht="40.5">
      <c r="A10601" s="402">
        <v>87680</v>
      </c>
      <c r="B10601" s="403" t="s">
        <v>220</v>
      </c>
      <c r="C10601" s="402" t="s">
        <v>48</v>
      </c>
      <c r="D10601" s="601">
        <v>27.12</v>
      </c>
    </row>
    <row r="10602" spans="1:4" ht="27">
      <c r="A10602" s="402">
        <v>87682</v>
      </c>
      <c r="B10602" s="403" t="s">
        <v>1404</v>
      </c>
      <c r="C10602" s="402" t="s">
        <v>48</v>
      </c>
      <c r="D10602" s="601">
        <v>31.89</v>
      </c>
    </row>
    <row r="10603" spans="1:4" ht="27">
      <c r="A10603" s="402">
        <v>87683</v>
      </c>
      <c r="B10603" s="403" t="s">
        <v>1405</v>
      </c>
      <c r="C10603" s="402" t="s">
        <v>48</v>
      </c>
      <c r="D10603" s="601">
        <v>93.51</v>
      </c>
    </row>
    <row r="10604" spans="1:4" ht="27">
      <c r="A10604" s="402">
        <v>87684</v>
      </c>
      <c r="B10604" s="403" t="s">
        <v>1406</v>
      </c>
      <c r="C10604" s="402" t="s">
        <v>48</v>
      </c>
      <c r="D10604" s="601">
        <v>102.01</v>
      </c>
    </row>
    <row r="10605" spans="1:4" ht="40.5">
      <c r="A10605" s="402">
        <v>87690</v>
      </c>
      <c r="B10605" s="403" t="s">
        <v>221</v>
      </c>
      <c r="C10605" s="402" t="s">
        <v>48</v>
      </c>
      <c r="D10605" s="601">
        <v>31.5</v>
      </c>
    </row>
    <row r="10606" spans="1:4" ht="27">
      <c r="A10606" s="402">
        <v>87692</v>
      </c>
      <c r="B10606" s="403" t="s">
        <v>1407</v>
      </c>
      <c r="C10606" s="402" t="s">
        <v>48</v>
      </c>
      <c r="D10606" s="601">
        <v>36.97</v>
      </c>
    </row>
    <row r="10607" spans="1:4" ht="27">
      <c r="A10607" s="402">
        <v>87693</v>
      </c>
      <c r="B10607" s="403" t="s">
        <v>1408</v>
      </c>
      <c r="C10607" s="402" t="s">
        <v>48</v>
      </c>
      <c r="D10607" s="601">
        <v>107.54</v>
      </c>
    </row>
    <row r="10608" spans="1:4" ht="27">
      <c r="A10608" s="402">
        <v>87694</v>
      </c>
      <c r="B10608" s="403" t="s">
        <v>1409</v>
      </c>
      <c r="C10608" s="402" t="s">
        <v>48</v>
      </c>
      <c r="D10608" s="601">
        <v>117.27</v>
      </c>
    </row>
    <row r="10609" spans="1:4" ht="40.5">
      <c r="A10609" s="402">
        <v>87700</v>
      </c>
      <c r="B10609" s="403" t="s">
        <v>222</v>
      </c>
      <c r="C10609" s="402" t="s">
        <v>48</v>
      </c>
      <c r="D10609" s="601">
        <v>34.03</v>
      </c>
    </row>
    <row r="10610" spans="1:4" ht="27">
      <c r="A10610" s="402">
        <v>87702</v>
      </c>
      <c r="B10610" s="403" t="s">
        <v>1410</v>
      </c>
      <c r="C10610" s="402" t="s">
        <v>48</v>
      </c>
      <c r="D10610" s="601">
        <v>39.979999999999997</v>
      </c>
    </row>
    <row r="10611" spans="1:4" ht="27">
      <c r="A10611" s="402">
        <v>87703</v>
      </c>
      <c r="B10611" s="403" t="s">
        <v>1411</v>
      </c>
      <c r="C10611" s="402" t="s">
        <v>48</v>
      </c>
      <c r="D10611" s="601">
        <v>116.83</v>
      </c>
    </row>
    <row r="10612" spans="1:4" ht="27">
      <c r="A10612" s="402">
        <v>87704</v>
      </c>
      <c r="B10612" s="403" t="s">
        <v>1412</v>
      </c>
      <c r="C10612" s="402" t="s">
        <v>48</v>
      </c>
      <c r="D10612" s="601">
        <v>127.42</v>
      </c>
    </row>
    <row r="10613" spans="1:4" ht="40.5">
      <c r="A10613" s="402">
        <v>87735</v>
      </c>
      <c r="B10613" s="403" t="s">
        <v>1413</v>
      </c>
      <c r="C10613" s="402" t="s">
        <v>48</v>
      </c>
      <c r="D10613" s="601">
        <v>29.94</v>
      </c>
    </row>
    <row r="10614" spans="1:4" ht="27">
      <c r="A10614" s="402">
        <v>87737</v>
      </c>
      <c r="B10614" s="403" t="s">
        <v>1414</v>
      </c>
      <c r="C10614" s="402" t="s">
        <v>48</v>
      </c>
      <c r="D10614" s="601">
        <v>32.729999999999997</v>
      </c>
    </row>
    <row r="10615" spans="1:4" ht="27">
      <c r="A10615" s="402">
        <v>87738</v>
      </c>
      <c r="B10615" s="403" t="s">
        <v>1415</v>
      </c>
      <c r="C10615" s="402" t="s">
        <v>48</v>
      </c>
      <c r="D10615" s="601">
        <v>68.77</v>
      </c>
    </row>
    <row r="10616" spans="1:4" ht="27">
      <c r="A10616" s="402">
        <v>87739</v>
      </c>
      <c r="B10616" s="403" t="s">
        <v>1416</v>
      </c>
      <c r="C10616" s="402" t="s">
        <v>48</v>
      </c>
      <c r="D10616" s="601">
        <v>73.739999999999995</v>
      </c>
    </row>
    <row r="10617" spans="1:4" ht="40.5">
      <c r="A10617" s="402">
        <v>87745</v>
      </c>
      <c r="B10617" s="403" t="s">
        <v>1417</v>
      </c>
      <c r="C10617" s="402" t="s">
        <v>48</v>
      </c>
      <c r="D10617" s="601">
        <v>35.479999999999997</v>
      </c>
    </row>
    <row r="10618" spans="1:4" ht="27">
      <c r="A10618" s="402">
        <v>87747</v>
      </c>
      <c r="B10618" s="403" t="s">
        <v>1418</v>
      </c>
      <c r="C10618" s="402" t="s">
        <v>48</v>
      </c>
      <c r="D10618" s="601">
        <v>39.369999999999997</v>
      </c>
    </row>
    <row r="10619" spans="1:4" ht="27">
      <c r="A10619" s="402">
        <v>87748</v>
      </c>
      <c r="B10619" s="403" t="s">
        <v>1419</v>
      </c>
      <c r="C10619" s="402" t="s">
        <v>48</v>
      </c>
      <c r="D10619" s="601">
        <v>89.47</v>
      </c>
    </row>
    <row r="10620" spans="1:4" ht="27">
      <c r="A10620" s="402">
        <v>87749</v>
      </c>
      <c r="B10620" s="403" t="s">
        <v>1420</v>
      </c>
      <c r="C10620" s="402" t="s">
        <v>48</v>
      </c>
      <c r="D10620" s="601">
        <v>96.38</v>
      </c>
    </row>
    <row r="10621" spans="1:4" ht="40.5">
      <c r="A10621" s="402">
        <v>87755</v>
      </c>
      <c r="B10621" s="403" t="s">
        <v>1421</v>
      </c>
      <c r="C10621" s="402" t="s">
        <v>48</v>
      </c>
      <c r="D10621" s="601">
        <v>32.869999999999997</v>
      </c>
    </row>
    <row r="10622" spans="1:4" ht="40.5">
      <c r="A10622" s="402">
        <v>87757</v>
      </c>
      <c r="B10622" s="403" t="s">
        <v>1422</v>
      </c>
      <c r="C10622" s="402" t="s">
        <v>48</v>
      </c>
      <c r="D10622" s="601">
        <v>36.76</v>
      </c>
    </row>
    <row r="10623" spans="1:4" ht="40.5">
      <c r="A10623" s="402">
        <v>87758</v>
      </c>
      <c r="B10623" s="403" t="s">
        <v>1423</v>
      </c>
      <c r="C10623" s="402" t="s">
        <v>48</v>
      </c>
      <c r="D10623" s="601">
        <v>86.86</v>
      </c>
    </row>
    <row r="10624" spans="1:4" ht="27">
      <c r="A10624" s="402">
        <v>87759</v>
      </c>
      <c r="B10624" s="403" t="s">
        <v>1424</v>
      </c>
      <c r="C10624" s="402" t="s">
        <v>48</v>
      </c>
      <c r="D10624" s="601">
        <v>93.77</v>
      </c>
    </row>
    <row r="10625" spans="1:4" ht="40.5">
      <c r="A10625" s="402">
        <v>87765</v>
      </c>
      <c r="B10625" s="403" t="s">
        <v>1425</v>
      </c>
      <c r="C10625" s="402" t="s">
        <v>48</v>
      </c>
      <c r="D10625" s="601">
        <v>37.33</v>
      </c>
    </row>
    <row r="10626" spans="1:4" ht="40.5">
      <c r="A10626" s="402">
        <v>87767</v>
      </c>
      <c r="B10626" s="403" t="s">
        <v>1426</v>
      </c>
      <c r="C10626" s="402" t="s">
        <v>48</v>
      </c>
      <c r="D10626" s="601">
        <v>42.1</v>
      </c>
    </row>
    <row r="10627" spans="1:4" ht="40.5">
      <c r="A10627" s="402">
        <v>87768</v>
      </c>
      <c r="B10627" s="403" t="s">
        <v>1427</v>
      </c>
      <c r="C10627" s="402" t="s">
        <v>48</v>
      </c>
      <c r="D10627" s="601">
        <v>103.72</v>
      </c>
    </row>
    <row r="10628" spans="1:4" ht="27">
      <c r="A10628" s="402">
        <v>87769</v>
      </c>
      <c r="B10628" s="403" t="s">
        <v>1428</v>
      </c>
      <c r="C10628" s="402" t="s">
        <v>48</v>
      </c>
      <c r="D10628" s="601">
        <v>112.22</v>
      </c>
    </row>
    <row r="10629" spans="1:4" ht="27">
      <c r="A10629" s="402">
        <v>88470</v>
      </c>
      <c r="B10629" s="403" t="s">
        <v>311</v>
      </c>
      <c r="C10629" s="402" t="s">
        <v>48</v>
      </c>
      <c r="D10629" s="601">
        <v>23.21</v>
      </c>
    </row>
    <row r="10630" spans="1:4" ht="27">
      <c r="A10630" s="402">
        <v>88471</v>
      </c>
      <c r="B10630" s="403" t="s">
        <v>312</v>
      </c>
      <c r="C10630" s="402" t="s">
        <v>48</v>
      </c>
      <c r="D10630" s="601">
        <v>28.67</v>
      </c>
    </row>
    <row r="10631" spans="1:4" ht="27">
      <c r="A10631" s="402">
        <v>88472</v>
      </c>
      <c r="B10631" s="403" t="s">
        <v>313</v>
      </c>
      <c r="C10631" s="402" t="s">
        <v>48</v>
      </c>
      <c r="D10631" s="601">
        <v>32.93</v>
      </c>
    </row>
    <row r="10632" spans="1:4" ht="27">
      <c r="A10632" s="402">
        <v>88476</v>
      </c>
      <c r="B10632" s="403" t="s">
        <v>314</v>
      </c>
      <c r="C10632" s="402" t="s">
        <v>48</v>
      </c>
      <c r="D10632" s="601">
        <v>18.29</v>
      </c>
    </row>
    <row r="10633" spans="1:4" ht="27">
      <c r="A10633" s="402">
        <v>88477</v>
      </c>
      <c r="B10633" s="403" t="s">
        <v>315</v>
      </c>
      <c r="C10633" s="402" t="s">
        <v>48</v>
      </c>
      <c r="D10633" s="601">
        <v>25.25</v>
      </c>
    </row>
    <row r="10634" spans="1:4" ht="27">
      <c r="A10634" s="402">
        <v>88478</v>
      </c>
      <c r="B10634" s="403" t="s">
        <v>316</v>
      </c>
      <c r="C10634" s="402" t="s">
        <v>48</v>
      </c>
      <c r="D10634" s="601">
        <v>30.88</v>
      </c>
    </row>
    <row r="10635" spans="1:4" ht="40.5">
      <c r="A10635" s="402">
        <v>90900</v>
      </c>
      <c r="B10635" s="403" t="s">
        <v>532</v>
      </c>
      <c r="C10635" s="402" t="s">
        <v>48</v>
      </c>
      <c r="D10635" s="601">
        <v>55.45</v>
      </c>
    </row>
    <row r="10636" spans="1:4" ht="27">
      <c r="A10636" s="402">
        <v>90902</v>
      </c>
      <c r="B10636" s="403" t="s">
        <v>2298</v>
      </c>
      <c r="C10636" s="402" t="s">
        <v>48</v>
      </c>
      <c r="D10636" s="601">
        <v>60.92</v>
      </c>
    </row>
    <row r="10637" spans="1:4" ht="27">
      <c r="A10637" s="402">
        <v>90903</v>
      </c>
      <c r="B10637" s="403" t="s">
        <v>2299</v>
      </c>
      <c r="C10637" s="402" t="s">
        <v>48</v>
      </c>
      <c r="D10637" s="601">
        <v>131.49</v>
      </c>
    </row>
    <row r="10638" spans="1:4" ht="27">
      <c r="A10638" s="402">
        <v>90904</v>
      </c>
      <c r="B10638" s="403" t="s">
        <v>2300</v>
      </c>
      <c r="C10638" s="402" t="s">
        <v>48</v>
      </c>
      <c r="D10638" s="601">
        <v>141.22</v>
      </c>
    </row>
    <row r="10639" spans="1:4" ht="40.5">
      <c r="A10639" s="402">
        <v>90910</v>
      </c>
      <c r="B10639" s="403" t="s">
        <v>533</v>
      </c>
      <c r="C10639" s="402" t="s">
        <v>48</v>
      </c>
      <c r="D10639" s="601">
        <v>58.66</v>
      </c>
    </row>
    <row r="10640" spans="1:4" ht="27">
      <c r="A10640" s="402">
        <v>90912</v>
      </c>
      <c r="B10640" s="403" t="s">
        <v>2301</v>
      </c>
      <c r="C10640" s="402" t="s">
        <v>48</v>
      </c>
      <c r="D10640" s="601">
        <v>64.61</v>
      </c>
    </row>
    <row r="10641" spans="1:4" ht="27">
      <c r="A10641" s="402">
        <v>90913</v>
      </c>
      <c r="B10641" s="403" t="s">
        <v>2302</v>
      </c>
      <c r="C10641" s="402" t="s">
        <v>48</v>
      </c>
      <c r="D10641" s="601">
        <v>141.46</v>
      </c>
    </row>
    <row r="10642" spans="1:4" ht="27">
      <c r="A10642" s="402">
        <v>90914</v>
      </c>
      <c r="B10642" s="403" t="s">
        <v>2303</v>
      </c>
      <c r="C10642" s="402" t="s">
        <v>48</v>
      </c>
      <c r="D10642" s="601">
        <v>152.05000000000001</v>
      </c>
    </row>
    <row r="10643" spans="1:4" ht="40.5">
      <c r="A10643" s="402">
        <v>90920</v>
      </c>
      <c r="B10643" s="403" t="s">
        <v>534</v>
      </c>
      <c r="C10643" s="402" t="s">
        <v>48</v>
      </c>
      <c r="D10643" s="601">
        <v>64.56</v>
      </c>
    </row>
    <row r="10644" spans="1:4" ht="27">
      <c r="A10644" s="402">
        <v>90922</v>
      </c>
      <c r="B10644" s="403" t="s">
        <v>2304</v>
      </c>
      <c r="C10644" s="402" t="s">
        <v>48</v>
      </c>
      <c r="D10644" s="601">
        <v>71.41</v>
      </c>
    </row>
    <row r="10645" spans="1:4" ht="27">
      <c r="A10645" s="402">
        <v>90923</v>
      </c>
      <c r="B10645" s="403" t="s">
        <v>2305</v>
      </c>
      <c r="C10645" s="402" t="s">
        <v>48</v>
      </c>
      <c r="D10645" s="601">
        <v>159.77000000000001</v>
      </c>
    </row>
    <row r="10646" spans="1:4" ht="27">
      <c r="A10646" s="402">
        <v>90924</v>
      </c>
      <c r="B10646" s="403" t="s">
        <v>2306</v>
      </c>
      <c r="C10646" s="402" t="s">
        <v>48</v>
      </c>
      <c r="D10646" s="601">
        <v>171.95</v>
      </c>
    </row>
    <row r="10647" spans="1:4" ht="40.5">
      <c r="A10647" s="402">
        <v>90930</v>
      </c>
      <c r="B10647" s="403" t="s">
        <v>535</v>
      </c>
      <c r="C10647" s="402" t="s">
        <v>48</v>
      </c>
      <c r="D10647" s="601">
        <v>50.64</v>
      </c>
    </row>
    <row r="10648" spans="1:4" ht="27">
      <c r="A10648" s="402">
        <v>90932</v>
      </c>
      <c r="B10648" s="403" t="s">
        <v>2307</v>
      </c>
      <c r="C10648" s="402" t="s">
        <v>48</v>
      </c>
      <c r="D10648" s="601">
        <v>56.11</v>
      </c>
    </row>
    <row r="10649" spans="1:4" ht="27">
      <c r="A10649" s="402">
        <v>90933</v>
      </c>
      <c r="B10649" s="403" t="s">
        <v>2308</v>
      </c>
      <c r="C10649" s="402" t="s">
        <v>48</v>
      </c>
      <c r="D10649" s="601">
        <v>126.68</v>
      </c>
    </row>
    <row r="10650" spans="1:4" ht="27">
      <c r="A10650" s="402">
        <v>90934</v>
      </c>
      <c r="B10650" s="403" t="s">
        <v>2309</v>
      </c>
      <c r="C10650" s="402" t="s">
        <v>48</v>
      </c>
      <c r="D10650" s="601">
        <v>136.41</v>
      </c>
    </row>
    <row r="10651" spans="1:4" ht="40.5">
      <c r="A10651" s="402">
        <v>90940</v>
      </c>
      <c r="B10651" s="403" t="s">
        <v>536</v>
      </c>
      <c r="C10651" s="402" t="s">
        <v>48</v>
      </c>
      <c r="D10651" s="601">
        <v>53.86</v>
      </c>
    </row>
    <row r="10652" spans="1:4" ht="27">
      <c r="A10652" s="402">
        <v>90942</v>
      </c>
      <c r="B10652" s="403" t="s">
        <v>2310</v>
      </c>
      <c r="C10652" s="402" t="s">
        <v>48</v>
      </c>
      <c r="D10652" s="601">
        <v>59.81</v>
      </c>
    </row>
    <row r="10653" spans="1:4" ht="27">
      <c r="A10653" s="402">
        <v>90943</v>
      </c>
      <c r="B10653" s="403" t="s">
        <v>2311</v>
      </c>
      <c r="C10653" s="402" t="s">
        <v>48</v>
      </c>
      <c r="D10653" s="601">
        <v>136.66</v>
      </c>
    </row>
    <row r="10654" spans="1:4" ht="27">
      <c r="A10654" s="402">
        <v>90944</v>
      </c>
      <c r="B10654" s="403" t="s">
        <v>2312</v>
      </c>
      <c r="C10654" s="402" t="s">
        <v>48</v>
      </c>
      <c r="D10654" s="601">
        <v>147.25</v>
      </c>
    </row>
    <row r="10655" spans="1:4" ht="40.5">
      <c r="A10655" s="402">
        <v>90950</v>
      </c>
      <c r="B10655" s="403" t="s">
        <v>537</v>
      </c>
      <c r="C10655" s="402" t="s">
        <v>48</v>
      </c>
      <c r="D10655" s="601">
        <v>59.75</v>
      </c>
    </row>
    <row r="10656" spans="1:4" ht="27">
      <c r="A10656" s="402">
        <v>90952</v>
      </c>
      <c r="B10656" s="403" t="s">
        <v>2313</v>
      </c>
      <c r="C10656" s="402" t="s">
        <v>48</v>
      </c>
      <c r="D10656" s="601">
        <v>66.599999999999994</v>
      </c>
    </row>
    <row r="10657" spans="1:4" ht="27">
      <c r="A10657" s="402">
        <v>90953</v>
      </c>
      <c r="B10657" s="403" t="s">
        <v>2314</v>
      </c>
      <c r="C10657" s="402" t="s">
        <v>48</v>
      </c>
      <c r="D10657" s="601">
        <v>154.96</v>
      </c>
    </row>
    <row r="10658" spans="1:4" ht="27">
      <c r="A10658" s="402">
        <v>90954</v>
      </c>
      <c r="B10658" s="403" t="s">
        <v>2315</v>
      </c>
      <c r="C10658" s="402" t="s">
        <v>48</v>
      </c>
      <c r="D10658" s="601">
        <v>167.14</v>
      </c>
    </row>
    <row r="10659" spans="1:4" ht="54">
      <c r="A10659" s="402">
        <v>94438</v>
      </c>
      <c r="B10659" s="403" t="s">
        <v>3370</v>
      </c>
      <c r="C10659" s="402" t="s">
        <v>48</v>
      </c>
      <c r="D10659" s="601">
        <v>30.28</v>
      </c>
    </row>
    <row r="10660" spans="1:4" ht="67.5">
      <c r="A10660" s="402">
        <v>94439</v>
      </c>
      <c r="B10660" s="403" t="s">
        <v>3371</v>
      </c>
      <c r="C10660" s="402" t="s">
        <v>48</v>
      </c>
      <c r="D10660" s="601">
        <v>33.840000000000003</v>
      </c>
    </row>
    <row r="10661" spans="1:4" ht="40.5">
      <c r="A10661" s="402">
        <v>94779</v>
      </c>
      <c r="B10661" s="403" t="s">
        <v>3506</v>
      </c>
      <c r="C10661" s="402" t="s">
        <v>48</v>
      </c>
      <c r="D10661" s="601">
        <v>29.39</v>
      </c>
    </row>
    <row r="10662" spans="1:4" ht="54">
      <c r="A10662" s="402">
        <v>94782</v>
      </c>
      <c r="B10662" s="403" t="s">
        <v>3507</v>
      </c>
      <c r="C10662" s="402" t="s">
        <v>48</v>
      </c>
      <c r="D10662" s="601">
        <v>33.35</v>
      </c>
    </row>
    <row r="10663" spans="1:4" ht="13.5">
      <c r="A10663" s="402">
        <v>72190</v>
      </c>
      <c r="B10663" s="403" t="s">
        <v>111</v>
      </c>
      <c r="C10663" s="402" t="s">
        <v>17</v>
      </c>
      <c r="D10663" s="601">
        <v>33.03</v>
      </c>
    </row>
    <row r="10664" spans="1:4" ht="40.5">
      <c r="A10664" s="402">
        <v>87871</v>
      </c>
      <c r="B10664" s="403" t="s">
        <v>1497</v>
      </c>
      <c r="C10664" s="402" t="s">
        <v>48</v>
      </c>
      <c r="D10664" s="601">
        <v>17.47</v>
      </c>
    </row>
    <row r="10665" spans="1:4" ht="40.5">
      <c r="A10665" s="402">
        <v>87872</v>
      </c>
      <c r="B10665" s="403" t="s">
        <v>1498</v>
      </c>
      <c r="C10665" s="402" t="s">
        <v>48</v>
      </c>
      <c r="D10665" s="601">
        <v>16.86</v>
      </c>
    </row>
    <row r="10666" spans="1:4" ht="40.5">
      <c r="A10666" s="402">
        <v>87873</v>
      </c>
      <c r="B10666" s="403" t="s">
        <v>223</v>
      </c>
      <c r="C10666" s="402" t="s">
        <v>48</v>
      </c>
      <c r="D10666" s="601">
        <v>3.49</v>
      </c>
    </row>
    <row r="10667" spans="1:4" ht="40.5">
      <c r="A10667" s="402">
        <v>87874</v>
      </c>
      <c r="B10667" s="403" t="s">
        <v>224</v>
      </c>
      <c r="C10667" s="402" t="s">
        <v>48</v>
      </c>
      <c r="D10667" s="601">
        <v>3.36</v>
      </c>
    </row>
    <row r="10668" spans="1:4" ht="40.5">
      <c r="A10668" s="402">
        <v>87876</v>
      </c>
      <c r="B10668" s="403" t="s">
        <v>1499</v>
      </c>
      <c r="C10668" s="402" t="s">
        <v>48</v>
      </c>
      <c r="D10668" s="601">
        <v>9.57</v>
      </c>
    </row>
    <row r="10669" spans="1:4" ht="40.5">
      <c r="A10669" s="402">
        <v>87877</v>
      </c>
      <c r="B10669" s="403" t="s">
        <v>225</v>
      </c>
      <c r="C10669" s="402" t="s">
        <v>48</v>
      </c>
      <c r="D10669" s="601">
        <v>9.2799999999999994</v>
      </c>
    </row>
    <row r="10670" spans="1:4" ht="27">
      <c r="A10670" s="402">
        <v>87878</v>
      </c>
      <c r="B10670" s="403" t="s">
        <v>1500</v>
      </c>
      <c r="C10670" s="402" t="s">
        <v>48</v>
      </c>
      <c r="D10670" s="601">
        <v>3.13</v>
      </c>
    </row>
    <row r="10671" spans="1:4" ht="40.5">
      <c r="A10671" s="402">
        <v>87879</v>
      </c>
      <c r="B10671" s="403" t="s">
        <v>1501</v>
      </c>
      <c r="C10671" s="402" t="s">
        <v>48</v>
      </c>
      <c r="D10671" s="601">
        <v>2.72</v>
      </c>
    </row>
    <row r="10672" spans="1:4" ht="27">
      <c r="A10672" s="402">
        <v>87881</v>
      </c>
      <c r="B10672" s="403" t="s">
        <v>1502</v>
      </c>
      <c r="C10672" s="402" t="s">
        <v>48</v>
      </c>
      <c r="D10672" s="601">
        <v>3.41</v>
      </c>
    </row>
    <row r="10673" spans="1:4" ht="27">
      <c r="A10673" s="402">
        <v>87882</v>
      </c>
      <c r="B10673" s="403" t="s">
        <v>1503</v>
      </c>
      <c r="C10673" s="402" t="s">
        <v>48</v>
      </c>
      <c r="D10673" s="601">
        <v>3.28</v>
      </c>
    </row>
    <row r="10674" spans="1:4" ht="27">
      <c r="A10674" s="402">
        <v>87884</v>
      </c>
      <c r="B10674" s="403" t="s">
        <v>1504</v>
      </c>
      <c r="C10674" s="402" t="s">
        <v>48</v>
      </c>
      <c r="D10674" s="601">
        <v>9.49</v>
      </c>
    </row>
    <row r="10675" spans="1:4" ht="27">
      <c r="A10675" s="402">
        <v>87885</v>
      </c>
      <c r="B10675" s="403" t="s">
        <v>1505</v>
      </c>
      <c r="C10675" s="402" t="s">
        <v>48</v>
      </c>
      <c r="D10675" s="601">
        <v>9.1999999999999993</v>
      </c>
    </row>
    <row r="10676" spans="1:4" ht="27">
      <c r="A10676" s="402">
        <v>87886</v>
      </c>
      <c r="B10676" s="403" t="s">
        <v>1506</v>
      </c>
      <c r="C10676" s="402" t="s">
        <v>48</v>
      </c>
      <c r="D10676" s="601">
        <v>22.13</v>
      </c>
    </row>
    <row r="10677" spans="1:4" ht="27">
      <c r="A10677" s="402">
        <v>87887</v>
      </c>
      <c r="B10677" s="403" t="s">
        <v>1507</v>
      </c>
      <c r="C10677" s="402" t="s">
        <v>48</v>
      </c>
      <c r="D10677" s="601">
        <v>21.52</v>
      </c>
    </row>
    <row r="10678" spans="1:4" ht="40.5">
      <c r="A10678" s="402">
        <v>87888</v>
      </c>
      <c r="B10678" s="403" t="s">
        <v>226</v>
      </c>
      <c r="C10678" s="402" t="s">
        <v>48</v>
      </c>
      <c r="D10678" s="601">
        <v>4.49</v>
      </c>
    </row>
    <row r="10679" spans="1:4" ht="40.5">
      <c r="A10679" s="402">
        <v>87889</v>
      </c>
      <c r="B10679" s="403" t="s">
        <v>1508</v>
      </c>
      <c r="C10679" s="402" t="s">
        <v>48</v>
      </c>
      <c r="D10679" s="601">
        <v>4.3600000000000003</v>
      </c>
    </row>
    <row r="10680" spans="1:4" ht="40.5">
      <c r="A10680" s="402">
        <v>87891</v>
      </c>
      <c r="B10680" s="403" t="s">
        <v>1509</v>
      </c>
      <c r="C10680" s="402" t="s">
        <v>48</v>
      </c>
      <c r="D10680" s="601">
        <v>10.57</v>
      </c>
    </row>
    <row r="10681" spans="1:4" ht="40.5">
      <c r="A10681" s="402">
        <v>87892</v>
      </c>
      <c r="B10681" s="403" t="s">
        <v>1510</v>
      </c>
      <c r="C10681" s="402" t="s">
        <v>48</v>
      </c>
      <c r="D10681" s="601">
        <v>10.28</v>
      </c>
    </row>
    <row r="10682" spans="1:4" ht="40.5">
      <c r="A10682" s="402">
        <v>87893</v>
      </c>
      <c r="B10682" s="403" t="s">
        <v>227</v>
      </c>
      <c r="C10682" s="402" t="s">
        <v>48</v>
      </c>
      <c r="D10682" s="601">
        <v>4.88</v>
      </c>
    </row>
    <row r="10683" spans="1:4" ht="40.5">
      <c r="A10683" s="402">
        <v>87894</v>
      </c>
      <c r="B10683" s="403" t="s">
        <v>228</v>
      </c>
      <c r="C10683" s="402" t="s">
        <v>48</v>
      </c>
      <c r="D10683" s="601">
        <v>4.47</v>
      </c>
    </row>
    <row r="10684" spans="1:4" ht="40.5">
      <c r="A10684" s="402">
        <v>87896</v>
      </c>
      <c r="B10684" s="403" t="s">
        <v>229</v>
      </c>
      <c r="C10684" s="402" t="s">
        <v>48</v>
      </c>
      <c r="D10684" s="601">
        <v>4.41</v>
      </c>
    </row>
    <row r="10685" spans="1:4" ht="40.5">
      <c r="A10685" s="402">
        <v>87897</v>
      </c>
      <c r="B10685" s="403" t="s">
        <v>230</v>
      </c>
      <c r="C10685" s="402" t="s">
        <v>48</v>
      </c>
      <c r="D10685" s="601">
        <v>4</v>
      </c>
    </row>
    <row r="10686" spans="1:4" ht="40.5">
      <c r="A10686" s="402">
        <v>87899</v>
      </c>
      <c r="B10686" s="403" t="s">
        <v>231</v>
      </c>
      <c r="C10686" s="402" t="s">
        <v>48</v>
      </c>
      <c r="D10686" s="601">
        <v>5.37</v>
      </c>
    </row>
    <row r="10687" spans="1:4" ht="40.5">
      <c r="A10687" s="402">
        <v>87900</v>
      </c>
      <c r="B10687" s="403" t="s">
        <v>1511</v>
      </c>
      <c r="C10687" s="402" t="s">
        <v>48</v>
      </c>
      <c r="D10687" s="601">
        <v>5.24</v>
      </c>
    </row>
    <row r="10688" spans="1:4" ht="40.5">
      <c r="A10688" s="402">
        <v>87902</v>
      </c>
      <c r="B10688" s="403" t="s">
        <v>1512</v>
      </c>
      <c r="C10688" s="402" t="s">
        <v>48</v>
      </c>
      <c r="D10688" s="601">
        <v>11.45</v>
      </c>
    </row>
    <row r="10689" spans="1:4" ht="40.5">
      <c r="A10689" s="402">
        <v>87903</v>
      </c>
      <c r="B10689" s="403" t="s">
        <v>1513</v>
      </c>
      <c r="C10689" s="402" t="s">
        <v>48</v>
      </c>
      <c r="D10689" s="601">
        <v>11.16</v>
      </c>
    </row>
    <row r="10690" spans="1:4" ht="40.5">
      <c r="A10690" s="402">
        <v>87904</v>
      </c>
      <c r="B10690" s="403" t="s">
        <v>232</v>
      </c>
      <c r="C10690" s="402" t="s">
        <v>48</v>
      </c>
      <c r="D10690" s="601">
        <v>6.34</v>
      </c>
    </row>
    <row r="10691" spans="1:4" ht="40.5">
      <c r="A10691" s="402">
        <v>87905</v>
      </c>
      <c r="B10691" s="403" t="s">
        <v>233</v>
      </c>
      <c r="C10691" s="402" t="s">
        <v>48</v>
      </c>
      <c r="D10691" s="601">
        <v>5.93</v>
      </c>
    </row>
    <row r="10692" spans="1:4" ht="40.5">
      <c r="A10692" s="402">
        <v>87907</v>
      </c>
      <c r="B10692" s="403" t="s">
        <v>234</v>
      </c>
      <c r="C10692" s="402" t="s">
        <v>48</v>
      </c>
      <c r="D10692" s="601">
        <v>5.69</v>
      </c>
    </row>
    <row r="10693" spans="1:4" ht="40.5">
      <c r="A10693" s="402">
        <v>87908</v>
      </c>
      <c r="B10693" s="403" t="s">
        <v>235</v>
      </c>
      <c r="C10693" s="402" t="s">
        <v>48</v>
      </c>
      <c r="D10693" s="601">
        <v>5.28</v>
      </c>
    </row>
    <row r="10694" spans="1:4" ht="40.5">
      <c r="A10694" s="402">
        <v>87910</v>
      </c>
      <c r="B10694" s="403" t="s">
        <v>1514</v>
      </c>
      <c r="C10694" s="402" t="s">
        <v>48</v>
      </c>
      <c r="D10694" s="601">
        <v>22.04</v>
      </c>
    </row>
    <row r="10695" spans="1:4" ht="40.5">
      <c r="A10695" s="402">
        <v>87911</v>
      </c>
      <c r="B10695" s="403" t="s">
        <v>1515</v>
      </c>
      <c r="C10695" s="402" t="s">
        <v>48</v>
      </c>
      <c r="D10695" s="601">
        <v>21.43</v>
      </c>
    </row>
    <row r="10696" spans="1:4" ht="27">
      <c r="A10696" s="402">
        <v>87411</v>
      </c>
      <c r="B10696" s="403" t="s">
        <v>1259</v>
      </c>
      <c r="C10696" s="402" t="s">
        <v>48</v>
      </c>
      <c r="D10696" s="601">
        <v>11.75</v>
      </c>
    </row>
    <row r="10697" spans="1:4" ht="27">
      <c r="A10697" s="402">
        <v>87412</v>
      </c>
      <c r="B10697" s="403" t="s">
        <v>1260</v>
      </c>
      <c r="C10697" s="402" t="s">
        <v>48</v>
      </c>
      <c r="D10697" s="601">
        <v>16.54</v>
      </c>
    </row>
    <row r="10698" spans="1:4" ht="27">
      <c r="A10698" s="402">
        <v>87413</v>
      </c>
      <c r="B10698" s="403" t="s">
        <v>1261</v>
      </c>
      <c r="C10698" s="402" t="s">
        <v>48</v>
      </c>
      <c r="D10698" s="601">
        <v>19.260000000000002</v>
      </c>
    </row>
    <row r="10699" spans="1:4" ht="27">
      <c r="A10699" s="402">
        <v>87414</v>
      </c>
      <c r="B10699" s="403" t="s">
        <v>1262</v>
      </c>
      <c r="C10699" s="402" t="s">
        <v>48</v>
      </c>
      <c r="D10699" s="601">
        <v>17.61</v>
      </c>
    </row>
    <row r="10700" spans="1:4" ht="27">
      <c r="A10700" s="402">
        <v>87415</v>
      </c>
      <c r="B10700" s="403" t="s">
        <v>1263</v>
      </c>
      <c r="C10700" s="402" t="s">
        <v>48</v>
      </c>
      <c r="D10700" s="601">
        <v>22.25</v>
      </c>
    </row>
    <row r="10701" spans="1:4" ht="27">
      <c r="A10701" s="402">
        <v>87416</v>
      </c>
      <c r="B10701" s="403" t="s">
        <v>1264</v>
      </c>
      <c r="C10701" s="402" t="s">
        <v>48</v>
      </c>
      <c r="D10701" s="601">
        <v>25.16</v>
      </c>
    </row>
    <row r="10702" spans="1:4" ht="27">
      <c r="A10702" s="402">
        <v>87417</v>
      </c>
      <c r="B10702" s="403" t="s">
        <v>1265</v>
      </c>
      <c r="C10702" s="402" t="s">
        <v>48</v>
      </c>
      <c r="D10702" s="601">
        <v>12.42</v>
      </c>
    </row>
    <row r="10703" spans="1:4" ht="27">
      <c r="A10703" s="402">
        <v>87418</v>
      </c>
      <c r="B10703" s="403" t="s">
        <v>1266</v>
      </c>
      <c r="C10703" s="402" t="s">
        <v>48</v>
      </c>
      <c r="D10703" s="601">
        <v>12.77</v>
      </c>
    </row>
    <row r="10704" spans="1:4" ht="27">
      <c r="A10704" s="402">
        <v>87419</v>
      </c>
      <c r="B10704" s="403" t="s">
        <v>1267</v>
      </c>
      <c r="C10704" s="402" t="s">
        <v>48</v>
      </c>
      <c r="D10704" s="601">
        <v>13.8</v>
      </c>
    </row>
    <row r="10705" spans="1:4" ht="27">
      <c r="A10705" s="402">
        <v>87420</v>
      </c>
      <c r="B10705" s="403" t="s">
        <v>1268</v>
      </c>
      <c r="C10705" s="402" t="s">
        <v>48</v>
      </c>
      <c r="D10705" s="601">
        <v>18.82</v>
      </c>
    </row>
    <row r="10706" spans="1:4" ht="27">
      <c r="A10706" s="402">
        <v>87421</v>
      </c>
      <c r="B10706" s="403" t="s">
        <v>1269</v>
      </c>
      <c r="C10706" s="402" t="s">
        <v>48</v>
      </c>
      <c r="D10706" s="601">
        <v>19.170000000000002</v>
      </c>
    </row>
    <row r="10707" spans="1:4" ht="27">
      <c r="A10707" s="402">
        <v>87422</v>
      </c>
      <c r="B10707" s="403" t="s">
        <v>1270</v>
      </c>
      <c r="C10707" s="402" t="s">
        <v>48</v>
      </c>
      <c r="D10707" s="601">
        <v>20.2</v>
      </c>
    </row>
    <row r="10708" spans="1:4" ht="27">
      <c r="A10708" s="402">
        <v>87423</v>
      </c>
      <c r="B10708" s="403" t="s">
        <v>1271</v>
      </c>
      <c r="C10708" s="402" t="s">
        <v>48</v>
      </c>
      <c r="D10708" s="601">
        <v>24.63</v>
      </c>
    </row>
    <row r="10709" spans="1:4" ht="27">
      <c r="A10709" s="402">
        <v>87424</v>
      </c>
      <c r="B10709" s="403" t="s">
        <v>1272</v>
      </c>
      <c r="C10709" s="402" t="s">
        <v>48</v>
      </c>
      <c r="D10709" s="601">
        <v>25.16</v>
      </c>
    </row>
    <row r="10710" spans="1:4" ht="27">
      <c r="A10710" s="402">
        <v>87425</v>
      </c>
      <c r="B10710" s="403" t="s">
        <v>1273</v>
      </c>
      <c r="C10710" s="402" t="s">
        <v>48</v>
      </c>
      <c r="D10710" s="601">
        <v>26.01</v>
      </c>
    </row>
    <row r="10711" spans="1:4" ht="27">
      <c r="A10711" s="402">
        <v>87426</v>
      </c>
      <c r="B10711" s="403" t="s">
        <v>1274</v>
      </c>
      <c r="C10711" s="402" t="s">
        <v>48</v>
      </c>
      <c r="D10711" s="601">
        <v>29.08</v>
      </c>
    </row>
    <row r="10712" spans="1:4" ht="27">
      <c r="A10712" s="402">
        <v>87427</v>
      </c>
      <c r="B10712" s="403" t="s">
        <v>1275</v>
      </c>
      <c r="C10712" s="402" t="s">
        <v>48</v>
      </c>
      <c r="D10712" s="601">
        <v>29.61</v>
      </c>
    </row>
    <row r="10713" spans="1:4" ht="27">
      <c r="A10713" s="402">
        <v>87428</v>
      </c>
      <c r="B10713" s="403" t="s">
        <v>1276</v>
      </c>
      <c r="C10713" s="402" t="s">
        <v>48</v>
      </c>
      <c r="D10713" s="601">
        <v>30.46</v>
      </c>
    </row>
    <row r="10714" spans="1:4" ht="40.5">
      <c r="A10714" s="402">
        <v>87429</v>
      </c>
      <c r="B10714" s="403" t="s">
        <v>1277</v>
      </c>
      <c r="C10714" s="402" t="s">
        <v>48</v>
      </c>
      <c r="D10714" s="601">
        <v>14.01</v>
      </c>
    </row>
    <row r="10715" spans="1:4" ht="40.5">
      <c r="A10715" s="402">
        <v>87430</v>
      </c>
      <c r="B10715" s="403" t="s">
        <v>1278</v>
      </c>
      <c r="C10715" s="402" t="s">
        <v>48</v>
      </c>
      <c r="D10715" s="601">
        <v>14.36</v>
      </c>
    </row>
    <row r="10716" spans="1:4" ht="40.5">
      <c r="A10716" s="402">
        <v>87431</v>
      </c>
      <c r="B10716" s="403" t="s">
        <v>1279</v>
      </c>
      <c r="C10716" s="402" t="s">
        <v>48</v>
      </c>
      <c r="D10716" s="601">
        <v>14.54</v>
      </c>
    </row>
    <row r="10717" spans="1:4" ht="40.5">
      <c r="A10717" s="402">
        <v>87432</v>
      </c>
      <c r="B10717" s="403" t="s">
        <v>1280</v>
      </c>
      <c r="C10717" s="402" t="s">
        <v>48</v>
      </c>
      <c r="D10717" s="601">
        <v>20.420000000000002</v>
      </c>
    </row>
    <row r="10718" spans="1:4" ht="40.5">
      <c r="A10718" s="402">
        <v>87433</v>
      </c>
      <c r="B10718" s="403" t="s">
        <v>1281</v>
      </c>
      <c r="C10718" s="402" t="s">
        <v>48</v>
      </c>
      <c r="D10718" s="601">
        <v>21.12</v>
      </c>
    </row>
    <row r="10719" spans="1:4" ht="40.5">
      <c r="A10719" s="402">
        <v>87434</v>
      </c>
      <c r="B10719" s="403" t="s">
        <v>1282</v>
      </c>
      <c r="C10719" s="402" t="s">
        <v>48</v>
      </c>
      <c r="D10719" s="601">
        <v>21.63</v>
      </c>
    </row>
    <row r="10720" spans="1:4" ht="40.5">
      <c r="A10720" s="402">
        <v>87435</v>
      </c>
      <c r="B10720" s="403" t="s">
        <v>1283</v>
      </c>
      <c r="C10720" s="402" t="s">
        <v>48</v>
      </c>
      <c r="D10720" s="601">
        <v>22.65</v>
      </c>
    </row>
    <row r="10721" spans="1:4" ht="40.5">
      <c r="A10721" s="402">
        <v>87436</v>
      </c>
      <c r="B10721" s="403" t="s">
        <v>1284</v>
      </c>
      <c r="C10721" s="402" t="s">
        <v>48</v>
      </c>
      <c r="D10721" s="601">
        <v>23.86</v>
      </c>
    </row>
    <row r="10722" spans="1:4" ht="40.5">
      <c r="A10722" s="402">
        <v>87437</v>
      </c>
      <c r="B10722" s="403" t="s">
        <v>213</v>
      </c>
      <c r="C10722" s="402" t="s">
        <v>48</v>
      </c>
      <c r="D10722" s="601">
        <v>24.71</v>
      </c>
    </row>
    <row r="10723" spans="1:4" ht="40.5">
      <c r="A10723" s="402">
        <v>87438</v>
      </c>
      <c r="B10723" s="403" t="s">
        <v>1285</v>
      </c>
      <c r="C10723" s="402" t="s">
        <v>48</v>
      </c>
      <c r="D10723" s="601">
        <v>28.05</v>
      </c>
    </row>
    <row r="10724" spans="1:4" ht="40.5">
      <c r="A10724" s="402">
        <v>87439</v>
      </c>
      <c r="B10724" s="403" t="s">
        <v>1286</v>
      </c>
      <c r="C10724" s="402" t="s">
        <v>48</v>
      </c>
      <c r="D10724" s="601">
        <v>29.57</v>
      </c>
    </row>
    <row r="10725" spans="1:4" ht="40.5">
      <c r="A10725" s="402">
        <v>87440</v>
      </c>
      <c r="B10725" s="403" t="s">
        <v>214</v>
      </c>
      <c r="C10725" s="402" t="s">
        <v>48</v>
      </c>
      <c r="D10725" s="601">
        <v>30.27</v>
      </c>
    </row>
    <row r="10726" spans="1:4" ht="54">
      <c r="A10726" s="402">
        <v>87527</v>
      </c>
      <c r="B10726" s="403" t="s">
        <v>1367</v>
      </c>
      <c r="C10726" s="402" t="s">
        <v>48</v>
      </c>
      <c r="D10726" s="601">
        <v>25.99</v>
      </c>
    </row>
    <row r="10727" spans="1:4" ht="40.5">
      <c r="A10727" s="402">
        <v>87528</v>
      </c>
      <c r="B10727" s="403" t="s">
        <v>1368</v>
      </c>
      <c r="C10727" s="402" t="s">
        <v>48</v>
      </c>
      <c r="D10727" s="601">
        <v>29.54</v>
      </c>
    </row>
    <row r="10728" spans="1:4" ht="40.5">
      <c r="A10728" s="402">
        <v>87529</v>
      </c>
      <c r="B10728" s="403" t="s">
        <v>1369</v>
      </c>
      <c r="C10728" s="402" t="s">
        <v>48</v>
      </c>
      <c r="D10728" s="601">
        <v>23.45</v>
      </c>
    </row>
    <row r="10729" spans="1:4" ht="40.5">
      <c r="A10729" s="402">
        <v>87530</v>
      </c>
      <c r="B10729" s="403" t="s">
        <v>1370</v>
      </c>
      <c r="C10729" s="402" t="s">
        <v>48</v>
      </c>
      <c r="D10729" s="601">
        <v>27</v>
      </c>
    </row>
    <row r="10730" spans="1:4" ht="54">
      <c r="A10730" s="402">
        <v>87531</v>
      </c>
      <c r="B10730" s="403" t="s">
        <v>1371</v>
      </c>
      <c r="C10730" s="402" t="s">
        <v>48</v>
      </c>
      <c r="D10730" s="601">
        <v>22.56</v>
      </c>
    </row>
    <row r="10731" spans="1:4" ht="54">
      <c r="A10731" s="402">
        <v>87532</v>
      </c>
      <c r="B10731" s="403" t="s">
        <v>1372</v>
      </c>
      <c r="C10731" s="402" t="s">
        <v>48</v>
      </c>
      <c r="D10731" s="601">
        <v>26.11</v>
      </c>
    </row>
    <row r="10732" spans="1:4" ht="54">
      <c r="A10732" s="402">
        <v>87535</v>
      </c>
      <c r="B10732" s="403" t="s">
        <v>1373</v>
      </c>
      <c r="C10732" s="402" t="s">
        <v>48</v>
      </c>
      <c r="D10732" s="601">
        <v>20.03</v>
      </c>
    </row>
    <row r="10733" spans="1:4" ht="54">
      <c r="A10733" s="402">
        <v>87536</v>
      </c>
      <c r="B10733" s="403" t="s">
        <v>1374</v>
      </c>
      <c r="C10733" s="402" t="s">
        <v>48</v>
      </c>
      <c r="D10733" s="601">
        <v>23.58</v>
      </c>
    </row>
    <row r="10734" spans="1:4" ht="54">
      <c r="A10734" s="402">
        <v>87537</v>
      </c>
      <c r="B10734" s="403" t="s">
        <v>1375</v>
      </c>
      <c r="C10734" s="402" t="s">
        <v>48</v>
      </c>
      <c r="D10734" s="601">
        <v>53.97</v>
      </c>
    </row>
    <row r="10735" spans="1:4" ht="54">
      <c r="A10735" s="402">
        <v>87538</v>
      </c>
      <c r="B10735" s="403" t="s">
        <v>1376</v>
      </c>
      <c r="C10735" s="402" t="s">
        <v>48</v>
      </c>
      <c r="D10735" s="601">
        <v>51.81</v>
      </c>
    </row>
    <row r="10736" spans="1:4" ht="54">
      <c r="A10736" s="402">
        <v>87539</v>
      </c>
      <c r="B10736" s="403" t="s">
        <v>1377</v>
      </c>
      <c r="C10736" s="402" t="s">
        <v>48</v>
      </c>
      <c r="D10736" s="601">
        <v>51.04</v>
      </c>
    </row>
    <row r="10737" spans="1:4" ht="54">
      <c r="A10737" s="402">
        <v>87541</v>
      </c>
      <c r="B10737" s="403" t="s">
        <v>1378</v>
      </c>
      <c r="C10737" s="402" t="s">
        <v>48</v>
      </c>
      <c r="D10737" s="601">
        <v>48.89</v>
      </c>
    </row>
    <row r="10738" spans="1:4" ht="54">
      <c r="A10738" s="402">
        <v>87543</v>
      </c>
      <c r="B10738" s="403" t="s">
        <v>4594</v>
      </c>
      <c r="C10738" s="402" t="s">
        <v>48</v>
      </c>
      <c r="D10738" s="601">
        <v>16.95</v>
      </c>
    </row>
    <row r="10739" spans="1:4" ht="54">
      <c r="A10739" s="402">
        <v>87545</v>
      </c>
      <c r="B10739" s="403" t="s">
        <v>1379</v>
      </c>
      <c r="C10739" s="402" t="s">
        <v>48</v>
      </c>
      <c r="D10739" s="601">
        <v>17.72</v>
      </c>
    </row>
    <row r="10740" spans="1:4" ht="40.5">
      <c r="A10740" s="402">
        <v>87546</v>
      </c>
      <c r="B10740" s="403" t="s">
        <v>1380</v>
      </c>
      <c r="C10740" s="402" t="s">
        <v>48</v>
      </c>
      <c r="D10740" s="601">
        <v>19.73</v>
      </c>
    </row>
    <row r="10741" spans="1:4" ht="40.5">
      <c r="A10741" s="402">
        <v>87547</v>
      </c>
      <c r="B10741" s="403" t="s">
        <v>1381</v>
      </c>
      <c r="C10741" s="402" t="s">
        <v>48</v>
      </c>
      <c r="D10741" s="601">
        <v>15.21</v>
      </c>
    </row>
    <row r="10742" spans="1:4" ht="40.5">
      <c r="A10742" s="402">
        <v>87548</v>
      </c>
      <c r="B10742" s="403" t="s">
        <v>1382</v>
      </c>
      <c r="C10742" s="402" t="s">
        <v>48</v>
      </c>
      <c r="D10742" s="601">
        <v>17.22</v>
      </c>
    </row>
    <row r="10743" spans="1:4" ht="54">
      <c r="A10743" s="402">
        <v>87549</v>
      </c>
      <c r="B10743" s="403" t="s">
        <v>1383</v>
      </c>
      <c r="C10743" s="402" t="s">
        <v>48</v>
      </c>
      <c r="D10743" s="601">
        <v>14.3</v>
      </c>
    </row>
    <row r="10744" spans="1:4" ht="54">
      <c r="A10744" s="402">
        <v>87550</v>
      </c>
      <c r="B10744" s="403" t="s">
        <v>1384</v>
      </c>
      <c r="C10744" s="402" t="s">
        <v>48</v>
      </c>
      <c r="D10744" s="601">
        <v>16.309999999999999</v>
      </c>
    </row>
    <row r="10745" spans="1:4" ht="54">
      <c r="A10745" s="402">
        <v>87553</v>
      </c>
      <c r="B10745" s="403" t="s">
        <v>1385</v>
      </c>
      <c r="C10745" s="402" t="s">
        <v>48</v>
      </c>
      <c r="D10745" s="601">
        <v>11.78</v>
      </c>
    </row>
    <row r="10746" spans="1:4" ht="40.5">
      <c r="A10746" s="402">
        <v>87554</v>
      </c>
      <c r="B10746" s="403" t="s">
        <v>1386</v>
      </c>
      <c r="C10746" s="402" t="s">
        <v>48</v>
      </c>
      <c r="D10746" s="601">
        <v>13.79</v>
      </c>
    </row>
    <row r="10747" spans="1:4" ht="54">
      <c r="A10747" s="402">
        <v>87555</v>
      </c>
      <c r="B10747" s="403" t="s">
        <v>1387</v>
      </c>
      <c r="C10747" s="402" t="s">
        <v>48</v>
      </c>
      <c r="D10747" s="601">
        <v>32.78</v>
      </c>
    </row>
    <row r="10748" spans="1:4" ht="54">
      <c r="A10748" s="402">
        <v>87556</v>
      </c>
      <c r="B10748" s="403" t="s">
        <v>1388</v>
      </c>
      <c r="C10748" s="402" t="s">
        <v>48</v>
      </c>
      <c r="D10748" s="601">
        <v>30.65</v>
      </c>
    </row>
    <row r="10749" spans="1:4" ht="54">
      <c r="A10749" s="402">
        <v>87557</v>
      </c>
      <c r="B10749" s="403" t="s">
        <v>1389</v>
      </c>
      <c r="C10749" s="402" t="s">
        <v>48</v>
      </c>
      <c r="D10749" s="601">
        <v>29.86</v>
      </c>
    </row>
    <row r="10750" spans="1:4" ht="54">
      <c r="A10750" s="402">
        <v>87559</v>
      </c>
      <c r="B10750" s="403" t="s">
        <v>1390</v>
      </c>
      <c r="C10750" s="402" t="s">
        <v>48</v>
      </c>
      <c r="D10750" s="601">
        <v>27.71</v>
      </c>
    </row>
    <row r="10751" spans="1:4" ht="54">
      <c r="A10751" s="402">
        <v>87561</v>
      </c>
      <c r="B10751" s="403" t="s">
        <v>1391</v>
      </c>
      <c r="C10751" s="402" t="s">
        <v>48</v>
      </c>
      <c r="D10751" s="601">
        <v>30.06</v>
      </c>
    </row>
    <row r="10752" spans="1:4" ht="40.5">
      <c r="A10752" s="402">
        <v>87775</v>
      </c>
      <c r="B10752" s="403" t="s">
        <v>1429</v>
      </c>
      <c r="C10752" s="402" t="s">
        <v>48</v>
      </c>
      <c r="D10752" s="601">
        <v>37.42</v>
      </c>
    </row>
    <row r="10753" spans="1:4" ht="40.5">
      <c r="A10753" s="402">
        <v>87777</v>
      </c>
      <c r="B10753" s="403" t="s">
        <v>1430</v>
      </c>
      <c r="C10753" s="402" t="s">
        <v>48</v>
      </c>
      <c r="D10753" s="601">
        <v>40.380000000000003</v>
      </c>
    </row>
    <row r="10754" spans="1:4" ht="40.5">
      <c r="A10754" s="402">
        <v>87778</v>
      </c>
      <c r="B10754" s="403" t="s">
        <v>1431</v>
      </c>
      <c r="C10754" s="402" t="s">
        <v>48</v>
      </c>
      <c r="D10754" s="601">
        <v>58.94</v>
      </c>
    </row>
    <row r="10755" spans="1:4" ht="40.5">
      <c r="A10755" s="402">
        <v>87779</v>
      </c>
      <c r="B10755" s="403" t="s">
        <v>1432</v>
      </c>
      <c r="C10755" s="402" t="s">
        <v>48</v>
      </c>
      <c r="D10755" s="601">
        <v>43.59</v>
      </c>
    </row>
    <row r="10756" spans="1:4" ht="40.5">
      <c r="A10756" s="402">
        <v>87781</v>
      </c>
      <c r="B10756" s="403" t="s">
        <v>1433</v>
      </c>
      <c r="C10756" s="402" t="s">
        <v>48</v>
      </c>
      <c r="D10756" s="601">
        <v>47.57</v>
      </c>
    </row>
    <row r="10757" spans="1:4" ht="40.5">
      <c r="A10757" s="402">
        <v>87783</v>
      </c>
      <c r="B10757" s="403" t="s">
        <v>1434</v>
      </c>
      <c r="C10757" s="402" t="s">
        <v>48</v>
      </c>
      <c r="D10757" s="601">
        <v>73.87</v>
      </c>
    </row>
    <row r="10758" spans="1:4" ht="40.5">
      <c r="A10758" s="402">
        <v>87784</v>
      </c>
      <c r="B10758" s="403" t="s">
        <v>1435</v>
      </c>
      <c r="C10758" s="402" t="s">
        <v>48</v>
      </c>
      <c r="D10758" s="601">
        <v>49.77</v>
      </c>
    </row>
    <row r="10759" spans="1:4" ht="40.5">
      <c r="A10759" s="402">
        <v>87786</v>
      </c>
      <c r="B10759" s="403" t="s">
        <v>1436</v>
      </c>
      <c r="C10759" s="402" t="s">
        <v>48</v>
      </c>
      <c r="D10759" s="601">
        <v>54.75</v>
      </c>
    </row>
    <row r="10760" spans="1:4" ht="40.5">
      <c r="A10760" s="402">
        <v>87787</v>
      </c>
      <c r="B10760" s="403" t="s">
        <v>1437</v>
      </c>
      <c r="C10760" s="402" t="s">
        <v>48</v>
      </c>
      <c r="D10760" s="601">
        <v>88.78</v>
      </c>
    </row>
    <row r="10761" spans="1:4" ht="40.5">
      <c r="A10761" s="402">
        <v>87788</v>
      </c>
      <c r="B10761" s="403" t="s">
        <v>1438</v>
      </c>
      <c r="C10761" s="402" t="s">
        <v>48</v>
      </c>
      <c r="D10761" s="601">
        <v>64.09</v>
      </c>
    </row>
    <row r="10762" spans="1:4" ht="40.5">
      <c r="A10762" s="402">
        <v>87790</v>
      </c>
      <c r="B10762" s="403" t="s">
        <v>1439</v>
      </c>
      <c r="C10762" s="402" t="s">
        <v>48</v>
      </c>
      <c r="D10762" s="601">
        <v>69.58</v>
      </c>
    </row>
    <row r="10763" spans="1:4" ht="54">
      <c r="A10763" s="402">
        <v>87791</v>
      </c>
      <c r="B10763" s="403" t="s">
        <v>1440</v>
      </c>
      <c r="C10763" s="402" t="s">
        <v>48</v>
      </c>
      <c r="D10763" s="601">
        <v>104.55</v>
      </c>
    </row>
    <row r="10764" spans="1:4" ht="40.5">
      <c r="A10764" s="402">
        <v>87792</v>
      </c>
      <c r="B10764" s="403" t="s">
        <v>1441</v>
      </c>
      <c r="C10764" s="402" t="s">
        <v>48</v>
      </c>
      <c r="D10764" s="601">
        <v>24.75</v>
      </c>
    </row>
    <row r="10765" spans="1:4" ht="40.5">
      <c r="A10765" s="402">
        <v>87794</v>
      </c>
      <c r="B10765" s="403" t="s">
        <v>1442</v>
      </c>
      <c r="C10765" s="402" t="s">
        <v>48</v>
      </c>
      <c r="D10765" s="601">
        <v>27.52</v>
      </c>
    </row>
    <row r="10766" spans="1:4" ht="54">
      <c r="A10766" s="402">
        <v>87795</v>
      </c>
      <c r="B10766" s="403" t="s">
        <v>1443</v>
      </c>
      <c r="C10766" s="402" t="s">
        <v>48</v>
      </c>
      <c r="D10766" s="601">
        <v>44.54</v>
      </c>
    </row>
    <row r="10767" spans="1:4" ht="40.5">
      <c r="A10767" s="402">
        <v>87797</v>
      </c>
      <c r="B10767" s="403" t="s">
        <v>1444</v>
      </c>
      <c r="C10767" s="402" t="s">
        <v>48</v>
      </c>
      <c r="D10767" s="601">
        <v>30.69</v>
      </c>
    </row>
    <row r="10768" spans="1:4" ht="40.5">
      <c r="A10768" s="402">
        <v>87799</v>
      </c>
      <c r="B10768" s="403" t="s">
        <v>1445</v>
      </c>
      <c r="C10768" s="402" t="s">
        <v>48</v>
      </c>
      <c r="D10768" s="601">
        <v>34.4</v>
      </c>
    </row>
    <row r="10769" spans="1:7" ht="54">
      <c r="A10769" s="402">
        <v>87800</v>
      </c>
      <c r="B10769" s="403" t="s">
        <v>1446</v>
      </c>
      <c r="C10769" s="402" t="s">
        <v>48</v>
      </c>
      <c r="D10769" s="601">
        <v>58.66</v>
      </c>
    </row>
    <row r="10770" spans="1:7" ht="40.5">
      <c r="A10770" s="402">
        <v>87801</v>
      </c>
      <c r="B10770" s="403" t="s">
        <v>1447</v>
      </c>
      <c r="C10770" s="402" t="s">
        <v>48</v>
      </c>
      <c r="D10770" s="601">
        <v>36.630000000000003</v>
      </c>
    </row>
    <row r="10771" spans="1:7" ht="40.5">
      <c r="A10771" s="402">
        <v>87803</v>
      </c>
      <c r="B10771" s="403" t="s">
        <v>1448</v>
      </c>
      <c r="C10771" s="402" t="s">
        <v>48</v>
      </c>
      <c r="D10771" s="601">
        <v>41.28</v>
      </c>
    </row>
    <row r="10772" spans="1:7" ht="54">
      <c r="A10772" s="402">
        <v>87804</v>
      </c>
      <c r="B10772" s="403" t="s">
        <v>1449</v>
      </c>
      <c r="C10772" s="402" t="s">
        <v>48</v>
      </c>
      <c r="D10772" s="601">
        <v>72.78</v>
      </c>
    </row>
    <row r="10773" spans="1:7" ht="40.5">
      <c r="A10773" s="402">
        <v>87805</v>
      </c>
      <c r="B10773" s="403" t="s">
        <v>1450</v>
      </c>
      <c r="C10773" s="402" t="s">
        <v>48</v>
      </c>
      <c r="D10773" s="601">
        <v>42.17</v>
      </c>
    </row>
    <row r="10774" spans="1:7" ht="40.5">
      <c r="A10774" s="402">
        <v>87807</v>
      </c>
      <c r="B10774" s="403" t="s">
        <v>1451</v>
      </c>
      <c r="C10774" s="402" t="s">
        <v>48</v>
      </c>
      <c r="D10774" s="601">
        <v>47.3</v>
      </c>
    </row>
    <row r="10775" spans="1:7" ht="54">
      <c r="A10775" s="402">
        <v>87808</v>
      </c>
      <c r="B10775" s="403" t="s">
        <v>1452</v>
      </c>
      <c r="C10775" s="402" t="s">
        <v>48</v>
      </c>
      <c r="D10775" s="601">
        <v>79.52</v>
      </c>
      <c r="E10775" s="663"/>
      <c r="F10775" s="663"/>
      <c r="G10775" s="663"/>
    </row>
    <row r="10776" spans="1:7" ht="54">
      <c r="A10776" s="402">
        <v>87809</v>
      </c>
      <c r="B10776" s="403" t="s">
        <v>1453</v>
      </c>
      <c r="C10776" s="402" t="s">
        <v>48</v>
      </c>
      <c r="D10776" s="601">
        <v>59.65</v>
      </c>
    </row>
    <row r="10777" spans="1:7" ht="40.5">
      <c r="A10777" s="402">
        <v>87811</v>
      </c>
      <c r="B10777" s="403" t="s">
        <v>1454</v>
      </c>
      <c r="C10777" s="402" t="s">
        <v>48</v>
      </c>
      <c r="D10777" s="601">
        <v>62.42</v>
      </c>
    </row>
    <row r="10778" spans="1:7" ht="40.5">
      <c r="A10778" s="402">
        <v>87812</v>
      </c>
      <c r="B10778" s="403" t="s">
        <v>1455</v>
      </c>
      <c r="C10778" s="402" t="s">
        <v>48</v>
      </c>
      <c r="D10778" s="601">
        <v>79.13</v>
      </c>
    </row>
    <row r="10779" spans="1:7" ht="54">
      <c r="A10779" s="402">
        <v>87813</v>
      </c>
      <c r="B10779" s="403" t="s">
        <v>1456</v>
      </c>
      <c r="C10779" s="402" t="s">
        <v>48</v>
      </c>
      <c r="D10779" s="601">
        <v>65.59</v>
      </c>
    </row>
    <row r="10780" spans="1:7" ht="40.5">
      <c r="A10780" s="402">
        <v>87815</v>
      </c>
      <c r="B10780" s="403" t="s">
        <v>1457</v>
      </c>
      <c r="C10780" s="402" t="s">
        <v>48</v>
      </c>
      <c r="D10780" s="601">
        <v>69.3</v>
      </c>
    </row>
    <row r="10781" spans="1:7" ht="40.5">
      <c r="A10781" s="402">
        <v>87816</v>
      </c>
      <c r="B10781" s="403" t="s">
        <v>1458</v>
      </c>
      <c r="C10781" s="402" t="s">
        <v>48</v>
      </c>
      <c r="D10781" s="601">
        <v>93.25</v>
      </c>
    </row>
    <row r="10782" spans="1:7" ht="54">
      <c r="A10782" s="402">
        <v>87817</v>
      </c>
      <c r="B10782" s="403" t="s">
        <v>1459</v>
      </c>
      <c r="C10782" s="402" t="s">
        <v>48</v>
      </c>
      <c r="D10782" s="601">
        <v>71.209999999999994</v>
      </c>
    </row>
    <row r="10783" spans="1:7" ht="40.5">
      <c r="A10783" s="402">
        <v>87819</v>
      </c>
      <c r="B10783" s="403" t="s">
        <v>1460</v>
      </c>
      <c r="C10783" s="402" t="s">
        <v>48</v>
      </c>
      <c r="D10783" s="601">
        <v>75.86</v>
      </c>
    </row>
    <row r="10784" spans="1:7" ht="40.5">
      <c r="A10784" s="402">
        <v>87820</v>
      </c>
      <c r="B10784" s="403" t="s">
        <v>1461</v>
      </c>
      <c r="C10784" s="402" t="s">
        <v>48</v>
      </c>
      <c r="D10784" s="601">
        <v>107.37</v>
      </c>
    </row>
    <row r="10785" spans="1:4" ht="54">
      <c r="A10785" s="402">
        <v>87821</v>
      </c>
      <c r="B10785" s="403" t="s">
        <v>1462</v>
      </c>
      <c r="C10785" s="402" t="s">
        <v>48</v>
      </c>
      <c r="D10785" s="601">
        <v>102.77</v>
      </c>
    </row>
    <row r="10786" spans="1:4" ht="40.5">
      <c r="A10786" s="402">
        <v>87823</v>
      </c>
      <c r="B10786" s="403" t="s">
        <v>1463</v>
      </c>
      <c r="C10786" s="402" t="s">
        <v>48</v>
      </c>
      <c r="D10786" s="601">
        <v>107.9</v>
      </c>
    </row>
    <row r="10787" spans="1:4" ht="54">
      <c r="A10787" s="402">
        <v>87824</v>
      </c>
      <c r="B10787" s="403" t="s">
        <v>1464</v>
      </c>
      <c r="C10787" s="402" t="s">
        <v>48</v>
      </c>
      <c r="D10787" s="601">
        <v>139.80000000000001</v>
      </c>
    </row>
    <row r="10788" spans="1:4" ht="54">
      <c r="A10788" s="402">
        <v>87825</v>
      </c>
      <c r="B10788" s="403" t="s">
        <v>1465</v>
      </c>
      <c r="C10788" s="402" t="s">
        <v>48</v>
      </c>
      <c r="D10788" s="601">
        <v>47.1</v>
      </c>
    </row>
    <row r="10789" spans="1:4" ht="40.5">
      <c r="A10789" s="402">
        <v>87827</v>
      </c>
      <c r="B10789" s="403" t="s">
        <v>1466</v>
      </c>
      <c r="C10789" s="402" t="s">
        <v>48</v>
      </c>
      <c r="D10789" s="601">
        <v>50.48</v>
      </c>
    </row>
    <row r="10790" spans="1:4" ht="40.5">
      <c r="A10790" s="402">
        <v>87828</v>
      </c>
      <c r="B10790" s="403" t="s">
        <v>1467</v>
      </c>
      <c r="C10790" s="402" t="s">
        <v>48</v>
      </c>
      <c r="D10790" s="601">
        <v>72.290000000000006</v>
      </c>
    </row>
    <row r="10791" spans="1:4" ht="54">
      <c r="A10791" s="402">
        <v>87829</v>
      </c>
      <c r="B10791" s="403" t="s">
        <v>1468</v>
      </c>
      <c r="C10791" s="402" t="s">
        <v>48</v>
      </c>
      <c r="D10791" s="601">
        <v>53.77</v>
      </c>
    </row>
    <row r="10792" spans="1:4" ht="40.5">
      <c r="A10792" s="402">
        <v>87831</v>
      </c>
      <c r="B10792" s="403" t="s">
        <v>1469</v>
      </c>
      <c r="C10792" s="402" t="s">
        <v>48</v>
      </c>
      <c r="D10792" s="601">
        <v>58.31</v>
      </c>
    </row>
    <row r="10793" spans="1:4" ht="54">
      <c r="A10793" s="402">
        <v>87832</v>
      </c>
      <c r="B10793" s="403" t="s">
        <v>1470</v>
      </c>
      <c r="C10793" s="402" t="s">
        <v>48</v>
      </c>
      <c r="D10793" s="601">
        <v>88.95</v>
      </c>
    </row>
    <row r="10794" spans="1:4" ht="40.5">
      <c r="A10794" s="402">
        <v>87834</v>
      </c>
      <c r="B10794" s="403" t="s">
        <v>1471</v>
      </c>
      <c r="C10794" s="402" t="s">
        <v>48</v>
      </c>
      <c r="D10794" s="601">
        <v>157.83000000000001</v>
      </c>
    </row>
    <row r="10795" spans="1:4" ht="40.5">
      <c r="A10795" s="402">
        <v>87835</v>
      </c>
      <c r="B10795" s="403" t="s">
        <v>1472</v>
      </c>
      <c r="C10795" s="402" t="s">
        <v>48</v>
      </c>
      <c r="D10795" s="601">
        <v>107.99</v>
      </c>
    </row>
    <row r="10796" spans="1:4" ht="40.5">
      <c r="A10796" s="402">
        <v>87836</v>
      </c>
      <c r="B10796" s="403" t="s">
        <v>1473</v>
      </c>
      <c r="C10796" s="402" t="s">
        <v>48</v>
      </c>
      <c r="D10796" s="601">
        <v>151.94</v>
      </c>
    </row>
    <row r="10797" spans="1:4" ht="40.5">
      <c r="A10797" s="402">
        <v>87837</v>
      </c>
      <c r="B10797" s="403" t="s">
        <v>1474</v>
      </c>
      <c r="C10797" s="402" t="s">
        <v>48</v>
      </c>
      <c r="D10797" s="601">
        <v>102.86</v>
      </c>
    </row>
    <row r="10798" spans="1:4" ht="40.5">
      <c r="A10798" s="402">
        <v>87838</v>
      </c>
      <c r="B10798" s="403" t="s">
        <v>1475</v>
      </c>
      <c r="C10798" s="402" t="s">
        <v>48</v>
      </c>
      <c r="D10798" s="601">
        <v>164.05</v>
      </c>
    </row>
    <row r="10799" spans="1:4" ht="40.5">
      <c r="A10799" s="402">
        <v>87839</v>
      </c>
      <c r="B10799" s="403" t="s">
        <v>1476</v>
      </c>
      <c r="C10799" s="402" t="s">
        <v>48</v>
      </c>
      <c r="D10799" s="601">
        <v>112.1</v>
      </c>
    </row>
    <row r="10800" spans="1:4" ht="40.5">
      <c r="A10800" s="402">
        <v>87840</v>
      </c>
      <c r="B10800" s="403" t="s">
        <v>1477</v>
      </c>
      <c r="C10800" s="402" t="s">
        <v>48</v>
      </c>
      <c r="D10800" s="601">
        <v>156.84</v>
      </c>
    </row>
    <row r="10801" spans="1:4" ht="40.5">
      <c r="A10801" s="402">
        <v>87841</v>
      </c>
      <c r="B10801" s="403" t="s">
        <v>1478</v>
      </c>
      <c r="C10801" s="402" t="s">
        <v>48</v>
      </c>
      <c r="D10801" s="601">
        <v>105.64</v>
      </c>
    </row>
    <row r="10802" spans="1:4" ht="40.5">
      <c r="A10802" s="402">
        <v>87842</v>
      </c>
      <c r="B10802" s="403" t="s">
        <v>1479</v>
      </c>
      <c r="C10802" s="402" t="s">
        <v>48</v>
      </c>
      <c r="D10802" s="601">
        <v>161.13999999999999</v>
      </c>
    </row>
    <row r="10803" spans="1:4" ht="40.5">
      <c r="A10803" s="402">
        <v>87843</v>
      </c>
      <c r="B10803" s="403" t="s">
        <v>1480</v>
      </c>
      <c r="C10803" s="402" t="s">
        <v>48</v>
      </c>
      <c r="D10803" s="601">
        <v>118.05</v>
      </c>
    </row>
    <row r="10804" spans="1:4" ht="40.5">
      <c r="A10804" s="402">
        <v>87844</v>
      </c>
      <c r="B10804" s="403" t="s">
        <v>1481</v>
      </c>
      <c r="C10804" s="402" t="s">
        <v>48</v>
      </c>
      <c r="D10804" s="601">
        <v>150.44</v>
      </c>
    </row>
    <row r="10805" spans="1:4" ht="40.5">
      <c r="A10805" s="402">
        <v>87845</v>
      </c>
      <c r="B10805" s="403" t="s">
        <v>1482</v>
      </c>
      <c r="C10805" s="402" t="s">
        <v>48</v>
      </c>
      <c r="D10805" s="601">
        <v>108.12</v>
      </c>
    </row>
    <row r="10806" spans="1:4" ht="40.5">
      <c r="A10806" s="402">
        <v>87846</v>
      </c>
      <c r="B10806" s="403" t="s">
        <v>1483</v>
      </c>
      <c r="C10806" s="402" t="s">
        <v>48</v>
      </c>
      <c r="D10806" s="601">
        <v>170.51</v>
      </c>
    </row>
    <row r="10807" spans="1:4" ht="40.5">
      <c r="A10807" s="402">
        <v>87847</v>
      </c>
      <c r="B10807" s="403" t="s">
        <v>1484</v>
      </c>
      <c r="C10807" s="402" t="s">
        <v>48</v>
      </c>
      <c r="D10807" s="601">
        <v>120.65</v>
      </c>
    </row>
    <row r="10808" spans="1:4" ht="40.5">
      <c r="A10808" s="402">
        <v>87848</v>
      </c>
      <c r="B10808" s="403" t="s">
        <v>1485</v>
      </c>
      <c r="C10808" s="402" t="s">
        <v>48</v>
      </c>
      <c r="D10808" s="601">
        <v>163.65</v>
      </c>
    </row>
    <row r="10809" spans="1:4" ht="40.5">
      <c r="A10809" s="402">
        <v>87849</v>
      </c>
      <c r="B10809" s="403" t="s">
        <v>1486</v>
      </c>
      <c r="C10809" s="402" t="s">
        <v>48</v>
      </c>
      <c r="D10809" s="601">
        <v>114.57</v>
      </c>
    </row>
    <row r="10810" spans="1:4" ht="40.5">
      <c r="A10810" s="402">
        <v>87850</v>
      </c>
      <c r="B10810" s="403" t="s">
        <v>1487</v>
      </c>
      <c r="C10810" s="402" t="s">
        <v>48</v>
      </c>
      <c r="D10810" s="601">
        <v>176.74</v>
      </c>
    </row>
    <row r="10811" spans="1:4" ht="40.5">
      <c r="A10811" s="402">
        <v>87851</v>
      </c>
      <c r="B10811" s="403" t="s">
        <v>1488</v>
      </c>
      <c r="C10811" s="402" t="s">
        <v>48</v>
      </c>
      <c r="D10811" s="601">
        <v>124.78</v>
      </c>
    </row>
    <row r="10812" spans="1:4" ht="40.5">
      <c r="A10812" s="402">
        <v>87852</v>
      </c>
      <c r="B10812" s="403" t="s">
        <v>1489</v>
      </c>
      <c r="C10812" s="402" t="s">
        <v>48</v>
      </c>
      <c r="D10812" s="601">
        <v>168.53</v>
      </c>
    </row>
    <row r="10813" spans="1:4" ht="40.5">
      <c r="A10813" s="402">
        <v>87853</v>
      </c>
      <c r="B10813" s="403" t="s">
        <v>1490</v>
      </c>
      <c r="C10813" s="402" t="s">
        <v>48</v>
      </c>
      <c r="D10813" s="601">
        <v>117.33</v>
      </c>
    </row>
    <row r="10814" spans="1:4" ht="40.5">
      <c r="A10814" s="402">
        <v>87854</v>
      </c>
      <c r="B10814" s="403" t="s">
        <v>1491</v>
      </c>
      <c r="C10814" s="402" t="s">
        <v>48</v>
      </c>
      <c r="D10814" s="601">
        <v>173.82</v>
      </c>
    </row>
    <row r="10815" spans="1:4" ht="40.5">
      <c r="A10815" s="402">
        <v>87855</v>
      </c>
      <c r="B10815" s="403" t="s">
        <v>1492</v>
      </c>
      <c r="C10815" s="402" t="s">
        <v>48</v>
      </c>
      <c r="D10815" s="601">
        <v>130.74</v>
      </c>
    </row>
    <row r="10816" spans="1:4" ht="40.5">
      <c r="A10816" s="402">
        <v>87856</v>
      </c>
      <c r="B10816" s="403" t="s">
        <v>1493</v>
      </c>
      <c r="C10816" s="402" t="s">
        <v>48</v>
      </c>
      <c r="D10816" s="601">
        <v>162.15</v>
      </c>
    </row>
    <row r="10817" spans="1:4" ht="40.5">
      <c r="A10817" s="402">
        <v>87857</v>
      </c>
      <c r="B10817" s="403" t="s">
        <v>1494</v>
      </c>
      <c r="C10817" s="402" t="s">
        <v>48</v>
      </c>
      <c r="D10817" s="601">
        <v>119.82</v>
      </c>
    </row>
    <row r="10818" spans="1:4" ht="27">
      <c r="A10818" s="402">
        <v>87858</v>
      </c>
      <c r="B10818" s="403" t="s">
        <v>1495</v>
      </c>
      <c r="C10818" s="402" t="s">
        <v>48</v>
      </c>
      <c r="D10818" s="601">
        <v>114.67</v>
      </c>
    </row>
    <row r="10819" spans="1:4" ht="27">
      <c r="A10819" s="402">
        <v>87859</v>
      </c>
      <c r="B10819" s="403" t="s">
        <v>1496</v>
      </c>
      <c r="C10819" s="402" t="s">
        <v>48</v>
      </c>
      <c r="D10819" s="601">
        <v>131.51</v>
      </c>
    </row>
    <row r="10820" spans="1:4" ht="54">
      <c r="A10820" s="402">
        <v>89048</v>
      </c>
      <c r="B10820" s="403" t="s">
        <v>1631</v>
      </c>
      <c r="C10820" s="402" t="s">
        <v>48</v>
      </c>
      <c r="D10820" s="601">
        <v>23.99</v>
      </c>
    </row>
    <row r="10821" spans="1:4" ht="40.5">
      <c r="A10821" s="402">
        <v>89049</v>
      </c>
      <c r="B10821" s="403" t="s">
        <v>1632</v>
      </c>
      <c r="C10821" s="402" t="s">
        <v>48</v>
      </c>
      <c r="D10821" s="601">
        <v>16.12</v>
      </c>
    </row>
    <row r="10822" spans="1:4" ht="54">
      <c r="A10822" s="402">
        <v>89173</v>
      </c>
      <c r="B10822" s="403" t="s">
        <v>1641</v>
      </c>
      <c r="C10822" s="402" t="s">
        <v>48</v>
      </c>
      <c r="D10822" s="601">
        <v>23.58</v>
      </c>
    </row>
    <row r="10823" spans="1:4" ht="40.5">
      <c r="A10823" s="402">
        <v>90406</v>
      </c>
      <c r="B10823" s="403" t="s">
        <v>2174</v>
      </c>
      <c r="C10823" s="402" t="s">
        <v>48</v>
      </c>
      <c r="D10823" s="601">
        <v>30.84</v>
      </c>
    </row>
    <row r="10824" spans="1:4" ht="40.5">
      <c r="A10824" s="402">
        <v>90407</v>
      </c>
      <c r="B10824" s="403" t="s">
        <v>2175</v>
      </c>
      <c r="C10824" s="402" t="s">
        <v>48</v>
      </c>
      <c r="D10824" s="601">
        <v>34.39</v>
      </c>
    </row>
    <row r="10825" spans="1:4" ht="40.5">
      <c r="A10825" s="402">
        <v>90408</v>
      </c>
      <c r="B10825" s="403" t="s">
        <v>2176</v>
      </c>
      <c r="C10825" s="402" t="s">
        <v>48</v>
      </c>
      <c r="D10825" s="601">
        <v>22.38</v>
      </c>
    </row>
    <row r="10826" spans="1:4" ht="40.5">
      <c r="A10826" s="402">
        <v>90409</v>
      </c>
      <c r="B10826" s="403" t="s">
        <v>2177</v>
      </c>
      <c r="C10826" s="402" t="s">
        <v>48</v>
      </c>
      <c r="D10826" s="601">
        <v>24.39</v>
      </c>
    </row>
    <row r="10827" spans="1:4" ht="40.5">
      <c r="A10827" s="402">
        <v>87242</v>
      </c>
      <c r="B10827" s="403" t="s">
        <v>209</v>
      </c>
      <c r="C10827" s="402" t="s">
        <v>48</v>
      </c>
      <c r="D10827" s="601">
        <v>196.82</v>
      </c>
    </row>
    <row r="10828" spans="1:4" ht="40.5">
      <c r="A10828" s="402">
        <v>87243</v>
      </c>
      <c r="B10828" s="403" t="s">
        <v>210</v>
      </c>
      <c r="C10828" s="402" t="s">
        <v>48</v>
      </c>
      <c r="D10828" s="601">
        <v>181.63</v>
      </c>
    </row>
    <row r="10829" spans="1:4" ht="40.5">
      <c r="A10829" s="402">
        <v>87244</v>
      </c>
      <c r="B10829" s="403" t="s">
        <v>1230</v>
      </c>
      <c r="C10829" s="402" t="s">
        <v>48</v>
      </c>
      <c r="D10829" s="601">
        <v>190.41</v>
      </c>
    </row>
    <row r="10830" spans="1:4" ht="40.5">
      <c r="A10830" s="402">
        <v>87245</v>
      </c>
      <c r="B10830" s="403" t="s">
        <v>1231</v>
      </c>
      <c r="C10830" s="402" t="s">
        <v>48</v>
      </c>
      <c r="D10830" s="601">
        <v>227.75</v>
      </c>
    </row>
    <row r="10831" spans="1:4" ht="40.5">
      <c r="A10831" s="402">
        <v>87264</v>
      </c>
      <c r="B10831" s="403" t="s">
        <v>1247</v>
      </c>
      <c r="C10831" s="402" t="s">
        <v>48</v>
      </c>
      <c r="D10831" s="601">
        <v>42.06</v>
      </c>
    </row>
    <row r="10832" spans="1:4" ht="40.5">
      <c r="A10832" s="402">
        <v>87265</v>
      </c>
      <c r="B10832" s="403" t="s">
        <v>1248</v>
      </c>
      <c r="C10832" s="402" t="s">
        <v>48</v>
      </c>
      <c r="D10832" s="601">
        <v>36.5</v>
      </c>
    </row>
    <row r="10833" spans="1:4" ht="40.5">
      <c r="A10833" s="402">
        <v>87266</v>
      </c>
      <c r="B10833" s="403" t="s">
        <v>1249</v>
      </c>
      <c r="C10833" s="402" t="s">
        <v>48</v>
      </c>
      <c r="D10833" s="601">
        <v>44.04</v>
      </c>
    </row>
    <row r="10834" spans="1:4" ht="40.5">
      <c r="A10834" s="402">
        <v>87267</v>
      </c>
      <c r="B10834" s="403" t="s">
        <v>1250</v>
      </c>
      <c r="C10834" s="402" t="s">
        <v>48</v>
      </c>
      <c r="D10834" s="601">
        <v>41.55</v>
      </c>
    </row>
    <row r="10835" spans="1:4" ht="40.5">
      <c r="A10835" s="402">
        <v>87268</v>
      </c>
      <c r="B10835" s="403" t="s">
        <v>1251</v>
      </c>
      <c r="C10835" s="402" t="s">
        <v>48</v>
      </c>
      <c r="D10835" s="601">
        <v>45.22</v>
      </c>
    </row>
    <row r="10836" spans="1:4" ht="40.5">
      <c r="A10836" s="402">
        <v>87269</v>
      </c>
      <c r="B10836" s="403" t="s">
        <v>1252</v>
      </c>
      <c r="C10836" s="402" t="s">
        <v>48</v>
      </c>
      <c r="D10836" s="601">
        <v>39.17</v>
      </c>
    </row>
    <row r="10837" spans="1:4" ht="40.5">
      <c r="A10837" s="402">
        <v>87270</v>
      </c>
      <c r="B10837" s="403" t="s">
        <v>1253</v>
      </c>
      <c r="C10837" s="402" t="s">
        <v>48</v>
      </c>
      <c r="D10837" s="601">
        <v>46.89</v>
      </c>
    </row>
    <row r="10838" spans="1:4" ht="40.5">
      <c r="A10838" s="402">
        <v>87271</v>
      </c>
      <c r="B10838" s="403" t="s">
        <v>1254</v>
      </c>
      <c r="C10838" s="402" t="s">
        <v>48</v>
      </c>
      <c r="D10838" s="601">
        <v>44.04</v>
      </c>
    </row>
    <row r="10839" spans="1:4" ht="40.5">
      <c r="A10839" s="402">
        <v>87272</v>
      </c>
      <c r="B10839" s="403" t="s">
        <v>1255</v>
      </c>
      <c r="C10839" s="402" t="s">
        <v>48</v>
      </c>
      <c r="D10839" s="601">
        <v>48.46</v>
      </c>
    </row>
    <row r="10840" spans="1:4" ht="40.5">
      <c r="A10840" s="402">
        <v>87273</v>
      </c>
      <c r="B10840" s="403" t="s">
        <v>1256</v>
      </c>
      <c r="C10840" s="402" t="s">
        <v>48</v>
      </c>
      <c r="D10840" s="601">
        <v>41.07</v>
      </c>
    </row>
    <row r="10841" spans="1:4" ht="40.5">
      <c r="A10841" s="402">
        <v>87274</v>
      </c>
      <c r="B10841" s="403" t="s">
        <v>1257</v>
      </c>
      <c r="C10841" s="402" t="s">
        <v>48</v>
      </c>
      <c r="D10841" s="601">
        <v>49.64</v>
      </c>
    </row>
    <row r="10842" spans="1:4" ht="40.5">
      <c r="A10842" s="402">
        <v>87275</v>
      </c>
      <c r="B10842" s="403" t="s">
        <v>1258</v>
      </c>
      <c r="C10842" s="402" t="s">
        <v>48</v>
      </c>
      <c r="D10842" s="601">
        <v>47.12</v>
      </c>
    </row>
    <row r="10843" spans="1:4" ht="40.5">
      <c r="A10843" s="402">
        <v>88786</v>
      </c>
      <c r="B10843" s="403" t="s">
        <v>1571</v>
      </c>
      <c r="C10843" s="402" t="s">
        <v>48</v>
      </c>
      <c r="D10843" s="601">
        <v>220.07</v>
      </c>
    </row>
    <row r="10844" spans="1:4" ht="40.5">
      <c r="A10844" s="402">
        <v>88787</v>
      </c>
      <c r="B10844" s="403" t="s">
        <v>1572</v>
      </c>
      <c r="C10844" s="402" t="s">
        <v>48</v>
      </c>
      <c r="D10844" s="601">
        <v>203.86</v>
      </c>
    </row>
    <row r="10845" spans="1:4" ht="40.5">
      <c r="A10845" s="402">
        <v>88788</v>
      </c>
      <c r="B10845" s="403" t="s">
        <v>1573</v>
      </c>
      <c r="C10845" s="402" t="s">
        <v>48</v>
      </c>
      <c r="D10845" s="601">
        <v>212.64</v>
      </c>
    </row>
    <row r="10846" spans="1:4" ht="40.5">
      <c r="A10846" s="402">
        <v>88789</v>
      </c>
      <c r="B10846" s="403" t="s">
        <v>1574</v>
      </c>
      <c r="C10846" s="402" t="s">
        <v>48</v>
      </c>
      <c r="D10846" s="601">
        <v>253.48</v>
      </c>
    </row>
    <row r="10847" spans="1:4" ht="54">
      <c r="A10847" s="402">
        <v>89045</v>
      </c>
      <c r="B10847" s="403" t="s">
        <v>1629</v>
      </c>
      <c r="C10847" s="402" t="s">
        <v>48</v>
      </c>
      <c r="D10847" s="601">
        <v>41.92</v>
      </c>
    </row>
    <row r="10848" spans="1:4" ht="54">
      <c r="A10848" s="402">
        <v>89170</v>
      </c>
      <c r="B10848" s="403" t="s">
        <v>1639</v>
      </c>
      <c r="C10848" s="402" t="s">
        <v>48</v>
      </c>
      <c r="D10848" s="601">
        <v>40.51</v>
      </c>
    </row>
    <row r="10849" spans="1:4" ht="40.5">
      <c r="A10849" s="402">
        <v>93392</v>
      </c>
      <c r="B10849" s="403" t="s">
        <v>5742</v>
      </c>
      <c r="C10849" s="402" t="s">
        <v>48</v>
      </c>
      <c r="D10849" s="601">
        <v>34.28</v>
      </c>
    </row>
    <row r="10850" spans="1:4" ht="40.5">
      <c r="A10850" s="402">
        <v>93393</v>
      </c>
      <c r="B10850" s="403" t="s">
        <v>5743</v>
      </c>
      <c r="C10850" s="402" t="s">
        <v>48</v>
      </c>
      <c r="D10850" s="601">
        <v>28.79</v>
      </c>
    </row>
    <row r="10851" spans="1:4" ht="40.5">
      <c r="A10851" s="402">
        <v>93394</v>
      </c>
      <c r="B10851" s="403" t="s">
        <v>5744</v>
      </c>
      <c r="C10851" s="402" t="s">
        <v>48</v>
      </c>
      <c r="D10851" s="601">
        <v>36.26</v>
      </c>
    </row>
    <row r="10852" spans="1:4" ht="40.5">
      <c r="A10852" s="402">
        <v>93395</v>
      </c>
      <c r="B10852" s="403" t="s">
        <v>5745</v>
      </c>
      <c r="C10852" s="402" t="s">
        <v>48</v>
      </c>
      <c r="D10852" s="601">
        <v>33.770000000000003</v>
      </c>
    </row>
    <row r="10853" spans="1:4" ht="40.5">
      <c r="A10853" s="402">
        <v>99194</v>
      </c>
      <c r="B10853" s="403" t="s">
        <v>5746</v>
      </c>
      <c r="C10853" s="402" t="s">
        <v>48</v>
      </c>
      <c r="D10853" s="601">
        <v>40.75</v>
      </c>
    </row>
    <row r="10854" spans="1:4" ht="40.5">
      <c r="A10854" s="402">
        <v>99195</v>
      </c>
      <c r="B10854" s="403" t="s">
        <v>5747</v>
      </c>
      <c r="C10854" s="402" t="s">
        <v>48</v>
      </c>
      <c r="D10854" s="601">
        <v>35.26</v>
      </c>
    </row>
    <row r="10855" spans="1:4" ht="40.5">
      <c r="A10855" s="402">
        <v>99196</v>
      </c>
      <c r="B10855" s="403" t="s">
        <v>5748</v>
      </c>
      <c r="C10855" s="402" t="s">
        <v>48</v>
      </c>
      <c r="D10855" s="601">
        <v>42.73</v>
      </c>
    </row>
    <row r="10856" spans="1:4" ht="40.5">
      <c r="A10856" s="402">
        <v>99198</v>
      </c>
      <c r="B10856" s="403" t="s">
        <v>5749</v>
      </c>
      <c r="C10856" s="402" t="s">
        <v>48</v>
      </c>
      <c r="D10856" s="601">
        <v>40.24</v>
      </c>
    </row>
    <row r="10857" spans="1:4" ht="27">
      <c r="A10857" s="402">
        <v>84088</v>
      </c>
      <c r="B10857" s="403" t="s">
        <v>1220</v>
      </c>
      <c r="C10857" s="402" t="s">
        <v>17</v>
      </c>
      <c r="D10857" s="601">
        <v>92.28</v>
      </c>
    </row>
    <row r="10858" spans="1:4" ht="27">
      <c r="A10858" s="402">
        <v>84089</v>
      </c>
      <c r="B10858" s="403" t="s">
        <v>1221</v>
      </c>
      <c r="C10858" s="402" t="s">
        <v>17</v>
      </c>
      <c r="D10858" s="601">
        <v>129.99</v>
      </c>
    </row>
    <row r="10859" spans="1:4" ht="13.5">
      <c r="A10859" s="402">
        <v>40675</v>
      </c>
      <c r="B10859" s="403" t="s">
        <v>98</v>
      </c>
      <c r="C10859" s="402" t="s">
        <v>17</v>
      </c>
      <c r="D10859" s="601">
        <v>3.78</v>
      </c>
    </row>
    <row r="10860" spans="1:4" ht="27">
      <c r="A10860" s="402">
        <v>96112</v>
      </c>
      <c r="B10860" s="403" t="s">
        <v>3916</v>
      </c>
      <c r="C10860" s="402" t="s">
        <v>48</v>
      </c>
      <c r="D10860" s="601">
        <v>84.71</v>
      </c>
    </row>
    <row r="10861" spans="1:4" ht="27">
      <c r="A10861" s="402">
        <v>96117</v>
      </c>
      <c r="B10861" s="403" t="s">
        <v>3920</v>
      </c>
      <c r="C10861" s="402" t="s">
        <v>48</v>
      </c>
      <c r="D10861" s="601">
        <v>95.72</v>
      </c>
    </row>
    <row r="10862" spans="1:4" ht="13.5">
      <c r="A10862" s="402">
        <v>96122</v>
      </c>
      <c r="B10862" s="403" t="s">
        <v>3923</v>
      </c>
      <c r="C10862" s="402" t="s">
        <v>17</v>
      </c>
      <c r="D10862" s="601">
        <v>21.4</v>
      </c>
    </row>
    <row r="10863" spans="1:4" ht="13.5">
      <c r="A10863" s="402">
        <v>96109</v>
      </c>
      <c r="B10863" s="403" t="s">
        <v>3913</v>
      </c>
      <c r="C10863" s="402" t="s">
        <v>48</v>
      </c>
      <c r="D10863" s="601">
        <v>35.17</v>
      </c>
    </row>
    <row r="10864" spans="1:4" ht="27">
      <c r="A10864" s="402">
        <v>96110</v>
      </c>
      <c r="B10864" s="403" t="s">
        <v>3914</v>
      </c>
      <c r="C10864" s="402" t="s">
        <v>48</v>
      </c>
      <c r="D10864" s="601">
        <v>54.74</v>
      </c>
    </row>
    <row r="10865" spans="1:4" ht="13.5">
      <c r="A10865" s="402">
        <v>96113</v>
      </c>
      <c r="B10865" s="403" t="s">
        <v>3917</v>
      </c>
      <c r="C10865" s="402" t="s">
        <v>48</v>
      </c>
      <c r="D10865" s="601">
        <v>31.65</v>
      </c>
    </row>
    <row r="10866" spans="1:4" ht="27">
      <c r="A10866" s="402">
        <v>96114</v>
      </c>
      <c r="B10866" s="403" t="s">
        <v>3918</v>
      </c>
      <c r="C10866" s="402" t="s">
        <v>48</v>
      </c>
      <c r="D10866" s="601">
        <v>56.75</v>
      </c>
    </row>
    <row r="10867" spans="1:4" ht="13.5">
      <c r="A10867" s="402">
        <v>96120</v>
      </c>
      <c r="B10867" s="403" t="s">
        <v>3921</v>
      </c>
      <c r="C10867" s="402" t="s">
        <v>17</v>
      </c>
      <c r="D10867" s="601">
        <v>2.46</v>
      </c>
    </row>
    <row r="10868" spans="1:4" ht="27">
      <c r="A10868" s="402">
        <v>96123</v>
      </c>
      <c r="B10868" s="403" t="s">
        <v>3924</v>
      </c>
      <c r="C10868" s="402" t="s">
        <v>17</v>
      </c>
      <c r="D10868" s="601">
        <v>23.05</v>
      </c>
    </row>
    <row r="10869" spans="1:4" ht="13.5">
      <c r="A10869" s="402">
        <v>99054</v>
      </c>
      <c r="B10869" s="403" t="s">
        <v>5301</v>
      </c>
      <c r="C10869" s="402" t="s">
        <v>48</v>
      </c>
      <c r="D10869" s="601">
        <v>42.71</v>
      </c>
    </row>
    <row r="10870" spans="1:4" ht="13.5">
      <c r="A10870" s="402" t="s">
        <v>4279</v>
      </c>
      <c r="B10870" s="403" t="s">
        <v>757</v>
      </c>
      <c r="C10870" s="402" t="s">
        <v>17</v>
      </c>
      <c r="D10870" s="601">
        <v>84.45</v>
      </c>
    </row>
    <row r="10871" spans="1:4" ht="27">
      <c r="A10871" s="402">
        <v>96111</v>
      </c>
      <c r="B10871" s="403" t="s">
        <v>3915</v>
      </c>
      <c r="C10871" s="402" t="s">
        <v>48</v>
      </c>
      <c r="D10871" s="601">
        <v>36.17</v>
      </c>
    </row>
    <row r="10872" spans="1:4" ht="27">
      <c r="A10872" s="402">
        <v>96116</v>
      </c>
      <c r="B10872" s="403" t="s">
        <v>3919</v>
      </c>
      <c r="C10872" s="402" t="s">
        <v>48</v>
      </c>
      <c r="D10872" s="601">
        <v>40.11</v>
      </c>
    </row>
    <row r="10873" spans="1:4" ht="27">
      <c r="A10873" s="402">
        <v>96121</v>
      </c>
      <c r="B10873" s="403" t="s">
        <v>3922</v>
      </c>
      <c r="C10873" s="402" t="s">
        <v>17</v>
      </c>
      <c r="D10873" s="601">
        <v>7.02</v>
      </c>
    </row>
    <row r="10874" spans="1:4" ht="27">
      <c r="A10874" s="402">
        <v>96485</v>
      </c>
      <c r="B10874" s="403" t="s">
        <v>3984</v>
      </c>
      <c r="C10874" s="402" t="s">
        <v>48</v>
      </c>
      <c r="D10874" s="601">
        <v>41.7</v>
      </c>
    </row>
    <row r="10875" spans="1:4" ht="27">
      <c r="A10875" s="402">
        <v>96486</v>
      </c>
      <c r="B10875" s="403" t="s">
        <v>3985</v>
      </c>
      <c r="C10875" s="402" t="s">
        <v>48</v>
      </c>
      <c r="D10875" s="601">
        <v>45.98</v>
      </c>
    </row>
    <row r="10876" spans="1:4" ht="27">
      <c r="A10876" s="402">
        <v>91514</v>
      </c>
      <c r="B10876" s="403" t="s">
        <v>2436</v>
      </c>
      <c r="C10876" s="402" t="s">
        <v>48</v>
      </c>
      <c r="D10876" s="601">
        <v>4.6900000000000004</v>
      </c>
    </row>
    <row r="10877" spans="1:4" ht="27">
      <c r="A10877" s="402">
        <v>91515</v>
      </c>
      <c r="B10877" s="403" t="s">
        <v>2437</v>
      </c>
      <c r="C10877" s="402" t="s">
        <v>48</v>
      </c>
      <c r="D10877" s="601">
        <v>6.2</v>
      </c>
    </row>
    <row r="10878" spans="1:4" ht="27">
      <c r="A10878" s="402">
        <v>91516</v>
      </c>
      <c r="B10878" s="403" t="s">
        <v>2438</v>
      </c>
      <c r="C10878" s="402" t="s">
        <v>48</v>
      </c>
      <c r="D10878" s="601">
        <v>9.0500000000000007</v>
      </c>
    </row>
    <row r="10879" spans="1:4" ht="27">
      <c r="A10879" s="402">
        <v>91517</v>
      </c>
      <c r="B10879" s="403" t="s">
        <v>2439</v>
      </c>
      <c r="C10879" s="402" t="s">
        <v>48</v>
      </c>
      <c r="D10879" s="601">
        <v>10.08</v>
      </c>
    </row>
    <row r="10880" spans="1:4" ht="27">
      <c r="A10880" s="402">
        <v>91519</v>
      </c>
      <c r="B10880" s="403" t="s">
        <v>2440</v>
      </c>
      <c r="C10880" s="402" t="s">
        <v>48</v>
      </c>
      <c r="D10880" s="601">
        <v>11.57</v>
      </c>
    </row>
    <row r="10881" spans="1:4" ht="27">
      <c r="A10881" s="402">
        <v>91520</v>
      </c>
      <c r="B10881" s="403" t="s">
        <v>2441</v>
      </c>
      <c r="C10881" s="402" t="s">
        <v>48</v>
      </c>
      <c r="D10881" s="601">
        <v>1.71</v>
      </c>
    </row>
    <row r="10882" spans="1:4" ht="27">
      <c r="A10882" s="402">
        <v>91522</v>
      </c>
      <c r="B10882" s="403" t="s">
        <v>570</v>
      </c>
      <c r="C10882" s="402" t="s">
        <v>48</v>
      </c>
      <c r="D10882" s="601">
        <v>2.06</v>
      </c>
    </row>
    <row r="10883" spans="1:4" ht="27">
      <c r="A10883" s="402">
        <v>91525</v>
      </c>
      <c r="B10883" s="403" t="s">
        <v>2442</v>
      </c>
      <c r="C10883" s="402" t="s">
        <v>48</v>
      </c>
      <c r="D10883" s="601">
        <v>3.89</v>
      </c>
    </row>
    <row r="10884" spans="1:4" ht="40.5">
      <c r="A10884" s="402">
        <v>87280</v>
      </c>
      <c r="B10884" s="403" t="s">
        <v>5750</v>
      </c>
      <c r="C10884" s="402" t="s">
        <v>33</v>
      </c>
      <c r="D10884" s="601">
        <v>267.14999999999998</v>
      </c>
    </row>
    <row r="10885" spans="1:4" ht="40.5">
      <c r="A10885" s="402">
        <v>87281</v>
      </c>
      <c r="B10885" s="403" t="s">
        <v>5751</v>
      </c>
      <c r="C10885" s="402" t="s">
        <v>33</v>
      </c>
      <c r="D10885" s="601">
        <v>265.08</v>
      </c>
    </row>
    <row r="10886" spans="1:4" ht="40.5">
      <c r="A10886" s="402">
        <v>87283</v>
      </c>
      <c r="B10886" s="403" t="s">
        <v>5752</v>
      </c>
      <c r="C10886" s="402" t="s">
        <v>33</v>
      </c>
      <c r="D10886" s="601">
        <v>278.57</v>
      </c>
    </row>
    <row r="10887" spans="1:4" ht="40.5">
      <c r="A10887" s="402">
        <v>87284</v>
      </c>
      <c r="B10887" s="403" t="s">
        <v>5753</v>
      </c>
      <c r="C10887" s="402" t="s">
        <v>33</v>
      </c>
      <c r="D10887" s="601">
        <v>274.89</v>
      </c>
    </row>
    <row r="10888" spans="1:4" ht="40.5">
      <c r="A10888" s="402">
        <v>87286</v>
      </c>
      <c r="B10888" s="403" t="s">
        <v>5754</v>
      </c>
      <c r="C10888" s="402" t="s">
        <v>33</v>
      </c>
      <c r="D10888" s="601">
        <v>344.23</v>
      </c>
    </row>
    <row r="10889" spans="1:4" ht="40.5">
      <c r="A10889" s="402">
        <v>87287</v>
      </c>
      <c r="B10889" s="403" t="s">
        <v>5755</v>
      </c>
      <c r="C10889" s="402" t="s">
        <v>33</v>
      </c>
      <c r="D10889" s="601">
        <v>335.42</v>
      </c>
    </row>
    <row r="10890" spans="1:4" ht="40.5">
      <c r="A10890" s="402">
        <v>87289</v>
      </c>
      <c r="B10890" s="403" t="s">
        <v>5756</v>
      </c>
      <c r="C10890" s="402" t="s">
        <v>33</v>
      </c>
      <c r="D10890" s="601">
        <v>330.2</v>
      </c>
    </row>
    <row r="10891" spans="1:4" ht="40.5">
      <c r="A10891" s="402">
        <v>87290</v>
      </c>
      <c r="B10891" s="403" t="s">
        <v>5757</v>
      </c>
      <c r="C10891" s="402" t="s">
        <v>33</v>
      </c>
      <c r="D10891" s="601">
        <v>326.3</v>
      </c>
    </row>
    <row r="10892" spans="1:4" ht="40.5">
      <c r="A10892" s="402">
        <v>87292</v>
      </c>
      <c r="B10892" s="403" t="s">
        <v>5758</v>
      </c>
      <c r="C10892" s="402" t="s">
        <v>33</v>
      </c>
      <c r="D10892" s="601">
        <v>336.77</v>
      </c>
    </row>
    <row r="10893" spans="1:4" ht="40.5">
      <c r="A10893" s="402">
        <v>87294</v>
      </c>
      <c r="B10893" s="403" t="s">
        <v>5759</v>
      </c>
      <c r="C10893" s="402" t="s">
        <v>33</v>
      </c>
      <c r="D10893" s="601">
        <v>322.79000000000002</v>
      </c>
    </row>
    <row r="10894" spans="1:4" ht="40.5">
      <c r="A10894" s="402">
        <v>87295</v>
      </c>
      <c r="B10894" s="403" t="s">
        <v>5760</v>
      </c>
      <c r="C10894" s="402" t="s">
        <v>33</v>
      </c>
      <c r="D10894" s="601">
        <v>326.60000000000002</v>
      </c>
    </row>
    <row r="10895" spans="1:4" ht="40.5">
      <c r="A10895" s="402">
        <v>87296</v>
      </c>
      <c r="B10895" s="403" t="s">
        <v>5761</v>
      </c>
      <c r="C10895" s="402" t="s">
        <v>33</v>
      </c>
      <c r="D10895" s="601">
        <v>311.74</v>
      </c>
    </row>
    <row r="10896" spans="1:4" ht="27">
      <c r="A10896" s="402">
        <v>87298</v>
      </c>
      <c r="B10896" s="403" t="s">
        <v>5762</v>
      </c>
      <c r="C10896" s="402" t="s">
        <v>33</v>
      </c>
      <c r="D10896" s="601">
        <v>419.7</v>
      </c>
    </row>
    <row r="10897" spans="1:4" ht="27">
      <c r="A10897" s="402">
        <v>87299</v>
      </c>
      <c r="B10897" s="403" t="s">
        <v>5763</v>
      </c>
      <c r="C10897" s="402" t="s">
        <v>33</v>
      </c>
      <c r="D10897" s="601">
        <v>272.89</v>
      </c>
    </row>
    <row r="10898" spans="1:4" ht="27">
      <c r="A10898" s="402">
        <v>87301</v>
      </c>
      <c r="B10898" s="403" t="s">
        <v>5764</v>
      </c>
      <c r="C10898" s="402" t="s">
        <v>33</v>
      </c>
      <c r="D10898" s="601">
        <v>375.37</v>
      </c>
    </row>
    <row r="10899" spans="1:4" ht="27">
      <c r="A10899" s="402">
        <v>87302</v>
      </c>
      <c r="B10899" s="403" t="s">
        <v>5765</v>
      </c>
      <c r="C10899" s="402" t="s">
        <v>33</v>
      </c>
      <c r="D10899" s="601">
        <v>371.58</v>
      </c>
    </row>
    <row r="10900" spans="1:4" ht="27">
      <c r="A10900" s="402">
        <v>87304</v>
      </c>
      <c r="B10900" s="403" t="s">
        <v>5766</v>
      </c>
      <c r="C10900" s="402" t="s">
        <v>33</v>
      </c>
      <c r="D10900" s="601">
        <v>338.11</v>
      </c>
    </row>
    <row r="10901" spans="1:4" ht="27">
      <c r="A10901" s="402">
        <v>87305</v>
      </c>
      <c r="B10901" s="403" t="s">
        <v>5767</v>
      </c>
      <c r="C10901" s="402" t="s">
        <v>33</v>
      </c>
      <c r="D10901" s="601">
        <v>341.24</v>
      </c>
    </row>
    <row r="10902" spans="1:4" ht="27">
      <c r="A10902" s="402">
        <v>87307</v>
      </c>
      <c r="B10902" s="403" t="s">
        <v>5768</v>
      </c>
      <c r="C10902" s="402" t="s">
        <v>33</v>
      </c>
      <c r="D10902" s="601">
        <v>320.42</v>
      </c>
    </row>
    <row r="10903" spans="1:4" ht="27">
      <c r="A10903" s="402">
        <v>87308</v>
      </c>
      <c r="B10903" s="403" t="s">
        <v>5769</v>
      </c>
      <c r="C10903" s="402" t="s">
        <v>33</v>
      </c>
      <c r="D10903" s="601">
        <v>316.17</v>
      </c>
    </row>
    <row r="10904" spans="1:4" ht="27">
      <c r="A10904" s="402">
        <v>87310</v>
      </c>
      <c r="B10904" s="403" t="s">
        <v>5770</v>
      </c>
      <c r="C10904" s="402" t="s">
        <v>33</v>
      </c>
      <c r="D10904" s="601">
        <v>270.58999999999997</v>
      </c>
    </row>
    <row r="10905" spans="1:4" ht="27">
      <c r="A10905" s="402">
        <v>87311</v>
      </c>
      <c r="B10905" s="403" t="s">
        <v>5771</v>
      </c>
      <c r="C10905" s="402" t="s">
        <v>33</v>
      </c>
      <c r="D10905" s="601">
        <v>266.08999999999997</v>
      </c>
    </row>
    <row r="10906" spans="1:4" ht="27">
      <c r="A10906" s="402">
        <v>87313</v>
      </c>
      <c r="B10906" s="403" t="s">
        <v>5772</v>
      </c>
      <c r="C10906" s="402" t="s">
        <v>33</v>
      </c>
      <c r="D10906" s="601">
        <v>330.09</v>
      </c>
    </row>
    <row r="10907" spans="1:4" ht="27">
      <c r="A10907" s="402">
        <v>87314</v>
      </c>
      <c r="B10907" s="403" t="s">
        <v>5773</v>
      </c>
      <c r="C10907" s="402" t="s">
        <v>33</v>
      </c>
      <c r="D10907" s="601">
        <v>326.8</v>
      </c>
    </row>
    <row r="10908" spans="1:4" ht="27">
      <c r="A10908" s="402">
        <v>87316</v>
      </c>
      <c r="B10908" s="403" t="s">
        <v>5774</v>
      </c>
      <c r="C10908" s="402" t="s">
        <v>33</v>
      </c>
      <c r="D10908" s="601">
        <v>298.38</v>
      </c>
    </row>
    <row r="10909" spans="1:4" ht="27">
      <c r="A10909" s="402">
        <v>87317</v>
      </c>
      <c r="B10909" s="403" t="s">
        <v>5775</v>
      </c>
      <c r="C10909" s="402" t="s">
        <v>33</v>
      </c>
      <c r="D10909" s="601">
        <v>290.94</v>
      </c>
    </row>
    <row r="10910" spans="1:4" ht="40.5">
      <c r="A10910" s="402">
        <v>87319</v>
      </c>
      <c r="B10910" s="403" t="s">
        <v>5776</v>
      </c>
      <c r="C10910" s="402" t="s">
        <v>33</v>
      </c>
      <c r="D10910" s="601">
        <v>1693.19</v>
      </c>
    </row>
    <row r="10911" spans="1:4" ht="40.5">
      <c r="A10911" s="402">
        <v>87320</v>
      </c>
      <c r="B10911" s="403" t="s">
        <v>5777</v>
      </c>
      <c r="C10911" s="402" t="s">
        <v>33</v>
      </c>
      <c r="D10911" s="601">
        <v>1696.43</v>
      </c>
    </row>
    <row r="10912" spans="1:4" ht="40.5">
      <c r="A10912" s="402">
        <v>87322</v>
      </c>
      <c r="B10912" s="403" t="s">
        <v>5778</v>
      </c>
      <c r="C10912" s="402" t="s">
        <v>33</v>
      </c>
      <c r="D10912" s="601">
        <v>1758.12</v>
      </c>
    </row>
    <row r="10913" spans="1:4" ht="40.5">
      <c r="A10913" s="402">
        <v>87323</v>
      </c>
      <c r="B10913" s="403" t="s">
        <v>5779</v>
      </c>
      <c r="C10913" s="402" t="s">
        <v>33</v>
      </c>
      <c r="D10913" s="601">
        <v>1757.12</v>
      </c>
    </row>
    <row r="10914" spans="1:4" ht="40.5">
      <c r="A10914" s="402">
        <v>87325</v>
      </c>
      <c r="B10914" s="403" t="s">
        <v>5780</v>
      </c>
      <c r="C10914" s="402" t="s">
        <v>33</v>
      </c>
      <c r="D10914" s="601">
        <v>1712.18</v>
      </c>
    </row>
    <row r="10915" spans="1:4" ht="40.5">
      <c r="A10915" s="402">
        <v>87326</v>
      </c>
      <c r="B10915" s="403" t="s">
        <v>5781</v>
      </c>
      <c r="C10915" s="402" t="s">
        <v>33</v>
      </c>
      <c r="D10915" s="601">
        <v>1714.97</v>
      </c>
    </row>
    <row r="10916" spans="1:4" ht="40.5">
      <c r="A10916" s="402">
        <v>87327</v>
      </c>
      <c r="B10916" s="403" t="s">
        <v>5782</v>
      </c>
      <c r="C10916" s="402" t="s">
        <v>33</v>
      </c>
      <c r="D10916" s="601">
        <v>281.7</v>
      </c>
    </row>
    <row r="10917" spans="1:4" ht="40.5">
      <c r="A10917" s="402">
        <v>87328</v>
      </c>
      <c r="B10917" s="403" t="s">
        <v>5783</v>
      </c>
      <c r="C10917" s="402" t="s">
        <v>33</v>
      </c>
      <c r="D10917" s="601">
        <v>247.75</v>
      </c>
    </row>
    <row r="10918" spans="1:4" ht="40.5">
      <c r="A10918" s="402">
        <v>87329</v>
      </c>
      <c r="B10918" s="403" t="s">
        <v>5784</v>
      </c>
      <c r="C10918" s="402" t="s">
        <v>33</v>
      </c>
      <c r="D10918" s="601">
        <v>303.11</v>
      </c>
    </row>
    <row r="10919" spans="1:4" ht="40.5">
      <c r="A10919" s="402">
        <v>87330</v>
      </c>
      <c r="B10919" s="403" t="s">
        <v>5785</v>
      </c>
      <c r="C10919" s="402" t="s">
        <v>33</v>
      </c>
      <c r="D10919" s="601">
        <v>264.47000000000003</v>
      </c>
    </row>
    <row r="10920" spans="1:4" ht="40.5">
      <c r="A10920" s="402">
        <v>87331</v>
      </c>
      <c r="B10920" s="403" t="s">
        <v>5786</v>
      </c>
      <c r="C10920" s="402" t="s">
        <v>33</v>
      </c>
      <c r="D10920" s="601">
        <v>358.23</v>
      </c>
    </row>
    <row r="10921" spans="1:4" ht="40.5">
      <c r="A10921" s="402">
        <v>87332</v>
      </c>
      <c r="B10921" s="403" t="s">
        <v>5787</v>
      </c>
      <c r="C10921" s="402" t="s">
        <v>33</v>
      </c>
      <c r="D10921" s="601">
        <v>323.01</v>
      </c>
    </row>
    <row r="10922" spans="1:4" ht="40.5">
      <c r="A10922" s="402">
        <v>87333</v>
      </c>
      <c r="B10922" s="403" t="s">
        <v>5788</v>
      </c>
      <c r="C10922" s="402" t="s">
        <v>33</v>
      </c>
      <c r="D10922" s="601">
        <v>333.69</v>
      </c>
    </row>
    <row r="10923" spans="1:4" ht="40.5">
      <c r="A10923" s="402">
        <v>87334</v>
      </c>
      <c r="B10923" s="403" t="s">
        <v>5789</v>
      </c>
      <c r="C10923" s="402" t="s">
        <v>33</v>
      </c>
      <c r="D10923" s="601">
        <v>312.76</v>
      </c>
    </row>
    <row r="10924" spans="1:4" ht="40.5">
      <c r="A10924" s="402">
        <v>87335</v>
      </c>
      <c r="B10924" s="403" t="s">
        <v>5790</v>
      </c>
      <c r="C10924" s="402" t="s">
        <v>33</v>
      </c>
      <c r="D10924" s="601">
        <v>329.38</v>
      </c>
    </row>
    <row r="10925" spans="1:4" ht="40.5">
      <c r="A10925" s="402">
        <v>87336</v>
      </c>
      <c r="B10925" s="403" t="s">
        <v>5791</v>
      </c>
      <c r="C10925" s="402" t="s">
        <v>33</v>
      </c>
      <c r="D10925" s="601">
        <v>321.99</v>
      </c>
    </row>
    <row r="10926" spans="1:4" ht="40.5">
      <c r="A10926" s="402">
        <v>87337</v>
      </c>
      <c r="B10926" s="403" t="s">
        <v>5792</v>
      </c>
      <c r="C10926" s="402" t="s">
        <v>33</v>
      </c>
      <c r="D10926" s="601">
        <v>323.31</v>
      </c>
    </row>
    <row r="10927" spans="1:4" ht="40.5">
      <c r="A10927" s="402">
        <v>87338</v>
      </c>
      <c r="B10927" s="403" t="s">
        <v>5793</v>
      </c>
      <c r="C10927" s="402" t="s">
        <v>33</v>
      </c>
      <c r="D10927" s="601">
        <v>311.11</v>
      </c>
    </row>
    <row r="10928" spans="1:4" ht="40.5">
      <c r="A10928" s="402">
        <v>87339</v>
      </c>
      <c r="B10928" s="403" t="s">
        <v>5794</v>
      </c>
      <c r="C10928" s="402" t="s">
        <v>33</v>
      </c>
      <c r="D10928" s="601">
        <v>491.61</v>
      </c>
    </row>
    <row r="10929" spans="1:4" ht="40.5">
      <c r="A10929" s="402">
        <v>87340</v>
      </c>
      <c r="B10929" s="403" t="s">
        <v>5795</v>
      </c>
      <c r="C10929" s="402" t="s">
        <v>33</v>
      </c>
      <c r="D10929" s="601">
        <v>418.75</v>
      </c>
    </row>
    <row r="10930" spans="1:4" ht="40.5">
      <c r="A10930" s="402">
        <v>87341</v>
      </c>
      <c r="B10930" s="403" t="s">
        <v>5796</v>
      </c>
      <c r="C10930" s="402" t="s">
        <v>33</v>
      </c>
      <c r="D10930" s="601">
        <v>401.45</v>
      </c>
    </row>
    <row r="10931" spans="1:4" ht="40.5">
      <c r="A10931" s="402">
        <v>87342</v>
      </c>
      <c r="B10931" s="403" t="s">
        <v>5797</v>
      </c>
      <c r="C10931" s="402" t="s">
        <v>33</v>
      </c>
      <c r="D10931" s="601">
        <v>417.55</v>
      </c>
    </row>
    <row r="10932" spans="1:4" ht="40.5">
      <c r="A10932" s="402">
        <v>87343</v>
      </c>
      <c r="B10932" s="403" t="s">
        <v>5798</v>
      </c>
      <c r="C10932" s="402" t="s">
        <v>33</v>
      </c>
      <c r="D10932" s="601">
        <v>376.51</v>
      </c>
    </row>
    <row r="10933" spans="1:4" ht="40.5">
      <c r="A10933" s="402">
        <v>87344</v>
      </c>
      <c r="B10933" s="403" t="s">
        <v>5799</v>
      </c>
      <c r="C10933" s="402" t="s">
        <v>33</v>
      </c>
      <c r="D10933" s="601">
        <v>354.75</v>
      </c>
    </row>
    <row r="10934" spans="1:4" ht="40.5">
      <c r="A10934" s="402">
        <v>87345</v>
      </c>
      <c r="B10934" s="403" t="s">
        <v>5800</v>
      </c>
      <c r="C10934" s="402" t="s">
        <v>33</v>
      </c>
      <c r="D10934" s="601">
        <v>373.53</v>
      </c>
    </row>
    <row r="10935" spans="1:4" ht="40.5">
      <c r="A10935" s="402">
        <v>87346</v>
      </c>
      <c r="B10935" s="403" t="s">
        <v>5801</v>
      </c>
      <c r="C10935" s="402" t="s">
        <v>33</v>
      </c>
      <c r="D10935" s="601">
        <v>339.76</v>
      </c>
    </row>
    <row r="10936" spans="1:4" ht="40.5">
      <c r="A10936" s="402">
        <v>87347</v>
      </c>
      <c r="B10936" s="403" t="s">
        <v>5802</v>
      </c>
      <c r="C10936" s="402" t="s">
        <v>33</v>
      </c>
      <c r="D10936" s="601">
        <v>322.58999999999997</v>
      </c>
    </row>
    <row r="10937" spans="1:4" ht="40.5">
      <c r="A10937" s="402">
        <v>87348</v>
      </c>
      <c r="B10937" s="403" t="s">
        <v>5803</v>
      </c>
      <c r="C10937" s="402" t="s">
        <v>33</v>
      </c>
      <c r="D10937" s="601">
        <v>340.75</v>
      </c>
    </row>
    <row r="10938" spans="1:4" ht="40.5">
      <c r="A10938" s="402">
        <v>87349</v>
      </c>
      <c r="B10938" s="403" t="s">
        <v>5804</v>
      </c>
      <c r="C10938" s="402" t="s">
        <v>33</v>
      </c>
      <c r="D10938" s="601">
        <v>297.44</v>
      </c>
    </row>
    <row r="10939" spans="1:4" ht="40.5">
      <c r="A10939" s="402">
        <v>87350</v>
      </c>
      <c r="B10939" s="403" t="s">
        <v>5805</v>
      </c>
      <c r="C10939" s="402" t="s">
        <v>33</v>
      </c>
      <c r="D10939" s="601">
        <v>298.35000000000002</v>
      </c>
    </row>
    <row r="10940" spans="1:4" ht="40.5">
      <c r="A10940" s="402">
        <v>87351</v>
      </c>
      <c r="B10940" s="403" t="s">
        <v>5806</v>
      </c>
      <c r="C10940" s="402" t="s">
        <v>33</v>
      </c>
      <c r="D10940" s="601">
        <v>256.64</v>
      </c>
    </row>
    <row r="10941" spans="1:4" ht="40.5">
      <c r="A10941" s="402">
        <v>87352</v>
      </c>
      <c r="B10941" s="403" t="s">
        <v>5807</v>
      </c>
      <c r="C10941" s="402" t="s">
        <v>33</v>
      </c>
      <c r="D10941" s="601">
        <v>378.1</v>
      </c>
    </row>
    <row r="10942" spans="1:4" ht="40.5">
      <c r="A10942" s="402">
        <v>87353</v>
      </c>
      <c r="B10942" s="403" t="s">
        <v>5808</v>
      </c>
      <c r="C10942" s="402" t="s">
        <v>33</v>
      </c>
      <c r="D10942" s="601">
        <v>333.05</v>
      </c>
    </row>
    <row r="10943" spans="1:4" ht="40.5">
      <c r="A10943" s="402">
        <v>87354</v>
      </c>
      <c r="B10943" s="403" t="s">
        <v>5809</v>
      </c>
      <c r="C10943" s="402" t="s">
        <v>33</v>
      </c>
      <c r="D10943" s="601">
        <v>313.87</v>
      </c>
    </row>
    <row r="10944" spans="1:4" ht="40.5">
      <c r="A10944" s="402">
        <v>87355</v>
      </c>
      <c r="B10944" s="403" t="s">
        <v>5810</v>
      </c>
      <c r="C10944" s="402" t="s">
        <v>33</v>
      </c>
      <c r="D10944" s="601">
        <v>321.11</v>
      </c>
    </row>
    <row r="10945" spans="1:4" ht="40.5">
      <c r="A10945" s="402">
        <v>87356</v>
      </c>
      <c r="B10945" s="403" t="s">
        <v>5811</v>
      </c>
      <c r="C10945" s="402" t="s">
        <v>33</v>
      </c>
      <c r="D10945" s="601">
        <v>290.94</v>
      </c>
    </row>
    <row r="10946" spans="1:4" ht="40.5">
      <c r="A10946" s="402">
        <v>87357</v>
      </c>
      <c r="B10946" s="403" t="s">
        <v>5812</v>
      </c>
      <c r="C10946" s="402" t="s">
        <v>33</v>
      </c>
      <c r="D10946" s="601">
        <v>277.08999999999997</v>
      </c>
    </row>
    <row r="10947" spans="1:4" ht="40.5">
      <c r="A10947" s="402">
        <v>87358</v>
      </c>
      <c r="B10947" s="403" t="s">
        <v>5813</v>
      </c>
      <c r="C10947" s="402" t="s">
        <v>33</v>
      </c>
      <c r="D10947" s="601">
        <v>1679.2</v>
      </c>
    </row>
    <row r="10948" spans="1:4" ht="40.5">
      <c r="A10948" s="402">
        <v>87359</v>
      </c>
      <c r="B10948" s="403" t="s">
        <v>5814</v>
      </c>
      <c r="C10948" s="402" t="s">
        <v>33</v>
      </c>
      <c r="D10948" s="601">
        <v>1661.88</v>
      </c>
    </row>
    <row r="10949" spans="1:4" ht="40.5">
      <c r="A10949" s="402">
        <v>87360</v>
      </c>
      <c r="B10949" s="403" t="s">
        <v>5815</v>
      </c>
      <c r="C10949" s="402" t="s">
        <v>33</v>
      </c>
      <c r="D10949" s="601">
        <v>1744.77</v>
      </c>
    </row>
    <row r="10950" spans="1:4" ht="40.5">
      <c r="A10950" s="402">
        <v>87361</v>
      </c>
      <c r="B10950" s="403" t="s">
        <v>5816</v>
      </c>
      <c r="C10950" s="402" t="s">
        <v>33</v>
      </c>
      <c r="D10950" s="601">
        <v>1717.08</v>
      </c>
    </row>
    <row r="10951" spans="1:4" ht="40.5">
      <c r="A10951" s="402">
        <v>87362</v>
      </c>
      <c r="B10951" s="403" t="s">
        <v>5817</v>
      </c>
      <c r="C10951" s="402" t="s">
        <v>33</v>
      </c>
      <c r="D10951" s="601">
        <v>1714.67</v>
      </c>
    </row>
    <row r="10952" spans="1:4" ht="40.5">
      <c r="A10952" s="402">
        <v>87363</v>
      </c>
      <c r="B10952" s="403" t="s">
        <v>5818</v>
      </c>
      <c r="C10952" s="402" t="s">
        <v>33</v>
      </c>
      <c r="D10952" s="601">
        <v>1703.04</v>
      </c>
    </row>
    <row r="10953" spans="1:4" ht="40.5">
      <c r="A10953" s="402">
        <v>87364</v>
      </c>
      <c r="B10953" s="403" t="s">
        <v>5819</v>
      </c>
      <c r="C10953" s="402" t="s">
        <v>33</v>
      </c>
      <c r="D10953" s="601">
        <v>1683.48</v>
      </c>
    </row>
    <row r="10954" spans="1:4" ht="40.5">
      <c r="A10954" s="402">
        <v>87365</v>
      </c>
      <c r="B10954" s="403" t="s">
        <v>5820</v>
      </c>
      <c r="C10954" s="402" t="s">
        <v>33</v>
      </c>
      <c r="D10954" s="601">
        <v>356.27</v>
      </c>
    </row>
    <row r="10955" spans="1:4" ht="40.5">
      <c r="A10955" s="402">
        <v>87366</v>
      </c>
      <c r="B10955" s="403" t="s">
        <v>5821</v>
      </c>
      <c r="C10955" s="402" t="s">
        <v>33</v>
      </c>
      <c r="D10955" s="601">
        <v>376.17</v>
      </c>
    </row>
    <row r="10956" spans="1:4" ht="40.5">
      <c r="A10956" s="402">
        <v>87367</v>
      </c>
      <c r="B10956" s="403" t="s">
        <v>5822</v>
      </c>
      <c r="C10956" s="402" t="s">
        <v>33</v>
      </c>
      <c r="D10956" s="601">
        <v>434.35</v>
      </c>
    </row>
    <row r="10957" spans="1:4" ht="40.5">
      <c r="A10957" s="402">
        <v>87368</v>
      </c>
      <c r="B10957" s="403" t="s">
        <v>5823</v>
      </c>
      <c r="C10957" s="402" t="s">
        <v>33</v>
      </c>
      <c r="D10957" s="601">
        <v>423.05</v>
      </c>
    </row>
    <row r="10958" spans="1:4" ht="40.5">
      <c r="A10958" s="402">
        <v>87369</v>
      </c>
      <c r="B10958" s="403" t="s">
        <v>5824</v>
      </c>
      <c r="C10958" s="402" t="s">
        <v>33</v>
      </c>
      <c r="D10958" s="601">
        <v>431.18</v>
      </c>
    </row>
    <row r="10959" spans="1:4" ht="40.5">
      <c r="A10959" s="402">
        <v>87370</v>
      </c>
      <c r="B10959" s="403" t="s">
        <v>5825</v>
      </c>
      <c r="C10959" s="402" t="s">
        <v>33</v>
      </c>
      <c r="D10959" s="601">
        <v>416.17</v>
      </c>
    </row>
    <row r="10960" spans="1:4" ht="40.5">
      <c r="A10960" s="402">
        <v>87371</v>
      </c>
      <c r="B10960" s="403" t="s">
        <v>5826</v>
      </c>
      <c r="C10960" s="402" t="s">
        <v>33</v>
      </c>
      <c r="D10960" s="601">
        <v>406.4</v>
      </c>
    </row>
    <row r="10961" spans="1:4" ht="27">
      <c r="A10961" s="402">
        <v>87372</v>
      </c>
      <c r="B10961" s="403" t="s">
        <v>5827</v>
      </c>
      <c r="C10961" s="402" t="s">
        <v>33</v>
      </c>
      <c r="D10961" s="601">
        <v>521.67999999999995</v>
      </c>
    </row>
    <row r="10962" spans="1:4" ht="27">
      <c r="A10962" s="402">
        <v>87373</v>
      </c>
      <c r="B10962" s="403" t="s">
        <v>5828</v>
      </c>
      <c r="C10962" s="402" t="s">
        <v>33</v>
      </c>
      <c r="D10962" s="601">
        <v>465.46</v>
      </c>
    </row>
    <row r="10963" spans="1:4" ht="27">
      <c r="A10963" s="402">
        <v>87374</v>
      </c>
      <c r="B10963" s="403" t="s">
        <v>5829</v>
      </c>
      <c r="C10963" s="402" t="s">
        <v>33</v>
      </c>
      <c r="D10963" s="601">
        <v>434.26</v>
      </c>
    </row>
    <row r="10964" spans="1:4" ht="27">
      <c r="A10964" s="402">
        <v>87375</v>
      </c>
      <c r="B10964" s="403" t="s">
        <v>5830</v>
      </c>
      <c r="C10964" s="402" t="s">
        <v>33</v>
      </c>
      <c r="D10964" s="601">
        <v>414.38</v>
      </c>
    </row>
    <row r="10965" spans="1:4" ht="27">
      <c r="A10965" s="402">
        <v>87376</v>
      </c>
      <c r="B10965" s="403" t="s">
        <v>5831</v>
      </c>
      <c r="C10965" s="402" t="s">
        <v>33</v>
      </c>
      <c r="D10965" s="601">
        <v>365.31</v>
      </c>
    </row>
    <row r="10966" spans="1:4" ht="27">
      <c r="A10966" s="402">
        <v>87377</v>
      </c>
      <c r="B10966" s="403" t="s">
        <v>5832</v>
      </c>
      <c r="C10966" s="402" t="s">
        <v>33</v>
      </c>
      <c r="D10966" s="601">
        <v>427.94</v>
      </c>
    </row>
    <row r="10967" spans="1:4" ht="27">
      <c r="A10967" s="402">
        <v>87378</v>
      </c>
      <c r="B10967" s="403" t="s">
        <v>5833</v>
      </c>
      <c r="C10967" s="402" t="s">
        <v>33</v>
      </c>
      <c r="D10967" s="601">
        <v>387.14</v>
      </c>
    </row>
    <row r="10968" spans="1:4" ht="27">
      <c r="A10968" s="402">
        <v>87379</v>
      </c>
      <c r="B10968" s="403" t="s">
        <v>5834</v>
      </c>
      <c r="C10968" s="402" t="s">
        <v>33</v>
      </c>
      <c r="D10968" s="601">
        <v>1777.81</v>
      </c>
    </row>
    <row r="10969" spans="1:4" ht="27">
      <c r="A10969" s="402">
        <v>87380</v>
      </c>
      <c r="B10969" s="403" t="s">
        <v>5835</v>
      </c>
      <c r="C10969" s="402" t="s">
        <v>33</v>
      </c>
      <c r="D10969" s="601">
        <v>1835.57</v>
      </c>
    </row>
    <row r="10970" spans="1:4" ht="27">
      <c r="A10970" s="402">
        <v>87381</v>
      </c>
      <c r="B10970" s="403" t="s">
        <v>5836</v>
      </c>
      <c r="C10970" s="402" t="s">
        <v>33</v>
      </c>
      <c r="D10970" s="601">
        <v>1797.52</v>
      </c>
    </row>
    <row r="10971" spans="1:4" ht="27">
      <c r="A10971" s="402">
        <v>87382</v>
      </c>
      <c r="B10971" s="403" t="s">
        <v>5837</v>
      </c>
      <c r="C10971" s="402" t="s">
        <v>33</v>
      </c>
      <c r="D10971" s="601">
        <v>1129.5999999999999</v>
      </c>
    </row>
    <row r="10972" spans="1:4" ht="27">
      <c r="A10972" s="402">
        <v>87383</v>
      </c>
      <c r="B10972" s="403" t="s">
        <v>5838</v>
      </c>
      <c r="C10972" s="402" t="s">
        <v>33</v>
      </c>
      <c r="D10972" s="601">
        <v>1127.96</v>
      </c>
    </row>
    <row r="10973" spans="1:4" ht="27">
      <c r="A10973" s="402">
        <v>87384</v>
      </c>
      <c r="B10973" s="403" t="s">
        <v>5839</v>
      </c>
      <c r="C10973" s="402" t="s">
        <v>33</v>
      </c>
      <c r="D10973" s="601">
        <v>1124.44</v>
      </c>
    </row>
    <row r="10974" spans="1:4" ht="27">
      <c r="A10974" s="402">
        <v>87385</v>
      </c>
      <c r="B10974" s="403" t="s">
        <v>5840</v>
      </c>
      <c r="C10974" s="402" t="s">
        <v>33</v>
      </c>
      <c r="D10974" s="601">
        <v>1629.4</v>
      </c>
    </row>
    <row r="10975" spans="1:4" ht="27">
      <c r="A10975" s="402">
        <v>87386</v>
      </c>
      <c r="B10975" s="403" t="s">
        <v>5841</v>
      </c>
      <c r="C10975" s="402" t="s">
        <v>33</v>
      </c>
      <c r="D10975" s="601">
        <v>1628.03</v>
      </c>
    </row>
    <row r="10976" spans="1:4" ht="27">
      <c r="A10976" s="402">
        <v>87387</v>
      </c>
      <c r="B10976" s="403" t="s">
        <v>5842</v>
      </c>
      <c r="C10976" s="402" t="s">
        <v>33</v>
      </c>
      <c r="D10976" s="601">
        <v>1628.65</v>
      </c>
    </row>
    <row r="10977" spans="1:4" ht="27">
      <c r="A10977" s="402">
        <v>87388</v>
      </c>
      <c r="B10977" s="403" t="s">
        <v>5843</v>
      </c>
      <c r="C10977" s="402" t="s">
        <v>33</v>
      </c>
      <c r="D10977" s="601">
        <v>3868.04</v>
      </c>
    </row>
    <row r="10978" spans="1:4" ht="27">
      <c r="A10978" s="402">
        <v>87389</v>
      </c>
      <c r="B10978" s="403" t="s">
        <v>5844</v>
      </c>
      <c r="C10978" s="402" t="s">
        <v>33</v>
      </c>
      <c r="D10978" s="601">
        <v>3886.84</v>
      </c>
    </row>
    <row r="10979" spans="1:4" ht="27">
      <c r="A10979" s="402">
        <v>87390</v>
      </c>
      <c r="B10979" s="403" t="s">
        <v>5845</v>
      </c>
      <c r="C10979" s="402" t="s">
        <v>33</v>
      </c>
      <c r="D10979" s="601">
        <v>3910.69</v>
      </c>
    </row>
    <row r="10980" spans="1:4" ht="27">
      <c r="A10980" s="402">
        <v>87391</v>
      </c>
      <c r="B10980" s="403" t="s">
        <v>5846</v>
      </c>
      <c r="C10980" s="402" t="s">
        <v>33</v>
      </c>
      <c r="D10980" s="601">
        <v>5594.73</v>
      </c>
    </row>
    <row r="10981" spans="1:4" ht="27">
      <c r="A10981" s="402">
        <v>87393</v>
      </c>
      <c r="B10981" s="403" t="s">
        <v>5847</v>
      </c>
      <c r="C10981" s="402" t="s">
        <v>33</v>
      </c>
      <c r="D10981" s="601">
        <v>5654.67</v>
      </c>
    </row>
    <row r="10982" spans="1:4" ht="27">
      <c r="A10982" s="402">
        <v>87394</v>
      </c>
      <c r="B10982" s="403" t="s">
        <v>5848</v>
      </c>
      <c r="C10982" s="402" t="s">
        <v>33</v>
      </c>
      <c r="D10982" s="601">
        <v>5714.35</v>
      </c>
    </row>
    <row r="10983" spans="1:4" ht="27">
      <c r="A10983" s="402">
        <v>87395</v>
      </c>
      <c r="B10983" s="403" t="s">
        <v>5849</v>
      </c>
      <c r="C10983" s="402" t="s">
        <v>33</v>
      </c>
      <c r="D10983" s="601">
        <v>4382.6499999999996</v>
      </c>
    </row>
    <row r="10984" spans="1:4" ht="27">
      <c r="A10984" s="402">
        <v>87396</v>
      </c>
      <c r="B10984" s="403" t="s">
        <v>5850</v>
      </c>
      <c r="C10984" s="402" t="s">
        <v>33</v>
      </c>
      <c r="D10984" s="601">
        <v>4426.3100000000004</v>
      </c>
    </row>
    <row r="10985" spans="1:4" ht="27">
      <c r="A10985" s="402">
        <v>87397</v>
      </c>
      <c r="B10985" s="403" t="s">
        <v>5851</v>
      </c>
      <c r="C10985" s="402" t="s">
        <v>33</v>
      </c>
      <c r="D10985" s="601">
        <v>4470.4399999999996</v>
      </c>
    </row>
    <row r="10986" spans="1:4" ht="27">
      <c r="A10986" s="402">
        <v>87398</v>
      </c>
      <c r="B10986" s="403" t="s">
        <v>5852</v>
      </c>
      <c r="C10986" s="402" t="s">
        <v>33</v>
      </c>
      <c r="D10986" s="601">
        <v>1277.1099999999999</v>
      </c>
    </row>
    <row r="10987" spans="1:4" ht="13.5">
      <c r="A10987" s="402">
        <v>87399</v>
      </c>
      <c r="B10987" s="403" t="s">
        <v>5853</v>
      </c>
      <c r="C10987" s="402" t="s">
        <v>33</v>
      </c>
      <c r="D10987" s="601">
        <v>1788.32</v>
      </c>
    </row>
    <row r="10988" spans="1:4" ht="13.5">
      <c r="A10988" s="402">
        <v>87401</v>
      </c>
      <c r="B10988" s="403" t="s">
        <v>5854</v>
      </c>
      <c r="C10988" s="402" t="s">
        <v>33</v>
      </c>
      <c r="D10988" s="601">
        <v>5852.65</v>
      </c>
    </row>
    <row r="10989" spans="1:4" ht="13.5">
      <c r="A10989" s="402">
        <v>87402</v>
      </c>
      <c r="B10989" s="403" t="s">
        <v>5855</v>
      </c>
      <c r="C10989" s="402" t="s">
        <v>33</v>
      </c>
      <c r="D10989" s="601">
        <v>4615.75</v>
      </c>
    </row>
    <row r="10990" spans="1:4" ht="27">
      <c r="A10990" s="402">
        <v>87404</v>
      </c>
      <c r="B10990" s="403" t="s">
        <v>5856</v>
      </c>
      <c r="C10990" s="402" t="s">
        <v>33</v>
      </c>
      <c r="D10990" s="601">
        <v>4010.76</v>
      </c>
    </row>
    <row r="10991" spans="1:4" ht="27">
      <c r="A10991" s="402">
        <v>87405</v>
      </c>
      <c r="B10991" s="403" t="s">
        <v>211</v>
      </c>
      <c r="C10991" s="402" t="s">
        <v>33</v>
      </c>
      <c r="D10991" s="601">
        <v>4025.49</v>
      </c>
    </row>
    <row r="10992" spans="1:4" ht="27">
      <c r="A10992" s="402">
        <v>87407</v>
      </c>
      <c r="B10992" s="403" t="s">
        <v>5857</v>
      </c>
      <c r="C10992" s="402" t="s">
        <v>33</v>
      </c>
      <c r="D10992" s="601">
        <v>1154.8800000000001</v>
      </c>
    </row>
    <row r="10993" spans="1:4" ht="27">
      <c r="A10993" s="402">
        <v>87408</v>
      </c>
      <c r="B10993" s="403" t="s">
        <v>212</v>
      </c>
      <c r="C10993" s="402" t="s">
        <v>33</v>
      </c>
      <c r="D10993" s="601">
        <v>1147.23</v>
      </c>
    </row>
    <row r="10994" spans="1:4" ht="27">
      <c r="A10994" s="402">
        <v>87410</v>
      </c>
      <c r="B10994" s="403" t="s">
        <v>5858</v>
      </c>
      <c r="C10994" s="402" t="s">
        <v>33</v>
      </c>
      <c r="D10994" s="601">
        <v>741.17</v>
      </c>
    </row>
    <row r="10995" spans="1:4" ht="27">
      <c r="A10995" s="402">
        <v>88626</v>
      </c>
      <c r="B10995" s="403" t="s">
        <v>5859</v>
      </c>
      <c r="C10995" s="402" t="s">
        <v>33</v>
      </c>
      <c r="D10995" s="601">
        <v>335.84</v>
      </c>
    </row>
    <row r="10996" spans="1:4" ht="27">
      <c r="A10996" s="402">
        <v>88627</v>
      </c>
      <c r="B10996" s="403" t="s">
        <v>5860</v>
      </c>
      <c r="C10996" s="402" t="s">
        <v>33</v>
      </c>
      <c r="D10996" s="601">
        <v>409.98</v>
      </c>
    </row>
    <row r="10997" spans="1:4" ht="27">
      <c r="A10997" s="402">
        <v>88628</v>
      </c>
      <c r="B10997" s="403" t="s">
        <v>5861</v>
      </c>
      <c r="C10997" s="402" t="s">
        <v>33</v>
      </c>
      <c r="D10997" s="601">
        <v>349.74</v>
      </c>
    </row>
    <row r="10998" spans="1:4" ht="27">
      <c r="A10998" s="402">
        <v>88629</v>
      </c>
      <c r="B10998" s="403" t="s">
        <v>5862</v>
      </c>
      <c r="C10998" s="402" t="s">
        <v>33</v>
      </c>
      <c r="D10998" s="601">
        <v>426.67</v>
      </c>
    </row>
    <row r="10999" spans="1:4" ht="27">
      <c r="A10999" s="402">
        <v>88630</v>
      </c>
      <c r="B10999" s="403" t="s">
        <v>1567</v>
      </c>
      <c r="C10999" s="402" t="s">
        <v>33</v>
      </c>
      <c r="D10999" s="601">
        <v>295.88</v>
      </c>
    </row>
    <row r="11000" spans="1:4" ht="27">
      <c r="A11000" s="402">
        <v>88631</v>
      </c>
      <c r="B11000" s="403" t="s">
        <v>5863</v>
      </c>
      <c r="C11000" s="402" t="s">
        <v>33</v>
      </c>
      <c r="D11000" s="601">
        <v>381.86</v>
      </c>
    </row>
    <row r="11001" spans="1:4" ht="40.5">
      <c r="A11001" s="402">
        <v>88715</v>
      </c>
      <c r="B11001" s="403" t="s">
        <v>5864</v>
      </c>
      <c r="C11001" s="402" t="s">
        <v>33</v>
      </c>
      <c r="D11001" s="601">
        <v>317.64999999999998</v>
      </c>
    </row>
    <row r="11002" spans="1:4" ht="40.5">
      <c r="A11002" s="402">
        <v>95563</v>
      </c>
      <c r="B11002" s="403" t="s">
        <v>12972</v>
      </c>
      <c r="C11002" s="402" t="s">
        <v>33</v>
      </c>
      <c r="D11002" s="601">
        <v>523.1</v>
      </c>
    </row>
    <row r="11003" spans="1:4" ht="27">
      <c r="A11003" s="402">
        <v>100464</v>
      </c>
      <c r="B11003" s="403" t="s">
        <v>5865</v>
      </c>
      <c r="C11003" s="402" t="s">
        <v>33</v>
      </c>
      <c r="D11003" s="601">
        <v>351.13</v>
      </c>
    </row>
    <row r="11004" spans="1:4" ht="27">
      <c r="A11004" s="402">
        <v>100465</v>
      </c>
      <c r="B11004" s="403" t="s">
        <v>5866</v>
      </c>
      <c r="C11004" s="402" t="s">
        <v>33</v>
      </c>
      <c r="D11004" s="601">
        <v>328.79</v>
      </c>
    </row>
    <row r="11005" spans="1:4" ht="27">
      <c r="A11005" s="402">
        <v>100466</v>
      </c>
      <c r="B11005" s="403" t="s">
        <v>5867</v>
      </c>
      <c r="C11005" s="402" t="s">
        <v>33</v>
      </c>
      <c r="D11005" s="601">
        <v>318.64999999999998</v>
      </c>
    </row>
    <row r="11006" spans="1:4" ht="27">
      <c r="A11006" s="402">
        <v>100468</v>
      </c>
      <c r="B11006" s="403" t="s">
        <v>5868</v>
      </c>
      <c r="C11006" s="402" t="s">
        <v>33</v>
      </c>
      <c r="D11006" s="601">
        <v>420.34</v>
      </c>
    </row>
    <row r="11007" spans="1:4" ht="27">
      <c r="A11007" s="402">
        <v>100469</v>
      </c>
      <c r="B11007" s="403" t="s">
        <v>5869</v>
      </c>
      <c r="C11007" s="402" t="s">
        <v>33</v>
      </c>
      <c r="D11007" s="601">
        <v>344.19</v>
      </c>
    </row>
    <row r="11008" spans="1:4" ht="27">
      <c r="A11008" s="402">
        <v>100470</v>
      </c>
      <c r="B11008" s="403" t="s">
        <v>5870</v>
      </c>
      <c r="C11008" s="402" t="s">
        <v>33</v>
      </c>
      <c r="D11008" s="601">
        <v>306.08</v>
      </c>
    </row>
    <row r="11009" spans="1:4" ht="27">
      <c r="A11009" s="402">
        <v>100472</v>
      </c>
      <c r="B11009" s="403" t="s">
        <v>5871</v>
      </c>
      <c r="C11009" s="402" t="s">
        <v>33</v>
      </c>
      <c r="D11009" s="601">
        <v>336.28</v>
      </c>
    </row>
    <row r="11010" spans="1:4" ht="27">
      <c r="A11010" s="402">
        <v>100473</v>
      </c>
      <c r="B11010" s="403" t="s">
        <v>5872</v>
      </c>
      <c r="C11010" s="402" t="s">
        <v>33</v>
      </c>
      <c r="D11010" s="601">
        <v>307.76</v>
      </c>
    </row>
    <row r="11011" spans="1:4" ht="27">
      <c r="A11011" s="402">
        <v>100474</v>
      </c>
      <c r="B11011" s="403" t="s">
        <v>5873</v>
      </c>
      <c r="C11011" s="402" t="s">
        <v>33</v>
      </c>
      <c r="D11011" s="601">
        <v>296.31</v>
      </c>
    </row>
    <row r="11012" spans="1:4" ht="27">
      <c r="A11012" s="402">
        <v>100475</v>
      </c>
      <c r="B11012" s="403" t="s">
        <v>5874</v>
      </c>
      <c r="C11012" s="402" t="s">
        <v>33</v>
      </c>
      <c r="D11012" s="601">
        <v>453.9</v>
      </c>
    </row>
    <row r="11013" spans="1:4" ht="40.5">
      <c r="A11013" s="402">
        <v>100477</v>
      </c>
      <c r="B11013" s="403" t="s">
        <v>5875</v>
      </c>
      <c r="C11013" s="402" t="s">
        <v>33</v>
      </c>
      <c r="D11013" s="601">
        <v>489.89</v>
      </c>
    </row>
    <row r="11014" spans="1:4" ht="40.5">
      <c r="A11014" s="402">
        <v>100478</v>
      </c>
      <c r="B11014" s="403" t="s">
        <v>5876</v>
      </c>
      <c r="C11014" s="402" t="s">
        <v>33</v>
      </c>
      <c r="D11014" s="601">
        <v>445.9</v>
      </c>
    </row>
    <row r="11015" spans="1:4" ht="40.5">
      <c r="A11015" s="402">
        <v>100479</v>
      </c>
      <c r="B11015" s="403" t="s">
        <v>5877</v>
      </c>
      <c r="C11015" s="402" t="s">
        <v>33</v>
      </c>
      <c r="D11015" s="601">
        <v>437.79</v>
      </c>
    </row>
    <row r="11016" spans="1:4" ht="27">
      <c r="A11016" s="402">
        <v>100480</v>
      </c>
      <c r="B11016" s="403" t="s">
        <v>5878</v>
      </c>
      <c r="C11016" s="402" t="s">
        <v>33</v>
      </c>
      <c r="D11016" s="601">
        <v>530.59</v>
      </c>
    </row>
    <row r="11017" spans="1:4" ht="27">
      <c r="A11017" s="402">
        <v>100481</v>
      </c>
      <c r="B11017" s="403" t="s">
        <v>5879</v>
      </c>
      <c r="C11017" s="402" t="s">
        <v>33</v>
      </c>
      <c r="D11017" s="601">
        <v>389.63</v>
      </c>
    </row>
    <row r="11018" spans="1:4" ht="40.5">
      <c r="A11018" s="402">
        <v>100483</v>
      </c>
      <c r="B11018" s="403" t="s">
        <v>5880</v>
      </c>
      <c r="C11018" s="402" t="s">
        <v>33</v>
      </c>
      <c r="D11018" s="601">
        <v>416.7</v>
      </c>
    </row>
    <row r="11019" spans="1:4" ht="40.5">
      <c r="A11019" s="402">
        <v>100484</v>
      </c>
      <c r="B11019" s="403" t="s">
        <v>5881</v>
      </c>
      <c r="C11019" s="402" t="s">
        <v>33</v>
      </c>
      <c r="D11019" s="601">
        <v>388.92</v>
      </c>
    </row>
    <row r="11020" spans="1:4" ht="40.5">
      <c r="A11020" s="402">
        <v>100485</v>
      </c>
      <c r="B11020" s="403" t="s">
        <v>5882</v>
      </c>
      <c r="C11020" s="402" t="s">
        <v>33</v>
      </c>
      <c r="D11020" s="601">
        <v>379</v>
      </c>
    </row>
    <row r="11021" spans="1:4" ht="27">
      <c r="A11021" s="402">
        <v>100486</v>
      </c>
      <c r="B11021" s="403" t="s">
        <v>5883</v>
      </c>
      <c r="C11021" s="402" t="s">
        <v>33</v>
      </c>
      <c r="D11021" s="601">
        <v>468.98</v>
      </c>
    </row>
    <row r="11022" spans="1:4" ht="40.5">
      <c r="A11022" s="402">
        <v>100487</v>
      </c>
      <c r="B11022" s="403" t="s">
        <v>5884</v>
      </c>
      <c r="C11022" s="402" t="s">
        <v>33</v>
      </c>
      <c r="D11022" s="601">
        <v>304.54000000000002</v>
      </c>
    </row>
    <row r="11023" spans="1:4" ht="27">
      <c r="A11023" s="402">
        <v>100488</v>
      </c>
      <c r="B11023" s="403" t="s">
        <v>5885</v>
      </c>
      <c r="C11023" s="402" t="s">
        <v>33</v>
      </c>
      <c r="D11023" s="601">
        <v>332.54</v>
      </c>
    </row>
    <row r="11024" spans="1:4" ht="27">
      <c r="A11024" s="402">
        <v>100489</v>
      </c>
      <c r="B11024" s="403" t="s">
        <v>5886</v>
      </c>
      <c r="C11024" s="402" t="s">
        <v>33</v>
      </c>
      <c r="D11024" s="601">
        <v>350.29</v>
      </c>
    </row>
    <row r="11025" spans="1:4" ht="27">
      <c r="A11025" s="402">
        <v>100490</v>
      </c>
      <c r="B11025" s="403" t="s">
        <v>5887</v>
      </c>
      <c r="C11025" s="402" t="s">
        <v>33</v>
      </c>
      <c r="D11025" s="601">
        <v>307.45999999999998</v>
      </c>
    </row>
    <row r="11026" spans="1:4" ht="27">
      <c r="A11026" s="402">
        <v>100491</v>
      </c>
      <c r="B11026" s="403" t="s">
        <v>5888</v>
      </c>
      <c r="C11026" s="402" t="s">
        <v>33</v>
      </c>
      <c r="D11026" s="601">
        <v>455.36</v>
      </c>
    </row>
    <row r="11027" spans="1:4" ht="27">
      <c r="A11027" s="402">
        <v>100492</v>
      </c>
      <c r="B11027" s="403" t="s">
        <v>5889</v>
      </c>
      <c r="C11027" s="402" t="s">
        <v>33</v>
      </c>
      <c r="D11027" s="601">
        <v>391.35</v>
      </c>
    </row>
    <row r="11028" spans="1:4" ht="13.5">
      <c r="A11028" s="402">
        <v>92121</v>
      </c>
      <c r="B11028" s="403" t="s">
        <v>616</v>
      </c>
      <c r="C11028" s="402" t="s">
        <v>33</v>
      </c>
      <c r="D11028" s="601">
        <v>20.62</v>
      </c>
    </row>
    <row r="11029" spans="1:4" ht="13.5">
      <c r="A11029" s="402">
        <v>92122</v>
      </c>
      <c r="B11029" s="403" t="s">
        <v>617</v>
      </c>
      <c r="C11029" s="402" t="s">
        <v>33</v>
      </c>
      <c r="D11029" s="601">
        <v>34.450000000000003</v>
      </c>
    </row>
    <row r="11030" spans="1:4" ht="13.5">
      <c r="A11030" s="402">
        <v>92123</v>
      </c>
      <c r="B11030" s="403" t="s">
        <v>618</v>
      </c>
      <c r="C11030" s="402" t="s">
        <v>33</v>
      </c>
      <c r="D11030" s="601">
        <v>34.29</v>
      </c>
    </row>
    <row r="11031" spans="1:4" ht="13.5">
      <c r="A11031" s="402">
        <v>100195</v>
      </c>
      <c r="B11031" s="403" t="s">
        <v>5890</v>
      </c>
      <c r="C11031" s="402" t="s">
        <v>5891</v>
      </c>
      <c r="D11031" s="601">
        <v>0.52</v>
      </c>
    </row>
    <row r="11032" spans="1:4" ht="13.5">
      <c r="A11032" s="402">
        <v>100196</v>
      </c>
      <c r="B11032" s="403" t="s">
        <v>5892</v>
      </c>
      <c r="C11032" s="402" t="s">
        <v>5891</v>
      </c>
      <c r="D11032" s="601">
        <v>0.87</v>
      </c>
    </row>
    <row r="11033" spans="1:4" ht="13.5">
      <c r="A11033" s="402">
        <v>100197</v>
      </c>
      <c r="B11033" s="403" t="s">
        <v>5893</v>
      </c>
      <c r="C11033" s="402" t="s">
        <v>5891</v>
      </c>
      <c r="D11033" s="601">
        <v>1.31</v>
      </c>
    </row>
    <row r="11034" spans="1:4" ht="27">
      <c r="A11034" s="402">
        <v>100198</v>
      </c>
      <c r="B11034" s="403" t="s">
        <v>5894</v>
      </c>
      <c r="C11034" s="402" t="s">
        <v>5891</v>
      </c>
      <c r="D11034" s="601">
        <v>0.18</v>
      </c>
    </row>
    <row r="11035" spans="1:4" ht="27">
      <c r="A11035" s="402">
        <v>100199</v>
      </c>
      <c r="B11035" s="403" t="s">
        <v>5895</v>
      </c>
      <c r="C11035" s="402" t="s">
        <v>5891</v>
      </c>
      <c r="D11035" s="601">
        <v>0.22</v>
      </c>
    </row>
    <row r="11036" spans="1:4" ht="27">
      <c r="A11036" s="402">
        <v>100200</v>
      </c>
      <c r="B11036" s="403" t="s">
        <v>5896</v>
      </c>
      <c r="C11036" s="402" t="s">
        <v>5891</v>
      </c>
      <c r="D11036" s="601">
        <v>0.27</v>
      </c>
    </row>
    <row r="11037" spans="1:4" ht="27">
      <c r="A11037" s="402">
        <v>100201</v>
      </c>
      <c r="B11037" s="403" t="s">
        <v>5897</v>
      </c>
      <c r="C11037" s="402" t="s">
        <v>5891</v>
      </c>
      <c r="D11037" s="601">
        <v>0.53</v>
      </c>
    </row>
    <row r="11038" spans="1:4" ht="27">
      <c r="A11038" s="402">
        <v>100202</v>
      </c>
      <c r="B11038" s="403" t="s">
        <v>5898</v>
      </c>
      <c r="C11038" s="402" t="s">
        <v>5891</v>
      </c>
      <c r="D11038" s="601">
        <v>0.62</v>
      </c>
    </row>
    <row r="11039" spans="1:4" ht="27">
      <c r="A11039" s="402">
        <v>100203</v>
      </c>
      <c r="B11039" s="403" t="s">
        <v>5899</v>
      </c>
      <c r="C11039" s="402" t="s">
        <v>5891</v>
      </c>
      <c r="D11039" s="601">
        <v>0.74</v>
      </c>
    </row>
    <row r="11040" spans="1:4" ht="27">
      <c r="A11040" s="402">
        <v>100204</v>
      </c>
      <c r="B11040" s="403" t="s">
        <v>5900</v>
      </c>
      <c r="C11040" s="402" t="s">
        <v>5891</v>
      </c>
      <c r="D11040" s="601">
        <v>0.06</v>
      </c>
    </row>
    <row r="11041" spans="1:4" ht="27">
      <c r="A11041" s="402">
        <v>100205</v>
      </c>
      <c r="B11041" s="403" t="s">
        <v>5901</v>
      </c>
      <c r="C11041" s="402" t="s">
        <v>144</v>
      </c>
      <c r="D11041" s="601">
        <v>981.56</v>
      </c>
    </row>
    <row r="11042" spans="1:4" ht="27">
      <c r="A11042" s="402">
        <v>100206</v>
      </c>
      <c r="B11042" s="403" t="s">
        <v>5902</v>
      </c>
      <c r="C11042" s="402" t="s">
        <v>144</v>
      </c>
      <c r="D11042" s="601">
        <v>709.5</v>
      </c>
    </row>
    <row r="11043" spans="1:4" ht="27">
      <c r="A11043" s="402">
        <v>100207</v>
      </c>
      <c r="B11043" s="403" t="s">
        <v>5903</v>
      </c>
      <c r="C11043" s="402" t="s">
        <v>144</v>
      </c>
      <c r="D11043" s="601">
        <v>270.08</v>
      </c>
    </row>
    <row r="11044" spans="1:4" ht="27">
      <c r="A11044" s="402">
        <v>100208</v>
      </c>
      <c r="B11044" s="403" t="s">
        <v>5904</v>
      </c>
      <c r="C11044" s="402" t="s">
        <v>5905</v>
      </c>
      <c r="D11044" s="601">
        <v>12.98</v>
      </c>
    </row>
    <row r="11045" spans="1:4" ht="27">
      <c r="A11045" s="402">
        <v>100209</v>
      </c>
      <c r="B11045" s="403" t="s">
        <v>5906</v>
      </c>
      <c r="C11045" s="402" t="s">
        <v>5905</v>
      </c>
      <c r="D11045" s="601">
        <v>6.49</v>
      </c>
    </row>
    <row r="11046" spans="1:4" ht="27">
      <c r="A11046" s="402">
        <v>100210</v>
      </c>
      <c r="B11046" s="403" t="s">
        <v>5907</v>
      </c>
      <c r="C11046" s="402" t="s">
        <v>5905</v>
      </c>
      <c r="D11046" s="601">
        <v>11.96</v>
      </c>
    </row>
    <row r="11047" spans="1:4" ht="27">
      <c r="A11047" s="402">
        <v>100211</v>
      </c>
      <c r="B11047" s="403" t="s">
        <v>5908</v>
      </c>
      <c r="C11047" s="402" t="s">
        <v>5905</v>
      </c>
      <c r="D11047" s="601">
        <v>4.6100000000000003</v>
      </c>
    </row>
    <row r="11048" spans="1:4" ht="27">
      <c r="A11048" s="402">
        <v>100212</v>
      </c>
      <c r="B11048" s="403" t="s">
        <v>5909</v>
      </c>
      <c r="C11048" s="402" t="s">
        <v>5905</v>
      </c>
      <c r="D11048" s="601">
        <v>5.09</v>
      </c>
    </row>
    <row r="11049" spans="1:4" ht="27">
      <c r="A11049" s="402">
        <v>100213</v>
      </c>
      <c r="B11049" s="403" t="s">
        <v>5910</v>
      </c>
      <c r="C11049" s="402" t="s">
        <v>5905</v>
      </c>
      <c r="D11049" s="601">
        <v>1.83</v>
      </c>
    </row>
    <row r="11050" spans="1:4" ht="27">
      <c r="A11050" s="402">
        <v>100214</v>
      </c>
      <c r="B11050" s="403" t="s">
        <v>5911</v>
      </c>
      <c r="C11050" s="402" t="s">
        <v>5905</v>
      </c>
      <c r="D11050" s="601">
        <v>2.81</v>
      </c>
    </row>
    <row r="11051" spans="1:4" ht="27">
      <c r="A11051" s="402">
        <v>100215</v>
      </c>
      <c r="B11051" s="403" t="s">
        <v>5912</v>
      </c>
      <c r="C11051" s="402" t="s">
        <v>5905</v>
      </c>
      <c r="D11051" s="601">
        <v>2.4</v>
      </c>
    </row>
    <row r="11052" spans="1:4" ht="27">
      <c r="A11052" s="402">
        <v>100216</v>
      </c>
      <c r="B11052" s="403" t="s">
        <v>5913</v>
      </c>
      <c r="C11052" s="402" t="s">
        <v>5905</v>
      </c>
      <c r="D11052" s="601">
        <v>0.64</v>
      </c>
    </row>
    <row r="11053" spans="1:4" ht="27">
      <c r="A11053" s="402">
        <v>100217</v>
      </c>
      <c r="B11053" s="403" t="s">
        <v>5914</v>
      </c>
      <c r="C11053" s="402" t="s">
        <v>5905</v>
      </c>
      <c r="D11053" s="601">
        <v>1.79</v>
      </c>
    </row>
    <row r="11054" spans="1:4" ht="27">
      <c r="A11054" s="402">
        <v>100218</v>
      </c>
      <c r="B11054" s="403" t="s">
        <v>5915</v>
      </c>
      <c r="C11054" s="402" t="s">
        <v>5905</v>
      </c>
      <c r="D11054" s="601">
        <v>1.23</v>
      </c>
    </row>
    <row r="11055" spans="1:4" ht="27">
      <c r="A11055" s="402">
        <v>100219</v>
      </c>
      <c r="B11055" s="403" t="s">
        <v>5916</v>
      </c>
      <c r="C11055" s="402" t="s">
        <v>5905</v>
      </c>
      <c r="D11055" s="601">
        <v>0.26</v>
      </c>
    </row>
    <row r="11056" spans="1:4" ht="27">
      <c r="A11056" s="402">
        <v>100220</v>
      </c>
      <c r="B11056" s="403" t="s">
        <v>5917</v>
      </c>
      <c r="C11056" s="402" t="s">
        <v>5918</v>
      </c>
      <c r="D11056" s="601">
        <v>18.649999999999999</v>
      </c>
    </row>
    <row r="11057" spans="1:4" ht="27">
      <c r="A11057" s="402">
        <v>100221</v>
      </c>
      <c r="B11057" s="403" t="s">
        <v>5919</v>
      </c>
      <c r="C11057" s="402" t="s">
        <v>5918</v>
      </c>
      <c r="D11057" s="601">
        <v>21.14</v>
      </c>
    </row>
    <row r="11058" spans="1:4" ht="27">
      <c r="A11058" s="402">
        <v>100222</v>
      </c>
      <c r="B11058" s="403" t="s">
        <v>5920</v>
      </c>
      <c r="C11058" s="402" t="s">
        <v>5918</v>
      </c>
      <c r="D11058" s="601">
        <v>8.01</v>
      </c>
    </row>
    <row r="11059" spans="1:4" ht="27">
      <c r="A11059" s="402">
        <v>100223</v>
      </c>
      <c r="B11059" s="403" t="s">
        <v>5921</v>
      </c>
      <c r="C11059" s="402" t="s">
        <v>5918</v>
      </c>
      <c r="D11059" s="601">
        <v>3.74</v>
      </c>
    </row>
    <row r="11060" spans="1:4" ht="27">
      <c r="A11060" s="402">
        <v>100224</v>
      </c>
      <c r="B11060" s="403" t="s">
        <v>5922</v>
      </c>
      <c r="C11060" s="402" t="s">
        <v>5918</v>
      </c>
      <c r="D11060" s="601">
        <v>1.79</v>
      </c>
    </row>
    <row r="11061" spans="1:4" ht="27">
      <c r="A11061" s="402">
        <v>100225</v>
      </c>
      <c r="B11061" s="403" t="s">
        <v>5923</v>
      </c>
      <c r="C11061" s="402" t="s">
        <v>5924</v>
      </c>
      <c r="D11061" s="601">
        <v>1.46</v>
      </c>
    </row>
    <row r="11062" spans="1:4" ht="27">
      <c r="A11062" s="402">
        <v>100226</v>
      </c>
      <c r="B11062" s="403" t="s">
        <v>5925</v>
      </c>
      <c r="C11062" s="402" t="s">
        <v>5924</v>
      </c>
      <c r="D11062" s="601">
        <v>0.46</v>
      </c>
    </row>
    <row r="11063" spans="1:4" ht="27">
      <c r="A11063" s="402">
        <v>100227</v>
      </c>
      <c r="B11063" s="403" t="s">
        <v>5926</v>
      </c>
      <c r="C11063" s="402" t="s">
        <v>5924</v>
      </c>
      <c r="D11063" s="601">
        <v>0.68</v>
      </c>
    </row>
    <row r="11064" spans="1:4" ht="27">
      <c r="A11064" s="402">
        <v>100228</v>
      </c>
      <c r="B11064" s="403" t="s">
        <v>5927</v>
      </c>
      <c r="C11064" s="402" t="s">
        <v>5924</v>
      </c>
      <c r="D11064" s="601">
        <v>0.17</v>
      </c>
    </row>
    <row r="11065" spans="1:4" ht="27">
      <c r="A11065" s="402">
        <v>100229</v>
      </c>
      <c r="B11065" s="403" t="s">
        <v>5928</v>
      </c>
      <c r="C11065" s="402" t="s">
        <v>20</v>
      </c>
      <c r="D11065" s="601">
        <v>0.01</v>
      </c>
    </row>
    <row r="11066" spans="1:4" ht="27">
      <c r="A11066" s="402">
        <v>100230</v>
      </c>
      <c r="B11066" s="403" t="s">
        <v>5929</v>
      </c>
      <c r="C11066" s="402" t="s">
        <v>20</v>
      </c>
      <c r="D11066" s="601">
        <v>0.01</v>
      </c>
    </row>
    <row r="11067" spans="1:4" ht="27">
      <c r="A11067" s="402">
        <v>100231</v>
      </c>
      <c r="B11067" s="403" t="s">
        <v>5930</v>
      </c>
      <c r="C11067" s="402" t="s">
        <v>20</v>
      </c>
      <c r="D11067" s="601">
        <v>0.02</v>
      </c>
    </row>
    <row r="11068" spans="1:4" ht="27">
      <c r="A11068" s="402">
        <v>100232</v>
      </c>
      <c r="B11068" s="403" t="s">
        <v>5931</v>
      </c>
      <c r="C11068" s="402" t="s">
        <v>35</v>
      </c>
      <c r="D11068" s="601">
        <v>0.24</v>
      </c>
    </row>
    <row r="11069" spans="1:4" ht="27">
      <c r="A11069" s="402">
        <v>100233</v>
      </c>
      <c r="B11069" s="403" t="s">
        <v>5932</v>
      </c>
      <c r="C11069" s="402" t="s">
        <v>35</v>
      </c>
      <c r="D11069" s="601">
        <v>0.12</v>
      </c>
    </row>
    <row r="11070" spans="1:4" ht="27">
      <c r="A11070" s="402">
        <v>100234</v>
      </c>
      <c r="B11070" s="403" t="s">
        <v>5933</v>
      </c>
      <c r="C11070" s="402" t="s">
        <v>48</v>
      </c>
      <c r="D11070" s="601">
        <v>0.36</v>
      </c>
    </row>
    <row r="11071" spans="1:4" ht="27">
      <c r="A11071" s="402">
        <v>100235</v>
      </c>
      <c r="B11071" s="403" t="s">
        <v>5934</v>
      </c>
      <c r="C11071" s="402" t="s">
        <v>58</v>
      </c>
      <c r="D11071" s="601">
        <v>0.02</v>
      </c>
    </row>
    <row r="11072" spans="1:4" ht="27">
      <c r="A11072" s="402">
        <v>100236</v>
      </c>
      <c r="B11072" s="403" t="s">
        <v>5935</v>
      </c>
      <c r="C11072" s="402" t="s">
        <v>5936</v>
      </c>
      <c r="D11072" s="601">
        <v>1.86</v>
      </c>
    </row>
    <row r="11073" spans="1:4" ht="27">
      <c r="A11073" s="402">
        <v>100237</v>
      </c>
      <c r="B11073" s="403" t="s">
        <v>5937</v>
      </c>
      <c r="C11073" s="402" t="s">
        <v>5936</v>
      </c>
      <c r="D11073" s="601">
        <v>2.23</v>
      </c>
    </row>
    <row r="11074" spans="1:4" ht="27">
      <c r="A11074" s="402">
        <v>100238</v>
      </c>
      <c r="B11074" s="403" t="s">
        <v>5938</v>
      </c>
      <c r="C11074" s="402" t="s">
        <v>5936</v>
      </c>
      <c r="D11074" s="601">
        <v>3.57</v>
      </c>
    </row>
    <row r="11075" spans="1:4" ht="27">
      <c r="A11075" s="402">
        <v>100239</v>
      </c>
      <c r="B11075" s="403" t="s">
        <v>5939</v>
      </c>
      <c r="C11075" s="402" t="s">
        <v>5936</v>
      </c>
      <c r="D11075" s="601">
        <v>4.46</v>
      </c>
    </row>
    <row r="11076" spans="1:4" ht="27">
      <c r="A11076" s="402">
        <v>100240</v>
      </c>
      <c r="B11076" s="403" t="s">
        <v>5940</v>
      </c>
      <c r="C11076" s="402" t="s">
        <v>5936</v>
      </c>
      <c r="D11076" s="601">
        <v>2.67</v>
      </c>
    </row>
    <row r="11077" spans="1:4" ht="27">
      <c r="A11077" s="402">
        <v>100241</v>
      </c>
      <c r="B11077" s="403" t="s">
        <v>5941</v>
      </c>
      <c r="C11077" s="402" t="s">
        <v>5936</v>
      </c>
      <c r="D11077" s="601">
        <v>4.46</v>
      </c>
    </row>
    <row r="11078" spans="1:4" ht="27">
      <c r="A11078" s="402">
        <v>100242</v>
      </c>
      <c r="B11078" s="403" t="s">
        <v>5942</v>
      </c>
      <c r="C11078" s="402" t="s">
        <v>5936</v>
      </c>
      <c r="D11078" s="601">
        <v>13.18</v>
      </c>
    </row>
    <row r="11079" spans="1:4" ht="27">
      <c r="A11079" s="402">
        <v>100243</v>
      </c>
      <c r="B11079" s="403" t="s">
        <v>5943</v>
      </c>
      <c r="C11079" s="402" t="s">
        <v>5936</v>
      </c>
      <c r="D11079" s="601">
        <v>2.14</v>
      </c>
    </row>
    <row r="11080" spans="1:4" ht="27">
      <c r="A11080" s="402">
        <v>100244</v>
      </c>
      <c r="B11080" s="403" t="s">
        <v>5944</v>
      </c>
      <c r="C11080" s="402" t="s">
        <v>5936</v>
      </c>
      <c r="D11080" s="601">
        <v>2.67</v>
      </c>
    </row>
    <row r="11081" spans="1:4" ht="27">
      <c r="A11081" s="402">
        <v>100245</v>
      </c>
      <c r="B11081" s="403" t="s">
        <v>5945</v>
      </c>
      <c r="C11081" s="402" t="s">
        <v>5936</v>
      </c>
      <c r="D11081" s="601">
        <v>5.35</v>
      </c>
    </row>
    <row r="11082" spans="1:4" ht="40.5">
      <c r="A11082" s="402">
        <v>100246</v>
      </c>
      <c r="B11082" s="403" t="s">
        <v>5946</v>
      </c>
      <c r="C11082" s="402" t="s">
        <v>5936</v>
      </c>
      <c r="D11082" s="601">
        <v>1.78</v>
      </c>
    </row>
    <row r="11083" spans="1:4" ht="40.5">
      <c r="A11083" s="402">
        <v>100247</v>
      </c>
      <c r="B11083" s="403" t="s">
        <v>5947</v>
      </c>
      <c r="C11083" s="402" t="s">
        <v>5936</v>
      </c>
      <c r="D11083" s="601">
        <v>2.23</v>
      </c>
    </row>
    <row r="11084" spans="1:4" ht="40.5">
      <c r="A11084" s="402">
        <v>100248</v>
      </c>
      <c r="B11084" s="403" t="s">
        <v>5948</v>
      </c>
      <c r="C11084" s="402" t="s">
        <v>5936</v>
      </c>
      <c r="D11084" s="601">
        <v>8.7899999999999991</v>
      </c>
    </row>
    <row r="11085" spans="1:4" ht="27">
      <c r="A11085" s="402">
        <v>100249</v>
      </c>
      <c r="B11085" s="403" t="s">
        <v>5949</v>
      </c>
      <c r="C11085" s="402" t="s">
        <v>5936</v>
      </c>
      <c r="D11085" s="601">
        <v>1.78</v>
      </c>
    </row>
    <row r="11086" spans="1:4" ht="40.5">
      <c r="A11086" s="402">
        <v>100250</v>
      </c>
      <c r="B11086" s="403" t="s">
        <v>5950</v>
      </c>
      <c r="C11086" s="402" t="s">
        <v>5936</v>
      </c>
      <c r="D11086" s="601">
        <v>2.97</v>
      </c>
    </row>
    <row r="11087" spans="1:4" ht="40.5">
      <c r="A11087" s="402">
        <v>100251</v>
      </c>
      <c r="B11087" s="403" t="s">
        <v>5951</v>
      </c>
      <c r="C11087" s="402" t="s">
        <v>5936</v>
      </c>
      <c r="D11087" s="601">
        <v>8.7899999999999991</v>
      </c>
    </row>
    <row r="11088" spans="1:4" ht="40.5">
      <c r="A11088" s="402">
        <v>100252</v>
      </c>
      <c r="B11088" s="403" t="s">
        <v>5952</v>
      </c>
      <c r="C11088" s="402" t="s">
        <v>5936</v>
      </c>
      <c r="D11088" s="601">
        <v>13.18</v>
      </c>
    </row>
    <row r="11089" spans="1:4" ht="40.5">
      <c r="A11089" s="402">
        <v>100253</v>
      </c>
      <c r="B11089" s="403" t="s">
        <v>5953</v>
      </c>
      <c r="C11089" s="402" t="s">
        <v>5936</v>
      </c>
      <c r="D11089" s="601">
        <v>17.579999999999998</v>
      </c>
    </row>
    <row r="11090" spans="1:4" ht="40.5">
      <c r="A11090" s="402">
        <v>100254</v>
      </c>
      <c r="B11090" s="403" t="s">
        <v>5954</v>
      </c>
      <c r="C11090" s="402" t="s">
        <v>5936</v>
      </c>
      <c r="D11090" s="601">
        <v>26.37</v>
      </c>
    </row>
    <row r="11091" spans="1:4" ht="27">
      <c r="A11091" s="402">
        <v>100255</v>
      </c>
      <c r="B11091" s="403" t="s">
        <v>5955</v>
      </c>
      <c r="C11091" s="402" t="s">
        <v>5936</v>
      </c>
      <c r="D11091" s="601">
        <v>8.92</v>
      </c>
    </row>
    <row r="11092" spans="1:4" ht="27">
      <c r="A11092" s="402">
        <v>100256</v>
      </c>
      <c r="B11092" s="403" t="s">
        <v>5956</v>
      </c>
      <c r="C11092" s="402" t="s">
        <v>5936</v>
      </c>
      <c r="D11092" s="601">
        <v>5.95</v>
      </c>
    </row>
    <row r="11093" spans="1:4" ht="27">
      <c r="A11093" s="402">
        <v>100257</v>
      </c>
      <c r="B11093" s="403" t="s">
        <v>5957</v>
      </c>
      <c r="C11093" s="402" t="s">
        <v>5936</v>
      </c>
      <c r="D11093" s="601">
        <v>3.57</v>
      </c>
    </row>
    <row r="11094" spans="1:4" ht="27">
      <c r="A11094" s="402">
        <v>100258</v>
      </c>
      <c r="B11094" s="403" t="s">
        <v>5958</v>
      </c>
      <c r="C11094" s="402" t="s">
        <v>5936</v>
      </c>
      <c r="D11094" s="601">
        <v>8.92</v>
      </c>
    </row>
    <row r="11095" spans="1:4" ht="27">
      <c r="A11095" s="402">
        <v>100259</v>
      </c>
      <c r="B11095" s="403" t="s">
        <v>5959</v>
      </c>
      <c r="C11095" s="402" t="s">
        <v>5936</v>
      </c>
      <c r="D11095" s="601">
        <v>17.579999999999998</v>
      </c>
    </row>
    <row r="11096" spans="1:4" ht="27">
      <c r="A11096" s="402">
        <v>100260</v>
      </c>
      <c r="B11096" s="403" t="s">
        <v>5960</v>
      </c>
      <c r="C11096" s="402" t="s">
        <v>5891</v>
      </c>
      <c r="D11096" s="601">
        <v>5.79</v>
      </c>
    </row>
    <row r="11097" spans="1:4" ht="27">
      <c r="A11097" s="402">
        <v>100261</v>
      </c>
      <c r="B11097" s="403" t="s">
        <v>5961</v>
      </c>
      <c r="C11097" s="402" t="s">
        <v>5891</v>
      </c>
      <c r="D11097" s="601">
        <v>3.64</v>
      </c>
    </row>
    <row r="11098" spans="1:4" ht="27">
      <c r="A11098" s="402">
        <v>100262</v>
      </c>
      <c r="B11098" s="403" t="s">
        <v>5962</v>
      </c>
      <c r="C11098" s="402" t="s">
        <v>5891</v>
      </c>
      <c r="D11098" s="601">
        <v>2.25</v>
      </c>
    </row>
    <row r="11099" spans="1:4" ht="27">
      <c r="A11099" s="402">
        <v>100263</v>
      </c>
      <c r="B11099" s="403" t="s">
        <v>5963</v>
      </c>
      <c r="C11099" s="402" t="s">
        <v>5891</v>
      </c>
      <c r="D11099" s="601">
        <v>1.44</v>
      </c>
    </row>
    <row r="11100" spans="1:4" ht="13.5">
      <c r="A11100" s="402">
        <v>100264</v>
      </c>
      <c r="B11100" s="403" t="s">
        <v>5964</v>
      </c>
      <c r="C11100" s="402" t="s">
        <v>5918</v>
      </c>
      <c r="D11100" s="601">
        <v>26.33</v>
      </c>
    </row>
    <row r="11101" spans="1:4" ht="13.5">
      <c r="A11101" s="402">
        <v>100265</v>
      </c>
      <c r="B11101" s="403" t="s">
        <v>5965</v>
      </c>
      <c r="C11101" s="402" t="s">
        <v>48</v>
      </c>
      <c r="D11101" s="601">
        <v>0.55000000000000004</v>
      </c>
    </row>
    <row r="11102" spans="1:4" ht="13.5">
      <c r="A11102" s="402">
        <v>100266</v>
      </c>
      <c r="B11102" s="403" t="s">
        <v>5966</v>
      </c>
      <c r="C11102" s="402" t="s">
        <v>5905</v>
      </c>
      <c r="D11102" s="601">
        <v>55.96</v>
      </c>
    </row>
    <row r="11103" spans="1:4" ht="27">
      <c r="A11103" s="402">
        <v>100267</v>
      </c>
      <c r="B11103" s="403" t="s">
        <v>5967</v>
      </c>
      <c r="C11103" s="402" t="s">
        <v>35</v>
      </c>
      <c r="D11103" s="601">
        <v>1.1000000000000001</v>
      </c>
    </row>
    <row r="11104" spans="1:4" ht="40.5">
      <c r="A11104" s="402">
        <v>100268</v>
      </c>
      <c r="B11104" s="403" t="s">
        <v>5968</v>
      </c>
      <c r="C11104" s="402" t="s">
        <v>5905</v>
      </c>
      <c r="D11104" s="601">
        <v>55.96</v>
      </c>
    </row>
    <row r="11105" spans="1:4" ht="40.5">
      <c r="A11105" s="402">
        <v>100269</v>
      </c>
      <c r="B11105" s="403" t="s">
        <v>5969</v>
      </c>
      <c r="C11105" s="402" t="s">
        <v>35</v>
      </c>
      <c r="D11105" s="601">
        <v>1.1000000000000001</v>
      </c>
    </row>
    <row r="11106" spans="1:4" ht="40.5">
      <c r="A11106" s="402">
        <v>100270</v>
      </c>
      <c r="B11106" s="403" t="s">
        <v>5970</v>
      </c>
      <c r="C11106" s="402" t="s">
        <v>5905</v>
      </c>
      <c r="D11106" s="601">
        <v>41.95</v>
      </c>
    </row>
    <row r="11107" spans="1:4" ht="13.5">
      <c r="A11107" s="402">
        <v>100271</v>
      </c>
      <c r="B11107" s="403" t="s">
        <v>5971</v>
      </c>
      <c r="C11107" s="402" t="s">
        <v>5918</v>
      </c>
      <c r="D11107" s="601">
        <v>41.97</v>
      </c>
    </row>
    <row r="11108" spans="1:4" ht="13.5">
      <c r="A11108" s="402">
        <v>100272</v>
      </c>
      <c r="B11108" s="403" t="s">
        <v>5972</v>
      </c>
      <c r="C11108" s="402" t="s">
        <v>48</v>
      </c>
      <c r="D11108" s="601">
        <v>0.83</v>
      </c>
    </row>
    <row r="11109" spans="1:4" ht="13.5">
      <c r="A11109" s="402">
        <v>100273</v>
      </c>
      <c r="B11109" s="403" t="s">
        <v>5973</v>
      </c>
      <c r="C11109" s="402" t="s">
        <v>5891</v>
      </c>
      <c r="D11109" s="601">
        <v>2.1800000000000002</v>
      </c>
    </row>
    <row r="11110" spans="1:4" ht="27">
      <c r="A11110" s="402">
        <v>100274</v>
      </c>
      <c r="B11110" s="403" t="s">
        <v>5974</v>
      </c>
      <c r="C11110" s="402" t="s">
        <v>5918</v>
      </c>
      <c r="D11110" s="601">
        <v>18.66</v>
      </c>
    </row>
    <row r="11111" spans="1:4" ht="27">
      <c r="A11111" s="402">
        <v>100275</v>
      </c>
      <c r="B11111" s="403" t="s">
        <v>5975</v>
      </c>
      <c r="C11111" s="402" t="s">
        <v>5918</v>
      </c>
      <c r="D11111" s="601">
        <v>12.06</v>
      </c>
    </row>
    <row r="11112" spans="1:4" ht="27">
      <c r="A11112" s="402">
        <v>100276</v>
      </c>
      <c r="B11112" s="403" t="s">
        <v>5976</v>
      </c>
      <c r="C11112" s="402" t="s">
        <v>5918</v>
      </c>
      <c r="D11112" s="601">
        <v>22.02</v>
      </c>
    </row>
    <row r="11113" spans="1:4" ht="40.5">
      <c r="A11113" s="402">
        <v>100277</v>
      </c>
      <c r="B11113" s="403" t="s">
        <v>5977</v>
      </c>
      <c r="C11113" s="402" t="s">
        <v>5918</v>
      </c>
      <c r="D11113" s="601">
        <v>1.1499999999999999</v>
      </c>
    </row>
    <row r="11114" spans="1:4" ht="27">
      <c r="A11114" s="402">
        <v>100278</v>
      </c>
      <c r="B11114" s="403" t="s">
        <v>5978</v>
      </c>
      <c r="C11114" s="402" t="s">
        <v>5905</v>
      </c>
      <c r="D11114" s="601">
        <v>26.77</v>
      </c>
    </row>
    <row r="11115" spans="1:4" ht="27">
      <c r="A11115" s="402">
        <v>100279</v>
      </c>
      <c r="B11115" s="403" t="s">
        <v>5979</v>
      </c>
      <c r="C11115" s="402" t="s">
        <v>35</v>
      </c>
      <c r="D11115" s="601">
        <v>0.51</v>
      </c>
    </row>
    <row r="11116" spans="1:4" ht="27">
      <c r="A11116" s="402">
        <v>100280</v>
      </c>
      <c r="B11116" s="403" t="s">
        <v>5980</v>
      </c>
      <c r="C11116" s="402" t="s">
        <v>5905</v>
      </c>
      <c r="D11116" s="601">
        <v>12.29</v>
      </c>
    </row>
    <row r="11117" spans="1:4" ht="27">
      <c r="A11117" s="402">
        <v>100281</v>
      </c>
      <c r="B11117" s="403" t="s">
        <v>5981</v>
      </c>
      <c r="C11117" s="402" t="s">
        <v>5905</v>
      </c>
      <c r="D11117" s="601">
        <v>2.2000000000000002</v>
      </c>
    </row>
    <row r="11118" spans="1:4" ht="27">
      <c r="A11118" s="402">
        <v>100282</v>
      </c>
      <c r="B11118" s="403" t="s">
        <v>5982</v>
      </c>
      <c r="C11118" s="402" t="s">
        <v>5918</v>
      </c>
      <c r="D11118" s="601">
        <v>104.85</v>
      </c>
    </row>
    <row r="11119" spans="1:4" ht="27">
      <c r="A11119" s="402">
        <v>100283</v>
      </c>
      <c r="B11119" s="403" t="s">
        <v>5983</v>
      </c>
      <c r="C11119" s="402" t="s">
        <v>5918</v>
      </c>
      <c r="D11119" s="601">
        <v>16.93</v>
      </c>
    </row>
    <row r="11120" spans="1:4" ht="27">
      <c r="A11120" s="402">
        <v>100284</v>
      </c>
      <c r="B11120" s="403" t="s">
        <v>5984</v>
      </c>
      <c r="C11120" s="402" t="s">
        <v>5918</v>
      </c>
      <c r="D11120" s="601">
        <v>6.44</v>
      </c>
    </row>
    <row r="11121" spans="1:4" ht="27">
      <c r="A11121" s="402">
        <v>100285</v>
      </c>
      <c r="B11121" s="403" t="s">
        <v>5985</v>
      </c>
      <c r="C11121" s="402" t="s">
        <v>5936</v>
      </c>
      <c r="D11121" s="601">
        <v>28.17</v>
      </c>
    </row>
    <row r="11122" spans="1:4" ht="27">
      <c r="A11122" s="402">
        <v>100286</v>
      </c>
      <c r="B11122" s="403" t="s">
        <v>5986</v>
      </c>
      <c r="C11122" s="402" t="s">
        <v>5936</v>
      </c>
      <c r="D11122" s="601">
        <v>9.18</v>
      </c>
    </row>
    <row r="11123" spans="1:4" ht="27">
      <c r="A11123" s="402">
        <v>100287</v>
      </c>
      <c r="B11123" s="403" t="s">
        <v>5987</v>
      </c>
      <c r="C11123" s="402" t="s">
        <v>5936</v>
      </c>
      <c r="D11123" s="601">
        <v>8.7899999999999991</v>
      </c>
    </row>
    <row r="11124" spans="1:4" ht="13.5">
      <c r="A11124" s="402">
        <v>84117</v>
      </c>
      <c r="B11124" s="403" t="s">
        <v>186</v>
      </c>
      <c r="C11124" s="402" t="s">
        <v>48</v>
      </c>
      <c r="D11124" s="601">
        <v>17.45</v>
      </c>
    </row>
    <row r="11125" spans="1:4" ht="13.5">
      <c r="A11125" s="402">
        <v>84120</v>
      </c>
      <c r="B11125" s="403" t="s">
        <v>187</v>
      </c>
      <c r="C11125" s="402" t="s">
        <v>48</v>
      </c>
      <c r="D11125" s="601">
        <v>13.58</v>
      </c>
    </row>
    <row r="11126" spans="1:4" ht="13.5">
      <c r="A11126" s="402">
        <v>99802</v>
      </c>
      <c r="B11126" s="403" t="s">
        <v>5988</v>
      </c>
      <c r="C11126" s="402" t="s">
        <v>48</v>
      </c>
      <c r="D11126" s="601">
        <v>0.35</v>
      </c>
    </row>
    <row r="11127" spans="1:4" ht="13.5">
      <c r="A11127" s="402">
        <v>99803</v>
      </c>
      <c r="B11127" s="403" t="s">
        <v>5989</v>
      </c>
      <c r="C11127" s="402" t="s">
        <v>48</v>
      </c>
      <c r="D11127" s="601">
        <v>1.39</v>
      </c>
    </row>
    <row r="11128" spans="1:4" ht="27">
      <c r="A11128" s="402">
        <v>99805</v>
      </c>
      <c r="B11128" s="403" t="s">
        <v>5990</v>
      </c>
      <c r="C11128" s="402" t="s">
        <v>48</v>
      </c>
      <c r="D11128" s="601">
        <v>7.29</v>
      </c>
    </row>
    <row r="11129" spans="1:4" ht="13.5">
      <c r="A11129" s="402">
        <v>99806</v>
      </c>
      <c r="B11129" s="403" t="s">
        <v>5991</v>
      </c>
      <c r="C11129" s="402" t="s">
        <v>48</v>
      </c>
      <c r="D11129" s="601">
        <v>0.56999999999999995</v>
      </c>
    </row>
    <row r="11130" spans="1:4" ht="27">
      <c r="A11130" s="402">
        <v>99808</v>
      </c>
      <c r="B11130" s="403" t="s">
        <v>5992</v>
      </c>
      <c r="C11130" s="402" t="s">
        <v>48</v>
      </c>
      <c r="D11130" s="601">
        <v>2.4</v>
      </c>
    </row>
    <row r="11131" spans="1:4" ht="13.5">
      <c r="A11131" s="402">
        <v>99809</v>
      </c>
      <c r="B11131" s="403" t="s">
        <v>5993</v>
      </c>
      <c r="C11131" s="402" t="s">
        <v>48</v>
      </c>
      <c r="D11131" s="601">
        <v>3.96</v>
      </c>
    </row>
    <row r="11132" spans="1:4" ht="13.5">
      <c r="A11132" s="402">
        <v>99811</v>
      </c>
      <c r="B11132" s="403" t="s">
        <v>5994</v>
      </c>
      <c r="C11132" s="402" t="s">
        <v>48</v>
      </c>
      <c r="D11132" s="601">
        <v>2.37</v>
      </c>
    </row>
    <row r="11133" spans="1:4" ht="13.5">
      <c r="A11133" s="402">
        <v>99812</v>
      </c>
      <c r="B11133" s="403" t="s">
        <v>5995</v>
      </c>
      <c r="C11133" s="402" t="s">
        <v>48</v>
      </c>
      <c r="D11133" s="601">
        <v>0.76</v>
      </c>
    </row>
    <row r="11134" spans="1:4" ht="13.5">
      <c r="A11134" s="402">
        <v>99814</v>
      </c>
      <c r="B11134" s="403" t="s">
        <v>5996</v>
      </c>
      <c r="C11134" s="402" t="s">
        <v>48</v>
      </c>
      <c r="D11134" s="601">
        <v>1.29</v>
      </c>
    </row>
    <row r="11135" spans="1:4" ht="13.5">
      <c r="A11135" s="402">
        <v>99822</v>
      </c>
      <c r="B11135" s="403" t="s">
        <v>5997</v>
      </c>
      <c r="C11135" s="402" t="s">
        <v>48</v>
      </c>
      <c r="D11135" s="601">
        <v>0.67</v>
      </c>
    </row>
    <row r="11136" spans="1:4" ht="13.5">
      <c r="A11136" s="402">
        <v>99826</v>
      </c>
      <c r="B11136" s="403" t="s">
        <v>5998</v>
      </c>
      <c r="C11136" s="402" t="s">
        <v>48</v>
      </c>
      <c r="D11136" s="601">
        <v>1.03</v>
      </c>
    </row>
    <row r="11137" spans="1:4" ht="27">
      <c r="A11137" s="402">
        <v>71516</v>
      </c>
      <c r="B11137" s="403" t="s">
        <v>1149</v>
      </c>
      <c r="C11137" s="402" t="s">
        <v>35</v>
      </c>
      <c r="D11137" s="601">
        <v>566.96</v>
      </c>
    </row>
    <row r="11138" spans="1:4" ht="13.5">
      <c r="A11138" s="402">
        <v>73361</v>
      </c>
      <c r="B11138" s="403" t="s">
        <v>152</v>
      </c>
      <c r="C11138" s="402" t="s">
        <v>33</v>
      </c>
      <c r="D11138" s="601">
        <v>362.19</v>
      </c>
    </row>
    <row r="11139" spans="1:4" ht="40.5">
      <c r="A11139" s="402">
        <v>73714</v>
      </c>
      <c r="B11139" s="403" t="s">
        <v>1189</v>
      </c>
      <c r="C11139" s="402" t="s">
        <v>35</v>
      </c>
      <c r="D11139" s="601">
        <v>1355.75</v>
      </c>
    </row>
    <row r="11140" spans="1:4" ht="40.5">
      <c r="A11140" s="402">
        <v>97010</v>
      </c>
      <c r="B11140" s="403" t="s">
        <v>4494</v>
      </c>
      <c r="C11140" s="402" t="s">
        <v>17</v>
      </c>
      <c r="D11140" s="601">
        <v>32.729999999999997</v>
      </c>
    </row>
    <row r="11141" spans="1:4" ht="40.5">
      <c r="A11141" s="402">
        <v>97011</v>
      </c>
      <c r="B11141" s="403" t="s">
        <v>4495</v>
      </c>
      <c r="C11141" s="402" t="s">
        <v>17</v>
      </c>
      <c r="D11141" s="601">
        <v>26.08</v>
      </c>
    </row>
    <row r="11142" spans="1:4" ht="40.5">
      <c r="A11142" s="402">
        <v>97012</v>
      </c>
      <c r="B11142" s="403" t="s">
        <v>4496</v>
      </c>
      <c r="C11142" s="402" t="s">
        <v>17</v>
      </c>
      <c r="D11142" s="601">
        <v>22.76</v>
      </c>
    </row>
    <row r="11143" spans="1:4" ht="40.5">
      <c r="A11143" s="402">
        <v>97013</v>
      </c>
      <c r="B11143" s="403" t="s">
        <v>4497</v>
      </c>
      <c r="C11143" s="402" t="s">
        <v>17</v>
      </c>
      <c r="D11143" s="601">
        <v>47.37</v>
      </c>
    </row>
    <row r="11144" spans="1:4" ht="40.5">
      <c r="A11144" s="402">
        <v>97014</v>
      </c>
      <c r="B11144" s="403" t="s">
        <v>4498</v>
      </c>
      <c r="C11144" s="402" t="s">
        <v>17</v>
      </c>
      <c r="D11144" s="601">
        <v>36.01</v>
      </c>
    </row>
    <row r="11145" spans="1:4" ht="40.5">
      <c r="A11145" s="402">
        <v>97015</v>
      </c>
      <c r="B11145" s="403" t="s">
        <v>4499</v>
      </c>
      <c r="C11145" s="402" t="s">
        <v>17</v>
      </c>
      <c r="D11145" s="601">
        <v>30.28</v>
      </c>
    </row>
    <row r="11146" spans="1:4" ht="40.5">
      <c r="A11146" s="402">
        <v>97016</v>
      </c>
      <c r="B11146" s="403" t="s">
        <v>4500</v>
      </c>
      <c r="C11146" s="402" t="s">
        <v>17</v>
      </c>
      <c r="D11146" s="601">
        <v>27.94</v>
      </c>
    </row>
    <row r="11147" spans="1:4" ht="27">
      <c r="A11147" s="402">
        <v>97017</v>
      </c>
      <c r="B11147" s="403" t="s">
        <v>4501</v>
      </c>
      <c r="C11147" s="402" t="s">
        <v>17</v>
      </c>
      <c r="D11147" s="601">
        <v>21.62</v>
      </c>
    </row>
    <row r="11148" spans="1:4" ht="40.5">
      <c r="A11148" s="402">
        <v>97018</v>
      </c>
      <c r="B11148" s="403" t="s">
        <v>4502</v>
      </c>
      <c r="C11148" s="402" t="s">
        <v>17</v>
      </c>
      <c r="D11148" s="601">
        <v>18.34</v>
      </c>
    </row>
    <row r="11149" spans="1:4" ht="54">
      <c r="A11149" s="402">
        <v>97031</v>
      </c>
      <c r="B11149" s="403" t="s">
        <v>4503</v>
      </c>
      <c r="C11149" s="402" t="s">
        <v>17</v>
      </c>
      <c r="D11149" s="601">
        <v>51.65</v>
      </c>
    </row>
    <row r="11150" spans="1:4" ht="54">
      <c r="A11150" s="402">
        <v>97032</v>
      </c>
      <c r="B11150" s="403" t="s">
        <v>5999</v>
      </c>
      <c r="C11150" s="402" t="s">
        <v>17</v>
      </c>
      <c r="D11150" s="601">
        <v>32.68</v>
      </c>
    </row>
    <row r="11151" spans="1:4" ht="54">
      <c r="A11151" s="402">
        <v>97033</v>
      </c>
      <c r="B11151" s="403" t="s">
        <v>5078</v>
      </c>
      <c r="C11151" s="402" t="s">
        <v>17</v>
      </c>
      <c r="D11151" s="601">
        <v>57.1</v>
      </c>
    </row>
    <row r="11152" spans="1:4" ht="54">
      <c r="A11152" s="402">
        <v>97034</v>
      </c>
      <c r="B11152" s="403" t="s">
        <v>5079</v>
      </c>
      <c r="C11152" s="402" t="s">
        <v>17</v>
      </c>
      <c r="D11152" s="601">
        <v>34.71</v>
      </c>
    </row>
    <row r="11153" spans="1:4" ht="27">
      <c r="A11153" s="402">
        <v>97039</v>
      </c>
      <c r="B11153" s="403" t="s">
        <v>4504</v>
      </c>
      <c r="C11153" s="402" t="s">
        <v>48</v>
      </c>
      <c r="D11153" s="601">
        <v>30.03</v>
      </c>
    </row>
    <row r="11154" spans="1:4" ht="27">
      <c r="A11154" s="402">
        <v>97040</v>
      </c>
      <c r="B11154" s="403" t="s">
        <v>4505</v>
      </c>
      <c r="C11154" s="402" t="s">
        <v>48</v>
      </c>
      <c r="D11154" s="601">
        <v>11.09</v>
      </c>
    </row>
    <row r="11155" spans="1:4" ht="27">
      <c r="A11155" s="402">
        <v>97041</v>
      </c>
      <c r="B11155" s="403" t="s">
        <v>4506</v>
      </c>
      <c r="C11155" s="402" t="s">
        <v>48</v>
      </c>
      <c r="D11155" s="601">
        <v>96.68</v>
      </c>
    </row>
    <row r="11156" spans="1:4" ht="13.5">
      <c r="A11156" s="402">
        <v>97046</v>
      </c>
      <c r="B11156" s="403" t="s">
        <v>5080</v>
      </c>
      <c r="C11156" s="402" t="s">
        <v>48</v>
      </c>
      <c r="D11156" s="601">
        <v>0.23</v>
      </c>
    </row>
    <row r="11157" spans="1:4" ht="27">
      <c r="A11157" s="402">
        <v>97047</v>
      </c>
      <c r="B11157" s="403" t="s">
        <v>5081</v>
      </c>
      <c r="C11157" s="402" t="s">
        <v>48</v>
      </c>
      <c r="D11157" s="601">
        <v>0.09</v>
      </c>
    </row>
    <row r="11158" spans="1:4" ht="27">
      <c r="A11158" s="402">
        <v>97048</v>
      </c>
      <c r="B11158" s="403" t="s">
        <v>5082</v>
      </c>
      <c r="C11158" s="402" t="s">
        <v>48</v>
      </c>
      <c r="D11158" s="601">
        <v>0.06</v>
      </c>
    </row>
    <row r="11159" spans="1:4" ht="13.5">
      <c r="A11159" s="402">
        <v>97051</v>
      </c>
      <c r="B11159" s="403" t="s">
        <v>4717</v>
      </c>
      <c r="C11159" s="402" t="s">
        <v>17</v>
      </c>
      <c r="D11159" s="601">
        <v>0.47</v>
      </c>
    </row>
    <row r="11160" spans="1:4" ht="13.5">
      <c r="A11160" s="402">
        <v>97053</v>
      </c>
      <c r="B11160" s="403" t="s">
        <v>4718</v>
      </c>
      <c r="C11160" s="402" t="s">
        <v>17</v>
      </c>
      <c r="D11160" s="601">
        <v>17.149999999999999</v>
      </c>
    </row>
    <row r="11161" spans="1:4" ht="13.5">
      <c r="A11161" s="402">
        <v>97062</v>
      </c>
      <c r="B11161" s="403" t="s">
        <v>4507</v>
      </c>
      <c r="C11161" s="402" t="s">
        <v>48</v>
      </c>
      <c r="D11161" s="601">
        <v>4.8499999999999996</v>
      </c>
    </row>
    <row r="11162" spans="1:4" ht="40.5">
      <c r="A11162" s="402">
        <v>97063</v>
      </c>
      <c r="B11162" s="403" t="s">
        <v>4508</v>
      </c>
      <c r="C11162" s="402" t="s">
        <v>48</v>
      </c>
      <c r="D11162" s="601">
        <v>6.09</v>
      </c>
    </row>
    <row r="11163" spans="1:4" ht="27">
      <c r="A11163" s="402">
        <v>97064</v>
      </c>
      <c r="B11163" s="403" t="s">
        <v>4509</v>
      </c>
      <c r="C11163" s="402" t="s">
        <v>17</v>
      </c>
      <c r="D11163" s="601">
        <v>11.37</v>
      </c>
    </row>
    <row r="11164" spans="1:4" ht="27">
      <c r="A11164" s="402">
        <v>97065</v>
      </c>
      <c r="B11164" s="403" t="s">
        <v>4510</v>
      </c>
      <c r="C11164" s="402" t="s">
        <v>33</v>
      </c>
      <c r="D11164" s="601">
        <v>4.0599999999999996</v>
      </c>
    </row>
    <row r="11165" spans="1:4" ht="27">
      <c r="A11165" s="402">
        <v>97066</v>
      </c>
      <c r="B11165" s="403" t="s">
        <v>5302</v>
      </c>
      <c r="C11165" s="402" t="s">
        <v>48</v>
      </c>
      <c r="D11165" s="601">
        <v>52.52</v>
      </c>
    </row>
    <row r="11166" spans="1:4" ht="27">
      <c r="A11166" s="402">
        <v>97067</v>
      </c>
      <c r="B11166" s="403" t="s">
        <v>4511</v>
      </c>
      <c r="C11166" s="402" t="s">
        <v>17</v>
      </c>
      <c r="D11166" s="601">
        <v>400.99</v>
      </c>
    </row>
    <row r="11167" spans="1:4" ht="13.5">
      <c r="A11167" s="402">
        <v>85421</v>
      </c>
      <c r="B11167" s="403" t="s">
        <v>208</v>
      </c>
      <c r="C11167" s="402" t="s">
        <v>48</v>
      </c>
      <c r="D11167" s="601">
        <v>11.44</v>
      </c>
    </row>
    <row r="11168" spans="1:4" ht="27">
      <c r="A11168" s="402">
        <v>97621</v>
      </c>
      <c r="B11168" s="403" t="s">
        <v>4618</v>
      </c>
      <c r="C11168" s="402" t="s">
        <v>33</v>
      </c>
      <c r="D11168" s="601">
        <v>76.73</v>
      </c>
    </row>
    <row r="11169" spans="1:4" ht="27">
      <c r="A11169" s="402">
        <v>97622</v>
      </c>
      <c r="B11169" s="403" t="s">
        <v>4619</v>
      </c>
      <c r="C11169" s="402" t="s">
        <v>33</v>
      </c>
      <c r="D11169" s="601">
        <v>37.39</v>
      </c>
    </row>
    <row r="11170" spans="1:4" ht="27">
      <c r="A11170" s="402">
        <v>97623</v>
      </c>
      <c r="B11170" s="403" t="s">
        <v>4620</v>
      </c>
      <c r="C11170" s="402" t="s">
        <v>33</v>
      </c>
      <c r="D11170" s="601">
        <v>114.56</v>
      </c>
    </row>
    <row r="11171" spans="1:4" ht="27">
      <c r="A11171" s="402">
        <v>97624</v>
      </c>
      <c r="B11171" s="403" t="s">
        <v>4621</v>
      </c>
      <c r="C11171" s="402" t="s">
        <v>33</v>
      </c>
      <c r="D11171" s="601">
        <v>70.31</v>
      </c>
    </row>
    <row r="11172" spans="1:4" ht="27">
      <c r="A11172" s="402">
        <v>97625</v>
      </c>
      <c r="B11172" s="403" t="s">
        <v>4622</v>
      </c>
      <c r="C11172" s="402" t="s">
        <v>33</v>
      </c>
      <c r="D11172" s="601">
        <v>31.56</v>
      </c>
    </row>
    <row r="11173" spans="1:4" ht="27">
      <c r="A11173" s="402">
        <v>97626</v>
      </c>
      <c r="B11173" s="403" t="s">
        <v>4623</v>
      </c>
      <c r="C11173" s="402" t="s">
        <v>33</v>
      </c>
      <c r="D11173" s="601">
        <v>397.81</v>
      </c>
    </row>
    <row r="11174" spans="1:4" ht="27">
      <c r="A11174" s="402">
        <v>97627</v>
      </c>
      <c r="B11174" s="403" t="s">
        <v>4624</v>
      </c>
      <c r="C11174" s="402" t="s">
        <v>33</v>
      </c>
      <c r="D11174" s="601">
        <v>179.15</v>
      </c>
    </row>
    <row r="11175" spans="1:4" ht="13.5">
      <c r="A11175" s="402">
        <v>97628</v>
      </c>
      <c r="B11175" s="403" t="s">
        <v>4625</v>
      </c>
      <c r="C11175" s="402" t="s">
        <v>33</v>
      </c>
      <c r="D11175" s="601">
        <v>184.82</v>
      </c>
    </row>
    <row r="11176" spans="1:4" ht="27">
      <c r="A11176" s="402">
        <v>97629</v>
      </c>
      <c r="B11176" s="403" t="s">
        <v>4626</v>
      </c>
      <c r="C11176" s="402" t="s">
        <v>33</v>
      </c>
      <c r="D11176" s="601">
        <v>80</v>
      </c>
    </row>
    <row r="11177" spans="1:4" ht="13.5">
      <c r="A11177" s="402">
        <v>97631</v>
      </c>
      <c r="B11177" s="403" t="s">
        <v>4627</v>
      </c>
      <c r="C11177" s="402" t="s">
        <v>48</v>
      </c>
      <c r="D11177" s="601">
        <v>2.17</v>
      </c>
    </row>
    <row r="11178" spans="1:4" ht="27">
      <c r="A11178" s="402">
        <v>97632</v>
      </c>
      <c r="B11178" s="403" t="s">
        <v>4628</v>
      </c>
      <c r="C11178" s="402" t="s">
        <v>17</v>
      </c>
      <c r="D11178" s="601">
        <v>1.69</v>
      </c>
    </row>
    <row r="11179" spans="1:4" ht="27">
      <c r="A11179" s="402">
        <v>97633</v>
      </c>
      <c r="B11179" s="403" t="s">
        <v>4629</v>
      </c>
      <c r="C11179" s="402" t="s">
        <v>48</v>
      </c>
      <c r="D11179" s="601">
        <v>14.85</v>
      </c>
    </row>
    <row r="11180" spans="1:4" ht="27">
      <c r="A11180" s="402">
        <v>97634</v>
      </c>
      <c r="B11180" s="403" t="s">
        <v>4630</v>
      </c>
      <c r="C11180" s="402" t="s">
        <v>48</v>
      </c>
      <c r="D11180" s="601">
        <v>7.81</v>
      </c>
    </row>
    <row r="11181" spans="1:4" ht="27">
      <c r="A11181" s="402">
        <v>97635</v>
      </c>
      <c r="B11181" s="403" t="s">
        <v>4631</v>
      </c>
      <c r="C11181" s="402" t="s">
        <v>48</v>
      </c>
      <c r="D11181" s="601">
        <v>10.31</v>
      </c>
    </row>
    <row r="11182" spans="1:4" ht="27">
      <c r="A11182" s="402">
        <v>97636</v>
      </c>
      <c r="B11182" s="403" t="s">
        <v>4632</v>
      </c>
      <c r="C11182" s="402" t="s">
        <v>48</v>
      </c>
      <c r="D11182" s="601">
        <v>8.24</v>
      </c>
    </row>
    <row r="11183" spans="1:4" ht="27">
      <c r="A11183" s="402">
        <v>97637</v>
      </c>
      <c r="B11183" s="403" t="s">
        <v>4633</v>
      </c>
      <c r="C11183" s="402" t="s">
        <v>48</v>
      </c>
      <c r="D11183" s="601">
        <v>1.67</v>
      </c>
    </row>
    <row r="11184" spans="1:4" ht="27">
      <c r="A11184" s="402">
        <v>97638</v>
      </c>
      <c r="B11184" s="403" t="s">
        <v>4634</v>
      </c>
      <c r="C11184" s="402" t="s">
        <v>48</v>
      </c>
      <c r="D11184" s="601">
        <v>4.8600000000000003</v>
      </c>
    </row>
    <row r="11185" spans="1:4" ht="27">
      <c r="A11185" s="402">
        <v>97639</v>
      </c>
      <c r="B11185" s="403" t="s">
        <v>4635</v>
      </c>
      <c r="C11185" s="402" t="s">
        <v>48</v>
      </c>
      <c r="D11185" s="601">
        <v>13.07</v>
      </c>
    </row>
    <row r="11186" spans="1:4" ht="27">
      <c r="A11186" s="402">
        <v>97640</v>
      </c>
      <c r="B11186" s="403" t="s">
        <v>4636</v>
      </c>
      <c r="C11186" s="402" t="s">
        <v>48</v>
      </c>
      <c r="D11186" s="601">
        <v>1.05</v>
      </c>
    </row>
    <row r="11187" spans="1:4" ht="13.5">
      <c r="A11187" s="402">
        <v>97641</v>
      </c>
      <c r="B11187" s="403" t="s">
        <v>4637</v>
      </c>
      <c r="C11187" s="402" t="s">
        <v>48</v>
      </c>
      <c r="D11187" s="601">
        <v>3.27</v>
      </c>
    </row>
    <row r="11188" spans="1:4" ht="27">
      <c r="A11188" s="402">
        <v>97642</v>
      </c>
      <c r="B11188" s="403" t="s">
        <v>4638</v>
      </c>
      <c r="C11188" s="402" t="s">
        <v>48</v>
      </c>
      <c r="D11188" s="601">
        <v>1.89</v>
      </c>
    </row>
    <row r="11189" spans="1:4" ht="27">
      <c r="A11189" s="402">
        <v>97643</v>
      </c>
      <c r="B11189" s="403" t="s">
        <v>4639</v>
      </c>
      <c r="C11189" s="402" t="s">
        <v>48</v>
      </c>
      <c r="D11189" s="601">
        <v>16.05</v>
      </c>
    </row>
    <row r="11190" spans="1:4" ht="13.5">
      <c r="A11190" s="402">
        <v>97644</v>
      </c>
      <c r="B11190" s="403" t="s">
        <v>4640</v>
      </c>
      <c r="C11190" s="402" t="s">
        <v>48</v>
      </c>
      <c r="D11190" s="601">
        <v>6.04</v>
      </c>
    </row>
    <row r="11191" spans="1:4" ht="13.5">
      <c r="A11191" s="402">
        <v>97645</v>
      </c>
      <c r="B11191" s="403" t="s">
        <v>4641</v>
      </c>
      <c r="C11191" s="402" t="s">
        <v>48</v>
      </c>
      <c r="D11191" s="601">
        <v>20.97</v>
      </c>
    </row>
    <row r="11192" spans="1:4" ht="27">
      <c r="A11192" s="402">
        <v>97647</v>
      </c>
      <c r="B11192" s="403" t="s">
        <v>4642</v>
      </c>
      <c r="C11192" s="402" t="s">
        <v>48</v>
      </c>
      <c r="D11192" s="601">
        <v>2.31</v>
      </c>
    </row>
    <row r="11193" spans="1:4" ht="27">
      <c r="A11193" s="402">
        <v>97648</v>
      </c>
      <c r="B11193" s="403" t="s">
        <v>4643</v>
      </c>
      <c r="C11193" s="402" t="s">
        <v>48</v>
      </c>
      <c r="D11193" s="601">
        <v>1.33</v>
      </c>
    </row>
    <row r="11194" spans="1:4" ht="27">
      <c r="A11194" s="402">
        <v>97649</v>
      </c>
      <c r="B11194" s="403" t="s">
        <v>4644</v>
      </c>
      <c r="C11194" s="402" t="s">
        <v>48</v>
      </c>
      <c r="D11194" s="601">
        <v>2.88</v>
      </c>
    </row>
    <row r="11195" spans="1:4" ht="27">
      <c r="A11195" s="402">
        <v>97650</v>
      </c>
      <c r="B11195" s="403" t="s">
        <v>4645</v>
      </c>
      <c r="C11195" s="402" t="s">
        <v>48</v>
      </c>
      <c r="D11195" s="601">
        <v>4.9800000000000004</v>
      </c>
    </row>
    <row r="11196" spans="1:4" ht="27">
      <c r="A11196" s="402">
        <v>97651</v>
      </c>
      <c r="B11196" s="403" t="s">
        <v>4646</v>
      </c>
      <c r="C11196" s="402" t="s">
        <v>35</v>
      </c>
      <c r="D11196" s="601">
        <v>55.23</v>
      </c>
    </row>
    <row r="11197" spans="1:4" ht="27">
      <c r="A11197" s="402">
        <v>97652</v>
      </c>
      <c r="B11197" s="403" t="s">
        <v>4647</v>
      </c>
      <c r="C11197" s="402" t="s">
        <v>35</v>
      </c>
      <c r="D11197" s="601">
        <v>125.22</v>
      </c>
    </row>
    <row r="11198" spans="1:4" ht="27">
      <c r="A11198" s="402">
        <v>97653</v>
      </c>
      <c r="B11198" s="403" t="s">
        <v>4648</v>
      </c>
      <c r="C11198" s="402" t="s">
        <v>35</v>
      </c>
      <c r="D11198" s="601">
        <v>81.180000000000007</v>
      </c>
    </row>
    <row r="11199" spans="1:4" ht="27">
      <c r="A11199" s="402">
        <v>97654</v>
      </c>
      <c r="B11199" s="403" t="s">
        <v>4649</v>
      </c>
      <c r="C11199" s="402" t="s">
        <v>35</v>
      </c>
      <c r="D11199" s="601">
        <v>100.35</v>
      </c>
    </row>
    <row r="11200" spans="1:4" ht="27">
      <c r="A11200" s="402">
        <v>97655</v>
      </c>
      <c r="B11200" s="403" t="s">
        <v>4650</v>
      </c>
      <c r="C11200" s="402" t="s">
        <v>48</v>
      </c>
      <c r="D11200" s="601">
        <v>16.28</v>
      </c>
    </row>
    <row r="11201" spans="1:4" ht="27">
      <c r="A11201" s="402">
        <v>97656</v>
      </c>
      <c r="B11201" s="403" t="s">
        <v>4651</v>
      </c>
      <c r="C11201" s="402" t="s">
        <v>35</v>
      </c>
      <c r="D11201" s="601">
        <v>159.13999999999999</v>
      </c>
    </row>
    <row r="11202" spans="1:4" ht="27">
      <c r="A11202" s="402">
        <v>97657</v>
      </c>
      <c r="B11202" s="403" t="s">
        <v>4652</v>
      </c>
      <c r="C11202" s="402" t="s">
        <v>35</v>
      </c>
      <c r="D11202" s="601">
        <v>315.45999999999998</v>
      </c>
    </row>
    <row r="11203" spans="1:4" ht="27">
      <c r="A11203" s="402">
        <v>97658</v>
      </c>
      <c r="B11203" s="403" t="s">
        <v>4653</v>
      </c>
      <c r="C11203" s="402" t="s">
        <v>35</v>
      </c>
      <c r="D11203" s="601">
        <v>119.93</v>
      </c>
    </row>
    <row r="11204" spans="1:4" ht="27">
      <c r="A11204" s="402">
        <v>97659</v>
      </c>
      <c r="B11204" s="403" t="s">
        <v>4654</v>
      </c>
      <c r="C11204" s="402" t="s">
        <v>35</v>
      </c>
      <c r="D11204" s="601">
        <v>163.63999999999999</v>
      </c>
    </row>
    <row r="11205" spans="1:4" ht="27">
      <c r="A11205" s="402">
        <v>97660</v>
      </c>
      <c r="B11205" s="403" t="s">
        <v>4655</v>
      </c>
      <c r="C11205" s="402" t="s">
        <v>35</v>
      </c>
      <c r="D11205" s="601">
        <v>0.43</v>
      </c>
    </row>
    <row r="11206" spans="1:4" ht="27">
      <c r="A11206" s="402">
        <v>97661</v>
      </c>
      <c r="B11206" s="403" t="s">
        <v>4656</v>
      </c>
      <c r="C11206" s="402" t="s">
        <v>17</v>
      </c>
      <c r="D11206" s="601">
        <v>0.44</v>
      </c>
    </row>
    <row r="11207" spans="1:4" ht="27">
      <c r="A11207" s="402">
        <v>97662</v>
      </c>
      <c r="B11207" s="403" t="s">
        <v>4657</v>
      </c>
      <c r="C11207" s="402" t="s">
        <v>17</v>
      </c>
      <c r="D11207" s="601">
        <v>0.32</v>
      </c>
    </row>
    <row r="11208" spans="1:4" ht="13.5">
      <c r="A11208" s="402">
        <v>97663</v>
      </c>
      <c r="B11208" s="403" t="s">
        <v>4658</v>
      </c>
      <c r="C11208" s="402" t="s">
        <v>35</v>
      </c>
      <c r="D11208" s="601">
        <v>8.07</v>
      </c>
    </row>
    <row r="11209" spans="1:4" ht="13.5">
      <c r="A11209" s="402">
        <v>97664</v>
      </c>
      <c r="B11209" s="403" t="s">
        <v>4659</v>
      </c>
      <c r="C11209" s="402" t="s">
        <v>35</v>
      </c>
      <c r="D11209" s="601">
        <v>0.99</v>
      </c>
    </row>
    <row r="11210" spans="1:4" ht="13.5">
      <c r="A11210" s="402">
        <v>97665</v>
      </c>
      <c r="B11210" s="403" t="s">
        <v>4660</v>
      </c>
      <c r="C11210" s="402" t="s">
        <v>35</v>
      </c>
      <c r="D11210" s="601">
        <v>0.84</v>
      </c>
    </row>
    <row r="11211" spans="1:4" ht="27">
      <c r="A11211" s="402">
        <v>97666</v>
      </c>
      <c r="B11211" s="403" t="s">
        <v>4661</v>
      </c>
      <c r="C11211" s="402" t="s">
        <v>35</v>
      </c>
      <c r="D11211" s="601">
        <v>5.88</v>
      </c>
    </row>
    <row r="11212" spans="1:4" ht="27">
      <c r="A11212" s="402">
        <v>95967</v>
      </c>
      <c r="B11212" s="403" t="s">
        <v>3889</v>
      </c>
      <c r="C11212" s="402" t="s">
        <v>23</v>
      </c>
      <c r="D11212" s="601">
        <v>108.81</v>
      </c>
    </row>
    <row r="11213" spans="1:4" ht="13.5">
      <c r="A11213" s="402">
        <v>99058</v>
      </c>
      <c r="B11213" s="403" t="s">
        <v>6000</v>
      </c>
      <c r="C11213" s="402" t="s">
        <v>35</v>
      </c>
      <c r="D11213" s="601">
        <v>5.66</v>
      </c>
    </row>
    <row r="11214" spans="1:4" ht="27">
      <c r="A11214" s="402">
        <v>99059</v>
      </c>
      <c r="B11214" s="403" t="s">
        <v>6001</v>
      </c>
      <c r="C11214" s="402" t="s">
        <v>17</v>
      </c>
      <c r="D11214" s="601">
        <v>32.85</v>
      </c>
    </row>
    <row r="11215" spans="1:4" ht="13.5">
      <c r="A11215" s="402">
        <v>99060</v>
      </c>
      <c r="B11215" s="403" t="s">
        <v>14429</v>
      </c>
      <c r="C11215" s="402" t="s">
        <v>35</v>
      </c>
      <c r="D11215" s="601">
        <v>82.79</v>
      </c>
    </row>
    <row r="11216" spans="1:4" ht="13.5">
      <c r="A11216" s="402">
        <v>99061</v>
      </c>
      <c r="B11216" s="403" t="s">
        <v>14430</v>
      </c>
      <c r="C11216" s="402" t="s">
        <v>35</v>
      </c>
      <c r="D11216" s="601">
        <v>57.15</v>
      </c>
    </row>
    <row r="11217" spans="1:4" ht="13.5">
      <c r="A11217" s="402">
        <v>99062</v>
      </c>
      <c r="B11217" s="403" t="s">
        <v>6002</v>
      </c>
      <c r="C11217" s="402" t="s">
        <v>35</v>
      </c>
      <c r="D11217" s="601">
        <v>1.64</v>
      </c>
    </row>
    <row r="11218" spans="1:4" ht="13.5">
      <c r="A11218" s="402">
        <v>99063</v>
      </c>
      <c r="B11218" s="403" t="s">
        <v>6003</v>
      </c>
      <c r="C11218" s="402" t="s">
        <v>17</v>
      </c>
      <c r="D11218" s="601">
        <v>2.85</v>
      </c>
    </row>
    <row r="11219" spans="1:4" ht="13.5">
      <c r="A11219" s="402">
        <v>99064</v>
      </c>
      <c r="B11219" s="403" t="s">
        <v>6004</v>
      </c>
      <c r="C11219" s="402" t="s">
        <v>17</v>
      </c>
      <c r="D11219" s="601">
        <v>0.28000000000000003</v>
      </c>
    </row>
    <row r="11220" spans="1:4" ht="27">
      <c r="A11220" s="402">
        <v>93588</v>
      </c>
      <c r="B11220" s="403" t="s">
        <v>3262</v>
      </c>
      <c r="C11220" s="402" t="s">
        <v>144</v>
      </c>
      <c r="D11220" s="601">
        <v>1.24</v>
      </c>
    </row>
    <row r="11221" spans="1:4" ht="27">
      <c r="A11221" s="402">
        <v>93589</v>
      </c>
      <c r="B11221" s="403" t="s">
        <v>3263</v>
      </c>
      <c r="C11221" s="402" t="s">
        <v>144</v>
      </c>
      <c r="D11221" s="601">
        <v>0.95</v>
      </c>
    </row>
    <row r="11222" spans="1:4" ht="27">
      <c r="A11222" s="402">
        <v>93590</v>
      </c>
      <c r="B11222" s="403" t="s">
        <v>3264</v>
      </c>
      <c r="C11222" s="402" t="s">
        <v>144</v>
      </c>
      <c r="D11222" s="601">
        <v>0.63</v>
      </c>
    </row>
    <row r="11223" spans="1:4" ht="27">
      <c r="A11223" s="402">
        <v>93591</v>
      </c>
      <c r="B11223" s="403" t="s">
        <v>3265</v>
      </c>
      <c r="C11223" s="402" t="s">
        <v>144</v>
      </c>
      <c r="D11223" s="601">
        <v>1.1000000000000001</v>
      </c>
    </row>
    <row r="11224" spans="1:4" ht="27">
      <c r="A11224" s="402">
        <v>93592</v>
      </c>
      <c r="B11224" s="403" t="s">
        <v>3266</v>
      </c>
      <c r="C11224" s="402" t="s">
        <v>144</v>
      </c>
      <c r="D11224" s="601">
        <v>0.84</v>
      </c>
    </row>
    <row r="11225" spans="1:4" ht="27">
      <c r="A11225" s="402">
        <v>93593</v>
      </c>
      <c r="B11225" s="403" t="s">
        <v>3267</v>
      </c>
      <c r="C11225" s="402" t="s">
        <v>144</v>
      </c>
      <c r="D11225" s="601">
        <v>0.55000000000000004</v>
      </c>
    </row>
    <row r="11226" spans="1:4" ht="27">
      <c r="A11226" s="402">
        <v>93594</v>
      </c>
      <c r="B11226" s="403" t="s">
        <v>4665</v>
      </c>
      <c r="C11226" s="402" t="s">
        <v>140</v>
      </c>
      <c r="D11226" s="601">
        <v>0.82</v>
      </c>
    </row>
    <row r="11227" spans="1:4" ht="27">
      <c r="A11227" s="402">
        <v>93595</v>
      </c>
      <c r="B11227" s="403" t="s">
        <v>4666</v>
      </c>
      <c r="C11227" s="402" t="s">
        <v>140</v>
      </c>
      <c r="D11227" s="601">
        <v>0.63</v>
      </c>
    </row>
    <row r="11228" spans="1:4" ht="27">
      <c r="A11228" s="402">
        <v>93596</v>
      </c>
      <c r="B11228" s="403" t="s">
        <v>4667</v>
      </c>
      <c r="C11228" s="402" t="s">
        <v>140</v>
      </c>
      <c r="D11228" s="601">
        <v>0.42</v>
      </c>
    </row>
    <row r="11229" spans="1:4" ht="27">
      <c r="A11229" s="402">
        <v>93597</v>
      </c>
      <c r="B11229" s="403" t="s">
        <v>4668</v>
      </c>
      <c r="C11229" s="402" t="s">
        <v>140</v>
      </c>
      <c r="D11229" s="601">
        <v>0.73</v>
      </c>
    </row>
    <row r="11230" spans="1:4" ht="27">
      <c r="A11230" s="402">
        <v>93598</v>
      </c>
      <c r="B11230" s="403" t="s">
        <v>4669</v>
      </c>
      <c r="C11230" s="402" t="s">
        <v>140</v>
      </c>
      <c r="D11230" s="601">
        <v>0.55000000000000004</v>
      </c>
    </row>
    <row r="11231" spans="1:4" ht="27">
      <c r="A11231" s="402">
        <v>93599</v>
      </c>
      <c r="B11231" s="403" t="s">
        <v>4670</v>
      </c>
      <c r="C11231" s="402" t="s">
        <v>140</v>
      </c>
      <c r="D11231" s="601">
        <v>0.37</v>
      </c>
    </row>
    <row r="11232" spans="1:4" ht="27">
      <c r="A11232" s="402">
        <v>95425</v>
      </c>
      <c r="B11232" s="403" t="s">
        <v>3734</v>
      </c>
      <c r="C11232" s="402" t="s">
        <v>144</v>
      </c>
      <c r="D11232" s="601">
        <v>0.94</v>
      </c>
    </row>
    <row r="11233" spans="1:4" ht="27">
      <c r="A11233" s="402">
        <v>95426</v>
      </c>
      <c r="B11233" s="403" t="s">
        <v>3735</v>
      </c>
      <c r="C11233" s="402" t="s">
        <v>144</v>
      </c>
      <c r="D11233" s="601">
        <v>0.72</v>
      </c>
    </row>
    <row r="11234" spans="1:4" ht="27">
      <c r="A11234" s="402">
        <v>95427</v>
      </c>
      <c r="B11234" s="403" t="s">
        <v>3736</v>
      </c>
      <c r="C11234" s="402" t="s">
        <v>144</v>
      </c>
      <c r="D11234" s="601">
        <v>0.48</v>
      </c>
    </row>
    <row r="11235" spans="1:4" ht="27">
      <c r="A11235" s="402">
        <v>95428</v>
      </c>
      <c r="B11235" s="403" t="s">
        <v>4671</v>
      </c>
      <c r="C11235" s="402" t="s">
        <v>140</v>
      </c>
      <c r="D11235" s="601">
        <v>0.63</v>
      </c>
    </row>
    <row r="11236" spans="1:4" ht="27">
      <c r="A11236" s="402">
        <v>95429</v>
      </c>
      <c r="B11236" s="403" t="s">
        <v>4672</v>
      </c>
      <c r="C11236" s="402" t="s">
        <v>140</v>
      </c>
      <c r="D11236" s="601">
        <v>0.48</v>
      </c>
    </row>
    <row r="11237" spans="1:4" ht="27">
      <c r="A11237" s="402">
        <v>95430</v>
      </c>
      <c r="B11237" s="403" t="s">
        <v>4673</v>
      </c>
      <c r="C11237" s="402" t="s">
        <v>140</v>
      </c>
      <c r="D11237" s="601">
        <v>0.31</v>
      </c>
    </row>
    <row r="11238" spans="1:4" ht="27">
      <c r="A11238" s="402">
        <v>95875</v>
      </c>
      <c r="B11238" s="403" t="s">
        <v>3871</v>
      </c>
      <c r="C11238" s="402" t="s">
        <v>144</v>
      </c>
      <c r="D11238" s="601">
        <v>0.89</v>
      </c>
    </row>
    <row r="11239" spans="1:4" ht="27">
      <c r="A11239" s="402">
        <v>95876</v>
      </c>
      <c r="B11239" s="403" t="s">
        <v>3872</v>
      </c>
      <c r="C11239" s="402" t="s">
        <v>144</v>
      </c>
      <c r="D11239" s="601">
        <v>0.79</v>
      </c>
    </row>
    <row r="11240" spans="1:4" ht="27">
      <c r="A11240" s="402">
        <v>95877</v>
      </c>
      <c r="B11240" s="403" t="s">
        <v>3873</v>
      </c>
      <c r="C11240" s="402" t="s">
        <v>144</v>
      </c>
      <c r="D11240" s="601">
        <v>0.68</v>
      </c>
    </row>
    <row r="11241" spans="1:4" ht="27">
      <c r="A11241" s="402">
        <v>95878</v>
      </c>
      <c r="B11241" s="403" t="s">
        <v>4674</v>
      </c>
      <c r="C11241" s="402" t="s">
        <v>140</v>
      </c>
      <c r="D11241" s="601">
        <v>0.59</v>
      </c>
    </row>
    <row r="11242" spans="1:4" ht="27">
      <c r="A11242" s="402">
        <v>95879</v>
      </c>
      <c r="B11242" s="403" t="s">
        <v>4675</v>
      </c>
      <c r="C11242" s="402" t="s">
        <v>140</v>
      </c>
      <c r="D11242" s="601">
        <v>0.52</v>
      </c>
    </row>
    <row r="11243" spans="1:4" ht="27">
      <c r="A11243" s="402">
        <v>95880</v>
      </c>
      <c r="B11243" s="403" t="s">
        <v>4676</v>
      </c>
      <c r="C11243" s="402" t="s">
        <v>140</v>
      </c>
      <c r="D11243" s="601">
        <v>0.45</v>
      </c>
    </row>
    <row r="11244" spans="1:4" ht="27">
      <c r="A11244" s="402">
        <v>97912</v>
      </c>
      <c r="B11244" s="403" t="s">
        <v>4678</v>
      </c>
      <c r="C11244" s="402" t="s">
        <v>144</v>
      </c>
      <c r="D11244" s="601">
        <v>1.49</v>
      </c>
    </row>
    <row r="11245" spans="1:4" ht="27">
      <c r="A11245" s="402">
        <v>97913</v>
      </c>
      <c r="B11245" s="403" t="s">
        <v>4679</v>
      </c>
      <c r="C11245" s="402" t="s">
        <v>144</v>
      </c>
      <c r="D11245" s="601">
        <v>1.1499999999999999</v>
      </c>
    </row>
    <row r="11246" spans="1:4" ht="27">
      <c r="A11246" s="402">
        <v>97914</v>
      </c>
      <c r="B11246" s="403" t="s">
        <v>4680</v>
      </c>
      <c r="C11246" s="402" t="s">
        <v>144</v>
      </c>
      <c r="D11246" s="601">
        <v>1.07</v>
      </c>
    </row>
    <row r="11247" spans="1:4" ht="27">
      <c r="A11247" s="402">
        <v>97915</v>
      </c>
      <c r="B11247" s="403" t="s">
        <v>4681</v>
      </c>
      <c r="C11247" s="402" t="s">
        <v>144</v>
      </c>
      <c r="D11247" s="601">
        <v>0.76</v>
      </c>
    </row>
    <row r="11248" spans="1:4" ht="40.5">
      <c r="A11248" s="402">
        <v>93176</v>
      </c>
      <c r="B11248" s="403" t="s">
        <v>3150</v>
      </c>
      <c r="C11248" s="402" t="s">
        <v>140</v>
      </c>
      <c r="D11248" s="601">
        <v>0.43</v>
      </c>
    </row>
    <row r="11249" spans="1:4" ht="40.5">
      <c r="A11249" s="402">
        <v>93177</v>
      </c>
      <c r="B11249" s="403" t="s">
        <v>3151</v>
      </c>
      <c r="C11249" s="402" t="s">
        <v>140</v>
      </c>
      <c r="D11249" s="601">
        <v>1.53</v>
      </c>
    </row>
    <row r="11250" spans="1:4" ht="40.5">
      <c r="A11250" s="402">
        <v>93178</v>
      </c>
      <c r="B11250" s="403" t="s">
        <v>3152</v>
      </c>
      <c r="C11250" s="402" t="s">
        <v>140</v>
      </c>
      <c r="D11250" s="601">
        <v>0.5</v>
      </c>
    </row>
    <row r="11251" spans="1:4" ht="40.5">
      <c r="A11251" s="402">
        <v>93179</v>
      </c>
      <c r="B11251" s="403" t="s">
        <v>3153</v>
      </c>
      <c r="C11251" s="402" t="s">
        <v>140</v>
      </c>
      <c r="D11251" s="601">
        <v>1.7</v>
      </c>
    </row>
    <row r="11252" spans="1:4" ht="27">
      <c r="A11252" s="402">
        <v>101188</v>
      </c>
      <c r="B11252" s="403" t="s">
        <v>14431</v>
      </c>
      <c r="C11252" s="402" t="s">
        <v>17</v>
      </c>
      <c r="D11252" s="601">
        <v>3.89</v>
      </c>
    </row>
    <row r="11253" spans="1:4" ht="40.5">
      <c r="A11253" s="402">
        <v>101189</v>
      </c>
      <c r="B11253" s="403" t="s">
        <v>14432</v>
      </c>
      <c r="C11253" s="402" t="s">
        <v>17</v>
      </c>
      <c r="D11253" s="601">
        <v>40.57</v>
      </c>
    </row>
    <row r="11254" spans="1:4" ht="40.5">
      <c r="A11254" s="402">
        <v>101190</v>
      </c>
      <c r="B11254" s="403" t="s">
        <v>14433</v>
      </c>
      <c r="C11254" s="402" t="s">
        <v>17</v>
      </c>
      <c r="D11254" s="601">
        <v>40.14</v>
      </c>
    </row>
    <row r="11255" spans="1:4" ht="40.5">
      <c r="A11255" s="402">
        <v>101191</v>
      </c>
      <c r="B11255" s="403" t="s">
        <v>14434</v>
      </c>
      <c r="C11255" s="402" t="s">
        <v>17</v>
      </c>
      <c r="D11255" s="601">
        <v>40.35</v>
      </c>
    </row>
    <row r="11256" spans="1:4" ht="40.5">
      <c r="A11256" s="402">
        <v>101192</v>
      </c>
      <c r="B11256" s="403" t="s">
        <v>14435</v>
      </c>
      <c r="C11256" s="402" t="s">
        <v>17</v>
      </c>
      <c r="D11256" s="601">
        <v>41.19</v>
      </c>
    </row>
    <row r="11257" spans="1:4" ht="40.5">
      <c r="A11257" s="402">
        <v>101193</v>
      </c>
      <c r="B11257" s="403" t="s">
        <v>14436</v>
      </c>
      <c r="C11257" s="402" t="s">
        <v>17</v>
      </c>
      <c r="D11257" s="601">
        <v>37.25</v>
      </c>
    </row>
    <row r="11258" spans="1:4" ht="40.5">
      <c r="A11258" s="402">
        <v>101194</v>
      </c>
      <c r="B11258" s="403" t="s">
        <v>14437</v>
      </c>
      <c r="C11258" s="402" t="s">
        <v>17</v>
      </c>
      <c r="D11258" s="601">
        <v>37.46</v>
      </c>
    </row>
    <row r="11259" spans="1:4" ht="40.5">
      <c r="A11259" s="402">
        <v>101197</v>
      </c>
      <c r="B11259" s="403" t="s">
        <v>14438</v>
      </c>
      <c r="C11259" s="402" t="s">
        <v>17</v>
      </c>
      <c r="D11259" s="601">
        <v>78.05</v>
      </c>
    </row>
    <row r="11260" spans="1:4" ht="40.5">
      <c r="A11260" s="402">
        <v>101198</v>
      </c>
      <c r="B11260" s="403" t="s">
        <v>14439</v>
      </c>
      <c r="C11260" s="402" t="s">
        <v>17</v>
      </c>
      <c r="D11260" s="601">
        <v>56.18</v>
      </c>
    </row>
    <row r="11261" spans="1:4" ht="40.5">
      <c r="A11261" s="402">
        <v>101199</v>
      </c>
      <c r="B11261" s="403" t="s">
        <v>14440</v>
      </c>
      <c r="C11261" s="402" t="s">
        <v>17</v>
      </c>
      <c r="D11261" s="601">
        <v>56.7</v>
      </c>
    </row>
    <row r="11262" spans="1:4" ht="40.5">
      <c r="A11262" s="402">
        <v>101200</v>
      </c>
      <c r="B11262" s="403" t="s">
        <v>14441</v>
      </c>
      <c r="C11262" s="402" t="s">
        <v>17</v>
      </c>
      <c r="D11262" s="601">
        <v>26.43</v>
      </c>
    </row>
    <row r="11263" spans="1:4" ht="40.5">
      <c r="A11263" s="402">
        <v>101201</v>
      </c>
      <c r="B11263" s="403" t="s">
        <v>14442</v>
      </c>
      <c r="C11263" s="402" t="s">
        <v>17</v>
      </c>
      <c r="D11263" s="601">
        <v>34.64</v>
      </c>
    </row>
    <row r="11264" spans="1:4" ht="40.5">
      <c r="A11264" s="402">
        <v>101202</v>
      </c>
      <c r="B11264" s="403" t="s">
        <v>14443</v>
      </c>
      <c r="C11264" s="402" t="s">
        <v>17</v>
      </c>
      <c r="D11264" s="601">
        <v>26.95</v>
      </c>
    </row>
    <row r="11265" spans="1:4" ht="40.5">
      <c r="A11265" s="402">
        <v>101203</v>
      </c>
      <c r="B11265" s="403" t="s">
        <v>14444</v>
      </c>
      <c r="C11265" s="402" t="s">
        <v>17</v>
      </c>
      <c r="D11265" s="601">
        <v>26.42</v>
      </c>
    </row>
    <row r="11266" spans="1:4" ht="40.5">
      <c r="A11266" s="402">
        <v>101204</v>
      </c>
      <c r="B11266" s="403" t="s">
        <v>14445</v>
      </c>
      <c r="C11266" s="402" t="s">
        <v>17</v>
      </c>
      <c r="D11266" s="601">
        <v>26.63</v>
      </c>
    </row>
    <row r="11267" spans="1:4" ht="40.5">
      <c r="A11267" s="402">
        <v>101205</v>
      </c>
      <c r="B11267" s="403" t="s">
        <v>14446</v>
      </c>
      <c r="C11267" s="402" t="s">
        <v>17</v>
      </c>
      <c r="D11267" s="601">
        <v>26.95</v>
      </c>
    </row>
    <row r="11268" spans="1:4" ht="40.5">
      <c r="A11268" s="402" t="s">
        <v>4440</v>
      </c>
      <c r="B11268" s="403" t="s">
        <v>4441</v>
      </c>
      <c r="C11268" s="402" t="s">
        <v>48</v>
      </c>
      <c r="D11268" s="601">
        <v>122.81</v>
      </c>
    </row>
    <row r="11269" spans="1:4" ht="13.5">
      <c r="A11269" s="402">
        <v>98509</v>
      </c>
      <c r="B11269" s="403" t="s">
        <v>5083</v>
      </c>
      <c r="C11269" s="402" t="s">
        <v>35</v>
      </c>
      <c r="D11269" s="601">
        <v>55.33</v>
      </c>
    </row>
    <row r="11270" spans="1:4" ht="27">
      <c r="A11270" s="402">
        <v>98510</v>
      </c>
      <c r="B11270" s="403" t="s">
        <v>5084</v>
      </c>
      <c r="C11270" s="402" t="s">
        <v>35</v>
      </c>
      <c r="D11270" s="601">
        <v>77.349999999999994</v>
      </c>
    </row>
    <row r="11271" spans="1:4" ht="27">
      <c r="A11271" s="402">
        <v>98511</v>
      </c>
      <c r="B11271" s="403" t="s">
        <v>5085</v>
      </c>
      <c r="C11271" s="402" t="s">
        <v>35</v>
      </c>
      <c r="D11271" s="601">
        <v>150.43</v>
      </c>
    </row>
    <row r="11272" spans="1:4" ht="13.5">
      <c r="A11272" s="402">
        <v>98516</v>
      </c>
      <c r="B11272" s="403" t="s">
        <v>5086</v>
      </c>
      <c r="C11272" s="402" t="s">
        <v>35</v>
      </c>
      <c r="D11272" s="601">
        <v>280.22000000000003</v>
      </c>
    </row>
    <row r="11273" spans="1:4" ht="13.5">
      <c r="A11273" s="402">
        <v>98519</v>
      </c>
      <c r="B11273" s="403" t="s">
        <v>5087</v>
      </c>
      <c r="C11273" s="402" t="s">
        <v>48</v>
      </c>
      <c r="D11273" s="601">
        <v>1.41</v>
      </c>
    </row>
    <row r="11274" spans="1:4" ht="13.5">
      <c r="A11274" s="402">
        <v>98520</v>
      </c>
      <c r="B11274" s="403" t="s">
        <v>5088</v>
      </c>
      <c r="C11274" s="402" t="s">
        <v>48</v>
      </c>
      <c r="D11274" s="601">
        <v>3.49</v>
      </c>
    </row>
    <row r="11275" spans="1:4" ht="13.5">
      <c r="A11275" s="402">
        <v>98521</v>
      </c>
      <c r="B11275" s="403" t="s">
        <v>5089</v>
      </c>
      <c r="C11275" s="402" t="s">
        <v>48</v>
      </c>
      <c r="D11275" s="601">
        <v>0.25</v>
      </c>
    </row>
    <row r="11276" spans="1:4" ht="27">
      <c r="A11276" s="402">
        <v>98522</v>
      </c>
      <c r="B11276" s="403" t="s">
        <v>5090</v>
      </c>
      <c r="C11276" s="402" t="s">
        <v>17</v>
      </c>
      <c r="D11276" s="601">
        <v>103.57</v>
      </c>
    </row>
    <row r="11277" spans="1:4" ht="13.5">
      <c r="A11277" s="402">
        <v>98524</v>
      </c>
      <c r="B11277" s="403" t="s">
        <v>5091</v>
      </c>
      <c r="C11277" s="402" t="s">
        <v>48</v>
      </c>
      <c r="D11277" s="601">
        <v>2.2599999999999998</v>
      </c>
    </row>
    <row r="11278" spans="1:4" ht="13.5">
      <c r="A11278" s="402">
        <v>98503</v>
      </c>
      <c r="B11278" s="403" t="s">
        <v>5092</v>
      </c>
      <c r="C11278" s="402" t="s">
        <v>48</v>
      </c>
      <c r="D11278" s="601">
        <v>13.54</v>
      </c>
    </row>
    <row r="11279" spans="1:4" ht="13.5">
      <c r="A11279" s="402">
        <v>98504</v>
      </c>
      <c r="B11279" s="403" t="s">
        <v>5093</v>
      </c>
      <c r="C11279" s="402" t="s">
        <v>48</v>
      </c>
      <c r="D11279" s="601">
        <v>8.6199999999999992</v>
      </c>
    </row>
    <row r="11280" spans="1:4" ht="13.5">
      <c r="A11280" s="402">
        <v>98505</v>
      </c>
      <c r="B11280" s="403" t="s">
        <v>5094</v>
      </c>
      <c r="C11280" s="402" t="s">
        <v>48</v>
      </c>
      <c r="D11280" s="601">
        <v>78.930000000000007</v>
      </c>
    </row>
    <row r="11281" spans="1:4" ht="27">
      <c r="A11281" s="402">
        <v>98525</v>
      </c>
      <c r="B11281" s="403" t="s">
        <v>5095</v>
      </c>
      <c r="C11281" s="402" t="s">
        <v>48</v>
      </c>
      <c r="D11281" s="601">
        <v>0.22</v>
      </c>
    </row>
    <row r="11282" spans="1:4" ht="27">
      <c r="A11282" s="402">
        <v>98526</v>
      </c>
      <c r="B11282" s="403" t="s">
        <v>5096</v>
      </c>
      <c r="C11282" s="402" t="s">
        <v>35</v>
      </c>
      <c r="D11282" s="601">
        <v>48.51</v>
      </c>
    </row>
    <row r="11283" spans="1:4" ht="27">
      <c r="A11283" s="402">
        <v>98527</v>
      </c>
      <c r="B11283" s="403" t="s">
        <v>5097</v>
      </c>
      <c r="C11283" s="402" t="s">
        <v>35</v>
      </c>
      <c r="D11283" s="601">
        <v>104.45</v>
      </c>
    </row>
    <row r="11284" spans="1:4" ht="27">
      <c r="A11284" s="402">
        <v>98528</v>
      </c>
      <c r="B11284" s="403" t="s">
        <v>5098</v>
      </c>
      <c r="C11284" s="402" t="s">
        <v>35</v>
      </c>
      <c r="D11284" s="601">
        <v>152.72999999999999</v>
      </c>
    </row>
    <row r="11285" spans="1:4" ht="27">
      <c r="A11285" s="402">
        <v>98529</v>
      </c>
      <c r="B11285" s="403" t="s">
        <v>5099</v>
      </c>
      <c r="C11285" s="402" t="s">
        <v>35</v>
      </c>
      <c r="D11285" s="601">
        <v>48.73</v>
      </c>
    </row>
    <row r="11286" spans="1:4" ht="27">
      <c r="A11286" s="402">
        <v>98530</v>
      </c>
      <c r="B11286" s="403" t="s">
        <v>5100</v>
      </c>
      <c r="C11286" s="402" t="s">
        <v>35</v>
      </c>
      <c r="D11286" s="601">
        <v>86.82</v>
      </c>
    </row>
    <row r="11287" spans="1:4" ht="27">
      <c r="A11287" s="402">
        <v>98531</v>
      </c>
      <c r="B11287" s="403" t="s">
        <v>5101</v>
      </c>
      <c r="C11287" s="402" t="s">
        <v>35</v>
      </c>
      <c r="D11287" s="601">
        <v>172.44</v>
      </c>
    </row>
    <row r="11288" spans="1:4" ht="13.5">
      <c r="A11288" s="402">
        <v>98532</v>
      </c>
      <c r="B11288" s="403" t="s">
        <v>5102</v>
      </c>
      <c r="C11288" s="402" t="s">
        <v>35</v>
      </c>
      <c r="D11288" s="601">
        <v>63.16</v>
      </c>
    </row>
    <row r="11289" spans="1:4" ht="27">
      <c r="A11289" s="402">
        <v>98533</v>
      </c>
      <c r="B11289" s="403" t="s">
        <v>5103</v>
      </c>
      <c r="C11289" s="402" t="s">
        <v>35</v>
      </c>
      <c r="D11289" s="601">
        <v>173.2</v>
      </c>
    </row>
    <row r="11290" spans="1:4" ht="27">
      <c r="A11290" s="402">
        <v>98534</v>
      </c>
      <c r="B11290" s="403" t="s">
        <v>5104</v>
      </c>
      <c r="C11290" s="402" t="s">
        <v>35</v>
      </c>
      <c r="D11290" s="601">
        <v>443.47</v>
      </c>
    </row>
    <row r="11291" spans="1:4" ht="27">
      <c r="A11291" s="402">
        <v>98535</v>
      </c>
      <c r="B11291" s="403" t="s">
        <v>5105</v>
      </c>
      <c r="C11291" s="402" t="s">
        <v>35</v>
      </c>
      <c r="D11291" s="601">
        <v>702.35</v>
      </c>
    </row>
    <row r="11292" spans="1:4" ht="13.5">
      <c r="A11292" s="402">
        <v>88238</v>
      </c>
      <c r="B11292" s="403" t="s">
        <v>236</v>
      </c>
      <c r="C11292" s="402" t="s">
        <v>23</v>
      </c>
      <c r="D11292" s="601">
        <v>13.76</v>
      </c>
    </row>
    <row r="11293" spans="1:4" ht="13.5">
      <c r="A11293" s="402">
        <v>88239</v>
      </c>
      <c r="B11293" s="403" t="s">
        <v>45</v>
      </c>
      <c r="C11293" s="402" t="s">
        <v>23</v>
      </c>
      <c r="D11293" s="601">
        <v>14.91</v>
      </c>
    </row>
    <row r="11294" spans="1:4" ht="13.5">
      <c r="A11294" s="402">
        <v>88240</v>
      </c>
      <c r="B11294" s="403" t="s">
        <v>237</v>
      </c>
      <c r="C11294" s="402" t="s">
        <v>23</v>
      </c>
      <c r="D11294" s="601">
        <v>10.65</v>
      </c>
    </row>
    <row r="11295" spans="1:4" ht="13.5">
      <c r="A11295" s="402">
        <v>88241</v>
      </c>
      <c r="B11295" s="403" t="s">
        <v>238</v>
      </c>
      <c r="C11295" s="402" t="s">
        <v>23</v>
      </c>
      <c r="D11295" s="601">
        <v>14.08</v>
      </c>
    </row>
    <row r="11296" spans="1:4" ht="13.5">
      <c r="A11296" s="402">
        <v>88242</v>
      </c>
      <c r="B11296" s="403" t="s">
        <v>239</v>
      </c>
      <c r="C11296" s="402" t="s">
        <v>23</v>
      </c>
      <c r="D11296" s="601">
        <v>14.37</v>
      </c>
    </row>
    <row r="11297" spans="1:4" ht="13.5">
      <c r="A11297" s="402">
        <v>88243</v>
      </c>
      <c r="B11297" s="403" t="s">
        <v>240</v>
      </c>
      <c r="C11297" s="402" t="s">
        <v>23</v>
      </c>
      <c r="D11297" s="601">
        <v>17.149999999999999</v>
      </c>
    </row>
    <row r="11298" spans="1:4" ht="13.5">
      <c r="A11298" s="402">
        <v>88245</v>
      </c>
      <c r="B11298" s="403" t="s">
        <v>241</v>
      </c>
      <c r="C11298" s="402" t="s">
        <v>23</v>
      </c>
      <c r="D11298" s="601">
        <v>17.68</v>
      </c>
    </row>
    <row r="11299" spans="1:4" ht="13.5">
      <c r="A11299" s="402">
        <v>88246</v>
      </c>
      <c r="B11299" s="403" t="s">
        <v>242</v>
      </c>
      <c r="C11299" s="402" t="s">
        <v>23</v>
      </c>
      <c r="D11299" s="601">
        <v>14.83</v>
      </c>
    </row>
    <row r="11300" spans="1:4" ht="13.5">
      <c r="A11300" s="402">
        <v>88247</v>
      </c>
      <c r="B11300" s="403" t="s">
        <v>54</v>
      </c>
      <c r="C11300" s="402" t="s">
        <v>23</v>
      </c>
      <c r="D11300" s="601">
        <v>14.33</v>
      </c>
    </row>
    <row r="11301" spans="1:4" ht="13.5">
      <c r="A11301" s="402">
        <v>88248</v>
      </c>
      <c r="B11301" s="403" t="s">
        <v>1516</v>
      </c>
      <c r="C11301" s="402" t="s">
        <v>23</v>
      </c>
      <c r="D11301" s="601">
        <v>13.87</v>
      </c>
    </row>
    <row r="11302" spans="1:4" ht="13.5">
      <c r="A11302" s="402">
        <v>88249</v>
      </c>
      <c r="B11302" s="403" t="s">
        <v>243</v>
      </c>
      <c r="C11302" s="402" t="s">
        <v>23</v>
      </c>
      <c r="D11302" s="601">
        <v>21.61</v>
      </c>
    </row>
    <row r="11303" spans="1:4" ht="13.5">
      <c r="A11303" s="402">
        <v>88250</v>
      </c>
      <c r="B11303" s="403" t="s">
        <v>244</v>
      </c>
      <c r="C11303" s="402" t="s">
        <v>23</v>
      </c>
      <c r="D11303" s="601">
        <v>12.06</v>
      </c>
    </row>
    <row r="11304" spans="1:4" ht="13.5">
      <c r="A11304" s="402">
        <v>88251</v>
      </c>
      <c r="B11304" s="403" t="s">
        <v>245</v>
      </c>
      <c r="C11304" s="402" t="s">
        <v>23</v>
      </c>
      <c r="D11304" s="601">
        <v>14.43</v>
      </c>
    </row>
    <row r="11305" spans="1:4" ht="13.5">
      <c r="A11305" s="402">
        <v>88252</v>
      </c>
      <c r="B11305" s="403" t="s">
        <v>246</v>
      </c>
      <c r="C11305" s="402" t="s">
        <v>23</v>
      </c>
      <c r="D11305" s="601">
        <v>15.04</v>
      </c>
    </row>
    <row r="11306" spans="1:4" ht="13.5">
      <c r="A11306" s="402">
        <v>88253</v>
      </c>
      <c r="B11306" s="403" t="s">
        <v>247</v>
      </c>
      <c r="C11306" s="402" t="s">
        <v>23</v>
      </c>
      <c r="D11306" s="601">
        <v>8.98</v>
      </c>
    </row>
    <row r="11307" spans="1:4" ht="13.5">
      <c r="A11307" s="402">
        <v>88255</v>
      </c>
      <c r="B11307" s="403" t="s">
        <v>248</v>
      </c>
      <c r="C11307" s="402" t="s">
        <v>23</v>
      </c>
      <c r="D11307" s="601">
        <v>21.09</v>
      </c>
    </row>
    <row r="11308" spans="1:4" ht="13.5">
      <c r="A11308" s="402">
        <v>88256</v>
      </c>
      <c r="B11308" s="403" t="s">
        <v>25</v>
      </c>
      <c r="C11308" s="402" t="s">
        <v>23</v>
      </c>
      <c r="D11308" s="601">
        <v>17.71</v>
      </c>
    </row>
    <row r="11309" spans="1:4" ht="13.5">
      <c r="A11309" s="402">
        <v>88257</v>
      </c>
      <c r="B11309" s="403" t="s">
        <v>249</v>
      </c>
      <c r="C11309" s="402" t="s">
        <v>23</v>
      </c>
      <c r="D11309" s="601">
        <v>12.89</v>
      </c>
    </row>
    <row r="11310" spans="1:4" ht="13.5">
      <c r="A11310" s="402">
        <v>88258</v>
      </c>
      <c r="B11310" s="403" t="s">
        <v>841</v>
      </c>
      <c r="C11310" s="402" t="s">
        <v>23</v>
      </c>
      <c r="D11310" s="601">
        <v>12.46</v>
      </c>
    </row>
    <row r="11311" spans="1:4" ht="13.5">
      <c r="A11311" s="402">
        <v>88259</v>
      </c>
      <c r="B11311" s="403" t="s">
        <v>250</v>
      </c>
      <c r="C11311" s="402" t="s">
        <v>23</v>
      </c>
      <c r="D11311" s="601">
        <v>20.51</v>
      </c>
    </row>
    <row r="11312" spans="1:4" ht="13.5">
      <c r="A11312" s="402">
        <v>88260</v>
      </c>
      <c r="B11312" s="403" t="s">
        <v>251</v>
      </c>
      <c r="C11312" s="402" t="s">
        <v>23</v>
      </c>
      <c r="D11312" s="601">
        <v>17.52</v>
      </c>
    </row>
    <row r="11313" spans="1:4" ht="13.5">
      <c r="A11313" s="402">
        <v>88261</v>
      </c>
      <c r="B11313" s="403" t="s">
        <v>53</v>
      </c>
      <c r="C11313" s="402" t="s">
        <v>23</v>
      </c>
      <c r="D11313" s="601">
        <v>18.84</v>
      </c>
    </row>
    <row r="11314" spans="1:4" ht="13.5">
      <c r="A11314" s="402">
        <v>88262</v>
      </c>
      <c r="B11314" s="403" t="s">
        <v>46</v>
      </c>
      <c r="C11314" s="402" t="s">
        <v>23</v>
      </c>
      <c r="D11314" s="601">
        <v>17.64</v>
      </c>
    </row>
    <row r="11315" spans="1:4" ht="13.5">
      <c r="A11315" s="402">
        <v>88263</v>
      </c>
      <c r="B11315" s="403" t="s">
        <v>1517</v>
      </c>
      <c r="C11315" s="402" t="s">
        <v>23</v>
      </c>
      <c r="D11315" s="601">
        <v>11.66</v>
      </c>
    </row>
    <row r="11316" spans="1:4" ht="13.5">
      <c r="A11316" s="402">
        <v>88264</v>
      </c>
      <c r="B11316" s="403" t="s">
        <v>52</v>
      </c>
      <c r="C11316" s="402" t="s">
        <v>23</v>
      </c>
      <c r="D11316" s="601">
        <v>18.38</v>
      </c>
    </row>
    <row r="11317" spans="1:4" ht="13.5">
      <c r="A11317" s="402">
        <v>88265</v>
      </c>
      <c r="B11317" s="403" t="s">
        <v>252</v>
      </c>
      <c r="C11317" s="402" t="s">
        <v>23</v>
      </c>
      <c r="D11317" s="601">
        <v>18.38</v>
      </c>
    </row>
    <row r="11318" spans="1:4" ht="13.5">
      <c r="A11318" s="402">
        <v>88266</v>
      </c>
      <c r="B11318" s="403" t="s">
        <v>253</v>
      </c>
      <c r="C11318" s="402" t="s">
        <v>23</v>
      </c>
      <c r="D11318" s="601">
        <v>18.45</v>
      </c>
    </row>
    <row r="11319" spans="1:4" ht="13.5">
      <c r="A11319" s="402">
        <v>88267</v>
      </c>
      <c r="B11319" s="403" t="s">
        <v>50</v>
      </c>
      <c r="C11319" s="402" t="s">
        <v>23</v>
      </c>
      <c r="D11319" s="601">
        <v>17.79</v>
      </c>
    </row>
    <row r="11320" spans="1:4" ht="13.5">
      <c r="A11320" s="402">
        <v>88268</v>
      </c>
      <c r="B11320" s="403" t="s">
        <v>254</v>
      </c>
      <c r="C11320" s="402" t="s">
        <v>23</v>
      </c>
      <c r="D11320" s="601">
        <v>18.3</v>
      </c>
    </row>
    <row r="11321" spans="1:4" ht="13.5">
      <c r="A11321" s="402">
        <v>88269</v>
      </c>
      <c r="B11321" s="403" t="s">
        <v>255</v>
      </c>
      <c r="C11321" s="402" t="s">
        <v>23</v>
      </c>
      <c r="D11321" s="601">
        <v>17.68</v>
      </c>
    </row>
    <row r="11322" spans="1:4" ht="13.5">
      <c r="A11322" s="402">
        <v>88270</v>
      </c>
      <c r="B11322" s="403" t="s">
        <v>256</v>
      </c>
      <c r="C11322" s="402" t="s">
        <v>23</v>
      </c>
      <c r="D11322" s="601">
        <v>18.52</v>
      </c>
    </row>
    <row r="11323" spans="1:4" ht="13.5">
      <c r="A11323" s="402">
        <v>88272</v>
      </c>
      <c r="B11323" s="403" t="s">
        <v>257</v>
      </c>
      <c r="C11323" s="402" t="s">
        <v>23</v>
      </c>
      <c r="D11323" s="601">
        <v>18.190000000000001</v>
      </c>
    </row>
    <row r="11324" spans="1:4" ht="13.5">
      <c r="A11324" s="402">
        <v>88273</v>
      </c>
      <c r="B11324" s="403" t="s">
        <v>258</v>
      </c>
      <c r="C11324" s="402" t="s">
        <v>23</v>
      </c>
      <c r="D11324" s="601">
        <v>17.940000000000001</v>
      </c>
    </row>
    <row r="11325" spans="1:4" ht="13.5">
      <c r="A11325" s="402">
        <v>88274</v>
      </c>
      <c r="B11325" s="403" t="s">
        <v>259</v>
      </c>
      <c r="C11325" s="402" t="s">
        <v>23</v>
      </c>
      <c r="D11325" s="601">
        <v>17.98</v>
      </c>
    </row>
    <row r="11326" spans="1:4" ht="13.5">
      <c r="A11326" s="402">
        <v>88275</v>
      </c>
      <c r="B11326" s="403" t="s">
        <v>260</v>
      </c>
      <c r="C11326" s="402" t="s">
        <v>23</v>
      </c>
      <c r="D11326" s="601">
        <v>18.07</v>
      </c>
    </row>
    <row r="11327" spans="1:4" ht="13.5">
      <c r="A11327" s="402">
        <v>88277</v>
      </c>
      <c r="B11327" s="403" t="s">
        <v>261</v>
      </c>
      <c r="C11327" s="402" t="s">
        <v>23</v>
      </c>
      <c r="D11327" s="601">
        <v>13.58</v>
      </c>
    </row>
    <row r="11328" spans="1:4" ht="13.5">
      <c r="A11328" s="402">
        <v>88278</v>
      </c>
      <c r="B11328" s="403" t="s">
        <v>262</v>
      </c>
      <c r="C11328" s="402" t="s">
        <v>23</v>
      </c>
      <c r="D11328" s="601">
        <v>12.82</v>
      </c>
    </row>
    <row r="11329" spans="1:4" ht="13.5">
      <c r="A11329" s="402">
        <v>88279</v>
      </c>
      <c r="B11329" s="403" t="s">
        <v>263</v>
      </c>
      <c r="C11329" s="402" t="s">
        <v>23</v>
      </c>
      <c r="D11329" s="601">
        <v>19.5</v>
      </c>
    </row>
    <row r="11330" spans="1:4" ht="13.5">
      <c r="A11330" s="402">
        <v>88281</v>
      </c>
      <c r="B11330" s="403" t="s">
        <v>264</v>
      </c>
      <c r="C11330" s="402" t="s">
        <v>23</v>
      </c>
      <c r="D11330" s="601">
        <v>13.61</v>
      </c>
    </row>
    <row r="11331" spans="1:4" ht="13.5">
      <c r="A11331" s="402">
        <v>88282</v>
      </c>
      <c r="B11331" s="403" t="s">
        <v>265</v>
      </c>
      <c r="C11331" s="402" t="s">
        <v>23</v>
      </c>
      <c r="D11331" s="601">
        <v>14.19</v>
      </c>
    </row>
    <row r="11332" spans="1:4" ht="13.5">
      <c r="A11332" s="402">
        <v>88283</v>
      </c>
      <c r="B11332" s="403" t="s">
        <v>266</v>
      </c>
      <c r="C11332" s="402" t="s">
        <v>23</v>
      </c>
      <c r="D11332" s="601">
        <v>17.62</v>
      </c>
    </row>
    <row r="11333" spans="1:4" ht="13.5">
      <c r="A11333" s="402">
        <v>88284</v>
      </c>
      <c r="B11333" s="403" t="s">
        <v>267</v>
      </c>
      <c r="C11333" s="402" t="s">
        <v>23</v>
      </c>
      <c r="D11333" s="601">
        <v>13.45</v>
      </c>
    </row>
    <row r="11334" spans="1:4" ht="13.5">
      <c r="A11334" s="402">
        <v>88285</v>
      </c>
      <c r="B11334" s="403" t="s">
        <v>268</v>
      </c>
      <c r="C11334" s="402" t="s">
        <v>23</v>
      </c>
      <c r="D11334" s="601">
        <v>15.12</v>
      </c>
    </row>
    <row r="11335" spans="1:4" ht="13.5">
      <c r="A11335" s="402">
        <v>88286</v>
      </c>
      <c r="B11335" s="403" t="s">
        <v>269</v>
      </c>
      <c r="C11335" s="402" t="s">
        <v>23</v>
      </c>
      <c r="D11335" s="601">
        <v>16.03</v>
      </c>
    </row>
    <row r="11336" spans="1:4" ht="13.5">
      <c r="A11336" s="402">
        <v>88288</v>
      </c>
      <c r="B11336" s="403" t="s">
        <v>270</v>
      </c>
      <c r="C11336" s="402" t="s">
        <v>23</v>
      </c>
      <c r="D11336" s="601">
        <v>10.3</v>
      </c>
    </row>
    <row r="11337" spans="1:4" ht="13.5">
      <c r="A11337" s="402">
        <v>88291</v>
      </c>
      <c r="B11337" s="403" t="s">
        <v>271</v>
      </c>
      <c r="C11337" s="402" t="s">
        <v>23</v>
      </c>
      <c r="D11337" s="601">
        <v>13.21</v>
      </c>
    </row>
    <row r="11338" spans="1:4" ht="13.5">
      <c r="A11338" s="402">
        <v>88292</v>
      </c>
      <c r="B11338" s="403" t="s">
        <v>272</v>
      </c>
      <c r="C11338" s="402" t="s">
        <v>23</v>
      </c>
      <c r="D11338" s="601">
        <v>13.69</v>
      </c>
    </row>
    <row r="11339" spans="1:4" ht="13.5">
      <c r="A11339" s="402">
        <v>88293</v>
      </c>
      <c r="B11339" s="403" t="s">
        <v>273</v>
      </c>
      <c r="C11339" s="402" t="s">
        <v>23</v>
      </c>
      <c r="D11339" s="601">
        <v>15.34</v>
      </c>
    </row>
    <row r="11340" spans="1:4" ht="13.5">
      <c r="A11340" s="402">
        <v>88294</v>
      </c>
      <c r="B11340" s="403" t="s">
        <v>274</v>
      </c>
      <c r="C11340" s="402" t="s">
        <v>23</v>
      </c>
      <c r="D11340" s="601">
        <v>16.45</v>
      </c>
    </row>
    <row r="11341" spans="1:4" ht="13.5">
      <c r="A11341" s="402">
        <v>88295</v>
      </c>
      <c r="B11341" s="403" t="s">
        <v>275</v>
      </c>
      <c r="C11341" s="402" t="s">
        <v>23</v>
      </c>
      <c r="D11341" s="601">
        <v>12.99</v>
      </c>
    </row>
    <row r="11342" spans="1:4" ht="13.5">
      <c r="A11342" s="402">
        <v>88296</v>
      </c>
      <c r="B11342" s="403" t="s">
        <v>276</v>
      </c>
      <c r="C11342" s="402" t="s">
        <v>23</v>
      </c>
      <c r="D11342" s="601">
        <v>13.04</v>
      </c>
    </row>
    <row r="11343" spans="1:4" ht="13.5">
      <c r="A11343" s="402">
        <v>88297</v>
      </c>
      <c r="B11343" s="403" t="s">
        <v>277</v>
      </c>
      <c r="C11343" s="402" t="s">
        <v>23</v>
      </c>
      <c r="D11343" s="601">
        <v>13.49</v>
      </c>
    </row>
    <row r="11344" spans="1:4" ht="13.5">
      <c r="A11344" s="402">
        <v>88298</v>
      </c>
      <c r="B11344" s="403" t="s">
        <v>278</v>
      </c>
      <c r="C11344" s="402" t="s">
        <v>23</v>
      </c>
      <c r="D11344" s="601">
        <v>11.45</v>
      </c>
    </row>
    <row r="11345" spans="1:4" ht="13.5">
      <c r="A11345" s="402">
        <v>88299</v>
      </c>
      <c r="B11345" s="403" t="s">
        <v>279</v>
      </c>
      <c r="C11345" s="402" t="s">
        <v>23</v>
      </c>
      <c r="D11345" s="601">
        <v>15.52</v>
      </c>
    </row>
    <row r="11346" spans="1:4" ht="13.5">
      <c r="A11346" s="402">
        <v>88300</v>
      </c>
      <c r="B11346" s="403" t="s">
        <v>280</v>
      </c>
      <c r="C11346" s="402" t="s">
        <v>23</v>
      </c>
      <c r="D11346" s="601">
        <v>18.16</v>
      </c>
    </row>
    <row r="11347" spans="1:4" ht="13.5">
      <c r="A11347" s="402">
        <v>88301</v>
      </c>
      <c r="B11347" s="403" t="s">
        <v>281</v>
      </c>
      <c r="C11347" s="402" t="s">
        <v>23</v>
      </c>
      <c r="D11347" s="601">
        <v>14.32</v>
      </c>
    </row>
    <row r="11348" spans="1:4" ht="13.5">
      <c r="A11348" s="402">
        <v>88302</v>
      </c>
      <c r="B11348" s="403" t="s">
        <v>282</v>
      </c>
      <c r="C11348" s="402" t="s">
        <v>23</v>
      </c>
      <c r="D11348" s="601">
        <v>15.91</v>
      </c>
    </row>
    <row r="11349" spans="1:4" ht="13.5">
      <c r="A11349" s="402">
        <v>88303</v>
      </c>
      <c r="B11349" s="403" t="s">
        <v>283</v>
      </c>
      <c r="C11349" s="402" t="s">
        <v>23</v>
      </c>
      <c r="D11349" s="601">
        <v>13.47</v>
      </c>
    </row>
    <row r="11350" spans="1:4" ht="27">
      <c r="A11350" s="402">
        <v>88304</v>
      </c>
      <c r="B11350" s="403" t="s">
        <v>1518</v>
      </c>
      <c r="C11350" s="402" t="s">
        <v>23</v>
      </c>
      <c r="D11350" s="601">
        <v>14.22</v>
      </c>
    </row>
    <row r="11351" spans="1:4" ht="13.5">
      <c r="A11351" s="402">
        <v>88306</v>
      </c>
      <c r="B11351" s="403" t="s">
        <v>284</v>
      </c>
      <c r="C11351" s="402" t="s">
        <v>23</v>
      </c>
      <c r="D11351" s="601">
        <v>15.14</v>
      </c>
    </row>
    <row r="11352" spans="1:4" ht="13.5">
      <c r="A11352" s="402">
        <v>88307</v>
      </c>
      <c r="B11352" s="403" t="s">
        <v>285</v>
      </c>
      <c r="C11352" s="402" t="s">
        <v>23</v>
      </c>
      <c r="D11352" s="601">
        <v>14.75</v>
      </c>
    </row>
    <row r="11353" spans="1:4" ht="13.5">
      <c r="A11353" s="402">
        <v>88308</v>
      </c>
      <c r="B11353" s="403" t="s">
        <v>286</v>
      </c>
      <c r="C11353" s="402" t="s">
        <v>23</v>
      </c>
      <c r="D11353" s="601">
        <v>19.84</v>
      </c>
    </row>
    <row r="11354" spans="1:4" ht="13.5">
      <c r="A11354" s="402">
        <v>88309</v>
      </c>
      <c r="B11354" s="403" t="s">
        <v>47</v>
      </c>
      <c r="C11354" s="402" t="s">
        <v>23</v>
      </c>
      <c r="D11354" s="601">
        <v>17.760000000000002</v>
      </c>
    </row>
    <row r="11355" spans="1:4" ht="13.5">
      <c r="A11355" s="402">
        <v>88310</v>
      </c>
      <c r="B11355" s="403" t="s">
        <v>287</v>
      </c>
      <c r="C11355" s="402" t="s">
        <v>23</v>
      </c>
      <c r="D11355" s="601">
        <v>18.88</v>
      </c>
    </row>
    <row r="11356" spans="1:4" ht="13.5">
      <c r="A11356" s="402">
        <v>88311</v>
      </c>
      <c r="B11356" s="403" t="s">
        <v>288</v>
      </c>
      <c r="C11356" s="402" t="s">
        <v>23</v>
      </c>
      <c r="D11356" s="601">
        <v>20.85</v>
      </c>
    </row>
    <row r="11357" spans="1:4" ht="13.5">
      <c r="A11357" s="402">
        <v>88312</v>
      </c>
      <c r="B11357" s="403" t="s">
        <v>289</v>
      </c>
      <c r="C11357" s="402" t="s">
        <v>23</v>
      </c>
      <c r="D11357" s="601">
        <v>19.84</v>
      </c>
    </row>
    <row r="11358" spans="1:4" ht="13.5">
      <c r="A11358" s="402">
        <v>88313</v>
      </c>
      <c r="B11358" s="403" t="s">
        <v>290</v>
      </c>
      <c r="C11358" s="402" t="s">
        <v>23</v>
      </c>
      <c r="D11358" s="601">
        <v>13.01</v>
      </c>
    </row>
    <row r="11359" spans="1:4" ht="13.5">
      <c r="A11359" s="402">
        <v>88314</v>
      </c>
      <c r="B11359" s="403" t="s">
        <v>291</v>
      </c>
      <c r="C11359" s="402" t="s">
        <v>23</v>
      </c>
      <c r="D11359" s="601">
        <v>12.02</v>
      </c>
    </row>
    <row r="11360" spans="1:4" ht="13.5">
      <c r="A11360" s="402">
        <v>88315</v>
      </c>
      <c r="B11360" s="403" t="s">
        <v>49</v>
      </c>
      <c r="C11360" s="402" t="s">
        <v>23</v>
      </c>
      <c r="D11360" s="601">
        <v>17.68</v>
      </c>
    </row>
    <row r="11361" spans="1:4" ht="13.5">
      <c r="A11361" s="402">
        <v>88316</v>
      </c>
      <c r="B11361" s="403" t="s">
        <v>26</v>
      </c>
      <c r="C11361" s="402" t="s">
        <v>23</v>
      </c>
      <c r="D11361" s="601">
        <v>14.37</v>
      </c>
    </row>
    <row r="11362" spans="1:4" ht="13.5">
      <c r="A11362" s="402">
        <v>88317</v>
      </c>
      <c r="B11362" s="403" t="s">
        <v>292</v>
      </c>
      <c r="C11362" s="402" t="s">
        <v>23</v>
      </c>
      <c r="D11362" s="601">
        <v>17.98</v>
      </c>
    </row>
    <row r="11363" spans="1:4" ht="27">
      <c r="A11363" s="402">
        <v>88318</v>
      </c>
      <c r="B11363" s="403" t="s">
        <v>1519</v>
      </c>
      <c r="C11363" s="402" t="s">
        <v>23</v>
      </c>
      <c r="D11363" s="601">
        <v>22.22</v>
      </c>
    </row>
    <row r="11364" spans="1:4" ht="13.5">
      <c r="A11364" s="402">
        <v>88320</v>
      </c>
      <c r="B11364" s="403" t="s">
        <v>293</v>
      </c>
      <c r="C11364" s="402" t="s">
        <v>23</v>
      </c>
      <c r="D11364" s="601">
        <v>20.55</v>
      </c>
    </row>
    <row r="11365" spans="1:4" ht="13.5">
      <c r="A11365" s="402">
        <v>88321</v>
      </c>
      <c r="B11365" s="403" t="s">
        <v>294</v>
      </c>
      <c r="C11365" s="402" t="s">
        <v>23</v>
      </c>
      <c r="D11365" s="601">
        <v>19.57</v>
      </c>
    </row>
    <row r="11366" spans="1:4" ht="13.5">
      <c r="A11366" s="402">
        <v>88322</v>
      </c>
      <c r="B11366" s="403" t="s">
        <v>295</v>
      </c>
      <c r="C11366" s="402" t="s">
        <v>23</v>
      </c>
      <c r="D11366" s="601">
        <v>17.600000000000001</v>
      </c>
    </row>
    <row r="11367" spans="1:4" ht="13.5">
      <c r="A11367" s="402">
        <v>88323</v>
      </c>
      <c r="B11367" s="403" t="s">
        <v>296</v>
      </c>
      <c r="C11367" s="402" t="s">
        <v>23</v>
      </c>
      <c r="D11367" s="601">
        <v>18.809999999999999</v>
      </c>
    </row>
    <row r="11368" spans="1:4" ht="13.5">
      <c r="A11368" s="402">
        <v>88324</v>
      </c>
      <c r="B11368" s="403" t="s">
        <v>297</v>
      </c>
      <c r="C11368" s="402" t="s">
        <v>23</v>
      </c>
      <c r="D11368" s="601">
        <v>13.56</v>
      </c>
    </row>
    <row r="11369" spans="1:4" ht="13.5">
      <c r="A11369" s="402">
        <v>88325</v>
      </c>
      <c r="B11369" s="403" t="s">
        <v>298</v>
      </c>
      <c r="C11369" s="402" t="s">
        <v>23</v>
      </c>
      <c r="D11369" s="601">
        <v>17.14</v>
      </c>
    </row>
    <row r="11370" spans="1:4" ht="13.5">
      <c r="A11370" s="402">
        <v>88326</v>
      </c>
      <c r="B11370" s="403" t="s">
        <v>299</v>
      </c>
      <c r="C11370" s="402" t="s">
        <v>23</v>
      </c>
      <c r="D11370" s="601">
        <v>18.350000000000001</v>
      </c>
    </row>
    <row r="11371" spans="1:4" ht="13.5">
      <c r="A11371" s="402">
        <v>88377</v>
      </c>
      <c r="B11371" s="403" t="s">
        <v>1520</v>
      </c>
      <c r="C11371" s="402" t="s">
        <v>23</v>
      </c>
      <c r="D11371" s="601">
        <v>12.88</v>
      </c>
    </row>
    <row r="11372" spans="1:4" ht="13.5">
      <c r="A11372" s="402">
        <v>88441</v>
      </c>
      <c r="B11372" s="403" t="s">
        <v>310</v>
      </c>
      <c r="C11372" s="402" t="s">
        <v>23</v>
      </c>
      <c r="D11372" s="601">
        <v>17.190000000000001</v>
      </c>
    </row>
    <row r="11373" spans="1:4" ht="13.5">
      <c r="A11373" s="402">
        <v>88597</v>
      </c>
      <c r="B11373" s="403" t="s">
        <v>328</v>
      </c>
      <c r="C11373" s="402" t="s">
        <v>23</v>
      </c>
      <c r="D11373" s="601">
        <v>20.3</v>
      </c>
    </row>
    <row r="11374" spans="1:4" ht="13.5">
      <c r="A11374" s="402">
        <v>90766</v>
      </c>
      <c r="B11374" s="403" t="s">
        <v>517</v>
      </c>
      <c r="C11374" s="402" t="s">
        <v>23</v>
      </c>
      <c r="D11374" s="601">
        <v>13.9</v>
      </c>
    </row>
    <row r="11375" spans="1:4" ht="13.5">
      <c r="A11375" s="402">
        <v>90767</v>
      </c>
      <c r="B11375" s="403" t="s">
        <v>518</v>
      </c>
      <c r="C11375" s="402" t="s">
        <v>23</v>
      </c>
      <c r="D11375" s="601">
        <v>13.53</v>
      </c>
    </row>
    <row r="11376" spans="1:4" ht="13.5">
      <c r="A11376" s="402">
        <v>90768</v>
      </c>
      <c r="B11376" s="403" t="s">
        <v>519</v>
      </c>
      <c r="C11376" s="402" t="s">
        <v>23</v>
      </c>
      <c r="D11376" s="601">
        <v>58.36</v>
      </c>
    </row>
    <row r="11377" spans="1:4" ht="13.5">
      <c r="A11377" s="402">
        <v>90769</v>
      </c>
      <c r="B11377" s="403" t="s">
        <v>520</v>
      </c>
      <c r="C11377" s="402" t="s">
        <v>23</v>
      </c>
      <c r="D11377" s="601">
        <v>82.48</v>
      </c>
    </row>
    <row r="11378" spans="1:4" ht="13.5">
      <c r="A11378" s="402">
        <v>90770</v>
      </c>
      <c r="B11378" s="403" t="s">
        <v>521</v>
      </c>
      <c r="C11378" s="402" t="s">
        <v>23</v>
      </c>
      <c r="D11378" s="601">
        <v>108.73</v>
      </c>
    </row>
    <row r="11379" spans="1:4" ht="13.5">
      <c r="A11379" s="402">
        <v>90771</v>
      </c>
      <c r="B11379" s="403" t="s">
        <v>522</v>
      </c>
      <c r="C11379" s="402" t="s">
        <v>23</v>
      </c>
      <c r="D11379" s="601">
        <v>16.420000000000002</v>
      </c>
    </row>
    <row r="11380" spans="1:4" ht="13.5">
      <c r="A11380" s="402">
        <v>90772</v>
      </c>
      <c r="B11380" s="403" t="s">
        <v>523</v>
      </c>
      <c r="C11380" s="402" t="s">
        <v>23</v>
      </c>
      <c r="D11380" s="601">
        <v>11.4</v>
      </c>
    </row>
    <row r="11381" spans="1:4" ht="13.5">
      <c r="A11381" s="402">
        <v>90773</v>
      </c>
      <c r="B11381" s="403" t="s">
        <v>524</v>
      </c>
      <c r="C11381" s="402" t="s">
        <v>23</v>
      </c>
      <c r="D11381" s="601">
        <v>15.56</v>
      </c>
    </row>
    <row r="11382" spans="1:4" ht="13.5">
      <c r="A11382" s="402">
        <v>90775</v>
      </c>
      <c r="B11382" s="403" t="s">
        <v>525</v>
      </c>
      <c r="C11382" s="402" t="s">
        <v>23</v>
      </c>
      <c r="D11382" s="601">
        <v>16.420000000000002</v>
      </c>
    </row>
    <row r="11383" spans="1:4" ht="13.5">
      <c r="A11383" s="402">
        <v>90776</v>
      </c>
      <c r="B11383" s="403" t="s">
        <v>526</v>
      </c>
      <c r="C11383" s="402" t="s">
        <v>23</v>
      </c>
      <c r="D11383" s="601">
        <v>18.829999999999998</v>
      </c>
    </row>
    <row r="11384" spans="1:4" ht="13.5">
      <c r="A11384" s="402">
        <v>90777</v>
      </c>
      <c r="B11384" s="403" t="s">
        <v>527</v>
      </c>
      <c r="C11384" s="402" t="s">
        <v>23</v>
      </c>
      <c r="D11384" s="601">
        <v>79.17</v>
      </c>
    </row>
    <row r="11385" spans="1:4" ht="13.5">
      <c r="A11385" s="402">
        <v>90778</v>
      </c>
      <c r="B11385" s="403" t="s">
        <v>528</v>
      </c>
      <c r="C11385" s="402" t="s">
        <v>23</v>
      </c>
      <c r="D11385" s="601">
        <v>89.98</v>
      </c>
    </row>
    <row r="11386" spans="1:4" ht="13.5">
      <c r="A11386" s="402">
        <v>90779</v>
      </c>
      <c r="B11386" s="403" t="s">
        <v>529</v>
      </c>
      <c r="C11386" s="402" t="s">
        <v>23</v>
      </c>
      <c r="D11386" s="601">
        <v>122.63</v>
      </c>
    </row>
    <row r="11387" spans="1:4" ht="13.5">
      <c r="A11387" s="402">
        <v>90780</v>
      </c>
      <c r="B11387" s="403" t="s">
        <v>530</v>
      </c>
      <c r="C11387" s="402" t="s">
        <v>23</v>
      </c>
      <c r="D11387" s="601">
        <v>27.82</v>
      </c>
    </row>
    <row r="11388" spans="1:4" ht="13.5">
      <c r="A11388" s="402">
        <v>90781</v>
      </c>
      <c r="B11388" s="403" t="s">
        <v>531</v>
      </c>
      <c r="C11388" s="402" t="s">
        <v>23</v>
      </c>
      <c r="D11388" s="601">
        <v>16.350000000000001</v>
      </c>
    </row>
    <row r="11389" spans="1:4" ht="13.5">
      <c r="A11389" s="402">
        <v>91677</v>
      </c>
      <c r="B11389" s="403" t="s">
        <v>571</v>
      </c>
      <c r="C11389" s="402" t="s">
        <v>23</v>
      </c>
      <c r="D11389" s="601">
        <v>76.53</v>
      </c>
    </row>
    <row r="11390" spans="1:4" ht="13.5">
      <c r="A11390" s="402">
        <v>91678</v>
      </c>
      <c r="B11390" s="403" t="s">
        <v>572</v>
      </c>
      <c r="C11390" s="402" t="s">
        <v>23</v>
      </c>
      <c r="D11390" s="601">
        <v>74.09</v>
      </c>
    </row>
    <row r="11391" spans="1:4" ht="13.5">
      <c r="A11391" s="402">
        <v>93558</v>
      </c>
      <c r="B11391" s="403" t="s">
        <v>685</v>
      </c>
      <c r="C11391" s="402" t="s">
        <v>96</v>
      </c>
      <c r="D11391" s="601">
        <v>2560.71</v>
      </c>
    </row>
    <row r="11392" spans="1:4" ht="13.5">
      <c r="A11392" s="402">
        <v>93559</v>
      </c>
      <c r="B11392" s="403" t="s">
        <v>328</v>
      </c>
      <c r="C11392" s="402" t="s">
        <v>96</v>
      </c>
      <c r="D11392" s="601">
        <v>3610.9</v>
      </c>
    </row>
    <row r="11393" spans="1:4" ht="13.5">
      <c r="A11393" s="402">
        <v>93560</v>
      </c>
      <c r="B11393" s="403" t="s">
        <v>524</v>
      </c>
      <c r="C11393" s="402" t="s">
        <v>96</v>
      </c>
      <c r="D11393" s="601">
        <v>2770.81</v>
      </c>
    </row>
    <row r="11394" spans="1:4" ht="13.5">
      <c r="A11394" s="402">
        <v>93561</v>
      </c>
      <c r="B11394" s="403" t="s">
        <v>525</v>
      </c>
      <c r="C11394" s="402" t="s">
        <v>96</v>
      </c>
      <c r="D11394" s="601">
        <v>2924.79</v>
      </c>
    </row>
    <row r="11395" spans="1:4" ht="13.5">
      <c r="A11395" s="402">
        <v>93562</v>
      </c>
      <c r="B11395" s="403" t="s">
        <v>522</v>
      </c>
      <c r="C11395" s="402" t="s">
        <v>96</v>
      </c>
      <c r="D11395" s="601">
        <v>2924.03</v>
      </c>
    </row>
    <row r="11396" spans="1:4" ht="13.5">
      <c r="A11396" s="402">
        <v>93563</v>
      </c>
      <c r="B11396" s="403" t="s">
        <v>517</v>
      </c>
      <c r="C11396" s="402" t="s">
        <v>96</v>
      </c>
      <c r="D11396" s="601">
        <v>2473.04</v>
      </c>
    </row>
    <row r="11397" spans="1:4" ht="13.5">
      <c r="A11397" s="402">
        <v>93564</v>
      </c>
      <c r="B11397" s="403" t="s">
        <v>518</v>
      </c>
      <c r="C11397" s="402" t="s">
        <v>96</v>
      </c>
      <c r="D11397" s="601">
        <v>2405.6</v>
      </c>
    </row>
    <row r="11398" spans="1:4" ht="13.5">
      <c r="A11398" s="402">
        <v>93565</v>
      </c>
      <c r="B11398" s="403" t="s">
        <v>527</v>
      </c>
      <c r="C11398" s="402" t="s">
        <v>96</v>
      </c>
      <c r="D11398" s="601">
        <v>14008.4</v>
      </c>
    </row>
    <row r="11399" spans="1:4" ht="13.5">
      <c r="A11399" s="402">
        <v>93566</v>
      </c>
      <c r="B11399" s="403" t="s">
        <v>523</v>
      </c>
      <c r="C11399" s="402" t="s">
        <v>96</v>
      </c>
      <c r="D11399" s="601">
        <v>2032.77</v>
      </c>
    </row>
    <row r="11400" spans="1:4" ht="13.5">
      <c r="A11400" s="402">
        <v>93567</v>
      </c>
      <c r="B11400" s="403" t="s">
        <v>528</v>
      </c>
      <c r="C11400" s="402" t="s">
        <v>96</v>
      </c>
      <c r="D11400" s="601">
        <v>15918.37</v>
      </c>
    </row>
    <row r="11401" spans="1:4" ht="13.5">
      <c r="A11401" s="402">
        <v>93568</v>
      </c>
      <c r="B11401" s="403" t="s">
        <v>529</v>
      </c>
      <c r="C11401" s="402" t="s">
        <v>96</v>
      </c>
      <c r="D11401" s="601">
        <v>21690.74</v>
      </c>
    </row>
    <row r="11402" spans="1:4" ht="13.5">
      <c r="A11402" s="402">
        <v>93569</v>
      </c>
      <c r="B11402" s="403" t="s">
        <v>686</v>
      </c>
      <c r="C11402" s="402" t="s">
        <v>96</v>
      </c>
      <c r="D11402" s="601">
        <v>10340.84</v>
      </c>
    </row>
    <row r="11403" spans="1:4" ht="13.5">
      <c r="A11403" s="402">
        <v>93570</v>
      </c>
      <c r="B11403" s="403" t="s">
        <v>687</v>
      </c>
      <c r="C11403" s="402" t="s">
        <v>96</v>
      </c>
      <c r="D11403" s="601">
        <v>14608.98</v>
      </c>
    </row>
    <row r="11404" spans="1:4" ht="13.5">
      <c r="A11404" s="402">
        <v>93571</v>
      </c>
      <c r="B11404" s="403" t="s">
        <v>688</v>
      </c>
      <c r="C11404" s="402" t="s">
        <v>96</v>
      </c>
      <c r="D11404" s="601">
        <v>19253.59</v>
      </c>
    </row>
    <row r="11405" spans="1:4" ht="13.5">
      <c r="A11405" s="402">
        <v>93572</v>
      </c>
      <c r="B11405" s="403" t="s">
        <v>689</v>
      </c>
      <c r="C11405" s="402" t="s">
        <v>96</v>
      </c>
      <c r="D11405" s="601">
        <v>3342.75</v>
      </c>
    </row>
    <row r="11406" spans="1:4" ht="13.5">
      <c r="A11406" s="402">
        <v>94295</v>
      </c>
      <c r="B11406" s="403" t="s">
        <v>530</v>
      </c>
      <c r="C11406" s="402" t="s">
        <v>96</v>
      </c>
      <c r="D11406" s="601">
        <v>4932.26</v>
      </c>
    </row>
    <row r="11407" spans="1:4" ht="13.5">
      <c r="A11407" s="402">
        <v>94296</v>
      </c>
      <c r="B11407" s="403" t="s">
        <v>531</v>
      </c>
      <c r="C11407" s="402" t="s">
        <v>96</v>
      </c>
      <c r="D11407" s="601">
        <v>2941.62</v>
      </c>
    </row>
    <row r="11408" spans="1:4" ht="27">
      <c r="A11408" s="402">
        <v>95308</v>
      </c>
      <c r="B11408" s="403" t="s">
        <v>3626</v>
      </c>
      <c r="C11408" s="402" t="s">
        <v>23</v>
      </c>
      <c r="D11408" s="601">
        <v>7.0000000000000007E-2</v>
      </c>
    </row>
    <row r="11409" spans="1:4" ht="27">
      <c r="A11409" s="402">
        <v>95309</v>
      </c>
      <c r="B11409" s="403" t="s">
        <v>3627</v>
      </c>
      <c r="C11409" s="402" t="s">
        <v>23</v>
      </c>
      <c r="D11409" s="601">
        <v>0.1</v>
      </c>
    </row>
    <row r="11410" spans="1:4" ht="27">
      <c r="A11410" s="402">
        <v>95310</v>
      </c>
      <c r="B11410" s="403" t="s">
        <v>3628</v>
      </c>
      <c r="C11410" s="402" t="s">
        <v>23</v>
      </c>
      <c r="D11410" s="601">
        <v>0.05</v>
      </c>
    </row>
    <row r="11411" spans="1:4" ht="27">
      <c r="A11411" s="402">
        <v>95311</v>
      </c>
      <c r="B11411" s="403" t="s">
        <v>3629</v>
      </c>
      <c r="C11411" s="402" t="s">
        <v>23</v>
      </c>
      <c r="D11411" s="601">
        <v>7.0000000000000007E-2</v>
      </c>
    </row>
    <row r="11412" spans="1:4" ht="27">
      <c r="A11412" s="402">
        <v>95312</v>
      </c>
      <c r="B11412" s="403" t="s">
        <v>3630</v>
      </c>
      <c r="C11412" s="402" t="s">
        <v>23</v>
      </c>
      <c r="D11412" s="601">
        <v>0.09</v>
      </c>
    </row>
    <row r="11413" spans="1:4" ht="27">
      <c r="A11413" s="402">
        <v>95313</v>
      </c>
      <c r="B11413" s="403" t="s">
        <v>3631</v>
      </c>
      <c r="C11413" s="402" t="s">
        <v>23</v>
      </c>
      <c r="D11413" s="601">
        <v>0.09</v>
      </c>
    </row>
    <row r="11414" spans="1:4" ht="13.5">
      <c r="A11414" s="402">
        <v>95314</v>
      </c>
      <c r="B11414" s="403" t="s">
        <v>821</v>
      </c>
      <c r="C11414" s="402" t="s">
        <v>23</v>
      </c>
      <c r="D11414" s="601">
        <v>0.1</v>
      </c>
    </row>
    <row r="11415" spans="1:4" ht="27">
      <c r="A11415" s="402">
        <v>95315</v>
      </c>
      <c r="B11415" s="403" t="s">
        <v>3632</v>
      </c>
      <c r="C11415" s="402" t="s">
        <v>23</v>
      </c>
      <c r="D11415" s="601">
        <v>0.1</v>
      </c>
    </row>
    <row r="11416" spans="1:4" ht="27">
      <c r="A11416" s="402">
        <v>95316</v>
      </c>
      <c r="B11416" s="403" t="s">
        <v>3633</v>
      </c>
      <c r="C11416" s="402" t="s">
        <v>23</v>
      </c>
      <c r="D11416" s="601">
        <v>0.23</v>
      </c>
    </row>
    <row r="11417" spans="1:4" ht="27">
      <c r="A11417" s="402">
        <v>95317</v>
      </c>
      <c r="B11417" s="403" t="s">
        <v>3634</v>
      </c>
      <c r="C11417" s="402" t="s">
        <v>23</v>
      </c>
      <c r="D11417" s="601">
        <v>0.11</v>
      </c>
    </row>
    <row r="11418" spans="1:4" ht="27">
      <c r="A11418" s="402">
        <v>95318</v>
      </c>
      <c r="B11418" s="403" t="s">
        <v>3635</v>
      </c>
      <c r="C11418" s="402" t="s">
        <v>23</v>
      </c>
      <c r="D11418" s="601">
        <v>0.09</v>
      </c>
    </row>
    <row r="11419" spans="1:4" ht="27">
      <c r="A11419" s="402">
        <v>95319</v>
      </c>
      <c r="B11419" s="403" t="s">
        <v>3636</v>
      </c>
      <c r="C11419" s="402" t="s">
        <v>23</v>
      </c>
      <c r="D11419" s="601">
        <v>0.06</v>
      </c>
    </row>
    <row r="11420" spans="1:4" ht="27">
      <c r="A11420" s="402">
        <v>95320</v>
      </c>
      <c r="B11420" s="403" t="s">
        <v>3637</v>
      </c>
      <c r="C11420" s="402" t="s">
        <v>23</v>
      </c>
      <c r="D11420" s="601">
        <v>7.0000000000000007E-2</v>
      </c>
    </row>
    <row r="11421" spans="1:4" ht="27">
      <c r="A11421" s="402">
        <v>95321</v>
      </c>
      <c r="B11421" s="403" t="s">
        <v>3638</v>
      </c>
      <c r="C11421" s="402" t="s">
        <v>23</v>
      </c>
      <c r="D11421" s="601">
        <v>0.08</v>
      </c>
    </row>
    <row r="11422" spans="1:4" ht="27">
      <c r="A11422" s="402">
        <v>95322</v>
      </c>
      <c r="B11422" s="403" t="s">
        <v>3639</v>
      </c>
      <c r="C11422" s="402" t="s">
        <v>23</v>
      </c>
      <c r="D11422" s="601">
        <v>0.02</v>
      </c>
    </row>
    <row r="11423" spans="1:4" ht="27">
      <c r="A11423" s="402">
        <v>95323</v>
      </c>
      <c r="B11423" s="403" t="s">
        <v>3640</v>
      </c>
      <c r="C11423" s="402" t="s">
        <v>23</v>
      </c>
      <c r="D11423" s="601">
        <v>0.11</v>
      </c>
    </row>
    <row r="11424" spans="1:4" ht="27">
      <c r="A11424" s="402">
        <v>95324</v>
      </c>
      <c r="B11424" s="403" t="s">
        <v>3641</v>
      </c>
      <c r="C11424" s="402" t="s">
        <v>23</v>
      </c>
      <c r="D11424" s="601">
        <v>0.13</v>
      </c>
    </row>
    <row r="11425" spans="1:4" ht="27">
      <c r="A11425" s="402">
        <v>95325</v>
      </c>
      <c r="B11425" s="403" t="s">
        <v>3642</v>
      </c>
      <c r="C11425" s="402" t="s">
        <v>23</v>
      </c>
      <c r="D11425" s="601">
        <v>0.1</v>
      </c>
    </row>
    <row r="11426" spans="1:4" ht="27">
      <c r="A11426" s="402">
        <v>95326</v>
      </c>
      <c r="B11426" s="403" t="s">
        <v>3643</v>
      </c>
      <c r="C11426" s="402" t="s">
        <v>23</v>
      </c>
      <c r="D11426" s="601">
        <v>0.02</v>
      </c>
    </row>
    <row r="11427" spans="1:4" ht="27">
      <c r="A11427" s="402">
        <v>95327</v>
      </c>
      <c r="B11427" s="403" t="s">
        <v>3644</v>
      </c>
      <c r="C11427" s="402" t="s">
        <v>23</v>
      </c>
      <c r="D11427" s="601">
        <v>0.15</v>
      </c>
    </row>
    <row r="11428" spans="1:4" ht="13.5">
      <c r="A11428" s="402">
        <v>95328</v>
      </c>
      <c r="B11428" s="403" t="s">
        <v>3645</v>
      </c>
      <c r="C11428" s="402" t="s">
        <v>23</v>
      </c>
      <c r="D11428" s="601">
        <v>0.09</v>
      </c>
    </row>
    <row r="11429" spans="1:4" ht="27">
      <c r="A11429" s="402">
        <v>95329</v>
      </c>
      <c r="B11429" s="403" t="s">
        <v>3646</v>
      </c>
      <c r="C11429" s="402" t="s">
        <v>23</v>
      </c>
      <c r="D11429" s="601">
        <v>0.14000000000000001</v>
      </c>
    </row>
    <row r="11430" spans="1:4" ht="27">
      <c r="A11430" s="402">
        <v>95330</v>
      </c>
      <c r="B11430" s="403" t="s">
        <v>3647</v>
      </c>
      <c r="C11430" s="402" t="s">
        <v>23</v>
      </c>
      <c r="D11430" s="601">
        <v>0.1</v>
      </c>
    </row>
    <row r="11431" spans="1:4" ht="27">
      <c r="A11431" s="402">
        <v>95331</v>
      </c>
      <c r="B11431" s="403" t="s">
        <v>3648</v>
      </c>
      <c r="C11431" s="402" t="s">
        <v>23</v>
      </c>
      <c r="D11431" s="601">
        <v>0.06</v>
      </c>
    </row>
    <row r="11432" spans="1:4" ht="13.5">
      <c r="A11432" s="402">
        <v>95332</v>
      </c>
      <c r="B11432" s="403" t="s">
        <v>3649</v>
      </c>
      <c r="C11432" s="402" t="s">
        <v>23</v>
      </c>
      <c r="D11432" s="601">
        <v>0.34</v>
      </c>
    </row>
    <row r="11433" spans="1:4" ht="27">
      <c r="A11433" s="402">
        <v>95333</v>
      </c>
      <c r="B11433" s="403" t="s">
        <v>3650</v>
      </c>
      <c r="C11433" s="402" t="s">
        <v>23</v>
      </c>
      <c r="D11433" s="601">
        <v>0.34</v>
      </c>
    </row>
    <row r="11434" spans="1:4" ht="13.5">
      <c r="A11434" s="402">
        <v>95334</v>
      </c>
      <c r="B11434" s="403" t="s">
        <v>3651</v>
      </c>
      <c r="C11434" s="402" t="s">
        <v>23</v>
      </c>
      <c r="D11434" s="601">
        <v>0.28000000000000003</v>
      </c>
    </row>
    <row r="11435" spans="1:4" ht="27">
      <c r="A11435" s="402">
        <v>95335</v>
      </c>
      <c r="B11435" s="403" t="s">
        <v>3652</v>
      </c>
      <c r="C11435" s="402" t="s">
        <v>23</v>
      </c>
      <c r="D11435" s="601">
        <v>0.16</v>
      </c>
    </row>
    <row r="11436" spans="1:4" ht="13.5">
      <c r="A11436" s="402">
        <v>95336</v>
      </c>
      <c r="B11436" s="403" t="s">
        <v>3653</v>
      </c>
      <c r="C11436" s="402" t="s">
        <v>23</v>
      </c>
      <c r="D11436" s="601">
        <v>0.1</v>
      </c>
    </row>
    <row r="11437" spans="1:4" ht="13.5">
      <c r="A11437" s="402">
        <v>95337</v>
      </c>
      <c r="B11437" s="403" t="s">
        <v>822</v>
      </c>
      <c r="C11437" s="402" t="s">
        <v>23</v>
      </c>
      <c r="D11437" s="601">
        <v>0.1</v>
      </c>
    </row>
    <row r="11438" spans="1:4" ht="27">
      <c r="A11438" s="402">
        <v>95338</v>
      </c>
      <c r="B11438" s="403" t="s">
        <v>3654</v>
      </c>
      <c r="C11438" s="402" t="s">
        <v>23</v>
      </c>
      <c r="D11438" s="601">
        <v>0.19</v>
      </c>
    </row>
    <row r="11439" spans="1:4" ht="13.5">
      <c r="A11439" s="402">
        <v>95339</v>
      </c>
      <c r="B11439" s="403" t="s">
        <v>3655</v>
      </c>
      <c r="C11439" s="402" t="s">
        <v>23</v>
      </c>
      <c r="D11439" s="601">
        <v>0.15</v>
      </c>
    </row>
    <row r="11440" spans="1:4" ht="13.5">
      <c r="A11440" s="402">
        <v>95340</v>
      </c>
      <c r="B11440" s="403" t="s">
        <v>3656</v>
      </c>
      <c r="C11440" s="402" t="s">
        <v>23</v>
      </c>
      <c r="D11440" s="601">
        <v>0.13</v>
      </c>
    </row>
    <row r="11441" spans="1:4" ht="27">
      <c r="A11441" s="402">
        <v>95341</v>
      </c>
      <c r="B11441" s="403" t="s">
        <v>3657</v>
      </c>
      <c r="C11441" s="402" t="s">
        <v>23</v>
      </c>
      <c r="D11441" s="601">
        <v>0.13</v>
      </c>
    </row>
    <row r="11442" spans="1:4" ht="27">
      <c r="A11442" s="402">
        <v>95342</v>
      </c>
      <c r="B11442" s="403" t="s">
        <v>3658</v>
      </c>
      <c r="C11442" s="402" t="s">
        <v>23</v>
      </c>
      <c r="D11442" s="601">
        <v>7.0000000000000007E-2</v>
      </c>
    </row>
    <row r="11443" spans="1:4" ht="27">
      <c r="A11443" s="402">
        <v>95343</v>
      </c>
      <c r="B11443" s="403" t="s">
        <v>3659</v>
      </c>
      <c r="C11443" s="402" t="s">
        <v>23</v>
      </c>
      <c r="D11443" s="601">
        <v>0.09</v>
      </c>
    </row>
    <row r="11444" spans="1:4" ht="27">
      <c r="A11444" s="402">
        <v>95344</v>
      </c>
      <c r="B11444" s="403" t="s">
        <v>3660</v>
      </c>
      <c r="C11444" s="402" t="s">
        <v>23</v>
      </c>
      <c r="D11444" s="601">
        <v>0.06</v>
      </c>
    </row>
    <row r="11445" spans="1:4" ht="27">
      <c r="A11445" s="402">
        <v>95345</v>
      </c>
      <c r="B11445" s="403" t="s">
        <v>3661</v>
      </c>
      <c r="C11445" s="402" t="s">
        <v>23</v>
      </c>
      <c r="D11445" s="601">
        <v>0.3</v>
      </c>
    </row>
    <row r="11446" spans="1:4" ht="27">
      <c r="A11446" s="402">
        <v>95346</v>
      </c>
      <c r="B11446" s="403" t="s">
        <v>3662</v>
      </c>
      <c r="C11446" s="402" t="s">
        <v>23</v>
      </c>
      <c r="D11446" s="601">
        <v>0.03</v>
      </c>
    </row>
    <row r="11447" spans="1:4" ht="27">
      <c r="A11447" s="402">
        <v>95347</v>
      </c>
      <c r="B11447" s="403" t="s">
        <v>3663</v>
      </c>
      <c r="C11447" s="402" t="s">
        <v>23</v>
      </c>
      <c r="D11447" s="601">
        <v>0.03</v>
      </c>
    </row>
    <row r="11448" spans="1:4" ht="27">
      <c r="A11448" s="402">
        <v>95348</v>
      </c>
      <c r="B11448" s="403" t="s">
        <v>3664</v>
      </c>
      <c r="C11448" s="402" t="s">
        <v>23</v>
      </c>
      <c r="D11448" s="601">
        <v>0.04</v>
      </c>
    </row>
    <row r="11449" spans="1:4" ht="27">
      <c r="A11449" s="402">
        <v>95349</v>
      </c>
      <c r="B11449" s="403" t="s">
        <v>3665</v>
      </c>
      <c r="C11449" s="402" t="s">
        <v>23</v>
      </c>
      <c r="D11449" s="601">
        <v>0.03</v>
      </c>
    </row>
    <row r="11450" spans="1:4" ht="27">
      <c r="A11450" s="402">
        <v>95350</v>
      </c>
      <c r="B11450" s="403" t="s">
        <v>3666</v>
      </c>
      <c r="C11450" s="402" t="s">
        <v>23</v>
      </c>
      <c r="D11450" s="601">
        <v>0.03</v>
      </c>
    </row>
    <row r="11451" spans="1:4" ht="27">
      <c r="A11451" s="402">
        <v>95351</v>
      </c>
      <c r="B11451" s="403" t="s">
        <v>3667</v>
      </c>
      <c r="C11451" s="402" t="s">
        <v>23</v>
      </c>
      <c r="D11451" s="601">
        <v>0.13</v>
      </c>
    </row>
    <row r="11452" spans="1:4" ht="13.5">
      <c r="A11452" s="402">
        <v>95352</v>
      </c>
      <c r="B11452" s="403" t="s">
        <v>3668</v>
      </c>
      <c r="C11452" s="402" t="s">
        <v>23</v>
      </c>
      <c r="D11452" s="601">
        <v>0.03</v>
      </c>
    </row>
    <row r="11453" spans="1:4" ht="27">
      <c r="A11453" s="402">
        <v>95354</v>
      </c>
      <c r="B11453" s="403" t="s">
        <v>3669</v>
      </c>
      <c r="C11453" s="402" t="s">
        <v>23</v>
      </c>
      <c r="D11453" s="601">
        <v>0.05</v>
      </c>
    </row>
    <row r="11454" spans="1:4" ht="27">
      <c r="A11454" s="402">
        <v>95355</v>
      </c>
      <c r="B11454" s="403" t="s">
        <v>3670</v>
      </c>
      <c r="C11454" s="402" t="s">
        <v>23</v>
      </c>
      <c r="D11454" s="601">
        <v>0.05</v>
      </c>
    </row>
    <row r="11455" spans="1:4" ht="27">
      <c r="A11455" s="402">
        <v>95356</v>
      </c>
      <c r="B11455" s="403" t="s">
        <v>3671</v>
      </c>
      <c r="C11455" s="402" t="s">
        <v>23</v>
      </c>
      <c r="D11455" s="601">
        <v>0.06</v>
      </c>
    </row>
    <row r="11456" spans="1:4" ht="27">
      <c r="A11456" s="402">
        <v>95357</v>
      </c>
      <c r="B11456" s="403" t="s">
        <v>3672</v>
      </c>
      <c r="C11456" s="402" t="s">
        <v>23</v>
      </c>
      <c r="D11456" s="601">
        <v>0.09</v>
      </c>
    </row>
    <row r="11457" spans="1:4" ht="27">
      <c r="A11457" s="402">
        <v>95358</v>
      </c>
      <c r="B11457" s="403" t="s">
        <v>3673</v>
      </c>
      <c r="C11457" s="402" t="s">
        <v>23</v>
      </c>
      <c r="D11457" s="601">
        <v>0.1</v>
      </c>
    </row>
    <row r="11458" spans="1:4" ht="27">
      <c r="A11458" s="402">
        <v>95359</v>
      </c>
      <c r="B11458" s="403" t="s">
        <v>3674</v>
      </c>
      <c r="C11458" s="402" t="s">
        <v>23</v>
      </c>
      <c r="D11458" s="601">
        <v>0.1</v>
      </c>
    </row>
    <row r="11459" spans="1:4" ht="27">
      <c r="A11459" s="402">
        <v>95360</v>
      </c>
      <c r="B11459" s="403" t="s">
        <v>3675</v>
      </c>
      <c r="C11459" s="402" t="s">
        <v>23</v>
      </c>
      <c r="D11459" s="601">
        <v>7.0000000000000007E-2</v>
      </c>
    </row>
    <row r="11460" spans="1:4" ht="27">
      <c r="A11460" s="402">
        <v>95361</v>
      </c>
      <c r="B11460" s="403" t="s">
        <v>3676</v>
      </c>
      <c r="C11460" s="402" t="s">
        <v>23</v>
      </c>
      <c r="D11460" s="601">
        <v>0.04</v>
      </c>
    </row>
    <row r="11461" spans="1:4" ht="27">
      <c r="A11461" s="402">
        <v>95362</v>
      </c>
      <c r="B11461" s="403" t="s">
        <v>3677</v>
      </c>
      <c r="C11461" s="402" t="s">
        <v>23</v>
      </c>
      <c r="D11461" s="601">
        <v>0.06</v>
      </c>
    </row>
    <row r="11462" spans="1:4" ht="27">
      <c r="A11462" s="402">
        <v>95363</v>
      </c>
      <c r="B11462" s="403" t="s">
        <v>3678</v>
      </c>
      <c r="C11462" s="402" t="s">
        <v>23</v>
      </c>
      <c r="D11462" s="601">
        <v>0.08</v>
      </c>
    </row>
    <row r="11463" spans="1:4" ht="27">
      <c r="A11463" s="402">
        <v>95364</v>
      </c>
      <c r="B11463" s="403" t="s">
        <v>3679</v>
      </c>
      <c r="C11463" s="402" t="s">
        <v>23</v>
      </c>
      <c r="D11463" s="601">
        <v>0.05</v>
      </c>
    </row>
    <row r="11464" spans="1:4" ht="27">
      <c r="A11464" s="402">
        <v>95365</v>
      </c>
      <c r="B11464" s="403" t="s">
        <v>3680</v>
      </c>
      <c r="C11464" s="402" t="s">
        <v>23</v>
      </c>
      <c r="D11464" s="601">
        <v>0.06</v>
      </c>
    </row>
    <row r="11465" spans="1:4" ht="27">
      <c r="A11465" s="402">
        <v>95366</v>
      </c>
      <c r="B11465" s="403" t="s">
        <v>3681</v>
      </c>
      <c r="C11465" s="402" t="s">
        <v>23</v>
      </c>
      <c r="D11465" s="601">
        <v>0.05</v>
      </c>
    </row>
    <row r="11466" spans="1:4" ht="27">
      <c r="A11466" s="402">
        <v>95367</v>
      </c>
      <c r="B11466" s="403" t="s">
        <v>3682</v>
      </c>
      <c r="C11466" s="402" t="s">
        <v>23</v>
      </c>
      <c r="D11466" s="601">
        <v>0.05</v>
      </c>
    </row>
    <row r="11467" spans="1:4" ht="27">
      <c r="A11467" s="402">
        <v>95368</v>
      </c>
      <c r="B11467" s="403" t="s">
        <v>3683</v>
      </c>
      <c r="C11467" s="402" t="s">
        <v>23</v>
      </c>
      <c r="D11467" s="601">
        <v>0.08</v>
      </c>
    </row>
    <row r="11468" spans="1:4" ht="27">
      <c r="A11468" s="402">
        <v>95369</v>
      </c>
      <c r="B11468" s="403" t="s">
        <v>3684</v>
      </c>
      <c r="C11468" s="402" t="s">
        <v>23</v>
      </c>
      <c r="D11468" s="601">
        <v>0.06</v>
      </c>
    </row>
    <row r="11469" spans="1:4" ht="13.5">
      <c r="A11469" s="402">
        <v>95370</v>
      </c>
      <c r="B11469" s="403" t="s">
        <v>3685</v>
      </c>
      <c r="C11469" s="402" t="s">
        <v>23</v>
      </c>
      <c r="D11469" s="601">
        <v>0.15</v>
      </c>
    </row>
    <row r="11470" spans="1:4" ht="13.5">
      <c r="A11470" s="402">
        <v>95371</v>
      </c>
      <c r="B11470" s="403" t="s">
        <v>823</v>
      </c>
      <c r="C11470" s="402" t="s">
        <v>23</v>
      </c>
      <c r="D11470" s="601">
        <v>0.18</v>
      </c>
    </row>
    <row r="11471" spans="1:4" ht="13.5">
      <c r="A11471" s="402">
        <v>95372</v>
      </c>
      <c r="B11471" s="403" t="s">
        <v>824</v>
      </c>
      <c r="C11471" s="402" t="s">
        <v>23</v>
      </c>
      <c r="D11471" s="601">
        <v>0.13</v>
      </c>
    </row>
    <row r="11472" spans="1:4" ht="27">
      <c r="A11472" s="402">
        <v>95373</v>
      </c>
      <c r="B11472" s="403" t="s">
        <v>3686</v>
      </c>
      <c r="C11472" s="402" t="s">
        <v>23</v>
      </c>
      <c r="D11472" s="601">
        <v>0.15</v>
      </c>
    </row>
    <row r="11473" spans="1:4" ht="27">
      <c r="A11473" s="402">
        <v>95374</v>
      </c>
      <c r="B11473" s="403" t="s">
        <v>3687</v>
      </c>
      <c r="C11473" s="402" t="s">
        <v>23</v>
      </c>
      <c r="D11473" s="601">
        <v>0.14000000000000001</v>
      </c>
    </row>
    <row r="11474" spans="1:4" ht="13.5">
      <c r="A11474" s="402">
        <v>95375</v>
      </c>
      <c r="B11474" s="403" t="s">
        <v>825</v>
      </c>
      <c r="C11474" s="402" t="s">
        <v>23</v>
      </c>
      <c r="D11474" s="601">
        <v>0.12</v>
      </c>
    </row>
    <row r="11475" spans="1:4" ht="13.5">
      <c r="A11475" s="402">
        <v>95376</v>
      </c>
      <c r="B11475" s="403" t="s">
        <v>3688</v>
      </c>
      <c r="C11475" s="402" t="s">
        <v>23</v>
      </c>
      <c r="D11475" s="601">
        <v>0.02</v>
      </c>
    </row>
    <row r="11476" spans="1:4" ht="13.5">
      <c r="A11476" s="402">
        <v>95377</v>
      </c>
      <c r="B11476" s="403" t="s">
        <v>3689</v>
      </c>
      <c r="C11476" s="402" t="s">
        <v>23</v>
      </c>
      <c r="D11476" s="601">
        <v>0.1</v>
      </c>
    </row>
    <row r="11477" spans="1:4" ht="13.5">
      <c r="A11477" s="402">
        <v>95378</v>
      </c>
      <c r="B11477" s="403" t="s">
        <v>826</v>
      </c>
      <c r="C11477" s="402" t="s">
        <v>23</v>
      </c>
      <c r="D11477" s="601">
        <v>0.13</v>
      </c>
    </row>
    <row r="11478" spans="1:4" ht="13.5">
      <c r="A11478" s="402">
        <v>95379</v>
      </c>
      <c r="B11478" s="403" t="s">
        <v>827</v>
      </c>
      <c r="C11478" s="402" t="s">
        <v>23</v>
      </c>
      <c r="D11478" s="601">
        <v>0.09</v>
      </c>
    </row>
    <row r="11479" spans="1:4" ht="27">
      <c r="A11479" s="402">
        <v>95380</v>
      </c>
      <c r="B11479" s="403" t="s">
        <v>3690</v>
      </c>
      <c r="C11479" s="402" t="s">
        <v>23</v>
      </c>
      <c r="D11479" s="601">
        <v>0.13</v>
      </c>
    </row>
    <row r="11480" spans="1:4" ht="27">
      <c r="A11480" s="402">
        <v>95382</v>
      </c>
      <c r="B11480" s="403" t="s">
        <v>3691</v>
      </c>
      <c r="C11480" s="402" t="s">
        <v>23</v>
      </c>
      <c r="D11480" s="601">
        <v>0.12</v>
      </c>
    </row>
    <row r="11481" spans="1:4" ht="27">
      <c r="A11481" s="402">
        <v>95383</v>
      </c>
      <c r="B11481" s="403" t="s">
        <v>3692</v>
      </c>
      <c r="C11481" s="402" t="s">
        <v>23</v>
      </c>
      <c r="D11481" s="601">
        <v>0.1</v>
      </c>
    </row>
    <row r="11482" spans="1:4" ht="27">
      <c r="A11482" s="402">
        <v>95384</v>
      </c>
      <c r="B11482" s="403" t="s">
        <v>3693</v>
      </c>
      <c r="C11482" s="402" t="s">
        <v>23</v>
      </c>
      <c r="D11482" s="601">
        <v>0.12</v>
      </c>
    </row>
    <row r="11483" spans="1:4" ht="13.5">
      <c r="A11483" s="402">
        <v>95385</v>
      </c>
      <c r="B11483" s="403" t="s">
        <v>3694</v>
      </c>
      <c r="C11483" s="402" t="s">
        <v>23</v>
      </c>
      <c r="D11483" s="601">
        <v>0.11</v>
      </c>
    </row>
    <row r="11484" spans="1:4" ht="13.5">
      <c r="A11484" s="402">
        <v>95386</v>
      </c>
      <c r="B11484" s="403" t="s">
        <v>3695</v>
      </c>
      <c r="C11484" s="402" t="s">
        <v>23</v>
      </c>
      <c r="D11484" s="601">
        <v>7.0000000000000007E-2</v>
      </c>
    </row>
    <row r="11485" spans="1:4" ht="13.5">
      <c r="A11485" s="402">
        <v>95387</v>
      </c>
      <c r="B11485" s="403" t="s">
        <v>3696</v>
      </c>
      <c r="C11485" s="402" t="s">
        <v>23</v>
      </c>
      <c r="D11485" s="601">
        <v>0.12</v>
      </c>
    </row>
    <row r="11486" spans="1:4" ht="13.5">
      <c r="A11486" s="402">
        <v>95388</v>
      </c>
      <c r="B11486" s="403" t="s">
        <v>3697</v>
      </c>
      <c r="C11486" s="402" t="s">
        <v>23</v>
      </c>
      <c r="D11486" s="601">
        <v>0.04</v>
      </c>
    </row>
    <row r="11487" spans="1:4" ht="27">
      <c r="A11487" s="402">
        <v>95389</v>
      </c>
      <c r="B11487" s="403" t="s">
        <v>3698</v>
      </c>
      <c r="C11487" s="402" t="s">
        <v>23</v>
      </c>
      <c r="D11487" s="601">
        <v>0.05</v>
      </c>
    </row>
    <row r="11488" spans="1:4" ht="13.5">
      <c r="A11488" s="402">
        <v>95390</v>
      </c>
      <c r="B11488" s="403" t="s">
        <v>3699</v>
      </c>
      <c r="C11488" s="402" t="s">
        <v>23</v>
      </c>
      <c r="D11488" s="601">
        <v>0.04</v>
      </c>
    </row>
    <row r="11489" spans="1:4" ht="27">
      <c r="A11489" s="402">
        <v>95391</v>
      </c>
      <c r="B11489" s="403" t="s">
        <v>3700</v>
      </c>
      <c r="C11489" s="402" t="s">
        <v>23</v>
      </c>
      <c r="D11489" s="601">
        <v>0.06</v>
      </c>
    </row>
    <row r="11490" spans="1:4" ht="13.5">
      <c r="A11490" s="402">
        <v>95392</v>
      </c>
      <c r="B11490" s="403" t="s">
        <v>3701</v>
      </c>
      <c r="C11490" s="402" t="s">
        <v>23</v>
      </c>
      <c r="D11490" s="601">
        <v>0.04</v>
      </c>
    </row>
    <row r="11491" spans="1:4" ht="27">
      <c r="A11491" s="402">
        <v>95393</v>
      </c>
      <c r="B11491" s="403" t="s">
        <v>3702</v>
      </c>
      <c r="C11491" s="402" t="s">
        <v>23</v>
      </c>
      <c r="D11491" s="601">
        <v>0.17</v>
      </c>
    </row>
    <row r="11492" spans="1:4" ht="27">
      <c r="A11492" s="402">
        <v>95394</v>
      </c>
      <c r="B11492" s="403" t="s">
        <v>3703</v>
      </c>
      <c r="C11492" s="402" t="s">
        <v>23</v>
      </c>
      <c r="D11492" s="601">
        <v>0.32</v>
      </c>
    </row>
    <row r="11493" spans="1:4" ht="27">
      <c r="A11493" s="402">
        <v>95395</v>
      </c>
      <c r="B11493" s="403" t="s">
        <v>3704</v>
      </c>
      <c r="C11493" s="402" t="s">
        <v>23</v>
      </c>
      <c r="D11493" s="601">
        <v>0.46</v>
      </c>
    </row>
    <row r="11494" spans="1:4" ht="27">
      <c r="A11494" s="402">
        <v>95396</v>
      </c>
      <c r="B11494" s="403" t="s">
        <v>3705</v>
      </c>
      <c r="C11494" s="402" t="s">
        <v>23</v>
      </c>
      <c r="D11494" s="601">
        <v>0.61</v>
      </c>
    </row>
    <row r="11495" spans="1:4" ht="27">
      <c r="A11495" s="402">
        <v>95397</v>
      </c>
      <c r="B11495" s="403" t="s">
        <v>3706</v>
      </c>
      <c r="C11495" s="402" t="s">
        <v>23</v>
      </c>
      <c r="D11495" s="601">
        <v>0.05</v>
      </c>
    </row>
    <row r="11496" spans="1:4" ht="27">
      <c r="A11496" s="402">
        <v>95398</v>
      </c>
      <c r="B11496" s="403" t="s">
        <v>3707</v>
      </c>
      <c r="C11496" s="402" t="s">
        <v>23</v>
      </c>
      <c r="D11496" s="601">
        <v>0.03</v>
      </c>
    </row>
    <row r="11497" spans="1:4" ht="27">
      <c r="A11497" s="402">
        <v>95399</v>
      </c>
      <c r="B11497" s="403" t="s">
        <v>3708</v>
      </c>
      <c r="C11497" s="402" t="s">
        <v>23</v>
      </c>
      <c r="D11497" s="601">
        <v>0.05</v>
      </c>
    </row>
    <row r="11498" spans="1:4" ht="27">
      <c r="A11498" s="402">
        <v>95400</v>
      </c>
      <c r="B11498" s="403" t="s">
        <v>3709</v>
      </c>
      <c r="C11498" s="402" t="s">
        <v>23</v>
      </c>
      <c r="D11498" s="601">
        <v>0.05</v>
      </c>
    </row>
    <row r="11499" spans="1:4" ht="27">
      <c r="A11499" s="402">
        <v>95401</v>
      </c>
      <c r="B11499" s="403" t="s">
        <v>3710</v>
      </c>
      <c r="C11499" s="402" t="s">
        <v>23</v>
      </c>
      <c r="D11499" s="601">
        <v>0.25</v>
      </c>
    </row>
    <row r="11500" spans="1:4" ht="27">
      <c r="A11500" s="402">
        <v>95402</v>
      </c>
      <c r="B11500" s="403" t="s">
        <v>3711</v>
      </c>
      <c r="C11500" s="402" t="s">
        <v>23</v>
      </c>
      <c r="D11500" s="601">
        <v>0.78</v>
      </c>
    </row>
    <row r="11501" spans="1:4" ht="27">
      <c r="A11501" s="402">
        <v>95403</v>
      </c>
      <c r="B11501" s="403" t="s">
        <v>3712</v>
      </c>
      <c r="C11501" s="402" t="s">
        <v>23</v>
      </c>
      <c r="D11501" s="601">
        <v>0.89</v>
      </c>
    </row>
    <row r="11502" spans="1:4" ht="27">
      <c r="A11502" s="402">
        <v>95404</v>
      </c>
      <c r="B11502" s="403" t="s">
        <v>3713</v>
      </c>
      <c r="C11502" s="402" t="s">
        <v>23</v>
      </c>
      <c r="D11502" s="601">
        <v>1.22</v>
      </c>
    </row>
    <row r="11503" spans="1:4" ht="27">
      <c r="A11503" s="402">
        <v>95405</v>
      </c>
      <c r="B11503" s="403" t="s">
        <v>3714</v>
      </c>
      <c r="C11503" s="402" t="s">
        <v>23</v>
      </c>
      <c r="D11503" s="601">
        <v>0.37</v>
      </c>
    </row>
    <row r="11504" spans="1:4" ht="13.5">
      <c r="A11504" s="402">
        <v>95406</v>
      </c>
      <c r="B11504" s="403" t="s">
        <v>3715</v>
      </c>
      <c r="C11504" s="402" t="s">
        <v>23</v>
      </c>
      <c r="D11504" s="601">
        <v>7.0000000000000007E-2</v>
      </c>
    </row>
    <row r="11505" spans="1:4" ht="27">
      <c r="A11505" s="402">
        <v>95407</v>
      </c>
      <c r="B11505" s="403" t="s">
        <v>3716</v>
      </c>
      <c r="C11505" s="402" t="s">
        <v>23</v>
      </c>
      <c r="D11505" s="601">
        <v>1.73</v>
      </c>
    </row>
    <row r="11506" spans="1:4" ht="27">
      <c r="A11506" s="402">
        <v>95408</v>
      </c>
      <c r="B11506" s="403" t="s">
        <v>3717</v>
      </c>
      <c r="C11506" s="402" t="s">
        <v>96</v>
      </c>
      <c r="D11506" s="601">
        <v>4.8600000000000003</v>
      </c>
    </row>
    <row r="11507" spans="1:4" ht="27">
      <c r="A11507" s="402">
        <v>95409</v>
      </c>
      <c r="B11507" s="403" t="s">
        <v>3718</v>
      </c>
      <c r="C11507" s="402" t="s">
        <v>96</v>
      </c>
      <c r="D11507" s="601">
        <v>9.1999999999999993</v>
      </c>
    </row>
    <row r="11508" spans="1:4" ht="27">
      <c r="A11508" s="402">
        <v>95410</v>
      </c>
      <c r="B11508" s="403" t="s">
        <v>3719</v>
      </c>
      <c r="C11508" s="402" t="s">
        <v>96</v>
      </c>
      <c r="D11508" s="601">
        <v>6.94</v>
      </c>
    </row>
    <row r="11509" spans="1:4" ht="27">
      <c r="A11509" s="402">
        <v>95411</v>
      </c>
      <c r="B11509" s="403" t="s">
        <v>3720</v>
      </c>
      <c r="C11509" s="402" t="s">
        <v>96</v>
      </c>
      <c r="D11509" s="601">
        <v>7.35</v>
      </c>
    </row>
    <row r="11510" spans="1:4" ht="27">
      <c r="A11510" s="402">
        <v>95412</v>
      </c>
      <c r="B11510" s="403" t="s">
        <v>3721</v>
      </c>
      <c r="C11510" s="402" t="s">
        <v>96</v>
      </c>
      <c r="D11510" s="601">
        <v>7.35</v>
      </c>
    </row>
    <row r="11511" spans="1:4" ht="13.5">
      <c r="A11511" s="402">
        <v>95413</v>
      </c>
      <c r="B11511" s="403" t="s">
        <v>3722</v>
      </c>
      <c r="C11511" s="402" t="s">
        <v>96</v>
      </c>
      <c r="D11511" s="601">
        <v>6.11</v>
      </c>
    </row>
    <row r="11512" spans="1:4" ht="27">
      <c r="A11512" s="402">
        <v>95414</v>
      </c>
      <c r="B11512" s="403" t="s">
        <v>3723</v>
      </c>
      <c r="C11512" s="402" t="s">
        <v>96</v>
      </c>
      <c r="D11512" s="601">
        <v>24.42</v>
      </c>
    </row>
    <row r="11513" spans="1:4" ht="27">
      <c r="A11513" s="402">
        <v>95415</v>
      </c>
      <c r="B11513" s="403" t="s">
        <v>3724</v>
      </c>
      <c r="C11513" s="402" t="s">
        <v>96</v>
      </c>
      <c r="D11513" s="601">
        <v>106.95</v>
      </c>
    </row>
    <row r="11514" spans="1:4" ht="27">
      <c r="A11514" s="402">
        <v>95416</v>
      </c>
      <c r="B11514" s="403" t="s">
        <v>3725</v>
      </c>
      <c r="C11514" s="402" t="s">
        <v>96</v>
      </c>
      <c r="D11514" s="601">
        <v>4.93</v>
      </c>
    </row>
    <row r="11515" spans="1:4" ht="27">
      <c r="A11515" s="402">
        <v>95417</v>
      </c>
      <c r="B11515" s="403" t="s">
        <v>3726</v>
      </c>
      <c r="C11515" s="402" t="s">
        <v>96</v>
      </c>
      <c r="D11515" s="601">
        <v>121.74</v>
      </c>
    </row>
    <row r="11516" spans="1:4" ht="27">
      <c r="A11516" s="402">
        <v>95418</v>
      </c>
      <c r="B11516" s="403" t="s">
        <v>3727</v>
      </c>
      <c r="C11516" s="402" t="s">
        <v>96</v>
      </c>
      <c r="D11516" s="601">
        <v>166.41</v>
      </c>
    </row>
    <row r="11517" spans="1:4" ht="27">
      <c r="A11517" s="402">
        <v>95419</v>
      </c>
      <c r="B11517" s="403" t="s">
        <v>3728</v>
      </c>
      <c r="C11517" s="402" t="s">
        <v>96</v>
      </c>
      <c r="D11517" s="601">
        <v>44.47</v>
      </c>
    </row>
    <row r="11518" spans="1:4" ht="27">
      <c r="A11518" s="402">
        <v>95420</v>
      </c>
      <c r="B11518" s="403" t="s">
        <v>3729</v>
      </c>
      <c r="C11518" s="402" t="s">
        <v>96</v>
      </c>
      <c r="D11518" s="601">
        <v>63.17</v>
      </c>
    </row>
    <row r="11519" spans="1:4" ht="27">
      <c r="A11519" s="402">
        <v>95421</v>
      </c>
      <c r="B11519" s="403" t="s">
        <v>3730</v>
      </c>
      <c r="C11519" s="402" t="s">
        <v>96</v>
      </c>
      <c r="D11519" s="601">
        <v>83.51</v>
      </c>
    </row>
    <row r="11520" spans="1:4" ht="27">
      <c r="A11520" s="402">
        <v>95422</v>
      </c>
      <c r="B11520" s="403" t="s">
        <v>3731</v>
      </c>
      <c r="C11520" s="402" t="s">
        <v>96</v>
      </c>
      <c r="D11520" s="601">
        <v>34</v>
      </c>
    </row>
    <row r="11521" spans="1:4" ht="27">
      <c r="A11521" s="402">
        <v>95423</v>
      </c>
      <c r="B11521" s="403" t="s">
        <v>3732</v>
      </c>
      <c r="C11521" s="402" t="s">
        <v>96</v>
      </c>
      <c r="D11521" s="601">
        <v>51.6</v>
      </c>
    </row>
    <row r="11522" spans="1:4" ht="13.5">
      <c r="A11522" s="402">
        <v>95424</v>
      </c>
      <c r="B11522" s="403" t="s">
        <v>3733</v>
      </c>
      <c r="C11522" s="402" t="s">
        <v>96</v>
      </c>
      <c r="D11522" s="601">
        <v>9.64</v>
      </c>
    </row>
    <row r="11523" spans="1:4" ht="13.5">
      <c r="A11523" s="402">
        <v>100288</v>
      </c>
      <c r="B11523" s="403" t="s">
        <v>6005</v>
      </c>
      <c r="C11523" s="402" t="s">
        <v>23</v>
      </c>
      <c r="D11523" s="601">
        <v>0.03</v>
      </c>
    </row>
    <row r="11524" spans="1:4" ht="13.5">
      <c r="A11524" s="402">
        <v>100289</v>
      </c>
      <c r="B11524" s="403" t="s">
        <v>6006</v>
      </c>
      <c r="C11524" s="402" t="s">
        <v>23</v>
      </c>
      <c r="D11524" s="601">
        <v>14.66</v>
      </c>
    </row>
    <row r="11525" spans="1:4" ht="27">
      <c r="A11525" s="402">
        <v>100290</v>
      </c>
      <c r="B11525" s="403" t="s">
        <v>6007</v>
      </c>
      <c r="C11525" s="402" t="s">
        <v>23</v>
      </c>
      <c r="D11525" s="601">
        <v>0.03</v>
      </c>
    </row>
    <row r="11526" spans="1:4" ht="27">
      <c r="A11526" s="402">
        <v>100291</v>
      </c>
      <c r="B11526" s="403" t="s">
        <v>6008</v>
      </c>
      <c r="C11526" s="402" t="s">
        <v>23</v>
      </c>
      <c r="D11526" s="601">
        <v>0.09</v>
      </c>
    </row>
    <row r="11527" spans="1:4" ht="27">
      <c r="A11527" s="402">
        <v>100292</v>
      </c>
      <c r="B11527" s="403" t="s">
        <v>6009</v>
      </c>
      <c r="C11527" s="402" t="s">
        <v>23</v>
      </c>
      <c r="D11527" s="601">
        <v>0.39</v>
      </c>
    </row>
    <row r="11528" spans="1:4" ht="27">
      <c r="A11528" s="402">
        <v>100293</v>
      </c>
      <c r="B11528" s="403" t="s">
        <v>6010</v>
      </c>
      <c r="C11528" s="402" t="s">
        <v>23</v>
      </c>
      <c r="D11528" s="601">
        <v>0.09</v>
      </c>
    </row>
    <row r="11529" spans="1:4" ht="27">
      <c r="A11529" s="402">
        <v>100294</v>
      </c>
      <c r="B11529" s="403" t="s">
        <v>6011</v>
      </c>
      <c r="C11529" s="402" t="s">
        <v>23</v>
      </c>
      <c r="D11529" s="601">
        <v>0.18</v>
      </c>
    </row>
    <row r="11530" spans="1:4" ht="27">
      <c r="A11530" s="402">
        <v>100295</v>
      </c>
      <c r="B11530" s="403" t="s">
        <v>6012</v>
      </c>
      <c r="C11530" s="402" t="s">
        <v>23</v>
      </c>
      <c r="D11530" s="601">
        <v>0.27</v>
      </c>
    </row>
    <row r="11531" spans="1:4" ht="27">
      <c r="A11531" s="402">
        <v>100296</v>
      </c>
      <c r="B11531" s="403" t="s">
        <v>6013</v>
      </c>
      <c r="C11531" s="402" t="s">
        <v>23</v>
      </c>
      <c r="D11531" s="601">
        <v>0.62</v>
      </c>
    </row>
    <row r="11532" spans="1:4" ht="27">
      <c r="A11532" s="402">
        <v>100297</v>
      </c>
      <c r="B11532" s="403" t="s">
        <v>6014</v>
      </c>
      <c r="C11532" s="402" t="s">
        <v>23</v>
      </c>
      <c r="D11532" s="601">
        <v>0.69</v>
      </c>
    </row>
    <row r="11533" spans="1:4" ht="27">
      <c r="A11533" s="402">
        <v>100298</v>
      </c>
      <c r="B11533" s="403" t="s">
        <v>6015</v>
      </c>
      <c r="C11533" s="402" t="s">
        <v>23</v>
      </c>
      <c r="D11533" s="601">
        <v>0.34</v>
      </c>
    </row>
    <row r="11534" spans="1:4" ht="27">
      <c r="A11534" s="402">
        <v>100299</v>
      </c>
      <c r="B11534" s="403" t="s">
        <v>6016</v>
      </c>
      <c r="C11534" s="402" t="s">
        <v>23</v>
      </c>
      <c r="D11534" s="601">
        <v>0.24</v>
      </c>
    </row>
    <row r="11535" spans="1:4" ht="13.5">
      <c r="A11535" s="402">
        <v>100300</v>
      </c>
      <c r="B11535" s="403" t="s">
        <v>6017</v>
      </c>
      <c r="C11535" s="402" t="s">
        <v>23</v>
      </c>
      <c r="D11535" s="601">
        <v>10.89</v>
      </c>
    </row>
    <row r="11536" spans="1:4" ht="13.5">
      <c r="A11536" s="402">
        <v>100301</v>
      </c>
      <c r="B11536" s="403" t="s">
        <v>6018</v>
      </c>
      <c r="C11536" s="402" t="s">
        <v>23</v>
      </c>
      <c r="D11536" s="601">
        <v>15.27</v>
      </c>
    </row>
    <row r="11537" spans="1:4" ht="13.5">
      <c r="A11537" s="402">
        <v>100302</v>
      </c>
      <c r="B11537" s="403" t="s">
        <v>6019</v>
      </c>
      <c r="C11537" s="402" t="s">
        <v>23</v>
      </c>
      <c r="D11537" s="601">
        <v>114.84</v>
      </c>
    </row>
    <row r="11538" spans="1:4" ht="13.5">
      <c r="A11538" s="402">
        <v>100303</v>
      </c>
      <c r="B11538" s="403" t="s">
        <v>6020</v>
      </c>
      <c r="C11538" s="402" t="s">
        <v>23</v>
      </c>
      <c r="D11538" s="601">
        <v>14.19</v>
      </c>
    </row>
    <row r="11539" spans="1:4" ht="13.5">
      <c r="A11539" s="402">
        <v>100304</v>
      </c>
      <c r="B11539" s="403" t="s">
        <v>6021</v>
      </c>
      <c r="C11539" s="402" t="s">
        <v>23</v>
      </c>
      <c r="D11539" s="601">
        <v>55.03</v>
      </c>
    </row>
    <row r="11540" spans="1:4" ht="13.5">
      <c r="A11540" s="402">
        <v>100305</v>
      </c>
      <c r="B11540" s="403" t="s">
        <v>6022</v>
      </c>
      <c r="C11540" s="402" t="s">
        <v>23</v>
      </c>
      <c r="D11540" s="601">
        <v>80.13</v>
      </c>
    </row>
    <row r="11541" spans="1:4" ht="13.5">
      <c r="A11541" s="402">
        <v>100306</v>
      </c>
      <c r="B11541" s="403" t="s">
        <v>6023</v>
      </c>
      <c r="C11541" s="402" t="s">
        <v>23</v>
      </c>
      <c r="D11541" s="601">
        <v>90.27</v>
      </c>
    </row>
    <row r="11542" spans="1:4" ht="13.5">
      <c r="A11542" s="402">
        <v>100307</v>
      </c>
      <c r="B11542" s="403" t="s">
        <v>6024</v>
      </c>
      <c r="C11542" s="402" t="s">
        <v>23</v>
      </c>
      <c r="D11542" s="601">
        <v>18</v>
      </c>
    </row>
    <row r="11543" spans="1:4" ht="13.5">
      <c r="A11543" s="402">
        <v>100308</v>
      </c>
      <c r="B11543" s="403" t="s">
        <v>6025</v>
      </c>
      <c r="C11543" s="402" t="s">
        <v>23</v>
      </c>
      <c r="D11543" s="601">
        <v>19.7</v>
      </c>
    </row>
    <row r="11544" spans="1:4" ht="13.5">
      <c r="A11544" s="402">
        <v>100309</v>
      </c>
      <c r="B11544" s="403" t="s">
        <v>6026</v>
      </c>
      <c r="C11544" s="402" t="s">
        <v>23</v>
      </c>
      <c r="D11544" s="601">
        <v>20.69</v>
      </c>
    </row>
    <row r="11545" spans="1:4" ht="27">
      <c r="A11545" s="402">
        <v>100310</v>
      </c>
      <c r="B11545" s="403" t="s">
        <v>6027</v>
      </c>
      <c r="C11545" s="402" t="s">
        <v>96</v>
      </c>
      <c r="D11545" s="601">
        <v>4.68</v>
      </c>
    </row>
    <row r="11546" spans="1:4" ht="27">
      <c r="A11546" s="402">
        <v>100311</v>
      </c>
      <c r="B11546" s="403" t="s">
        <v>6028</v>
      </c>
      <c r="C11546" s="402" t="s">
        <v>96</v>
      </c>
      <c r="D11546" s="601">
        <v>54.27</v>
      </c>
    </row>
    <row r="11547" spans="1:4" ht="27">
      <c r="A11547" s="402">
        <v>100312</v>
      </c>
      <c r="B11547" s="403" t="s">
        <v>6029</v>
      </c>
      <c r="C11547" s="402" t="s">
        <v>96</v>
      </c>
      <c r="D11547" s="601">
        <v>25.76</v>
      </c>
    </row>
    <row r="11548" spans="1:4" ht="27">
      <c r="A11548" s="402">
        <v>100313</v>
      </c>
      <c r="B11548" s="403" t="s">
        <v>6030</v>
      </c>
      <c r="C11548" s="402" t="s">
        <v>96</v>
      </c>
      <c r="D11548" s="601">
        <v>84.86</v>
      </c>
    </row>
    <row r="11549" spans="1:4" ht="27">
      <c r="A11549" s="402">
        <v>100314</v>
      </c>
      <c r="B11549" s="403" t="s">
        <v>6031</v>
      </c>
      <c r="C11549" s="402" t="s">
        <v>96</v>
      </c>
      <c r="D11549" s="601">
        <v>95.74</v>
      </c>
    </row>
    <row r="11550" spans="1:4" ht="27">
      <c r="A11550" s="402">
        <v>100315</v>
      </c>
      <c r="B11550" s="403" t="s">
        <v>6032</v>
      </c>
      <c r="C11550" s="402" t="s">
        <v>96</v>
      </c>
      <c r="D11550" s="601">
        <v>32.64</v>
      </c>
    </row>
    <row r="11551" spans="1:4" ht="13.5">
      <c r="A11551" s="402">
        <v>100316</v>
      </c>
      <c r="B11551" s="403" t="s">
        <v>6017</v>
      </c>
      <c r="C11551" s="402" t="s">
        <v>96</v>
      </c>
      <c r="D11551" s="601">
        <v>1941.82</v>
      </c>
    </row>
    <row r="11552" spans="1:4" ht="13.5">
      <c r="A11552" s="402">
        <v>100317</v>
      </c>
      <c r="B11552" s="403" t="s">
        <v>6033</v>
      </c>
      <c r="C11552" s="402" t="s">
        <v>96</v>
      </c>
      <c r="D11552" s="601">
        <v>20344.61</v>
      </c>
    </row>
    <row r="11553" spans="1:4" ht="13.5">
      <c r="A11553" s="402">
        <v>100318</v>
      </c>
      <c r="B11553" s="403" t="s">
        <v>6021</v>
      </c>
      <c r="C11553" s="402" t="s">
        <v>96</v>
      </c>
      <c r="D11553" s="601">
        <v>9758.5499999999993</v>
      </c>
    </row>
    <row r="11554" spans="1:4" ht="13.5">
      <c r="A11554" s="402">
        <v>100319</v>
      </c>
      <c r="B11554" s="403" t="s">
        <v>6022</v>
      </c>
      <c r="C11554" s="402" t="s">
        <v>96</v>
      </c>
      <c r="D11554" s="601">
        <v>14186.35</v>
      </c>
    </row>
    <row r="11555" spans="1:4" ht="13.5">
      <c r="A11555" s="402">
        <v>100320</v>
      </c>
      <c r="B11555" s="403" t="s">
        <v>6023</v>
      </c>
      <c r="C11555" s="402" t="s">
        <v>96</v>
      </c>
      <c r="D11555" s="601">
        <v>15980.82</v>
      </c>
    </row>
    <row r="11556" spans="1:4" ht="13.5">
      <c r="A11556" s="402">
        <v>100321</v>
      </c>
      <c r="B11556" s="403" t="s">
        <v>6034</v>
      </c>
      <c r="C11556" s="402" t="s">
        <v>96</v>
      </c>
      <c r="D11556" s="601">
        <v>3669.54</v>
      </c>
    </row>
    <row r="11557" spans="1:4" ht="13.5">
      <c r="A11557" s="402">
        <v>100533</v>
      </c>
      <c r="B11557" s="403" t="s">
        <v>6035</v>
      </c>
      <c r="C11557" s="402" t="s">
        <v>23</v>
      </c>
      <c r="D11557" s="601">
        <v>12.94</v>
      </c>
    </row>
    <row r="11558" spans="1:4" ht="13.5">
      <c r="A11558" s="402">
        <v>100534</v>
      </c>
      <c r="B11558" s="403" t="s">
        <v>6035</v>
      </c>
      <c r="C11558" s="402" t="s">
        <v>96</v>
      </c>
      <c r="D11558" s="601">
        <v>2310.77</v>
      </c>
    </row>
    <row r="11559" spans="1:4" ht="27">
      <c r="A11559" s="402">
        <v>100535</v>
      </c>
      <c r="B11559" s="403" t="s">
        <v>6036</v>
      </c>
      <c r="C11559" s="402" t="s">
        <v>23</v>
      </c>
      <c r="D11559" s="601">
        <v>0.14000000000000001</v>
      </c>
    </row>
    <row r="11560" spans="1:4" ht="27">
      <c r="A11560" s="402">
        <v>100536</v>
      </c>
      <c r="B11560" s="403" t="s">
        <v>6037</v>
      </c>
      <c r="C11560" s="402" t="s">
        <v>96</v>
      </c>
      <c r="D11560" s="601">
        <v>19.850000000000001</v>
      </c>
    </row>
    <row r="11561" spans="1:4" ht="13.5">
      <c r="A11561" s="399"/>
      <c r="B11561" s="400"/>
      <c r="C11561" s="399"/>
      <c r="D11561" s="602"/>
    </row>
    <row r="11562" spans="1:4" ht="13.5">
      <c r="A11562" s="399"/>
      <c r="B11562" s="400"/>
      <c r="C11562" s="399"/>
      <c r="D11562" s="602"/>
    </row>
    <row r="11563" spans="1:4" ht="13.5">
      <c r="A11563" s="399"/>
      <c r="B11563" s="400"/>
      <c r="C11563" s="399"/>
      <c r="D11563" s="602"/>
    </row>
    <row r="11564" spans="1:4" ht="13.5">
      <c r="A11564" s="399"/>
      <c r="B11564" s="400"/>
      <c r="C11564" s="399"/>
      <c r="D11564" s="602"/>
    </row>
    <row r="11565" spans="1:4" ht="13.5">
      <c r="A11565" s="399"/>
      <c r="B11565" s="400"/>
      <c r="C11565" s="399"/>
      <c r="D11565" s="602"/>
    </row>
    <row r="11566" spans="1:4" ht="13.5">
      <c r="A11566" s="399"/>
      <c r="B11566" s="400"/>
      <c r="C11566" s="399"/>
      <c r="D11566" s="602"/>
    </row>
    <row r="11567" spans="1:4" ht="13.5">
      <c r="A11567" s="399"/>
      <c r="B11567" s="400"/>
      <c r="C11567" s="399"/>
      <c r="D11567" s="602"/>
    </row>
    <row r="11568" spans="1:4" ht="13.5">
      <c r="A11568" s="399"/>
      <c r="B11568" s="400"/>
      <c r="C11568" s="399"/>
      <c r="D11568" s="602"/>
    </row>
    <row r="11569" spans="1:4" ht="13.5">
      <c r="A11569" s="399"/>
      <c r="B11569" s="400"/>
      <c r="C11569" s="399"/>
      <c r="D11569" s="602"/>
    </row>
    <row r="11570" spans="1:4" ht="13.5">
      <c r="A11570" s="399"/>
      <c r="B11570" s="400"/>
      <c r="C11570" s="399"/>
      <c r="D11570" s="602"/>
    </row>
    <row r="11571" spans="1:4" ht="13.5">
      <c r="A11571" s="399"/>
      <c r="B11571" s="400"/>
      <c r="C11571" s="399"/>
      <c r="D11571" s="602"/>
    </row>
    <row r="11572" spans="1:4" ht="13.5">
      <c r="A11572" s="399"/>
      <c r="B11572" s="400"/>
      <c r="C11572" s="399"/>
      <c r="D11572" s="602"/>
    </row>
    <row r="11573" spans="1:4" ht="13.5">
      <c r="A11573" s="399"/>
      <c r="B11573" s="400"/>
      <c r="C11573" s="399"/>
      <c r="D11573" s="602"/>
    </row>
    <row r="11574" spans="1:4" ht="13.5">
      <c r="A11574" s="399"/>
      <c r="B11574" s="400"/>
      <c r="C11574" s="399"/>
      <c r="D11574" s="602"/>
    </row>
    <row r="11575" spans="1:4" ht="13.5">
      <c r="A11575" s="399"/>
      <c r="B11575" s="400"/>
      <c r="C11575" s="399"/>
      <c r="D11575" s="602"/>
    </row>
    <row r="11576" spans="1:4" ht="13.5">
      <c r="A11576" s="399"/>
      <c r="B11576" s="400"/>
      <c r="C11576" s="399"/>
      <c r="D11576" s="602"/>
    </row>
    <row r="11577" spans="1:4" ht="13.5">
      <c r="A11577" s="399"/>
      <c r="B11577" s="400"/>
      <c r="C11577" s="399"/>
      <c r="D11577" s="602"/>
    </row>
    <row r="11578" spans="1:4" ht="13.5">
      <c r="A11578" s="399"/>
      <c r="B11578" s="400"/>
      <c r="C11578" s="399"/>
      <c r="D11578" s="602"/>
    </row>
    <row r="11579" spans="1:4" ht="13.5">
      <c r="A11579" s="399"/>
      <c r="B11579" s="400"/>
      <c r="C11579" s="399"/>
      <c r="D11579" s="602"/>
    </row>
    <row r="11580" spans="1:4" ht="13.5">
      <c r="A11580" s="399"/>
      <c r="B11580" s="400"/>
      <c r="C11580" s="399"/>
      <c r="D11580" s="602"/>
    </row>
    <row r="11581" spans="1:4">
      <c r="A11581" s="91"/>
      <c r="C11581" s="91"/>
      <c r="D11581" s="603"/>
    </row>
    <row r="11582" spans="1:4">
      <c r="A11582" s="91"/>
      <c r="C11582" s="91"/>
      <c r="D11582" s="603"/>
    </row>
    <row r="11583" spans="1:4">
      <c r="A11583" s="91"/>
      <c r="C11583" s="91"/>
      <c r="D11583" s="603"/>
    </row>
    <row r="11584" spans="1:4">
      <c r="A11584" s="91"/>
      <c r="C11584" s="91"/>
      <c r="D11584" s="603"/>
    </row>
    <row r="11585" spans="1:4">
      <c r="A11585" s="91"/>
      <c r="C11585" s="91"/>
      <c r="D11585" s="603"/>
    </row>
    <row r="11586" spans="1:4">
      <c r="A11586" s="91"/>
      <c r="C11586" s="91"/>
      <c r="D11586" s="603"/>
    </row>
    <row r="11587" spans="1:4">
      <c r="A11587" s="91"/>
      <c r="C11587" s="91"/>
      <c r="D11587" s="603"/>
    </row>
    <row r="11588" spans="1:4">
      <c r="A11588" s="91"/>
      <c r="C11588" s="91"/>
      <c r="D11588" s="603"/>
    </row>
    <row r="11589" spans="1:4">
      <c r="A11589" s="91"/>
      <c r="C11589" s="91"/>
      <c r="D11589" s="603"/>
    </row>
    <row r="11590" spans="1:4">
      <c r="A11590" s="91"/>
      <c r="C11590" s="91"/>
      <c r="D11590" s="603"/>
    </row>
    <row r="11591" spans="1:4">
      <c r="A11591" s="91"/>
      <c r="C11591" s="91"/>
      <c r="D11591" s="603"/>
    </row>
    <row r="11592" spans="1:4">
      <c r="A11592" s="91"/>
      <c r="C11592" s="91"/>
      <c r="D11592" s="603"/>
    </row>
    <row r="11593" spans="1:4">
      <c r="A11593" s="91"/>
      <c r="C11593" s="91"/>
      <c r="D11593" s="603"/>
    </row>
    <row r="11594" spans="1:4">
      <c r="A11594" s="91"/>
      <c r="C11594" s="91"/>
      <c r="D11594" s="603"/>
    </row>
    <row r="11595" spans="1:4">
      <c r="A11595" s="91"/>
      <c r="C11595" s="91"/>
      <c r="D11595" s="603"/>
    </row>
    <row r="11596" spans="1:4">
      <c r="A11596" s="91"/>
      <c r="C11596" s="91"/>
      <c r="D11596" s="603"/>
    </row>
    <row r="11597" spans="1:4">
      <c r="A11597" s="91"/>
      <c r="C11597" s="91"/>
      <c r="D11597" s="603"/>
    </row>
    <row r="11598" spans="1:4">
      <c r="A11598" s="91"/>
      <c r="C11598" s="91"/>
      <c r="D11598" s="603"/>
    </row>
    <row r="11599" spans="1:4">
      <c r="A11599" s="91"/>
      <c r="C11599" s="91"/>
      <c r="D11599" s="603"/>
    </row>
    <row r="11600" spans="1:4">
      <c r="A11600" s="91"/>
      <c r="C11600" s="91"/>
      <c r="D11600" s="603"/>
    </row>
    <row r="11601" spans="1:4">
      <c r="A11601" s="91"/>
      <c r="C11601" s="91"/>
      <c r="D11601" s="603"/>
    </row>
    <row r="11602" spans="1:4">
      <c r="A11602" s="91"/>
      <c r="C11602" s="91"/>
      <c r="D11602" s="603"/>
    </row>
    <row r="11603" spans="1:4">
      <c r="A11603" s="91"/>
      <c r="C11603" s="91"/>
      <c r="D11603" s="603"/>
    </row>
    <row r="11604" spans="1:4">
      <c r="A11604" s="91"/>
      <c r="C11604" s="91"/>
      <c r="D11604" s="603"/>
    </row>
    <row r="11605" spans="1:4">
      <c r="A11605" s="91"/>
      <c r="C11605" s="91"/>
      <c r="D11605" s="603"/>
    </row>
    <row r="11606" spans="1:4">
      <c r="A11606" s="91"/>
      <c r="C11606" s="91"/>
      <c r="D11606" s="603"/>
    </row>
    <row r="11607" spans="1:4">
      <c r="A11607" s="91"/>
      <c r="C11607" s="91"/>
      <c r="D11607" s="603"/>
    </row>
    <row r="11608" spans="1:4">
      <c r="A11608" s="91"/>
      <c r="C11608" s="91"/>
      <c r="D11608" s="603"/>
    </row>
    <row r="11609" spans="1:4">
      <c r="A11609" s="91"/>
      <c r="C11609" s="91"/>
      <c r="D11609" s="603"/>
    </row>
    <row r="11610" spans="1:4">
      <c r="A11610" s="91"/>
      <c r="C11610" s="91"/>
      <c r="D11610" s="603"/>
    </row>
    <row r="11611" spans="1:4">
      <c r="A11611" s="91"/>
      <c r="C11611" s="91"/>
      <c r="D11611" s="603"/>
    </row>
    <row r="11612" spans="1:4">
      <c r="A11612" s="91"/>
      <c r="C11612" s="91"/>
      <c r="D11612" s="603"/>
    </row>
    <row r="11613" spans="1:4">
      <c r="A11613" s="91"/>
      <c r="C11613" s="91"/>
      <c r="D11613" s="603"/>
    </row>
    <row r="11614" spans="1:4">
      <c r="A11614" s="91"/>
      <c r="C11614" s="91"/>
      <c r="D11614" s="603"/>
    </row>
    <row r="11615" spans="1:4">
      <c r="A11615" s="91"/>
      <c r="C11615" s="91"/>
      <c r="D11615" s="603"/>
    </row>
    <row r="11616" spans="1:4">
      <c r="A11616" s="91"/>
      <c r="C11616" s="91"/>
      <c r="D11616" s="603"/>
    </row>
    <row r="11617" spans="1:4">
      <c r="A11617" s="91"/>
      <c r="C11617" s="91"/>
      <c r="D11617" s="603"/>
    </row>
    <row r="11618" spans="1:4">
      <c r="A11618" s="91"/>
      <c r="C11618" s="91"/>
      <c r="D11618" s="603"/>
    </row>
    <row r="11619" spans="1:4">
      <c r="A11619" s="91"/>
      <c r="C11619" s="91"/>
      <c r="D11619" s="603"/>
    </row>
    <row r="11620" spans="1:4">
      <c r="A11620" s="91"/>
      <c r="C11620" s="91"/>
      <c r="D11620" s="603"/>
    </row>
    <row r="11621" spans="1:4">
      <c r="A11621" s="91"/>
      <c r="C11621" s="91"/>
      <c r="D11621" s="603"/>
    </row>
    <row r="11622" spans="1:4">
      <c r="A11622" s="91"/>
      <c r="C11622" s="91"/>
      <c r="D11622" s="603"/>
    </row>
    <row r="11623" spans="1:4">
      <c r="A11623" s="91"/>
      <c r="C11623" s="91"/>
      <c r="D11623" s="603"/>
    </row>
    <row r="11624" spans="1:4">
      <c r="A11624" s="91"/>
      <c r="C11624" s="91"/>
      <c r="D11624" s="603"/>
    </row>
    <row r="11625" spans="1:4">
      <c r="A11625" s="91"/>
      <c r="C11625" s="91"/>
      <c r="D11625" s="603"/>
    </row>
    <row r="11626" spans="1:4">
      <c r="A11626" s="91"/>
      <c r="C11626" s="91"/>
      <c r="D11626" s="603"/>
    </row>
    <row r="11627" spans="1:4">
      <c r="A11627" s="91"/>
      <c r="C11627" s="91"/>
      <c r="D11627" s="603"/>
    </row>
    <row r="11628" spans="1:4">
      <c r="A11628" s="91"/>
      <c r="C11628" s="91"/>
      <c r="D11628" s="603"/>
    </row>
    <row r="11629" spans="1:4">
      <c r="A11629" s="91"/>
      <c r="C11629" s="91"/>
      <c r="D11629" s="603"/>
    </row>
    <row r="11630" spans="1:4">
      <c r="A11630" s="91"/>
      <c r="C11630" s="91"/>
      <c r="D11630" s="603"/>
    </row>
    <row r="11631" spans="1:4">
      <c r="A11631" s="91"/>
      <c r="C11631" s="91"/>
      <c r="D11631" s="603"/>
    </row>
    <row r="11632" spans="1:4">
      <c r="A11632" s="91"/>
      <c r="C11632" s="91"/>
      <c r="D11632" s="603"/>
    </row>
    <row r="11633" spans="1:4">
      <c r="A11633" s="91"/>
      <c r="C11633" s="91"/>
      <c r="D11633" s="603"/>
    </row>
    <row r="11634" spans="1:4">
      <c r="A11634" s="91"/>
      <c r="C11634" s="91"/>
      <c r="D11634" s="603"/>
    </row>
    <row r="11635" spans="1:4">
      <c r="A11635" s="91"/>
      <c r="C11635" s="91"/>
      <c r="D11635" s="603"/>
    </row>
    <row r="11636" spans="1:4">
      <c r="A11636" s="91"/>
      <c r="C11636" s="91"/>
      <c r="D11636" s="603"/>
    </row>
    <row r="11637" spans="1:4">
      <c r="A11637" s="91"/>
      <c r="C11637" s="91"/>
      <c r="D11637" s="603"/>
    </row>
    <row r="11638" spans="1:4">
      <c r="A11638" s="91"/>
      <c r="C11638" s="91"/>
      <c r="D11638" s="603"/>
    </row>
    <row r="11639" spans="1:4">
      <c r="A11639" s="91"/>
      <c r="C11639" s="91"/>
      <c r="D11639" s="603"/>
    </row>
    <row r="11640" spans="1:4">
      <c r="A11640" s="91"/>
      <c r="C11640" s="91"/>
      <c r="D11640" s="603"/>
    </row>
    <row r="11641" spans="1:4">
      <c r="A11641" s="91"/>
      <c r="C11641" s="91"/>
      <c r="D11641" s="603"/>
    </row>
    <row r="11642" spans="1:4">
      <c r="A11642" s="91"/>
      <c r="C11642" s="91"/>
      <c r="D11642" s="603"/>
    </row>
    <row r="11643" spans="1:4">
      <c r="A11643" s="91"/>
      <c r="C11643" s="91"/>
      <c r="D11643" s="603"/>
    </row>
    <row r="11644" spans="1:4">
      <c r="A11644" s="91"/>
      <c r="C11644" s="91"/>
      <c r="D11644" s="603"/>
    </row>
    <row r="11645" spans="1:4">
      <c r="A11645" s="91"/>
      <c r="C11645" s="91"/>
      <c r="D11645" s="603"/>
    </row>
    <row r="11646" spans="1:4">
      <c r="A11646" s="91"/>
      <c r="C11646" s="91"/>
      <c r="D11646" s="603"/>
    </row>
    <row r="11647" spans="1:4">
      <c r="A11647" s="91"/>
      <c r="C11647" s="91"/>
      <c r="D11647" s="603"/>
    </row>
    <row r="11648" spans="1:4">
      <c r="A11648" s="91"/>
      <c r="C11648" s="91"/>
      <c r="D11648" s="603"/>
    </row>
    <row r="11649" spans="1:4">
      <c r="A11649" s="91"/>
      <c r="C11649" s="91"/>
      <c r="D11649" s="603"/>
    </row>
    <row r="11650" spans="1:4">
      <c r="A11650" s="91"/>
      <c r="C11650" s="91"/>
      <c r="D11650" s="603"/>
    </row>
    <row r="11651" spans="1:4">
      <c r="A11651" s="91"/>
      <c r="C11651" s="91"/>
      <c r="D11651" s="603"/>
    </row>
    <row r="11652" spans="1:4">
      <c r="A11652" s="91"/>
      <c r="C11652" s="91"/>
      <c r="D11652" s="603"/>
    </row>
    <row r="11653" spans="1:4">
      <c r="A11653" s="91"/>
      <c r="C11653" s="91"/>
      <c r="D11653" s="603"/>
    </row>
    <row r="11654" spans="1:4">
      <c r="A11654" s="91"/>
      <c r="C11654" s="91"/>
      <c r="D11654" s="603"/>
    </row>
    <row r="11655" spans="1:4">
      <c r="A11655" s="91"/>
      <c r="C11655" s="91"/>
      <c r="D11655" s="603"/>
    </row>
    <row r="11656" spans="1:4">
      <c r="A11656" s="91"/>
      <c r="C11656" s="91"/>
      <c r="D11656" s="603"/>
    </row>
    <row r="11657" spans="1:4">
      <c r="A11657" s="91"/>
      <c r="C11657" s="91"/>
      <c r="D11657" s="603"/>
    </row>
    <row r="11658" spans="1:4">
      <c r="A11658" s="91"/>
      <c r="C11658" s="91"/>
      <c r="D11658" s="603"/>
    </row>
    <row r="11659" spans="1:4">
      <c r="A11659" s="91"/>
      <c r="C11659" s="91"/>
      <c r="D11659" s="603"/>
    </row>
    <row r="11660" spans="1:4">
      <c r="A11660" s="91"/>
      <c r="C11660" s="91"/>
      <c r="D11660" s="603"/>
    </row>
    <row r="11661" spans="1:4">
      <c r="A11661" s="91"/>
      <c r="C11661" s="91"/>
      <c r="D11661" s="603"/>
    </row>
    <row r="11662" spans="1:4">
      <c r="A11662" s="91"/>
      <c r="C11662" s="91"/>
      <c r="D11662" s="603"/>
    </row>
    <row r="11663" spans="1:4">
      <c r="A11663" s="91"/>
      <c r="C11663" s="91"/>
      <c r="D11663" s="603"/>
    </row>
    <row r="11664" spans="1:4">
      <c r="A11664" s="91"/>
      <c r="C11664" s="91"/>
      <c r="D11664" s="603"/>
    </row>
    <row r="11665" spans="1:4">
      <c r="A11665" s="91"/>
      <c r="C11665" s="91"/>
      <c r="D11665" s="603"/>
    </row>
    <row r="11666" spans="1:4">
      <c r="A11666" s="91"/>
      <c r="C11666" s="91"/>
      <c r="D11666" s="603"/>
    </row>
    <row r="11667" spans="1:4">
      <c r="A11667" s="91"/>
      <c r="C11667" s="91"/>
      <c r="D11667" s="603"/>
    </row>
    <row r="11668" spans="1:4">
      <c r="A11668" s="91"/>
      <c r="C11668" s="91"/>
      <c r="D11668" s="603"/>
    </row>
    <row r="11669" spans="1:4">
      <c r="A11669" s="91"/>
      <c r="C11669" s="91"/>
      <c r="D11669" s="603"/>
    </row>
    <row r="11670" spans="1:4">
      <c r="A11670" s="91"/>
      <c r="C11670" s="91"/>
      <c r="D11670" s="603"/>
    </row>
    <row r="11671" spans="1:4">
      <c r="A11671" s="91"/>
      <c r="C11671" s="91"/>
      <c r="D11671" s="603"/>
    </row>
    <row r="11672" spans="1:4">
      <c r="A11672" s="91"/>
      <c r="C11672" s="91"/>
      <c r="D11672" s="603"/>
    </row>
    <row r="11673" spans="1:4">
      <c r="A11673" s="91"/>
      <c r="C11673" s="91"/>
      <c r="D11673" s="603"/>
    </row>
    <row r="11674" spans="1:4">
      <c r="A11674" s="91"/>
      <c r="C11674" s="91"/>
      <c r="D11674" s="603"/>
    </row>
    <row r="11675" spans="1:4">
      <c r="A11675" s="91"/>
      <c r="C11675" s="91"/>
      <c r="D11675" s="603"/>
    </row>
    <row r="11676" spans="1:4">
      <c r="A11676" s="91"/>
      <c r="C11676" s="91"/>
      <c r="D11676" s="603"/>
    </row>
    <row r="11677" spans="1:4">
      <c r="A11677" s="91"/>
      <c r="C11677" s="91"/>
      <c r="D11677" s="603"/>
    </row>
    <row r="11678" spans="1:4">
      <c r="A11678" s="91"/>
      <c r="C11678" s="91"/>
      <c r="D11678" s="603"/>
    </row>
    <row r="11679" spans="1:4">
      <c r="A11679" s="91"/>
      <c r="C11679" s="91"/>
      <c r="D11679" s="603"/>
    </row>
    <row r="11680" spans="1:4">
      <c r="A11680" s="91"/>
      <c r="C11680" s="91"/>
      <c r="D11680" s="603"/>
    </row>
    <row r="11681" spans="1:4">
      <c r="A11681" s="91"/>
      <c r="C11681" s="91"/>
      <c r="D11681" s="603"/>
    </row>
    <row r="11682" spans="1:4">
      <c r="A11682" s="91"/>
      <c r="C11682" s="91"/>
      <c r="D11682" s="603"/>
    </row>
    <row r="11683" spans="1:4">
      <c r="A11683" s="91"/>
      <c r="C11683" s="91"/>
      <c r="D11683" s="603"/>
    </row>
    <row r="11684" spans="1:4">
      <c r="A11684" s="91"/>
      <c r="C11684" s="91"/>
      <c r="D11684" s="603"/>
    </row>
    <row r="11685" spans="1:4">
      <c r="A11685" s="91"/>
      <c r="C11685" s="91"/>
      <c r="D11685" s="603"/>
    </row>
    <row r="11686" spans="1:4">
      <c r="A11686" s="91"/>
      <c r="C11686" s="91"/>
      <c r="D11686" s="603"/>
    </row>
    <row r="11687" spans="1:4">
      <c r="A11687" s="91"/>
      <c r="C11687" s="91"/>
      <c r="D11687" s="603"/>
    </row>
    <row r="11688" spans="1:4">
      <c r="A11688" s="91"/>
      <c r="C11688" s="91"/>
      <c r="D11688" s="603"/>
    </row>
    <row r="11689" spans="1:4">
      <c r="A11689" s="91"/>
      <c r="C11689" s="91"/>
      <c r="D11689" s="603"/>
    </row>
    <row r="11690" spans="1:4">
      <c r="A11690" s="91"/>
      <c r="C11690" s="91"/>
      <c r="D11690" s="603"/>
    </row>
    <row r="11691" spans="1:4">
      <c r="A11691" s="91"/>
      <c r="C11691" s="91"/>
      <c r="D11691" s="603"/>
    </row>
    <row r="11692" spans="1:4">
      <c r="A11692" s="91"/>
      <c r="C11692" s="91"/>
      <c r="D11692" s="603"/>
    </row>
    <row r="11693" spans="1:4">
      <c r="A11693" s="91"/>
      <c r="C11693" s="91"/>
      <c r="D11693" s="603"/>
    </row>
    <row r="11694" spans="1:4">
      <c r="A11694" s="91"/>
      <c r="C11694" s="91"/>
      <c r="D11694" s="603"/>
    </row>
    <row r="11695" spans="1:4">
      <c r="A11695" s="91"/>
      <c r="C11695" s="91"/>
      <c r="D11695" s="603"/>
    </row>
    <row r="11696" spans="1:4">
      <c r="A11696" s="91"/>
      <c r="C11696" s="91"/>
      <c r="D11696" s="603"/>
    </row>
    <row r="11697" spans="1:4">
      <c r="A11697" s="91"/>
      <c r="C11697" s="91"/>
      <c r="D11697" s="603"/>
    </row>
    <row r="11698" spans="1:4">
      <c r="A11698" s="91"/>
      <c r="C11698" s="91"/>
      <c r="D11698" s="603"/>
    </row>
    <row r="11699" spans="1:4">
      <c r="A11699" s="91"/>
      <c r="C11699" s="91"/>
      <c r="D11699" s="603"/>
    </row>
    <row r="11700" spans="1:4">
      <c r="A11700" s="91"/>
      <c r="C11700" s="91"/>
      <c r="D11700" s="603"/>
    </row>
    <row r="11701" spans="1:4">
      <c r="A11701" s="91"/>
      <c r="C11701" s="91"/>
      <c r="D11701" s="603"/>
    </row>
    <row r="11702" spans="1:4">
      <c r="A11702" s="91"/>
      <c r="C11702" s="91"/>
      <c r="D11702" s="603"/>
    </row>
    <row r="11703" spans="1:4">
      <c r="A11703" s="91"/>
      <c r="C11703" s="91"/>
      <c r="D11703" s="603"/>
    </row>
    <row r="11704" spans="1:4">
      <c r="A11704" s="91"/>
      <c r="C11704" s="91"/>
      <c r="D11704" s="603"/>
    </row>
    <row r="11705" spans="1:4">
      <c r="A11705" s="91"/>
      <c r="C11705" s="91"/>
      <c r="D11705" s="603"/>
    </row>
    <row r="11706" spans="1:4">
      <c r="A11706" s="91"/>
      <c r="C11706" s="91"/>
      <c r="D11706" s="603"/>
    </row>
    <row r="11707" spans="1:4">
      <c r="A11707" s="91"/>
      <c r="C11707" s="91"/>
      <c r="D11707" s="603"/>
    </row>
    <row r="11708" spans="1:4">
      <c r="A11708" s="91"/>
      <c r="C11708" s="91"/>
      <c r="D11708" s="603"/>
    </row>
    <row r="11709" spans="1:4">
      <c r="A11709" s="91"/>
      <c r="C11709" s="91"/>
      <c r="D11709" s="603"/>
    </row>
    <row r="11710" spans="1:4">
      <c r="A11710" s="91"/>
      <c r="C11710" s="91"/>
      <c r="D11710" s="603"/>
    </row>
    <row r="11711" spans="1:4">
      <c r="A11711" s="91"/>
      <c r="C11711" s="91"/>
      <c r="D11711" s="603"/>
    </row>
    <row r="11712" spans="1:4">
      <c r="A11712" s="91"/>
      <c r="C11712" s="91"/>
      <c r="D11712" s="603"/>
    </row>
    <row r="11713" spans="1:4">
      <c r="A11713" s="91"/>
      <c r="C11713" s="91"/>
      <c r="D11713" s="603"/>
    </row>
    <row r="11714" spans="1:4">
      <c r="A11714" s="91"/>
      <c r="C11714" s="91"/>
      <c r="D11714" s="603"/>
    </row>
    <row r="11715" spans="1:4">
      <c r="A11715" s="91"/>
      <c r="C11715" s="91"/>
      <c r="D11715" s="603"/>
    </row>
    <row r="11716" spans="1:4">
      <c r="A11716" s="91"/>
      <c r="C11716" s="91"/>
      <c r="D11716" s="603"/>
    </row>
    <row r="11717" spans="1:4">
      <c r="A11717" s="91"/>
      <c r="C11717" s="91"/>
      <c r="D11717" s="603"/>
    </row>
    <row r="11718" spans="1:4">
      <c r="A11718" s="91"/>
      <c r="C11718" s="91"/>
      <c r="D11718" s="603"/>
    </row>
    <row r="11719" spans="1:4">
      <c r="A11719" s="91"/>
      <c r="C11719" s="91"/>
      <c r="D11719" s="603"/>
    </row>
    <row r="11720" spans="1:4">
      <c r="A11720" s="91"/>
      <c r="C11720" s="91"/>
      <c r="D11720" s="603"/>
    </row>
    <row r="11721" spans="1:4">
      <c r="A11721" s="91"/>
      <c r="C11721" s="91"/>
      <c r="D11721" s="603"/>
    </row>
    <row r="11722" spans="1:4">
      <c r="A11722" s="91"/>
      <c r="C11722" s="91"/>
      <c r="D11722" s="603"/>
    </row>
    <row r="11723" spans="1:4">
      <c r="A11723" s="91"/>
      <c r="C11723" s="91"/>
      <c r="D11723" s="603"/>
    </row>
    <row r="11724" spans="1:4">
      <c r="A11724" s="91"/>
      <c r="C11724" s="91"/>
      <c r="D11724" s="603"/>
    </row>
    <row r="11725" spans="1:4">
      <c r="A11725" s="91"/>
      <c r="C11725" s="91"/>
      <c r="D11725" s="603"/>
    </row>
    <row r="11726" spans="1:4">
      <c r="A11726" s="91"/>
      <c r="C11726" s="91"/>
      <c r="D11726" s="603"/>
    </row>
    <row r="11727" spans="1:4">
      <c r="A11727" s="91"/>
      <c r="C11727" s="91"/>
      <c r="D11727" s="603"/>
    </row>
    <row r="11728" spans="1:4">
      <c r="A11728" s="91"/>
      <c r="C11728" s="91"/>
      <c r="D11728" s="603"/>
    </row>
    <row r="11729" spans="1:4">
      <c r="A11729" s="91"/>
      <c r="C11729" s="91"/>
      <c r="D11729" s="603"/>
    </row>
    <row r="11730" spans="1:4">
      <c r="A11730" s="91"/>
      <c r="C11730" s="91"/>
      <c r="D11730" s="603"/>
    </row>
    <row r="11731" spans="1:4">
      <c r="A11731" s="91"/>
      <c r="C11731" s="91"/>
      <c r="D11731" s="603"/>
    </row>
    <row r="11732" spans="1:4">
      <c r="A11732" s="91"/>
      <c r="C11732" s="91"/>
      <c r="D11732" s="603"/>
    </row>
    <row r="11733" spans="1:4">
      <c r="A11733" s="91"/>
      <c r="C11733" s="91"/>
      <c r="D11733" s="603"/>
    </row>
    <row r="11734" spans="1:4">
      <c r="A11734" s="91"/>
      <c r="C11734" s="91"/>
      <c r="D11734" s="603"/>
    </row>
    <row r="11735" spans="1:4">
      <c r="A11735" s="91"/>
      <c r="C11735" s="91"/>
      <c r="D11735" s="603"/>
    </row>
    <row r="11736" spans="1:4">
      <c r="A11736" s="91"/>
      <c r="C11736" s="91"/>
      <c r="D11736" s="603"/>
    </row>
    <row r="11737" spans="1:4">
      <c r="A11737" s="91"/>
      <c r="C11737" s="91"/>
      <c r="D11737" s="603"/>
    </row>
    <row r="11738" spans="1:4">
      <c r="A11738" s="91"/>
      <c r="C11738" s="91"/>
      <c r="D11738" s="603"/>
    </row>
    <row r="11739" spans="1:4">
      <c r="A11739" s="91"/>
      <c r="C11739" s="91"/>
      <c r="D11739" s="603"/>
    </row>
    <row r="11740" spans="1:4">
      <c r="A11740" s="91"/>
      <c r="C11740" s="91"/>
      <c r="D11740" s="603"/>
    </row>
    <row r="11741" spans="1:4">
      <c r="A11741" s="91"/>
      <c r="C11741" s="91"/>
      <c r="D11741" s="603"/>
    </row>
    <row r="11742" spans="1:4">
      <c r="A11742" s="91"/>
      <c r="C11742" s="91"/>
      <c r="D11742" s="603"/>
    </row>
    <row r="11743" spans="1:4">
      <c r="A11743" s="91"/>
      <c r="C11743" s="91"/>
      <c r="D11743" s="603"/>
    </row>
    <row r="11744" spans="1:4">
      <c r="A11744" s="91"/>
      <c r="C11744" s="91"/>
      <c r="D11744" s="603"/>
    </row>
    <row r="11745" spans="1:4">
      <c r="A11745" s="91"/>
      <c r="C11745" s="91"/>
      <c r="D11745" s="603"/>
    </row>
    <row r="11746" spans="1:4">
      <c r="A11746" s="91"/>
      <c r="C11746" s="91"/>
      <c r="D11746" s="603"/>
    </row>
    <row r="11747" spans="1:4">
      <c r="A11747" s="91"/>
      <c r="C11747" s="91"/>
      <c r="D11747" s="603"/>
    </row>
    <row r="11748" spans="1:4">
      <c r="A11748" s="91"/>
      <c r="C11748" s="91"/>
      <c r="D11748" s="603"/>
    </row>
    <row r="11749" spans="1:4">
      <c r="A11749" s="91"/>
      <c r="C11749" s="91"/>
      <c r="D11749" s="603"/>
    </row>
    <row r="11750" spans="1:4">
      <c r="A11750" s="91"/>
      <c r="C11750" s="91"/>
      <c r="D11750" s="603"/>
    </row>
    <row r="11751" spans="1:4">
      <c r="A11751" s="91"/>
      <c r="C11751" s="91"/>
      <c r="D11751" s="603"/>
    </row>
    <row r="11752" spans="1:4">
      <c r="A11752" s="91"/>
      <c r="C11752" s="91"/>
      <c r="D11752" s="603"/>
    </row>
    <row r="11753" spans="1:4">
      <c r="A11753" s="91"/>
      <c r="C11753" s="91"/>
      <c r="D11753" s="603"/>
    </row>
    <row r="11754" spans="1:4">
      <c r="A11754" s="91"/>
      <c r="C11754" s="91"/>
      <c r="D11754" s="603"/>
    </row>
    <row r="11755" spans="1:4">
      <c r="A11755" s="91"/>
      <c r="C11755" s="91"/>
      <c r="D11755" s="603"/>
    </row>
    <row r="11756" spans="1:4">
      <c r="A11756" s="91"/>
      <c r="C11756" s="91"/>
      <c r="D11756" s="603"/>
    </row>
    <row r="11757" spans="1:4">
      <c r="A11757" s="91"/>
      <c r="C11757" s="91"/>
      <c r="D11757" s="603"/>
    </row>
    <row r="11758" spans="1:4">
      <c r="A11758" s="91"/>
      <c r="C11758" s="91"/>
      <c r="D11758" s="603"/>
    </row>
    <row r="11759" spans="1:4">
      <c r="A11759" s="91"/>
      <c r="C11759" s="91"/>
      <c r="D11759" s="603"/>
    </row>
    <row r="11760" spans="1:4">
      <c r="A11760" s="91"/>
      <c r="C11760" s="91"/>
      <c r="D11760" s="603"/>
    </row>
    <row r="11761" spans="1:4">
      <c r="A11761" s="91"/>
      <c r="C11761" s="91"/>
      <c r="D11761" s="603"/>
    </row>
    <row r="11762" spans="1:4">
      <c r="A11762" s="91"/>
      <c r="C11762" s="91"/>
      <c r="D11762" s="603"/>
    </row>
    <row r="11763" spans="1:4">
      <c r="A11763" s="91"/>
      <c r="C11763" s="91"/>
      <c r="D11763" s="603"/>
    </row>
    <row r="11764" spans="1:4">
      <c r="A11764" s="91"/>
      <c r="C11764" s="91"/>
      <c r="D11764" s="603"/>
    </row>
    <row r="11765" spans="1:4">
      <c r="A11765" s="91"/>
      <c r="C11765" s="91"/>
      <c r="D11765" s="603"/>
    </row>
    <row r="11766" spans="1:4">
      <c r="A11766" s="91"/>
      <c r="C11766" s="91"/>
      <c r="D11766" s="603"/>
    </row>
    <row r="11767" spans="1:4">
      <c r="A11767" s="91"/>
      <c r="C11767" s="91"/>
      <c r="D11767" s="603"/>
    </row>
    <row r="11768" spans="1:4">
      <c r="A11768" s="91"/>
      <c r="C11768" s="91"/>
      <c r="D11768" s="603"/>
    </row>
    <row r="11769" spans="1:4">
      <c r="A11769" s="91"/>
      <c r="C11769" s="91"/>
      <c r="D11769" s="603"/>
    </row>
    <row r="11770" spans="1:4">
      <c r="A11770" s="91"/>
      <c r="C11770" s="91"/>
      <c r="D11770" s="603"/>
    </row>
    <row r="11771" spans="1:4">
      <c r="A11771" s="91"/>
      <c r="C11771" s="91"/>
      <c r="D11771" s="603"/>
    </row>
    <row r="11772" spans="1:4">
      <c r="A11772" s="91"/>
      <c r="C11772" s="91"/>
      <c r="D11772" s="603"/>
    </row>
    <row r="11773" spans="1:4">
      <c r="A11773" s="91"/>
      <c r="C11773" s="91"/>
      <c r="D11773" s="603"/>
    </row>
    <row r="11774" spans="1:4">
      <c r="B11774" s="7"/>
    </row>
    <row r="11775" spans="1:4">
      <c r="B11775" s="7"/>
    </row>
    <row r="11776" spans="1:4">
      <c r="B11776" s="7"/>
    </row>
    <row r="11777" spans="1:4">
      <c r="B11777" s="7"/>
    </row>
    <row r="11778" spans="1:4">
      <c r="B11778" s="7"/>
    </row>
    <row r="11779" spans="1:4">
      <c r="B11779" s="7"/>
    </row>
    <row r="11780" spans="1:4">
      <c r="B11780" s="7"/>
    </row>
    <row r="11781" spans="1:4">
      <c r="B11781" s="7"/>
    </row>
    <row r="11782" spans="1:4">
      <c r="B11782" s="7"/>
    </row>
    <row r="11783" spans="1:4">
      <c r="B11783" s="7"/>
    </row>
    <row r="11784" spans="1:4">
      <c r="B11784" s="7"/>
    </row>
    <row r="11785" spans="1:4">
      <c r="B11785" s="7"/>
    </row>
    <row r="11786" spans="1:4">
      <c r="B11786" s="7"/>
    </row>
    <row r="11787" spans="1:4">
      <c r="B11787" s="7"/>
    </row>
    <row r="11788" spans="1:4">
      <c r="B11788" s="7"/>
    </row>
    <row r="11789" spans="1:4">
      <c r="B11789" s="7"/>
    </row>
    <row r="11790" spans="1:4">
      <c r="B11790" s="7"/>
    </row>
    <row r="11791" spans="1:4">
      <c r="B11791" s="7"/>
    </row>
    <row r="11792" spans="1:4" ht="13.5">
      <c r="A11792" s="250"/>
      <c r="B11792" s="251"/>
      <c r="C11792" s="250"/>
      <c r="D11792" s="605"/>
    </row>
    <row r="11793" spans="1:4" ht="13.5">
      <c r="A11793" s="250"/>
      <c r="B11793" s="251"/>
      <c r="C11793" s="250"/>
      <c r="D11793" s="605"/>
    </row>
    <row r="11794" spans="1:4" ht="13.5">
      <c r="A11794" s="250"/>
      <c r="B11794" s="251"/>
      <c r="C11794" s="250"/>
      <c r="D11794" s="605"/>
    </row>
    <row r="11795" spans="1:4" ht="13.5">
      <c r="A11795" s="250"/>
      <c r="B11795" s="251"/>
      <c r="C11795" s="250"/>
      <c r="D11795" s="605"/>
    </row>
    <row r="11796" spans="1:4" ht="13.5">
      <c r="A11796" s="250"/>
      <c r="B11796" s="251"/>
      <c r="C11796" s="256"/>
      <c r="D11796" s="605"/>
    </row>
    <row r="11797" spans="1:4" ht="13.5">
      <c r="A11797" s="250"/>
      <c r="B11797" s="251"/>
      <c r="C11797" s="250"/>
      <c r="D11797" s="605"/>
    </row>
    <row r="11798" spans="1:4" ht="13.5">
      <c r="A11798" s="250"/>
      <c r="B11798" s="251"/>
      <c r="C11798" s="250"/>
      <c r="D11798" s="605"/>
    </row>
    <row r="11799" spans="1:4" ht="13.5">
      <c r="A11799" s="250"/>
      <c r="B11799" s="251"/>
      <c r="C11799" s="250"/>
      <c r="D11799" s="605"/>
    </row>
    <row r="11800" spans="1:4" ht="13.5">
      <c r="A11800" s="250"/>
      <c r="B11800" s="255"/>
      <c r="C11800" s="250"/>
      <c r="D11800" s="605"/>
    </row>
    <row r="11801" spans="1:4" ht="13.5">
      <c r="A11801" s="250"/>
      <c r="B11801" s="251"/>
      <c r="C11801" s="250"/>
      <c r="D11801" s="605"/>
    </row>
    <row r="11802" spans="1:4" ht="13.5">
      <c r="A11802" s="250"/>
      <c r="B11802" s="251"/>
      <c r="C11802" s="250"/>
      <c r="D11802" s="605"/>
    </row>
    <row r="11803" spans="1:4" ht="13.5">
      <c r="A11803" s="250"/>
      <c r="B11803" s="251"/>
      <c r="C11803" s="250"/>
      <c r="D11803" s="605"/>
    </row>
    <row r="11804" spans="1:4" ht="13.5">
      <c r="A11804" s="250"/>
      <c r="B11804" s="251"/>
      <c r="C11804" s="250"/>
      <c r="D11804" s="605"/>
    </row>
    <row r="11805" spans="1:4" ht="13.5">
      <c r="A11805" s="250"/>
      <c r="B11805" s="251"/>
      <c r="C11805" s="250"/>
      <c r="D11805" s="605"/>
    </row>
    <row r="11806" spans="1:4" ht="13.5">
      <c r="A11806" s="250"/>
      <c r="B11806" s="251"/>
      <c r="C11806" s="250"/>
      <c r="D11806" s="605"/>
    </row>
    <row r="11807" spans="1:4" ht="13.5">
      <c r="A11807" s="250"/>
      <c r="B11807" s="251"/>
      <c r="C11807" s="250"/>
      <c r="D11807" s="605"/>
    </row>
    <row r="11808" spans="1:4" ht="13.5">
      <c r="A11808" s="250"/>
      <c r="B11808" s="251"/>
      <c r="C11808" s="250"/>
      <c r="D11808" s="605"/>
    </row>
    <row r="11809" spans="1:4" ht="13.5">
      <c r="A11809" s="250"/>
      <c r="B11809" s="251"/>
      <c r="C11809" s="250"/>
      <c r="D11809" s="605"/>
    </row>
    <row r="11810" spans="1:4" ht="13.5">
      <c r="A11810" s="250"/>
      <c r="B11810" s="251"/>
      <c r="C11810" s="250"/>
      <c r="D11810" s="605"/>
    </row>
    <row r="11811" spans="1:4" ht="13.5">
      <c r="A11811" s="250"/>
      <c r="B11811" s="251"/>
      <c r="C11811" s="250"/>
      <c r="D11811" s="605"/>
    </row>
    <row r="11812" spans="1:4" ht="13.5">
      <c r="A11812" s="250"/>
      <c r="B11812" s="252"/>
      <c r="C11812" s="250"/>
      <c r="D11812" s="605"/>
    </row>
    <row r="11813" spans="1:4" ht="13.5">
      <c r="A11813" s="250"/>
      <c r="B11813" s="251"/>
      <c r="C11813" s="250"/>
      <c r="D11813" s="605"/>
    </row>
    <row r="11814" spans="1:4" ht="13.5">
      <c r="A11814" s="250"/>
      <c r="B11814" s="251"/>
      <c r="C11814" s="250"/>
      <c r="D11814" s="605"/>
    </row>
  </sheetData>
  <mergeCells count="1">
    <mergeCell ref="E10775:G10775"/>
  </mergeCells>
  <pageMargins left="0.511811024" right="0.511811024" top="0.78740157499999996" bottom="0.78740157499999996" header="0.31496062000000002" footer="0.31496062000000002"/>
  <pageSetup paperSize="9" orientation="portrait" r:id="rId1"/>
</worksheet>
</file>

<file path=xl/worksheets/sheet2.xml><?xml version="1.0" encoding="utf-8"?>
<worksheet xmlns="http://schemas.openxmlformats.org/spreadsheetml/2006/main" xmlns:r="http://schemas.openxmlformats.org/officeDocument/2006/relationships">
  <dimension ref="B1:T1493"/>
  <sheetViews>
    <sheetView view="pageBreakPreview" topLeftCell="B1" zoomScale="70" zoomScaleNormal="100" zoomScaleSheetLayoutView="70" workbookViewId="0">
      <pane ySplit="4" topLeftCell="A440" activePane="bottomLeft" state="frozen"/>
      <selection activeCell="B1" sqref="B1"/>
      <selection pane="bottomLeft" activeCell="E446" sqref="E446:J446"/>
    </sheetView>
  </sheetViews>
  <sheetFormatPr defaultColWidth="13.85546875" defaultRowHeight="17.25" customHeight="1"/>
  <cols>
    <col min="1" max="1" width="6.85546875" style="5" customWidth="1"/>
    <col min="2" max="2" width="43.42578125" style="163" customWidth="1"/>
    <col min="3" max="3" width="19.85546875" style="89" customWidth="1"/>
    <col min="4" max="4" width="17.140625" style="89" customWidth="1"/>
    <col min="5" max="5" width="20.85546875" style="97" customWidth="1"/>
    <col min="6" max="6" width="20.28515625" style="42" customWidth="1"/>
    <col min="7" max="7" width="10.28515625" style="42" customWidth="1"/>
    <col min="8" max="8" width="19.28515625" style="42" customWidth="1"/>
    <col min="9" max="9" width="15.28515625" style="42" customWidth="1"/>
    <col min="10" max="10" width="25.140625" style="42" customWidth="1"/>
    <col min="11" max="11" width="14.42578125" style="207" customWidth="1"/>
    <col min="12" max="12" width="9.140625" style="97" bestFit="1" customWidth="1"/>
    <col min="13" max="13" width="23.85546875" style="108" customWidth="1"/>
    <col min="14" max="14" width="17.85546875" style="5" customWidth="1"/>
    <col min="15" max="15" width="6.7109375" style="5" customWidth="1"/>
    <col min="16" max="16" width="14.28515625" style="5" bestFit="1" customWidth="1"/>
    <col min="17" max="16384" width="13.85546875" style="5"/>
  </cols>
  <sheetData>
    <row r="1" spans="2:14" ht="17.25" customHeight="1" thickBot="1"/>
    <row r="2" spans="2:14" ht="17.25" customHeight="1" thickBot="1">
      <c r="B2" s="695" t="str">
        <f>'2-ORÇAMENTO'!B3:K3</f>
        <v xml:space="preserve">OBRA: REFORMA E AMPLIAÇÃO DA UNIDADE ESCOLAR </v>
      </c>
      <c r="C2" s="696"/>
      <c r="D2" s="696"/>
      <c r="E2" s="696"/>
      <c r="F2" s="696"/>
      <c r="G2" s="696"/>
      <c r="H2" s="696"/>
      <c r="I2" s="696"/>
      <c r="J2" s="696"/>
      <c r="K2" s="696"/>
      <c r="L2" s="696"/>
      <c r="M2" s="696"/>
      <c r="N2" s="697"/>
    </row>
    <row r="3" spans="2:14" ht="17.25" customHeight="1" thickBot="1">
      <c r="B3" s="698" t="str">
        <f>'2-ORÇAMENTO'!B4:K4</f>
        <v xml:space="preserve">LOCAL: EMEB "PROFESSORA JUVENÍLIA MONTEIRO DE OLIVEIRA </v>
      </c>
      <c r="C3" s="699"/>
      <c r="D3" s="699"/>
      <c r="E3" s="699"/>
      <c r="F3" s="699"/>
      <c r="G3" s="699"/>
      <c r="H3" s="699"/>
      <c r="I3" s="699"/>
      <c r="J3" s="699"/>
      <c r="K3" s="699"/>
      <c r="L3" s="699"/>
      <c r="M3" s="699"/>
      <c r="N3" s="700"/>
    </row>
    <row r="4" spans="2:14" ht="17.25" customHeight="1" thickBot="1">
      <c r="B4" s="54" t="s">
        <v>906</v>
      </c>
      <c r="C4" s="54" t="s">
        <v>958</v>
      </c>
      <c r="D4" s="71" t="s">
        <v>900</v>
      </c>
      <c r="E4" s="701" t="s">
        <v>904</v>
      </c>
      <c r="F4" s="702"/>
      <c r="G4" s="702"/>
      <c r="H4" s="702"/>
      <c r="I4" s="702"/>
      <c r="J4" s="703"/>
      <c r="K4" s="208" t="s">
        <v>983</v>
      </c>
      <c r="L4" s="96" t="s">
        <v>817</v>
      </c>
      <c r="M4" s="330" t="s">
        <v>982</v>
      </c>
      <c r="N4" s="313" t="s">
        <v>817</v>
      </c>
    </row>
    <row r="5" spans="2:14" ht="17.25" customHeight="1" thickBot="1">
      <c r="B5" s="177"/>
      <c r="C5" s="178"/>
      <c r="D5" s="178"/>
      <c r="E5" s="179"/>
      <c r="F5" s="180"/>
      <c r="G5" s="180"/>
      <c r="H5" s="180"/>
      <c r="I5" s="180"/>
      <c r="J5" s="181"/>
      <c r="K5" s="209"/>
      <c r="L5" s="180"/>
      <c r="M5" s="182"/>
      <c r="N5" s="181"/>
    </row>
    <row r="6" spans="2:14" ht="17.25" customHeight="1" thickBot="1">
      <c r="B6" s="165"/>
      <c r="C6" s="90"/>
      <c r="D6" s="90"/>
      <c r="E6" s="674" t="s">
        <v>7155</v>
      </c>
      <c r="F6" s="675"/>
      <c r="G6" s="675"/>
      <c r="H6" s="675"/>
      <c r="I6" s="675"/>
      <c r="J6" s="676"/>
      <c r="K6" s="210"/>
      <c r="L6" s="315"/>
      <c r="M6" s="94"/>
      <c r="N6" s="109"/>
    </row>
    <row r="7" spans="2:14" ht="17.25" customHeight="1">
      <c r="B7" s="164"/>
      <c r="C7" s="20"/>
      <c r="D7" s="20"/>
      <c r="E7" s="114"/>
      <c r="F7" s="312"/>
      <c r="G7" s="312"/>
      <c r="H7" s="312"/>
      <c r="I7" s="312"/>
      <c r="J7" s="103"/>
      <c r="K7" s="211"/>
      <c r="L7" s="239"/>
      <c r="M7" s="104"/>
      <c r="N7" s="105"/>
    </row>
    <row r="8" spans="2:14" ht="17.25" customHeight="1">
      <c r="B8" s="164"/>
      <c r="C8" s="20">
        <v>90777</v>
      </c>
      <c r="D8" s="70" t="s">
        <v>8</v>
      </c>
      <c r="E8" s="683" t="str">
        <f>IFERROR(VLOOKUP($C8,'SINAPI MAIO 2020'!$1:$1048576,2,0),IFERROR(VLOOKUP($C8,'6-COMP. PROPRIA'!$B$1:$I$808,4,0),""))</f>
        <v>ENGENHEIRO CIVIL DE OBRA JUNIOR COM ENCARGOS COMPLEMENTARES</v>
      </c>
      <c r="F8" s="684"/>
      <c r="G8" s="684"/>
      <c r="H8" s="684"/>
      <c r="I8" s="684"/>
      <c r="J8" s="685"/>
      <c r="K8" s="44">
        <f>E10*G10*H10</f>
        <v>288</v>
      </c>
      <c r="L8" s="239" t="str">
        <f>IFERROR(VLOOKUP($C8,'SINAPI MAIO 2020'!$1:$1048576,3,0),IFERROR(VLOOKUP($C8,'6-COMP. PROPRIA'!$B$1:$I$808,5,0),""))</f>
        <v>H</v>
      </c>
      <c r="M8" s="44"/>
      <c r="N8" s="112"/>
    </row>
    <row r="9" spans="2:14" ht="30.75" customHeight="1">
      <c r="B9" s="166" t="s">
        <v>908</v>
      </c>
      <c r="C9" s="20"/>
      <c r="D9" s="20"/>
      <c r="E9" s="75" t="s">
        <v>910</v>
      </c>
      <c r="F9" s="312"/>
      <c r="G9" s="311" t="s">
        <v>911</v>
      </c>
      <c r="H9" s="309" t="s">
        <v>992</v>
      </c>
      <c r="I9" s="312"/>
      <c r="J9" s="103"/>
      <c r="K9" s="211"/>
      <c r="L9" s="239" t="str">
        <f>IFERROR(VLOOKUP($C9,'SINAPI MAIO 2020'!$1:$1048576,3,0),IFERROR(VLOOKUP($C9,'6-COMP. PROPRIA'!$B$1:$I$808,5,0),""))</f>
        <v/>
      </c>
      <c r="M9" s="104"/>
      <c r="N9" s="105"/>
    </row>
    <row r="10" spans="2:14" ht="31.5" customHeight="1">
      <c r="B10" s="164"/>
      <c r="C10" s="20"/>
      <c r="D10" s="20"/>
      <c r="E10" s="113">
        <v>6</v>
      </c>
      <c r="F10" s="312"/>
      <c r="G10" s="63">
        <v>1</v>
      </c>
      <c r="H10" s="312">
        <v>48</v>
      </c>
      <c r="I10" s="312"/>
      <c r="J10" s="103"/>
      <c r="K10" s="211">
        <f>E10*G10</f>
        <v>6</v>
      </c>
      <c r="L10" s="239" t="str">
        <f>IFERROR(VLOOKUP($C10,'SINAPI MAIO 2020'!$1:$1048576,3,0),IFERROR(VLOOKUP($C10,'6-COMP. PROPRIA'!$B$1:$I$808,5,0),""))</f>
        <v/>
      </c>
      <c r="M10" s="104"/>
      <c r="N10" s="105"/>
    </row>
    <row r="11" spans="2:14" ht="17.25" customHeight="1">
      <c r="B11" s="164"/>
      <c r="C11" s="20"/>
      <c r="D11" s="20"/>
      <c r="E11" s="114"/>
      <c r="F11" s="312"/>
      <c r="G11" s="312"/>
      <c r="H11" s="312"/>
      <c r="I11" s="312"/>
      <c r="J11" s="103"/>
      <c r="K11" s="211"/>
      <c r="L11" s="239" t="str">
        <f>IFERROR(VLOOKUP($C11,'SINAPI MAIO 2020'!$1:$1048576,3,0),IFERROR(VLOOKUP($C11,'6-COMP. PROPRIA'!$B$1:$I$808,5,0),""))</f>
        <v/>
      </c>
      <c r="M11" s="104"/>
      <c r="N11" s="105"/>
    </row>
    <row r="12" spans="2:14" ht="17.25" customHeight="1">
      <c r="B12" s="164"/>
      <c r="C12" s="70">
        <v>93572</v>
      </c>
      <c r="D12" s="70" t="s">
        <v>8</v>
      </c>
      <c r="E12" s="683" t="str">
        <f>IFERROR(VLOOKUP($C12,'SINAPI MAIO 2020'!$1:$1048576,2,0),IFERROR(VLOOKUP($C12,'6-COMP. PROPRIA'!$B$1:$I$808,4,0),""))</f>
        <v>ENCARREGADO GERAL DE OBRAS COM ENCARGOS COMPLEMENTARES</v>
      </c>
      <c r="F12" s="684"/>
      <c r="G12" s="684"/>
      <c r="H12" s="684"/>
      <c r="I12" s="684"/>
      <c r="J12" s="685"/>
      <c r="K12" s="212">
        <f>SUM(K14:K15)</f>
        <v>6</v>
      </c>
      <c r="L12" s="239" t="str">
        <f>IFERROR(VLOOKUP($C12,'SINAPI MAIO 2020'!$1:$1048576,3,0),IFERROR(VLOOKUP($C12,'6-COMP. PROPRIA'!$B$1:$I$808,5,0),""))</f>
        <v>MES</v>
      </c>
      <c r="M12" s="104"/>
      <c r="N12" s="105"/>
    </row>
    <row r="13" spans="2:14" ht="24" customHeight="1">
      <c r="B13" s="166"/>
      <c r="C13" s="20"/>
      <c r="D13" s="20"/>
      <c r="E13" s="75" t="s">
        <v>910</v>
      </c>
      <c r="F13" s="312"/>
      <c r="G13" s="311" t="s">
        <v>911</v>
      </c>
      <c r="H13" s="312"/>
      <c r="I13" s="312"/>
      <c r="J13" s="103"/>
      <c r="K13" s="211"/>
      <c r="L13" s="239" t="str">
        <f>IFERROR(VLOOKUP($C13,'SINAPI MAIO 2020'!$1:$1048576,3,0),IFERROR(VLOOKUP($C13,'6-COMP. PROPRIA'!$B$1:$I$808,5,0),""))</f>
        <v/>
      </c>
      <c r="M13" s="104"/>
      <c r="N13" s="105"/>
    </row>
    <row r="14" spans="2:14" ht="17.25" customHeight="1">
      <c r="B14" s="164"/>
      <c r="C14" s="20"/>
      <c r="D14" s="20"/>
      <c r="E14" s="113">
        <v>6</v>
      </c>
      <c r="F14" s="312"/>
      <c r="G14" s="63">
        <v>1</v>
      </c>
      <c r="H14" s="312"/>
      <c r="I14" s="312"/>
      <c r="J14" s="103"/>
      <c r="K14" s="211">
        <f>E14*G14</f>
        <v>6</v>
      </c>
      <c r="L14" s="239" t="str">
        <f>IFERROR(VLOOKUP($C14,'SINAPI MAIO 2020'!$1:$1048576,3,0),IFERROR(VLOOKUP($C14,'6-COMP. PROPRIA'!$B$1:$I$808,5,0),""))</f>
        <v/>
      </c>
      <c r="M14" s="104"/>
      <c r="N14" s="105"/>
    </row>
    <row r="15" spans="2:14" ht="17.25" customHeight="1">
      <c r="B15" s="164"/>
      <c r="C15" s="20"/>
      <c r="D15" s="20"/>
      <c r="E15" s="114"/>
      <c r="F15" s="312"/>
      <c r="G15" s="312"/>
      <c r="H15" s="312"/>
      <c r="I15" s="312"/>
      <c r="J15" s="103"/>
      <c r="K15" s="211"/>
      <c r="L15" s="239" t="str">
        <f>IFERROR(VLOOKUP($C15,'SINAPI MAIO 2020'!$1:$1048576,3,0),IFERROR(VLOOKUP($C15,'6-COMP. PROPRIA'!$B$1:$I$808,5,0),""))</f>
        <v/>
      </c>
      <c r="M15" s="104"/>
      <c r="N15" s="105"/>
    </row>
    <row r="16" spans="2:14" ht="17.25" customHeight="1">
      <c r="B16" s="164"/>
      <c r="C16" s="20"/>
      <c r="D16" s="20"/>
      <c r="E16" s="114"/>
      <c r="F16" s="312"/>
      <c r="G16" s="312"/>
      <c r="H16" s="312"/>
      <c r="I16" s="312"/>
      <c r="J16" s="103"/>
      <c r="K16" s="211"/>
      <c r="L16" s="239" t="str">
        <f>IFERROR(VLOOKUP($C16,'SINAPI MAIO 2020'!$1:$1048576,3,0),IFERROR(VLOOKUP($C16,'6-COMP. PROPRIA'!$B$1:$I$808,5,0),""))</f>
        <v/>
      </c>
      <c r="M16" s="104"/>
      <c r="N16" s="105"/>
    </row>
    <row r="17" spans="2:15" ht="17.25" customHeight="1">
      <c r="B17" s="164"/>
      <c r="C17" s="20">
        <v>88326</v>
      </c>
      <c r="D17" s="70" t="s">
        <v>8</v>
      </c>
      <c r="E17" s="683" t="str">
        <f>IFERROR(VLOOKUP($C17,'SINAPI MAIO 2020'!$1:$1048576,2,0),IFERROR(VLOOKUP($C17,'6-COMP. PROPRIA'!$B$1:$I$808,4,0),""))</f>
        <v>VIGIA NOTURNO COM ENCARGOS COMPLEMENTARES</v>
      </c>
      <c r="F17" s="684"/>
      <c r="G17" s="684"/>
      <c r="H17" s="684"/>
      <c r="I17" s="684"/>
      <c r="J17" s="685"/>
      <c r="K17" s="212">
        <f>SUM(K19:K20)</f>
        <v>2016</v>
      </c>
      <c r="L17" s="239" t="str">
        <f>IFERROR(VLOOKUP($C17,'SINAPI MAIO 2020'!$1:$1048576,3,0),IFERROR(VLOOKUP($C17,'6-COMP. PROPRIA'!$B$1:$I$808,5,0),""))</f>
        <v>H</v>
      </c>
      <c r="M17" s="104"/>
      <c r="N17" s="105"/>
    </row>
    <row r="18" spans="2:15" ht="30" customHeight="1">
      <c r="B18" s="166" t="s">
        <v>909</v>
      </c>
      <c r="C18" s="20"/>
      <c r="D18" s="20"/>
      <c r="E18" s="75" t="s">
        <v>910</v>
      </c>
      <c r="F18" s="309" t="s">
        <v>915</v>
      </c>
      <c r="G18" s="309" t="s">
        <v>916</v>
      </c>
      <c r="H18" s="309" t="s">
        <v>912</v>
      </c>
      <c r="I18" s="311" t="s">
        <v>911</v>
      </c>
      <c r="J18" s="103"/>
      <c r="K18" s="211"/>
      <c r="L18" s="239" t="str">
        <f>IFERROR(VLOOKUP($C18,'SINAPI MAIO 2020'!$1:$1048576,3,0),IFERROR(VLOOKUP($C18,'6-COMP. PROPRIA'!$B$1:$I$808,5,0),""))</f>
        <v/>
      </c>
      <c r="M18" s="104"/>
      <c r="N18" s="105"/>
    </row>
    <row r="19" spans="2:15" ht="17.25" customHeight="1">
      <c r="B19" s="164" t="s">
        <v>913</v>
      </c>
      <c r="C19" s="20"/>
      <c r="D19" s="20"/>
      <c r="E19" s="113">
        <v>6</v>
      </c>
      <c r="F19" s="49">
        <v>12</v>
      </c>
      <c r="G19" s="63">
        <v>20</v>
      </c>
      <c r="H19" s="312">
        <f>F19*G19</f>
        <v>240</v>
      </c>
      <c r="I19" s="63">
        <v>1</v>
      </c>
      <c r="J19" s="103"/>
      <c r="K19" s="211">
        <f>E19*I19*H19</f>
        <v>1440</v>
      </c>
      <c r="L19" s="239" t="str">
        <f>IFERROR(VLOOKUP($C19,'SINAPI MAIO 2020'!$1:$1048576,3,0),IFERROR(VLOOKUP($C19,'6-COMP. PROPRIA'!$B$1:$I$808,5,0),""))</f>
        <v/>
      </c>
      <c r="M19" s="104"/>
      <c r="N19" s="105"/>
    </row>
    <row r="20" spans="2:15" ht="17.25" customHeight="1">
      <c r="B20" s="164" t="s">
        <v>914</v>
      </c>
      <c r="C20" s="20"/>
      <c r="D20" s="20"/>
      <c r="E20" s="113">
        <v>6</v>
      </c>
      <c r="F20" s="312">
        <v>12</v>
      </c>
      <c r="G20" s="63">
        <v>8</v>
      </c>
      <c r="H20" s="312">
        <f>F20*G20</f>
        <v>96</v>
      </c>
      <c r="I20" s="63">
        <v>1</v>
      </c>
      <c r="J20" s="103"/>
      <c r="K20" s="211">
        <f>E20*I20*H20</f>
        <v>576</v>
      </c>
      <c r="L20" s="239" t="str">
        <f>IFERROR(VLOOKUP($C20,'SINAPI MAIO 2020'!$1:$1048576,3,0),IFERROR(VLOOKUP($C20,'6-COMP. PROPRIA'!$B$1:$I$808,5,0),""))</f>
        <v/>
      </c>
      <c r="M20" s="104"/>
      <c r="N20" s="105"/>
    </row>
    <row r="21" spans="2:15" ht="17.25" customHeight="1">
      <c r="B21" s="164"/>
      <c r="C21" s="20"/>
      <c r="D21" s="20"/>
      <c r="E21" s="114"/>
      <c r="F21" s="312"/>
      <c r="G21" s="312"/>
      <c r="H21" s="312"/>
      <c r="I21" s="312"/>
      <c r="J21" s="103"/>
      <c r="K21" s="211"/>
      <c r="L21" s="239" t="str">
        <f>IFERROR(VLOOKUP($C21,'SINAPI MAIO 2020'!$1:$1048576,3,0),IFERROR(VLOOKUP($C21,'6-COMP. PROPRIA'!$B$1:$I$808,5,0),""))</f>
        <v/>
      </c>
      <c r="M21" s="104"/>
      <c r="N21" s="105"/>
    </row>
    <row r="22" spans="2:15" ht="17.25" customHeight="1" thickBot="1">
      <c r="B22" s="164"/>
      <c r="C22" s="20"/>
      <c r="D22" s="20"/>
      <c r="E22" s="114"/>
      <c r="F22" s="312"/>
      <c r="G22" s="312"/>
      <c r="H22" s="312"/>
      <c r="I22" s="312"/>
      <c r="J22" s="103"/>
      <c r="K22" s="211"/>
      <c r="L22" s="239" t="str">
        <f>IFERROR(VLOOKUP($C22,'SINAPI MAIO 2020'!$1:$1048576,3,0),IFERROR(VLOOKUP($C22,'6-COMP. PROPRIA'!$B$1:$I$808,5,0),""))</f>
        <v/>
      </c>
      <c r="M22" s="104"/>
      <c r="N22" s="105"/>
    </row>
    <row r="23" spans="2:15" ht="17.25" customHeight="1" thickBot="1">
      <c r="B23" s="165"/>
      <c r="C23" s="90"/>
      <c r="D23" s="90"/>
      <c r="E23" s="674" t="s">
        <v>933</v>
      </c>
      <c r="F23" s="675"/>
      <c r="G23" s="675"/>
      <c r="H23" s="675"/>
      <c r="I23" s="675"/>
      <c r="J23" s="676"/>
      <c r="K23" s="210"/>
      <c r="L23" s="239" t="str">
        <f>IFERROR(VLOOKUP($C23,'SINAPI MAIO 2020'!$1:$1048576,3,0),IFERROR(VLOOKUP($C23,'6-COMP. PROPRIA'!$B$1:$I$808,5,0),""))</f>
        <v/>
      </c>
      <c r="M23" s="94"/>
      <c r="N23" s="109"/>
    </row>
    <row r="24" spans="2:15" ht="17.25" customHeight="1">
      <c r="B24" s="164"/>
      <c r="C24" s="20"/>
      <c r="D24" s="20"/>
      <c r="E24" s="238"/>
      <c r="F24" s="312"/>
      <c r="G24" s="312"/>
      <c r="H24" s="312"/>
      <c r="I24" s="312"/>
      <c r="J24" s="103"/>
      <c r="K24" s="211"/>
      <c r="L24" s="239" t="str">
        <f>IFERROR(VLOOKUP($C24,'SINAPI MAIO 2020'!$1:$1048576,3,0),IFERROR(VLOOKUP($C24,'6-COMP. PROPRIA'!$B$1:$I$808,5,0),""))</f>
        <v/>
      </c>
      <c r="M24" s="104"/>
      <c r="N24" s="105"/>
    </row>
    <row r="25" spans="2:15" ht="30" customHeight="1">
      <c r="B25" s="166"/>
      <c r="C25" s="275">
        <v>98525</v>
      </c>
      <c r="D25" s="275" t="s">
        <v>8</v>
      </c>
      <c r="E25" s="683" t="str">
        <f>IFERROR(VLOOKUP($C25,'SINAPI MAIO 2020'!$1:$1048576,2,0),IFERROR(VLOOKUP($C25,'6-COMP. PROPRIA'!$B$1:$I$808,4,0),""))</f>
        <v>LIMPEZA MECANIZADA DE CAMADA VEGETAL, VEGETAÇÃO E PEQUENAS ÁRVORES (DIÂMETRO DE TRONCO MENOR QUE 0,20 M), COM TRATOR DE ESTEIRAS.AF_05/2018</v>
      </c>
      <c r="F25" s="684"/>
      <c r="G25" s="684"/>
      <c r="H25" s="684"/>
      <c r="I25" s="684"/>
      <c r="J25" s="685"/>
      <c r="K25" s="213">
        <f>SUM(K27:K30)</f>
        <v>129.06</v>
      </c>
      <c r="L25" s="239" t="str">
        <f>IFERROR(VLOOKUP($C25,'SINAPI MAIO 2020'!$1:$1048576,3,0),IFERROR(VLOOKUP($C25,'6-COMP. PROPRIA'!$B$1:$I$808,5,0),""))</f>
        <v>M2</v>
      </c>
      <c r="M25" s="104"/>
      <c r="N25" s="105"/>
      <c r="O25" s="110"/>
    </row>
    <row r="26" spans="2:15" ht="17.25" customHeight="1">
      <c r="B26" s="167"/>
      <c r="C26" s="20"/>
      <c r="D26" s="20"/>
      <c r="E26" s="72" t="s">
        <v>898</v>
      </c>
      <c r="F26" s="311" t="s">
        <v>899</v>
      </c>
      <c r="G26" s="311" t="s">
        <v>897</v>
      </c>
      <c r="H26" s="312"/>
      <c r="I26" s="312"/>
      <c r="J26" s="319"/>
      <c r="K26" s="211"/>
      <c r="L26" s="239" t="str">
        <f>IFERROR(VLOOKUP($C26,'SINAPI MAIO 2020'!$1:$1048576,3,0),IFERROR(VLOOKUP($C26,'6-COMP. PROPRIA'!$B$1:$I$808,5,0),""))</f>
        <v/>
      </c>
      <c r="M26" s="104"/>
      <c r="N26" s="105"/>
      <c r="O26" s="110"/>
    </row>
    <row r="27" spans="2:15" ht="45" customHeight="1">
      <c r="B27" s="164" t="s">
        <v>6203</v>
      </c>
      <c r="C27" s="40"/>
      <c r="D27" s="40"/>
      <c r="E27" s="73">
        <v>2</v>
      </c>
      <c r="F27" s="63">
        <v>31.83</v>
      </c>
      <c r="G27" s="63">
        <v>1</v>
      </c>
      <c r="H27" s="312"/>
      <c r="I27" s="312"/>
      <c r="J27" s="111"/>
      <c r="K27" s="211">
        <f>E27*F27*G27-J27</f>
        <v>63.66</v>
      </c>
      <c r="L27" s="239" t="str">
        <f>IFERROR(VLOOKUP($C27,'SINAPI MAIO 2020'!$1:$1048576,3,0),IFERROR(VLOOKUP($C27,'6-COMP. PROPRIA'!$B$1:$I$808,5,0),""))</f>
        <v/>
      </c>
      <c r="M27" s="104"/>
      <c r="N27" s="105"/>
      <c r="O27" s="110"/>
    </row>
    <row r="28" spans="2:15" ht="45" customHeight="1">
      <c r="B28" s="164" t="s">
        <v>6202</v>
      </c>
      <c r="C28" s="40"/>
      <c r="D28" s="40"/>
      <c r="E28" s="73">
        <v>2</v>
      </c>
      <c r="F28" s="63">
        <v>32.700000000000003</v>
      </c>
      <c r="G28" s="63">
        <v>1</v>
      </c>
      <c r="H28" s="312"/>
      <c r="I28" s="312"/>
      <c r="J28" s="111"/>
      <c r="K28" s="211">
        <f t="shared" ref="K28:K29" si="0">E28*F28*G28-J28</f>
        <v>65.400000000000006</v>
      </c>
      <c r="L28" s="239" t="str">
        <f>IFERROR(VLOOKUP($C28,'SINAPI MAIO 2020'!$1:$1048576,3,0),IFERROR(VLOOKUP($C28,'6-COMP. PROPRIA'!$B$1:$I$808,5,0),""))</f>
        <v/>
      </c>
      <c r="M28" s="104"/>
      <c r="N28" s="105"/>
      <c r="O28" s="110"/>
    </row>
    <row r="29" spans="2:15" ht="17.25" customHeight="1">
      <c r="B29" s="164"/>
      <c r="C29" s="40"/>
      <c r="D29" s="40"/>
      <c r="E29" s="73"/>
      <c r="F29" s="63"/>
      <c r="G29" s="63"/>
      <c r="H29" s="312"/>
      <c r="I29" s="312"/>
      <c r="J29" s="111"/>
      <c r="K29" s="211">
        <f t="shared" si="0"/>
        <v>0</v>
      </c>
      <c r="L29" s="239" t="str">
        <f>IFERROR(VLOOKUP($C29,'SINAPI MAIO 2020'!$1:$1048576,3,0),IFERROR(VLOOKUP($C29,'6-COMP. PROPRIA'!$B$1:$I$808,5,0),""))</f>
        <v/>
      </c>
      <c r="M29" s="104"/>
      <c r="N29" s="105"/>
      <c r="O29" s="110"/>
    </row>
    <row r="30" spans="2:15" ht="17.25" customHeight="1">
      <c r="B30" s="164"/>
      <c r="C30" s="20"/>
      <c r="D30" s="20"/>
      <c r="E30" s="74"/>
      <c r="F30" s="312"/>
      <c r="G30" s="312"/>
      <c r="H30" s="312"/>
      <c r="I30" s="312"/>
      <c r="J30" s="103"/>
      <c r="K30" s="211">
        <f>F30*G30*H30</f>
        <v>0</v>
      </c>
      <c r="L30" s="239" t="str">
        <f>IFERROR(VLOOKUP($C30,'SINAPI MAIO 2020'!$1:$1048576,3,0),IFERROR(VLOOKUP($C30,'6-COMP. PROPRIA'!$B$1:$I$808,5,0),""))</f>
        <v/>
      </c>
      <c r="M30" s="104"/>
      <c r="N30" s="105"/>
      <c r="O30" s="110"/>
    </row>
    <row r="31" spans="2:15" ht="17.25" customHeight="1">
      <c r="B31" s="164"/>
      <c r="C31" s="20"/>
      <c r="D31" s="20"/>
      <c r="E31" s="74"/>
      <c r="F31" s="312"/>
      <c r="G31" s="312"/>
      <c r="H31" s="312"/>
      <c r="I31" s="312"/>
      <c r="J31" s="103"/>
      <c r="K31" s="211"/>
      <c r="L31" s="239" t="str">
        <f>IFERROR(VLOOKUP($C31,'SINAPI MAIO 2020'!$1:$1048576,3,0),IFERROR(VLOOKUP($C31,'6-COMP. PROPRIA'!$B$1:$I$808,5,0),""))</f>
        <v/>
      </c>
      <c r="M31" s="104"/>
      <c r="N31" s="105"/>
      <c r="O31" s="110"/>
    </row>
    <row r="32" spans="2:15" ht="17.25" customHeight="1">
      <c r="B32" s="164"/>
      <c r="C32" s="275">
        <v>72898</v>
      </c>
      <c r="D32" s="275" t="s">
        <v>8</v>
      </c>
      <c r="E32" s="683" t="str">
        <f>IFERROR(VLOOKUP($C32,'SINAPI MAIO 2020'!$1:$1048576,2,0),IFERROR(VLOOKUP($C32,'6-COMP. PROPRIA'!$B$1:$I$808,4,0),""))</f>
        <v>CARGA E DESCARGA MECANIZADAS DE ENTULHO EM CAMINHAO BASCULANTE 6 M3</v>
      </c>
      <c r="F32" s="684"/>
      <c r="G32" s="684"/>
      <c r="H32" s="684"/>
      <c r="I32" s="684"/>
      <c r="J32" s="685"/>
      <c r="K32" s="212">
        <f>SUM(K34:K35)</f>
        <v>180.684</v>
      </c>
      <c r="L32" s="239" t="str">
        <f>IFERROR(VLOOKUP($C32,'SINAPI MAIO 2020'!$1:$1048576,3,0),IFERROR(VLOOKUP($C32,'6-COMP. PROPRIA'!$B$1:$I$808,5,0),""))</f>
        <v>M3</v>
      </c>
      <c r="M32" s="104"/>
      <c r="N32" s="105"/>
      <c r="O32" s="110"/>
    </row>
    <row r="33" spans="2:15" ht="17.25" customHeight="1">
      <c r="B33" s="167"/>
      <c r="C33" s="20"/>
      <c r="D33" s="20"/>
      <c r="E33" s="75" t="s">
        <v>895</v>
      </c>
      <c r="F33" s="309" t="s">
        <v>896</v>
      </c>
      <c r="G33" s="309" t="s">
        <v>897</v>
      </c>
      <c r="H33" s="309" t="s">
        <v>894</v>
      </c>
      <c r="I33" s="312"/>
      <c r="J33" s="103"/>
      <c r="K33" s="211"/>
      <c r="L33" s="239" t="str">
        <f>IFERROR(VLOOKUP($C33,'SINAPI MAIO 2020'!$1:$1048576,3,0),IFERROR(VLOOKUP($C33,'6-COMP. PROPRIA'!$B$1:$I$808,5,0),""))</f>
        <v/>
      </c>
      <c r="M33" s="104"/>
      <c r="N33" s="105"/>
      <c r="O33" s="110"/>
    </row>
    <row r="34" spans="2:15" ht="17.25" customHeight="1">
      <c r="B34" s="164" t="s">
        <v>6204</v>
      </c>
      <c r="C34" s="40"/>
      <c r="D34" s="40"/>
      <c r="E34" s="73">
        <f>K25</f>
        <v>129.06</v>
      </c>
      <c r="F34" s="63">
        <v>1</v>
      </c>
      <c r="G34" s="63">
        <f>G27</f>
        <v>1</v>
      </c>
      <c r="H34" s="63">
        <v>1.4</v>
      </c>
      <c r="I34" s="312"/>
      <c r="J34" s="103"/>
      <c r="K34" s="211">
        <f>E34*F34*G34*H34</f>
        <v>180.684</v>
      </c>
      <c r="L34" s="239" t="str">
        <f>IFERROR(VLOOKUP($C34,'SINAPI MAIO 2020'!$1:$1048576,3,0),IFERROR(VLOOKUP($C34,'6-COMP. PROPRIA'!$B$1:$I$808,5,0),""))</f>
        <v/>
      </c>
      <c r="M34" s="104"/>
      <c r="N34" s="105"/>
      <c r="O34" s="110"/>
    </row>
    <row r="35" spans="2:15" ht="17.25" customHeight="1">
      <c r="B35" s="164"/>
      <c r="C35" s="20"/>
      <c r="D35" s="20"/>
      <c r="E35" s="73">
        <f>K30</f>
        <v>0</v>
      </c>
      <c r="F35" s="63">
        <v>0</v>
      </c>
      <c r="G35" s="63">
        <f>H30</f>
        <v>0</v>
      </c>
      <c r="H35" s="63">
        <v>0</v>
      </c>
      <c r="I35" s="312"/>
      <c r="J35" s="103"/>
      <c r="K35" s="211">
        <f>E35*F35*G35*H35</f>
        <v>0</v>
      </c>
      <c r="L35" s="239" t="str">
        <f>IFERROR(VLOOKUP($C35,'SINAPI MAIO 2020'!$1:$1048576,3,0),IFERROR(VLOOKUP($C35,'6-COMP. PROPRIA'!$B$1:$I$808,5,0),""))</f>
        <v/>
      </c>
      <c r="M35" s="104"/>
      <c r="N35" s="105"/>
      <c r="O35" s="110"/>
    </row>
    <row r="36" spans="2:15" ht="17.25" customHeight="1">
      <c r="B36" s="164"/>
      <c r="C36" s="20"/>
      <c r="D36" s="20"/>
      <c r="E36" s="74"/>
      <c r="F36" s="312"/>
      <c r="G36" s="312"/>
      <c r="H36" s="312"/>
      <c r="I36" s="312"/>
      <c r="J36" s="103"/>
      <c r="K36" s="211"/>
      <c r="L36" s="239" t="str">
        <f>IFERROR(VLOOKUP($C36,'SINAPI MAIO 2020'!$1:$1048576,3,0),IFERROR(VLOOKUP($C36,'6-COMP. PROPRIA'!$B$1:$I$808,5,0),""))</f>
        <v/>
      </c>
      <c r="M36" s="104"/>
      <c r="N36" s="105"/>
      <c r="O36" s="110"/>
    </row>
    <row r="37" spans="2:15" ht="17.25" customHeight="1">
      <c r="B37" s="164"/>
      <c r="C37" s="20"/>
      <c r="D37" s="20"/>
      <c r="E37" s="74"/>
      <c r="F37" s="312"/>
      <c r="G37" s="312"/>
      <c r="H37" s="312"/>
      <c r="I37" s="312"/>
      <c r="J37" s="103"/>
      <c r="K37" s="211"/>
      <c r="L37" s="239" t="str">
        <f>IFERROR(VLOOKUP($C37,'SINAPI MAIO 2020'!$1:$1048576,3,0),IFERROR(VLOOKUP($C37,'6-COMP. PROPRIA'!$B$1:$I$808,5,0),""))</f>
        <v/>
      </c>
      <c r="M37" s="104"/>
      <c r="N37" s="105"/>
      <c r="O37" s="110"/>
    </row>
    <row r="38" spans="2:15" ht="17.25" customHeight="1">
      <c r="B38" s="164"/>
      <c r="C38" s="274">
        <v>97914</v>
      </c>
      <c r="D38" s="275" t="s">
        <v>8</v>
      </c>
      <c r="E38" s="683" t="str">
        <f>IFERROR(VLOOKUP($C38,'SINAPI MAIO 2020'!$1:$1048576,2,0),IFERROR(VLOOKUP($C38,'6-COMP. PROPRIA'!$B$1:$I$808,4,0),""))</f>
        <v>TRANSPORTE COM CAMINHÃO BASCULANTE DE 6 M3, EM VIA URBANA PAVIMENTADA, DMT ATÉ 30 KM (UNIDADE: M3XKM). AF_01/2018</v>
      </c>
      <c r="F38" s="684"/>
      <c r="G38" s="684"/>
      <c r="H38" s="684"/>
      <c r="I38" s="684"/>
      <c r="J38" s="685"/>
      <c r="K38" s="212">
        <f>SUM(K40:K41)</f>
        <v>4517.1000000000004</v>
      </c>
      <c r="L38" s="239" t="str">
        <f>IFERROR(VLOOKUP($C38,'SINAPI MAIO 2020'!$1:$1048576,3,0),IFERROR(VLOOKUP($C38,'6-COMP. PROPRIA'!$B$1:$I$808,5,0),""))</f>
        <v>M3XKM</v>
      </c>
      <c r="M38" s="104"/>
      <c r="N38" s="105"/>
      <c r="O38" s="110"/>
    </row>
    <row r="39" spans="2:15" ht="17.25" customHeight="1">
      <c r="B39" s="164"/>
      <c r="C39" s="20"/>
      <c r="D39" s="20"/>
      <c r="E39" s="74" t="s">
        <v>6206</v>
      </c>
      <c r="F39" s="311" t="s">
        <v>6205</v>
      </c>
      <c r="G39" s="312"/>
      <c r="H39" s="312"/>
      <c r="I39" s="312"/>
      <c r="J39" s="103"/>
      <c r="K39" s="211"/>
      <c r="L39" s="239" t="str">
        <f>IFERROR(VLOOKUP($C39,'SINAPI MAIO 2020'!$1:$1048576,3,0),IFERROR(VLOOKUP($C39,'6-COMP. PROPRIA'!$B$1:$I$808,5,0),""))</f>
        <v/>
      </c>
      <c r="M39" s="104"/>
      <c r="N39" s="105"/>
      <c r="O39" s="110"/>
    </row>
    <row r="40" spans="2:15" ht="17.25" customHeight="1">
      <c r="B40" s="164"/>
      <c r="C40" s="20"/>
      <c r="D40" s="20"/>
      <c r="E40" s="80">
        <f>K32</f>
        <v>180.684</v>
      </c>
      <c r="F40" s="63">
        <v>25</v>
      </c>
      <c r="G40" s="312"/>
      <c r="H40" s="312"/>
      <c r="I40" s="312"/>
      <c r="J40" s="103"/>
      <c r="K40" s="211">
        <f>E40*F40</f>
        <v>4517.1000000000004</v>
      </c>
      <c r="L40" s="239" t="str">
        <f>IFERROR(VLOOKUP($C40,'SINAPI MAIO 2020'!$1:$1048576,3,0),IFERROR(VLOOKUP($C40,'6-COMP. PROPRIA'!$B$1:$I$808,5,0),""))</f>
        <v/>
      </c>
      <c r="M40" s="104"/>
      <c r="N40" s="105"/>
      <c r="O40" s="110"/>
    </row>
    <row r="41" spans="2:15" ht="17.25" customHeight="1">
      <c r="B41" s="164"/>
      <c r="C41" s="20"/>
      <c r="D41" s="20"/>
      <c r="E41" s="74"/>
      <c r="F41" s="312"/>
      <c r="G41" s="312"/>
      <c r="H41" s="312"/>
      <c r="I41" s="312"/>
      <c r="J41" s="103"/>
      <c r="K41" s="211"/>
      <c r="L41" s="239" t="str">
        <f>IFERROR(VLOOKUP($C41,'SINAPI MAIO 2020'!$1:$1048576,3,0),IFERROR(VLOOKUP($C41,'6-COMP. PROPRIA'!$B$1:$I$808,5,0),""))</f>
        <v/>
      </c>
      <c r="M41" s="104"/>
      <c r="N41" s="105"/>
      <c r="O41" s="110"/>
    </row>
    <row r="42" spans="2:15" ht="17.25" customHeight="1">
      <c r="B42" s="164"/>
      <c r="C42" s="20"/>
      <c r="D42" s="20"/>
      <c r="E42" s="78"/>
      <c r="F42" s="52"/>
      <c r="G42" s="52"/>
      <c r="H42" s="52"/>
      <c r="I42" s="41"/>
      <c r="J42" s="77"/>
      <c r="K42" s="211"/>
      <c r="L42" s="239" t="str">
        <f>IFERROR(VLOOKUP($C42,'SINAPI MAIO 2020'!$1:$1048576,3,0),IFERROR(VLOOKUP($C42,'6-COMP. PROPRIA'!$B$1:$I$808,5,0),""))</f>
        <v/>
      </c>
      <c r="M42" s="104"/>
      <c r="N42" s="105"/>
      <c r="O42" s="110"/>
    </row>
    <row r="43" spans="2:15" ht="17.25" customHeight="1">
      <c r="B43" s="164"/>
      <c r="C43" s="275">
        <v>98459</v>
      </c>
      <c r="D43" s="275" t="s">
        <v>8</v>
      </c>
      <c r="E43" s="683" t="str">
        <f>IFERROR(VLOOKUP($C43,'SINAPI MAIO 2020'!$1:$1048576,2,0),IFERROR(VLOOKUP($C43,'6-COMP. PROPRIA'!$B$1:$I$808,4,0),""))</f>
        <v>TAPUME COM TELHA METÁLICA. AF_05/2018</v>
      </c>
      <c r="F43" s="684"/>
      <c r="G43" s="684"/>
      <c r="H43" s="684"/>
      <c r="I43" s="684"/>
      <c r="J43" s="685"/>
      <c r="K43" s="212">
        <f>SUM(K45:K46)</f>
        <v>168</v>
      </c>
      <c r="L43" s="239" t="str">
        <f>IFERROR(VLOOKUP($C43,'SINAPI MAIO 2020'!$1:$1048576,3,0),IFERROR(VLOOKUP($C43,'6-COMP. PROPRIA'!$B$1:$I$808,5,0),""))</f>
        <v>M2</v>
      </c>
      <c r="M43" s="64"/>
      <c r="N43" s="55"/>
      <c r="O43" s="110"/>
    </row>
    <row r="44" spans="2:15" ht="17.25" customHeight="1">
      <c r="B44" s="166"/>
      <c r="C44" s="20"/>
      <c r="D44" s="20"/>
      <c r="E44" s="75" t="s">
        <v>901</v>
      </c>
      <c r="F44" s="309" t="s">
        <v>903</v>
      </c>
      <c r="G44" s="309" t="s">
        <v>902</v>
      </c>
      <c r="H44" s="52"/>
      <c r="I44" s="41"/>
      <c r="J44" s="77"/>
      <c r="K44" s="211"/>
      <c r="L44" s="239" t="str">
        <f>IFERROR(VLOOKUP($C44,'SINAPI MAIO 2020'!$1:$1048576,3,0),IFERROR(VLOOKUP($C44,'6-COMP. PROPRIA'!$B$1:$I$808,5,0),""))</f>
        <v/>
      </c>
      <c r="M44" s="64"/>
      <c r="N44" s="55"/>
      <c r="O44" s="110"/>
    </row>
    <row r="45" spans="2:15" ht="17.25" customHeight="1">
      <c r="B45" s="164" t="s">
        <v>6200</v>
      </c>
      <c r="C45" s="20"/>
      <c r="D45" s="20"/>
      <c r="E45" s="79">
        <v>30</v>
      </c>
      <c r="F45" s="65">
        <v>2.8</v>
      </c>
      <c r="G45" s="65">
        <v>1</v>
      </c>
      <c r="H45" s="52"/>
      <c r="I45" s="41"/>
      <c r="J45" s="77"/>
      <c r="K45" s="211">
        <f>E45*F45*G45</f>
        <v>84</v>
      </c>
      <c r="L45" s="239" t="str">
        <f>IFERROR(VLOOKUP($C45,'SINAPI MAIO 2020'!$1:$1048576,3,0),IFERROR(VLOOKUP($C45,'6-COMP. PROPRIA'!$B$1:$I$808,5,0),""))</f>
        <v/>
      </c>
      <c r="M45" s="64"/>
      <c r="N45" s="55"/>
      <c r="O45" s="110"/>
    </row>
    <row r="46" spans="2:15" ht="17.25" customHeight="1">
      <c r="B46" s="164" t="s">
        <v>6201</v>
      </c>
      <c r="C46" s="20"/>
      <c r="D46" s="20"/>
      <c r="E46" s="79">
        <v>30</v>
      </c>
      <c r="F46" s="65">
        <v>2.8</v>
      </c>
      <c r="G46" s="65">
        <v>1</v>
      </c>
      <c r="H46" s="52"/>
      <c r="I46" s="41"/>
      <c r="J46" s="77"/>
      <c r="K46" s="211">
        <f>E46*F46*G46</f>
        <v>84</v>
      </c>
      <c r="L46" s="239" t="str">
        <f>IFERROR(VLOOKUP($C46,'SINAPI MAIO 2020'!$1:$1048576,3,0),IFERROR(VLOOKUP($C46,'6-COMP. PROPRIA'!$B$1:$I$808,5,0),""))</f>
        <v/>
      </c>
      <c r="M46" s="64"/>
      <c r="N46" s="55"/>
      <c r="O46" s="110"/>
    </row>
    <row r="47" spans="2:15" ht="17.25" customHeight="1">
      <c r="B47" s="164"/>
      <c r="C47" s="20"/>
      <c r="D47" s="20"/>
      <c r="E47" s="78"/>
      <c r="F47" s="52"/>
      <c r="G47" s="52"/>
      <c r="H47" s="52"/>
      <c r="I47" s="41"/>
      <c r="J47" s="77"/>
      <c r="K47" s="214"/>
      <c r="L47" s="239" t="str">
        <f>IFERROR(VLOOKUP($C47,'SINAPI MAIO 2020'!$1:$1048576,3,0),IFERROR(VLOOKUP($C47,'6-COMP. PROPRIA'!$B$1:$I$808,5,0),""))</f>
        <v/>
      </c>
      <c r="M47" s="64"/>
      <c r="N47" s="55"/>
      <c r="O47" s="110"/>
    </row>
    <row r="48" spans="2:15" ht="17.25" customHeight="1">
      <c r="B48" s="164"/>
      <c r="C48" s="20"/>
      <c r="D48" s="20"/>
      <c r="E48" s="76"/>
      <c r="F48" s="312"/>
      <c r="G48" s="312"/>
      <c r="H48" s="312"/>
      <c r="I48" s="312"/>
      <c r="J48" s="103"/>
      <c r="K48" s="211"/>
      <c r="L48" s="239" t="str">
        <f>IFERROR(VLOOKUP($C48,'SINAPI MAIO 2020'!$1:$1048576,3,0),IFERROR(VLOOKUP($C48,'6-COMP. PROPRIA'!$B$1:$I$808,5,0),""))</f>
        <v/>
      </c>
      <c r="M48" s="104"/>
      <c r="N48" s="105"/>
      <c r="O48" s="110"/>
    </row>
    <row r="49" spans="2:15" ht="17.25" customHeight="1">
      <c r="B49" s="164"/>
      <c r="C49" s="275" t="s">
        <v>12440</v>
      </c>
      <c r="D49" s="275" t="s">
        <v>980</v>
      </c>
      <c r="E49" s="683" t="str">
        <f>IFERROR(VLOOKUP($C49,'SINAPI MAIO 2020'!$1:$1048576,2,0),IFERROR(VLOOKUP($C49,'6-COMP. PROPRIA'!$B$1:$I$808,4,0),""))</f>
        <v>PLACA DE OBRA EM CHAPA DE AÇO GALVANIZADO</v>
      </c>
      <c r="F49" s="684"/>
      <c r="G49" s="684"/>
      <c r="H49" s="684"/>
      <c r="I49" s="684"/>
      <c r="J49" s="685"/>
      <c r="K49" s="212">
        <f>SUM(K51:K51)</f>
        <v>3.125</v>
      </c>
      <c r="L49" s="239" t="str">
        <f>IFERROR(VLOOKUP($C49,'SINAPI MAIO 2020'!$1:$1048576,3,0),IFERROR(VLOOKUP($C49,'6-COMP. PROPRIA'!$B$1:$I$808,5,0),""))</f>
        <v xml:space="preserve">M2    </v>
      </c>
      <c r="M49" s="104"/>
      <c r="N49" s="105"/>
      <c r="O49" s="110"/>
    </row>
    <row r="50" spans="2:15" ht="28.5" customHeight="1">
      <c r="B50" s="166" t="s">
        <v>4687</v>
      </c>
      <c r="C50" s="20"/>
      <c r="D50" s="20"/>
      <c r="E50" s="75" t="s">
        <v>901</v>
      </c>
      <c r="F50" s="309" t="s">
        <v>905</v>
      </c>
      <c r="G50" s="309" t="s">
        <v>902</v>
      </c>
      <c r="H50" s="312"/>
      <c r="I50" s="312"/>
      <c r="J50" s="103"/>
      <c r="K50" s="211"/>
      <c r="L50" s="239" t="str">
        <f>IFERROR(VLOOKUP($C50,'SINAPI MAIO 2020'!$1:$1048576,3,0),IFERROR(VLOOKUP($C50,'6-COMP. PROPRIA'!$B$1:$I$808,5,0),""))</f>
        <v/>
      </c>
      <c r="M50" s="104"/>
      <c r="N50" s="105"/>
      <c r="O50" s="110"/>
    </row>
    <row r="51" spans="2:15" ht="17.25" customHeight="1">
      <c r="B51" s="164"/>
      <c r="C51" s="20"/>
      <c r="D51" s="20"/>
      <c r="E51" s="80">
        <v>2.5</v>
      </c>
      <c r="F51" s="63">
        <v>1.25</v>
      </c>
      <c r="G51" s="63">
        <v>1</v>
      </c>
      <c r="H51" s="312"/>
      <c r="I51" s="312"/>
      <c r="J51" s="103"/>
      <c r="K51" s="211">
        <f>E51*F51*G51</f>
        <v>3.125</v>
      </c>
      <c r="L51" s="239" t="str">
        <f>IFERROR(VLOOKUP($C51,'SINAPI MAIO 2020'!$1:$1048576,3,0),IFERROR(VLOOKUP($C51,'6-COMP. PROPRIA'!$B$1:$I$808,5,0),""))</f>
        <v/>
      </c>
      <c r="M51" s="104"/>
      <c r="N51" s="105"/>
      <c r="O51" s="110"/>
    </row>
    <row r="52" spans="2:15" ht="17.25" customHeight="1">
      <c r="B52" s="164"/>
      <c r="C52" s="20"/>
      <c r="D52" s="20"/>
      <c r="E52" s="74"/>
      <c r="F52" s="312"/>
      <c r="G52" s="312"/>
      <c r="H52" s="312"/>
      <c r="I52" s="312"/>
      <c r="J52" s="103"/>
      <c r="K52" s="211"/>
      <c r="L52" s="239" t="str">
        <f>IFERROR(VLOOKUP($C52,'SINAPI MAIO 2020'!$1:$1048576,3,0),IFERROR(VLOOKUP($C52,'6-COMP. PROPRIA'!$B$1:$I$808,5,0),""))</f>
        <v/>
      </c>
      <c r="M52" s="104"/>
      <c r="N52" s="105"/>
      <c r="O52" s="110"/>
    </row>
    <row r="53" spans="2:15" ht="17.25" customHeight="1">
      <c r="B53" s="164"/>
      <c r="C53" s="20"/>
      <c r="D53" s="20"/>
      <c r="E53" s="238"/>
      <c r="F53" s="312"/>
      <c r="G53" s="312"/>
      <c r="H53" s="312"/>
      <c r="I53" s="312"/>
      <c r="J53" s="103"/>
      <c r="K53" s="211"/>
      <c r="L53" s="239" t="str">
        <f>IFERROR(VLOOKUP($C53,'SINAPI MAIO 2020'!$1:$1048576,3,0),IFERROR(VLOOKUP($C53,'6-COMP. PROPRIA'!$B$1:$I$808,5,0),""))</f>
        <v/>
      </c>
      <c r="M53" s="104"/>
      <c r="N53" s="105"/>
      <c r="O53" s="110"/>
    </row>
    <row r="54" spans="2:15" ht="17.25" customHeight="1" thickBot="1">
      <c r="B54" s="164"/>
      <c r="C54" s="20"/>
      <c r="D54" s="20"/>
      <c r="E54" s="238"/>
      <c r="F54" s="45"/>
      <c r="G54" s="45"/>
      <c r="H54" s="45"/>
      <c r="I54" s="45"/>
      <c r="J54" s="120"/>
      <c r="K54" s="215"/>
      <c r="L54" s="239" t="str">
        <f>IFERROR(VLOOKUP($C54,'SINAPI MAIO 2020'!$1:$1048576,3,0),IFERROR(VLOOKUP($C54,'6-COMP. PROPRIA'!$B$1:$I$808,5,0),""))</f>
        <v/>
      </c>
      <c r="M54" s="94"/>
      <c r="N54" s="59"/>
    </row>
    <row r="55" spans="2:15" ht="17.25" customHeight="1" thickBot="1">
      <c r="B55" s="241"/>
      <c r="C55" s="110"/>
      <c r="D55" s="325"/>
      <c r="E55" s="674" t="s">
        <v>994</v>
      </c>
      <c r="F55" s="675"/>
      <c r="G55" s="675"/>
      <c r="H55" s="675"/>
      <c r="I55" s="675"/>
      <c r="J55" s="676"/>
      <c r="K55" s="210"/>
      <c r="L55" s="239" t="str">
        <f>IFERROR(VLOOKUP($C55,'SINAPI MAIO 2020'!$1:$1048576,3,0),IFERROR(VLOOKUP($C55,'6-COMP. PROPRIA'!$B$1:$I$808,5,0),""))</f>
        <v/>
      </c>
      <c r="M55" s="94"/>
      <c r="N55" s="109"/>
    </row>
    <row r="56" spans="2:15" ht="17.25" customHeight="1">
      <c r="B56" s="164"/>
      <c r="C56" s="20"/>
      <c r="D56" s="20"/>
      <c r="E56" s="78"/>
      <c r="F56" s="52"/>
      <c r="G56" s="52"/>
      <c r="H56" s="52"/>
      <c r="I56" s="52"/>
      <c r="J56" s="81"/>
      <c r="K56" s="211"/>
      <c r="L56" s="239" t="str">
        <f>IFERROR(VLOOKUP($C56,'SINAPI MAIO 2020'!$1:$1048576,3,0),IFERROR(VLOOKUP($C56,'6-COMP. PROPRIA'!$B$1:$I$808,5,0),""))</f>
        <v/>
      </c>
      <c r="M56" s="104"/>
      <c r="N56" s="105"/>
    </row>
    <row r="57" spans="2:15" ht="17.25" customHeight="1">
      <c r="B57" s="164"/>
      <c r="C57" s="20"/>
      <c r="D57" s="20"/>
      <c r="E57" s="115"/>
      <c r="F57" s="45"/>
      <c r="G57" s="45"/>
      <c r="H57" s="45"/>
      <c r="I57" s="45"/>
      <c r="J57" s="120"/>
      <c r="K57" s="215"/>
      <c r="L57" s="239" t="str">
        <f>IFERROR(VLOOKUP($C57,'SINAPI MAIO 2020'!$1:$1048576,3,0),IFERROR(VLOOKUP($C57,'6-COMP. PROPRIA'!$B$1:$I$808,5,0),""))</f>
        <v/>
      </c>
      <c r="M57" s="94"/>
      <c r="N57" s="105"/>
    </row>
    <row r="58" spans="2:15" ht="17.25" customHeight="1">
      <c r="B58" s="164" t="s">
        <v>4691</v>
      </c>
      <c r="C58" s="274">
        <v>97647</v>
      </c>
      <c r="D58" s="275" t="s">
        <v>8</v>
      </c>
      <c r="E58" s="683" t="str">
        <f>IFERROR(VLOOKUP($C58,'SINAPI MAIO 2020'!$1:$1048576,2,0),IFERROR(VLOOKUP($C58,'6-COMP. PROPRIA'!$B$1:$I$808,4,0),""))</f>
        <v>REMOÇÃO DE TELHAS, DE FIBROCIMENTO, METÁLICA E CERÂMICA, DE FORMA MANUAL, SEM REAPROVEITAMENTO. AF_12/2017</v>
      </c>
      <c r="F58" s="684"/>
      <c r="G58" s="684"/>
      <c r="H58" s="684"/>
      <c r="I58" s="684"/>
      <c r="J58" s="685"/>
      <c r="K58" s="212">
        <f>SUM(K60:K61)</f>
        <v>383.21064000000001</v>
      </c>
      <c r="L58" s="239" t="str">
        <f>IFERROR(VLOOKUP($C58,'SINAPI MAIO 2020'!$1:$1048576,3,0),IFERROR(VLOOKUP($C58,'6-COMP. PROPRIA'!$B$1:$I$808,5,0),""))</f>
        <v>M2</v>
      </c>
      <c r="M58" s="43">
        <f>K58*0.03</f>
        <v>11.4963192</v>
      </c>
      <c r="N58" s="121" t="s">
        <v>41</v>
      </c>
    </row>
    <row r="59" spans="2:15" ht="17.25" customHeight="1">
      <c r="B59" s="164"/>
      <c r="C59" s="20"/>
      <c r="D59" s="20"/>
      <c r="E59" s="75" t="s">
        <v>984</v>
      </c>
      <c r="F59" s="309" t="s">
        <v>985</v>
      </c>
      <c r="G59" s="309" t="s">
        <v>920</v>
      </c>
      <c r="H59" s="309" t="s">
        <v>927</v>
      </c>
      <c r="I59" s="312"/>
      <c r="J59" s="103"/>
      <c r="K59" s="215"/>
      <c r="L59" s="239" t="str">
        <f>IFERROR(VLOOKUP($C59,'SINAPI MAIO 2020'!$1:$1048576,3,0),IFERROR(VLOOKUP($C59,'6-COMP. PROPRIA'!$B$1:$I$808,5,0),""))</f>
        <v/>
      </c>
      <c r="M59" s="118"/>
      <c r="N59" s="59"/>
    </row>
    <row r="60" spans="2:15" ht="17.25" customHeight="1">
      <c r="B60" s="153" t="s">
        <v>6051</v>
      </c>
      <c r="C60" s="20"/>
      <c r="D60" s="20"/>
      <c r="E60" s="102">
        <v>190</v>
      </c>
      <c r="F60" s="63">
        <v>1</v>
      </c>
      <c r="G60" s="63">
        <v>1</v>
      </c>
      <c r="H60" s="63">
        <v>1.044</v>
      </c>
      <c r="I60" s="49"/>
      <c r="J60" s="119"/>
      <c r="K60" s="216">
        <f>E60*F60*G60*H60</f>
        <v>198.36</v>
      </c>
      <c r="L60" s="239" t="str">
        <f>IFERROR(VLOOKUP($C60,'SINAPI MAIO 2020'!$1:$1048576,3,0),IFERROR(VLOOKUP($C60,'6-COMP. PROPRIA'!$B$1:$I$808,5,0),""))</f>
        <v/>
      </c>
      <c r="M60" s="94"/>
      <c r="N60" s="105"/>
    </row>
    <row r="61" spans="2:15" ht="17.25" customHeight="1">
      <c r="B61" s="153" t="s">
        <v>6056</v>
      </c>
      <c r="C61" s="70"/>
      <c r="D61" s="20"/>
      <c r="E61" s="102">
        <f>71.25+62.13+43.68</f>
        <v>177.06</v>
      </c>
      <c r="F61" s="63">
        <v>1</v>
      </c>
      <c r="G61" s="63">
        <v>1</v>
      </c>
      <c r="H61" s="63">
        <v>1.044</v>
      </c>
      <c r="I61" s="49"/>
      <c r="J61" s="119"/>
      <c r="K61" s="216">
        <f>E61*F61*G61*H61</f>
        <v>184.85064</v>
      </c>
      <c r="L61" s="239" t="str">
        <f>IFERROR(VLOOKUP($C61,'SINAPI MAIO 2020'!$1:$1048576,3,0),IFERROR(VLOOKUP($C61,'6-COMP. PROPRIA'!$B$1:$I$808,5,0),""))</f>
        <v/>
      </c>
      <c r="M61" s="94"/>
      <c r="N61" s="105"/>
    </row>
    <row r="62" spans="2:15" ht="17.25" customHeight="1">
      <c r="B62" s="164"/>
      <c r="C62" s="20"/>
      <c r="D62" s="20"/>
      <c r="E62" s="102"/>
      <c r="F62" s="63"/>
      <c r="G62" s="63"/>
      <c r="H62" s="63"/>
      <c r="I62" s="49"/>
      <c r="J62" s="119"/>
      <c r="K62" s="216"/>
      <c r="L62" s="239" t="str">
        <f>IFERROR(VLOOKUP($C62,'SINAPI MAIO 2020'!$1:$1048576,3,0),IFERROR(VLOOKUP($C62,'6-COMP. PROPRIA'!$B$1:$I$808,5,0),""))</f>
        <v/>
      </c>
      <c r="M62" s="94"/>
      <c r="N62" s="105"/>
    </row>
    <row r="63" spans="2:15" ht="17.25" customHeight="1">
      <c r="B63" s="164"/>
      <c r="C63" s="20"/>
      <c r="D63" s="20"/>
      <c r="E63" s="102"/>
      <c r="F63" s="63"/>
      <c r="G63" s="63"/>
      <c r="H63" s="63"/>
      <c r="I63" s="49"/>
      <c r="J63" s="119"/>
      <c r="K63" s="216"/>
      <c r="L63" s="239" t="str">
        <f>IFERROR(VLOOKUP($C63,'SINAPI MAIO 2020'!$1:$1048576,3,0),IFERROR(VLOOKUP($C63,'6-COMP. PROPRIA'!$B$1:$I$808,5,0),""))</f>
        <v/>
      </c>
      <c r="M63" s="94"/>
      <c r="N63" s="105"/>
    </row>
    <row r="64" spans="2:15" ht="17.25" customHeight="1">
      <c r="B64" s="164"/>
      <c r="C64" s="20"/>
      <c r="D64" s="20"/>
      <c r="E64" s="115"/>
      <c r="F64" s="45"/>
      <c r="G64" s="45"/>
      <c r="H64" s="45"/>
      <c r="I64" s="45"/>
      <c r="J64" s="120"/>
      <c r="K64" s="215"/>
      <c r="L64" s="239" t="str">
        <f>IFERROR(VLOOKUP($C64,'SINAPI MAIO 2020'!$1:$1048576,3,0),IFERROR(VLOOKUP($C64,'6-COMP. PROPRIA'!$B$1:$I$808,5,0),""))</f>
        <v/>
      </c>
      <c r="M64" s="94"/>
      <c r="N64" s="105"/>
    </row>
    <row r="65" spans="2:14" ht="17.25" customHeight="1">
      <c r="B65" s="164"/>
      <c r="C65" s="274" t="str">
        <f>'6-COMP. PROPRIA'!B24</f>
        <v>CP-DEM-1</v>
      </c>
      <c r="D65" s="275" t="s">
        <v>980</v>
      </c>
      <c r="E65" s="683" t="str">
        <f>IFERROR(VLOOKUP($C65,'SINAPI MAIO 2020'!$1:$1048576,2,0),IFERROR(VLOOKUP($C65,'6-COMP. PROPRIA'!$B$1:$I$808,4,0),""))</f>
        <v xml:space="preserve">REMOÇÃO DE FORRO EM MADEIRA OU PVC </v>
      </c>
      <c r="F65" s="684"/>
      <c r="G65" s="684"/>
      <c r="H65" s="684"/>
      <c r="I65" s="684"/>
      <c r="J65" s="685"/>
      <c r="K65" s="212">
        <f>SUM(K67:K69)</f>
        <v>475.97999999999996</v>
      </c>
      <c r="L65" s="239" t="str">
        <f>IFERROR(VLOOKUP($C65,'SINAPI MAIO 2020'!$1:$1048576,3,0),IFERROR(VLOOKUP($C65,'6-COMP. PROPRIA'!$B$1:$I$808,5,0),""))</f>
        <v>M2</v>
      </c>
      <c r="M65" s="43">
        <f>K65*0.01</f>
        <v>4.7597999999999994</v>
      </c>
      <c r="N65" s="121" t="s">
        <v>41</v>
      </c>
    </row>
    <row r="66" spans="2:14" ht="17.25" customHeight="1">
      <c r="B66" s="164"/>
      <c r="C66" s="20"/>
      <c r="D66" s="20"/>
      <c r="E66" s="75" t="s">
        <v>984</v>
      </c>
      <c r="F66" s="309" t="s">
        <v>985</v>
      </c>
      <c r="G66" s="309" t="s">
        <v>920</v>
      </c>
      <c r="H66" s="309"/>
      <c r="I66" s="312"/>
      <c r="J66" s="103"/>
      <c r="K66" s="215"/>
      <c r="L66" s="239" t="str">
        <f>IFERROR(VLOOKUP($C66,'SINAPI MAIO 2020'!$1:$1048576,3,0),IFERROR(VLOOKUP($C66,'6-COMP. PROPRIA'!$B$1:$I$808,5,0),""))</f>
        <v/>
      </c>
      <c r="M66" s="118"/>
      <c r="N66" s="59"/>
    </row>
    <row r="67" spans="2:14" ht="17.25" customHeight="1">
      <c r="B67" s="153" t="s">
        <v>6051</v>
      </c>
      <c r="C67" s="70"/>
      <c r="D67" s="70"/>
      <c r="E67" s="102">
        <f>47.76+50.38+47.36</f>
        <v>145.5</v>
      </c>
      <c r="F67" s="63">
        <v>1</v>
      </c>
      <c r="G67" s="63">
        <v>1</v>
      </c>
      <c r="H67" s="49"/>
      <c r="I67" s="49"/>
      <c r="J67" s="119"/>
      <c r="K67" s="216">
        <f>E67*F67*G67</f>
        <v>145.5</v>
      </c>
      <c r="L67" s="239" t="str">
        <f>IFERROR(VLOOKUP($C67,'SINAPI MAIO 2020'!$1:$1048576,3,0),IFERROR(VLOOKUP($C67,'6-COMP. PROPRIA'!$B$1:$I$808,5,0),""))</f>
        <v/>
      </c>
      <c r="M67" s="118"/>
      <c r="N67" s="105"/>
    </row>
    <row r="68" spans="2:14" ht="17.25" customHeight="1">
      <c r="B68" s="153" t="s">
        <v>6052</v>
      </c>
      <c r="C68" s="70"/>
      <c r="D68" s="70"/>
      <c r="E68" s="102">
        <f>61.93+24.88+3.84+57.1+51.94+45.87+51.94+8.53+8.53</f>
        <v>314.55999999999995</v>
      </c>
      <c r="F68" s="63">
        <v>1</v>
      </c>
      <c r="G68" s="63">
        <v>1</v>
      </c>
      <c r="H68" s="49"/>
      <c r="I68" s="49"/>
      <c r="J68" s="119"/>
      <c r="K68" s="216">
        <f>E68*F68*G68</f>
        <v>314.55999999999995</v>
      </c>
      <c r="L68" s="239" t="str">
        <f>IFERROR(VLOOKUP($C68,'SINAPI MAIO 2020'!$1:$1048576,3,0),IFERROR(VLOOKUP($C68,'6-COMP. PROPRIA'!$B$1:$I$808,5,0),""))</f>
        <v/>
      </c>
      <c r="M68" s="118"/>
      <c r="N68" s="105"/>
    </row>
    <row r="69" spans="2:14" ht="17.25" customHeight="1">
      <c r="B69" s="153" t="s">
        <v>6056</v>
      </c>
      <c r="C69" s="70"/>
      <c r="D69" s="70"/>
      <c r="E69" s="102">
        <v>15.92</v>
      </c>
      <c r="F69" s="63">
        <v>1</v>
      </c>
      <c r="G69" s="63">
        <v>1</v>
      </c>
      <c r="H69" s="49"/>
      <c r="I69" s="49"/>
      <c r="J69" s="119"/>
      <c r="K69" s="216">
        <f>E69*F69*G69</f>
        <v>15.92</v>
      </c>
      <c r="L69" s="239" t="str">
        <f>IFERROR(VLOOKUP($C69,'SINAPI MAIO 2020'!$1:$1048576,3,0),IFERROR(VLOOKUP($C69,'6-COMP. PROPRIA'!$B$1:$I$808,5,0),""))</f>
        <v/>
      </c>
      <c r="M69" s="118"/>
      <c r="N69" s="105"/>
    </row>
    <row r="70" spans="2:14" ht="17.25" customHeight="1">
      <c r="B70" s="153"/>
      <c r="C70" s="20"/>
      <c r="D70" s="20"/>
      <c r="E70" s="238"/>
      <c r="F70" s="45"/>
      <c r="G70" s="45"/>
      <c r="H70" s="45"/>
      <c r="I70" s="45"/>
      <c r="J70" s="120"/>
      <c r="K70" s="215"/>
      <c r="L70" s="239" t="str">
        <f>IFERROR(VLOOKUP($C70,'SINAPI MAIO 2020'!$1:$1048576,3,0),IFERROR(VLOOKUP($C70,'6-COMP. PROPRIA'!$B$1:$I$808,5,0),""))</f>
        <v/>
      </c>
      <c r="M70" s="94"/>
      <c r="N70" s="59"/>
    </row>
    <row r="71" spans="2:14" ht="17.25" customHeight="1">
      <c r="B71" s="164"/>
      <c r="C71" s="274">
        <v>97661</v>
      </c>
      <c r="D71" s="275" t="s">
        <v>8</v>
      </c>
      <c r="E71" s="683" t="str">
        <f>IFERROR(VLOOKUP($C71,'SINAPI MAIO 2020'!$1:$1048576,2,0),IFERROR(VLOOKUP($C71,'6-COMP. PROPRIA'!$B$1:$I$808,4,0),""))</f>
        <v>REMOÇÃO DE CABOS ELÉTRICOS, DE FORMA MANUAL, SEM REAPROVEITAMENTO. AF_12/2017</v>
      </c>
      <c r="F71" s="684"/>
      <c r="G71" s="684"/>
      <c r="H71" s="684"/>
      <c r="I71" s="684"/>
      <c r="J71" s="685"/>
      <c r="K71" s="212">
        <f>SUM(K73:K74)</f>
        <v>700</v>
      </c>
      <c r="L71" s="239" t="str">
        <f>IFERROR(VLOOKUP($C71,'SINAPI MAIO 2020'!$1:$1048576,3,0),IFERROR(VLOOKUP($C71,'6-COMP. PROPRIA'!$B$1:$I$808,5,0),""))</f>
        <v>M</v>
      </c>
      <c r="M71" s="118">
        <f>K71*0.05</f>
        <v>35</v>
      </c>
      <c r="N71" s="59" t="s">
        <v>41</v>
      </c>
    </row>
    <row r="72" spans="2:14" ht="17.25" customHeight="1">
      <c r="B72" s="164"/>
      <c r="C72" s="20"/>
      <c r="D72" s="20"/>
      <c r="E72" s="75" t="s">
        <v>928</v>
      </c>
      <c r="F72" s="311" t="s">
        <v>919</v>
      </c>
      <c r="G72" s="309"/>
      <c r="H72" s="309"/>
      <c r="I72" s="312"/>
      <c r="J72" s="103"/>
      <c r="K72" s="215"/>
      <c r="L72" s="239" t="str">
        <f>IFERROR(VLOOKUP($C72,'SINAPI MAIO 2020'!$1:$1048576,3,0),IFERROR(VLOOKUP($C72,'6-COMP. PROPRIA'!$B$1:$I$808,5,0),""))</f>
        <v/>
      </c>
      <c r="M72" s="118"/>
      <c r="N72" s="59"/>
    </row>
    <row r="73" spans="2:14" ht="17.25" customHeight="1">
      <c r="B73" s="164" t="s">
        <v>6053</v>
      </c>
      <c r="C73" s="70"/>
      <c r="D73" s="70"/>
      <c r="E73" s="102">
        <v>700</v>
      </c>
      <c r="F73" s="63">
        <v>1</v>
      </c>
      <c r="G73" s="49"/>
      <c r="H73" s="49"/>
      <c r="I73" s="49"/>
      <c r="J73" s="119"/>
      <c r="K73" s="216">
        <f>E73*F73</f>
        <v>700</v>
      </c>
      <c r="L73" s="239" t="str">
        <f>IFERROR(VLOOKUP($C73,'SINAPI MAIO 2020'!$1:$1048576,3,0),IFERROR(VLOOKUP($C73,'6-COMP. PROPRIA'!$B$1:$I$808,5,0),""))</f>
        <v/>
      </c>
      <c r="M73" s="94"/>
      <c r="N73" s="59"/>
    </row>
    <row r="74" spans="2:14" ht="17.25" customHeight="1">
      <c r="B74" s="164"/>
      <c r="C74" s="70"/>
      <c r="D74" s="70"/>
      <c r="E74" s="102">
        <v>0</v>
      </c>
      <c r="F74" s="63">
        <v>0</v>
      </c>
      <c r="G74" s="312"/>
      <c r="H74" s="312"/>
      <c r="I74" s="312"/>
      <c r="J74" s="103"/>
      <c r="K74" s="216">
        <f>E74*F74</f>
        <v>0</v>
      </c>
      <c r="L74" s="239" t="str">
        <f>IFERROR(VLOOKUP($C74,'SINAPI MAIO 2020'!$1:$1048576,3,0),IFERROR(VLOOKUP($C74,'6-COMP. PROPRIA'!$B$1:$I$808,5,0),""))</f>
        <v/>
      </c>
      <c r="M74" s="94"/>
      <c r="N74" s="59"/>
    </row>
    <row r="75" spans="2:14" ht="17.25" customHeight="1">
      <c r="B75" s="164"/>
      <c r="C75" s="70"/>
      <c r="D75" s="70"/>
      <c r="E75" s="238"/>
      <c r="F75" s="312"/>
      <c r="G75" s="312"/>
      <c r="H75" s="312"/>
      <c r="I75" s="312"/>
      <c r="J75" s="103"/>
      <c r="K75" s="216"/>
      <c r="L75" s="239" t="str">
        <f>IFERROR(VLOOKUP($C75,'SINAPI MAIO 2020'!$1:$1048576,3,0),IFERROR(VLOOKUP($C75,'6-COMP. PROPRIA'!$B$1:$I$808,5,0),""))</f>
        <v/>
      </c>
      <c r="M75" s="94"/>
      <c r="N75" s="59"/>
    </row>
    <row r="76" spans="2:14" ht="17.25" customHeight="1">
      <c r="B76" s="164"/>
      <c r="C76" s="274">
        <v>97662</v>
      </c>
      <c r="D76" s="275" t="s">
        <v>8</v>
      </c>
      <c r="E76" s="683" t="str">
        <f>IFERROR(VLOOKUP($C76,'SINAPI MAIO 2020'!$1:$1048576,2,0),IFERROR(VLOOKUP($C76,'6-COMP. PROPRIA'!$B$1:$I$808,4,0),""))</f>
        <v>REMOÇÃO DE TUBULAÇÕES (TUBOS E CONEXÕES) DE ÁGUA FRIA, DE FORMA MANUAL, SEM REAPROVEITAMENTO. AF_12/2017</v>
      </c>
      <c r="F76" s="684"/>
      <c r="G76" s="684"/>
      <c r="H76" s="684"/>
      <c r="I76" s="684"/>
      <c r="J76" s="685"/>
      <c r="K76" s="212">
        <f>SUM(K78:K79)</f>
        <v>78.782000000000011</v>
      </c>
      <c r="L76" s="239" t="str">
        <f>IFERROR(VLOOKUP($C76,'SINAPI MAIO 2020'!$1:$1048576,3,0),IFERROR(VLOOKUP($C76,'6-COMP. PROPRIA'!$B$1:$I$808,5,0),""))</f>
        <v>M</v>
      </c>
      <c r="M76" s="118">
        <f>K76*0.25</f>
        <v>19.695500000000003</v>
      </c>
      <c r="N76" s="59" t="s">
        <v>41</v>
      </c>
    </row>
    <row r="77" spans="2:14" ht="17.25" customHeight="1">
      <c r="B77" s="164"/>
      <c r="C77" s="20"/>
      <c r="D77" s="20"/>
      <c r="E77" s="75" t="s">
        <v>928</v>
      </c>
      <c r="F77" s="311" t="s">
        <v>919</v>
      </c>
      <c r="G77" s="309"/>
      <c r="H77" s="309"/>
      <c r="I77" s="312"/>
      <c r="J77" s="103"/>
      <c r="K77" s="215"/>
      <c r="L77" s="239" t="str">
        <f>IFERROR(VLOOKUP($C77,'SINAPI MAIO 2020'!$1:$1048576,3,0),IFERROR(VLOOKUP($C77,'6-COMP. PROPRIA'!$B$1:$I$808,5,0),""))</f>
        <v/>
      </c>
      <c r="M77" s="118"/>
      <c r="N77" s="59"/>
    </row>
    <row r="78" spans="2:14" ht="17.25" customHeight="1">
      <c r="B78" s="284" t="s">
        <v>6054</v>
      </c>
      <c r="C78" s="70"/>
      <c r="D78" s="70"/>
      <c r="E78" s="102">
        <f>((6*2.8)+(5*2.4)+(1*3.2)+3.62+36)*1.1</f>
        <v>78.782000000000011</v>
      </c>
      <c r="F78" s="63">
        <v>1</v>
      </c>
      <c r="G78" s="49"/>
      <c r="H78" s="49"/>
      <c r="I78" s="49"/>
      <c r="J78" s="119"/>
      <c r="K78" s="216">
        <f>E78*F78</f>
        <v>78.782000000000011</v>
      </c>
      <c r="L78" s="239" t="str">
        <f>IFERROR(VLOOKUP($C78,'SINAPI MAIO 2020'!$1:$1048576,3,0),IFERROR(VLOOKUP($C78,'6-COMP. PROPRIA'!$B$1:$I$808,5,0),""))</f>
        <v/>
      </c>
      <c r="M78" s="94"/>
      <c r="N78" s="59"/>
    </row>
    <row r="79" spans="2:14" ht="17.25" customHeight="1">
      <c r="B79" s="164"/>
      <c r="C79" s="70"/>
      <c r="D79" s="70"/>
      <c r="E79" s="102">
        <v>0</v>
      </c>
      <c r="F79" s="63">
        <v>0</v>
      </c>
      <c r="G79" s="312"/>
      <c r="H79" s="312"/>
      <c r="I79" s="312"/>
      <c r="J79" s="103"/>
      <c r="K79" s="216">
        <f>E79*F79</f>
        <v>0</v>
      </c>
      <c r="L79" s="239" t="str">
        <f>IFERROR(VLOOKUP($C79,'SINAPI MAIO 2020'!$1:$1048576,3,0),IFERROR(VLOOKUP($C79,'6-COMP. PROPRIA'!$B$1:$I$808,5,0),""))</f>
        <v/>
      </c>
      <c r="M79" s="94"/>
      <c r="N79" s="59"/>
    </row>
    <row r="80" spans="2:14" ht="17.25" customHeight="1">
      <c r="B80" s="164"/>
      <c r="C80" s="70"/>
      <c r="D80" s="70"/>
      <c r="E80" s="238"/>
      <c r="F80" s="312"/>
      <c r="G80" s="312"/>
      <c r="H80" s="312"/>
      <c r="I80" s="312"/>
      <c r="J80" s="103"/>
      <c r="K80" s="216"/>
      <c r="L80" s="239" t="str">
        <f>IFERROR(VLOOKUP($C80,'SINAPI MAIO 2020'!$1:$1048576,3,0),IFERROR(VLOOKUP($C80,'6-COMP. PROPRIA'!$B$1:$I$808,5,0),""))</f>
        <v/>
      </c>
      <c r="M80" s="94"/>
      <c r="N80" s="59"/>
    </row>
    <row r="81" spans="2:14" ht="17.25" customHeight="1">
      <c r="B81" s="164"/>
      <c r="C81" s="274">
        <v>97655</v>
      </c>
      <c r="D81" s="275" t="s">
        <v>8</v>
      </c>
      <c r="E81" s="683" t="str">
        <f>IFERROR(VLOOKUP($C81,'SINAPI MAIO 2020'!$1:$1048576,2,0),IFERROR(VLOOKUP($C81,'6-COMP. PROPRIA'!$B$1:$I$808,4,0),""))</f>
        <v>REMOÇÃO DE TRAMA METÁLICA PARA COBERTURA, DE FORMA MANUAL, SEM REAPROVEITAMENTO. AF_12/2017</v>
      </c>
      <c r="F81" s="684"/>
      <c r="G81" s="684"/>
      <c r="H81" s="684"/>
      <c r="I81" s="684"/>
      <c r="J81" s="685"/>
      <c r="K81" s="212">
        <f>SUM(K83:K84)</f>
        <v>549.37040000000002</v>
      </c>
      <c r="L81" s="239" t="str">
        <f>IFERROR(VLOOKUP($C81,'SINAPI MAIO 2020'!$1:$1048576,3,0),IFERROR(VLOOKUP($C81,'6-COMP. PROPRIA'!$B$1:$I$808,5,0),""))</f>
        <v>M2</v>
      </c>
      <c r="M81" s="118">
        <f>K81*0.3</f>
        <v>164.81111999999999</v>
      </c>
      <c r="N81" s="59" t="s">
        <v>41</v>
      </c>
    </row>
    <row r="82" spans="2:14" ht="17.25" customHeight="1">
      <c r="B82" s="164"/>
      <c r="C82" s="20"/>
      <c r="D82" s="70"/>
      <c r="E82" s="75" t="s">
        <v>984</v>
      </c>
      <c r="F82" s="309" t="s">
        <v>985</v>
      </c>
      <c r="G82" s="309" t="s">
        <v>920</v>
      </c>
      <c r="H82" s="312"/>
      <c r="I82" s="312"/>
      <c r="J82" s="103"/>
      <c r="K82" s="212"/>
      <c r="L82" s="239" t="str">
        <f>IFERROR(VLOOKUP($C82,'SINAPI MAIO 2020'!$1:$1048576,3,0),IFERROR(VLOOKUP($C82,'6-COMP. PROPRIA'!$B$1:$I$808,5,0),""))</f>
        <v/>
      </c>
      <c r="M82" s="118"/>
      <c r="N82" s="59"/>
    </row>
    <row r="83" spans="2:14" ht="17.25" customHeight="1">
      <c r="B83" s="169" t="s">
        <v>6055</v>
      </c>
      <c r="C83" s="20"/>
      <c r="D83" s="20"/>
      <c r="E83" s="102">
        <f>E60</f>
        <v>190</v>
      </c>
      <c r="F83" s="63">
        <v>1</v>
      </c>
      <c r="G83" s="63">
        <v>1.044</v>
      </c>
      <c r="H83" s="312"/>
      <c r="I83" s="312"/>
      <c r="J83" s="103"/>
      <c r="K83" s="216">
        <f>E83*G83*F83</f>
        <v>198.36</v>
      </c>
      <c r="L83" s="239" t="str">
        <f>IFERROR(VLOOKUP($C83,'SINAPI MAIO 2020'!$1:$1048576,3,0),IFERROR(VLOOKUP($C83,'6-COMP. PROPRIA'!$B$1:$I$808,5,0),""))</f>
        <v/>
      </c>
      <c r="M83" s="118"/>
      <c r="N83" s="59"/>
    </row>
    <row r="84" spans="2:14" ht="17.25" customHeight="1">
      <c r="B84" s="169" t="s">
        <v>6125</v>
      </c>
      <c r="C84" s="70"/>
      <c r="D84" s="70"/>
      <c r="E84" s="102">
        <v>337.51</v>
      </c>
      <c r="F84" s="63">
        <v>1</v>
      </c>
      <c r="G84" s="63">
        <v>1.04</v>
      </c>
      <c r="H84" s="312"/>
      <c r="I84" s="312"/>
      <c r="J84" s="103"/>
      <c r="K84" s="216">
        <f>E84*G84*F84</f>
        <v>351.0104</v>
      </c>
      <c r="L84" s="239" t="str">
        <f>IFERROR(VLOOKUP($C84,'SINAPI MAIO 2020'!$1:$1048576,3,0),IFERROR(VLOOKUP($C84,'6-COMP. PROPRIA'!$B$1:$I$808,5,0),""))</f>
        <v/>
      </c>
      <c r="M84" s="94"/>
      <c r="N84" s="59"/>
    </row>
    <row r="85" spans="2:14" ht="17.25" customHeight="1">
      <c r="B85" s="164"/>
      <c r="C85" s="70"/>
      <c r="D85" s="70"/>
      <c r="E85" s="238"/>
      <c r="F85" s="312"/>
      <c r="G85" s="312"/>
      <c r="H85" s="312"/>
      <c r="I85" s="312"/>
      <c r="J85" s="103"/>
      <c r="K85" s="216"/>
      <c r="L85" s="239" t="str">
        <f>IFERROR(VLOOKUP($C85,'SINAPI MAIO 2020'!$1:$1048576,3,0),IFERROR(VLOOKUP($C85,'6-COMP. PROPRIA'!$B$1:$I$808,5,0),""))</f>
        <v/>
      </c>
      <c r="M85" s="94"/>
      <c r="N85" s="59"/>
    </row>
    <row r="86" spans="2:14" ht="17.25" customHeight="1">
      <c r="B86" s="169" t="s">
        <v>6056</v>
      </c>
      <c r="C86" s="274">
        <v>97650</v>
      </c>
      <c r="D86" s="275" t="s">
        <v>8</v>
      </c>
      <c r="E86" s="683" t="str">
        <f>IFERROR(VLOOKUP($C86,'SINAPI MAIO 2020'!$1:$1048576,2,0),IFERROR(VLOOKUP($C86,'6-COMP. PROPRIA'!$B$1:$I$808,4,0),""))</f>
        <v>REMOÇÃO DE TRAMA DE MADEIRA PARA COBERTURA, DE FORMA MANUAL, SEM REAPROVEITAMENTO. AF_12/2017</v>
      </c>
      <c r="F86" s="684"/>
      <c r="G86" s="684"/>
      <c r="H86" s="684"/>
      <c r="I86" s="684"/>
      <c r="J86" s="685"/>
      <c r="K86" s="212">
        <f>SUM(K88:K88)</f>
        <v>184.85064</v>
      </c>
      <c r="L86" s="239" t="str">
        <f>IFERROR(VLOOKUP($C86,'SINAPI MAIO 2020'!$1:$1048576,3,0),IFERROR(VLOOKUP($C86,'6-COMP. PROPRIA'!$B$1:$I$808,5,0),""))</f>
        <v>M2</v>
      </c>
      <c r="M86" s="118">
        <f>K86*0.3</f>
        <v>55.455191999999997</v>
      </c>
      <c r="N86" s="59" t="s">
        <v>41</v>
      </c>
    </row>
    <row r="87" spans="2:14" ht="17.25" customHeight="1">
      <c r="B87" s="164"/>
      <c r="C87" s="20"/>
      <c r="D87" s="70"/>
      <c r="E87" s="75" t="s">
        <v>984</v>
      </c>
      <c r="F87" s="309" t="s">
        <v>985</v>
      </c>
      <c r="G87" s="309" t="s">
        <v>920</v>
      </c>
      <c r="H87" s="312"/>
      <c r="I87" s="312"/>
      <c r="J87" s="103"/>
      <c r="K87" s="212"/>
      <c r="L87" s="239" t="str">
        <f>IFERROR(VLOOKUP($C87,'SINAPI MAIO 2020'!$1:$1048576,3,0),IFERROR(VLOOKUP($C87,'6-COMP. PROPRIA'!$B$1:$I$808,5,0),""))</f>
        <v/>
      </c>
      <c r="M87" s="94"/>
      <c r="N87" s="59"/>
    </row>
    <row r="88" spans="2:14" ht="17.25" customHeight="1">
      <c r="B88" s="164"/>
      <c r="C88" s="20"/>
      <c r="D88" s="20"/>
      <c r="E88" s="102">
        <f>E61</f>
        <v>177.06</v>
      </c>
      <c r="F88" s="63">
        <v>1</v>
      </c>
      <c r="G88" s="63">
        <v>1.044</v>
      </c>
      <c r="H88" s="312"/>
      <c r="I88" s="312"/>
      <c r="J88" s="103"/>
      <c r="K88" s="216">
        <f>E88*G88*F88</f>
        <v>184.85064</v>
      </c>
      <c r="L88" s="239" t="str">
        <f>IFERROR(VLOOKUP($C88,'SINAPI MAIO 2020'!$1:$1048576,3,0),IFERROR(VLOOKUP($C88,'6-COMP. PROPRIA'!$B$1:$I$808,5,0),""))</f>
        <v/>
      </c>
      <c r="M88" s="94"/>
      <c r="N88" s="59"/>
    </row>
    <row r="89" spans="2:14" ht="17.25" customHeight="1">
      <c r="B89" s="164"/>
      <c r="C89" s="70"/>
      <c r="D89" s="70"/>
      <c r="E89" s="238"/>
      <c r="F89" s="312"/>
      <c r="G89" s="312"/>
      <c r="H89" s="312"/>
      <c r="I89" s="312"/>
      <c r="J89" s="103"/>
      <c r="K89" s="216"/>
      <c r="L89" s="239" t="str">
        <f>IFERROR(VLOOKUP($C89,'SINAPI MAIO 2020'!$1:$1048576,3,0),IFERROR(VLOOKUP($C89,'6-COMP. PROPRIA'!$B$1:$I$808,5,0),""))</f>
        <v/>
      </c>
      <c r="M89" s="94"/>
      <c r="N89" s="59"/>
    </row>
    <row r="90" spans="2:14" ht="17.25" customHeight="1">
      <c r="B90" s="164"/>
      <c r="C90" s="70"/>
      <c r="D90" s="70"/>
      <c r="E90" s="238"/>
      <c r="F90" s="312"/>
      <c r="G90" s="312"/>
      <c r="H90" s="312"/>
      <c r="I90" s="312"/>
      <c r="J90" s="103"/>
      <c r="K90" s="216"/>
      <c r="L90" s="239" t="str">
        <f>IFERROR(VLOOKUP($C90,'SINAPI MAIO 2020'!$1:$1048576,3,0),IFERROR(VLOOKUP($C90,'6-COMP. PROPRIA'!$B$1:$I$808,5,0),""))</f>
        <v/>
      </c>
      <c r="M90" s="94"/>
      <c r="N90" s="59"/>
    </row>
    <row r="91" spans="2:14" ht="17.25" customHeight="1">
      <c r="B91" s="169" t="s">
        <v>6055</v>
      </c>
      <c r="C91" s="274">
        <v>97656</v>
      </c>
      <c r="D91" s="275" t="s">
        <v>8</v>
      </c>
      <c r="E91" s="683" t="str">
        <f>IFERROR(VLOOKUP($C91,'SINAPI MAIO 2020'!$1:$1048576,2,0),IFERROR(VLOOKUP($C91,'6-COMP. PROPRIA'!$B$1:$I$808,4,0),""))</f>
        <v>REMOÇÃO DE TESOURAS METÁLICAS, COM VÃO MENOR QUE 8M, DE FORMA MANUAL, SEM REAPROVEITAMENTO. AF_12/2017</v>
      </c>
      <c r="F91" s="684"/>
      <c r="G91" s="684"/>
      <c r="H91" s="684"/>
      <c r="I91" s="684"/>
      <c r="J91" s="685"/>
      <c r="K91" s="212">
        <f>SUM(K93:K94)</f>
        <v>11</v>
      </c>
      <c r="L91" s="239" t="str">
        <f>IFERROR(VLOOKUP($C91,'SINAPI MAIO 2020'!$1:$1048576,3,0),IFERROR(VLOOKUP($C91,'6-COMP. PROPRIA'!$B$1:$I$808,5,0),""))</f>
        <v>UN</v>
      </c>
      <c r="M91" s="118">
        <f>K91*0.3</f>
        <v>3.3</v>
      </c>
      <c r="N91" s="59" t="s">
        <v>41</v>
      </c>
    </row>
    <row r="92" spans="2:14" ht="17.25" customHeight="1">
      <c r="B92" s="164"/>
      <c r="C92" s="20"/>
      <c r="D92" s="20"/>
      <c r="E92" s="75" t="s">
        <v>984</v>
      </c>
      <c r="F92" s="309" t="s">
        <v>985</v>
      </c>
      <c r="G92" s="309" t="s">
        <v>927</v>
      </c>
      <c r="H92" s="309" t="s">
        <v>920</v>
      </c>
      <c r="I92" s="312"/>
      <c r="J92" s="107"/>
      <c r="K92" s="215"/>
      <c r="L92" s="239" t="str">
        <f>IFERROR(VLOOKUP($C92,'SINAPI MAIO 2020'!$1:$1048576,3,0),IFERROR(VLOOKUP($C92,'6-COMP. PROPRIA'!$B$1:$I$808,5,0),""))</f>
        <v/>
      </c>
      <c r="M92" s="94"/>
      <c r="N92" s="59"/>
    </row>
    <row r="93" spans="2:14" ht="17.25" customHeight="1">
      <c r="B93" s="164"/>
      <c r="C93" s="20"/>
      <c r="D93" s="20"/>
      <c r="E93" s="102">
        <v>5</v>
      </c>
      <c r="F93" s="63">
        <v>1</v>
      </c>
      <c r="G93" s="63">
        <v>1</v>
      </c>
      <c r="H93" s="63">
        <v>1</v>
      </c>
      <c r="I93" s="312"/>
      <c r="J93" s="107"/>
      <c r="K93" s="62">
        <f>E93*F93*G93*H93</f>
        <v>5</v>
      </c>
      <c r="L93" s="239" t="str">
        <f>IFERROR(VLOOKUP($C93,'SINAPI MAIO 2020'!$1:$1048576,3,0),IFERROR(VLOOKUP($C93,'6-COMP. PROPRIA'!$B$1:$I$808,5,0),""))</f>
        <v/>
      </c>
      <c r="M93" s="94"/>
      <c r="N93" s="59"/>
    </row>
    <row r="94" spans="2:14" ht="17.25" customHeight="1">
      <c r="B94" s="164"/>
      <c r="C94" s="20"/>
      <c r="D94" s="20"/>
      <c r="E94" s="102">
        <v>6</v>
      </c>
      <c r="F94" s="63">
        <v>1</v>
      </c>
      <c r="G94" s="63">
        <v>1</v>
      </c>
      <c r="H94" s="63">
        <v>1</v>
      </c>
      <c r="I94" s="312"/>
      <c r="J94" s="107"/>
      <c r="K94" s="62">
        <f>E94*F94*G94*H94</f>
        <v>6</v>
      </c>
      <c r="L94" s="239" t="str">
        <f>IFERROR(VLOOKUP($C94,'SINAPI MAIO 2020'!$1:$1048576,3,0),IFERROR(VLOOKUP($C94,'6-COMP. PROPRIA'!$B$1:$I$808,5,0),""))</f>
        <v/>
      </c>
      <c r="M94" s="94"/>
      <c r="N94" s="59"/>
    </row>
    <row r="95" spans="2:14" ht="17.25" customHeight="1">
      <c r="B95" s="164"/>
      <c r="C95" s="20"/>
      <c r="D95" s="20"/>
      <c r="E95" s="115"/>
      <c r="F95" s="45"/>
      <c r="G95" s="45"/>
      <c r="H95" s="45"/>
      <c r="I95" s="45"/>
      <c r="J95" s="120"/>
      <c r="K95" s="215"/>
      <c r="L95" s="239" t="str">
        <f>IFERROR(VLOOKUP($C95,'SINAPI MAIO 2020'!$1:$1048576,3,0),IFERROR(VLOOKUP($C95,'6-COMP. PROPRIA'!$B$1:$I$808,5,0),""))</f>
        <v/>
      </c>
      <c r="M95" s="94"/>
      <c r="N95" s="105"/>
    </row>
    <row r="96" spans="2:14" ht="17.25" customHeight="1">
      <c r="B96" s="169" t="s">
        <v>6056</v>
      </c>
      <c r="C96" s="274">
        <v>97652</v>
      </c>
      <c r="D96" s="275" t="s">
        <v>8</v>
      </c>
      <c r="E96" s="683" t="str">
        <f>IFERROR(VLOOKUP($C96,'SINAPI MAIO 2020'!$1:$1048576,2,0),IFERROR(VLOOKUP($C96,'6-COMP. PROPRIA'!$B$1:$I$808,4,0),""))</f>
        <v>REMOÇÃO DE TESOURAS DE MADEIRA, COM VÃO MAIOR OU IGUAL A 8M, DE FORMA MANUAL, SEM REAPROVEITAMENTO. AF_12/2017</v>
      </c>
      <c r="F96" s="684"/>
      <c r="G96" s="684"/>
      <c r="H96" s="684"/>
      <c r="I96" s="684"/>
      <c r="J96" s="685"/>
      <c r="K96" s="212">
        <f>SUM(K98:K99)</f>
        <v>4</v>
      </c>
      <c r="L96" s="239" t="str">
        <f>IFERROR(VLOOKUP($C96,'SINAPI MAIO 2020'!$1:$1048576,3,0),IFERROR(VLOOKUP($C96,'6-COMP. PROPRIA'!$B$1:$I$808,5,0),""))</f>
        <v>UN</v>
      </c>
      <c r="M96" s="118">
        <f>K96*0.3</f>
        <v>1.2</v>
      </c>
      <c r="N96" s="59" t="s">
        <v>41</v>
      </c>
    </row>
    <row r="97" spans="2:14" ht="17.25" customHeight="1">
      <c r="B97" s="164"/>
      <c r="C97" s="20"/>
      <c r="D97" s="20"/>
      <c r="E97" s="75" t="s">
        <v>984</v>
      </c>
      <c r="F97" s="309" t="s">
        <v>985</v>
      </c>
      <c r="G97" s="309" t="s">
        <v>927</v>
      </c>
      <c r="H97" s="309" t="s">
        <v>920</v>
      </c>
      <c r="I97" s="312"/>
      <c r="J97" s="107"/>
      <c r="K97" s="215"/>
      <c r="L97" s="239" t="str">
        <f>IFERROR(VLOOKUP($C97,'SINAPI MAIO 2020'!$1:$1048576,3,0),IFERROR(VLOOKUP($C97,'6-COMP. PROPRIA'!$B$1:$I$808,5,0),""))</f>
        <v/>
      </c>
      <c r="M97" s="94"/>
      <c r="N97" s="105"/>
    </row>
    <row r="98" spans="2:14" ht="17.25" customHeight="1">
      <c r="B98" s="164"/>
      <c r="C98" s="20"/>
      <c r="D98" s="20"/>
      <c r="E98" s="102">
        <v>4</v>
      </c>
      <c r="F98" s="63">
        <v>1</v>
      </c>
      <c r="G98" s="63">
        <v>1</v>
      </c>
      <c r="H98" s="63">
        <v>1</v>
      </c>
      <c r="I98" s="312"/>
      <c r="J98" s="107"/>
      <c r="K98" s="62">
        <f>E98*F98*G98*H98</f>
        <v>4</v>
      </c>
      <c r="L98" s="239" t="str">
        <f>IFERROR(VLOOKUP($C98,'SINAPI MAIO 2020'!$1:$1048576,3,0),IFERROR(VLOOKUP($C98,'6-COMP. PROPRIA'!$B$1:$I$808,5,0),""))</f>
        <v/>
      </c>
      <c r="M98" s="94"/>
      <c r="N98" s="105"/>
    </row>
    <row r="99" spans="2:14" ht="17.25" customHeight="1">
      <c r="B99" s="164"/>
      <c r="C99" s="20"/>
      <c r="D99" s="20"/>
      <c r="E99" s="102">
        <v>0</v>
      </c>
      <c r="F99" s="63">
        <v>0</v>
      </c>
      <c r="G99" s="63">
        <v>0</v>
      </c>
      <c r="H99" s="63">
        <v>0</v>
      </c>
      <c r="I99" s="312"/>
      <c r="J99" s="107"/>
      <c r="K99" s="62">
        <f>E99*F99*G99*H99</f>
        <v>0</v>
      </c>
      <c r="L99" s="239" t="str">
        <f>IFERROR(VLOOKUP($C99,'SINAPI MAIO 2020'!$1:$1048576,3,0),IFERROR(VLOOKUP($C99,'6-COMP. PROPRIA'!$B$1:$I$808,5,0),""))</f>
        <v/>
      </c>
      <c r="M99" s="94"/>
      <c r="N99" s="105"/>
    </row>
    <row r="100" spans="2:14" ht="17.25" customHeight="1">
      <c r="B100" s="164"/>
      <c r="C100" s="20"/>
      <c r="D100" s="20"/>
      <c r="E100" s="115"/>
      <c r="F100" s="45"/>
      <c r="G100" s="45"/>
      <c r="H100" s="45"/>
      <c r="I100" s="45"/>
      <c r="J100" s="120"/>
      <c r="K100" s="215"/>
      <c r="L100" s="239" t="str">
        <f>IFERROR(VLOOKUP($C100,'SINAPI MAIO 2020'!$1:$1048576,3,0),IFERROR(VLOOKUP($C100,'6-COMP. PROPRIA'!$B$1:$I$808,5,0),""))</f>
        <v/>
      </c>
      <c r="M100" s="94"/>
      <c r="N100" s="105"/>
    </row>
    <row r="101" spans="2:14" ht="17.25" customHeight="1">
      <c r="B101" s="164"/>
      <c r="C101" s="274" t="str">
        <f>'6-COMP. PROPRIA'!B28</f>
        <v>CP-DEM-2</v>
      </c>
      <c r="D101" s="275" t="s">
        <v>980</v>
      </c>
      <c r="E101" s="683" t="str">
        <f>IFERROR(VLOOKUP($C101,'SINAPI MAIO 2020'!$1:$1048576,2,0),IFERROR(VLOOKUP($C101,'6-COMP. PROPRIA'!$B$1:$I$808,4,0),""))</f>
        <v>DEMOLIÇÃO DE CONCRETO SIMPLES</v>
      </c>
      <c r="F101" s="684"/>
      <c r="G101" s="684"/>
      <c r="H101" s="684"/>
      <c r="I101" s="684"/>
      <c r="J101" s="685"/>
      <c r="K101" s="212">
        <f>SUM(K103:K112)</f>
        <v>23.425000000000001</v>
      </c>
      <c r="L101" s="239" t="str">
        <f>IFERROR(VLOOKUP($C101,'SINAPI MAIO 2020'!$1:$1048576,3,0),IFERROR(VLOOKUP($C101,'6-COMP. PROPRIA'!$B$1:$I$808,5,0),""))</f>
        <v>M3</v>
      </c>
      <c r="M101" s="118">
        <f>K101*0.3</f>
        <v>7.0274999999999999</v>
      </c>
      <c r="N101" s="59" t="s">
        <v>41</v>
      </c>
    </row>
    <row r="102" spans="2:14" ht="17.25" customHeight="1">
      <c r="B102" s="164"/>
      <c r="C102" s="20"/>
      <c r="D102" s="20"/>
      <c r="E102" s="75" t="s">
        <v>984</v>
      </c>
      <c r="F102" s="309" t="s">
        <v>985</v>
      </c>
      <c r="G102" s="311" t="s">
        <v>929</v>
      </c>
      <c r="H102" s="309" t="s">
        <v>920</v>
      </c>
      <c r="I102" s="312"/>
      <c r="J102" s="107"/>
      <c r="K102" s="215"/>
      <c r="L102" s="239" t="str">
        <f>IFERROR(VLOOKUP($C102,'SINAPI MAIO 2020'!$1:$1048576,3,0),IFERROR(VLOOKUP($C102,'6-COMP. PROPRIA'!$B$1:$I$808,5,0),""))</f>
        <v/>
      </c>
      <c r="M102" s="94"/>
      <c r="N102" s="59"/>
    </row>
    <row r="103" spans="2:14" ht="17.25" customHeight="1">
      <c r="B103" s="164" t="s">
        <v>6057</v>
      </c>
      <c r="C103" s="20"/>
      <c r="D103" s="20"/>
      <c r="E103" s="102">
        <v>0.35</v>
      </c>
      <c r="F103" s="63">
        <v>1.3</v>
      </c>
      <c r="G103" s="63">
        <v>1</v>
      </c>
      <c r="H103" s="63">
        <v>1</v>
      </c>
      <c r="I103" s="312"/>
      <c r="J103" s="107"/>
      <c r="K103" s="62">
        <f>E103*F103*G103*H103</f>
        <v>0.45499999999999996</v>
      </c>
      <c r="L103" s="239" t="str">
        <f>IFERROR(VLOOKUP($C103,'SINAPI MAIO 2020'!$1:$1048576,3,0),IFERROR(VLOOKUP($C103,'6-COMP. PROPRIA'!$B$1:$I$808,5,0),""))</f>
        <v/>
      </c>
      <c r="M103" s="94"/>
      <c r="N103" s="59"/>
    </row>
    <row r="104" spans="2:14" ht="17.25" customHeight="1">
      <c r="B104" s="164" t="s">
        <v>6058</v>
      </c>
      <c r="C104" s="20"/>
      <c r="D104" s="20"/>
      <c r="E104" s="102">
        <v>0.3</v>
      </c>
      <c r="F104" s="63">
        <v>2</v>
      </c>
      <c r="G104" s="63">
        <v>0.3</v>
      </c>
      <c r="H104" s="63">
        <v>2</v>
      </c>
      <c r="I104" s="312"/>
      <c r="J104" s="107"/>
      <c r="K104" s="62">
        <f t="shared" ref="K104:K111" si="1">E104*F104*G104*H104</f>
        <v>0.36</v>
      </c>
      <c r="L104" s="239" t="str">
        <f>IFERROR(VLOOKUP($C104,'SINAPI MAIO 2020'!$1:$1048576,3,0),IFERROR(VLOOKUP($C104,'6-COMP. PROPRIA'!$B$1:$I$808,5,0),""))</f>
        <v/>
      </c>
      <c r="M104" s="94"/>
      <c r="N104" s="59"/>
    </row>
    <row r="105" spans="2:14" ht="17.25" customHeight="1">
      <c r="B105" s="164" t="s">
        <v>6059</v>
      </c>
      <c r="C105" s="20"/>
      <c r="D105" s="20"/>
      <c r="E105" s="102">
        <v>0.8</v>
      </c>
      <c r="F105" s="63">
        <v>3</v>
      </c>
      <c r="G105" s="63">
        <v>0.4</v>
      </c>
      <c r="H105" s="63">
        <v>1</v>
      </c>
      <c r="I105" s="312"/>
      <c r="J105" s="107"/>
      <c r="K105" s="62">
        <f t="shared" si="1"/>
        <v>0.96000000000000019</v>
      </c>
      <c r="L105" s="239" t="str">
        <f>IFERROR(VLOOKUP($C105,'SINAPI MAIO 2020'!$1:$1048576,3,0),IFERROR(VLOOKUP($C105,'6-COMP. PROPRIA'!$B$1:$I$808,5,0),""))</f>
        <v/>
      </c>
      <c r="M105" s="94"/>
      <c r="N105" s="59"/>
    </row>
    <row r="106" spans="2:14" ht="17.25" customHeight="1">
      <c r="B106" s="164" t="s">
        <v>6059</v>
      </c>
      <c r="C106" s="20"/>
      <c r="D106" s="20"/>
      <c r="E106" s="102">
        <v>0.8</v>
      </c>
      <c r="F106" s="63">
        <v>0.5</v>
      </c>
      <c r="G106" s="63">
        <v>0.4</v>
      </c>
      <c r="H106" s="63">
        <v>4</v>
      </c>
      <c r="I106" s="312"/>
      <c r="J106" s="107"/>
      <c r="K106" s="62">
        <f t="shared" si="1"/>
        <v>0.64000000000000012</v>
      </c>
      <c r="L106" s="239" t="str">
        <f>IFERROR(VLOOKUP($C106,'SINAPI MAIO 2020'!$1:$1048576,3,0),IFERROR(VLOOKUP($C106,'6-COMP. PROPRIA'!$B$1:$I$808,5,0),""))</f>
        <v/>
      </c>
      <c r="M106" s="94"/>
      <c r="N106" s="59"/>
    </row>
    <row r="107" spans="2:14" ht="17.25" customHeight="1">
      <c r="B107" s="164" t="s">
        <v>6095</v>
      </c>
      <c r="C107" s="20"/>
      <c r="D107" s="20"/>
      <c r="E107" s="102">
        <v>52.33</v>
      </c>
      <c r="F107" s="63">
        <v>1</v>
      </c>
      <c r="G107" s="63">
        <v>0.2</v>
      </c>
      <c r="H107" s="63">
        <v>1</v>
      </c>
      <c r="I107" s="312"/>
      <c r="J107" s="107"/>
      <c r="K107" s="62">
        <f t="shared" si="1"/>
        <v>10.466000000000001</v>
      </c>
      <c r="L107" s="239" t="str">
        <f>IFERROR(VLOOKUP($C107,'SINAPI MAIO 2020'!$1:$1048576,3,0),IFERROR(VLOOKUP($C107,'6-COMP. PROPRIA'!$B$1:$I$808,5,0),""))</f>
        <v/>
      </c>
      <c r="M107" s="94"/>
      <c r="N107" s="59"/>
    </row>
    <row r="108" spans="2:14" ht="17.25" customHeight="1">
      <c r="B108" s="164" t="s">
        <v>6096</v>
      </c>
      <c r="C108" s="20"/>
      <c r="D108" s="20"/>
      <c r="E108" s="102">
        <v>27.6</v>
      </c>
      <c r="F108" s="63">
        <v>1</v>
      </c>
      <c r="G108" s="63">
        <v>0.2</v>
      </c>
      <c r="H108" s="63">
        <v>1</v>
      </c>
      <c r="I108" s="312"/>
      <c r="J108" s="107"/>
      <c r="K108" s="62">
        <f t="shared" si="1"/>
        <v>5.5200000000000005</v>
      </c>
      <c r="L108" s="239" t="str">
        <f>IFERROR(VLOOKUP($C108,'SINAPI MAIO 2020'!$1:$1048576,3,0),IFERROR(VLOOKUP($C108,'6-COMP. PROPRIA'!$B$1:$I$808,5,0),""))</f>
        <v/>
      </c>
      <c r="M108" s="94"/>
      <c r="N108" s="59"/>
    </row>
    <row r="109" spans="2:14" ht="17.25" customHeight="1">
      <c r="B109" s="164" t="s">
        <v>6092</v>
      </c>
      <c r="C109" s="20"/>
      <c r="D109" s="20"/>
      <c r="E109" s="102">
        <v>18.510000000000002</v>
      </c>
      <c r="F109" s="63">
        <v>1</v>
      </c>
      <c r="G109" s="63">
        <v>0.2</v>
      </c>
      <c r="H109" s="63">
        <v>1</v>
      </c>
      <c r="I109" s="312"/>
      <c r="J109" s="107"/>
      <c r="K109" s="62">
        <f t="shared" si="1"/>
        <v>3.7020000000000004</v>
      </c>
      <c r="L109" s="239" t="str">
        <f>IFERROR(VLOOKUP($C109,'SINAPI MAIO 2020'!$1:$1048576,3,0),IFERROR(VLOOKUP($C109,'6-COMP. PROPRIA'!$B$1:$I$808,5,0),""))</f>
        <v/>
      </c>
      <c r="M109" s="94"/>
      <c r="N109" s="59"/>
    </row>
    <row r="110" spans="2:14" ht="17.25" customHeight="1">
      <c r="B110" s="164" t="s">
        <v>6097</v>
      </c>
      <c r="C110" s="20"/>
      <c r="D110" s="20"/>
      <c r="E110" s="102">
        <v>1.45</v>
      </c>
      <c r="F110" s="63">
        <v>1</v>
      </c>
      <c r="G110" s="63">
        <v>0.2</v>
      </c>
      <c r="H110" s="63">
        <v>1</v>
      </c>
      <c r="I110" s="312"/>
      <c r="J110" s="107"/>
      <c r="K110" s="62">
        <f t="shared" si="1"/>
        <v>0.28999999999999998</v>
      </c>
      <c r="L110" s="239" t="str">
        <f>IFERROR(VLOOKUP($C110,'SINAPI MAIO 2020'!$1:$1048576,3,0),IFERROR(VLOOKUP($C110,'6-COMP. PROPRIA'!$B$1:$I$808,5,0),""))</f>
        <v/>
      </c>
      <c r="M110" s="94"/>
      <c r="N110" s="59"/>
    </row>
    <row r="111" spans="2:14" ht="17.25" customHeight="1">
      <c r="B111" s="164" t="s">
        <v>6098</v>
      </c>
      <c r="C111" s="20"/>
      <c r="D111" s="20"/>
      <c r="E111" s="102">
        <v>1.72</v>
      </c>
      <c r="F111" s="63">
        <v>1</v>
      </c>
      <c r="G111" s="63">
        <v>0.3</v>
      </c>
      <c r="H111" s="63">
        <v>2</v>
      </c>
      <c r="I111" s="312"/>
      <c r="J111" s="107"/>
      <c r="K111" s="62">
        <f t="shared" si="1"/>
        <v>1.032</v>
      </c>
      <c r="L111" s="239" t="str">
        <f>IFERROR(VLOOKUP($C111,'SINAPI MAIO 2020'!$1:$1048576,3,0),IFERROR(VLOOKUP($C111,'6-COMP. PROPRIA'!$B$1:$I$808,5,0),""))</f>
        <v/>
      </c>
      <c r="M111" s="94"/>
      <c r="N111" s="59"/>
    </row>
    <row r="112" spans="2:14" ht="17.25" customHeight="1">
      <c r="B112" s="164"/>
      <c r="C112" s="20"/>
      <c r="D112" s="20"/>
      <c r="E112" s="102">
        <v>0</v>
      </c>
      <c r="F112" s="63">
        <v>0</v>
      </c>
      <c r="G112" s="63">
        <v>0</v>
      </c>
      <c r="H112" s="63">
        <v>0</v>
      </c>
      <c r="I112" s="312"/>
      <c r="J112" s="103"/>
      <c r="K112" s="62">
        <f>E112*F112*G112*H112</f>
        <v>0</v>
      </c>
      <c r="L112" s="239" t="str">
        <f>IFERROR(VLOOKUP($C112,'SINAPI MAIO 2020'!$1:$1048576,3,0),IFERROR(VLOOKUP($C112,'6-COMP. PROPRIA'!$B$1:$I$808,5,0),""))</f>
        <v/>
      </c>
      <c r="M112" s="94"/>
      <c r="N112" s="105"/>
    </row>
    <row r="113" spans="2:14" ht="17.25" customHeight="1">
      <c r="B113" s="164"/>
      <c r="C113" s="20"/>
      <c r="D113" s="20"/>
      <c r="E113" s="238"/>
      <c r="F113" s="312"/>
      <c r="G113" s="312"/>
      <c r="H113" s="312"/>
      <c r="I113" s="312"/>
      <c r="J113" s="103"/>
      <c r="K113" s="211"/>
      <c r="L113" s="239" t="str">
        <f>IFERROR(VLOOKUP($C113,'SINAPI MAIO 2020'!$1:$1048576,3,0),IFERROR(VLOOKUP($C113,'6-COMP. PROPRIA'!$B$1:$I$808,5,0),""))</f>
        <v/>
      </c>
      <c r="M113" s="94"/>
      <c r="N113" s="105"/>
    </row>
    <row r="114" spans="2:14" ht="17.25" customHeight="1">
      <c r="B114" s="164"/>
      <c r="C114" s="274">
        <v>97633</v>
      </c>
      <c r="D114" s="275" t="s">
        <v>8</v>
      </c>
      <c r="E114" s="683" t="str">
        <f>IFERROR(VLOOKUP($C114,'SINAPI MAIO 2020'!$1:$1048576,2,0),IFERROR(VLOOKUP($C114,'6-COMP. PROPRIA'!$B$1:$I$808,4,0),""))</f>
        <v>DEMOLIÇÃO DE REVESTIMENTO CERÂMICO, DE FORMA MANUAL, SEM REAPROVEITAMENTO. AF_12/2017</v>
      </c>
      <c r="F114" s="684"/>
      <c r="G114" s="684"/>
      <c r="H114" s="684"/>
      <c r="I114" s="684"/>
      <c r="J114" s="685"/>
      <c r="K114" s="215">
        <f>SUM(K116:K124)</f>
        <v>166.78</v>
      </c>
      <c r="L114" s="239" t="str">
        <f>IFERROR(VLOOKUP($C114,'SINAPI MAIO 2020'!$1:$1048576,3,0),IFERROR(VLOOKUP($C114,'6-COMP. PROPRIA'!$B$1:$I$808,5,0),""))</f>
        <v>M2</v>
      </c>
      <c r="M114" s="118">
        <f>K114*0.01</f>
        <v>1.6677999999999999</v>
      </c>
      <c r="N114" s="121" t="s">
        <v>41</v>
      </c>
    </row>
    <row r="115" spans="2:14" ht="17.25" customHeight="1">
      <c r="B115" s="164"/>
      <c r="C115" s="20"/>
      <c r="D115" s="20"/>
      <c r="E115" s="114" t="s">
        <v>6106</v>
      </c>
      <c r="F115" s="311" t="s">
        <v>6043</v>
      </c>
      <c r="G115" s="311" t="s">
        <v>983</v>
      </c>
      <c r="H115" s="312"/>
      <c r="I115" s="312"/>
      <c r="J115" s="103"/>
      <c r="K115" s="211"/>
      <c r="L115" s="239" t="str">
        <f>IFERROR(VLOOKUP($C115,'SINAPI MAIO 2020'!$1:$1048576,3,0),IFERROR(VLOOKUP($C115,'6-COMP. PROPRIA'!$B$1:$I$808,5,0),""))</f>
        <v/>
      </c>
      <c r="M115" s="94"/>
      <c r="N115" s="105"/>
    </row>
    <row r="116" spans="2:14" ht="17.25" customHeight="1">
      <c r="B116" s="164" t="s">
        <v>6060</v>
      </c>
      <c r="C116" s="20"/>
      <c r="D116" s="20"/>
      <c r="E116" s="102">
        <v>11.7</v>
      </c>
      <c r="F116" s="63">
        <v>1.2</v>
      </c>
      <c r="G116" s="63">
        <v>1</v>
      </c>
      <c r="H116" s="312"/>
      <c r="I116" s="312"/>
      <c r="J116" s="103"/>
      <c r="K116" s="211">
        <f>G116*F116*E116</f>
        <v>14.04</v>
      </c>
      <c r="L116" s="239" t="str">
        <f>IFERROR(VLOOKUP($C116,'SINAPI MAIO 2020'!$1:$1048576,3,0),IFERROR(VLOOKUP($C116,'6-COMP. PROPRIA'!$B$1:$I$808,5,0),""))</f>
        <v/>
      </c>
      <c r="M116" s="94"/>
      <c r="N116" s="105"/>
    </row>
    <row r="117" spans="2:14" ht="17.25" customHeight="1">
      <c r="B117" s="164" t="s">
        <v>6061</v>
      </c>
      <c r="C117" s="20"/>
      <c r="D117" s="20"/>
      <c r="E117" s="102">
        <v>11.7</v>
      </c>
      <c r="F117" s="63">
        <v>1.2</v>
      </c>
      <c r="G117" s="63">
        <v>1</v>
      </c>
      <c r="H117" s="312"/>
      <c r="I117" s="312"/>
      <c r="J117" s="103"/>
      <c r="K117" s="211">
        <f>G117*F117*E117</f>
        <v>14.04</v>
      </c>
      <c r="L117" s="239" t="str">
        <f>IFERROR(VLOOKUP($C117,'SINAPI MAIO 2020'!$1:$1048576,3,0),IFERROR(VLOOKUP($C117,'6-COMP. PROPRIA'!$B$1:$I$808,5,0),""))</f>
        <v/>
      </c>
      <c r="M117" s="94"/>
      <c r="N117" s="105"/>
    </row>
    <row r="118" spans="2:14" ht="17.25" customHeight="1">
      <c r="B118" s="164" t="s">
        <v>6076</v>
      </c>
      <c r="C118" s="20"/>
      <c r="D118" s="20"/>
      <c r="E118" s="102">
        <v>27.82</v>
      </c>
      <c r="F118" s="63">
        <v>1.5</v>
      </c>
      <c r="G118" s="63">
        <v>1</v>
      </c>
      <c r="H118" s="312"/>
      <c r="I118" s="312"/>
      <c r="J118" s="103"/>
      <c r="K118" s="211">
        <f t="shared" ref="K118:K124" si="2">G118*F118*E118</f>
        <v>41.730000000000004</v>
      </c>
      <c r="L118" s="239" t="str">
        <f>IFERROR(VLOOKUP($C118,'SINAPI MAIO 2020'!$1:$1048576,3,0),IFERROR(VLOOKUP($C118,'6-COMP. PROPRIA'!$B$1:$I$808,5,0),""))</f>
        <v/>
      </c>
      <c r="M118" s="94"/>
      <c r="N118" s="105"/>
    </row>
    <row r="119" spans="2:14" ht="17.25" customHeight="1">
      <c r="B119" s="164" t="s">
        <v>6077</v>
      </c>
      <c r="C119" s="20"/>
      <c r="D119" s="20"/>
      <c r="E119" s="102">
        <v>27.92</v>
      </c>
      <c r="F119" s="63">
        <v>1.5</v>
      </c>
      <c r="G119" s="63">
        <v>1</v>
      </c>
      <c r="H119" s="312"/>
      <c r="I119" s="312"/>
      <c r="J119" s="103"/>
      <c r="K119" s="211">
        <f t="shared" si="2"/>
        <v>41.88</v>
      </c>
      <c r="L119" s="239" t="str">
        <f>IFERROR(VLOOKUP($C119,'SINAPI MAIO 2020'!$1:$1048576,3,0),IFERROR(VLOOKUP($C119,'6-COMP. PROPRIA'!$B$1:$I$808,5,0),""))</f>
        <v/>
      </c>
      <c r="M119" s="94"/>
      <c r="N119" s="105"/>
    </row>
    <row r="120" spans="2:14" ht="17.25" customHeight="1">
      <c r="B120" s="164" t="s">
        <v>6078</v>
      </c>
      <c r="C120" s="20"/>
      <c r="D120" s="20"/>
      <c r="E120" s="102">
        <f>2*8.26</f>
        <v>16.52</v>
      </c>
      <c r="F120" s="63">
        <v>1.5</v>
      </c>
      <c r="G120" s="63">
        <v>1</v>
      </c>
      <c r="H120" s="312"/>
      <c r="I120" s="312"/>
      <c r="J120" s="103"/>
      <c r="K120" s="211">
        <f t="shared" si="2"/>
        <v>24.78</v>
      </c>
      <c r="L120" s="239" t="str">
        <f>IFERROR(VLOOKUP($C120,'SINAPI MAIO 2020'!$1:$1048576,3,0),IFERROR(VLOOKUP($C120,'6-COMP. PROPRIA'!$B$1:$I$808,5,0),""))</f>
        <v/>
      </c>
      <c r="M120" s="94"/>
      <c r="N120" s="105"/>
    </row>
    <row r="121" spans="2:14" ht="17.25" customHeight="1">
      <c r="B121" s="164" t="s">
        <v>6093</v>
      </c>
      <c r="C121" s="20"/>
      <c r="D121" s="20"/>
      <c r="E121" s="102">
        <v>7.85</v>
      </c>
      <c r="F121" s="63">
        <v>1.2</v>
      </c>
      <c r="G121" s="63">
        <v>1</v>
      </c>
      <c r="H121" s="312"/>
      <c r="I121" s="312"/>
      <c r="J121" s="103"/>
      <c r="K121" s="211">
        <f t="shared" si="2"/>
        <v>9.42</v>
      </c>
      <c r="L121" s="239" t="str">
        <f>IFERROR(VLOOKUP($C121,'SINAPI MAIO 2020'!$1:$1048576,3,0),IFERROR(VLOOKUP($C121,'6-COMP. PROPRIA'!$B$1:$I$808,5,0),""))</f>
        <v/>
      </c>
      <c r="M121" s="94"/>
      <c r="N121" s="105"/>
    </row>
    <row r="122" spans="2:14" ht="17.25" customHeight="1">
      <c r="B122" s="164" t="s">
        <v>6060</v>
      </c>
      <c r="C122" s="20"/>
      <c r="D122" s="20"/>
      <c r="E122" s="102">
        <v>8.5299999999999994</v>
      </c>
      <c r="F122" s="63">
        <v>1</v>
      </c>
      <c r="G122" s="63">
        <v>1</v>
      </c>
      <c r="H122" s="312"/>
      <c r="I122" s="312"/>
      <c r="J122" s="103"/>
      <c r="K122" s="211">
        <f t="shared" si="2"/>
        <v>8.5299999999999994</v>
      </c>
      <c r="L122" s="239" t="str">
        <f>IFERROR(VLOOKUP($C122,'SINAPI MAIO 2020'!$1:$1048576,3,0),IFERROR(VLOOKUP($C122,'6-COMP. PROPRIA'!$B$1:$I$808,5,0),""))</f>
        <v/>
      </c>
      <c r="M122" s="94"/>
      <c r="N122" s="105"/>
    </row>
    <row r="123" spans="2:14" ht="17.25" customHeight="1">
      <c r="B123" s="164" t="s">
        <v>6061</v>
      </c>
      <c r="C123" s="20"/>
      <c r="D123" s="20"/>
      <c r="E123" s="102">
        <v>8.5299999999999994</v>
      </c>
      <c r="F123" s="63">
        <v>1</v>
      </c>
      <c r="G123" s="63">
        <v>1</v>
      </c>
      <c r="H123" s="312"/>
      <c r="I123" s="312"/>
      <c r="J123" s="103"/>
      <c r="K123" s="211">
        <f t="shared" si="2"/>
        <v>8.5299999999999994</v>
      </c>
      <c r="L123" s="239" t="str">
        <f>IFERROR(VLOOKUP($C123,'SINAPI MAIO 2020'!$1:$1048576,3,0),IFERROR(VLOOKUP($C123,'6-COMP. PROPRIA'!$B$1:$I$808,5,0),""))</f>
        <v/>
      </c>
      <c r="M123" s="94"/>
      <c r="N123" s="105"/>
    </row>
    <row r="124" spans="2:14" ht="17.25" customHeight="1">
      <c r="B124" s="164" t="s">
        <v>6093</v>
      </c>
      <c r="C124" s="20"/>
      <c r="D124" s="20"/>
      <c r="E124" s="102">
        <v>3.83</v>
      </c>
      <c r="F124" s="63">
        <v>1</v>
      </c>
      <c r="G124" s="63">
        <v>1</v>
      </c>
      <c r="H124" s="312"/>
      <c r="I124" s="312"/>
      <c r="J124" s="103"/>
      <c r="K124" s="211">
        <f t="shared" si="2"/>
        <v>3.83</v>
      </c>
      <c r="L124" s="239" t="str">
        <f>IFERROR(VLOOKUP($C124,'SINAPI MAIO 2020'!$1:$1048576,3,0),IFERROR(VLOOKUP($C124,'6-COMP. PROPRIA'!$B$1:$I$808,5,0),""))</f>
        <v/>
      </c>
      <c r="M124" s="94"/>
      <c r="N124" s="105"/>
    </row>
    <row r="125" spans="2:14" ht="17.25" customHeight="1">
      <c r="B125" s="164"/>
      <c r="C125" s="20"/>
      <c r="D125" s="20"/>
      <c r="E125" s="238"/>
      <c r="F125" s="312"/>
      <c r="G125" s="312"/>
      <c r="H125" s="312"/>
      <c r="I125" s="312"/>
      <c r="J125" s="103"/>
      <c r="K125" s="211"/>
      <c r="L125" s="239" t="str">
        <f>IFERROR(VLOOKUP($C125,'SINAPI MAIO 2020'!$1:$1048576,3,0),IFERROR(VLOOKUP($C125,'6-COMP. PROPRIA'!$B$1:$I$808,5,0),""))</f>
        <v/>
      </c>
      <c r="M125" s="94"/>
      <c r="N125" s="105"/>
    </row>
    <row r="126" spans="2:14" ht="17.25" customHeight="1">
      <c r="B126" s="164"/>
      <c r="C126" s="20"/>
      <c r="D126" s="20"/>
      <c r="E126" s="238"/>
      <c r="F126" s="312"/>
      <c r="G126" s="312"/>
      <c r="H126" s="312"/>
      <c r="I126" s="312"/>
      <c r="J126" s="103"/>
      <c r="K126" s="211"/>
      <c r="L126" s="239" t="str">
        <f>IFERROR(VLOOKUP($C126,'SINAPI MAIO 2020'!$1:$1048576,3,0),IFERROR(VLOOKUP($C126,'6-COMP. PROPRIA'!$B$1:$I$808,5,0),""))</f>
        <v/>
      </c>
      <c r="M126" s="94"/>
      <c r="N126" s="105"/>
    </row>
    <row r="127" spans="2:14" ht="17.25" customHeight="1">
      <c r="B127" s="168"/>
      <c r="C127" s="274">
        <v>97645</v>
      </c>
      <c r="D127" s="275" t="s">
        <v>8</v>
      </c>
      <c r="E127" s="683" t="str">
        <f>IFERROR(VLOOKUP($C127,'SINAPI MAIO 2020'!$1:$1048576,2,0),IFERROR(VLOOKUP($C127,'6-COMP. PROPRIA'!$B$1:$I$808,4,0),""))</f>
        <v>REMOÇÃO DE JANELAS, DE FORMA MANUAL, SEM REAPROVEITAMENTO. AF_12/2017</v>
      </c>
      <c r="F127" s="684"/>
      <c r="G127" s="684"/>
      <c r="H127" s="684"/>
      <c r="I127" s="684"/>
      <c r="J127" s="685"/>
      <c r="K127" s="212">
        <f>SUM(K129:K132)</f>
        <v>28.94</v>
      </c>
      <c r="L127" s="239" t="str">
        <f>IFERROR(VLOOKUP($C127,'SINAPI MAIO 2020'!$1:$1048576,3,0),IFERROR(VLOOKUP($C127,'6-COMP. PROPRIA'!$B$1:$I$808,5,0),""))</f>
        <v>M2</v>
      </c>
      <c r="M127" s="43">
        <f>K127*0.15</f>
        <v>4.3410000000000002</v>
      </c>
      <c r="N127" s="121" t="s">
        <v>41</v>
      </c>
    </row>
    <row r="128" spans="2:14" ht="17.25" customHeight="1">
      <c r="B128" s="168"/>
      <c r="C128" s="91"/>
      <c r="D128" s="91"/>
      <c r="E128" s="83" t="s">
        <v>930</v>
      </c>
      <c r="F128" s="311" t="s">
        <v>919</v>
      </c>
      <c r="G128" s="312"/>
      <c r="H128" s="311" t="s">
        <v>902</v>
      </c>
      <c r="I128" s="49"/>
      <c r="J128" s="119"/>
      <c r="K128" s="210"/>
      <c r="L128" s="239" t="str">
        <f>IFERROR(VLOOKUP($C128,'SINAPI MAIO 2020'!$1:$1048576,3,0),IFERROR(VLOOKUP($C128,'6-COMP. PROPRIA'!$B$1:$I$808,5,0),""))</f>
        <v/>
      </c>
      <c r="M128" s="122"/>
      <c r="N128" s="121"/>
    </row>
    <row r="129" spans="2:16" ht="17.25" customHeight="1">
      <c r="B129" s="168" t="s">
        <v>6062</v>
      </c>
      <c r="C129" s="91"/>
      <c r="D129" s="91"/>
      <c r="E129" s="102">
        <v>2</v>
      </c>
      <c r="F129" s="63">
        <v>1</v>
      </c>
      <c r="G129" s="312"/>
      <c r="H129" s="63">
        <v>12</v>
      </c>
      <c r="I129" s="49"/>
      <c r="J129" s="119"/>
      <c r="K129" s="216">
        <f>E129*F129*H129</f>
        <v>24</v>
      </c>
      <c r="L129" s="239" t="str">
        <f>IFERROR(VLOOKUP($C129,'SINAPI MAIO 2020'!$1:$1048576,3,0),IFERROR(VLOOKUP($C129,'6-COMP. PROPRIA'!$B$1:$I$808,5,0),""))</f>
        <v/>
      </c>
      <c r="M129" s="123"/>
      <c r="N129" s="121"/>
    </row>
    <row r="130" spans="2:16" ht="17.25" customHeight="1">
      <c r="B130" s="168" t="s">
        <v>6063</v>
      </c>
      <c r="C130" s="91"/>
      <c r="D130" s="91"/>
      <c r="E130" s="102">
        <v>0.6</v>
      </c>
      <c r="F130" s="63">
        <v>0.6</v>
      </c>
      <c r="G130" s="312"/>
      <c r="H130" s="63">
        <v>4</v>
      </c>
      <c r="I130" s="49"/>
      <c r="J130" s="119"/>
      <c r="K130" s="216">
        <f>E130*F130*H130</f>
        <v>1.44</v>
      </c>
      <c r="L130" s="239" t="str">
        <f>IFERROR(VLOOKUP($C130,'SINAPI MAIO 2020'!$1:$1048576,3,0),IFERROR(VLOOKUP($C130,'6-COMP. PROPRIA'!$B$1:$I$808,5,0),""))</f>
        <v/>
      </c>
      <c r="M130" s="123"/>
      <c r="N130" s="121"/>
    </row>
    <row r="131" spans="2:16" ht="17.25" customHeight="1">
      <c r="B131" s="168"/>
      <c r="C131" s="91"/>
      <c r="D131" s="91"/>
      <c r="E131" s="102">
        <v>1.1000000000000001</v>
      </c>
      <c r="F131" s="63">
        <v>1</v>
      </c>
      <c r="G131" s="312"/>
      <c r="H131" s="63">
        <v>1</v>
      </c>
      <c r="I131" s="49"/>
      <c r="J131" s="119"/>
      <c r="K131" s="216">
        <f t="shared" ref="K131:K132" si="3">E131*F131*H131</f>
        <v>1.1000000000000001</v>
      </c>
      <c r="L131" s="239" t="str">
        <f>IFERROR(VLOOKUP($C131,'SINAPI MAIO 2020'!$1:$1048576,3,0),IFERROR(VLOOKUP($C131,'6-COMP. PROPRIA'!$B$1:$I$808,5,0),""))</f>
        <v/>
      </c>
      <c r="M131" s="123"/>
      <c r="N131" s="121"/>
    </row>
    <row r="132" spans="2:16" ht="17.25" customHeight="1">
      <c r="B132" s="168"/>
      <c r="C132" s="91"/>
      <c r="D132" s="91"/>
      <c r="E132" s="102">
        <v>1.2</v>
      </c>
      <c r="F132" s="63">
        <v>1</v>
      </c>
      <c r="G132" s="312"/>
      <c r="H132" s="63">
        <v>2</v>
      </c>
      <c r="I132" s="49"/>
      <c r="J132" s="119"/>
      <c r="K132" s="216">
        <f t="shared" si="3"/>
        <v>2.4</v>
      </c>
      <c r="L132" s="239" t="str">
        <f>IFERROR(VLOOKUP($C132,'SINAPI MAIO 2020'!$1:$1048576,3,0),IFERROR(VLOOKUP($C132,'6-COMP. PROPRIA'!$B$1:$I$808,5,0),""))</f>
        <v/>
      </c>
      <c r="M132" s="123"/>
      <c r="N132" s="121"/>
    </row>
    <row r="133" spans="2:16" ht="17.25" customHeight="1">
      <c r="B133" s="168"/>
      <c r="C133" s="91"/>
      <c r="D133" s="91"/>
      <c r="E133" s="124"/>
      <c r="F133" s="312"/>
      <c r="G133" s="312"/>
      <c r="H133" s="49"/>
      <c r="I133" s="49"/>
      <c r="J133" s="119"/>
      <c r="K133" s="216"/>
      <c r="L133" s="239" t="str">
        <f>IFERROR(VLOOKUP($C133,'SINAPI MAIO 2020'!$1:$1048576,3,0),IFERROR(VLOOKUP($C133,'6-COMP. PROPRIA'!$B$1:$I$808,5,0),""))</f>
        <v/>
      </c>
      <c r="M133" s="123"/>
      <c r="N133" s="121"/>
    </row>
    <row r="134" spans="2:16" ht="17.25" customHeight="1">
      <c r="B134" s="168"/>
      <c r="C134" s="91"/>
      <c r="D134" s="91"/>
      <c r="E134" s="124"/>
      <c r="F134" s="312"/>
      <c r="G134" s="312"/>
      <c r="H134" s="49"/>
      <c r="I134" s="49"/>
      <c r="J134" s="119"/>
      <c r="K134" s="210"/>
      <c r="L134" s="239" t="str">
        <f>IFERROR(VLOOKUP($C134,'SINAPI MAIO 2020'!$1:$1048576,3,0),IFERROR(VLOOKUP($C134,'6-COMP. PROPRIA'!$B$1:$I$808,5,0),""))</f>
        <v/>
      </c>
      <c r="M134" s="123"/>
      <c r="N134" s="121"/>
    </row>
    <row r="135" spans="2:16" ht="17.25" customHeight="1">
      <c r="B135" s="168"/>
      <c r="C135" s="274">
        <v>97644</v>
      </c>
      <c r="D135" s="275" t="s">
        <v>8</v>
      </c>
      <c r="E135" s="683" t="str">
        <f>IFERROR(VLOOKUP($C135,'SINAPI MAIO 2020'!$1:$1048576,2,0),IFERROR(VLOOKUP($C135,'6-COMP. PROPRIA'!$B$1:$I$808,4,0),""))</f>
        <v>REMOÇÃO DE PORTAS, DE FORMA MANUAL, SEM REAPROVEITAMENTO. AF_12/2017</v>
      </c>
      <c r="F135" s="684"/>
      <c r="G135" s="684"/>
      <c r="H135" s="684"/>
      <c r="I135" s="684"/>
      <c r="J135" s="685"/>
      <c r="K135" s="212">
        <f>SUM(K137:K139)</f>
        <v>27.060000000000002</v>
      </c>
      <c r="L135" s="239" t="str">
        <f>IFERROR(VLOOKUP($C135,'SINAPI MAIO 2020'!$1:$1048576,3,0),IFERROR(VLOOKUP($C135,'6-COMP. PROPRIA'!$B$1:$I$808,5,0),""))</f>
        <v>M2</v>
      </c>
      <c r="M135" s="43">
        <f>K135*0.15</f>
        <v>4.0590000000000002</v>
      </c>
      <c r="N135" s="121" t="s">
        <v>41</v>
      </c>
    </row>
    <row r="136" spans="2:16" ht="17.25" customHeight="1">
      <c r="B136" s="168"/>
      <c r="C136" s="91"/>
      <c r="D136" s="91"/>
      <c r="E136" s="83" t="s">
        <v>930</v>
      </c>
      <c r="F136" s="311" t="s">
        <v>919</v>
      </c>
      <c r="G136" s="312"/>
      <c r="H136" s="311" t="s">
        <v>902</v>
      </c>
      <c r="I136" s="49"/>
      <c r="J136" s="125"/>
      <c r="K136" s="210"/>
      <c r="L136" s="239" t="str">
        <f>IFERROR(VLOOKUP($C136,'SINAPI MAIO 2020'!$1:$1048576,3,0),IFERROR(VLOOKUP($C136,'6-COMP. PROPRIA'!$B$1:$I$808,5,0),""))</f>
        <v/>
      </c>
      <c r="M136" s="122"/>
      <c r="N136" s="121"/>
    </row>
    <row r="137" spans="2:16" ht="17.25" customHeight="1">
      <c r="B137" s="168" t="s">
        <v>6065</v>
      </c>
      <c r="C137" s="295"/>
      <c r="D137" s="295"/>
      <c r="E137" s="102">
        <v>2.1</v>
      </c>
      <c r="F137" s="63">
        <v>0.8</v>
      </c>
      <c r="G137" s="312"/>
      <c r="H137" s="63">
        <v>11</v>
      </c>
      <c r="I137" s="49"/>
      <c r="J137" s="125"/>
      <c r="K137" s="216">
        <f>E137*F137*H137</f>
        <v>18.48</v>
      </c>
      <c r="L137" s="239" t="str">
        <f>IFERROR(VLOOKUP($C137,'SINAPI MAIO 2020'!$1:$1048576,3,0),IFERROR(VLOOKUP($C137,'6-COMP. PROPRIA'!$B$1:$I$808,5,0),""))</f>
        <v/>
      </c>
      <c r="M137" s="127"/>
      <c r="N137" s="121"/>
    </row>
    <row r="138" spans="2:16" ht="17.25" customHeight="1">
      <c r="B138" s="168" t="s">
        <v>6064</v>
      </c>
      <c r="C138" s="295"/>
      <c r="D138" s="295"/>
      <c r="E138" s="102">
        <v>1.8</v>
      </c>
      <c r="F138" s="63">
        <v>0.6</v>
      </c>
      <c r="G138" s="312"/>
      <c r="H138" s="63">
        <v>6</v>
      </c>
      <c r="I138" s="49"/>
      <c r="J138" s="125"/>
      <c r="K138" s="216">
        <f>E138*F138*H138</f>
        <v>6.48</v>
      </c>
      <c r="L138" s="239" t="str">
        <f>IFERROR(VLOOKUP($C138,'SINAPI MAIO 2020'!$1:$1048576,3,0),IFERROR(VLOOKUP($C138,'6-COMP. PROPRIA'!$B$1:$I$808,5,0),""))</f>
        <v/>
      </c>
      <c r="M138" s="127"/>
      <c r="N138" s="121"/>
    </row>
    <row r="139" spans="2:16" ht="17.25" customHeight="1">
      <c r="B139" s="168" t="s">
        <v>6140</v>
      </c>
      <c r="C139" s="295"/>
      <c r="D139" s="295"/>
      <c r="E139" s="102">
        <v>1</v>
      </c>
      <c r="F139" s="63">
        <v>2.1</v>
      </c>
      <c r="G139" s="312"/>
      <c r="H139" s="63">
        <v>1</v>
      </c>
      <c r="I139" s="49"/>
      <c r="J139" s="125"/>
      <c r="K139" s="216">
        <f>E139*F139*H139</f>
        <v>2.1</v>
      </c>
      <c r="L139" s="239" t="str">
        <f>IFERROR(VLOOKUP($C139,'SINAPI MAIO 2020'!$1:$1048576,3,0),IFERROR(VLOOKUP($C139,'6-COMP. PROPRIA'!$B$1:$I$808,5,0),""))</f>
        <v/>
      </c>
      <c r="M139" s="127"/>
      <c r="N139" s="121"/>
    </row>
    <row r="140" spans="2:16" ht="17.25" customHeight="1">
      <c r="B140" s="168"/>
      <c r="C140" s="295"/>
      <c r="D140" s="295"/>
      <c r="E140" s="314"/>
      <c r="F140" s="312"/>
      <c r="G140" s="312"/>
      <c r="H140" s="312"/>
      <c r="I140" s="49"/>
      <c r="J140" s="125"/>
      <c r="K140" s="216"/>
      <c r="L140" s="239" t="str">
        <f>IFERROR(VLOOKUP($C140,'SINAPI MAIO 2020'!$1:$1048576,3,0),IFERROR(VLOOKUP($C140,'6-COMP. PROPRIA'!$B$1:$I$808,5,0),""))</f>
        <v/>
      </c>
      <c r="M140" s="127"/>
      <c r="N140" s="121"/>
    </row>
    <row r="141" spans="2:16" ht="17.25" customHeight="1">
      <c r="B141" s="168"/>
      <c r="C141" s="274" t="str">
        <f>'6-COMP. PROPRIA'!B32</f>
        <v>CP-DEM-3</v>
      </c>
      <c r="D141" s="275" t="s">
        <v>980</v>
      </c>
      <c r="E141" s="683" t="str">
        <f>IFERROR(VLOOKUP($C141,'SINAPI MAIO 2020'!$1:$1048576,2,0),IFERROR(VLOOKUP($C141,'6-COMP. PROPRIA'!$B$1:$I$808,4,0),""))</f>
        <v xml:space="preserve">REMOÇÃO DE PEÇAS DE SANITÁRIAS </v>
      </c>
      <c r="F141" s="684"/>
      <c r="G141" s="684"/>
      <c r="H141" s="684"/>
      <c r="I141" s="684"/>
      <c r="J141" s="685"/>
      <c r="K141" s="212">
        <f>SUM(H143:H143)</f>
        <v>12</v>
      </c>
      <c r="L141" s="239" t="str">
        <f>IFERROR(VLOOKUP($C141,'SINAPI MAIO 2020'!$1:$1048576,3,0),IFERROR(VLOOKUP($C141,'6-COMP. PROPRIA'!$B$1:$I$808,5,0),""))</f>
        <v>UNI</v>
      </c>
      <c r="M141" s="43">
        <f>K141*0.4*0.4*0.4</f>
        <v>0.76800000000000024</v>
      </c>
      <c r="N141" s="121" t="s">
        <v>41</v>
      </c>
    </row>
    <row r="142" spans="2:16" ht="17.25" customHeight="1">
      <c r="B142" s="168"/>
      <c r="C142" s="91"/>
      <c r="D142" s="91"/>
      <c r="E142" s="314"/>
      <c r="F142" s="312"/>
      <c r="G142" s="312"/>
      <c r="H142" s="57" t="s">
        <v>986</v>
      </c>
      <c r="I142" s="49"/>
      <c r="J142" s="125"/>
      <c r="K142" s="210"/>
      <c r="L142" s="239" t="str">
        <f>IFERROR(VLOOKUP($C142,'SINAPI MAIO 2020'!$1:$1048576,3,0),IFERROR(VLOOKUP($C142,'6-COMP. PROPRIA'!$B$1:$I$808,5,0),""))</f>
        <v/>
      </c>
      <c r="M142" s="122"/>
      <c r="N142" s="121"/>
    </row>
    <row r="143" spans="2:16" ht="17.25" customHeight="1">
      <c r="B143" s="168" t="s">
        <v>6066</v>
      </c>
      <c r="C143" s="295"/>
      <c r="D143" s="295"/>
      <c r="E143" s="126"/>
      <c r="F143" s="312"/>
      <c r="G143" s="312"/>
      <c r="H143" s="63">
        <v>12</v>
      </c>
      <c r="I143" s="49"/>
      <c r="J143" s="125"/>
      <c r="K143" s="210"/>
      <c r="L143" s="239" t="str">
        <f>IFERROR(VLOOKUP($C143,'SINAPI MAIO 2020'!$1:$1048576,3,0),IFERROR(VLOOKUP($C143,'6-COMP. PROPRIA'!$B$1:$I$808,5,0),""))</f>
        <v/>
      </c>
      <c r="M143" s="127"/>
      <c r="N143" s="121"/>
    </row>
    <row r="144" spans="2:16" ht="17.25" customHeight="1">
      <c r="B144" s="168"/>
      <c r="C144" s="91"/>
      <c r="D144" s="91"/>
      <c r="E144" s="124"/>
      <c r="F144" s="312"/>
      <c r="G144" s="312"/>
      <c r="H144" s="49"/>
      <c r="I144" s="49"/>
      <c r="J144" s="125"/>
      <c r="K144" s="216"/>
      <c r="L144" s="239" t="str">
        <f>IFERROR(VLOOKUP($C144,'SINAPI MAIO 2020'!$1:$1048576,3,0),IFERROR(VLOOKUP($C144,'6-COMP. PROPRIA'!$B$1:$I$808,5,0),""))</f>
        <v/>
      </c>
      <c r="M144" s="128"/>
      <c r="N144" s="121"/>
      <c r="P144" s="95"/>
    </row>
    <row r="145" spans="2:16" ht="17.25" customHeight="1">
      <c r="B145" s="168"/>
      <c r="C145" s="274">
        <v>97622</v>
      </c>
      <c r="D145" s="275" t="s">
        <v>8</v>
      </c>
      <c r="E145" s="683" t="str">
        <f>IFERROR(VLOOKUP($C145,'SINAPI MAIO 2020'!$1:$1048576,2,0),IFERROR(VLOOKUP($C145,'6-COMP. PROPRIA'!$B$1:$I$808,4,0),""))</f>
        <v>DEMOLIÇÃO DE ALVENARIA DE BLOCO FURADO, DE FORMA MANUAL, SEM REAPROVEITAMENTO. AF_12/2017</v>
      </c>
      <c r="F145" s="684"/>
      <c r="G145" s="684"/>
      <c r="H145" s="684"/>
      <c r="I145" s="684"/>
      <c r="J145" s="685"/>
      <c r="K145" s="212">
        <f>SUM(K147:K149)</f>
        <v>2.1869999999999998</v>
      </c>
      <c r="L145" s="239" t="str">
        <f>IFERROR(VLOOKUP($C145,'SINAPI MAIO 2020'!$1:$1048576,3,0),IFERROR(VLOOKUP($C145,'6-COMP. PROPRIA'!$B$1:$I$808,5,0),""))</f>
        <v>M3</v>
      </c>
      <c r="M145" s="43">
        <f>K145</f>
        <v>2.1869999999999998</v>
      </c>
      <c r="N145" s="121" t="s">
        <v>41</v>
      </c>
      <c r="P145" s="95"/>
    </row>
    <row r="146" spans="2:16" ht="36" customHeight="1">
      <c r="B146" s="168"/>
      <c r="C146" s="91"/>
      <c r="D146" s="91"/>
      <c r="E146" s="75" t="s">
        <v>987</v>
      </c>
      <c r="F146" s="309" t="s">
        <v>988</v>
      </c>
      <c r="G146" s="311" t="s">
        <v>6144</v>
      </c>
      <c r="H146" s="309" t="s">
        <v>922</v>
      </c>
      <c r="I146" s="49"/>
      <c r="J146" s="125"/>
      <c r="K146" s="216"/>
      <c r="L146" s="239" t="str">
        <f>IFERROR(VLOOKUP($C146,'SINAPI MAIO 2020'!$1:$1048576,3,0),IFERROR(VLOOKUP($C146,'6-COMP. PROPRIA'!$B$1:$I$808,5,0),""))</f>
        <v/>
      </c>
      <c r="M146" s="128"/>
      <c r="N146" s="121"/>
      <c r="P146" s="95"/>
    </row>
    <row r="147" spans="2:16" ht="33" customHeight="1">
      <c r="B147" s="168" t="s">
        <v>6067</v>
      </c>
      <c r="C147" s="91"/>
      <c r="D147" s="91"/>
      <c r="E147" s="102">
        <v>1</v>
      </c>
      <c r="F147" s="63">
        <v>2</v>
      </c>
      <c r="G147" s="63">
        <v>0.15</v>
      </c>
      <c r="H147" s="63">
        <v>6</v>
      </c>
      <c r="I147" s="49"/>
      <c r="J147" s="125"/>
      <c r="K147" s="216">
        <f t="shared" ref="K147:K149" si="4">E147*F147*H147*G147</f>
        <v>1.7999999999999998</v>
      </c>
      <c r="L147" s="239" t="str">
        <f>IFERROR(VLOOKUP($C147,'SINAPI MAIO 2020'!$1:$1048576,3,0),IFERROR(VLOOKUP($C147,'6-COMP. PROPRIA'!$B$1:$I$808,5,0),""))</f>
        <v/>
      </c>
      <c r="M147" s="128"/>
      <c r="N147" s="121"/>
      <c r="P147" s="95"/>
    </row>
    <row r="148" spans="2:16" ht="17.25" customHeight="1">
      <c r="B148" s="168" t="s">
        <v>6068</v>
      </c>
      <c r="C148" s="91"/>
      <c r="D148" s="91"/>
      <c r="E148" s="102">
        <f>1-0.6</f>
        <v>0.4</v>
      </c>
      <c r="F148" s="63">
        <v>0.6</v>
      </c>
      <c r="G148" s="63">
        <v>0.15</v>
      </c>
      <c r="H148" s="63">
        <v>2</v>
      </c>
      <c r="I148" s="49"/>
      <c r="J148" s="125"/>
      <c r="K148" s="216">
        <f t="shared" si="4"/>
        <v>7.1999999999999995E-2</v>
      </c>
      <c r="L148" s="239" t="str">
        <f>IFERROR(VLOOKUP($C148,'SINAPI MAIO 2020'!$1:$1048576,3,0),IFERROR(VLOOKUP($C148,'6-COMP. PROPRIA'!$B$1:$I$808,5,0),""))</f>
        <v/>
      </c>
      <c r="M148" s="128"/>
      <c r="N148" s="121"/>
      <c r="P148" s="95"/>
    </row>
    <row r="149" spans="2:16" ht="17.25" customHeight="1">
      <c r="B149" s="168" t="s">
        <v>6140</v>
      </c>
      <c r="C149" s="91"/>
      <c r="D149" s="91"/>
      <c r="E149" s="102">
        <v>1</v>
      </c>
      <c r="F149" s="63">
        <v>2.1</v>
      </c>
      <c r="G149" s="63">
        <v>0.15</v>
      </c>
      <c r="H149" s="63">
        <v>1</v>
      </c>
      <c r="I149" s="49"/>
      <c r="J149" s="125"/>
      <c r="K149" s="216">
        <f t="shared" si="4"/>
        <v>0.315</v>
      </c>
      <c r="L149" s="239" t="str">
        <f>IFERROR(VLOOKUP($C149,'SINAPI MAIO 2020'!$1:$1048576,3,0),IFERROR(VLOOKUP($C149,'6-COMP. PROPRIA'!$B$1:$I$808,5,0),""))</f>
        <v/>
      </c>
      <c r="M149" s="128"/>
      <c r="N149" s="121"/>
      <c r="P149" s="95"/>
    </row>
    <row r="150" spans="2:16" ht="17.25" customHeight="1">
      <c r="B150" s="168"/>
      <c r="C150" s="91"/>
      <c r="D150" s="91"/>
      <c r="E150" s="124"/>
      <c r="F150" s="49"/>
      <c r="G150" s="49"/>
      <c r="H150" s="49"/>
      <c r="I150" s="49"/>
      <c r="J150" s="125"/>
      <c r="K150" s="216"/>
      <c r="L150" s="239" t="str">
        <f>IFERROR(VLOOKUP($C150,'SINAPI MAIO 2020'!$1:$1048576,3,0),IFERROR(VLOOKUP($C150,'6-COMP. PROPRIA'!$B$1:$I$808,5,0),""))</f>
        <v/>
      </c>
      <c r="M150" s="128"/>
      <c r="N150" s="121"/>
      <c r="P150" s="95"/>
    </row>
    <row r="151" spans="2:16" ht="17.25" customHeight="1">
      <c r="B151" s="168"/>
      <c r="C151" s="274">
        <v>97625</v>
      </c>
      <c r="D151" s="275" t="s">
        <v>8</v>
      </c>
      <c r="E151" s="683" t="str">
        <f>IFERROR(VLOOKUP($C151,'SINAPI MAIO 2020'!$1:$1048576,2,0),IFERROR(VLOOKUP($C151,'6-COMP. PROPRIA'!$B$1:$I$808,4,0),""))</f>
        <v>DEMOLIÇÃO DE ALVENARIA PARA QUALQUER TIPO DE BLOCO, DE FORMA MECANIZADA, SEM REAPROVEITAMENTO. AF_12/2017</v>
      </c>
      <c r="F151" s="684"/>
      <c r="G151" s="684"/>
      <c r="H151" s="684"/>
      <c r="I151" s="684"/>
      <c r="J151" s="685"/>
      <c r="K151" s="212">
        <f>SUM(K153:K154)</f>
        <v>70.902000000000001</v>
      </c>
      <c r="L151" s="239" t="str">
        <f>IFERROR(VLOOKUP($C151,'SINAPI MAIO 2020'!$1:$1048576,3,0),IFERROR(VLOOKUP($C151,'6-COMP. PROPRIA'!$B$1:$I$808,5,0),""))</f>
        <v>M3</v>
      </c>
      <c r="M151" s="43">
        <f>K151</f>
        <v>70.902000000000001</v>
      </c>
      <c r="N151" s="121" t="s">
        <v>41</v>
      </c>
      <c r="P151" s="95"/>
    </row>
    <row r="152" spans="2:16" ht="30.75" customHeight="1">
      <c r="B152" s="168"/>
      <c r="C152" s="91"/>
      <c r="D152" s="91"/>
      <c r="E152" s="75" t="s">
        <v>957</v>
      </c>
      <c r="F152" s="309" t="s">
        <v>12442</v>
      </c>
      <c r="G152" s="329" t="s">
        <v>6220</v>
      </c>
      <c r="H152" s="309" t="s">
        <v>922</v>
      </c>
      <c r="I152" s="49"/>
      <c r="J152" s="125"/>
      <c r="K152" s="216"/>
      <c r="L152" s="239" t="str">
        <f>IFERROR(VLOOKUP($C152,'SINAPI MAIO 2020'!$1:$1048576,3,0),IFERROR(VLOOKUP($C152,'6-COMP. PROPRIA'!$B$1:$I$808,5,0),""))</f>
        <v/>
      </c>
      <c r="M152" s="128"/>
      <c r="N152" s="121"/>
      <c r="P152" s="95"/>
    </row>
    <row r="153" spans="2:16" ht="17.25" customHeight="1">
      <c r="B153" s="168" t="s">
        <v>6056</v>
      </c>
      <c r="C153" s="91"/>
      <c r="D153" s="91"/>
      <c r="E153" s="113">
        <f>34+31.78+27.24</f>
        <v>93.02</v>
      </c>
      <c r="F153" s="63">
        <v>3</v>
      </c>
      <c r="G153" s="63">
        <v>0.15</v>
      </c>
      <c r="H153" s="63">
        <v>1</v>
      </c>
      <c r="I153" s="49"/>
      <c r="J153" s="125"/>
      <c r="K153" s="216">
        <f>E153*F153*H153*G153</f>
        <v>41.859000000000002</v>
      </c>
      <c r="L153" s="239" t="str">
        <f>IFERROR(VLOOKUP($C153,'SINAPI MAIO 2020'!$1:$1048576,3,0),IFERROR(VLOOKUP($C153,'6-COMP. PROPRIA'!$B$1:$I$808,5,0),""))</f>
        <v/>
      </c>
      <c r="M153" s="128"/>
      <c r="N153" s="121"/>
      <c r="P153" s="95"/>
    </row>
    <row r="154" spans="2:16" ht="34.5" customHeight="1">
      <c r="B154" s="168" t="s">
        <v>12443</v>
      </c>
      <c r="C154" s="91"/>
      <c r="D154" s="91"/>
      <c r="E154" s="113">
        <f>32.02+31.52+1</f>
        <v>64.540000000000006</v>
      </c>
      <c r="F154" s="63">
        <v>3</v>
      </c>
      <c r="G154" s="63">
        <v>0.15</v>
      </c>
      <c r="H154" s="63">
        <v>1</v>
      </c>
      <c r="I154" s="49"/>
      <c r="J154" s="125"/>
      <c r="K154" s="216">
        <f>E154*F154*H154*G154</f>
        <v>29.042999999999999</v>
      </c>
      <c r="L154" s="239" t="str">
        <f>IFERROR(VLOOKUP($C154,'SINAPI MAIO 2020'!$1:$1048576,3,0),IFERROR(VLOOKUP($C154,'6-COMP. PROPRIA'!$B$1:$I$808,5,0),""))</f>
        <v/>
      </c>
      <c r="M154" s="128"/>
      <c r="N154" s="121"/>
      <c r="P154" s="95"/>
    </row>
    <row r="155" spans="2:16" ht="17.25" customHeight="1">
      <c r="B155" s="168"/>
      <c r="C155" s="91"/>
      <c r="D155" s="91"/>
      <c r="E155" s="124"/>
      <c r="F155" s="49"/>
      <c r="G155" s="49"/>
      <c r="H155" s="49"/>
      <c r="I155" s="49"/>
      <c r="J155" s="125"/>
      <c r="K155" s="216"/>
      <c r="L155" s="239" t="str">
        <f>IFERROR(VLOOKUP($C155,'SINAPI MAIO 2020'!$1:$1048576,3,0),IFERROR(VLOOKUP($C155,'6-COMP. PROPRIA'!$B$1:$I$808,5,0),""))</f>
        <v/>
      </c>
      <c r="M155" s="128"/>
      <c r="N155" s="121"/>
      <c r="P155" s="95"/>
    </row>
    <row r="156" spans="2:16" ht="17.25" customHeight="1">
      <c r="B156" s="168"/>
      <c r="C156" s="91"/>
      <c r="D156" s="91"/>
      <c r="E156" s="124"/>
      <c r="F156" s="49"/>
      <c r="G156" s="49"/>
      <c r="H156" s="49"/>
      <c r="I156" s="49"/>
      <c r="J156" s="125"/>
      <c r="K156" s="216"/>
      <c r="L156" s="239" t="str">
        <f>IFERROR(VLOOKUP($C156,'SINAPI MAIO 2020'!$1:$1048576,3,0),IFERROR(VLOOKUP($C156,'6-COMP. PROPRIA'!$B$1:$I$808,5,0),""))</f>
        <v/>
      </c>
      <c r="M156" s="128"/>
      <c r="N156" s="121"/>
      <c r="P156" s="95"/>
    </row>
    <row r="157" spans="2:16" ht="54" customHeight="1">
      <c r="B157" s="168"/>
      <c r="C157" s="274">
        <v>98526</v>
      </c>
      <c r="D157" s="275" t="s">
        <v>8</v>
      </c>
      <c r="E157" s="683" t="str">
        <f>IFERROR(VLOOKUP($C157,'SINAPI MAIO 2020'!$1:$1048576,2,0),IFERROR(VLOOKUP($C157,'6-COMP. PROPRIA'!$B$1:$I$808,4,0),""))</f>
        <v>REMOÇÃO DE RAÍZES REMANESCENTES DE TRONCO DE ÁRVORE COM DIÂMETRO MAIOR OU IGUAL A 0,20 M E MENOR QUE 0,40 M.AF_05/2018</v>
      </c>
      <c r="F157" s="684"/>
      <c r="G157" s="684"/>
      <c r="H157" s="684"/>
      <c r="I157" s="684"/>
      <c r="J157" s="685"/>
      <c r="K157" s="212">
        <f>K159</f>
        <v>1</v>
      </c>
      <c r="L157" s="239" t="str">
        <f>IFERROR(VLOOKUP($C157,'SINAPI MAIO 2020'!$1:$1048576,3,0),IFERROR(VLOOKUP($C157,'6-COMP. PROPRIA'!$B$1:$I$808,5,0),""))</f>
        <v>UN</v>
      </c>
      <c r="M157" s="43">
        <f>3.14*0.1*0.1*2*K157</f>
        <v>6.2800000000000009E-2</v>
      </c>
      <c r="N157" s="121" t="s">
        <v>41</v>
      </c>
      <c r="P157" s="95"/>
    </row>
    <row r="158" spans="2:16" ht="17.25" customHeight="1">
      <c r="B158" s="168"/>
      <c r="C158" s="91"/>
      <c r="D158" s="91"/>
      <c r="E158" s="75"/>
      <c r="F158" s="309"/>
      <c r="G158" s="312"/>
      <c r="H158" s="309" t="s">
        <v>922</v>
      </c>
      <c r="I158" s="49"/>
      <c r="J158" s="125"/>
      <c r="K158" s="216"/>
      <c r="L158" s="239" t="str">
        <f>IFERROR(VLOOKUP($C158,'SINAPI MAIO 2020'!$1:$1048576,3,0),IFERROR(VLOOKUP($C158,'6-COMP. PROPRIA'!$B$1:$I$808,5,0),""))</f>
        <v/>
      </c>
      <c r="M158" s="128"/>
      <c r="N158" s="121"/>
      <c r="P158" s="95"/>
    </row>
    <row r="159" spans="2:16" ht="17.25" customHeight="1">
      <c r="B159" s="168"/>
      <c r="C159" s="91"/>
      <c r="D159" s="91"/>
      <c r="E159" s="75"/>
      <c r="F159" s="309"/>
      <c r="G159" s="312"/>
      <c r="H159" s="63">
        <v>1</v>
      </c>
      <c r="I159" s="49"/>
      <c r="J159" s="125"/>
      <c r="K159" s="216">
        <f>H159</f>
        <v>1</v>
      </c>
      <c r="L159" s="239" t="str">
        <f>IFERROR(VLOOKUP($C159,'SINAPI MAIO 2020'!$1:$1048576,3,0),IFERROR(VLOOKUP($C159,'6-COMP. PROPRIA'!$B$1:$I$808,5,0),""))</f>
        <v/>
      </c>
      <c r="M159" s="128"/>
      <c r="N159" s="121"/>
      <c r="P159" s="95"/>
    </row>
    <row r="160" spans="2:16" ht="17.25" customHeight="1">
      <c r="B160" s="168"/>
      <c r="C160" s="91"/>
      <c r="D160" s="91"/>
      <c r="E160" s="124"/>
      <c r="F160" s="49"/>
      <c r="G160" s="49"/>
      <c r="H160" s="49"/>
      <c r="I160" s="49"/>
      <c r="J160" s="125"/>
      <c r="K160" s="216"/>
      <c r="L160" s="239" t="str">
        <f>IFERROR(VLOOKUP($C160,'SINAPI MAIO 2020'!$1:$1048576,3,0),IFERROR(VLOOKUP($C160,'6-COMP. PROPRIA'!$B$1:$I$808,5,0),""))</f>
        <v/>
      </c>
      <c r="M160" s="128"/>
      <c r="N160" s="121"/>
      <c r="P160" s="95"/>
    </row>
    <row r="161" spans="2:16" ht="17.25" customHeight="1">
      <c r="B161" s="168"/>
      <c r="C161" s="274" t="str">
        <f>'6-COMP. PROPRIA'!B36</f>
        <v>CP-DEM-4</v>
      </c>
      <c r="D161" s="275" t="s">
        <v>980</v>
      </c>
      <c r="E161" s="683" t="str">
        <f>IFERROR(VLOOKUP($C161,'SINAPI MAIO 2020'!$1:$1048576,2,0),IFERROR(VLOOKUP($C161,'6-COMP. PROPRIA'!$B$1:$I$808,4,0),""))</f>
        <v>REMOÇÃO DE DIVISÓRIA DE GRANITO</v>
      </c>
      <c r="F161" s="684"/>
      <c r="G161" s="684"/>
      <c r="H161" s="684"/>
      <c r="I161" s="684"/>
      <c r="J161" s="685"/>
      <c r="K161" s="212">
        <f>SUM(K163:K166)</f>
        <v>11.844000000000001</v>
      </c>
      <c r="L161" s="239" t="str">
        <f>IFERROR(VLOOKUP($C161,'SINAPI MAIO 2020'!$1:$1048576,3,0),IFERROR(VLOOKUP($C161,'6-COMP. PROPRIA'!$B$1:$I$808,5,0),""))</f>
        <v>M</v>
      </c>
      <c r="M161" s="43">
        <f>K161*0.03</f>
        <v>0.35532000000000002</v>
      </c>
      <c r="N161" s="121" t="s">
        <v>41</v>
      </c>
      <c r="P161" s="95"/>
    </row>
    <row r="162" spans="2:16" ht="17.25" customHeight="1">
      <c r="B162" s="168"/>
      <c r="C162" s="91"/>
      <c r="D162" s="91"/>
      <c r="E162" s="75" t="s">
        <v>6099</v>
      </c>
      <c r="F162" s="309" t="s">
        <v>6043</v>
      </c>
      <c r="G162" s="312"/>
      <c r="H162" s="309" t="s">
        <v>922</v>
      </c>
      <c r="I162" s="49"/>
      <c r="J162" s="125"/>
      <c r="K162" s="216"/>
      <c r="L162" s="239" t="str">
        <f>IFERROR(VLOOKUP($C162,'SINAPI MAIO 2020'!$1:$1048576,3,0),IFERROR(VLOOKUP($C162,'6-COMP. PROPRIA'!$B$1:$I$808,5,0),""))</f>
        <v/>
      </c>
      <c r="M162" s="128"/>
      <c r="N162" s="121"/>
      <c r="P162" s="95"/>
    </row>
    <row r="163" spans="2:16" ht="17.25" customHeight="1">
      <c r="B163" s="168" t="s">
        <v>6100</v>
      </c>
      <c r="C163" s="91"/>
      <c r="D163" s="91"/>
      <c r="E163" s="102">
        <f>3.04-0.6-0.6-0.6</f>
        <v>1.2399999999999998</v>
      </c>
      <c r="F163" s="63">
        <v>1.8</v>
      </c>
      <c r="G163" s="312"/>
      <c r="H163" s="63">
        <v>1</v>
      </c>
      <c r="I163" s="49"/>
      <c r="J163" s="125"/>
      <c r="K163" s="216">
        <f>H163*F163*E163</f>
        <v>2.2319999999999998</v>
      </c>
      <c r="L163" s="239" t="str">
        <f>IFERROR(VLOOKUP($C163,'SINAPI MAIO 2020'!$1:$1048576,3,0),IFERROR(VLOOKUP($C163,'6-COMP. PROPRIA'!$B$1:$I$808,5,0),""))</f>
        <v/>
      </c>
      <c r="M163" s="128"/>
      <c r="N163" s="121"/>
      <c r="P163" s="95"/>
    </row>
    <row r="164" spans="2:16" ht="17.25" customHeight="1">
      <c r="B164" s="168" t="s">
        <v>6100</v>
      </c>
      <c r="C164" s="91"/>
      <c r="D164" s="91"/>
      <c r="E164" s="102">
        <f>1.2*2</f>
        <v>2.4</v>
      </c>
      <c r="F164" s="63">
        <v>1.8</v>
      </c>
      <c r="G164" s="312"/>
      <c r="H164" s="63">
        <v>1</v>
      </c>
      <c r="I164" s="49"/>
      <c r="J164" s="125"/>
      <c r="K164" s="216">
        <f t="shared" ref="K164:K166" si="5">H164*F164*E164</f>
        <v>4.32</v>
      </c>
      <c r="L164" s="239" t="str">
        <f>IFERROR(VLOOKUP($C164,'SINAPI MAIO 2020'!$1:$1048576,3,0),IFERROR(VLOOKUP($C164,'6-COMP. PROPRIA'!$B$1:$I$808,5,0),""))</f>
        <v/>
      </c>
      <c r="M164" s="128"/>
      <c r="N164" s="121"/>
      <c r="P164" s="95"/>
    </row>
    <row r="165" spans="2:16" ht="17.25" customHeight="1">
      <c r="B165" s="168" t="s">
        <v>6060</v>
      </c>
      <c r="C165" s="91"/>
      <c r="D165" s="91"/>
      <c r="E165" s="102">
        <f>1.74-0.6-0.6</f>
        <v>0.54000000000000015</v>
      </c>
      <c r="F165" s="63">
        <v>1.8</v>
      </c>
      <c r="G165" s="312"/>
      <c r="H165" s="63">
        <v>1</v>
      </c>
      <c r="I165" s="49"/>
      <c r="J165" s="125"/>
      <c r="K165" s="216">
        <f t="shared" si="5"/>
        <v>0.97200000000000031</v>
      </c>
      <c r="L165" s="239" t="str">
        <f>IFERROR(VLOOKUP($C165,'SINAPI MAIO 2020'!$1:$1048576,3,0),IFERROR(VLOOKUP($C165,'6-COMP. PROPRIA'!$B$1:$I$808,5,0),""))</f>
        <v/>
      </c>
      <c r="M165" s="128"/>
      <c r="N165" s="121"/>
      <c r="P165" s="95"/>
    </row>
    <row r="166" spans="2:16" ht="17.25" customHeight="1">
      <c r="B166" s="168" t="s">
        <v>6060</v>
      </c>
      <c r="C166" s="91"/>
      <c r="D166" s="91"/>
      <c r="E166" s="102">
        <f>1.2*2</f>
        <v>2.4</v>
      </c>
      <c r="F166" s="63">
        <v>1.8</v>
      </c>
      <c r="G166" s="312"/>
      <c r="H166" s="63">
        <v>1</v>
      </c>
      <c r="I166" s="49"/>
      <c r="J166" s="125"/>
      <c r="K166" s="216">
        <f t="shared" si="5"/>
        <v>4.32</v>
      </c>
      <c r="L166" s="239" t="str">
        <f>IFERROR(VLOOKUP($C166,'SINAPI MAIO 2020'!$1:$1048576,3,0),IFERROR(VLOOKUP($C166,'6-COMP. PROPRIA'!$B$1:$I$808,5,0),""))</f>
        <v/>
      </c>
      <c r="M166" s="128"/>
      <c r="N166" s="121"/>
      <c r="P166" s="95"/>
    </row>
    <row r="167" spans="2:16" ht="17.25" customHeight="1">
      <c r="B167" s="168"/>
      <c r="C167" s="91"/>
      <c r="D167" s="91"/>
      <c r="E167" s="124"/>
      <c r="F167" s="49"/>
      <c r="G167" s="49"/>
      <c r="H167" s="49"/>
      <c r="I167" s="49"/>
      <c r="J167" s="125"/>
      <c r="K167" s="216"/>
      <c r="L167" s="239" t="str">
        <f>IFERROR(VLOOKUP($C167,'SINAPI MAIO 2020'!$1:$1048576,3,0),IFERROR(VLOOKUP($C167,'6-COMP. PROPRIA'!$B$1:$I$808,5,0),""))</f>
        <v/>
      </c>
      <c r="M167" s="128"/>
      <c r="N167" s="121"/>
      <c r="P167" s="95"/>
    </row>
    <row r="168" spans="2:16" ht="17.25" customHeight="1">
      <c r="B168" s="168"/>
      <c r="C168" s="91"/>
      <c r="D168" s="91"/>
      <c r="E168" s="124"/>
      <c r="F168" s="49"/>
      <c r="G168" s="49"/>
      <c r="H168" s="49"/>
      <c r="I168" s="49"/>
      <c r="J168" s="125"/>
      <c r="K168" s="216"/>
      <c r="L168" s="239" t="str">
        <f>IFERROR(VLOOKUP($C168,'SINAPI MAIO 2020'!$1:$1048576,3,0),IFERROR(VLOOKUP($C168,'6-COMP. PROPRIA'!$B$1:$I$808,5,0),""))</f>
        <v/>
      </c>
      <c r="M168" s="128"/>
      <c r="N168" s="121"/>
      <c r="P168" s="95"/>
    </row>
    <row r="169" spans="2:16" ht="17.25" customHeight="1">
      <c r="B169" s="164"/>
      <c r="C169" s="274">
        <v>72897</v>
      </c>
      <c r="D169" s="275" t="s">
        <v>8</v>
      </c>
      <c r="E169" s="683" t="str">
        <f>IFERROR(VLOOKUP($C169,'SINAPI MAIO 2020'!$1:$1048576,2,0),IFERROR(VLOOKUP($C169,'6-COMP. PROPRIA'!$B$1:$I$808,4,0),""))</f>
        <v>CARGA MANUAL DE ENTULHO EM CAMINHAO BASCULANTE 6 M3</v>
      </c>
      <c r="F169" s="684"/>
      <c r="G169" s="684"/>
      <c r="H169" s="684"/>
      <c r="I169" s="684"/>
      <c r="J169" s="685"/>
      <c r="K169" s="212">
        <f>SUM(K171:K172)</f>
        <v>503.21485655999999</v>
      </c>
      <c r="L169" s="239" t="str">
        <f>IFERROR(VLOOKUP($C169,'SINAPI MAIO 2020'!$1:$1048576,3,0),IFERROR(VLOOKUP($C169,'6-COMP. PROPRIA'!$B$1:$I$808,5,0),""))</f>
        <v>M3</v>
      </c>
      <c r="M169" s="94"/>
      <c r="N169" s="121"/>
      <c r="P169" s="95"/>
    </row>
    <row r="170" spans="2:16" ht="49.5" customHeight="1">
      <c r="B170" s="166"/>
      <c r="C170" s="20"/>
      <c r="D170" s="20"/>
      <c r="E170" s="75" t="s">
        <v>931</v>
      </c>
      <c r="F170" s="49"/>
      <c r="G170" s="49"/>
      <c r="H170" s="57" t="s">
        <v>941</v>
      </c>
      <c r="I170" s="312"/>
      <c r="J170" s="103"/>
      <c r="K170" s="216"/>
      <c r="L170" s="239" t="str">
        <f>IFERROR(VLOOKUP($C170,'SINAPI MAIO 2020'!$1:$1048576,3,0),IFERROR(VLOOKUP($C170,'6-COMP. PROPRIA'!$B$1:$I$808,5,0),""))</f>
        <v/>
      </c>
      <c r="M170" s="104"/>
      <c r="N170" s="105"/>
      <c r="P170" s="95"/>
    </row>
    <row r="171" spans="2:16" ht="17.25" customHeight="1">
      <c r="B171" s="164"/>
      <c r="C171" s="20"/>
      <c r="D171" s="20"/>
      <c r="E171" s="102">
        <f>M58+M65+M71+M76+M81+M86+M91+M96+M101+M114+M127+M135+M141+M145+M151+M157+M161</f>
        <v>387.08835119999998</v>
      </c>
      <c r="F171" s="49"/>
      <c r="G171" s="49"/>
      <c r="H171" s="63">
        <v>1.3</v>
      </c>
      <c r="I171" s="312"/>
      <c r="J171" s="103"/>
      <c r="K171" s="216">
        <f>E171*H171</f>
        <v>503.21485655999999</v>
      </c>
      <c r="L171" s="239" t="str">
        <f>IFERROR(VLOOKUP($C171,'SINAPI MAIO 2020'!$1:$1048576,3,0),IFERROR(VLOOKUP($C171,'6-COMP. PROPRIA'!$B$1:$I$808,5,0),""))</f>
        <v/>
      </c>
      <c r="M171" s="104"/>
      <c r="N171" s="105"/>
      <c r="P171" s="95"/>
    </row>
    <row r="172" spans="2:16" ht="17.25" customHeight="1">
      <c r="B172" s="164"/>
      <c r="C172" s="20"/>
      <c r="D172" s="20"/>
      <c r="E172" s="238"/>
      <c r="F172" s="49"/>
      <c r="G172" s="49"/>
      <c r="H172" s="49"/>
      <c r="I172" s="312"/>
      <c r="J172" s="103"/>
      <c r="K172" s="216"/>
      <c r="L172" s="239" t="str">
        <f>IFERROR(VLOOKUP($C172,'SINAPI MAIO 2020'!$1:$1048576,3,0),IFERROR(VLOOKUP($C172,'6-COMP. PROPRIA'!$B$1:$I$808,5,0),""))</f>
        <v/>
      </c>
      <c r="M172" s="104"/>
      <c r="N172" s="105"/>
      <c r="P172" s="95"/>
    </row>
    <row r="173" spans="2:16" ht="44.25" customHeight="1">
      <c r="B173" s="168"/>
      <c r="C173" s="274">
        <v>97914</v>
      </c>
      <c r="D173" s="275" t="s">
        <v>8</v>
      </c>
      <c r="E173" s="683" t="str">
        <f>IFERROR(VLOOKUP($C173,'SINAPI MAIO 2020'!$1:$1048576,2,0),IFERROR(VLOOKUP($C173,'6-COMP. PROPRIA'!$B$1:$I$808,4,0),""))</f>
        <v>TRANSPORTE COM CAMINHÃO BASCULANTE DE 6 M3, EM VIA URBANA PAVIMENTADA, DMT ATÉ 30 KM (UNIDADE: M3XKM). AF_01/2018</v>
      </c>
      <c r="F173" s="684"/>
      <c r="G173" s="684"/>
      <c r="H173" s="684"/>
      <c r="I173" s="684"/>
      <c r="J173" s="685"/>
      <c r="K173" s="212">
        <f>SUM(K175:K176)</f>
        <v>12580.371413999999</v>
      </c>
      <c r="L173" s="239" t="str">
        <f>IFERROR(VLOOKUP($C173,'SINAPI MAIO 2020'!$1:$1048576,3,0),IFERROR(VLOOKUP($C173,'6-COMP. PROPRIA'!$B$1:$I$808,5,0),""))</f>
        <v>M3XKM</v>
      </c>
      <c r="M173" s="94"/>
      <c r="N173" s="121"/>
      <c r="P173" s="95"/>
    </row>
    <row r="174" spans="2:16" ht="34.5" customHeight="1">
      <c r="B174" s="164"/>
      <c r="C174" s="20"/>
      <c r="D174" s="20"/>
      <c r="E174" s="75" t="s">
        <v>925</v>
      </c>
      <c r="F174" s="312"/>
      <c r="G174" s="312"/>
      <c r="H174" s="309" t="s">
        <v>926</v>
      </c>
      <c r="I174" s="312"/>
      <c r="J174" s="103"/>
      <c r="K174" s="211"/>
      <c r="L174" s="239" t="str">
        <f>IFERROR(VLOOKUP($C174,'SINAPI MAIO 2020'!$1:$1048576,3,0),IFERROR(VLOOKUP($C174,'6-COMP. PROPRIA'!$B$1:$I$808,5,0),""))</f>
        <v/>
      </c>
      <c r="M174" s="104"/>
      <c r="N174" s="105"/>
    </row>
    <row r="175" spans="2:16" ht="17.25" customHeight="1">
      <c r="B175" s="164"/>
      <c r="C175" s="20"/>
      <c r="D175" s="20"/>
      <c r="E175" s="114">
        <f>K169</f>
        <v>503.21485655999999</v>
      </c>
      <c r="F175" s="50"/>
      <c r="G175" s="50"/>
      <c r="H175" s="106">
        <v>25</v>
      </c>
      <c r="I175" s="312"/>
      <c r="J175" s="59"/>
      <c r="K175" s="62">
        <f>H175*E175</f>
        <v>12580.371413999999</v>
      </c>
      <c r="L175" s="239" t="str">
        <f>IFERROR(VLOOKUP($C175,'SINAPI MAIO 2020'!$1:$1048576,3,0),IFERROR(VLOOKUP($C175,'6-COMP. PROPRIA'!$B$1:$I$808,5,0),""))</f>
        <v/>
      </c>
      <c r="M175" s="104"/>
      <c r="N175" s="105"/>
    </row>
    <row r="176" spans="2:16" ht="17.25" customHeight="1">
      <c r="B176" s="170"/>
      <c r="C176" s="90">
        <v>95875</v>
      </c>
      <c r="D176" s="92"/>
      <c r="E176" s="114"/>
      <c r="F176" s="50"/>
      <c r="G176" s="50"/>
      <c r="H176" s="50"/>
      <c r="I176" s="312"/>
      <c r="J176" s="103"/>
      <c r="K176" s="62"/>
      <c r="L176" s="239" t="str">
        <f>IFERROR(VLOOKUP($C176,'SINAPI MAIO 2020'!$1:$1048576,3,0),IFERROR(VLOOKUP($C176,'6-COMP. PROPRIA'!$B$1:$I$808,5,0),""))</f>
        <v>M3XKM</v>
      </c>
      <c r="M176" s="104"/>
      <c r="N176" s="105"/>
    </row>
    <row r="177" spans="2:15" ht="17.25" customHeight="1" thickBot="1">
      <c r="B177" s="164"/>
      <c r="C177" s="20"/>
      <c r="D177" s="20"/>
      <c r="E177" s="114"/>
      <c r="F177" s="312"/>
      <c r="G177" s="312"/>
      <c r="H177" s="312"/>
      <c r="I177" s="312"/>
      <c r="J177" s="103"/>
      <c r="K177" s="211"/>
      <c r="L177" s="239" t="str">
        <f>IFERROR(VLOOKUP($C177,'SINAPI MAIO 2020'!$1:$1048576,3,0),IFERROR(VLOOKUP($C177,'6-COMP. PROPRIA'!$B$1:$I$808,5,0),""))</f>
        <v/>
      </c>
      <c r="M177" s="104"/>
      <c r="N177" s="105"/>
    </row>
    <row r="178" spans="2:15" ht="17.25" customHeight="1" thickBot="1">
      <c r="B178" s="165"/>
      <c r="C178" s="90"/>
      <c r="D178" s="20"/>
      <c r="E178" s="674" t="s">
        <v>917</v>
      </c>
      <c r="F178" s="675"/>
      <c r="G178" s="675"/>
      <c r="H178" s="675"/>
      <c r="I178" s="675"/>
      <c r="J178" s="676"/>
      <c r="K178" s="210"/>
      <c r="L178" s="239" t="str">
        <f>IFERROR(VLOOKUP($C178,'SINAPI MAIO 2020'!$1:$1048576,3,0),IFERROR(VLOOKUP($C178,'6-COMP. PROPRIA'!$B$1:$I$808,5,0),""))</f>
        <v/>
      </c>
      <c r="M178" s="94"/>
      <c r="N178" s="109"/>
    </row>
    <row r="179" spans="2:15" ht="17.25" customHeight="1">
      <c r="B179" s="164"/>
      <c r="C179" s="20"/>
      <c r="D179" s="20"/>
      <c r="E179" s="114"/>
      <c r="F179" s="50"/>
      <c r="G179" s="50"/>
      <c r="H179" s="50"/>
      <c r="I179" s="50"/>
      <c r="J179" s="59"/>
      <c r="K179" s="62"/>
      <c r="L179" s="239" t="str">
        <f>IFERROR(VLOOKUP($C179,'SINAPI MAIO 2020'!$1:$1048576,3,0),IFERROR(VLOOKUP($C179,'6-COMP. PROPRIA'!$B$1:$I$808,5,0),""))</f>
        <v/>
      </c>
      <c r="M179" s="104"/>
      <c r="N179" s="105"/>
      <c r="O179" s="117"/>
    </row>
    <row r="180" spans="2:15" ht="25.5" customHeight="1">
      <c r="B180" s="164"/>
      <c r="C180" s="274">
        <v>94319</v>
      </c>
      <c r="D180" s="275" t="s">
        <v>8</v>
      </c>
      <c r="E180" s="668" t="str">
        <f>IFERROR(VLOOKUP($C180,'SINAPI MAIO 2020'!$1:$1048576,2,0),IFERROR(VLOOKUP($C180,'6-COMP. PROPRIA'!$B$28:$I$808,4,0),""))</f>
        <v>ATERRO MANUAL DE VALAS COM SOLO ARGILO-ARENOSO E COMPACTAÇÃO MECANIZADA. AF_05/2016</v>
      </c>
      <c r="F180" s="669"/>
      <c r="G180" s="669"/>
      <c r="H180" s="669"/>
      <c r="I180" s="669"/>
      <c r="J180" s="670"/>
      <c r="K180" s="212">
        <f>SUM(K182:K183)</f>
        <v>419.9</v>
      </c>
      <c r="L180" s="239" t="str">
        <f>IFERROR(VLOOKUP($C180,'SINAPI MAIO 2020'!$1:$1048576,3,0),IFERROR(VLOOKUP($C180,'6-COMP. PROPRIA'!$B$1:$I$808,5,0),""))</f>
        <v>M3</v>
      </c>
      <c r="M180" s="104"/>
      <c r="N180" s="105"/>
      <c r="O180" s="117"/>
    </row>
    <row r="181" spans="2:15" ht="17.25" customHeight="1">
      <c r="B181" s="166"/>
      <c r="C181" s="20"/>
      <c r="D181" s="20"/>
      <c r="E181" s="75" t="s">
        <v>984</v>
      </c>
      <c r="F181" s="309" t="s">
        <v>985</v>
      </c>
      <c r="G181" s="311" t="s">
        <v>924</v>
      </c>
      <c r="H181" s="309" t="s">
        <v>923</v>
      </c>
      <c r="I181" s="309" t="s">
        <v>819</v>
      </c>
      <c r="J181" s="319"/>
      <c r="K181" s="62"/>
      <c r="L181" s="239" t="str">
        <f>IFERROR(VLOOKUP($C181,'SINAPI MAIO 2020'!$1:$1048576,3,0),IFERROR(VLOOKUP($C181,'6-COMP. PROPRIA'!$B$1:$I$808,5,0),""))</f>
        <v/>
      </c>
      <c r="M181" s="104"/>
      <c r="N181" s="105"/>
      <c r="O181" s="117"/>
    </row>
    <row r="182" spans="2:15" ht="17.25" customHeight="1">
      <c r="B182" s="164" t="s">
        <v>6171</v>
      </c>
      <c r="C182" s="20"/>
      <c r="D182" s="20"/>
      <c r="E182" s="82">
        <v>285</v>
      </c>
      <c r="F182" s="66">
        <v>1</v>
      </c>
      <c r="G182" s="66">
        <v>0.6</v>
      </c>
      <c r="H182" s="63">
        <v>1</v>
      </c>
      <c r="I182" s="63">
        <v>1.3</v>
      </c>
      <c r="J182" s="319"/>
      <c r="K182" s="62">
        <f>E182*G182*H182*I182</f>
        <v>222.3</v>
      </c>
      <c r="L182" s="239" t="str">
        <f>IFERROR(VLOOKUP($C182,'SINAPI MAIO 2020'!$1:$1048576,3,0),IFERROR(VLOOKUP($C182,'6-COMP. PROPRIA'!$B$1:$I$808,5,0),""))</f>
        <v/>
      </c>
      <c r="M182" s="104"/>
      <c r="N182" s="105"/>
      <c r="O182" s="117"/>
    </row>
    <row r="183" spans="2:15" ht="17.25" customHeight="1">
      <c r="B183" s="164" t="s">
        <v>6207</v>
      </c>
      <c r="C183" s="20"/>
      <c r="D183" s="20"/>
      <c r="E183" s="82">
        <v>152</v>
      </c>
      <c r="F183" s="63">
        <v>1</v>
      </c>
      <c r="G183" s="63">
        <v>0.2</v>
      </c>
      <c r="H183" s="63">
        <v>1</v>
      </c>
      <c r="I183" s="63">
        <v>1.3</v>
      </c>
      <c r="J183" s="319"/>
      <c r="K183" s="62">
        <f>E183*F183*H183*I183</f>
        <v>197.6</v>
      </c>
      <c r="L183" s="239" t="str">
        <f>IFERROR(VLOOKUP($C183,'SINAPI MAIO 2020'!$1:$1048576,3,0),IFERROR(VLOOKUP($C183,'6-COMP. PROPRIA'!$B$1:$I$808,5,0),""))</f>
        <v/>
      </c>
      <c r="M183" s="104"/>
      <c r="N183" s="105"/>
      <c r="O183" s="117"/>
    </row>
    <row r="184" spans="2:15" ht="17.25" customHeight="1">
      <c r="B184" s="164"/>
      <c r="C184" s="20"/>
      <c r="D184" s="20"/>
      <c r="E184" s="114"/>
      <c r="F184" s="50"/>
      <c r="G184" s="50"/>
      <c r="H184" s="50"/>
      <c r="I184" s="50"/>
      <c r="J184" s="59"/>
      <c r="K184" s="62"/>
      <c r="L184" s="239" t="str">
        <f>IFERROR(VLOOKUP($C184,'SINAPI MAIO 2020'!$1:$1048576,3,0),IFERROR(VLOOKUP($C184,'6-COMP. PROPRIA'!$B$1:$I$808,5,0),""))</f>
        <v/>
      </c>
      <c r="M184" s="104"/>
      <c r="N184" s="105"/>
    </row>
    <row r="185" spans="2:15" ht="41.25" customHeight="1">
      <c r="B185" s="164"/>
      <c r="C185" s="275" t="s">
        <v>4370</v>
      </c>
      <c r="D185" s="275" t="s">
        <v>8</v>
      </c>
      <c r="E185" s="668" t="str">
        <f>IFERROR(VLOOKUP($C185,'SINAPI MAIO 2020'!$1:$1048576,2,0),IFERROR(VLOOKUP($C185,'6-COMP. PROPRIA'!$B$28:$I$808,4,0),""))</f>
        <v>CARGA E DESCARGA MECANICA DE SOLO UTILIZANDO CAMINHAO BASCULANTE 6,0M3/16T E PA CARREGADEIRA SOBRE PNEUS 128 HP, CAPACIDADE DA CAÇAMBA 1,7 A 2,8 M3, PESO OPERACIONAL 11632 KG</v>
      </c>
      <c r="F185" s="669"/>
      <c r="G185" s="669"/>
      <c r="H185" s="669"/>
      <c r="I185" s="669"/>
      <c r="J185" s="670"/>
      <c r="K185" s="212">
        <f>K180</f>
        <v>419.9</v>
      </c>
      <c r="L185" s="239" t="str">
        <f>IFERROR(VLOOKUP($C185,'SINAPI MAIO 2020'!$1:$1048576,3,0),IFERROR(VLOOKUP($C185,'6-COMP. PROPRIA'!$B$1:$I$808,5,0),""))</f>
        <v>M3</v>
      </c>
      <c r="M185" s="104"/>
      <c r="N185" s="105"/>
    </row>
    <row r="186" spans="2:15" ht="17.25" customHeight="1" thickBot="1">
      <c r="B186" s="164"/>
      <c r="C186" s="20"/>
      <c r="D186" s="20"/>
      <c r="E186" s="238"/>
      <c r="F186" s="312"/>
      <c r="G186" s="312"/>
      <c r="H186" s="312"/>
      <c r="I186" s="312"/>
      <c r="J186" s="103"/>
      <c r="K186" s="211"/>
      <c r="L186" s="239" t="str">
        <f>IFERROR(VLOOKUP($C186,'SINAPI MAIO 2020'!$1:$1048576,3,0),IFERROR(VLOOKUP($C186,'6-COMP. PROPRIA'!$B$1:$I$808,5,0),""))</f>
        <v/>
      </c>
      <c r="M186" s="104"/>
      <c r="N186" s="105"/>
    </row>
    <row r="187" spans="2:15" ht="18" customHeight="1" thickBot="1">
      <c r="B187" s="165"/>
      <c r="C187" s="90"/>
      <c r="D187" s="20"/>
      <c r="E187" s="674" t="s">
        <v>934</v>
      </c>
      <c r="F187" s="675"/>
      <c r="G187" s="675"/>
      <c r="H187" s="675"/>
      <c r="I187" s="675"/>
      <c r="J187" s="676"/>
      <c r="K187" s="210"/>
      <c r="L187" s="239" t="str">
        <f>IFERROR(VLOOKUP($C187,'SINAPI MAIO 2020'!$1:$1048576,3,0),IFERROR(VLOOKUP($C187,'6-COMP. PROPRIA'!$B$1:$I$808,5,0),""))</f>
        <v/>
      </c>
      <c r="M187" s="94"/>
      <c r="N187" s="109"/>
    </row>
    <row r="188" spans="2:15" ht="17.25" customHeight="1">
      <c r="B188" s="164"/>
      <c r="C188" s="20"/>
      <c r="D188" s="20"/>
      <c r="E188" s="238"/>
      <c r="F188" s="312"/>
      <c r="G188" s="312"/>
      <c r="H188" s="312"/>
      <c r="I188" s="312"/>
      <c r="J188" s="103"/>
      <c r="K188" s="211"/>
      <c r="L188" s="239" t="str">
        <f>IFERROR(VLOOKUP($C188,'SINAPI MAIO 2020'!$1:$1048576,3,0),IFERROR(VLOOKUP($C188,'6-COMP. PROPRIA'!$B$1:$I$808,5,0),""))</f>
        <v/>
      </c>
      <c r="M188" s="104"/>
      <c r="N188" s="105"/>
    </row>
    <row r="189" spans="2:15" ht="17.25" customHeight="1">
      <c r="B189" s="164"/>
      <c r="C189" s="20"/>
      <c r="D189" s="20"/>
      <c r="E189" s="690" t="s">
        <v>12563</v>
      </c>
      <c r="F189" s="691"/>
      <c r="G189" s="692"/>
      <c r="H189" s="132"/>
      <c r="I189" s="133"/>
      <c r="J189" s="134"/>
      <c r="K189" s="210"/>
      <c r="L189" s="239" t="str">
        <f>IFERROR(VLOOKUP($C189,'SINAPI MAIO 2020'!$1:$1048576,3,0),IFERROR(VLOOKUP($C189,'6-COMP. PROPRIA'!$B$1:$I$808,5,0),""))</f>
        <v/>
      </c>
      <c r="M189" s="94"/>
      <c r="N189" s="109"/>
    </row>
    <row r="190" spans="2:15" ht="17.25" customHeight="1">
      <c r="B190" s="164"/>
      <c r="C190" s="20"/>
      <c r="D190" s="20"/>
      <c r="E190" s="238"/>
      <c r="F190" s="312"/>
      <c r="G190" s="312"/>
      <c r="H190" s="312"/>
      <c r="I190" s="312"/>
      <c r="J190" s="103"/>
      <c r="K190" s="211"/>
      <c r="L190" s="239" t="str">
        <f>IFERROR(VLOOKUP($C190,'SINAPI MAIO 2020'!$1:$1048576,3,0),IFERROR(VLOOKUP($C190,'6-COMP. PROPRIA'!$B$1:$I$808,5,0),""))</f>
        <v/>
      </c>
      <c r="M190" s="104"/>
      <c r="N190" s="105"/>
    </row>
    <row r="191" spans="2:15" ht="45" customHeight="1">
      <c r="B191" s="164"/>
      <c r="C191" s="274">
        <v>96523</v>
      </c>
      <c r="D191" s="275" t="s">
        <v>8</v>
      </c>
      <c r="E191" s="668" t="str">
        <f>IFERROR(VLOOKUP($C191,'SINAPI MAIO 2020'!$1:$1048576,2,0),IFERROR(VLOOKUP($C191,'6-COMP. PROPRIA'!$B$28:$I$808,4,0),""))</f>
        <v>ESCAVAÇÃO MANUAL PARA BLOCO DE COROAMENTO OU SAPATA, COM PREVISÃO DE FÔRMA. AF_06/2017</v>
      </c>
      <c r="F191" s="669"/>
      <c r="G191" s="669"/>
      <c r="H191" s="669"/>
      <c r="I191" s="669"/>
      <c r="J191" s="670"/>
      <c r="K191" s="212">
        <f>SUM(K193:K195)</f>
        <v>28.473499999999994</v>
      </c>
      <c r="L191" s="239" t="str">
        <f>IFERROR(VLOOKUP($C191,'SINAPI MAIO 2020'!$1:$1048576,3,0),IFERROR(VLOOKUP($C191,'6-COMP. PROPRIA'!$B$1:$I$808,5,0),""))</f>
        <v>M3</v>
      </c>
      <c r="M191" s="104"/>
      <c r="N191" s="105"/>
    </row>
    <row r="192" spans="2:15" ht="53.25" customHeight="1">
      <c r="B192" s="166" t="s">
        <v>937</v>
      </c>
      <c r="C192" s="20"/>
      <c r="D192" s="20"/>
      <c r="E192" s="72" t="s">
        <v>919</v>
      </c>
      <c r="F192" s="311" t="s">
        <v>918</v>
      </c>
      <c r="G192" s="311" t="s">
        <v>921</v>
      </c>
      <c r="H192" s="309" t="s">
        <v>922</v>
      </c>
      <c r="I192" s="48"/>
      <c r="J192" s="130"/>
      <c r="K192" s="217"/>
      <c r="L192" s="239" t="str">
        <f>IFERROR(VLOOKUP($C192,'SINAPI MAIO 2020'!$1:$1048576,3,0),IFERROR(VLOOKUP($C192,'6-COMP. PROPRIA'!$B$1:$I$808,5,0),""))</f>
        <v/>
      </c>
      <c r="M192" s="104"/>
      <c r="N192" s="105"/>
    </row>
    <row r="193" spans="2:14" ht="38.25">
      <c r="B193" s="164" t="s">
        <v>7057</v>
      </c>
      <c r="C193" s="20"/>
      <c r="D193" s="20"/>
      <c r="E193" s="102">
        <f>0.6+0.1</f>
        <v>0.7</v>
      </c>
      <c r="F193" s="138">
        <f>0.7+0.1</f>
        <v>0.79999999999999993</v>
      </c>
      <c r="G193" s="63">
        <f>1.5+0.05</f>
        <v>1.55</v>
      </c>
      <c r="H193" s="63">
        <v>23</v>
      </c>
      <c r="I193" s="312"/>
      <c r="J193" s="103"/>
      <c r="K193" s="62">
        <f>H193*G193*F193*E193</f>
        <v>19.963999999999995</v>
      </c>
      <c r="L193" s="239" t="str">
        <f>IFERROR(VLOOKUP($C193,'SINAPI MAIO 2020'!$1:$1048576,3,0),IFERROR(VLOOKUP($C193,'6-COMP. PROPRIA'!$B$1:$I$808,5,0),""))</f>
        <v/>
      </c>
      <c r="M193" s="104"/>
      <c r="N193" s="105"/>
    </row>
    <row r="194" spans="2:14" ht="17.25" customHeight="1">
      <c r="B194" s="164" t="s">
        <v>7056</v>
      </c>
      <c r="C194" s="20"/>
      <c r="D194" s="20"/>
      <c r="E194" s="102">
        <f>0.6+0.1</f>
        <v>0.7</v>
      </c>
      <c r="F194" s="138">
        <f>0.75+0.1</f>
        <v>0.85</v>
      </c>
      <c r="G194" s="63">
        <f>1.5+0.05</f>
        <v>1.55</v>
      </c>
      <c r="H194" s="63">
        <v>6</v>
      </c>
      <c r="I194" s="312"/>
      <c r="J194" s="103"/>
      <c r="K194" s="62">
        <f t="shared" ref="K194:K196" si="6">H194*G194*F194*E194</f>
        <v>5.5335000000000001</v>
      </c>
      <c r="L194" s="239" t="str">
        <f>IFERROR(VLOOKUP($C194,'SINAPI MAIO 2020'!$1:$1048576,3,0),IFERROR(VLOOKUP($C194,'6-COMP. PROPRIA'!$B$1:$I$808,5,0),""))</f>
        <v/>
      </c>
      <c r="M194" s="104"/>
      <c r="N194" s="105"/>
    </row>
    <row r="195" spans="2:14" ht="17.25" customHeight="1">
      <c r="B195" s="164" t="s">
        <v>6069</v>
      </c>
      <c r="C195" s="20"/>
      <c r="D195" s="20"/>
      <c r="E195" s="102">
        <f>0.7+0.1</f>
        <v>0.79999999999999993</v>
      </c>
      <c r="F195" s="138">
        <f>0.7+0.1</f>
        <v>0.79999999999999993</v>
      </c>
      <c r="G195" s="63">
        <f>1.5+0.05</f>
        <v>1.55</v>
      </c>
      <c r="H195" s="63">
        <v>3</v>
      </c>
      <c r="I195" s="312"/>
      <c r="J195" s="103"/>
      <c r="K195" s="62">
        <f t="shared" si="6"/>
        <v>2.976</v>
      </c>
      <c r="L195" s="239" t="str">
        <f>IFERROR(VLOOKUP($C195,'SINAPI MAIO 2020'!$1:$1048576,3,0),IFERROR(VLOOKUP($C195,'6-COMP. PROPRIA'!$B$1:$I$808,5,0),""))</f>
        <v/>
      </c>
      <c r="M195" s="104"/>
      <c r="N195" s="105"/>
    </row>
    <row r="196" spans="2:14" ht="17.25" customHeight="1">
      <c r="B196" s="164"/>
      <c r="C196" s="20"/>
      <c r="D196" s="20"/>
      <c r="E196" s="102"/>
      <c r="F196" s="138"/>
      <c r="G196" s="63"/>
      <c r="H196" s="63"/>
      <c r="I196" s="312"/>
      <c r="J196" s="103"/>
      <c r="K196" s="62">
        <f t="shared" si="6"/>
        <v>0</v>
      </c>
      <c r="L196" s="239" t="str">
        <f>IFERROR(VLOOKUP($C196,'SINAPI MAIO 2020'!$1:$1048576,3,0),IFERROR(VLOOKUP($C196,'6-COMP. PROPRIA'!$B$1:$I$808,5,0),""))</f>
        <v/>
      </c>
      <c r="M196" s="104"/>
      <c r="N196" s="105"/>
    </row>
    <row r="197" spans="2:14" ht="17.25" customHeight="1">
      <c r="B197" s="164"/>
      <c r="C197" s="20"/>
      <c r="D197" s="20"/>
      <c r="E197" s="126"/>
      <c r="F197" s="312"/>
      <c r="G197" s="312"/>
      <c r="H197" s="49"/>
      <c r="I197" s="49"/>
      <c r="J197" s="119"/>
      <c r="K197" s="210"/>
      <c r="L197" s="239" t="str">
        <f>IFERROR(VLOOKUP($C197,'SINAPI MAIO 2020'!$1:$1048576,3,0),IFERROR(VLOOKUP($C197,'6-COMP. PROPRIA'!$B$1:$I$808,5,0),""))</f>
        <v/>
      </c>
      <c r="M197" s="128"/>
      <c r="N197" s="121"/>
    </row>
    <row r="198" spans="2:14" ht="36" customHeight="1">
      <c r="B198" s="164"/>
      <c r="C198" s="274">
        <v>96617</v>
      </c>
      <c r="D198" s="275" t="s">
        <v>8</v>
      </c>
      <c r="E198" s="668" t="str">
        <f>IFERROR(VLOOKUP($C198,'SINAPI MAIO 2020'!$1:$1048576,2,0),IFERROR(VLOOKUP($C198,'6-COMP. PROPRIA'!$B$28:$I$808,4,0),""))</f>
        <v>LASTRO DE CONCRETO MAGRO, APLICADO EM BLOCOS DE COROAMENTO OU SAPATAS, ESPESSURA DE 3 CM. AF_08/2017</v>
      </c>
      <c r="F198" s="669"/>
      <c r="G198" s="669"/>
      <c r="H198" s="669"/>
      <c r="I198" s="669"/>
      <c r="J198" s="670"/>
      <c r="K198" s="212">
        <f>SUM(K200:K202)</f>
        <v>13.829999999999998</v>
      </c>
      <c r="L198" s="239" t="str">
        <f>IFERROR(VLOOKUP($C198,'SINAPI MAIO 2020'!$1:$1048576,3,0),IFERROR(VLOOKUP($C198,'6-COMP. PROPRIA'!$B$1:$I$808,5,0),""))</f>
        <v>M2</v>
      </c>
      <c r="M198" s="43">
        <f>K198*0.03</f>
        <v>0.41489999999999994</v>
      </c>
      <c r="N198" s="112" t="s">
        <v>41</v>
      </c>
    </row>
    <row r="199" spans="2:14" ht="17.25" customHeight="1">
      <c r="B199" s="164"/>
      <c r="C199" s="20"/>
      <c r="D199" s="20"/>
      <c r="E199" s="72" t="s">
        <v>919</v>
      </c>
      <c r="F199" s="311" t="s">
        <v>918</v>
      </c>
      <c r="G199" s="312"/>
      <c r="H199" s="309" t="s">
        <v>922</v>
      </c>
      <c r="I199" s="312"/>
      <c r="J199" s="103"/>
      <c r="K199" s="211"/>
      <c r="L199" s="239" t="str">
        <f>IFERROR(VLOOKUP($C199,'SINAPI MAIO 2020'!$1:$1048576,3,0),IFERROR(VLOOKUP($C199,'6-COMP. PROPRIA'!$B$1:$I$808,5,0),""))</f>
        <v/>
      </c>
      <c r="M199" s="104"/>
      <c r="N199" s="105"/>
    </row>
    <row r="200" spans="2:14" ht="17.25" customHeight="1">
      <c r="B200" s="164" t="str">
        <f>B193</f>
        <v>S1=S3=S4=S5=S6=S7=S9=S10=S11=S14=S15=S16=S17=S19=S20=S21=S22=S23=S24=S26
=S27=S30=S12</v>
      </c>
      <c r="C200" s="20"/>
      <c r="D200" s="20"/>
      <c r="E200" s="102">
        <f t="shared" ref="E200:F202" si="7">E193-0.1</f>
        <v>0.6</v>
      </c>
      <c r="F200" s="138">
        <f t="shared" si="7"/>
        <v>0.7</v>
      </c>
      <c r="G200" s="63"/>
      <c r="H200" s="63">
        <f>H193</f>
        <v>23</v>
      </c>
      <c r="I200" s="312"/>
      <c r="J200" s="103"/>
      <c r="K200" s="62">
        <f>H200*F200*E200</f>
        <v>9.6599999999999984</v>
      </c>
      <c r="L200" s="239" t="str">
        <f>IFERROR(VLOOKUP($C200,'SINAPI MAIO 2020'!$1:$1048576,3,0),IFERROR(VLOOKUP($C200,'6-COMP. PROPRIA'!$B$1:$I$808,5,0),""))</f>
        <v/>
      </c>
      <c r="M200" s="104"/>
      <c r="N200" s="105"/>
    </row>
    <row r="201" spans="2:14" ht="17.25" customHeight="1">
      <c r="B201" s="164" t="str">
        <f>B194</f>
        <v>S2=S8=S13=S29=S31=S32</v>
      </c>
      <c r="C201" s="20"/>
      <c r="D201" s="20"/>
      <c r="E201" s="102">
        <f t="shared" si="7"/>
        <v>0.6</v>
      </c>
      <c r="F201" s="138">
        <f t="shared" si="7"/>
        <v>0.75</v>
      </c>
      <c r="G201" s="63"/>
      <c r="H201" s="63">
        <f>H194</f>
        <v>6</v>
      </c>
      <c r="I201" s="312"/>
      <c r="J201" s="103"/>
      <c r="K201" s="62">
        <f t="shared" ref="K201:K202" si="8">H201*F201*E201</f>
        <v>2.6999999999999997</v>
      </c>
      <c r="L201" s="239" t="str">
        <f>IFERROR(VLOOKUP($C201,'SINAPI MAIO 2020'!$1:$1048576,3,0),IFERROR(VLOOKUP($C201,'6-COMP. PROPRIA'!$B$1:$I$808,5,0),""))</f>
        <v/>
      </c>
      <c r="M201" s="104"/>
      <c r="N201" s="105"/>
    </row>
    <row r="202" spans="2:14" ht="17.25" customHeight="1">
      <c r="B202" s="164" t="str">
        <f>B195</f>
        <v>S29=S30=S32</v>
      </c>
      <c r="C202" s="20"/>
      <c r="D202" s="20"/>
      <c r="E202" s="102">
        <f t="shared" si="7"/>
        <v>0.7</v>
      </c>
      <c r="F202" s="138">
        <f t="shared" si="7"/>
        <v>0.7</v>
      </c>
      <c r="G202" s="63"/>
      <c r="H202" s="63">
        <f>H195</f>
        <v>3</v>
      </c>
      <c r="I202" s="312"/>
      <c r="J202" s="103"/>
      <c r="K202" s="62">
        <f t="shared" si="8"/>
        <v>1.4699999999999998</v>
      </c>
      <c r="L202" s="239" t="str">
        <f>IFERROR(VLOOKUP($C202,'SINAPI MAIO 2020'!$1:$1048576,3,0),IFERROR(VLOOKUP($C202,'6-COMP. PROPRIA'!$B$1:$I$808,5,0),""))</f>
        <v/>
      </c>
      <c r="M202" s="104"/>
      <c r="N202" s="105"/>
    </row>
    <row r="203" spans="2:14" ht="17.25" customHeight="1">
      <c r="B203" s="164"/>
      <c r="C203" s="20"/>
      <c r="D203" s="20"/>
      <c r="E203" s="238"/>
      <c r="F203" s="324"/>
      <c r="G203" s="312"/>
      <c r="H203" s="312"/>
      <c r="I203" s="312"/>
      <c r="J203" s="103"/>
      <c r="K203" s="62"/>
      <c r="L203" s="239" t="str">
        <f>IFERROR(VLOOKUP($C203,'SINAPI MAIO 2020'!$1:$1048576,3,0),IFERROR(VLOOKUP($C203,'6-COMP. PROPRIA'!$B$1:$I$808,5,0),""))</f>
        <v/>
      </c>
      <c r="M203" s="104"/>
      <c r="N203" s="105"/>
    </row>
    <row r="204" spans="2:14" ht="17.25" customHeight="1">
      <c r="B204" s="164"/>
      <c r="C204" s="20"/>
      <c r="D204" s="20"/>
      <c r="E204" s="238"/>
      <c r="F204" s="312"/>
      <c r="G204" s="312"/>
      <c r="H204" s="312"/>
      <c r="I204" s="312"/>
      <c r="J204" s="103"/>
      <c r="K204" s="211"/>
      <c r="L204" s="239" t="str">
        <f>IFERROR(VLOOKUP($C204,'SINAPI MAIO 2020'!$1:$1048576,3,0),IFERROR(VLOOKUP($C204,'6-COMP. PROPRIA'!$B$1:$I$808,5,0),""))</f>
        <v/>
      </c>
      <c r="M204" s="104"/>
      <c r="N204" s="105"/>
    </row>
    <row r="205" spans="2:14" ht="45" customHeight="1">
      <c r="B205" s="164"/>
      <c r="C205" s="274">
        <v>94965</v>
      </c>
      <c r="D205" s="275" t="s">
        <v>8</v>
      </c>
      <c r="E205" s="668" t="str">
        <f>IFERROR(VLOOKUP($C205,'SINAPI MAIO 2020'!$1:$1048576,2,0),IFERROR(VLOOKUP($C205,'6-COMP. PROPRIA'!$B$28:$I$808,4,0),""))</f>
        <v>CONCRETO FCK = 25MPA, TRAÇO 1:2,3:2,7 (CIMENTO/ AREIA MÉDIA/ BRITA 1)  - PREPARO MECÂNICO COM BETONEIRA 400 L. AF_07/2016</v>
      </c>
      <c r="F205" s="669"/>
      <c r="G205" s="669"/>
      <c r="H205" s="669"/>
      <c r="I205" s="669"/>
      <c r="J205" s="670"/>
      <c r="K205" s="212">
        <f>SUM(K207:K208)</f>
        <v>8.31</v>
      </c>
      <c r="L205" s="239" t="str">
        <f>IFERROR(VLOOKUP($C205,'SINAPI MAIO 2020'!$1:$1048576,3,0),IFERROR(VLOOKUP($C205,'6-COMP. PROPRIA'!$B$1:$I$808,5,0),""))</f>
        <v>M3</v>
      </c>
      <c r="M205" s="43">
        <v>0</v>
      </c>
      <c r="N205" s="112" t="s">
        <v>41</v>
      </c>
    </row>
    <row r="206" spans="2:14" ht="22.5" customHeight="1">
      <c r="B206" s="164"/>
      <c r="C206" s="20"/>
      <c r="D206" s="20"/>
      <c r="E206" s="72" t="s">
        <v>919</v>
      </c>
      <c r="F206" s="311" t="s">
        <v>918</v>
      </c>
      <c r="G206" s="311" t="s">
        <v>921</v>
      </c>
      <c r="H206" s="309" t="s">
        <v>922</v>
      </c>
      <c r="I206" s="312"/>
      <c r="J206" s="103"/>
      <c r="K206" s="211"/>
      <c r="L206" s="239" t="str">
        <f>IFERROR(VLOOKUP($C206,'SINAPI MAIO 2020'!$1:$1048576,3,0),IFERROR(VLOOKUP($C206,'6-COMP. PROPRIA'!$B$1:$I$808,5,0),""))</f>
        <v/>
      </c>
      <c r="M206" s="104"/>
      <c r="N206" s="105"/>
    </row>
    <row r="207" spans="2:14" ht="17.25" customHeight="1">
      <c r="B207" s="164" t="s">
        <v>6070</v>
      </c>
      <c r="C207" s="20"/>
      <c r="D207" s="20"/>
      <c r="E207" s="102">
        <v>5.95</v>
      </c>
      <c r="F207" s="63">
        <v>1</v>
      </c>
      <c r="G207" s="63">
        <v>1</v>
      </c>
      <c r="H207" s="63">
        <v>1</v>
      </c>
      <c r="I207" s="312"/>
      <c r="J207" s="103"/>
      <c r="K207" s="62">
        <f>E207*F207*G207*H207</f>
        <v>5.95</v>
      </c>
      <c r="L207" s="239" t="str">
        <f>IFERROR(VLOOKUP($C207,'SINAPI MAIO 2020'!$1:$1048576,3,0),IFERROR(VLOOKUP($C207,'6-COMP. PROPRIA'!$B$1:$I$808,5,0),""))</f>
        <v/>
      </c>
      <c r="M207" s="104"/>
      <c r="N207" s="105"/>
    </row>
    <row r="208" spans="2:14" ht="17.25" customHeight="1">
      <c r="B208" s="164" t="s">
        <v>6071</v>
      </c>
      <c r="C208" s="20"/>
      <c r="D208" s="20"/>
      <c r="E208" s="102">
        <v>2.36</v>
      </c>
      <c r="F208" s="63">
        <v>1</v>
      </c>
      <c r="G208" s="63">
        <v>1</v>
      </c>
      <c r="H208" s="63">
        <v>1</v>
      </c>
      <c r="I208" s="312"/>
      <c r="J208" s="103"/>
      <c r="K208" s="62">
        <f t="shared" ref="K208:K209" si="9">E208*F208*G208*H208</f>
        <v>2.36</v>
      </c>
      <c r="L208" s="239" t="str">
        <f>IFERROR(VLOOKUP($C208,'SINAPI MAIO 2020'!$1:$1048576,3,0),IFERROR(VLOOKUP($C208,'6-COMP. PROPRIA'!$B$1:$I$808,5,0),""))</f>
        <v/>
      </c>
      <c r="M208" s="104"/>
      <c r="N208" s="105"/>
    </row>
    <row r="209" spans="2:14" ht="17.25" customHeight="1">
      <c r="B209" s="164"/>
      <c r="C209" s="20"/>
      <c r="D209" s="20"/>
      <c r="E209" s="102"/>
      <c r="F209" s="63"/>
      <c r="G209" s="63"/>
      <c r="H209" s="63"/>
      <c r="I209" s="312"/>
      <c r="J209" s="103"/>
      <c r="K209" s="62">
        <f t="shared" si="9"/>
        <v>0</v>
      </c>
      <c r="L209" s="239" t="str">
        <f>IFERROR(VLOOKUP($C209,'SINAPI MAIO 2020'!$1:$1048576,3,0),IFERROR(VLOOKUP($C209,'6-COMP. PROPRIA'!$B$1:$I$808,5,0),""))</f>
        <v/>
      </c>
      <c r="M209" s="104"/>
      <c r="N209" s="105"/>
    </row>
    <row r="210" spans="2:14" ht="17.25" customHeight="1">
      <c r="B210" s="164"/>
      <c r="C210" s="20"/>
      <c r="D210" s="20"/>
      <c r="E210" s="102"/>
      <c r="F210" s="63"/>
      <c r="G210" s="63"/>
      <c r="H210" s="63"/>
      <c r="I210" s="312"/>
      <c r="J210" s="103"/>
      <c r="K210" s="62"/>
      <c r="L210" s="239" t="str">
        <f>IFERROR(VLOOKUP($C210,'SINAPI MAIO 2020'!$1:$1048576,3,0),IFERROR(VLOOKUP($C210,'6-COMP. PROPRIA'!$B$1:$I$808,5,0),""))</f>
        <v/>
      </c>
      <c r="M210" s="104"/>
      <c r="N210" s="105"/>
    </row>
    <row r="211" spans="2:14" ht="17.25" customHeight="1">
      <c r="B211" s="164"/>
      <c r="C211" s="20"/>
      <c r="D211" s="20"/>
      <c r="E211" s="102"/>
      <c r="F211" s="63"/>
      <c r="G211" s="63"/>
      <c r="H211" s="63"/>
      <c r="I211" s="312"/>
      <c r="J211" s="103"/>
      <c r="K211" s="62"/>
      <c r="L211" s="239" t="str">
        <f>IFERROR(VLOOKUP($C211,'SINAPI MAIO 2020'!$1:$1048576,3,0),IFERROR(VLOOKUP($C211,'6-COMP. PROPRIA'!$B$1:$I$808,5,0),""))</f>
        <v/>
      </c>
      <c r="M211" s="104"/>
      <c r="N211" s="105"/>
    </row>
    <row r="212" spans="2:14" ht="17.25" customHeight="1">
      <c r="B212" s="164"/>
      <c r="C212" s="20"/>
      <c r="D212" s="20"/>
      <c r="E212" s="238"/>
      <c r="F212" s="312"/>
      <c r="G212" s="312"/>
      <c r="H212" s="312"/>
      <c r="I212" s="312"/>
      <c r="J212" s="103"/>
      <c r="K212" s="211"/>
      <c r="L212" s="239" t="str">
        <f>IFERROR(VLOOKUP($C212,'SINAPI MAIO 2020'!$1:$1048576,3,0),IFERROR(VLOOKUP($C212,'6-COMP. PROPRIA'!$B$1:$I$808,5,0),""))</f>
        <v/>
      </c>
      <c r="M212" s="104"/>
      <c r="N212" s="105"/>
    </row>
    <row r="213" spans="2:14" ht="35.25" customHeight="1">
      <c r="B213" s="164"/>
      <c r="C213" s="275">
        <v>92873</v>
      </c>
      <c r="D213" s="275" t="s">
        <v>8</v>
      </c>
      <c r="E213" s="668" t="str">
        <f>IFERROR(VLOOKUP($C213,'SINAPI MAIO 2020'!$1:$1048576,2,0),IFERROR(VLOOKUP($C213,'6-COMP. PROPRIA'!$B$28:$I$808,4,0),""))</f>
        <v>LANÇAMENTO COM USO DE BALDES, ADENSAMENTO E ACABAMENTO DE CONCRETO EM ESTRUTURAS. AF_12/2015</v>
      </c>
      <c r="F213" s="669"/>
      <c r="G213" s="669"/>
      <c r="H213" s="669"/>
      <c r="I213" s="669"/>
      <c r="J213" s="670"/>
      <c r="K213" s="212">
        <f>K205</f>
        <v>8.31</v>
      </c>
      <c r="L213" s="239" t="str">
        <f>IFERROR(VLOOKUP($C213,'SINAPI MAIO 2020'!$1:$1048576,3,0),IFERROR(VLOOKUP($C213,'6-COMP. PROPRIA'!$B$1:$I$808,5,0),""))</f>
        <v>M3</v>
      </c>
      <c r="M213" s="43">
        <f>M205</f>
        <v>0</v>
      </c>
      <c r="N213" s="112" t="s">
        <v>41</v>
      </c>
    </row>
    <row r="214" spans="2:14" ht="17.25" customHeight="1">
      <c r="B214" s="164"/>
      <c r="C214" s="20"/>
      <c r="D214" s="20"/>
      <c r="E214" s="238"/>
      <c r="F214" s="312"/>
      <c r="G214" s="312"/>
      <c r="H214" s="312"/>
      <c r="I214" s="312"/>
      <c r="J214" s="103"/>
      <c r="K214" s="211"/>
      <c r="L214" s="239" t="str">
        <f>IFERROR(VLOOKUP($C214,'SINAPI MAIO 2020'!$1:$1048576,3,0),IFERROR(VLOOKUP($C214,'6-COMP. PROPRIA'!$B$1:$I$808,5,0),""))</f>
        <v/>
      </c>
      <c r="M214" s="104"/>
      <c r="N214" s="105"/>
    </row>
    <row r="215" spans="2:14" ht="17.25" customHeight="1">
      <c r="B215" s="164"/>
      <c r="C215" s="20"/>
      <c r="D215" s="20"/>
      <c r="E215" s="238"/>
      <c r="F215" s="312"/>
      <c r="G215" s="312"/>
      <c r="H215" s="312"/>
      <c r="I215" s="312"/>
      <c r="J215" s="103"/>
      <c r="K215" s="211"/>
      <c r="L215" s="239" t="str">
        <f>IFERROR(VLOOKUP($C215,'SINAPI MAIO 2020'!$1:$1048576,3,0),IFERROR(VLOOKUP($C215,'6-COMP. PROPRIA'!$B$1:$I$808,5,0),""))</f>
        <v/>
      </c>
      <c r="M215" s="104"/>
      <c r="N215" s="105"/>
    </row>
    <row r="216" spans="2:14" ht="35.25" customHeight="1">
      <c r="B216" s="164" t="s">
        <v>6072</v>
      </c>
      <c r="C216" s="275">
        <v>96546</v>
      </c>
      <c r="D216" s="275" t="s">
        <v>8</v>
      </c>
      <c r="E216" s="668" t="str">
        <f>IFERROR(VLOOKUP($C216,'SINAPI MAIO 2020'!$1:$1048576,2,0),IFERROR(VLOOKUP($C216,'6-COMP. PROPRIA'!$B$28:$I$808,4,0),""))</f>
        <v>ARMAÇÃO DE BLOCO, VIGA BALDRAME OU SAPATA UTILIZANDO AÇO CA-50 DE 10 MM - MONTAGEM. AF_06/2017</v>
      </c>
      <c r="F216" s="669"/>
      <c r="G216" s="669"/>
      <c r="H216" s="669"/>
      <c r="I216" s="669"/>
      <c r="J216" s="670"/>
      <c r="K216" s="212">
        <v>207.6</v>
      </c>
      <c r="L216" s="239" t="str">
        <f>IFERROR(VLOOKUP($C216,'SINAPI MAIO 2020'!$1:$1048576,3,0),IFERROR(VLOOKUP($C216,'6-COMP. PROPRIA'!$B$1:$I$808,5,0),""))</f>
        <v>KG</v>
      </c>
      <c r="M216" s="43">
        <v>0</v>
      </c>
      <c r="N216" s="112" t="s">
        <v>24</v>
      </c>
    </row>
    <row r="217" spans="2:14" ht="17.25" customHeight="1">
      <c r="B217" s="164"/>
      <c r="C217" s="20"/>
      <c r="D217" s="20"/>
      <c r="E217" s="238"/>
      <c r="F217" s="312"/>
      <c r="G217" s="312"/>
      <c r="H217" s="312"/>
      <c r="I217" s="312"/>
      <c r="J217" s="103"/>
      <c r="K217" s="211"/>
      <c r="L217" s="239" t="str">
        <f>IFERROR(VLOOKUP($C217,'SINAPI MAIO 2020'!$1:$1048576,3,0),IFERROR(VLOOKUP($C217,'6-COMP. PROPRIA'!$B$1:$I$808,5,0),""))</f>
        <v/>
      </c>
      <c r="M217" s="104"/>
      <c r="N217" s="105"/>
    </row>
    <row r="218" spans="2:14" ht="36" customHeight="1">
      <c r="B218" s="164" t="s">
        <v>6072</v>
      </c>
      <c r="C218" s="275">
        <v>96547</v>
      </c>
      <c r="D218" s="275" t="s">
        <v>8</v>
      </c>
      <c r="E218" s="668" t="str">
        <f>IFERROR(VLOOKUP($C218,'SINAPI MAIO 2020'!$1:$1048576,2,0),IFERROR(VLOOKUP($C218,'6-COMP. PROPRIA'!$B$28:$I$808,4,0),""))</f>
        <v>ARMAÇÃO DE BLOCO, VIGA BALDRAME OU SAPATA UTILIZANDO AÇO CA-50 DE 12,5 MM - MONTAGEM. AF_06/2017</v>
      </c>
      <c r="F218" s="669"/>
      <c r="G218" s="669"/>
      <c r="H218" s="669"/>
      <c r="I218" s="669"/>
      <c r="J218" s="670"/>
      <c r="K218" s="212">
        <v>156.1</v>
      </c>
      <c r="L218" s="239" t="str">
        <f>IFERROR(VLOOKUP($C218,'SINAPI MAIO 2020'!$1:$1048576,3,0),IFERROR(VLOOKUP($C218,'6-COMP. PROPRIA'!$B$1:$I$808,5,0),""))</f>
        <v>KG</v>
      </c>
      <c r="M218" s="43">
        <v>0</v>
      </c>
      <c r="N218" s="112" t="s">
        <v>24</v>
      </c>
    </row>
    <row r="219" spans="2:14" ht="17.25" customHeight="1">
      <c r="B219" s="164"/>
      <c r="C219" s="20"/>
      <c r="D219" s="70"/>
      <c r="E219" s="306"/>
      <c r="F219" s="307"/>
      <c r="G219" s="307"/>
      <c r="H219" s="307"/>
      <c r="I219" s="307"/>
      <c r="J219" s="308"/>
      <c r="K219" s="212"/>
      <c r="L219" s="239" t="str">
        <f>IFERROR(VLOOKUP($C219,'SINAPI MAIO 2020'!$1:$1048576,3,0),IFERROR(VLOOKUP($C219,'6-COMP. PROPRIA'!$B$1:$I$808,5,0),""))</f>
        <v/>
      </c>
      <c r="M219" s="43"/>
      <c r="N219" s="112"/>
    </row>
    <row r="220" spans="2:14" ht="47.25" customHeight="1">
      <c r="B220" s="164" t="s">
        <v>6071</v>
      </c>
      <c r="C220" s="275">
        <v>92778</v>
      </c>
      <c r="D220" s="275" t="s">
        <v>8</v>
      </c>
      <c r="E220" s="668" t="str">
        <f>IFERROR(VLOOKUP($C220,'SINAPI MAIO 2020'!$1:$1048576,2,0),IFERROR(VLOOKUP($C220,'6-COMP. PROPRIA'!$B$28:$I$808,4,0),""))</f>
        <v>ARMAÇÃO DE PILAR OU VIGA DE UMA ESTRUTURA CONVENCIONAL DE CONCRETO ARMADO EM UMA EDIFICAÇÃO TÉRREA OU SOBRADO UTILIZANDO AÇO CA-50 DE 10,0 MM - MONTAGEM. AF_12/2015</v>
      </c>
      <c r="F220" s="669"/>
      <c r="G220" s="669"/>
      <c r="H220" s="669"/>
      <c r="I220" s="669"/>
      <c r="J220" s="670"/>
      <c r="K220" s="212">
        <v>116.8</v>
      </c>
      <c r="L220" s="239" t="str">
        <f>IFERROR(VLOOKUP($C220,'SINAPI MAIO 2020'!$1:$1048576,3,0),IFERROR(VLOOKUP($C220,'6-COMP. PROPRIA'!$B$1:$I$808,5,0),""))</f>
        <v>KG</v>
      </c>
      <c r="M220" s="43"/>
      <c r="N220" s="112"/>
    </row>
    <row r="221" spans="2:14" ht="17.25" customHeight="1">
      <c r="B221" s="164"/>
      <c r="C221" s="20"/>
      <c r="D221" s="70"/>
      <c r="E221" s="306"/>
      <c r="F221" s="307"/>
      <c r="G221" s="307"/>
      <c r="H221" s="307"/>
      <c r="I221" s="307"/>
      <c r="J221" s="308"/>
      <c r="K221" s="212"/>
      <c r="L221" s="239" t="str">
        <f>IFERROR(VLOOKUP($C221,'SINAPI MAIO 2020'!$1:$1048576,3,0),IFERROR(VLOOKUP($C221,'6-COMP. PROPRIA'!$B$1:$I$808,5,0),""))</f>
        <v/>
      </c>
      <c r="M221" s="43"/>
      <c r="N221" s="112"/>
    </row>
    <row r="222" spans="2:14" ht="62.25" customHeight="1">
      <c r="B222" s="164" t="s">
        <v>6073</v>
      </c>
      <c r="C222" s="275">
        <v>92779</v>
      </c>
      <c r="D222" s="275" t="s">
        <v>8</v>
      </c>
      <c r="E222" s="668" t="str">
        <f>IFERROR(VLOOKUP($C222,'SINAPI MAIO 2020'!$1:$1048576,2,0),IFERROR(VLOOKUP($C222,'6-COMP. PROPRIA'!$B$28:$I$808,4,0),""))</f>
        <v>ARMAÇÃO DE PILAR OU VIGA DE UMA ESTRUTURA CONVENCIONAL DE CONCRETO ARMADO EM UMA EDIFICAÇÃO TÉRREA OU SOBRADO UTILIZANDO AÇO CA-50 DE 12,5 MM - MONTAGEM. AF_12/2015</v>
      </c>
      <c r="F222" s="669"/>
      <c r="G222" s="669"/>
      <c r="H222" s="669"/>
      <c r="I222" s="669"/>
      <c r="J222" s="670"/>
      <c r="K222" s="212">
        <v>74.2</v>
      </c>
      <c r="L222" s="239" t="str">
        <f>IFERROR(VLOOKUP($C222,'SINAPI MAIO 2020'!$1:$1048576,3,0),IFERROR(VLOOKUP($C222,'6-COMP. PROPRIA'!$B$1:$I$808,5,0),""))</f>
        <v>KG</v>
      </c>
      <c r="M222" s="43"/>
      <c r="N222" s="112"/>
    </row>
    <row r="223" spans="2:14" ht="17.25" customHeight="1">
      <c r="B223" s="164"/>
      <c r="C223" s="20"/>
      <c r="D223" s="70"/>
      <c r="E223" s="306"/>
      <c r="F223" s="307"/>
      <c r="G223" s="307"/>
      <c r="H223" s="307"/>
      <c r="I223" s="307"/>
      <c r="J223" s="308"/>
      <c r="K223" s="212"/>
      <c r="L223" s="239" t="str">
        <f>IFERROR(VLOOKUP($C223,'SINAPI MAIO 2020'!$1:$1048576,3,0),IFERROR(VLOOKUP($C223,'6-COMP. PROPRIA'!$B$1:$I$808,5,0),""))</f>
        <v/>
      </c>
      <c r="M223" s="43"/>
      <c r="N223" s="112"/>
    </row>
    <row r="224" spans="2:14" ht="27" customHeight="1">
      <c r="B224" s="164" t="s">
        <v>6071</v>
      </c>
      <c r="C224" s="275">
        <v>92775</v>
      </c>
      <c r="D224" s="275" t="s">
        <v>8</v>
      </c>
      <c r="E224" s="668" t="str">
        <f>IFERROR(VLOOKUP($C224,'SINAPI MAIO 2020'!$1:$1048576,2,0),IFERROR(VLOOKUP($C224,'6-COMP. PROPRIA'!$B$28:$I$808,4,0),""))</f>
        <v>ARMAÇÃO DE PILAR OU VIGA DE UMA ESTRUTURA CONVENCIONAL DE CONCRETO ARMADO EM UMA EDIFICAÇÃO TÉRREA OU SOBRADO UTILIZANDO AÇO CA-60 DE 5,0 MM - MONTAGEM. AF_12/2015</v>
      </c>
      <c r="F224" s="669"/>
      <c r="G224" s="669"/>
      <c r="H224" s="669"/>
      <c r="I224" s="669"/>
      <c r="J224" s="670"/>
      <c r="K224" s="212">
        <v>40.9</v>
      </c>
      <c r="L224" s="239" t="str">
        <f>IFERROR(VLOOKUP($C224,'SINAPI MAIO 2020'!$1:$1048576,3,0),IFERROR(VLOOKUP($C224,'6-COMP. PROPRIA'!$B$1:$I$808,5,0),""))</f>
        <v>KG</v>
      </c>
      <c r="M224" s="43"/>
      <c r="N224" s="112"/>
    </row>
    <row r="225" spans="2:14" ht="17.25" customHeight="1">
      <c r="B225" s="164"/>
      <c r="C225" s="20"/>
      <c r="D225" s="20"/>
      <c r="E225" s="238"/>
      <c r="F225" s="312"/>
      <c r="G225" s="312"/>
      <c r="H225" s="62"/>
      <c r="I225" s="61"/>
      <c r="J225" s="103"/>
      <c r="K225" s="62"/>
      <c r="L225" s="239" t="str">
        <f>IFERROR(VLOOKUP($C225,'SINAPI MAIO 2020'!$1:$1048576,3,0),IFERROR(VLOOKUP($C225,'6-COMP. PROPRIA'!$B$1:$I$808,5,0),""))</f>
        <v/>
      </c>
      <c r="M225" s="104"/>
      <c r="N225" s="105"/>
    </row>
    <row r="226" spans="2:14" ht="17.25" customHeight="1">
      <c r="B226" s="164"/>
      <c r="C226" s="20"/>
      <c r="D226" s="20"/>
      <c r="E226" s="238"/>
      <c r="F226" s="324"/>
      <c r="G226" s="324"/>
      <c r="H226" s="62"/>
      <c r="I226" s="61"/>
      <c r="J226" s="103"/>
      <c r="K226" s="62"/>
      <c r="L226" s="239" t="str">
        <f>IFERROR(VLOOKUP($C226,'SINAPI MAIO 2020'!$1:$1048576,3,0),IFERROR(VLOOKUP($C226,'6-COMP. PROPRIA'!$B$1:$I$808,5,0),""))</f>
        <v/>
      </c>
      <c r="M226" s="104"/>
      <c r="N226" s="105"/>
    </row>
    <row r="227" spans="2:14" ht="31.5" customHeight="1">
      <c r="B227" s="164"/>
      <c r="C227" s="275">
        <v>96535</v>
      </c>
      <c r="D227" s="275" t="s">
        <v>8</v>
      </c>
      <c r="E227" s="668" t="str">
        <f>IFERROR(VLOOKUP($C227,'SINAPI MAIO 2020'!$1:$1048576,2,0),IFERROR(VLOOKUP($C227,'6-COMP. PROPRIA'!$B$28:$I$808,4,0),""))</f>
        <v>FABRICAÇÃO, MONTAGEM E DESMONTAGEM DE FÔRMA PARA SAPATA, EM MADEIRA SERRADA, E=25 MM, 4 UTILIZAÇÕES. AF_06/2017</v>
      </c>
      <c r="F227" s="669"/>
      <c r="G227" s="669"/>
      <c r="H227" s="669"/>
      <c r="I227" s="669"/>
      <c r="J227" s="670"/>
      <c r="K227" s="212">
        <v>36.22</v>
      </c>
      <c r="L227" s="239" t="str">
        <f>IFERROR(VLOOKUP($C227,'SINAPI MAIO 2020'!$1:$1048576,3,0),IFERROR(VLOOKUP($C227,'6-COMP. PROPRIA'!$B$1:$I$808,5,0),""))</f>
        <v>M2</v>
      </c>
      <c r="M227" s="104"/>
      <c r="N227" s="105"/>
    </row>
    <row r="228" spans="2:14" ht="17.25" customHeight="1">
      <c r="B228" s="164"/>
      <c r="C228" s="20"/>
      <c r="D228" s="20"/>
      <c r="E228" s="238"/>
      <c r="F228" s="324"/>
      <c r="G228" s="324"/>
      <c r="H228" s="62"/>
      <c r="I228" s="61"/>
      <c r="J228" s="103"/>
      <c r="K228" s="62"/>
      <c r="L228" s="239" t="str">
        <f>IFERROR(VLOOKUP($C228,'SINAPI MAIO 2020'!$1:$1048576,3,0),IFERROR(VLOOKUP($C228,'6-COMP. PROPRIA'!$B$1:$I$808,5,0),""))</f>
        <v/>
      </c>
      <c r="M228" s="104"/>
      <c r="N228" s="105"/>
    </row>
    <row r="229" spans="2:14" ht="17.25" customHeight="1">
      <c r="B229" s="164"/>
      <c r="C229" s="20"/>
      <c r="D229" s="20"/>
      <c r="E229" s="238"/>
      <c r="F229" s="324"/>
      <c r="G229" s="324"/>
      <c r="H229" s="62"/>
      <c r="I229" s="61"/>
      <c r="J229" s="103"/>
      <c r="K229" s="62"/>
      <c r="L229" s="239" t="str">
        <f>IFERROR(VLOOKUP($C229,'SINAPI MAIO 2020'!$1:$1048576,3,0),IFERROR(VLOOKUP($C229,'6-COMP. PROPRIA'!$B$1:$I$808,5,0),""))</f>
        <v/>
      </c>
      <c r="M229" s="104"/>
      <c r="N229" s="105"/>
    </row>
    <row r="230" spans="2:14" ht="17.25" customHeight="1">
      <c r="B230" s="164"/>
      <c r="C230" s="275">
        <v>98557</v>
      </c>
      <c r="D230" s="275" t="s">
        <v>8</v>
      </c>
      <c r="E230" s="668" t="str">
        <f>IFERROR(VLOOKUP($C230,'SINAPI MAIO 2020'!$1:$1048576,2,0),IFERROR(VLOOKUP($C230,'6-COMP. PROPRIA'!$B$28:$I$808,4,0),""))</f>
        <v>IMPERMEABILIZAÇÃO DE SUPERFÍCIE COM EMULSÃO ASFÁLTICA, 2 DEMÃOS AF_06/2018</v>
      </c>
      <c r="F230" s="669"/>
      <c r="G230" s="669"/>
      <c r="H230" s="669"/>
      <c r="I230" s="669"/>
      <c r="J230" s="670"/>
      <c r="K230" s="212">
        <f>SUM(K232:K233)</f>
        <v>81.52</v>
      </c>
      <c r="L230" s="239" t="str">
        <f>IFERROR(VLOOKUP($C230,'SINAPI MAIO 2020'!$1:$1048576,3,0),IFERROR(VLOOKUP($C230,'6-COMP. PROPRIA'!$B$1:$I$808,5,0),""))</f>
        <v>M2</v>
      </c>
      <c r="M230" s="104"/>
      <c r="N230" s="105"/>
    </row>
    <row r="231" spans="2:14" ht="17.25" customHeight="1">
      <c r="B231" s="166"/>
      <c r="C231" s="20"/>
      <c r="D231" s="20"/>
      <c r="E231" s="242" t="s">
        <v>938</v>
      </c>
      <c r="F231" s="311" t="s">
        <v>921</v>
      </c>
      <c r="G231" s="309" t="s">
        <v>922</v>
      </c>
      <c r="H231" s="309"/>
      <c r="I231" s="46"/>
      <c r="J231" s="129"/>
      <c r="K231" s="218"/>
      <c r="L231" s="239" t="str">
        <f>IFERROR(VLOOKUP($C231,'SINAPI MAIO 2020'!$1:$1048576,3,0),IFERROR(VLOOKUP($C231,'6-COMP. PROPRIA'!$B$1:$I$808,5,0),""))</f>
        <v/>
      </c>
      <c r="M231" s="104"/>
      <c r="N231" s="105"/>
    </row>
    <row r="232" spans="2:14" ht="17.25" customHeight="1">
      <c r="B232" s="164" t="s">
        <v>6074</v>
      </c>
      <c r="C232" s="20"/>
      <c r="D232" s="20"/>
      <c r="E232" s="102">
        <v>36.22</v>
      </c>
      <c r="F232" s="63">
        <f>F207</f>
        <v>1</v>
      </c>
      <c r="G232" s="63">
        <f>G207</f>
        <v>1</v>
      </c>
      <c r="H232" s="312"/>
      <c r="I232" s="312"/>
      <c r="J232" s="103"/>
      <c r="K232" s="62">
        <f>E232*G232*F232</f>
        <v>36.22</v>
      </c>
      <c r="L232" s="239" t="str">
        <f>IFERROR(VLOOKUP($C232,'SINAPI MAIO 2020'!$1:$1048576,3,0),IFERROR(VLOOKUP($C232,'6-COMP. PROPRIA'!$B$1:$I$808,5,0),""))</f>
        <v/>
      </c>
      <c r="M232" s="104"/>
      <c r="N232" s="135"/>
    </row>
    <row r="233" spans="2:14" ht="17.25" customHeight="1">
      <c r="B233" s="164" t="s">
        <v>6073</v>
      </c>
      <c r="C233" s="20"/>
      <c r="D233" s="20"/>
      <c r="E233" s="102">
        <v>45.3</v>
      </c>
      <c r="F233" s="63">
        <v>1</v>
      </c>
      <c r="G233" s="63">
        <v>1</v>
      </c>
      <c r="H233" s="312"/>
      <c r="I233" s="312"/>
      <c r="J233" s="103"/>
      <c r="K233" s="62">
        <f>E233*G233*F233</f>
        <v>45.3</v>
      </c>
      <c r="L233" s="239" t="str">
        <f>IFERROR(VLOOKUP($C233,'SINAPI MAIO 2020'!$1:$1048576,3,0),IFERROR(VLOOKUP($C233,'6-COMP. PROPRIA'!$B$1:$I$808,5,0),""))</f>
        <v/>
      </c>
      <c r="M233" s="104"/>
      <c r="N233" s="135"/>
    </row>
    <row r="234" spans="2:14" ht="17.25" customHeight="1">
      <c r="B234" s="164"/>
      <c r="C234" s="20"/>
      <c r="D234" s="20"/>
      <c r="E234" s="102"/>
      <c r="F234" s="63"/>
      <c r="G234" s="63"/>
      <c r="H234" s="312"/>
      <c r="I234" s="312"/>
      <c r="J234" s="103"/>
      <c r="K234" s="62"/>
      <c r="L234" s="239" t="str">
        <f>IFERROR(VLOOKUP($C234,'SINAPI MAIO 2020'!$1:$1048576,3,0),IFERROR(VLOOKUP($C234,'6-COMP. PROPRIA'!$B$1:$I$808,5,0),""))</f>
        <v/>
      </c>
      <c r="M234" s="104"/>
      <c r="N234" s="135"/>
    </row>
    <row r="235" spans="2:14" ht="17.25" customHeight="1">
      <c r="B235" s="164"/>
      <c r="C235" s="20"/>
      <c r="D235" s="20"/>
      <c r="E235" s="238"/>
      <c r="F235" s="312"/>
      <c r="G235" s="312"/>
      <c r="H235" s="312"/>
      <c r="I235" s="312"/>
      <c r="J235" s="103"/>
      <c r="K235" s="211"/>
      <c r="L235" s="239" t="str">
        <f>IFERROR(VLOOKUP($C235,'SINAPI MAIO 2020'!$1:$1048576,3,0),IFERROR(VLOOKUP($C235,'6-COMP. PROPRIA'!$B$1:$I$808,5,0),""))</f>
        <v/>
      </c>
      <c r="M235" s="104"/>
      <c r="N235" s="136"/>
    </row>
    <row r="236" spans="2:14" ht="17.25" customHeight="1">
      <c r="B236" s="164"/>
      <c r="C236" s="275">
        <v>93382</v>
      </c>
      <c r="D236" s="275" t="s">
        <v>8</v>
      </c>
      <c r="E236" s="668" t="str">
        <f>IFERROR(VLOOKUP($C236,'SINAPI MAIO 2020'!$1:$1048576,2,0),IFERROR(VLOOKUP($C236,'6-COMP. PROPRIA'!$B$28:$I$808,4,0),""))</f>
        <v>REATERRO MANUAL DE VALAS COM COMPACTAÇÃO MECANIZADA. AF_04/2016</v>
      </c>
      <c r="F236" s="669"/>
      <c r="G236" s="669"/>
      <c r="H236" s="669"/>
      <c r="I236" s="669"/>
      <c r="J236" s="670"/>
      <c r="K236" s="212">
        <f>SUM(K238)</f>
        <v>20.163499999999992</v>
      </c>
      <c r="L236" s="239" t="str">
        <f>IFERROR(VLOOKUP($C236,'SINAPI MAIO 2020'!$1:$1048576,3,0),IFERROR(VLOOKUP($C236,'6-COMP. PROPRIA'!$B$1:$I$808,5,0),""))</f>
        <v>M3</v>
      </c>
      <c r="M236" s="104"/>
      <c r="N236" s="105"/>
    </row>
    <row r="237" spans="2:14" ht="40.5" customHeight="1">
      <c r="B237" s="166" t="s">
        <v>942</v>
      </c>
      <c r="C237" s="20"/>
      <c r="D237" s="20"/>
      <c r="E237" s="75" t="s">
        <v>939</v>
      </c>
      <c r="F237" s="309" t="s">
        <v>940</v>
      </c>
      <c r="G237" s="110"/>
      <c r="H237" s="312"/>
      <c r="I237" s="312"/>
      <c r="J237" s="103"/>
      <c r="K237" s="212"/>
      <c r="L237" s="239" t="str">
        <f>IFERROR(VLOOKUP($C237,'SINAPI MAIO 2020'!$1:$1048576,3,0),IFERROR(VLOOKUP($C237,'6-COMP. PROPRIA'!$B$1:$I$808,5,0),""))</f>
        <v/>
      </c>
      <c r="M237" s="104"/>
      <c r="N237" s="105"/>
    </row>
    <row r="238" spans="2:14" ht="17.25" customHeight="1">
      <c r="B238" s="164"/>
      <c r="C238" s="20"/>
      <c r="D238" s="20"/>
      <c r="E238" s="113">
        <f>K191</f>
        <v>28.473499999999994</v>
      </c>
      <c r="F238" s="63">
        <f>K205</f>
        <v>8.31</v>
      </c>
      <c r="G238" s="312"/>
      <c r="H238" s="312"/>
      <c r="I238" s="312"/>
      <c r="J238" s="103"/>
      <c r="K238" s="62">
        <f>E238-F238</f>
        <v>20.163499999999992</v>
      </c>
      <c r="L238" s="239" t="str">
        <f>IFERROR(VLOOKUP($C238,'SINAPI MAIO 2020'!$1:$1048576,3,0),IFERROR(VLOOKUP($C238,'6-COMP. PROPRIA'!$B$1:$I$808,5,0),""))</f>
        <v/>
      </c>
      <c r="M238" s="104"/>
      <c r="N238" s="105"/>
    </row>
    <row r="239" spans="2:14" ht="17.25" customHeight="1">
      <c r="B239" s="164"/>
      <c r="C239" s="20"/>
      <c r="D239" s="20"/>
      <c r="E239" s="238"/>
      <c r="F239" s="312"/>
      <c r="G239" s="312"/>
      <c r="H239" s="312"/>
      <c r="I239" s="312"/>
      <c r="J239" s="103"/>
      <c r="K239" s="211"/>
      <c r="L239" s="239" t="str">
        <f>IFERROR(VLOOKUP($C239,'SINAPI MAIO 2020'!$1:$1048576,3,0),IFERROR(VLOOKUP($C239,'6-COMP. PROPRIA'!$B$1:$I$808,5,0),""))</f>
        <v/>
      </c>
      <c r="M239" s="104"/>
      <c r="N239" s="105"/>
    </row>
    <row r="240" spans="2:14" ht="17.25" customHeight="1">
      <c r="B240" s="164"/>
      <c r="C240" s="20"/>
      <c r="D240" s="20"/>
      <c r="E240" s="238"/>
      <c r="F240" s="312"/>
      <c r="G240" s="312"/>
      <c r="H240" s="312"/>
      <c r="I240" s="312"/>
      <c r="J240" s="103"/>
      <c r="K240" s="211"/>
      <c r="L240" s="239" t="str">
        <f>IFERROR(VLOOKUP($C240,'SINAPI MAIO 2020'!$1:$1048576,3,0),IFERROR(VLOOKUP($C240,'6-COMP. PROPRIA'!$B$1:$I$808,5,0),""))</f>
        <v/>
      </c>
      <c r="M240" s="104"/>
      <c r="N240" s="105"/>
    </row>
    <row r="241" spans="2:14" ht="17.25" customHeight="1">
      <c r="B241" s="164"/>
      <c r="C241" s="275">
        <v>72897</v>
      </c>
      <c r="D241" s="275" t="s">
        <v>8</v>
      </c>
      <c r="E241" s="668" t="str">
        <f>IFERROR(VLOOKUP($C241,'SINAPI MAIO 2020'!$1:$1048576,2,0),IFERROR(VLOOKUP($C241,'6-COMP. PROPRIA'!$B$28:$I$808,4,0),""))</f>
        <v>CARGA MANUAL DE ENTULHO EM CAMINHAO BASCULANTE 6 M3</v>
      </c>
      <c r="F241" s="669"/>
      <c r="G241" s="669"/>
      <c r="H241" s="669"/>
      <c r="I241" s="669"/>
      <c r="J241" s="670"/>
      <c r="K241" s="212">
        <f>SUM(K243:K243)</f>
        <v>10.803000000000001</v>
      </c>
      <c r="L241" s="239" t="str">
        <f>IFERROR(VLOOKUP($C241,'SINAPI MAIO 2020'!$1:$1048576,3,0),IFERROR(VLOOKUP($C241,'6-COMP. PROPRIA'!$B$1:$I$808,5,0),""))</f>
        <v>M3</v>
      </c>
      <c r="M241" s="104"/>
      <c r="N241" s="105"/>
    </row>
    <row r="242" spans="2:14" ht="46.5" customHeight="1">
      <c r="B242" s="166" t="s">
        <v>943</v>
      </c>
      <c r="C242" s="20"/>
      <c r="D242" s="20"/>
      <c r="E242" s="75"/>
      <c r="F242" s="309" t="s">
        <v>940</v>
      </c>
      <c r="G242" s="311"/>
      <c r="H242" s="309" t="s">
        <v>949</v>
      </c>
      <c r="I242" s="312"/>
      <c r="J242" s="310"/>
      <c r="K242" s="62"/>
      <c r="L242" s="239" t="str">
        <f>IFERROR(VLOOKUP($C242,'SINAPI MAIO 2020'!$1:$1048576,3,0),IFERROR(VLOOKUP($C242,'6-COMP. PROPRIA'!$B$1:$I$808,5,0),""))</f>
        <v/>
      </c>
      <c r="M242" s="104"/>
      <c r="N242" s="105"/>
    </row>
    <row r="243" spans="2:14" ht="17.25" customHeight="1">
      <c r="B243" s="164"/>
      <c r="C243" s="20"/>
      <c r="D243" s="20"/>
      <c r="E243" s="238"/>
      <c r="F243" s="66">
        <f>K205</f>
        <v>8.31</v>
      </c>
      <c r="G243" s="311"/>
      <c r="H243" s="66">
        <v>1.3</v>
      </c>
      <c r="I243" s="312"/>
      <c r="J243" s="59"/>
      <c r="K243" s="62">
        <f>H243*F243</f>
        <v>10.803000000000001</v>
      </c>
      <c r="L243" s="239" t="str">
        <f>IFERROR(VLOOKUP($C243,'SINAPI MAIO 2020'!$1:$1048576,3,0),IFERROR(VLOOKUP($C243,'6-COMP. PROPRIA'!$B$1:$I$808,5,0),""))</f>
        <v/>
      </c>
      <c r="M243" s="104"/>
      <c r="N243" s="105"/>
    </row>
    <row r="244" spans="2:14" ht="17.25" customHeight="1">
      <c r="B244" s="164"/>
      <c r="C244" s="20"/>
      <c r="D244" s="20"/>
      <c r="E244" s="238"/>
      <c r="F244" s="311"/>
      <c r="G244" s="311"/>
      <c r="H244" s="312"/>
      <c r="I244" s="311"/>
      <c r="J244" s="59"/>
      <c r="K244" s="62"/>
      <c r="L244" s="239" t="str">
        <f>IFERROR(VLOOKUP($C244,'SINAPI MAIO 2020'!$1:$1048576,3,0),IFERROR(VLOOKUP($C244,'6-COMP. PROPRIA'!$B$1:$I$808,5,0),""))</f>
        <v/>
      </c>
      <c r="M244" s="104"/>
      <c r="N244" s="105"/>
    </row>
    <row r="245" spans="2:14" ht="46.5" customHeight="1">
      <c r="B245" s="168"/>
      <c r="C245" s="275">
        <v>97916</v>
      </c>
      <c r="D245" s="275" t="s">
        <v>8</v>
      </c>
      <c r="E245" s="668" t="str">
        <f>IFERROR(VLOOKUP($C245,'SINAPI MAIO 2020'!$1:$1048576,2,0),IFERROR(VLOOKUP($C245,'6-COMP. PROPRIA'!$B$28:$I$808,4,0),""))</f>
        <v>TRANSPORTE COM CAMINHÃO BASCULANTE DE 6 M3, EM VIA URBANA EM LEITO NATURAL (UNIDADE: TXKM). AF_01/2018</v>
      </c>
      <c r="F245" s="669"/>
      <c r="G245" s="669"/>
      <c r="H245" s="669"/>
      <c r="I245" s="669"/>
      <c r="J245" s="670"/>
      <c r="K245" s="212">
        <f>SUM(K247:K247)</f>
        <v>270.07500000000005</v>
      </c>
      <c r="L245" s="239" t="str">
        <f>IFERROR(VLOOKUP($C245,'SINAPI MAIO 2020'!$1:$1048576,3,0),IFERROR(VLOOKUP($C245,'6-COMP. PROPRIA'!$B$1:$I$808,5,0),""))</f>
        <v>TXKM</v>
      </c>
      <c r="M245" s="104"/>
      <c r="N245" s="105"/>
    </row>
    <row r="246" spans="2:14" ht="36.75" customHeight="1">
      <c r="B246" s="164" t="s">
        <v>945</v>
      </c>
      <c r="C246" s="20"/>
      <c r="D246" s="20"/>
      <c r="E246" s="75" t="s">
        <v>925</v>
      </c>
      <c r="F246" s="312"/>
      <c r="G246" s="312"/>
      <c r="H246" s="309" t="s">
        <v>926</v>
      </c>
      <c r="I246" s="312"/>
      <c r="J246" s="103"/>
      <c r="K246" s="211"/>
      <c r="L246" s="239" t="str">
        <f>IFERROR(VLOOKUP($C246,'SINAPI MAIO 2020'!$1:$1048576,3,0),IFERROR(VLOOKUP($C246,'6-COMP. PROPRIA'!$B$1:$I$808,5,0),""))</f>
        <v/>
      </c>
      <c r="M246" s="104"/>
      <c r="N246" s="105"/>
    </row>
    <row r="247" spans="2:14" ht="17.25" customHeight="1">
      <c r="B247" s="164"/>
      <c r="C247" s="20"/>
      <c r="D247" s="20"/>
      <c r="E247" s="113">
        <f>K241</f>
        <v>10.803000000000001</v>
      </c>
      <c r="F247" s="50"/>
      <c r="G247" s="50"/>
      <c r="H247" s="106">
        <v>25</v>
      </c>
      <c r="I247" s="312"/>
      <c r="J247" s="59"/>
      <c r="K247" s="62">
        <f>H247*E247</f>
        <v>270.07500000000005</v>
      </c>
      <c r="L247" s="239" t="str">
        <f>IFERROR(VLOOKUP($C247,'SINAPI MAIO 2020'!$1:$1048576,3,0),IFERROR(VLOOKUP($C247,'6-COMP. PROPRIA'!$B$1:$I$808,5,0),""))</f>
        <v/>
      </c>
      <c r="M247" s="104"/>
      <c r="N247" s="105"/>
    </row>
    <row r="248" spans="2:14" ht="17.25" customHeight="1">
      <c r="B248" s="170"/>
      <c r="C248" s="92"/>
      <c r="D248" s="92"/>
      <c r="E248" s="114"/>
      <c r="F248" s="50"/>
      <c r="G248" s="50"/>
      <c r="H248" s="50"/>
      <c r="I248" s="312"/>
      <c r="J248" s="103"/>
      <c r="K248" s="62"/>
      <c r="L248" s="239" t="str">
        <f>IFERROR(VLOOKUP($C248,'SINAPI MAIO 2020'!$1:$1048576,3,0),IFERROR(VLOOKUP($C248,'6-COMP. PROPRIA'!$B$1:$I$808,5,0),""))</f>
        <v/>
      </c>
      <c r="M248" s="104"/>
      <c r="N248" s="105"/>
    </row>
    <row r="249" spans="2:14" ht="17.25" customHeight="1">
      <c r="B249" s="164"/>
      <c r="C249" s="20"/>
      <c r="D249" s="20"/>
      <c r="E249" s="238"/>
      <c r="F249" s="312"/>
      <c r="G249" s="312"/>
      <c r="H249" s="312"/>
      <c r="I249" s="312"/>
      <c r="J249" s="103"/>
      <c r="K249" s="211"/>
      <c r="L249" s="239" t="str">
        <f>IFERROR(VLOOKUP($C249,'SINAPI MAIO 2020'!$1:$1048576,3,0),IFERROR(VLOOKUP($C249,'6-COMP. PROPRIA'!$B$1:$I$808,5,0),""))</f>
        <v/>
      </c>
      <c r="M249" s="104"/>
      <c r="N249" s="105"/>
    </row>
    <row r="250" spans="2:14" ht="17.25" customHeight="1">
      <c r="B250" s="165"/>
      <c r="C250" s="90"/>
      <c r="D250" s="90"/>
      <c r="E250" s="693" t="s">
        <v>6075</v>
      </c>
      <c r="F250" s="694"/>
      <c r="G250" s="694"/>
      <c r="H250" s="132"/>
      <c r="I250" s="312"/>
      <c r="J250" s="134"/>
      <c r="K250" s="210"/>
      <c r="L250" s="239" t="str">
        <f>IFERROR(VLOOKUP($C250,'SINAPI MAIO 2020'!$1:$1048576,3,0),IFERROR(VLOOKUP($C250,'6-COMP. PROPRIA'!$B$1:$I$808,5,0),""))</f>
        <v/>
      </c>
      <c r="M250" s="94"/>
      <c r="N250" s="109"/>
    </row>
    <row r="251" spans="2:14" ht="17.25" customHeight="1">
      <c r="B251" s="164"/>
      <c r="C251" s="275">
        <v>96527</v>
      </c>
      <c r="D251" s="275" t="s">
        <v>8</v>
      </c>
      <c r="E251" s="668" t="str">
        <f>IFERROR(VLOOKUP($C251,'SINAPI MAIO 2020'!$1:$1048576,2,0),IFERROR(VLOOKUP($C251,'6-COMP. PROPRIA'!$B$28:$I$808,4,0),""))</f>
        <v>ESCAVAÇÃO MANUAL DE VALA PARA VIGA BALDRAME, COM PREVISÃO DE FÔRMA. AF_06/2017</v>
      </c>
      <c r="F251" s="669"/>
      <c r="G251" s="669"/>
      <c r="H251" s="669"/>
      <c r="I251" s="669"/>
      <c r="J251" s="670"/>
      <c r="K251" s="212">
        <f>SUM(K253:K265)*1.3</f>
        <v>12.786149999999999</v>
      </c>
      <c r="L251" s="239" t="str">
        <f>IFERROR(VLOOKUP($C251,'SINAPI MAIO 2020'!$1:$1048576,3,0),IFERROR(VLOOKUP($C251,'6-COMP. PROPRIA'!$B$1:$I$808,5,0),""))</f>
        <v>M3</v>
      </c>
      <c r="M251" s="94"/>
      <c r="N251" s="59"/>
    </row>
    <row r="252" spans="2:14" ht="36" customHeight="1">
      <c r="B252" s="164"/>
      <c r="C252" s="20"/>
      <c r="D252" s="20"/>
      <c r="E252" s="72" t="s">
        <v>919</v>
      </c>
      <c r="F252" s="311" t="s">
        <v>918</v>
      </c>
      <c r="G252" s="311" t="s">
        <v>921</v>
      </c>
      <c r="H252" s="309" t="s">
        <v>922</v>
      </c>
      <c r="I252" s="317"/>
      <c r="J252" s="318"/>
      <c r="K252" s="217"/>
      <c r="L252" s="239" t="str">
        <f>IFERROR(VLOOKUP($C252,'SINAPI MAIO 2020'!$1:$1048576,3,0),IFERROR(VLOOKUP($C252,'6-COMP. PROPRIA'!$B$1:$I$808,5,0),""))</f>
        <v/>
      </c>
      <c r="M252" s="94"/>
      <c r="N252" s="59"/>
    </row>
    <row r="253" spans="2:14" ht="17.25" customHeight="1">
      <c r="B253" s="168"/>
      <c r="C253" s="20"/>
      <c r="D253" s="20"/>
      <c r="E253" s="102">
        <v>6.9</v>
      </c>
      <c r="F253" s="106">
        <v>0.25</v>
      </c>
      <c r="G253" s="106">
        <v>0.4</v>
      </c>
      <c r="H253" s="106">
        <v>1</v>
      </c>
      <c r="I253" s="312"/>
      <c r="J253" s="103"/>
      <c r="K253" s="62">
        <f>E253*F253*G253*H253</f>
        <v>0.69000000000000006</v>
      </c>
      <c r="L253" s="239" t="str">
        <f>IFERROR(VLOOKUP($C253,'SINAPI MAIO 2020'!$1:$1048576,3,0),IFERROR(VLOOKUP($C253,'6-COMP. PROPRIA'!$B$1:$I$808,5,0),""))</f>
        <v/>
      </c>
      <c r="M253" s="94"/>
      <c r="N253" s="116"/>
    </row>
    <row r="254" spans="2:14" ht="17.25" customHeight="1">
      <c r="B254" s="168"/>
      <c r="C254" s="20"/>
      <c r="D254" s="20"/>
      <c r="E254" s="102">
        <v>20.7</v>
      </c>
      <c r="F254" s="106">
        <v>0.25</v>
      </c>
      <c r="G254" s="106">
        <v>0.4</v>
      </c>
      <c r="H254" s="106">
        <v>1</v>
      </c>
      <c r="I254" s="312"/>
      <c r="J254" s="103"/>
      <c r="K254" s="62">
        <f t="shared" ref="K254:K264" si="10">E254*F254*G254*H254</f>
        <v>2.0699999999999998</v>
      </c>
      <c r="L254" s="239" t="str">
        <f>IFERROR(VLOOKUP($C254,'SINAPI MAIO 2020'!$1:$1048576,3,0),IFERROR(VLOOKUP($C254,'6-COMP. PROPRIA'!$B$1:$I$808,5,0),""))</f>
        <v/>
      </c>
      <c r="M254" s="94"/>
      <c r="N254" s="116"/>
    </row>
    <row r="255" spans="2:14" ht="17.25" customHeight="1">
      <c r="B255" s="168"/>
      <c r="C255" s="20"/>
      <c r="D255" s="20"/>
      <c r="E255" s="102">
        <v>2.0499999999999998</v>
      </c>
      <c r="F255" s="106">
        <v>0.25</v>
      </c>
      <c r="G255" s="106">
        <v>0.4</v>
      </c>
      <c r="H255" s="106">
        <v>1</v>
      </c>
      <c r="I255" s="312"/>
      <c r="J255" s="103"/>
      <c r="K255" s="62">
        <f t="shared" si="10"/>
        <v>0.20499999999999999</v>
      </c>
      <c r="L255" s="239" t="str">
        <f>IFERROR(VLOOKUP($C255,'SINAPI MAIO 2020'!$1:$1048576,3,0),IFERROR(VLOOKUP($C255,'6-COMP. PROPRIA'!$B$1:$I$808,5,0),""))</f>
        <v/>
      </c>
      <c r="M255" s="94"/>
      <c r="N255" s="116"/>
    </row>
    <row r="256" spans="2:14" ht="17.25" customHeight="1">
      <c r="B256" s="168"/>
      <c r="C256" s="20"/>
      <c r="D256" s="20"/>
      <c r="E256" s="102">
        <v>9.25</v>
      </c>
      <c r="F256" s="106">
        <v>0.25</v>
      </c>
      <c r="G256" s="106">
        <v>0.4</v>
      </c>
      <c r="H256" s="106">
        <v>1</v>
      </c>
      <c r="I256" s="312"/>
      <c r="J256" s="103"/>
      <c r="K256" s="62">
        <f t="shared" si="10"/>
        <v>0.92500000000000004</v>
      </c>
      <c r="L256" s="239" t="str">
        <f>IFERROR(VLOOKUP($C256,'SINAPI MAIO 2020'!$1:$1048576,3,0),IFERROR(VLOOKUP($C256,'6-COMP. PROPRIA'!$B$1:$I$808,5,0),""))</f>
        <v/>
      </c>
      <c r="M256" s="94"/>
      <c r="N256" s="116"/>
    </row>
    <row r="257" spans="2:14" ht="17.25" customHeight="1">
      <c r="B257" s="168"/>
      <c r="C257" s="20"/>
      <c r="D257" s="20"/>
      <c r="E257" s="102">
        <v>2.645</v>
      </c>
      <c r="F257" s="106">
        <v>0.25</v>
      </c>
      <c r="G257" s="106">
        <v>0.4</v>
      </c>
      <c r="H257" s="106">
        <v>1</v>
      </c>
      <c r="I257" s="312"/>
      <c r="J257" s="103"/>
      <c r="K257" s="62">
        <f t="shared" si="10"/>
        <v>0.26450000000000001</v>
      </c>
      <c r="L257" s="239" t="str">
        <f>IFERROR(VLOOKUP($C257,'SINAPI MAIO 2020'!$1:$1048576,3,0),IFERROR(VLOOKUP($C257,'6-COMP. PROPRIA'!$B$1:$I$808,5,0),""))</f>
        <v/>
      </c>
      <c r="M257" s="94"/>
      <c r="N257" s="116"/>
    </row>
    <row r="258" spans="2:14" ht="17.25" customHeight="1">
      <c r="B258" s="168"/>
      <c r="C258" s="20"/>
      <c r="D258" s="20"/>
      <c r="E258" s="102">
        <f>3*6.15</f>
        <v>18.450000000000003</v>
      </c>
      <c r="F258" s="106">
        <v>0.25</v>
      </c>
      <c r="G258" s="106">
        <v>0.4</v>
      </c>
      <c r="H258" s="106">
        <v>1</v>
      </c>
      <c r="I258" s="312"/>
      <c r="J258" s="103"/>
      <c r="K258" s="62">
        <f t="shared" si="10"/>
        <v>1.8450000000000004</v>
      </c>
      <c r="L258" s="239" t="str">
        <f>IFERROR(VLOOKUP($C258,'SINAPI MAIO 2020'!$1:$1048576,3,0),IFERROR(VLOOKUP($C258,'6-COMP. PROPRIA'!$B$1:$I$808,5,0),""))</f>
        <v/>
      </c>
      <c r="M258" s="94"/>
      <c r="N258" s="116"/>
    </row>
    <row r="259" spans="2:14" ht="17.25" customHeight="1">
      <c r="B259" s="168"/>
      <c r="C259" s="20"/>
      <c r="D259" s="20"/>
      <c r="E259" s="102">
        <v>8.26</v>
      </c>
      <c r="F259" s="106">
        <v>0.25</v>
      </c>
      <c r="G259" s="106">
        <v>0.4</v>
      </c>
      <c r="H259" s="106">
        <v>1</v>
      </c>
      <c r="I259" s="312"/>
      <c r="J259" s="103"/>
      <c r="K259" s="62">
        <f t="shared" si="10"/>
        <v>0.82600000000000007</v>
      </c>
      <c r="L259" s="239" t="str">
        <f>IFERROR(VLOOKUP($C259,'SINAPI MAIO 2020'!$1:$1048576,3,0),IFERROR(VLOOKUP($C259,'6-COMP. PROPRIA'!$B$1:$I$808,5,0),""))</f>
        <v/>
      </c>
      <c r="M259" s="94"/>
      <c r="N259" s="116"/>
    </row>
    <row r="260" spans="2:14" ht="17.25" customHeight="1">
      <c r="B260" s="168"/>
      <c r="C260" s="20"/>
      <c r="D260" s="20"/>
      <c r="E260" s="102">
        <v>1.35</v>
      </c>
      <c r="F260" s="106">
        <v>0.25</v>
      </c>
      <c r="G260" s="106">
        <v>0.4</v>
      </c>
      <c r="H260" s="106">
        <v>1</v>
      </c>
      <c r="I260" s="312"/>
      <c r="J260" s="103"/>
      <c r="K260" s="62">
        <f t="shared" si="10"/>
        <v>0.13500000000000001</v>
      </c>
      <c r="L260" s="239" t="str">
        <f>IFERROR(VLOOKUP($C260,'SINAPI MAIO 2020'!$1:$1048576,3,0),IFERROR(VLOOKUP($C260,'6-COMP. PROPRIA'!$B$1:$I$808,5,0),""))</f>
        <v/>
      </c>
      <c r="M260" s="94"/>
      <c r="N260" s="116"/>
    </row>
    <row r="261" spans="2:14" ht="17.25" customHeight="1">
      <c r="B261" s="168"/>
      <c r="C261" s="20"/>
      <c r="D261" s="20"/>
      <c r="E261" s="102">
        <v>2.15</v>
      </c>
      <c r="F261" s="106">
        <v>0.25</v>
      </c>
      <c r="G261" s="106">
        <v>0.4</v>
      </c>
      <c r="H261" s="106">
        <v>1</v>
      </c>
      <c r="I261" s="312"/>
      <c r="J261" s="103"/>
      <c r="K261" s="62">
        <f t="shared" si="10"/>
        <v>0.215</v>
      </c>
      <c r="L261" s="239" t="str">
        <f>IFERROR(VLOOKUP($C261,'SINAPI MAIO 2020'!$1:$1048576,3,0),IFERROR(VLOOKUP($C261,'6-COMP. PROPRIA'!$B$1:$I$808,5,0),""))</f>
        <v/>
      </c>
      <c r="M261" s="94"/>
      <c r="N261" s="116"/>
    </row>
    <row r="262" spans="2:14" ht="17.25" customHeight="1">
      <c r="B262" s="168"/>
      <c r="C262" s="20"/>
      <c r="D262" s="20"/>
      <c r="E262" s="102">
        <f>3*4</f>
        <v>12</v>
      </c>
      <c r="F262" s="106">
        <v>0.25</v>
      </c>
      <c r="G262" s="106">
        <v>0.4</v>
      </c>
      <c r="H262" s="106">
        <v>1</v>
      </c>
      <c r="I262" s="312"/>
      <c r="J262" s="103"/>
      <c r="K262" s="62">
        <f t="shared" si="10"/>
        <v>1.2000000000000002</v>
      </c>
      <c r="L262" s="239" t="str">
        <f>IFERROR(VLOOKUP($C262,'SINAPI MAIO 2020'!$1:$1048576,3,0),IFERROR(VLOOKUP($C262,'6-COMP. PROPRIA'!$B$1:$I$808,5,0),""))</f>
        <v/>
      </c>
      <c r="M262" s="94"/>
      <c r="N262" s="116"/>
    </row>
    <row r="263" spans="2:14" ht="17.25" customHeight="1">
      <c r="B263" s="168"/>
      <c r="C263" s="91"/>
      <c r="D263" s="91"/>
      <c r="E263" s="102">
        <v>6.1</v>
      </c>
      <c r="F263" s="106">
        <v>0.25</v>
      </c>
      <c r="G263" s="106">
        <v>0.4</v>
      </c>
      <c r="H263" s="106">
        <v>1</v>
      </c>
      <c r="I263" s="49"/>
      <c r="J263" s="119"/>
      <c r="K263" s="62">
        <f t="shared" si="10"/>
        <v>0.61</v>
      </c>
      <c r="L263" s="239" t="str">
        <f>IFERROR(VLOOKUP($C263,'SINAPI MAIO 2020'!$1:$1048576,3,0),IFERROR(VLOOKUP($C263,'6-COMP. PROPRIA'!$B$1:$I$808,5,0),""))</f>
        <v/>
      </c>
      <c r="M263" s="123"/>
      <c r="N263" s="121"/>
    </row>
    <row r="264" spans="2:14" ht="17.25" customHeight="1">
      <c r="B264" s="168"/>
      <c r="C264" s="91"/>
      <c r="D264" s="91"/>
      <c r="E264" s="102">
        <v>3.9</v>
      </c>
      <c r="F264" s="106">
        <v>0.25</v>
      </c>
      <c r="G264" s="106">
        <v>0.4</v>
      </c>
      <c r="H264" s="106">
        <v>1</v>
      </c>
      <c r="I264" s="49"/>
      <c r="J264" s="119"/>
      <c r="K264" s="62">
        <f t="shared" si="10"/>
        <v>0.39</v>
      </c>
      <c r="L264" s="239" t="str">
        <f>IFERROR(VLOOKUP($C264,'SINAPI MAIO 2020'!$1:$1048576,3,0),IFERROR(VLOOKUP($C264,'6-COMP. PROPRIA'!$B$1:$I$808,5,0),""))</f>
        <v/>
      </c>
      <c r="M264" s="123"/>
      <c r="N264" s="121"/>
    </row>
    <row r="265" spans="2:14" ht="17.25" customHeight="1">
      <c r="B265" s="168"/>
      <c r="C265" s="91"/>
      <c r="D265" s="91"/>
      <c r="E265" s="102">
        <v>4.5999999999999996</v>
      </c>
      <c r="F265" s="106">
        <v>0.25</v>
      </c>
      <c r="G265" s="106">
        <v>0.4</v>
      </c>
      <c r="H265" s="106">
        <v>1</v>
      </c>
      <c r="I265" s="49"/>
      <c r="J265" s="119"/>
      <c r="K265" s="62">
        <f>E265*F265*G265*H265</f>
        <v>0.45999999999999996</v>
      </c>
      <c r="L265" s="239" t="str">
        <f>IFERROR(VLOOKUP($C265,'SINAPI MAIO 2020'!$1:$1048576,3,0),IFERROR(VLOOKUP($C265,'6-COMP. PROPRIA'!$B$1:$I$808,5,0),""))</f>
        <v/>
      </c>
      <c r="M265" s="123"/>
      <c r="N265" s="121"/>
    </row>
    <row r="266" spans="2:14" ht="17.25" customHeight="1">
      <c r="B266" s="168"/>
      <c r="C266" s="91"/>
      <c r="D266" s="91"/>
      <c r="E266" s="238"/>
      <c r="F266" s="324"/>
      <c r="G266" s="324"/>
      <c r="H266" s="49"/>
      <c r="I266" s="49"/>
      <c r="J266" s="119"/>
      <c r="K266" s="210"/>
      <c r="L266" s="239" t="str">
        <f>IFERROR(VLOOKUP($C266,'SINAPI MAIO 2020'!$1:$1048576,3,0),IFERROR(VLOOKUP($C266,'6-COMP. PROPRIA'!$B$1:$I$808,5,0),""))</f>
        <v/>
      </c>
      <c r="M266" s="123"/>
      <c r="N266" s="121"/>
    </row>
    <row r="267" spans="2:14" ht="17.25" customHeight="1">
      <c r="B267" s="168"/>
      <c r="C267" s="91"/>
      <c r="D267" s="91"/>
      <c r="E267" s="238"/>
      <c r="F267" s="312"/>
      <c r="G267" s="312"/>
      <c r="H267" s="49"/>
      <c r="I267" s="49"/>
      <c r="J267" s="119"/>
      <c r="K267" s="210"/>
      <c r="L267" s="239" t="str">
        <f>IFERROR(VLOOKUP($C267,'SINAPI MAIO 2020'!$1:$1048576,3,0),IFERROR(VLOOKUP($C267,'6-COMP. PROPRIA'!$B$1:$I$808,5,0),""))</f>
        <v/>
      </c>
      <c r="M267" s="123"/>
      <c r="N267" s="121"/>
    </row>
    <row r="268" spans="2:14" ht="55.5" customHeight="1">
      <c r="B268" s="168"/>
      <c r="C268" s="275">
        <v>96617</v>
      </c>
      <c r="D268" s="275" t="s">
        <v>8</v>
      </c>
      <c r="E268" s="668" t="str">
        <f>IFERROR(VLOOKUP($C268,'SINAPI MAIO 2020'!$1:$1048576,2,0),IFERROR(VLOOKUP($C268,'6-COMP. PROPRIA'!$B$28:$I$808,4,0),""))</f>
        <v>LASTRO DE CONCRETO MAGRO, APLICADO EM BLOCOS DE COROAMENTO OU SAPATAS, ESPESSURA DE 3 CM. AF_08/2017</v>
      </c>
      <c r="F268" s="669"/>
      <c r="G268" s="669"/>
      <c r="H268" s="669"/>
      <c r="I268" s="669"/>
      <c r="J268" s="670"/>
      <c r="K268" s="212">
        <f>SUM(K270:K280)</f>
        <v>13.478249999999999</v>
      </c>
      <c r="L268" s="239" t="str">
        <f>IFERROR(VLOOKUP($C268,'SINAPI MAIO 2020'!$1:$1048576,3,0),IFERROR(VLOOKUP($C268,'6-COMP. PROPRIA'!$B$1:$I$808,5,0),""))</f>
        <v>M2</v>
      </c>
      <c r="M268" s="43">
        <f>K268*H268</f>
        <v>0</v>
      </c>
      <c r="N268" s="112" t="s">
        <v>41</v>
      </c>
    </row>
    <row r="269" spans="2:14" ht="54" customHeight="1">
      <c r="B269" s="168"/>
      <c r="C269" s="91"/>
      <c r="D269" s="91"/>
      <c r="E269" s="72" t="s">
        <v>919</v>
      </c>
      <c r="F269" s="311" t="s">
        <v>918</v>
      </c>
      <c r="G269" s="312"/>
      <c r="H269" s="309" t="s">
        <v>922</v>
      </c>
      <c r="I269" s="312"/>
      <c r="J269" s="103"/>
      <c r="K269" s="211"/>
      <c r="L269" s="239" t="str">
        <f>IFERROR(VLOOKUP($C269,'SINAPI MAIO 2020'!$1:$1048576,3,0),IFERROR(VLOOKUP($C269,'6-COMP. PROPRIA'!$B$1:$I$808,5,0),""))</f>
        <v/>
      </c>
      <c r="M269" s="104"/>
      <c r="N269" s="105"/>
    </row>
    <row r="270" spans="2:14" ht="17.25" customHeight="1">
      <c r="B270" s="168">
        <f t="shared" ref="B270:B271" si="11">B287</f>
        <v>0</v>
      </c>
      <c r="C270" s="91"/>
      <c r="D270" s="91"/>
      <c r="E270" s="102">
        <v>6.9</v>
      </c>
      <c r="F270" s="106">
        <v>0.15</v>
      </c>
      <c r="G270" s="312"/>
      <c r="H270" s="106">
        <v>1</v>
      </c>
      <c r="I270" s="312"/>
      <c r="J270" s="103"/>
      <c r="K270" s="62">
        <f>H270*F270*E270</f>
        <v>1.0349999999999999</v>
      </c>
      <c r="L270" s="239" t="str">
        <f>IFERROR(VLOOKUP($C270,'SINAPI MAIO 2020'!$1:$1048576,3,0),IFERROR(VLOOKUP($C270,'6-COMP. PROPRIA'!$B$1:$I$808,5,0),""))</f>
        <v/>
      </c>
      <c r="M270" s="104"/>
      <c r="N270" s="105"/>
    </row>
    <row r="271" spans="2:14" ht="17.25" customHeight="1">
      <c r="B271" s="168">
        <f t="shared" si="11"/>
        <v>0</v>
      </c>
      <c r="C271" s="91"/>
      <c r="D271" s="91"/>
      <c r="E271" s="102">
        <v>20.7</v>
      </c>
      <c r="F271" s="106">
        <v>0.15</v>
      </c>
      <c r="G271" s="312"/>
      <c r="H271" s="106">
        <v>1</v>
      </c>
      <c r="I271" s="312"/>
      <c r="J271" s="103"/>
      <c r="K271" s="62">
        <f t="shared" ref="K271:K282" si="12">H271*F271*E271</f>
        <v>3.105</v>
      </c>
      <c r="L271" s="239" t="str">
        <f>IFERROR(VLOOKUP($C271,'SINAPI MAIO 2020'!$1:$1048576,3,0),IFERROR(VLOOKUP($C271,'6-COMP. PROPRIA'!$B$1:$I$808,5,0),""))</f>
        <v/>
      </c>
      <c r="M271" s="104"/>
      <c r="N271" s="105"/>
    </row>
    <row r="272" spans="2:14" ht="17.25" customHeight="1">
      <c r="B272" s="168"/>
      <c r="C272" s="91"/>
      <c r="D272" s="91"/>
      <c r="E272" s="102">
        <v>2.0499999999999998</v>
      </c>
      <c r="F272" s="106">
        <v>0.15</v>
      </c>
      <c r="G272" s="312"/>
      <c r="H272" s="106">
        <v>1</v>
      </c>
      <c r="I272" s="312"/>
      <c r="J272" s="103"/>
      <c r="K272" s="62">
        <f t="shared" si="12"/>
        <v>0.30749999999999994</v>
      </c>
      <c r="L272" s="239" t="str">
        <f>IFERROR(VLOOKUP($C272,'SINAPI MAIO 2020'!$1:$1048576,3,0),IFERROR(VLOOKUP($C272,'6-COMP. PROPRIA'!$B$1:$I$808,5,0),""))</f>
        <v/>
      </c>
      <c r="M272" s="104"/>
      <c r="N272" s="105"/>
    </row>
    <row r="273" spans="2:14" ht="17.25" customHeight="1">
      <c r="B273" s="168"/>
      <c r="C273" s="91"/>
      <c r="D273" s="91"/>
      <c r="E273" s="102">
        <v>9.25</v>
      </c>
      <c r="F273" s="106">
        <v>0.15</v>
      </c>
      <c r="G273" s="312"/>
      <c r="H273" s="106">
        <v>1</v>
      </c>
      <c r="I273" s="312"/>
      <c r="J273" s="103"/>
      <c r="K273" s="62">
        <f t="shared" si="12"/>
        <v>1.3875</v>
      </c>
      <c r="L273" s="239" t="str">
        <f>IFERROR(VLOOKUP($C273,'SINAPI MAIO 2020'!$1:$1048576,3,0),IFERROR(VLOOKUP($C273,'6-COMP. PROPRIA'!$B$1:$I$808,5,0),""))</f>
        <v/>
      </c>
      <c r="M273" s="104"/>
      <c r="N273" s="105"/>
    </row>
    <row r="274" spans="2:14" ht="17.25" customHeight="1">
      <c r="B274" s="168"/>
      <c r="C274" s="91"/>
      <c r="D274" s="91"/>
      <c r="E274" s="102">
        <v>2.645</v>
      </c>
      <c r="F274" s="106">
        <v>0.15</v>
      </c>
      <c r="G274" s="312"/>
      <c r="H274" s="106">
        <v>1</v>
      </c>
      <c r="I274" s="312"/>
      <c r="J274" s="103"/>
      <c r="K274" s="62">
        <f t="shared" si="12"/>
        <v>0.39674999999999999</v>
      </c>
      <c r="L274" s="239" t="str">
        <f>IFERROR(VLOOKUP($C274,'SINAPI MAIO 2020'!$1:$1048576,3,0),IFERROR(VLOOKUP($C274,'6-COMP. PROPRIA'!$B$1:$I$808,5,0),""))</f>
        <v/>
      </c>
      <c r="M274" s="104"/>
      <c r="N274" s="105"/>
    </row>
    <row r="275" spans="2:14" ht="17.25" customHeight="1">
      <c r="B275" s="168"/>
      <c r="C275" s="91"/>
      <c r="D275" s="91"/>
      <c r="E275" s="102">
        <f>3*6.15</f>
        <v>18.450000000000003</v>
      </c>
      <c r="F275" s="106">
        <v>0.15</v>
      </c>
      <c r="G275" s="312"/>
      <c r="H275" s="106">
        <v>1</v>
      </c>
      <c r="I275" s="312"/>
      <c r="J275" s="103"/>
      <c r="K275" s="62">
        <f t="shared" si="12"/>
        <v>2.7675000000000005</v>
      </c>
      <c r="L275" s="239" t="str">
        <f>IFERROR(VLOOKUP($C275,'SINAPI MAIO 2020'!$1:$1048576,3,0),IFERROR(VLOOKUP($C275,'6-COMP. PROPRIA'!$B$1:$I$808,5,0),""))</f>
        <v/>
      </c>
      <c r="M275" s="104"/>
      <c r="N275" s="105"/>
    </row>
    <row r="276" spans="2:14" ht="17.25" customHeight="1">
      <c r="B276" s="168"/>
      <c r="C276" s="91"/>
      <c r="D276" s="91"/>
      <c r="E276" s="102">
        <v>8.26</v>
      </c>
      <c r="F276" s="106">
        <v>0.15</v>
      </c>
      <c r="G276" s="312"/>
      <c r="H276" s="106">
        <v>1</v>
      </c>
      <c r="I276" s="312"/>
      <c r="J276" s="103"/>
      <c r="K276" s="62">
        <f t="shared" si="12"/>
        <v>1.2389999999999999</v>
      </c>
      <c r="L276" s="239" t="str">
        <f>IFERROR(VLOOKUP($C276,'SINAPI MAIO 2020'!$1:$1048576,3,0),IFERROR(VLOOKUP($C276,'6-COMP. PROPRIA'!$B$1:$I$808,5,0),""))</f>
        <v/>
      </c>
      <c r="M276" s="104"/>
      <c r="N276" s="105"/>
    </row>
    <row r="277" spans="2:14" ht="17.25" customHeight="1">
      <c r="B277" s="168"/>
      <c r="C277" s="91"/>
      <c r="D277" s="91"/>
      <c r="E277" s="102">
        <v>1.35</v>
      </c>
      <c r="F277" s="106">
        <v>0.15</v>
      </c>
      <c r="G277" s="312"/>
      <c r="H277" s="106">
        <v>1</v>
      </c>
      <c r="I277" s="312"/>
      <c r="J277" s="103"/>
      <c r="K277" s="62">
        <f t="shared" si="12"/>
        <v>0.20250000000000001</v>
      </c>
      <c r="L277" s="239" t="str">
        <f>IFERROR(VLOOKUP($C277,'SINAPI MAIO 2020'!$1:$1048576,3,0),IFERROR(VLOOKUP($C277,'6-COMP. PROPRIA'!$B$1:$I$808,5,0),""))</f>
        <v/>
      </c>
      <c r="M277" s="104"/>
      <c r="N277" s="105"/>
    </row>
    <row r="278" spans="2:14" ht="17.25" customHeight="1">
      <c r="B278" s="168"/>
      <c r="C278" s="91"/>
      <c r="D278" s="91"/>
      <c r="E278" s="102">
        <v>2.15</v>
      </c>
      <c r="F278" s="106">
        <v>0.15</v>
      </c>
      <c r="G278" s="312"/>
      <c r="H278" s="106">
        <v>1</v>
      </c>
      <c r="I278" s="312"/>
      <c r="J278" s="103"/>
      <c r="K278" s="62">
        <f t="shared" si="12"/>
        <v>0.32249999999999995</v>
      </c>
      <c r="L278" s="239" t="str">
        <f>IFERROR(VLOOKUP($C278,'SINAPI MAIO 2020'!$1:$1048576,3,0),IFERROR(VLOOKUP($C278,'6-COMP. PROPRIA'!$B$1:$I$808,5,0),""))</f>
        <v/>
      </c>
      <c r="M278" s="104"/>
      <c r="N278" s="105"/>
    </row>
    <row r="279" spans="2:14" ht="17.25" customHeight="1">
      <c r="B279" s="168"/>
      <c r="C279" s="91"/>
      <c r="D279" s="91"/>
      <c r="E279" s="102">
        <f>3*4</f>
        <v>12</v>
      </c>
      <c r="F279" s="106">
        <v>0.15</v>
      </c>
      <c r="G279" s="312"/>
      <c r="H279" s="106">
        <v>1</v>
      </c>
      <c r="I279" s="312"/>
      <c r="J279" s="103"/>
      <c r="K279" s="62">
        <f t="shared" si="12"/>
        <v>1.7999999999999998</v>
      </c>
      <c r="L279" s="239" t="str">
        <f>IFERROR(VLOOKUP($C279,'SINAPI MAIO 2020'!$1:$1048576,3,0),IFERROR(VLOOKUP($C279,'6-COMP. PROPRIA'!$B$1:$I$808,5,0),""))</f>
        <v/>
      </c>
      <c r="M279" s="104"/>
      <c r="N279" s="105"/>
    </row>
    <row r="280" spans="2:14" ht="17.25" customHeight="1">
      <c r="B280" s="168"/>
      <c r="C280" s="91"/>
      <c r="D280" s="91"/>
      <c r="E280" s="102">
        <v>6.1</v>
      </c>
      <c r="F280" s="106">
        <v>0.15</v>
      </c>
      <c r="G280" s="312"/>
      <c r="H280" s="106">
        <v>1</v>
      </c>
      <c r="I280" s="312"/>
      <c r="J280" s="103"/>
      <c r="K280" s="62">
        <f t="shared" si="12"/>
        <v>0.91499999999999992</v>
      </c>
      <c r="L280" s="239" t="str">
        <f>IFERROR(VLOOKUP($C280,'SINAPI MAIO 2020'!$1:$1048576,3,0),IFERROR(VLOOKUP($C280,'6-COMP. PROPRIA'!$B$1:$I$808,5,0),""))</f>
        <v/>
      </c>
      <c r="M280" s="104"/>
      <c r="N280" s="105"/>
    </row>
    <row r="281" spans="2:14" ht="17.25" customHeight="1">
      <c r="B281" s="168"/>
      <c r="C281" s="91"/>
      <c r="D281" s="91"/>
      <c r="E281" s="102">
        <v>3.9</v>
      </c>
      <c r="F281" s="106">
        <v>0.15</v>
      </c>
      <c r="G281" s="324"/>
      <c r="H281" s="106">
        <v>1</v>
      </c>
      <c r="I281" s="324"/>
      <c r="J281" s="103"/>
      <c r="K281" s="62">
        <f>H281*F281*E281</f>
        <v>0.58499999999999996</v>
      </c>
      <c r="L281" s="239" t="str">
        <f>IFERROR(VLOOKUP($C281,'SINAPI MAIO 2020'!$1:$1048576,3,0),IFERROR(VLOOKUP($C281,'6-COMP. PROPRIA'!$B$1:$I$808,5,0),""))</f>
        <v/>
      </c>
      <c r="M281" s="104"/>
      <c r="N281" s="105"/>
    </row>
    <row r="282" spans="2:14" ht="17.25" customHeight="1">
      <c r="B282" s="168"/>
      <c r="C282" s="91"/>
      <c r="D282" s="91"/>
      <c r="E282" s="102">
        <v>4.5999999999999996</v>
      </c>
      <c r="F282" s="106">
        <v>0.15</v>
      </c>
      <c r="G282" s="324"/>
      <c r="H282" s="106">
        <v>1</v>
      </c>
      <c r="I282" s="324"/>
      <c r="J282" s="103"/>
      <c r="K282" s="62">
        <f t="shared" si="12"/>
        <v>0.69</v>
      </c>
      <c r="L282" s="239" t="str">
        <f>IFERROR(VLOOKUP($C282,'SINAPI MAIO 2020'!$1:$1048576,3,0),IFERROR(VLOOKUP($C282,'6-COMP. PROPRIA'!$B$1:$I$808,5,0),""))</f>
        <v/>
      </c>
      <c r="M282" s="104"/>
      <c r="N282" s="105"/>
    </row>
    <row r="283" spans="2:14" ht="17.25" customHeight="1">
      <c r="B283" s="168"/>
      <c r="C283" s="91"/>
      <c r="D283" s="91"/>
      <c r="E283" s="102"/>
      <c r="F283" s="106"/>
      <c r="G283" s="324"/>
      <c r="H283" s="106"/>
      <c r="I283" s="324"/>
      <c r="J283" s="103"/>
      <c r="K283" s="62"/>
      <c r="L283" s="239" t="str">
        <f>IFERROR(VLOOKUP($C283,'SINAPI MAIO 2020'!$1:$1048576,3,0),IFERROR(VLOOKUP($C283,'6-COMP. PROPRIA'!$B$1:$I$808,5,0),""))</f>
        <v/>
      </c>
      <c r="M283" s="104"/>
      <c r="N283" s="105"/>
    </row>
    <row r="284" spans="2:14" ht="17.25" customHeight="1">
      <c r="B284" s="168"/>
      <c r="C284" s="91"/>
      <c r="D284" s="91"/>
      <c r="E284" s="238"/>
      <c r="F284" s="312"/>
      <c r="G284" s="312"/>
      <c r="H284" s="49"/>
      <c r="I284" s="312"/>
      <c r="J284" s="103"/>
      <c r="K284" s="62"/>
      <c r="L284" s="239" t="str">
        <f>IFERROR(VLOOKUP($C284,'SINAPI MAIO 2020'!$1:$1048576,3,0),IFERROR(VLOOKUP($C284,'6-COMP. PROPRIA'!$B$1:$I$808,5,0),""))</f>
        <v/>
      </c>
      <c r="M284" s="104"/>
      <c r="N284" s="105"/>
    </row>
    <row r="285" spans="2:14" ht="31.5" customHeight="1">
      <c r="B285" s="164"/>
      <c r="C285" s="275">
        <v>94965</v>
      </c>
      <c r="D285" s="275" t="s">
        <v>8</v>
      </c>
      <c r="E285" s="668" t="str">
        <f>IFERROR(VLOOKUP($C285,'SINAPI MAIO 2020'!$1:$1048576,2,0),IFERROR(VLOOKUP($C285,'6-COMP. PROPRIA'!$B$28:$I$808,4,0),""))</f>
        <v>CONCRETO FCK = 25MPA, TRAÇO 1:2,3:2,7 (CIMENTO/ AREIA MÉDIA/ BRITA 1)  - PREPARO MECÂNICO COM BETONEIRA 400 L. AF_07/2016</v>
      </c>
      <c r="F285" s="669"/>
      <c r="G285" s="669"/>
      <c r="H285" s="669"/>
      <c r="I285" s="669"/>
      <c r="J285" s="670"/>
      <c r="K285" s="212">
        <f>SUM(K287:K288)</f>
        <v>4.6399999999999997</v>
      </c>
      <c r="L285" s="239" t="str">
        <f>IFERROR(VLOOKUP($C285,'SINAPI MAIO 2020'!$1:$1048576,3,0),IFERROR(VLOOKUP($C285,'6-COMP. PROPRIA'!$B$1:$I$808,5,0),""))</f>
        <v>M3</v>
      </c>
      <c r="M285" s="94"/>
      <c r="N285" s="59"/>
    </row>
    <row r="286" spans="2:14" ht="17.25" customHeight="1">
      <c r="B286" s="164" t="s">
        <v>944</v>
      </c>
      <c r="C286" s="20"/>
      <c r="D286" s="20"/>
      <c r="E286" s="72" t="s">
        <v>919</v>
      </c>
      <c r="F286" s="311" t="s">
        <v>918</v>
      </c>
      <c r="G286" s="311" t="s">
        <v>921</v>
      </c>
      <c r="H286" s="309" t="s">
        <v>922</v>
      </c>
      <c r="I286" s="317"/>
      <c r="J286" s="318"/>
      <c r="K286" s="215"/>
      <c r="L286" s="239" t="str">
        <f>IFERROR(VLOOKUP($C286,'SINAPI MAIO 2020'!$1:$1048576,3,0),IFERROR(VLOOKUP($C286,'6-COMP. PROPRIA'!$B$1:$I$808,5,0),""))</f>
        <v/>
      </c>
      <c r="M286" s="94"/>
      <c r="N286" s="59"/>
    </row>
    <row r="287" spans="2:14" ht="17.25" customHeight="1">
      <c r="B287" s="168"/>
      <c r="C287" s="91"/>
      <c r="D287" s="91"/>
      <c r="E287" s="113">
        <v>4.6399999999999997</v>
      </c>
      <c r="F287" s="66">
        <v>1</v>
      </c>
      <c r="G287" s="66">
        <v>1</v>
      </c>
      <c r="H287" s="66">
        <v>1</v>
      </c>
      <c r="I287" s="49"/>
      <c r="J287" s="119"/>
      <c r="K287" s="216">
        <f>E287*F287*G287*H287</f>
        <v>4.6399999999999997</v>
      </c>
      <c r="L287" s="239" t="str">
        <f>IFERROR(VLOOKUP($C287,'SINAPI MAIO 2020'!$1:$1048576,3,0),IFERROR(VLOOKUP($C287,'6-COMP. PROPRIA'!$B$1:$I$808,5,0),""))</f>
        <v/>
      </c>
      <c r="M287" s="123"/>
      <c r="N287" s="121"/>
    </row>
    <row r="288" spans="2:14" ht="17.25" customHeight="1">
      <c r="B288" s="168"/>
      <c r="C288" s="91"/>
      <c r="D288" s="91"/>
      <c r="E288" s="113"/>
      <c r="F288" s="66">
        <v>0</v>
      </c>
      <c r="G288" s="66">
        <v>0</v>
      </c>
      <c r="H288" s="66">
        <v>0</v>
      </c>
      <c r="I288" s="49"/>
      <c r="J288" s="119"/>
      <c r="K288" s="216">
        <f>E288*F288*G288*H288</f>
        <v>0</v>
      </c>
      <c r="L288" s="239" t="str">
        <f>IFERROR(VLOOKUP($C288,'SINAPI MAIO 2020'!$1:$1048576,3,0),IFERROR(VLOOKUP($C288,'6-COMP. PROPRIA'!$B$1:$I$808,5,0),""))</f>
        <v/>
      </c>
      <c r="M288" s="123"/>
      <c r="N288" s="121"/>
    </row>
    <row r="289" spans="2:14" ht="17.25" customHeight="1">
      <c r="B289" s="168"/>
      <c r="C289" s="91"/>
      <c r="D289" s="91"/>
      <c r="E289" s="126"/>
      <c r="F289" s="312"/>
      <c r="G289" s="312"/>
      <c r="H289" s="49"/>
      <c r="I289" s="49"/>
      <c r="J289" s="119"/>
      <c r="K289" s="210"/>
      <c r="L289" s="239" t="str">
        <f>IFERROR(VLOOKUP($C289,'SINAPI MAIO 2020'!$1:$1048576,3,0),IFERROR(VLOOKUP($C289,'6-COMP. PROPRIA'!$B$1:$I$808,5,0),""))</f>
        <v/>
      </c>
      <c r="M289" s="123"/>
      <c r="N289" s="121"/>
    </row>
    <row r="290" spans="2:14" ht="17.25" customHeight="1">
      <c r="B290" s="168"/>
      <c r="C290" s="91"/>
      <c r="D290" s="91"/>
      <c r="E290" s="126"/>
      <c r="F290" s="312"/>
      <c r="G290" s="312"/>
      <c r="H290" s="49"/>
      <c r="I290" s="49"/>
      <c r="J290" s="119"/>
      <c r="K290" s="210"/>
      <c r="L290" s="239" t="str">
        <f>IFERROR(VLOOKUP($C290,'SINAPI MAIO 2020'!$1:$1048576,3,0),IFERROR(VLOOKUP($C290,'6-COMP. PROPRIA'!$B$1:$I$808,5,0),""))</f>
        <v/>
      </c>
      <c r="M290" s="123"/>
      <c r="N290" s="121"/>
    </row>
    <row r="291" spans="2:14" ht="33" customHeight="1">
      <c r="B291" s="164"/>
      <c r="C291" s="275">
        <v>92873</v>
      </c>
      <c r="D291" s="275" t="s">
        <v>8</v>
      </c>
      <c r="E291" s="668" t="str">
        <f>IFERROR(VLOOKUP($C291,'SINAPI MAIO 2020'!$1:$1048576,2,0),IFERROR(VLOOKUP($C291,'6-COMP. PROPRIA'!$B$28:$I$808,4,0),""))</f>
        <v>LANÇAMENTO COM USO DE BALDES, ADENSAMENTO E ACABAMENTO DE CONCRETO EM ESTRUTURAS. AF_12/2015</v>
      </c>
      <c r="F291" s="669"/>
      <c r="G291" s="669"/>
      <c r="H291" s="669"/>
      <c r="I291" s="669"/>
      <c r="J291" s="670"/>
      <c r="K291" s="212">
        <f>K285</f>
        <v>4.6399999999999997</v>
      </c>
      <c r="L291" s="239" t="str">
        <f>IFERROR(VLOOKUP($C291,'SINAPI MAIO 2020'!$1:$1048576,3,0),IFERROR(VLOOKUP($C291,'6-COMP. PROPRIA'!$B$1:$I$808,5,0),""))</f>
        <v>M3</v>
      </c>
      <c r="M291" s="94"/>
      <c r="N291" s="59"/>
    </row>
    <row r="292" spans="2:14" ht="17.25" customHeight="1">
      <c r="B292" s="164"/>
      <c r="C292" s="20"/>
      <c r="D292" s="20"/>
      <c r="E292" s="238"/>
      <c r="F292" s="312"/>
      <c r="G292" s="312"/>
      <c r="H292" s="312"/>
      <c r="I292" s="312"/>
      <c r="J292" s="103"/>
      <c r="K292" s="211"/>
      <c r="L292" s="239" t="str">
        <f>IFERROR(VLOOKUP($C292,'SINAPI MAIO 2020'!$1:$1048576,3,0),IFERROR(VLOOKUP($C292,'6-COMP. PROPRIA'!$B$1:$I$808,5,0),""))</f>
        <v/>
      </c>
      <c r="M292" s="94"/>
      <c r="N292" s="59"/>
    </row>
    <row r="293" spans="2:14" ht="29.25" customHeight="1">
      <c r="B293" s="164"/>
      <c r="C293" s="275">
        <v>96543</v>
      </c>
      <c r="D293" s="275" t="s">
        <v>8</v>
      </c>
      <c r="E293" s="668" t="str">
        <f>IFERROR(VLOOKUP($C293,'SINAPI MAIO 2020'!$1:$1048576,2,0),IFERROR(VLOOKUP($C293,'6-COMP. PROPRIA'!$B$28:$I$808,4,0),""))</f>
        <v>ARMAÇÃO DE BLOCO, VIGA BALDRAME E SAPATA UTILIZANDO AÇO CA-60 DE 5 MM - MONTAGEM. AF_06/2017</v>
      </c>
      <c r="F293" s="669"/>
      <c r="G293" s="669"/>
      <c r="H293" s="669"/>
      <c r="I293" s="669"/>
      <c r="J293" s="670"/>
      <c r="K293" s="212">
        <v>78.599999999999994</v>
      </c>
      <c r="L293" s="239" t="str">
        <f>IFERROR(VLOOKUP($C293,'SINAPI MAIO 2020'!$1:$1048576,3,0),IFERROR(VLOOKUP($C293,'6-COMP. PROPRIA'!$B$1:$I$808,5,0),""))</f>
        <v>KG</v>
      </c>
      <c r="M293" s="43">
        <v>0</v>
      </c>
      <c r="N293" s="59" t="s">
        <v>24</v>
      </c>
    </row>
    <row r="294" spans="2:14" ht="17.25" customHeight="1">
      <c r="B294" s="164"/>
      <c r="C294" s="20"/>
      <c r="D294" s="20"/>
      <c r="E294" s="238"/>
      <c r="F294" s="312"/>
      <c r="G294" s="312"/>
      <c r="H294" s="312"/>
      <c r="I294" s="312"/>
      <c r="J294" s="103"/>
      <c r="K294" s="211"/>
      <c r="L294" s="239" t="str">
        <f>IFERROR(VLOOKUP($C294,'SINAPI MAIO 2020'!$1:$1048576,3,0),IFERROR(VLOOKUP($C294,'6-COMP. PROPRIA'!$B$1:$I$808,5,0),""))</f>
        <v/>
      </c>
      <c r="M294" s="94"/>
      <c r="N294" s="59"/>
    </row>
    <row r="295" spans="2:14" ht="35.25" customHeight="1">
      <c r="B295" s="164"/>
      <c r="C295" s="275">
        <v>96545</v>
      </c>
      <c r="D295" s="275" t="s">
        <v>8</v>
      </c>
      <c r="E295" s="668" t="str">
        <f>IFERROR(VLOOKUP($C295,'SINAPI MAIO 2020'!$1:$1048576,2,0),IFERROR(VLOOKUP($C295,'6-COMP. PROPRIA'!$B$28:$I$808,4,0),""))</f>
        <v>ARMAÇÃO DE BLOCO, VIGA BALDRAME OU SAPATA UTILIZANDO AÇO CA-50 DE 8 MM - MONTAGEM. AF_06/2017</v>
      </c>
      <c r="F295" s="669"/>
      <c r="G295" s="669"/>
      <c r="H295" s="669"/>
      <c r="I295" s="669"/>
      <c r="J295" s="670"/>
      <c r="K295" s="212">
        <v>80.7</v>
      </c>
      <c r="L295" s="239" t="str">
        <f>IFERROR(VLOOKUP($C295,'SINAPI MAIO 2020'!$1:$1048576,3,0),IFERROR(VLOOKUP($C295,'6-COMP. PROPRIA'!$B$1:$I$808,5,0),""))</f>
        <v>KG</v>
      </c>
      <c r="M295" s="43">
        <v>0</v>
      </c>
      <c r="N295" s="59" t="s">
        <v>24</v>
      </c>
    </row>
    <row r="296" spans="2:14" ht="17.25" customHeight="1">
      <c r="B296" s="164"/>
      <c r="C296" s="20"/>
      <c r="D296" s="20"/>
      <c r="E296" s="238"/>
      <c r="F296" s="312"/>
      <c r="G296" s="312"/>
      <c r="H296" s="49"/>
      <c r="I296" s="312"/>
      <c r="J296" s="103"/>
      <c r="K296" s="215"/>
      <c r="L296" s="239" t="str">
        <f>IFERROR(VLOOKUP($C296,'SINAPI MAIO 2020'!$1:$1048576,3,0),IFERROR(VLOOKUP($C296,'6-COMP. PROPRIA'!$B$1:$I$808,5,0),""))</f>
        <v/>
      </c>
      <c r="M296" s="94"/>
      <c r="N296" s="59"/>
    </row>
    <row r="297" spans="2:14" ht="27.75" customHeight="1">
      <c r="B297" s="164"/>
      <c r="C297" s="275">
        <v>96546</v>
      </c>
      <c r="D297" s="275" t="s">
        <v>8</v>
      </c>
      <c r="E297" s="668" t="str">
        <f>IFERROR(VLOOKUP($C297,'SINAPI MAIO 2020'!$1:$1048576,2,0),IFERROR(VLOOKUP($C297,'6-COMP. PROPRIA'!$B$28:$I$808,4,0),""))</f>
        <v>ARMAÇÃO DE BLOCO, VIGA BALDRAME OU SAPATA UTILIZANDO AÇO CA-50 DE 10 MM - MONTAGEM. AF_06/2017</v>
      </c>
      <c r="F297" s="669"/>
      <c r="G297" s="669"/>
      <c r="H297" s="669"/>
      <c r="I297" s="669"/>
      <c r="J297" s="670"/>
      <c r="K297" s="212">
        <v>119.2</v>
      </c>
      <c r="L297" s="239" t="str">
        <f>IFERROR(VLOOKUP($C297,'SINAPI MAIO 2020'!$1:$1048576,3,0),IFERROR(VLOOKUP($C297,'6-COMP. PROPRIA'!$B$1:$I$808,5,0),""))</f>
        <v>KG</v>
      </c>
      <c r="M297" s="43">
        <v>0</v>
      </c>
      <c r="N297" s="59" t="s">
        <v>24</v>
      </c>
    </row>
    <row r="298" spans="2:14" ht="17.25" customHeight="1">
      <c r="B298" s="164"/>
      <c r="C298" s="20"/>
      <c r="D298" s="20"/>
      <c r="E298" s="238"/>
      <c r="F298" s="312"/>
      <c r="G298" s="312"/>
      <c r="H298" s="49"/>
      <c r="I298" s="312"/>
      <c r="J298" s="103"/>
      <c r="K298" s="215"/>
      <c r="L298" s="239" t="str">
        <f>IFERROR(VLOOKUP($C298,'SINAPI MAIO 2020'!$1:$1048576,3,0),IFERROR(VLOOKUP($C298,'6-COMP. PROPRIA'!$B$1:$I$808,5,0),""))</f>
        <v/>
      </c>
      <c r="M298" s="94"/>
      <c r="N298" s="59"/>
    </row>
    <row r="299" spans="2:14" ht="32.25" customHeight="1">
      <c r="B299" s="164"/>
      <c r="C299" s="275">
        <v>96547</v>
      </c>
      <c r="D299" s="275" t="s">
        <v>8</v>
      </c>
      <c r="E299" s="668" t="str">
        <f>IFERROR(VLOOKUP($C299,'SINAPI MAIO 2020'!$1:$1048576,2,0),IFERROR(VLOOKUP($C299,'6-COMP. PROPRIA'!$B$28:$I$808,4,0),""))</f>
        <v>ARMAÇÃO DE BLOCO, VIGA BALDRAME OU SAPATA UTILIZANDO AÇO CA-50 DE 12,5 MM - MONTAGEM. AF_06/2017</v>
      </c>
      <c r="F299" s="669"/>
      <c r="G299" s="669"/>
      <c r="H299" s="669"/>
      <c r="I299" s="669"/>
      <c r="J299" s="670"/>
      <c r="K299" s="212">
        <v>29.2</v>
      </c>
      <c r="L299" s="239" t="str">
        <f>IFERROR(VLOOKUP($C299,'SINAPI MAIO 2020'!$1:$1048576,3,0),IFERROR(VLOOKUP($C299,'6-COMP. PROPRIA'!$B$1:$I$808,5,0),""))</f>
        <v>KG</v>
      </c>
      <c r="M299" s="43">
        <v>0</v>
      </c>
      <c r="N299" s="59" t="s">
        <v>24</v>
      </c>
    </row>
    <row r="300" spans="2:14" ht="17.25" customHeight="1">
      <c r="B300" s="164"/>
      <c r="C300" s="20"/>
      <c r="D300" s="20"/>
      <c r="E300" s="238"/>
      <c r="F300" s="312"/>
      <c r="G300" s="312"/>
      <c r="H300" s="49"/>
      <c r="I300" s="312"/>
      <c r="J300" s="103"/>
      <c r="K300" s="215"/>
      <c r="L300" s="239" t="str">
        <f>IFERROR(VLOOKUP($C300,'SINAPI MAIO 2020'!$1:$1048576,3,0),IFERROR(VLOOKUP($C300,'6-COMP. PROPRIA'!$B$1:$I$808,5,0),""))</f>
        <v/>
      </c>
      <c r="M300" s="94"/>
      <c r="N300" s="59"/>
    </row>
    <row r="301" spans="2:14" ht="48.75" customHeight="1">
      <c r="B301" s="164"/>
      <c r="C301" s="275">
        <v>96536</v>
      </c>
      <c r="D301" s="275" t="s">
        <v>8</v>
      </c>
      <c r="E301" s="668" t="str">
        <f>IFERROR(VLOOKUP($C301,'SINAPI MAIO 2020'!$1:$1048576,2,0),IFERROR(VLOOKUP($C301,'6-COMP. PROPRIA'!$B$28:$I$808,4,0),""))</f>
        <v>FABRICAÇÃO, MONTAGEM E DESMONTAGEM DE FÔRMA PARA VIGA BALDRAME, EM MADEIRA SERRADA, E=25 MM, 4 UTILIZAÇÕES. AF_06/2017</v>
      </c>
      <c r="F301" s="669"/>
      <c r="G301" s="669"/>
      <c r="H301" s="669"/>
      <c r="I301" s="669"/>
      <c r="J301" s="670"/>
      <c r="K301" s="212">
        <v>77.33</v>
      </c>
      <c r="L301" s="239" t="str">
        <f>IFERROR(VLOOKUP($C301,'SINAPI MAIO 2020'!$1:$1048576,3,0),IFERROR(VLOOKUP($C301,'6-COMP. PROPRIA'!$B$1:$I$808,5,0),""))</f>
        <v>M2</v>
      </c>
      <c r="M301" s="94"/>
      <c r="N301" s="59"/>
    </row>
    <row r="302" spans="2:14" ht="17.25" customHeight="1">
      <c r="B302" s="164"/>
      <c r="C302" s="20"/>
      <c r="D302" s="20"/>
      <c r="E302" s="238"/>
      <c r="F302" s="312"/>
      <c r="G302" s="312"/>
      <c r="H302" s="312"/>
      <c r="I302" s="312"/>
      <c r="J302" s="103"/>
      <c r="K302" s="211"/>
      <c r="L302" s="239" t="str">
        <f>IFERROR(VLOOKUP($C302,'SINAPI MAIO 2020'!$1:$1048576,3,0),IFERROR(VLOOKUP($C302,'6-COMP. PROPRIA'!$B$1:$I$808,5,0),""))</f>
        <v/>
      </c>
      <c r="M302" s="94"/>
      <c r="N302" s="59"/>
    </row>
    <row r="303" spans="2:14" ht="17.25" customHeight="1">
      <c r="B303" s="164"/>
      <c r="C303" s="275">
        <v>93382</v>
      </c>
      <c r="D303" s="275" t="s">
        <v>8</v>
      </c>
      <c r="E303" s="668" t="str">
        <f>IFERROR(VLOOKUP($C303,'SINAPI MAIO 2020'!$1:$1048576,2,0),IFERROR(VLOOKUP($C303,'6-COMP. PROPRIA'!$B$28:$I$808,4,0),""))</f>
        <v>REATERRO MANUAL DE VALAS COM COMPACTAÇÃO MECANIZADA. AF_04/2016</v>
      </c>
      <c r="F303" s="669"/>
      <c r="G303" s="669"/>
      <c r="H303" s="669"/>
      <c r="I303" s="669"/>
      <c r="J303" s="670"/>
      <c r="K303" s="212">
        <f>SUM(K305)</f>
        <v>8.1461499999999987</v>
      </c>
      <c r="L303" s="239" t="str">
        <f>IFERROR(VLOOKUP($C303,'SINAPI MAIO 2020'!$1:$1048576,3,0),IFERROR(VLOOKUP($C303,'6-COMP. PROPRIA'!$B$1:$I$808,5,0),""))</f>
        <v>M3</v>
      </c>
      <c r="M303" s="94"/>
      <c r="N303" s="59"/>
    </row>
    <row r="304" spans="2:14" ht="31.5" customHeight="1">
      <c r="B304" s="166" t="s">
        <v>942</v>
      </c>
      <c r="C304" s="20"/>
      <c r="D304" s="20"/>
      <c r="E304" s="75" t="s">
        <v>950</v>
      </c>
      <c r="F304" s="309" t="s">
        <v>940</v>
      </c>
      <c r="G304" s="312"/>
      <c r="H304" s="312"/>
      <c r="I304" s="312"/>
      <c r="J304" s="103"/>
      <c r="K304" s="212"/>
      <c r="L304" s="239" t="str">
        <f>IFERROR(VLOOKUP($C304,'SINAPI MAIO 2020'!$1:$1048576,3,0),IFERROR(VLOOKUP($C304,'6-COMP. PROPRIA'!$B$1:$I$808,5,0),""))</f>
        <v/>
      </c>
      <c r="M304" s="94"/>
      <c r="N304" s="59"/>
    </row>
    <row r="305" spans="2:14" ht="17.25" customHeight="1">
      <c r="B305" s="164"/>
      <c r="C305" s="20"/>
      <c r="D305" s="20"/>
      <c r="E305" s="114">
        <f>K251</f>
        <v>12.786149999999999</v>
      </c>
      <c r="F305" s="312">
        <f>K285</f>
        <v>4.6399999999999997</v>
      </c>
      <c r="G305" s="312"/>
      <c r="H305" s="312"/>
      <c r="I305" s="312"/>
      <c r="J305" s="103"/>
      <c r="K305" s="62">
        <f>E305-F305</f>
        <v>8.1461499999999987</v>
      </c>
      <c r="L305" s="239" t="str">
        <f>IFERROR(VLOOKUP($C305,'SINAPI MAIO 2020'!$1:$1048576,3,0),IFERROR(VLOOKUP($C305,'6-COMP. PROPRIA'!$B$1:$I$808,5,0),""))</f>
        <v/>
      </c>
      <c r="M305" s="94"/>
      <c r="N305" s="59"/>
    </row>
    <row r="306" spans="2:14" ht="17.25" customHeight="1">
      <c r="B306" s="164"/>
      <c r="C306" s="20"/>
      <c r="D306" s="20"/>
      <c r="E306" s="238"/>
      <c r="F306" s="312"/>
      <c r="G306" s="312"/>
      <c r="H306" s="312"/>
      <c r="I306" s="312"/>
      <c r="J306" s="103"/>
      <c r="K306" s="211"/>
      <c r="L306" s="239" t="str">
        <f>IFERROR(VLOOKUP($C306,'SINAPI MAIO 2020'!$1:$1048576,3,0),IFERROR(VLOOKUP($C306,'6-COMP. PROPRIA'!$B$1:$I$808,5,0),""))</f>
        <v/>
      </c>
      <c r="M306" s="94"/>
      <c r="N306" s="59"/>
    </row>
    <row r="307" spans="2:14" ht="17.25" customHeight="1">
      <c r="B307" s="164"/>
      <c r="C307" s="275">
        <v>98557</v>
      </c>
      <c r="D307" s="275" t="s">
        <v>8</v>
      </c>
      <c r="E307" s="668" t="str">
        <f>IFERROR(VLOOKUP($C307,'SINAPI MAIO 2020'!$1:$1048576,2,0),IFERROR(VLOOKUP($C307,'6-COMP. PROPRIA'!$B$28:$I$808,4,0),""))</f>
        <v>IMPERMEABILIZAÇÃO DE SUPERFÍCIE COM EMULSÃO ASFÁLTICA, 2 DEMÃOS AF_06/2018</v>
      </c>
      <c r="F307" s="669"/>
      <c r="G307" s="669"/>
      <c r="H307" s="669"/>
      <c r="I307" s="669"/>
      <c r="J307" s="670"/>
      <c r="K307" s="212">
        <f>K301</f>
        <v>77.33</v>
      </c>
      <c r="L307" s="239" t="str">
        <f>IFERROR(VLOOKUP($C307,'SINAPI MAIO 2020'!$1:$1048576,3,0),IFERROR(VLOOKUP($C307,'6-COMP. PROPRIA'!$B$1:$I$808,5,0),""))</f>
        <v>M2</v>
      </c>
      <c r="M307" s="43"/>
      <c r="N307" s="59"/>
    </row>
    <row r="308" spans="2:14" ht="17.25" customHeight="1">
      <c r="B308" s="166" t="s">
        <v>951</v>
      </c>
      <c r="C308" s="20"/>
      <c r="D308" s="20"/>
      <c r="E308" s="114"/>
      <c r="F308" s="312"/>
      <c r="G308" s="312"/>
      <c r="H308" s="312"/>
      <c r="I308" s="312"/>
      <c r="J308" s="103"/>
      <c r="K308" s="215"/>
      <c r="L308" s="239" t="str">
        <f>IFERROR(VLOOKUP($C308,'SINAPI MAIO 2020'!$1:$1048576,3,0),IFERROR(VLOOKUP($C308,'6-COMP. PROPRIA'!$B$1:$I$808,5,0),""))</f>
        <v/>
      </c>
      <c r="M308" s="137"/>
      <c r="N308" s="59"/>
    </row>
    <row r="309" spans="2:14" ht="17.25" customHeight="1">
      <c r="B309" s="164"/>
      <c r="C309" s="20"/>
      <c r="D309" s="20"/>
      <c r="E309" s="114"/>
      <c r="F309" s="312"/>
      <c r="G309" s="312"/>
      <c r="H309" s="312"/>
      <c r="I309" s="312"/>
      <c r="J309" s="103"/>
      <c r="K309" s="215"/>
      <c r="L309" s="239" t="str">
        <f>IFERROR(VLOOKUP($C309,'SINAPI MAIO 2020'!$1:$1048576,3,0),IFERROR(VLOOKUP($C309,'6-COMP. PROPRIA'!$B$1:$I$808,5,0),""))</f>
        <v/>
      </c>
      <c r="M309" s="137"/>
      <c r="N309" s="59"/>
    </row>
    <row r="310" spans="2:14" ht="17.25" customHeight="1">
      <c r="B310" s="164"/>
      <c r="C310" s="275">
        <v>72897</v>
      </c>
      <c r="D310" s="275" t="s">
        <v>8</v>
      </c>
      <c r="E310" s="668" t="str">
        <f>IFERROR(VLOOKUP($C310,'SINAPI MAIO 2020'!$1:$1048576,2,0),IFERROR(VLOOKUP($C310,'6-COMP. PROPRIA'!$B$28:$I$808,4,0),""))</f>
        <v>CARGA MANUAL DE ENTULHO EM CAMINHAO BASCULANTE 6 M3</v>
      </c>
      <c r="F310" s="669"/>
      <c r="G310" s="669"/>
      <c r="H310" s="669"/>
      <c r="I310" s="669"/>
      <c r="J310" s="670"/>
      <c r="K310" s="212">
        <f>SUM(K312:K312)</f>
        <v>6.032</v>
      </c>
      <c r="L310" s="239" t="str">
        <f>IFERROR(VLOOKUP($C310,'SINAPI MAIO 2020'!$1:$1048576,3,0),IFERROR(VLOOKUP($C310,'6-COMP. PROPRIA'!$B$1:$I$808,5,0),""))</f>
        <v>M3</v>
      </c>
      <c r="M310" s="137"/>
      <c r="N310" s="59"/>
    </row>
    <row r="311" spans="2:14" ht="24.75" customHeight="1">
      <c r="B311" s="166" t="s">
        <v>943</v>
      </c>
      <c r="C311" s="20"/>
      <c r="D311" s="20"/>
      <c r="E311" s="75"/>
      <c r="F311" s="309" t="s">
        <v>940</v>
      </c>
      <c r="G311" s="311"/>
      <c r="H311" s="309" t="s">
        <v>932</v>
      </c>
      <c r="I311" s="312"/>
      <c r="J311" s="310"/>
      <c r="K311" s="62"/>
      <c r="L311" s="239" t="str">
        <f>IFERROR(VLOOKUP($C311,'SINAPI MAIO 2020'!$1:$1048576,3,0),IFERROR(VLOOKUP($C311,'6-COMP. PROPRIA'!$B$1:$I$808,5,0),""))</f>
        <v/>
      </c>
      <c r="M311" s="137"/>
      <c r="N311" s="59"/>
    </row>
    <row r="312" spans="2:14" ht="17.25" customHeight="1">
      <c r="B312" s="164"/>
      <c r="C312" s="20"/>
      <c r="D312" s="20"/>
      <c r="E312" s="238"/>
      <c r="F312" s="311">
        <f>K285</f>
        <v>4.6399999999999997</v>
      </c>
      <c r="G312" s="311"/>
      <c r="H312" s="311">
        <v>1.3</v>
      </c>
      <c r="I312" s="312"/>
      <c r="J312" s="59"/>
      <c r="K312" s="62">
        <f>H312*F312</f>
        <v>6.032</v>
      </c>
      <c r="L312" s="239" t="str">
        <f>IFERROR(VLOOKUP($C312,'SINAPI MAIO 2020'!$1:$1048576,3,0),IFERROR(VLOOKUP($C312,'6-COMP. PROPRIA'!$B$1:$I$808,5,0),""))</f>
        <v/>
      </c>
      <c r="M312" s="137"/>
      <c r="N312" s="59"/>
    </row>
    <row r="313" spans="2:14" ht="17.25" customHeight="1">
      <c r="B313" s="164"/>
      <c r="C313" s="20"/>
      <c r="D313" s="20"/>
      <c r="E313" s="238"/>
      <c r="F313" s="311"/>
      <c r="G313" s="311"/>
      <c r="H313" s="312"/>
      <c r="I313" s="311"/>
      <c r="J313" s="59"/>
      <c r="K313" s="62"/>
      <c r="L313" s="239" t="str">
        <f>IFERROR(VLOOKUP($C313,'SINAPI MAIO 2020'!$1:$1048576,3,0),IFERROR(VLOOKUP($C313,'6-COMP. PROPRIA'!$B$1:$I$808,5,0),""))</f>
        <v/>
      </c>
      <c r="M313" s="137"/>
      <c r="N313" s="59"/>
    </row>
    <row r="314" spans="2:14" ht="40.5" customHeight="1">
      <c r="B314" s="168"/>
      <c r="C314" s="275">
        <v>97916</v>
      </c>
      <c r="D314" s="275" t="s">
        <v>8</v>
      </c>
      <c r="E314" s="668" t="str">
        <f>IFERROR(VLOOKUP($C314,'SINAPI MAIO 2020'!$1:$1048576,2,0),IFERROR(VLOOKUP($C314,'6-COMP. PROPRIA'!$B$28:$I$808,4,0),""))</f>
        <v>TRANSPORTE COM CAMINHÃO BASCULANTE DE 6 M3, EM VIA URBANA EM LEITO NATURAL (UNIDADE: TXKM). AF_01/2018</v>
      </c>
      <c r="F314" s="669"/>
      <c r="G314" s="669"/>
      <c r="H314" s="669"/>
      <c r="I314" s="669"/>
      <c r="J314" s="670"/>
      <c r="K314" s="212">
        <f>SUM(K316:K317)</f>
        <v>150.80000000000001</v>
      </c>
      <c r="L314" s="239" t="str">
        <f>IFERROR(VLOOKUP($C314,'SINAPI MAIO 2020'!$1:$1048576,3,0),IFERROR(VLOOKUP($C314,'6-COMP. PROPRIA'!$B$1:$I$808,5,0),""))</f>
        <v>TXKM</v>
      </c>
      <c r="M314" s="137"/>
      <c r="N314" s="59"/>
    </row>
    <row r="315" spans="2:14" ht="36.75" customHeight="1">
      <c r="B315" s="164" t="s">
        <v>945</v>
      </c>
      <c r="C315" s="20"/>
      <c r="D315" s="20"/>
      <c r="E315" s="75" t="s">
        <v>925</v>
      </c>
      <c r="F315" s="312"/>
      <c r="G315" s="312"/>
      <c r="H315" s="309" t="s">
        <v>926</v>
      </c>
      <c r="I315" s="312"/>
      <c r="J315" s="103"/>
      <c r="K315" s="211"/>
      <c r="L315" s="239" t="str">
        <f>IFERROR(VLOOKUP($C315,'SINAPI MAIO 2020'!$1:$1048576,3,0),IFERROR(VLOOKUP($C315,'6-COMP. PROPRIA'!$B$1:$I$808,5,0),""))</f>
        <v/>
      </c>
      <c r="M315" s="137"/>
      <c r="N315" s="59"/>
    </row>
    <row r="316" spans="2:14" ht="17.25" customHeight="1">
      <c r="B316" s="164"/>
      <c r="C316" s="20"/>
      <c r="D316" s="20"/>
      <c r="E316" s="114">
        <f>K310</f>
        <v>6.032</v>
      </c>
      <c r="F316" s="50"/>
      <c r="G316" s="50"/>
      <c r="H316" s="106">
        <v>25</v>
      </c>
      <c r="I316" s="312"/>
      <c r="J316" s="59"/>
      <c r="K316" s="62">
        <f>H316*E316</f>
        <v>150.80000000000001</v>
      </c>
      <c r="L316" s="239" t="str">
        <f>IFERROR(VLOOKUP($C316,'SINAPI MAIO 2020'!$1:$1048576,3,0),IFERROR(VLOOKUP($C316,'6-COMP. PROPRIA'!$B$1:$I$808,5,0),""))</f>
        <v/>
      </c>
      <c r="M316" s="137"/>
      <c r="N316" s="59"/>
    </row>
    <row r="317" spans="2:14" ht="17.25" customHeight="1">
      <c r="B317" s="170"/>
      <c r="C317" s="92"/>
      <c r="D317" s="92"/>
      <c r="E317" s="114"/>
      <c r="F317" s="50"/>
      <c r="G317" s="50"/>
      <c r="H317" s="50"/>
      <c r="I317" s="312"/>
      <c r="J317" s="103"/>
      <c r="K317" s="62">
        <f>H317*E317</f>
        <v>0</v>
      </c>
      <c r="L317" s="239" t="str">
        <f>IFERROR(VLOOKUP($C317,'SINAPI MAIO 2020'!$1:$1048576,3,0),IFERROR(VLOOKUP($C317,'6-COMP. PROPRIA'!$B$1:$I$808,5,0),""))</f>
        <v/>
      </c>
      <c r="M317" s="104"/>
      <c r="N317" s="105"/>
    </row>
    <row r="318" spans="2:14" ht="17.25" customHeight="1">
      <c r="B318" s="170"/>
      <c r="C318" s="92"/>
      <c r="D318" s="92"/>
      <c r="E318" s="114"/>
      <c r="F318" s="50"/>
      <c r="G318" s="50"/>
      <c r="H318" s="50"/>
      <c r="I318" s="312"/>
      <c r="J318" s="103"/>
      <c r="K318" s="62"/>
      <c r="L318" s="239" t="str">
        <f>IFERROR(VLOOKUP($C318,'SINAPI MAIO 2020'!$1:$1048576,3,0),IFERROR(VLOOKUP($C318,'6-COMP. PROPRIA'!$B$1:$I$808,5,0),""))</f>
        <v/>
      </c>
      <c r="M318" s="104"/>
      <c r="N318" s="105"/>
    </row>
    <row r="319" spans="2:14" ht="17.25" customHeight="1">
      <c r="B319" s="170"/>
      <c r="C319" s="92"/>
      <c r="D319" s="92"/>
      <c r="E319" s="114"/>
      <c r="F319" s="50"/>
      <c r="G319" s="50"/>
      <c r="H319" s="50"/>
      <c r="I319" s="312"/>
      <c r="J319" s="103"/>
      <c r="K319" s="62"/>
      <c r="L319" s="239" t="str">
        <f>IFERROR(VLOOKUP($C319,'SINAPI MAIO 2020'!$1:$1048576,3,0),IFERROR(VLOOKUP($C319,'6-COMP. PROPRIA'!$B$1:$I$808,5,0),""))</f>
        <v/>
      </c>
      <c r="M319" s="104"/>
      <c r="N319" s="105"/>
    </row>
    <row r="320" spans="2:14" ht="17.25" customHeight="1" thickBot="1">
      <c r="B320" s="170"/>
      <c r="C320" s="92"/>
      <c r="D320" s="92"/>
      <c r="E320" s="114"/>
      <c r="F320" s="50"/>
      <c r="G320" s="50"/>
      <c r="H320" s="50"/>
      <c r="I320" s="312"/>
      <c r="J320" s="103"/>
      <c r="K320" s="62"/>
      <c r="L320" s="239" t="str">
        <f>IFERROR(VLOOKUP($C320,'SINAPI MAIO 2020'!$1:$1048576,3,0),IFERROR(VLOOKUP($C320,'6-COMP. PROPRIA'!$B$1:$I$808,5,0),""))</f>
        <v/>
      </c>
      <c r="M320" s="104"/>
      <c r="N320" s="105"/>
    </row>
    <row r="321" spans="2:14" ht="17.25" customHeight="1" thickBot="1">
      <c r="B321" s="165"/>
      <c r="C321" s="90"/>
      <c r="D321" s="279"/>
      <c r="E321" s="674" t="s">
        <v>946</v>
      </c>
      <c r="F321" s="675"/>
      <c r="G321" s="675"/>
      <c r="H321" s="675"/>
      <c r="I321" s="675"/>
      <c r="J321" s="676"/>
      <c r="K321" s="210"/>
      <c r="L321" s="239" t="str">
        <f>IFERROR(VLOOKUP($C321,'SINAPI MAIO 2020'!$1:$1048576,3,0),IFERROR(VLOOKUP($C321,'6-COMP. PROPRIA'!$B$1:$I$808,5,0),""))</f>
        <v/>
      </c>
      <c r="M321" s="94"/>
      <c r="N321" s="109"/>
    </row>
    <row r="322" spans="2:14" ht="17.25" customHeight="1">
      <c r="B322" s="164"/>
      <c r="C322" s="20"/>
      <c r="D322" s="20"/>
      <c r="E322" s="72"/>
      <c r="F322" s="311"/>
      <c r="G322" s="311"/>
      <c r="H322" s="309"/>
      <c r="I322" s="46"/>
      <c r="J322" s="129"/>
      <c r="K322" s="218"/>
      <c r="L322" s="239" t="str">
        <f>IFERROR(VLOOKUP($C322,'SINAPI MAIO 2020'!$1:$1048576,3,0),IFERROR(VLOOKUP($C322,'6-COMP. PROPRIA'!$B$1:$I$808,5,0),""))</f>
        <v/>
      </c>
      <c r="M322" s="131"/>
      <c r="N322" s="105"/>
    </row>
    <row r="323" spans="2:14" ht="17.25" customHeight="1">
      <c r="B323" s="171"/>
      <c r="C323" s="90"/>
      <c r="D323" s="90"/>
      <c r="E323" s="693" t="s">
        <v>4711</v>
      </c>
      <c r="F323" s="694"/>
      <c r="G323" s="694"/>
      <c r="H323" s="132"/>
      <c r="I323" s="312"/>
      <c r="J323" s="134"/>
      <c r="K323" s="210"/>
      <c r="L323" s="239" t="str">
        <f>IFERROR(VLOOKUP($C323,'SINAPI MAIO 2020'!$1:$1048576,3,0),IFERROR(VLOOKUP($C323,'6-COMP. PROPRIA'!$B$1:$I$808,5,0),""))</f>
        <v/>
      </c>
      <c r="M323" s="94"/>
      <c r="N323" s="109"/>
    </row>
    <row r="324" spans="2:14" ht="17.25" customHeight="1">
      <c r="B324" s="164"/>
      <c r="C324" s="20"/>
      <c r="D324" s="20"/>
      <c r="E324" s="72"/>
      <c r="F324" s="311"/>
      <c r="G324" s="311"/>
      <c r="H324" s="309"/>
      <c r="I324" s="46"/>
      <c r="J324" s="129"/>
      <c r="K324" s="218"/>
      <c r="L324" s="239" t="str">
        <f>IFERROR(VLOOKUP($C324,'SINAPI MAIO 2020'!$1:$1048576,3,0),IFERROR(VLOOKUP($C324,'6-COMP. PROPRIA'!$B$1:$I$808,5,0),""))</f>
        <v/>
      </c>
      <c r="M324" s="131"/>
      <c r="N324" s="105"/>
    </row>
    <row r="325" spans="2:14" ht="42" customHeight="1">
      <c r="B325" s="164"/>
      <c r="C325" s="275">
        <v>94965</v>
      </c>
      <c r="D325" s="275" t="s">
        <v>8</v>
      </c>
      <c r="E325" s="668" t="str">
        <f>IFERROR(VLOOKUP($C325,'SINAPI MAIO 2020'!$1:$1048576,2,0),IFERROR(VLOOKUP($C325,'6-COMP. PROPRIA'!$B$28:$I$808,4,0),""))</f>
        <v>CONCRETO FCK = 25MPA, TRAÇO 1:2,3:2,7 (CIMENTO/ AREIA MÉDIA/ BRITA 1)  - PREPARO MECÂNICO COM BETONEIRA 400 L. AF_07/2016</v>
      </c>
      <c r="F325" s="669"/>
      <c r="G325" s="669"/>
      <c r="H325" s="669"/>
      <c r="I325" s="669"/>
      <c r="J325" s="670"/>
      <c r="K325" s="212">
        <f>SUM(K327:K328)</f>
        <v>4.72</v>
      </c>
      <c r="L325" s="239" t="str">
        <f>IFERROR(VLOOKUP($C325,'SINAPI MAIO 2020'!$1:$1048576,3,0),IFERROR(VLOOKUP($C325,'6-COMP. PROPRIA'!$B$1:$I$808,5,0),""))</f>
        <v>M3</v>
      </c>
      <c r="M325" s="104"/>
      <c r="N325" s="105"/>
    </row>
    <row r="326" spans="2:14" ht="17.25" customHeight="1">
      <c r="B326" s="164"/>
      <c r="C326" s="20"/>
      <c r="D326" s="20"/>
      <c r="E326" s="72" t="s">
        <v>929</v>
      </c>
      <c r="F326" s="311" t="s">
        <v>918</v>
      </c>
      <c r="G326" s="311" t="s">
        <v>921</v>
      </c>
      <c r="H326" s="309" t="s">
        <v>922</v>
      </c>
      <c r="I326" s="46"/>
      <c r="J326" s="129"/>
      <c r="K326" s="218"/>
      <c r="L326" s="239" t="str">
        <f>IFERROR(VLOOKUP($C326,'SINAPI MAIO 2020'!$1:$1048576,3,0),IFERROR(VLOOKUP($C326,'6-COMP. PROPRIA'!$B$1:$I$808,5,0),""))</f>
        <v/>
      </c>
      <c r="M326" s="131"/>
      <c r="N326" s="105"/>
    </row>
    <row r="327" spans="2:14" ht="17.25" customHeight="1">
      <c r="B327" s="164"/>
      <c r="C327" s="20"/>
      <c r="D327" s="20"/>
      <c r="E327" s="102">
        <v>4.72</v>
      </c>
      <c r="F327" s="63">
        <v>1</v>
      </c>
      <c r="G327" s="138">
        <v>1</v>
      </c>
      <c r="H327" s="63">
        <v>1</v>
      </c>
      <c r="I327" s="312"/>
      <c r="J327" s="103"/>
      <c r="K327" s="62">
        <f>H327*F327*G327*E327</f>
        <v>4.72</v>
      </c>
      <c r="L327" s="239" t="str">
        <f>IFERROR(VLOOKUP($C327,'SINAPI MAIO 2020'!$1:$1048576,3,0),IFERROR(VLOOKUP($C327,'6-COMP. PROPRIA'!$B$1:$I$808,5,0),""))</f>
        <v/>
      </c>
      <c r="M327" s="104"/>
      <c r="N327" s="105"/>
    </row>
    <row r="328" spans="2:14" ht="17.25" customHeight="1">
      <c r="B328" s="164"/>
      <c r="C328" s="20"/>
      <c r="D328" s="20"/>
      <c r="E328" s="102"/>
      <c r="F328" s="63"/>
      <c r="G328" s="138"/>
      <c r="H328" s="63"/>
      <c r="I328" s="312"/>
      <c r="J328" s="103"/>
      <c r="K328" s="215"/>
      <c r="L328" s="239" t="str">
        <f>IFERROR(VLOOKUP($C328,'SINAPI MAIO 2020'!$1:$1048576,3,0),IFERROR(VLOOKUP($C328,'6-COMP. PROPRIA'!$B$1:$I$808,5,0),""))</f>
        <v/>
      </c>
      <c r="M328" s="104"/>
      <c r="N328" s="105"/>
    </row>
    <row r="329" spans="2:14" ht="17.25" customHeight="1">
      <c r="B329" s="164"/>
      <c r="C329" s="20"/>
      <c r="D329" s="312"/>
      <c r="E329" s="238"/>
      <c r="F329" s="312"/>
      <c r="G329" s="312"/>
      <c r="H329" s="312"/>
      <c r="I329" s="312"/>
      <c r="J329" s="103"/>
      <c r="K329" s="211"/>
      <c r="L329" s="239" t="str">
        <f>IFERROR(VLOOKUP($C329,'SINAPI MAIO 2020'!$1:$1048576,3,0),IFERROR(VLOOKUP($C329,'6-COMP. PROPRIA'!$B$1:$I$808,5,0),""))</f>
        <v/>
      </c>
      <c r="M329" s="104"/>
      <c r="N329" s="105"/>
    </row>
    <row r="330" spans="2:14" ht="34.5" customHeight="1">
      <c r="B330" s="164"/>
      <c r="C330" s="275">
        <v>92873</v>
      </c>
      <c r="D330" s="275" t="s">
        <v>8</v>
      </c>
      <c r="E330" s="668" t="str">
        <f>IFERROR(VLOOKUP($C330,'SINAPI MAIO 2020'!$1:$1048576,2,0),IFERROR(VLOOKUP($C330,'6-COMP. PROPRIA'!$B$28:$I$808,4,0),""))</f>
        <v>LANÇAMENTO COM USO DE BALDES, ADENSAMENTO E ACABAMENTO DE CONCRETO EM ESTRUTURAS. AF_12/2015</v>
      </c>
      <c r="F330" s="669"/>
      <c r="G330" s="669"/>
      <c r="H330" s="669"/>
      <c r="I330" s="669"/>
      <c r="J330" s="670"/>
      <c r="K330" s="212">
        <f>K325</f>
        <v>4.72</v>
      </c>
      <c r="L330" s="239" t="str">
        <f>IFERROR(VLOOKUP($C330,'SINAPI MAIO 2020'!$1:$1048576,3,0),IFERROR(VLOOKUP($C330,'6-COMP. PROPRIA'!$B$1:$I$808,5,0),""))</f>
        <v>M3</v>
      </c>
      <c r="M330" s="104"/>
      <c r="N330" s="105"/>
    </row>
    <row r="331" spans="2:14" ht="17.25" customHeight="1">
      <c r="B331" s="164"/>
      <c r="C331" s="20"/>
      <c r="D331" s="20"/>
      <c r="E331" s="238"/>
      <c r="F331" s="312"/>
      <c r="G331" s="312"/>
      <c r="H331" s="312"/>
      <c r="I331" s="312"/>
      <c r="J331" s="103"/>
      <c r="K331" s="211"/>
      <c r="L331" s="239" t="str">
        <f>IFERROR(VLOOKUP($C331,'SINAPI MAIO 2020'!$1:$1048576,3,0),IFERROR(VLOOKUP($C331,'6-COMP. PROPRIA'!$B$1:$I$808,5,0),""))</f>
        <v/>
      </c>
      <c r="M331" s="104"/>
      <c r="N331" s="105"/>
    </row>
    <row r="332" spans="2:14" ht="40.5" customHeight="1">
      <c r="B332" s="164"/>
      <c r="C332" s="275">
        <v>92775</v>
      </c>
      <c r="D332" s="275" t="s">
        <v>8</v>
      </c>
      <c r="E332" s="668" t="str">
        <f>IFERROR(VLOOKUP($C332,'SINAPI MAIO 2020'!$1:$1048576,2,0),IFERROR(VLOOKUP($C332,'6-COMP. PROPRIA'!$B$28:$I$808,4,0),""))</f>
        <v>ARMAÇÃO DE PILAR OU VIGA DE UMA ESTRUTURA CONVENCIONAL DE CONCRETO ARMADO EM UMA EDIFICAÇÃO TÉRREA OU SOBRADO UTILIZANDO AÇO CA-60 DE 5,0 MM - MONTAGEM. AF_12/2015</v>
      </c>
      <c r="F332" s="669"/>
      <c r="G332" s="669"/>
      <c r="H332" s="669"/>
      <c r="I332" s="669"/>
      <c r="J332" s="670"/>
      <c r="K332" s="212">
        <v>111.5</v>
      </c>
      <c r="L332" s="239" t="str">
        <f>IFERROR(VLOOKUP($C332,'SINAPI MAIO 2020'!$1:$1048576,3,0),IFERROR(VLOOKUP($C332,'6-COMP. PROPRIA'!$B$1:$I$808,5,0),""))</f>
        <v>KG</v>
      </c>
      <c r="M332" s="43">
        <v>0</v>
      </c>
      <c r="N332" s="59" t="s">
        <v>24</v>
      </c>
    </row>
    <row r="333" spans="2:14" ht="17.25" customHeight="1">
      <c r="B333" s="164"/>
      <c r="C333" s="20"/>
      <c r="D333" s="20"/>
      <c r="E333" s="238"/>
      <c r="F333" s="312"/>
      <c r="G333" s="312"/>
      <c r="H333" s="312"/>
      <c r="I333" s="312"/>
      <c r="J333" s="103"/>
      <c r="K333" s="62"/>
      <c r="L333" s="239" t="str">
        <f>IFERROR(VLOOKUP($C333,'SINAPI MAIO 2020'!$1:$1048576,3,0),IFERROR(VLOOKUP($C333,'6-COMP. PROPRIA'!$B$1:$I$808,5,0),""))</f>
        <v/>
      </c>
      <c r="M333" s="94"/>
      <c r="N333" s="59"/>
    </row>
    <row r="334" spans="2:14" ht="17.25" customHeight="1">
      <c r="B334" s="164"/>
      <c r="C334" s="20"/>
      <c r="D334" s="20"/>
      <c r="E334" s="238"/>
      <c r="F334" s="312"/>
      <c r="G334" s="312"/>
      <c r="H334" s="312"/>
      <c r="I334" s="312"/>
      <c r="J334" s="103"/>
      <c r="K334" s="62"/>
      <c r="L334" s="239" t="str">
        <f>IFERROR(VLOOKUP($C334,'SINAPI MAIO 2020'!$1:$1048576,3,0),IFERROR(VLOOKUP($C334,'6-COMP. PROPRIA'!$B$1:$I$808,5,0),""))</f>
        <v/>
      </c>
      <c r="M334" s="94"/>
      <c r="N334" s="59"/>
    </row>
    <row r="335" spans="2:14" ht="42.75" customHeight="1">
      <c r="B335" s="164"/>
      <c r="C335" s="275">
        <v>92778</v>
      </c>
      <c r="D335" s="275" t="s">
        <v>8</v>
      </c>
      <c r="E335" s="668" t="str">
        <f>IFERROR(VLOOKUP($C335,'SINAPI MAIO 2020'!$1:$1048576,2,0),IFERROR(VLOOKUP($C335,'6-COMP. PROPRIA'!$B$28:$I$808,4,0),""))</f>
        <v>ARMAÇÃO DE PILAR OU VIGA DE UMA ESTRUTURA CONVENCIONAL DE CONCRETO ARMADO EM UMA EDIFICAÇÃO TÉRREA OU SOBRADO UTILIZANDO AÇO CA-50 DE 10,0 MM - MONTAGEM. AF_12/2015</v>
      </c>
      <c r="F335" s="669"/>
      <c r="G335" s="669"/>
      <c r="H335" s="669"/>
      <c r="I335" s="669"/>
      <c r="J335" s="670"/>
      <c r="K335" s="212">
        <v>161.1</v>
      </c>
      <c r="L335" s="239" t="str">
        <f>IFERROR(VLOOKUP($C335,'SINAPI MAIO 2020'!$1:$1048576,3,0),IFERROR(VLOOKUP($C335,'6-COMP. PROPRIA'!$B$1:$I$808,5,0),""))</f>
        <v>KG</v>
      </c>
      <c r="M335" s="43">
        <v>0</v>
      </c>
      <c r="N335" s="59" t="s">
        <v>24</v>
      </c>
    </row>
    <row r="336" spans="2:14" ht="17.25" customHeight="1">
      <c r="B336" s="164"/>
      <c r="C336" s="20"/>
      <c r="D336" s="20"/>
      <c r="E336" s="238"/>
      <c r="F336" s="312"/>
      <c r="G336" s="312"/>
      <c r="H336" s="312"/>
      <c r="I336" s="312"/>
      <c r="J336" s="103"/>
      <c r="K336" s="62"/>
      <c r="L336" s="239" t="str">
        <f>IFERROR(VLOOKUP($C336,'SINAPI MAIO 2020'!$1:$1048576,3,0),IFERROR(VLOOKUP($C336,'6-COMP. PROPRIA'!$B$1:$I$808,5,0),""))</f>
        <v/>
      </c>
      <c r="M336" s="94"/>
      <c r="N336" s="105"/>
    </row>
    <row r="337" spans="2:15" ht="62.25" customHeight="1">
      <c r="B337" s="164"/>
      <c r="C337" s="275">
        <v>92779</v>
      </c>
      <c r="D337" s="275" t="s">
        <v>8</v>
      </c>
      <c r="E337" s="668" t="str">
        <f>IFERROR(VLOOKUP($C337,'SINAPI MAIO 2020'!$1:$1048576,2,0),IFERROR(VLOOKUP($C337,'6-COMP. PROPRIA'!$B$28:$I$808,4,0),""))</f>
        <v>ARMAÇÃO DE PILAR OU VIGA DE UMA ESTRUTURA CONVENCIONAL DE CONCRETO ARMADO EM UMA EDIFICAÇÃO TÉRREA OU SOBRADO UTILIZANDO AÇO CA-50 DE 12,5 MM - MONTAGEM. AF_12/2015</v>
      </c>
      <c r="F337" s="669"/>
      <c r="G337" s="669"/>
      <c r="H337" s="669"/>
      <c r="I337" s="669"/>
      <c r="J337" s="670"/>
      <c r="K337" s="212">
        <v>114.4</v>
      </c>
      <c r="L337" s="239" t="str">
        <f>IFERROR(VLOOKUP($C337,'SINAPI MAIO 2020'!$1:$1048576,3,0),IFERROR(VLOOKUP($C337,'6-COMP. PROPRIA'!$B$1:$I$808,5,0),""))</f>
        <v>KG</v>
      </c>
      <c r="M337" s="43">
        <v>0</v>
      </c>
      <c r="N337" s="59" t="s">
        <v>24</v>
      </c>
    </row>
    <row r="338" spans="2:15" ht="17.25" customHeight="1">
      <c r="B338" s="164"/>
      <c r="C338" s="20"/>
      <c r="D338" s="20"/>
      <c r="E338" s="238"/>
      <c r="F338" s="312"/>
      <c r="G338" s="312"/>
      <c r="H338" s="312"/>
      <c r="I338" s="312"/>
      <c r="J338" s="103"/>
      <c r="K338" s="62"/>
      <c r="L338" s="239" t="str">
        <f>IFERROR(VLOOKUP($C338,'SINAPI MAIO 2020'!$1:$1048576,3,0),IFERROR(VLOOKUP($C338,'6-COMP. PROPRIA'!$B$1:$I$808,5,0),""))</f>
        <v/>
      </c>
      <c r="M338" s="94"/>
      <c r="N338" s="105"/>
    </row>
    <row r="339" spans="2:15" ht="48" customHeight="1">
      <c r="B339" s="164"/>
      <c r="C339" s="275">
        <v>92412</v>
      </c>
      <c r="D339" s="275" t="s">
        <v>8</v>
      </c>
      <c r="E339" s="668" t="str">
        <f>IFERROR(VLOOKUP($C339,'SINAPI MAIO 2020'!$1:$1048576,2,0),IFERROR(VLOOKUP($C339,'6-COMP. PROPRIA'!$B$28:$I$808,4,0),""))</f>
        <v>MONTAGEM E DESMONTAGEM DE FÔRMA DE PILARES RETANGULARES E ESTRUTURAS SIMILARES COM ÁREA MÉDIA DAS SEÇÕES MENOR OU IGUAL A 0,25 M², PÉ-DIREITO SIMPLES, EM MADEIRA SERRADA, 4 UTILIZAÇÕES. AF_12/2015</v>
      </c>
      <c r="F339" s="669"/>
      <c r="G339" s="669"/>
      <c r="H339" s="669"/>
      <c r="I339" s="669"/>
      <c r="J339" s="670"/>
      <c r="K339" s="212">
        <v>89.1</v>
      </c>
      <c r="L339" s="239" t="str">
        <f>IFERROR(VLOOKUP($C339,'SINAPI MAIO 2020'!$1:$1048576,3,0),IFERROR(VLOOKUP($C339,'6-COMP. PROPRIA'!$B$1:$I$808,5,0),""))</f>
        <v>M2</v>
      </c>
      <c r="M339" s="104"/>
      <c r="N339" s="105"/>
    </row>
    <row r="340" spans="2:15" ht="17.25" customHeight="1">
      <c r="B340" s="164"/>
      <c r="C340" s="20"/>
      <c r="D340" s="20"/>
      <c r="E340" s="124"/>
      <c r="F340" s="49"/>
      <c r="G340" s="51"/>
      <c r="H340" s="49"/>
      <c r="I340" s="312"/>
      <c r="J340" s="103"/>
      <c r="K340" s="215"/>
      <c r="L340" s="239" t="str">
        <f>IFERROR(VLOOKUP($C340,'SINAPI MAIO 2020'!$1:$1048576,3,0),IFERROR(VLOOKUP($C340,'6-COMP. PROPRIA'!$B$1:$I$808,5,0),""))</f>
        <v/>
      </c>
      <c r="M340" s="104"/>
      <c r="N340" s="105"/>
    </row>
    <row r="341" spans="2:15" ht="17.25" customHeight="1">
      <c r="B341" s="165"/>
      <c r="C341" s="90"/>
      <c r="D341" s="90"/>
      <c r="E341" s="693" t="s">
        <v>947</v>
      </c>
      <c r="F341" s="694"/>
      <c r="G341" s="694"/>
      <c r="H341" s="132"/>
      <c r="I341" s="312"/>
      <c r="J341" s="134"/>
      <c r="K341" s="210"/>
      <c r="L341" s="239" t="str">
        <f>IFERROR(VLOOKUP($C341,'SINAPI MAIO 2020'!$1:$1048576,3,0),IFERROR(VLOOKUP($C341,'6-COMP. PROPRIA'!$B$1:$I$808,5,0),""))</f>
        <v/>
      </c>
      <c r="M341" s="94"/>
      <c r="N341" s="109"/>
    </row>
    <row r="342" spans="2:15" ht="17.25" customHeight="1">
      <c r="B342" s="164"/>
      <c r="C342" s="20"/>
      <c r="D342" s="20"/>
      <c r="E342" s="115"/>
      <c r="F342" s="45"/>
      <c r="G342" s="45"/>
      <c r="H342" s="45"/>
      <c r="I342" s="45"/>
      <c r="J342" s="120"/>
      <c r="K342" s="215"/>
      <c r="L342" s="239" t="str">
        <f>IFERROR(VLOOKUP($C342,'SINAPI MAIO 2020'!$1:$1048576,3,0),IFERROR(VLOOKUP($C342,'6-COMP. PROPRIA'!$B$1:$I$808,5,0),""))</f>
        <v/>
      </c>
      <c r="M342" s="94"/>
      <c r="N342" s="59"/>
      <c r="O342" s="139"/>
    </row>
    <row r="343" spans="2:15" ht="37.5" customHeight="1">
      <c r="B343" s="164"/>
      <c r="C343" s="275">
        <v>94965</v>
      </c>
      <c r="D343" s="275" t="s">
        <v>8</v>
      </c>
      <c r="E343" s="668" t="str">
        <f>IFERROR(VLOOKUP($C343,'SINAPI MAIO 2020'!$1:$1048576,2,0),IFERROR(VLOOKUP($C343,'6-COMP. PROPRIA'!$B$28:$I$808,4,0),""))</f>
        <v>CONCRETO FCK = 25MPA, TRAÇO 1:2,3:2,7 (CIMENTO/ AREIA MÉDIA/ BRITA 1)  - PREPARO MECÂNICO COM BETONEIRA 400 L. AF_07/2016</v>
      </c>
      <c r="F343" s="669"/>
      <c r="G343" s="669"/>
      <c r="H343" s="669"/>
      <c r="I343" s="669"/>
      <c r="J343" s="670"/>
      <c r="K343" s="212">
        <f>SUM(K345:K345)</f>
        <v>6.5500000000000007</v>
      </c>
      <c r="L343" s="239" t="str">
        <f>IFERROR(VLOOKUP($C343,'SINAPI MAIO 2020'!$1:$1048576,3,0),IFERROR(VLOOKUP($C343,'6-COMP. PROPRIA'!$B$1:$I$808,5,0),""))</f>
        <v>M3</v>
      </c>
      <c r="M343" s="94"/>
      <c r="N343" s="59"/>
      <c r="O343" s="139"/>
    </row>
    <row r="344" spans="2:15" ht="37.5" customHeight="1">
      <c r="B344" s="164"/>
      <c r="C344" s="20"/>
      <c r="D344" s="20"/>
      <c r="E344" s="72" t="s">
        <v>919</v>
      </c>
      <c r="F344" s="311" t="s">
        <v>918</v>
      </c>
      <c r="G344" s="311" t="s">
        <v>921</v>
      </c>
      <c r="H344" s="309" t="s">
        <v>922</v>
      </c>
      <c r="I344" s="317"/>
      <c r="J344" s="318"/>
      <c r="K344" s="215"/>
      <c r="L344" s="239" t="str">
        <f>IFERROR(VLOOKUP($C344,'SINAPI MAIO 2020'!$1:$1048576,3,0),IFERROR(VLOOKUP($C344,'6-COMP. PROPRIA'!$B$1:$I$808,5,0),""))</f>
        <v/>
      </c>
      <c r="M344" s="94"/>
      <c r="N344" s="59"/>
      <c r="O344" s="140"/>
    </row>
    <row r="345" spans="2:15" ht="17.25" customHeight="1">
      <c r="B345" s="168"/>
      <c r="C345" s="91"/>
      <c r="D345" s="91"/>
      <c r="E345" s="113">
        <f>5.2+1.35</f>
        <v>6.5500000000000007</v>
      </c>
      <c r="F345" s="106">
        <v>1</v>
      </c>
      <c r="G345" s="106">
        <v>1</v>
      </c>
      <c r="H345" s="106">
        <v>1</v>
      </c>
      <c r="I345" s="49"/>
      <c r="J345" s="119"/>
      <c r="K345" s="216">
        <f>E345*F345*G345*H345</f>
        <v>6.5500000000000007</v>
      </c>
      <c r="L345" s="239" t="str">
        <f>IFERROR(VLOOKUP($C345,'SINAPI MAIO 2020'!$1:$1048576,3,0),IFERROR(VLOOKUP($C345,'6-COMP. PROPRIA'!$B$1:$I$808,5,0),""))</f>
        <v/>
      </c>
      <c r="M345" s="123"/>
      <c r="N345" s="121"/>
      <c r="O345" s="140"/>
    </row>
    <row r="346" spans="2:15" ht="17.25" customHeight="1">
      <c r="B346" s="168"/>
      <c r="C346" s="91"/>
      <c r="D346" s="91"/>
      <c r="E346" s="126"/>
      <c r="F346" s="312"/>
      <c r="G346" s="312"/>
      <c r="H346" s="49"/>
      <c r="I346" s="49"/>
      <c r="J346" s="119"/>
      <c r="K346" s="210"/>
      <c r="L346" s="239" t="str">
        <f>IFERROR(VLOOKUP($C346,'SINAPI MAIO 2020'!$1:$1048576,3,0),IFERROR(VLOOKUP($C346,'6-COMP. PROPRIA'!$B$1:$I$808,5,0),""))</f>
        <v/>
      </c>
      <c r="M346" s="123"/>
      <c r="N346" s="121"/>
      <c r="O346" s="139"/>
    </row>
    <row r="347" spans="2:15" ht="31.5" customHeight="1">
      <c r="B347" s="164"/>
      <c r="C347" s="275">
        <v>92873</v>
      </c>
      <c r="D347" s="275" t="s">
        <v>8</v>
      </c>
      <c r="E347" s="668" t="str">
        <f>IFERROR(VLOOKUP($C347,'SINAPI MAIO 2020'!$1:$1048576,2,0),IFERROR(VLOOKUP($C347,'6-COMP. PROPRIA'!$B$28:$I$808,4,0),""))</f>
        <v>LANÇAMENTO COM USO DE BALDES, ADENSAMENTO E ACABAMENTO DE CONCRETO EM ESTRUTURAS. AF_12/2015</v>
      </c>
      <c r="F347" s="669"/>
      <c r="G347" s="669"/>
      <c r="H347" s="669"/>
      <c r="I347" s="669"/>
      <c r="J347" s="670"/>
      <c r="K347" s="212">
        <f>K343</f>
        <v>6.5500000000000007</v>
      </c>
      <c r="L347" s="239" t="str">
        <f>IFERROR(VLOOKUP($C347,'SINAPI MAIO 2020'!$1:$1048576,3,0),IFERROR(VLOOKUP($C347,'6-COMP. PROPRIA'!$B$1:$I$808,5,0),""))</f>
        <v>M3</v>
      </c>
      <c r="M347" s="94"/>
      <c r="N347" s="59"/>
      <c r="O347" s="139"/>
    </row>
    <row r="348" spans="2:15" ht="17.25" customHeight="1">
      <c r="B348" s="164"/>
      <c r="C348" s="20"/>
      <c r="D348" s="20"/>
      <c r="E348" s="238"/>
      <c r="F348" s="312"/>
      <c r="G348" s="312"/>
      <c r="H348" s="312"/>
      <c r="I348" s="312"/>
      <c r="J348" s="103"/>
      <c r="K348" s="211"/>
      <c r="L348" s="239" t="str">
        <f>IFERROR(VLOOKUP($C348,'SINAPI MAIO 2020'!$1:$1048576,3,0),IFERROR(VLOOKUP($C348,'6-COMP. PROPRIA'!$B$1:$I$808,5,0),""))</f>
        <v/>
      </c>
      <c r="M348" s="94"/>
      <c r="N348" s="59"/>
      <c r="O348" s="139"/>
    </row>
    <row r="349" spans="2:15" ht="41.25" customHeight="1">
      <c r="B349" s="164"/>
      <c r="C349" s="275">
        <v>92775</v>
      </c>
      <c r="D349" s="275" t="s">
        <v>8</v>
      </c>
      <c r="E349" s="668" t="str">
        <f>IFERROR(VLOOKUP($C349,'SINAPI MAIO 2020'!$1:$1048576,2,0),IFERROR(VLOOKUP($C349,'6-COMP. PROPRIA'!$B$28:$I$808,4,0),""))</f>
        <v>ARMAÇÃO DE PILAR OU VIGA DE UMA ESTRUTURA CONVENCIONAL DE CONCRETO ARMADO EM UMA EDIFICAÇÃO TÉRREA OU SOBRADO UTILIZANDO AÇO CA-60 DE 5,0 MM - MONTAGEM. AF_12/2015</v>
      </c>
      <c r="F349" s="669"/>
      <c r="G349" s="669"/>
      <c r="H349" s="669"/>
      <c r="I349" s="669"/>
      <c r="J349" s="670"/>
      <c r="K349" s="212">
        <f>90.3+24.8</f>
        <v>115.1</v>
      </c>
      <c r="L349" s="239" t="str">
        <f>IFERROR(VLOOKUP($C349,'SINAPI MAIO 2020'!$1:$1048576,3,0),IFERROR(VLOOKUP($C349,'6-COMP. PROPRIA'!$B$1:$I$808,5,0),""))</f>
        <v>KG</v>
      </c>
      <c r="M349" s="43">
        <v>0</v>
      </c>
      <c r="N349" s="59" t="s">
        <v>24</v>
      </c>
      <c r="O349" s="139"/>
    </row>
    <row r="350" spans="2:15" ht="17.25" customHeight="1">
      <c r="B350" s="164"/>
      <c r="C350" s="20"/>
      <c r="D350" s="20"/>
      <c r="E350" s="238"/>
      <c r="F350" s="312"/>
      <c r="G350" s="312"/>
      <c r="H350" s="312"/>
      <c r="I350" s="312"/>
      <c r="J350" s="103"/>
      <c r="K350" s="211"/>
      <c r="L350" s="239" t="str">
        <f>IFERROR(VLOOKUP($C350,'SINAPI MAIO 2020'!$1:$1048576,3,0),IFERROR(VLOOKUP($C350,'6-COMP. PROPRIA'!$B$1:$I$808,5,0),""))</f>
        <v/>
      </c>
      <c r="M350" s="94"/>
      <c r="N350" s="59"/>
      <c r="O350" s="139"/>
    </row>
    <row r="351" spans="2:15" ht="39.75" customHeight="1">
      <c r="B351" s="164"/>
      <c r="C351" s="275">
        <v>92777</v>
      </c>
      <c r="D351" s="275" t="s">
        <v>8</v>
      </c>
      <c r="E351" s="668" t="str">
        <f>IFERROR(VLOOKUP($C351,'SINAPI MAIO 2020'!$1:$1048576,2,0),IFERROR(VLOOKUP($C351,'6-COMP. PROPRIA'!$B$28:$I$808,4,0),""))</f>
        <v>ARMAÇÃO DE PILAR OU VIGA DE UMA ESTRUTURA CONVENCIONAL DE CONCRETO ARMADO EM UMA EDIFICAÇÃO TÉRREA OU SOBRADO UTILIZANDO AÇO CA-50 DE 8,0 MM - MONTAGEM. AF_12/2015</v>
      </c>
      <c r="F351" s="669"/>
      <c r="G351" s="669"/>
      <c r="H351" s="669"/>
      <c r="I351" s="669"/>
      <c r="J351" s="670"/>
      <c r="K351" s="212">
        <f>180.1+47.5</f>
        <v>227.6</v>
      </c>
      <c r="L351" s="239" t="str">
        <f>IFERROR(VLOOKUP($C351,'SINAPI MAIO 2020'!$1:$1048576,3,0),IFERROR(VLOOKUP($C351,'6-COMP. PROPRIA'!$B$1:$I$808,5,0),""))</f>
        <v>KG</v>
      </c>
      <c r="M351" s="43">
        <v>0</v>
      </c>
      <c r="N351" s="59" t="s">
        <v>24</v>
      </c>
      <c r="O351" s="139"/>
    </row>
    <row r="352" spans="2:15" ht="17.25" customHeight="1">
      <c r="B352" s="164"/>
      <c r="C352" s="20"/>
      <c r="D352" s="20"/>
      <c r="E352" s="238"/>
      <c r="F352" s="312"/>
      <c r="G352" s="312"/>
      <c r="H352" s="49"/>
      <c r="I352" s="312"/>
      <c r="J352" s="103"/>
      <c r="K352" s="215"/>
      <c r="L352" s="239" t="str">
        <f>IFERROR(VLOOKUP($C352,'SINAPI MAIO 2020'!$1:$1048576,3,0),IFERROR(VLOOKUP($C352,'6-COMP. PROPRIA'!$B$1:$I$808,5,0),""))</f>
        <v/>
      </c>
      <c r="M352" s="94"/>
      <c r="N352" s="59"/>
      <c r="O352" s="139"/>
    </row>
    <row r="353" spans="2:15" ht="42.75" customHeight="1">
      <c r="B353" s="164"/>
      <c r="C353" s="275">
        <v>92778</v>
      </c>
      <c r="D353" s="275" t="s">
        <v>8</v>
      </c>
      <c r="E353" s="668" t="str">
        <f>IFERROR(VLOOKUP($C353,'SINAPI MAIO 2020'!$1:$1048576,2,0),IFERROR(VLOOKUP($C353,'6-COMP. PROPRIA'!$B$28:$I$808,4,0),""))</f>
        <v>ARMAÇÃO DE PILAR OU VIGA DE UMA ESTRUTURA CONVENCIONAL DE CONCRETO ARMADO EM UMA EDIFICAÇÃO TÉRREA OU SOBRADO UTILIZANDO AÇO CA-50 DE 10,0 MM - MONTAGEM. AF_12/2015</v>
      </c>
      <c r="F353" s="669"/>
      <c r="G353" s="669"/>
      <c r="H353" s="669"/>
      <c r="I353" s="669"/>
      <c r="J353" s="670"/>
      <c r="K353" s="212">
        <v>11.8</v>
      </c>
      <c r="L353" s="239" t="str">
        <f>IFERROR(VLOOKUP($C353,'SINAPI MAIO 2020'!$1:$1048576,3,0),IFERROR(VLOOKUP($C353,'6-COMP. PROPRIA'!$B$1:$I$808,5,0),""))</f>
        <v>KG</v>
      </c>
      <c r="M353" s="43">
        <v>0</v>
      </c>
      <c r="N353" s="59" t="s">
        <v>24</v>
      </c>
      <c r="O353" s="139"/>
    </row>
    <row r="354" spans="2:15" ht="17.25" customHeight="1">
      <c r="B354" s="164"/>
      <c r="C354" s="20"/>
      <c r="D354" s="20"/>
      <c r="E354" s="238"/>
      <c r="F354" s="312"/>
      <c r="G354" s="312"/>
      <c r="H354" s="49"/>
      <c r="I354" s="312"/>
      <c r="J354" s="103"/>
      <c r="K354" s="215"/>
      <c r="L354" s="239" t="str">
        <f>IFERROR(VLOOKUP($C354,'SINAPI MAIO 2020'!$1:$1048576,3,0),IFERROR(VLOOKUP($C354,'6-COMP. PROPRIA'!$B$1:$I$808,5,0),""))</f>
        <v/>
      </c>
      <c r="M354" s="94"/>
      <c r="N354" s="59"/>
      <c r="O354" s="139"/>
    </row>
    <row r="355" spans="2:15" ht="17.25" customHeight="1">
      <c r="B355" s="164"/>
      <c r="C355" s="20"/>
      <c r="D355" s="20"/>
      <c r="E355" s="238"/>
      <c r="F355" s="312"/>
      <c r="G355" s="312"/>
      <c r="H355" s="49"/>
      <c r="I355" s="312"/>
      <c r="J355" s="103"/>
      <c r="K355" s="215"/>
      <c r="L355" s="239" t="str">
        <f>IFERROR(VLOOKUP($C355,'SINAPI MAIO 2020'!$1:$1048576,3,0),IFERROR(VLOOKUP($C355,'6-COMP. PROPRIA'!$B$1:$I$808,5,0),""))</f>
        <v/>
      </c>
      <c r="M355" s="94"/>
      <c r="N355" s="59"/>
      <c r="O355" s="139"/>
    </row>
    <row r="356" spans="2:15" ht="27.75" customHeight="1">
      <c r="B356" s="164"/>
      <c r="C356" s="275">
        <v>92448</v>
      </c>
      <c r="D356" s="275" t="s">
        <v>8</v>
      </c>
      <c r="E356" s="668" t="str">
        <f>IFERROR(VLOOKUP($C356,'SINAPI MAIO 2020'!$1:$1048576,2,0),IFERROR(VLOOKUP($C356,'6-COMP. PROPRIA'!$B$28:$I$808,4,0),""))</f>
        <v>MONTAGEM E DESMONTAGEM DE FÔRMA DE VIGA, ESCORAMENTO COM PONTALETE DE MADEIRA, PÉ-DIREITO SIMPLES, EM MADEIRA SERRADA, 4 UTILIZAÇÕES. AF_12/2015</v>
      </c>
      <c r="F356" s="669"/>
      <c r="G356" s="669"/>
      <c r="H356" s="669"/>
      <c r="I356" s="669"/>
      <c r="J356" s="670"/>
      <c r="K356" s="212">
        <f>86.7+22.51</f>
        <v>109.21000000000001</v>
      </c>
      <c r="L356" s="239" t="str">
        <f>IFERROR(VLOOKUP($C356,'SINAPI MAIO 2020'!$1:$1048576,3,0),IFERROR(VLOOKUP($C356,'6-COMP. PROPRIA'!$B$1:$I$808,5,0),""))</f>
        <v>M2</v>
      </c>
      <c r="M356" s="94"/>
      <c r="N356" s="59"/>
      <c r="O356" s="139"/>
    </row>
    <row r="357" spans="2:15" ht="27.75" customHeight="1" thickBot="1">
      <c r="B357" s="164"/>
      <c r="C357" s="20"/>
      <c r="D357" s="20"/>
      <c r="E357" s="238"/>
      <c r="F357" s="312"/>
      <c r="G357" s="312"/>
      <c r="H357" s="312"/>
      <c r="I357" s="312"/>
      <c r="J357" s="103"/>
      <c r="K357" s="211"/>
      <c r="L357" s="239" t="str">
        <f>IFERROR(VLOOKUP($C357,'SINAPI MAIO 2020'!$1:$1048576,3,0),IFERROR(VLOOKUP($C357,'6-COMP. PROPRIA'!$B$1:$I$808,5,0),""))</f>
        <v/>
      </c>
      <c r="M357" s="94"/>
      <c r="N357" s="59"/>
      <c r="O357" s="139"/>
    </row>
    <row r="358" spans="2:15" ht="17.25" customHeight="1" thickBot="1">
      <c r="B358" s="165"/>
      <c r="C358" s="90"/>
      <c r="D358" s="279"/>
      <c r="E358" s="674" t="s">
        <v>6192</v>
      </c>
      <c r="F358" s="675"/>
      <c r="G358" s="675"/>
      <c r="H358" s="675"/>
      <c r="I358" s="675"/>
      <c r="J358" s="676"/>
      <c r="K358" s="210"/>
      <c r="L358" s="239" t="str">
        <f>IFERROR(VLOOKUP($C358,'SINAPI MAIO 2020'!$1:$1048576,3,0),IFERROR(VLOOKUP($C358,'6-COMP. PROPRIA'!$B$1:$I$808,5,0),""))</f>
        <v/>
      </c>
      <c r="M358" s="94"/>
      <c r="N358" s="109"/>
    </row>
    <row r="359" spans="2:15" ht="17.25" customHeight="1">
      <c r="B359" s="165"/>
      <c r="C359" s="90"/>
      <c r="D359" s="90"/>
      <c r="E359" s="314"/>
      <c r="F359" s="315"/>
      <c r="G359" s="315"/>
      <c r="H359" s="315"/>
      <c r="I359" s="315"/>
      <c r="J359" s="316"/>
      <c r="K359" s="210"/>
      <c r="L359" s="239" t="str">
        <f>IFERROR(VLOOKUP($C359,'SINAPI MAIO 2020'!$1:$1048576,3,0),IFERROR(VLOOKUP($C359,'6-COMP. PROPRIA'!$B$1:$I$808,5,0),""))</f>
        <v/>
      </c>
      <c r="M359" s="94"/>
      <c r="N359" s="109"/>
    </row>
    <row r="360" spans="2:15" ht="27.75" customHeight="1">
      <c r="B360" s="164"/>
      <c r="C360" s="275">
        <v>93187</v>
      </c>
      <c r="D360" s="275" t="s">
        <v>8</v>
      </c>
      <c r="E360" s="668" t="str">
        <f>IFERROR(VLOOKUP($C360,'SINAPI MAIO 2020'!$1:$1048576,2,0),IFERROR(VLOOKUP($C360,'6-COMP. PROPRIA'!$B$28:$I$808,4,0),""))</f>
        <v>VERGA MOLDADA IN LOCO EM CONCRETO PARA JANELAS COM MAIS DE 1,5 M DE VÃO. AF_03/2016</v>
      </c>
      <c r="F360" s="669"/>
      <c r="G360" s="669"/>
      <c r="H360" s="669"/>
      <c r="I360" s="669"/>
      <c r="J360" s="670"/>
      <c r="K360" s="212">
        <f>SUM(K362:K367)</f>
        <v>55.4</v>
      </c>
      <c r="L360" s="239" t="str">
        <f>IFERROR(VLOOKUP($C360,'SINAPI MAIO 2020'!$1:$1048576,3,0),IFERROR(VLOOKUP($C360,'6-COMP. PROPRIA'!$B$1:$I$808,5,0),""))</f>
        <v>M</v>
      </c>
      <c r="M360" s="104"/>
      <c r="N360" s="105"/>
    </row>
    <row r="361" spans="2:15" ht="17.25" customHeight="1">
      <c r="B361" s="164"/>
      <c r="C361" s="20"/>
      <c r="D361" s="70"/>
      <c r="E361" s="306" t="s">
        <v>6084</v>
      </c>
      <c r="F361" s="307" t="s">
        <v>6085</v>
      </c>
      <c r="G361" s="307"/>
      <c r="H361" s="307"/>
      <c r="I361" s="307"/>
      <c r="J361" s="308"/>
      <c r="K361" s="212"/>
      <c r="L361" s="239" t="str">
        <f>IFERROR(VLOOKUP($C361,'SINAPI MAIO 2020'!$1:$1048576,3,0),IFERROR(VLOOKUP($C361,'6-COMP. PROPRIA'!$B$1:$I$808,5,0),""))</f>
        <v/>
      </c>
      <c r="M361" s="104"/>
      <c r="N361" s="105"/>
    </row>
    <row r="362" spans="2:15" ht="17.25" customHeight="1">
      <c r="B362" s="164" t="s">
        <v>6086</v>
      </c>
      <c r="C362" s="20"/>
      <c r="D362" s="20"/>
      <c r="E362" s="73">
        <f>2+0.2+0.2</f>
        <v>2.4000000000000004</v>
      </c>
      <c r="F362" s="66">
        <v>17</v>
      </c>
      <c r="G362" s="311"/>
      <c r="H362" s="311"/>
      <c r="I362" s="311"/>
      <c r="J362" s="319"/>
      <c r="K362" s="62">
        <f>E362*F362</f>
        <v>40.800000000000004</v>
      </c>
      <c r="L362" s="239" t="str">
        <f>IFERROR(VLOOKUP($C362,'SINAPI MAIO 2020'!$1:$1048576,3,0),IFERROR(VLOOKUP($C362,'6-COMP. PROPRIA'!$B$1:$I$808,5,0),""))</f>
        <v/>
      </c>
      <c r="M362" s="104"/>
      <c r="N362" s="105"/>
    </row>
    <row r="363" spans="2:15" ht="17.25" customHeight="1">
      <c r="B363" s="164" t="s">
        <v>6087</v>
      </c>
      <c r="C363" s="20"/>
      <c r="D363" s="20"/>
      <c r="E363" s="73">
        <f>1+0.2+0.2</f>
        <v>1.4</v>
      </c>
      <c r="F363" s="66">
        <v>4</v>
      </c>
      <c r="G363" s="311"/>
      <c r="H363" s="311"/>
      <c r="I363" s="311"/>
      <c r="J363" s="319"/>
      <c r="K363" s="62">
        <f t="shared" ref="K363:K367" si="13">E363*F363</f>
        <v>5.6</v>
      </c>
      <c r="L363" s="239" t="str">
        <f>IFERROR(VLOOKUP($C363,'SINAPI MAIO 2020'!$1:$1048576,3,0),IFERROR(VLOOKUP($C363,'6-COMP. PROPRIA'!$B$1:$I$808,5,0),""))</f>
        <v/>
      </c>
      <c r="M363" s="104"/>
      <c r="N363" s="105"/>
    </row>
    <row r="364" spans="2:15" ht="17.25" customHeight="1">
      <c r="B364" s="164" t="s">
        <v>6088</v>
      </c>
      <c r="C364" s="20"/>
      <c r="D364" s="20"/>
      <c r="E364" s="73">
        <f>1.5+0.2+0.2</f>
        <v>1.9</v>
      </c>
      <c r="F364" s="66">
        <v>1</v>
      </c>
      <c r="G364" s="311"/>
      <c r="H364" s="311"/>
      <c r="I364" s="311"/>
      <c r="J364" s="319"/>
      <c r="K364" s="62">
        <f t="shared" si="13"/>
        <v>1.9</v>
      </c>
      <c r="L364" s="239" t="str">
        <f>IFERROR(VLOOKUP($C364,'SINAPI MAIO 2020'!$1:$1048576,3,0),IFERROR(VLOOKUP($C364,'6-COMP. PROPRIA'!$B$1:$I$808,5,0),""))</f>
        <v/>
      </c>
      <c r="M364" s="104"/>
      <c r="N364" s="105"/>
    </row>
    <row r="365" spans="2:15" ht="17.25" customHeight="1">
      <c r="B365" s="164" t="s">
        <v>7058</v>
      </c>
      <c r="C365" s="20"/>
      <c r="D365" s="20"/>
      <c r="E365" s="73">
        <f>1+0.2+0.2</f>
        <v>1.4</v>
      </c>
      <c r="F365" s="66">
        <v>1</v>
      </c>
      <c r="G365" s="311"/>
      <c r="H365" s="311"/>
      <c r="I365" s="311"/>
      <c r="J365" s="319"/>
      <c r="K365" s="62">
        <f t="shared" si="13"/>
        <v>1.4</v>
      </c>
      <c r="L365" s="239" t="str">
        <f>IFERROR(VLOOKUP($C365,'SINAPI MAIO 2020'!$1:$1048576,3,0),IFERROR(VLOOKUP($C365,'6-COMP. PROPRIA'!$B$1:$I$808,5,0),""))</f>
        <v/>
      </c>
      <c r="M365" s="104"/>
      <c r="N365" s="105"/>
    </row>
    <row r="366" spans="2:15" ht="17.25" customHeight="1">
      <c r="B366" s="164" t="s">
        <v>6090</v>
      </c>
      <c r="C366" s="20"/>
      <c r="D366" s="20"/>
      <c r="E366" s="73">
        <f>0.8+0.2+0.2</f>
        <v>1.2</v>
      </c>
      <c r="F366" s="66">
        <v>2</v>
      </c>
      <c r="G366" s="311"/>
      <c r="H366" s="311"/>
      <c r="I366" s="311"/>
      <c r="J366" s="319"/>
      <c r="K366" s="62">
        <f t="shared" si="13"/>
        <v>2.4</v>
      </c>
      <c r="L366" s="239" t="str">
        <f>IFERROR(VLOOKUP($C366,'SINAPI MAIO 2020'!$1:$1048576,3,0),IFERROR(VLOOKUP($C366,'6-COMP. PROPRIA'!$B$1:$I$808,5,0),""))</f>
        <v/>
      </c>
      <c r="M366" s="104"/>
      <c r="N366" s="105"/>
    </row>
    <row r="367" spans="2:15" ht="17.25" customHeight="1">
      <c r="B367" s="164" t="s">
        <v>6089</v>
      </c>
      <c r="C367" s="20"/>
      <c r="D367" s="20"/>
      <c r="E367" s="73">
        <f>0.7+0.2+0.2</f>
        <v>1.0999999999999999</v>
      </c>
      <c r="F367" s="66">
        <v>3</v>
      </c>
      <c r="G367" s="311"/>
      <c r="H367" s="311"/>
      <c r="I367" s="311"/>
      <c r="J367" s="319"/>
      <c r="K367" s="62">
        <f t="shared" si="13"/>
        <v>3.3</v>
      </c>
      <c r="L367" s="239" t="str">
        <f>IFERROR(VLOOKUP($C367,'SINAPI MAIO 2020'!$1:$1048576,3,0),IFERROR(VLOOKUP($C367,'6-COMP. PROPRIA'!$B$1:$I$808,5,0),""))</f>
        <v/>
      </c>
      <c r="M367" s="104"/>
      <c r="N367" s="105"/>
    </row>
    <row r="368" spans="2:15" ht="17.25" customHeight="1">
      <c r="B368" s="164"/>
      <c r="C368" s="20"/>
      <c r="D368" s="20"/>
      <c r="E368" s="114"/>
      <c r="F368" s="311"/>
      <c r="G368" s="311"/>
      <c r="H368" s="311"/>
      <c r="I368" s="311"/>
      <c r="J368" s="319"/>
      <c r="K368" s="62"/>
      <c r="L368" s="239" t="str">
        <f>IFERROR(VLOOKUP($C368,'SINAPI MAIO 2020'!$1:$1048576,3,0),IFERROR(VLOOKUP($C368,'6-COMP. PROPRIA'!$B$1:$I$808,5,0),""))</f>
        <v/>
      </c>
      <c r="M368" s="104"/>
      <c r="N368" s="105"/>
    </row>
    <row r="369" spans="2:17" ht="17.25" customHeight="1">
      <c r="B369" s="164"/>
      <c r="C369" s="20"/>
      <c r="D369" s="20"/>
      <c r="E369" s="114"/>
      <c r="F369" s="322"/>
      <c r="G369" s="322"/>
      <c r="H369" s="322"/>
      <c r="I369" s="322"/>
      <c r="J369" s="323"/>
      <c r="K369" s="62"/>
      <c r="L369" s="239" t="str">
        <f>IFERROR(VLOOKUP($C369,'SINAPI MAIO 2020'!$1:$1048576,3,0),IFERROR(VLOOKUP($C369,'6-COMP. PROPRIA'!$B$1:$I$808,5,0),""))</f>
        <v/>
      </c>
      <c r="M369" s="104"/>
      <c r="N369" s="105"/>
    </row>
    <row r="370" spans="2:17" ht="33" customHeight="1">
      <c r="B370" s="164"/>
      <c r="C370" s="275">
        <v>93197</v>
      </c>
      <c r="D370" s="275" t="s">
        <v>8</v>
      </c>
      <c r="E370" s="668" t="str">
        <f>IFERROR(VLOOKUP($C370,'SINAPI MAIO 2020'!$1:$1048576,2,0),IFERROR(VLOOKUP($C370,'6-COMP. PROPRIA'!$B$28:$I$808,4,0),""))</f>
        <v>CONTRAVERGA MOLDADA IN LOCO EM CONCRETO PARA VÃOS DE MAIS DE 1,5 M DE COMPRIMENTO. AF_03/2016</v>
      </c>
      <c r="F370" s="669"/>
      <c r="G370" s="669"/>
      <c r="H370" s="669"/>
      <c r="I370" s="669"/>
      <c r="J370" s="670"/>
      <c r="K370" s="212">
        <f>SUM(K372:K374)</f>
        <v>48.300000000000004</v>
      </c>
      <c r="L370" s="239" t="str">
        <f>IFERROR(VLOOKUP($C370,'SINAPI MAIO 2020'!$1:$1048576,3,0),IFERROR(VLOOKUP($C370,'6-COMP. PROPRIA'!$B$1:$I$808,5,0),""))</f>
        <v>M</v>
      </c>
      <c r="M370" s="104"/>
      <c r="N370" s="105"/>
    </row>
    <row r="371" spans="2:17" ht="17.25" customHeight="1">
      <c r="B371" s="164"/>
      <c r="C371" s="20"/>
      <c r="D371" s="70"/>
      <c r="E371" s="306" t="s">
        <v>6084</v>
      </c>
      <c r="F371" s="307" t="s">
        <v>6085</v>
      </c>
      <c r="G371" s="307"/>
      <c r="H371" s="307"/>
      <c r="I371" s="307"/>
      <c r="J371" s="308"/>
      <c r="K371" s="212"/>
      <c r="L371" s="239" t="str">
        <f>IFERROR(VLOOKUP($C371,'SINAPI MAIO 2020'!$1:$1048576,3,0),IFERROR(VLOOKUP($C371,'6-COMP. PROPRIA'!$B$1:$I$808,5,0),""))</f>
        <v/>
      </c>
      <c r="M371" s="104"/>
      <c r="N371" s="105"/>
    </row>
    <row r="372" spans="2:17" ht="17.25" customHeight="1">
      <c r="B372" s="164" t="s">
        <v>6086</v>
      </c>
      <c r="C372" s="20"/>
      <c r="D372" s="20"/>
      <c r="E372" s="73">
        <f>2+0.2+0.2</f>
        <v>2.4000000000000004</v>
      </c>
      <c r="F372" s="66">
        <v>17</v>
      </c>
      <c r="G372" s="311"/>
      <c r="H372" s="311"/>
      <c r="I372" s="311"/>
      <c r="J372" s="319"/>
      <c r="K372" s="62">
        <f>E372*F372</f>
        <v>40.800000000000004</v>
      </c>
      <c r="L372" s="239" t="str">
        <f>IFERROR(VLOOKUP($C372,'SINAPI MAIO 2020'!$1:$1048576,3,0),IFERROR(VLOOKUP($C372,'6-COMP. PROPRIA'!$B$1:$I$808,5,0),""))</f>
        <v/>
      </c>
      <c r="M372" s="104"/>
      <c r="N372" s="105"/>
    </row>
    <row r="373" spans="2:17" ht="17.25" customHeight="1">
      <c r="B373" s="164" t="s">
        <v>6087</v>
      </c>
      <c r="C373" s="20"/>
      <c r="D373" s="20"/>
      <c r="E373" s="73">
        <f>1+0.2+0.2</f>
        <v>1.4</v>
      </c>
      <c r="F373" s="66">
        <v>4</v>
      </c>
      <c r="G373" s="311"/>
      <c r="H373" s="311"/>
      <c r="I373" s="311"/>
      <c r="J373" s="319"/>
      <c r="K373" s="62">
        <f t="shared" ref="K373:K375" si="14">E373*F373</f>
        <v>5.6</v>
      </c>
      <c r="L373" s="239" t="str">
        <f>IFERROR(VLOOKUP($C373,'SINAPI MAIO 2020'!$1:$1048576,3,0),IFERROR(VLOOKUP($C373,'6-COMP. PROPRIA'!$B$1:$I$808,5,0),""))</f>
        <v/>
      </c>
      <c r="M373" s="104"/>
      <c r="N373" s="105"/>
    </row>
    <row r="374" spans="2:17" ht="17.25" customHeight="1">
      <c r="B374" s="164" t="s">
        <v>6088</v>
      </c>
      <c r="C374" s="20"/>
      <c r="D374" s="20"/>
      <c r="E374" s="73">
        <f>1.5+0.2+0.2</f>
        <v>1.9</v>
      </c>
      <c r="F374" s="66">
        <v>1</v>
      </c>
      <c r="G374" s="311"/>
      <c r="H374" s="311"/>
      <c r="I374" s="311"/>
      <c r="J374" s="319"/>
      <c r="K374" s="62">
        <f t="shared" si="14"/>
        <v>1.9</v>
      </c>
      <c r="L374" s="239" t="str">
        <f>IFERROR(VLOOKUP($C374,'SINAPI MAIO 2020'!$1:$1048576,3,0),IFERROR(VLOOKUP($C374,'6-COMP. PROPRIA'!$B$1:$I$808,5,0),""))</f>
        <v/>
      </c>
      <c r="M374" s="104"/>
      <c r="N374" s="105"/>
    </row>
    <row r="375" spans="2:17" ht="17.25" customHeight="1">
      <c r="B375" s="164"/>
      <c r="C375" s="20"/>
      <c r="D375" s="20"/>
      <c r="E375" s="73"/>
      <c r="F375" s="66"/>
      <c r="G375" s="311"/>
      <c r="H375" s="311"/>
      <c r="I375" s="311"/>
      <c r="J375" s="319"/>
      <c r="K375" s="62">
        <f t="shared" si="14"/>
        <v>0</v>
      </c>
      <c r="L375" s="239" t="str">
        <f>IFERROR(VLOOKUP($C375,'SINAPI MAIO 2020'!$1:$1048576,3,0),IFERROR(VLOOKUP($C375,'6-COMP. PROPRIA'!$B$1:$I$808,5,0),""))</f>
        <v/>
      </c>
      <c r="M375" s="104"/>
      <c r="N375" s="105"/>
    </row>
    <row r="376" spans="2:17" ht="17.25" customHeight="1">
      <c r="B376" s="165"/>
      <c r="C376" s="90"/>
      <c r="D376" s="90"/>
      <c r="E376" s="314"/>
      <c r="F376" s="315"/>
      <c r="G376" s="315"/>
      <c r="H376" s="315"/>
      <c r="I376" s="315"/>
      <c r="J376" s="316"/>
      <c r="K376" s="210"/>
      <c r="L376" s="239" t="str">
        <f>IFERROR(VLOOKUP($C376,'SINAPI MAIO 2020'!$1:$1048576,3,0),IFERROR(VLOOKUP($C376,'6-COMP. PROPRIA'!$B$1:$I$808,5,0),""))</f>
        <v/>
      </c>
      <c r="M376" s="94"/>
      <c r="N376" s="109"/>
    </row>
    <row r="377" spans="2:17" ht="17.25" customHeight="1">
      <c r="B377" s="165"/>
      <c r="C377" s="90"/>
      <c r="D377" s="90"/>
      <c r="E377" s="314"/>
      <c r="F377" s="315"/>
      <c r="G377" s="315"/>
      <c r="H377" s="315"/>
      <c r="I377" s="315"/>
      <c r="J377" s="316"/>
      <c r="K377" s="210"/>
      <c r="L377" s="239" t="str">
        <f>IFERROR(VLOOKUP($C377,'SINAPI MAIO 2020'!$1:$1048576,3,0),IFERROR(VLOOKUP($C377,'6-COMP. PROPRIA'!$B$1:$I$808,5,0),""))</f>
        <v/>
      </c>
      <c r="M377" s="94"/>
      <c r="N377" s="109"/>
    </row>
    <row r="378" spans="2:17" ht="53.25" customHeight="1">
      <c r="B378" s="164"/>
      <c r="C378" s="275">
        <v>87477</v>
      </c>
      <c r="D378" s="275" t="s">
        <v>8</v>
      </c>
      <c r="E378" s="668" t="str">
        <f>IFERROR(VLOOKUP($C378,'SINAPI MAIO 2020'!$1:$1048576,2,0),IFERROR(VLOOKUP($C378,'6-COMP. PROPRIA'!$B$28:$I$808,4,0),""))</f>
        <v>ALVENARIA DE VEDAÇÃO DE BLOCOS CERÂMICOS FURADOS NA VERTICAL DE 9X19X39CM (ESPESSURA 9CM) DE PAREDES COM ÁREA LÍQUIDA MAIOR OU IGUAL A 6M² SEM VÃOS E ARGAMASSA DE ASSENTAMENTO COM PREPARO EM BETONEIRA. AF_06/2014</v>
      </c>
      <c r="F378" s="669"/>
      <c r="G378" s="669"/>
      <c r="H378" s="669"/>
      <c r="I378" s="669"/>
      <c r="J378" s="670"/>
      <c r="K378" s="212">
        <f>SUM(K381:K386)</f>
        <v>326.94999999999993</v>
      </c>
      <c r="L378" s="239" t="str">
        <f>IFERROR(VLOOKUP($C378,'SINAPI MAIO 2020'!$1:$1048576,3,0),IFERROR(VLOOKUP($C378,'6-COMP. PROPRIA'!$B$1:$I$808,5,0),""))</f>
        <v>M2</v>
      </c>
      <c r="M378" s="94"/>
      <c r="N378" s="59"/>
      <c r="O378" s="117"/>
      <c r="Q378" s="143"/>
    </row>
    <row r="379" spans="2:17" ht="17.25" customHeight="1">
      <c r="B379" s="174"/>
      <c r="C379" s="20"/>
      <c r="D379" s="20"/>
      <c r="E379" s="72" t="s">
        <v>899</v>
      </c>
      <c r="F379" s="311" t="s">
        <v>954</v>
      </c>
      <c r="G379" s="680" t="s">
        <v>956</v>
      </c>
      <c r="H379" s="680"/>
      <c r="I379" s="680"/>
      <c r="J379" s="681"/>
      <c r="K379" s="215"/>
      <c r="L379" s="239" t="str">
        <f>IFERROR(VLOOKUP($C379,'SINAPI MAIO 2020'!$1:$1048576,3,0),IFERROR(VLOOKUP($C379,'6-COMP. PROPRIA'!$B$1:$I$808,5,0),""))</f>
        <v/>
      </c>
      <c r="M379" s="94"/>
      <c r="N379" s="59"/>
      <c r="O379" s="117"/>
      <c r="Q379" s="143"/>
    </row>
    <row r="380" spans="2:17" ht="17.25" customHeight="1">
      <c r="B380" s="174"/>
      <c r="C380" s="20"/>
      <c r="D380" s="20"/>
      <c r="E380" s="85"/>
      <c r="F380" s="69"/>
      <c r="G380" s="311" t="s">
        <v>899</v>
      </c>
      <c r="H380" s="311" t="s">
        <v>898</v>
      </c>
      <c r="I380" s="311" t="s">
        <v>948</v>
      </c>
      <c r="J380" s="310" t="s">
        <v>955</v>
      </c>
      <c r="K380" s="211"/>
      <c r="L380" s="239" t="str">
        <f>IFERROR(VLOOKUP($C380,'SINAPI MAIO 2020'!$1:$1048576,3,0),IFERROR(VLOOKUP($C380,'6-COMP. PROPRIA'!$B$1:$I$808,5,0),""))</f>
        <v/>
      </c>
      <c r="M380" s="104"/>
      <c r="N380" s="105"/>
    </row>
    <row r="381" spans="2:17" ht="32.25" customHeight="1">
      <c r="B381" s="164" t="s">
        <v>6079</v>
      </c>
      <c r="C381" s="20"/>
      <c r="D381" s="20"/>
      <c r="E381" s="73">
        <f>2*1</f>
        <v>2</v>
      </c>
      <c r="F381" s="63">
        <v>6</v>
      </c>
      <c r="G381" s="160">
        <v>0</v>
      </c>
      <c r="H381" s="160">
        <v>0</v>
      </c>
      <c r="I381" s="160">
        <v>0</v>
      </c>
      <c r="J381" s="161">
        <f>G381*H381*I381</f>
        <v>0</v>
      </c>
      <c r="K381" s="62">
        <f>E381*F381</f>
        <v>12</v>
      </c>
      <c r="L381" s="239" t="str">
        <f>IFERROR(VLOOKUP($C381,'SINAPI MAIO 2020'!$1:$1048576,3,0),IFERROR(VLOOKUP($C381,'6-COMP. PROPRIA'!$B$1:$I$808,5,0),""))</f>
        <v/>
      </c>
      <c r="M381" s="104"/>
      <c r="N381" s="105"/>
      <c r="O381" s="144"/>
    </row>
    <row r="382" spans="2:17" ht="32.25" customHeight="1">
      <c r="B382" s="164" t="s">
        <v>6080</v>
      </c>
      <c r="C382" s="20"/>
      <c r="D382" s="20"/>
      <c r="E382" s="73">
        <f>0.7*0.5</f>
        <v>0.35</v>
      </c>
      <c r="F382" s="63">
        <v>2</v>
      </c>
      <c r="G382" s="160"/>
      <c r="H382" s="160"/>
      <c r="I382" s="160"/>
      <c r="J382" s="161"/>
      <c r="K382" s="62">
        <f t="shared" ref="K382:K386" si="15">E382*F382</f>
        <v>0.7</v>
      </c>
      <c r="L382" s="239" t="str">
        <f>IFERROR(VLOOKUP($C382,'SINAPI MAIO 2020'!$1:$1048576,3,0),IFERROR(VLOOKUP($C382,'6-COMP. PROPRIA'!$B$1:$I$808,5,0),""))</f>
        <v/>
      </c>
      <c r="M382" s="104"/>
      <c r="N382" s="105"/>
      <c r="O382" s="144"/>
    </row>
    <row r="383" spans="2:17" ht="32.25" customHeight="1">
      <c r="B383" s="164" t="s">
        <v>6081</v>
      </c>
      <c r="C383" s="20"/>
      <c r="D383" s="20"/>
      <c r="E383" s="73">
        <f>48.85+6.14+2.8+2.2</f>
        <v>59.99</v>
      </c>
      <c r="F383" s="63">
        <v>3</v>
      </c>
      <c r="G383" s="160"/>
      <c r="H383" s="160"/>
      <c r="I383" s="160"/>
      <c r="J383" s="161"/>
      <c r="K383" s="62">
        <f t="shared" si="15"/>
        <v>179.97</v>
      </c>
      <c r="L383" s="239" t="str">
        <f>IFERROR(VLOOKUP($C383,'SINAPI MAIO 2020'!$1:$1048576,3,0),IFERROR(VLOOKUP($C383,'6-COMP. PROPRIA'!$B$1:$I$808,5,0),""))</f>
        <v/>
      </c>
      <c r="M383" s="104"/>
      <c r="N383" s="105"/>
      <c r="O383" s="144"/>
    </row>
    <row r="384" spans="2:17" ht="32.25" customHeight="1">
      <c r="B384" s="164" t="s">
        <v>6082</v>
      </c>
      <c r="C384" s="20"/>
      <c r="D384" s="20"/>
      <c r="E384" s="73">
        <f>16.56+4+3.5</f>
        <v>24.06</v>
      </c>
      <c r="F384" s="63">
        <v>3</v>
      </c>
      <c r="G384" s="160"/>
      <c r="H384" s="160"/>
      <c r="I384" s="160"/>
      <c r="J384" s="161"/>
      <c r="K384" s="62">
        <f t="shared" si="15"/>
        <v>72.179999999999993</v>
      </c>
      <c r="L384" s="239" t="str">
        <f>IFERROR(VLOOKUP($C384,'SINAPI MAIO 2020'!$1:$1048576,3,0),IFERROR(VLOOKUP($C384,'6-COMP. PROPRIA'!$B$1:$I$808,5,0),""))</f>
        <v/>
      </c>
      <c r="M384" s="104"/>
      <c r="N384" s="105"/>
      <c r="O384" s="144"/>
    </row>
    <row r="385" spans="2:16" ht="32.25" customHeight="1">
      <c r="B385" s="164" t="s">
        <v>6083</v>
      </c>
      <c r="C385" s="20"/>
      <c r="D385" s="20"/>
      <c r="E385" s="73">
        <f>6.1*2</f>
        <v>12.2</v>
      </c>
      <c r="F385" s="63">
        <v>3</v>
      </c>
      <c r="G385" s="160"/>
      <c r="H385" s="160"/>
      <c r="I385" s="160"/>
      <c r="J385" s="161"/>
      <c r="K385" s="62">
        <f t="shared" si="15"/>
        <v>36.599999999999994</v>
      </c>
      <c r="L385" s="239" t="str">
        <f>IFERROR(VLOOKUP($C385,'SINAPI MAIO 2020'!$1:$1048576,3,0),IFERROR(VLOOKUP($C385,'6-COMP. PROPRIA'!$B$1:$I$808,5,0),""))</f>
        <v/>
      </c>
      <c r="M385" s="104"/>
      <c r="N385" s="105"/>
      <c r="O385" s="144"/>
    </row>
    <row r="386" spans="2:16" ht="32.25" customHeight="1">
      <c r="B386" s="164" t="s">
        <v>7059</v>
      </c>
      <c r="C386" s="20"/>
      <c r="D386" s="20"/>
      <c r="E386" s="73">
        <f>3.9+4.6</f>
        <v>8.5</v>
      </c>
      <c r="F386" s="63">
        <v>3</v>
      </c>
      <c r="G386" s="160"/>
      <c r="H386" s="160"/>
      <c r="I386" s="160"/>
      <c r="J386" s="161"/>
      <c r="K386" s="62">
        <f t="shared" si="15"/>
        <v>25.5</v>
      </c>
      <c r="L386" s="239" t="str">
        <f>IFERROR(VLOOKUP($C386,'SINAPI MAIO 2020'!$1:$1048576,3,0),IFERROR(VLOOKUP($C386,'6-COMP. PROPRIA'!$B$1:$I$808,5,0),""))</f>
        <v/>
      </c>
      <c r="M386" s="104"/>
      <c r="N386" s="105"/>
      <c r="O386" s="144"/>
    </row>
    <row r="387" spans="2:16" ht="17.25" customHeight="1">
      <c r="B387" s="164"/>
      <c r="C387" s="20"/>
      <c r="D387" s="20"/>
      <c r="E387" s="86"/>
      <c r="F387" s="49"/>
      <c r="G387" s="49"/>
      <c r="H387" s="49"/>
      <c r="I387" s="49"/>
      <c r="J387" s="162"/>
      <c r="K387" s="62"/>
      <c r="L387" s="239" t="str">
        <f>IFERROR(VLOOKUP($C387,'SINAPI MAIO 2020'!$1:$1048576,3,0),IFERROR(VLOOKUP($C387,'6-COMP. PROPRIA'!$B$1:$I$808,5,0),""))</f>
        <v/>
      </c>
      <c r="M387" s="104"/>
      <c r="N387" s="105"/>
      <c r="O387" s="144"/>
    </row>
    <row r="388" spans="2:16" ht="17.25" customHeight="1" thickBot="1">
      <c r="B388" s="164"/>
      <c r="C388" s="20"/>
      <c r="D388" s="20"/>
      <c r="E388" s="86"/>
      <c r="F388" s="49"/>
      <c r="G388" s="49"/>
      <c r="H388" s="49"/>
      <c r="I388" s="49"/>
      <c r="J388" s="162"/>
      <c r="K388" s="62"/>
      <c r="L388" s="239" t="str">
        <f>IFERROR(VLOOKUP($C388,'SINAPI MAIO 2020'!$1:$1048576,3,0),IFERROR(VLOOKUP($C388,'6-COMP. PROPRIA'!$B$1:$I$808,5,0),""))</f>
        <v/>
      </c>
      <c r="M388" s="104"/>
      <c r="N388" s="105"/>
      <c r="O388" s="144"/>
    </row>
    <row r="389" spans="2:16" ht="17.25" customHeight="1" thickBot="1">
      <c r="B389" s="301"/>
      <c r="C389" s="302"/>
      <c r="D389" s="303"/>
      <c r="E389" s="674" t="s">
        <v>4700</v>
      </c>
      <c r="F389" s="675"/>
      <c r="G389" s="675"/>
      <c r="H389" s="675"/>
      <c r="I389" s="675"/>
      <c r="J389" s="676"/>
      <c r="K389" s="210"/>
      <c r="L389" s="239" t="str">
        <f>IFERROR(VLOOKUP($C389,'SINAPI MAIO 2020'!$1:$1048576,3,0),IFERROR(VLOOKUP($C389,'6-COMP. PROPRIA'!$B$1:$I$808,5,0),""))</f>
        <v/>
      </c>
      <c r="M389" s="94"/>
      <c r="N389" s="109"/>
    </row>
    <row r="390" spans="2:16" ht="17.25" customHeight="1">
      <c r="B390" s="164"/>
      <c r="C390" s="20"/>
      <c r="D390" s="20"/>
      <c r="E390" s="238"/>
      <c r="F390" s="312"/>
      <c r="G390" s="312"/>
      <c r="H390" s="312"/>
      <c r="I390" s="312"/>
      <c r="J390" s="103"/>
      <c r="K390" s="211"/>
      <c r="L390" s="239" t="str">
        <f>IFERROR(VLOOKUP($C390,'SINAPI MAIO 2020'!$1:$1048576,3,0),IFERROR(VLOOKUP($C390,'6-COMP. PROPRIA'!$B$1:$I$808,5,0),""))</f>
        <v/>
      </c>
      <c r="M390" s="104"/>
      <c r="N390" s="105"/>
    </row>
    <row r="391" spans="2:16" ht="40.5" customHeight="1">
      <c r="B391" s="164" t="s">
        <v>6126</v>
      </c>
      <c r="C391" s="275">
        <v>92616</v>
      </c>
      <c r="D391" s="275" t="s">
        <v>8</v>
      </c>
      <c r="E391" s="668" t="str">
        <f>IFERROR(VLOOKUP($C391,'SINAPI MAIO 2020'!$1:$1048576,2,0),IFERROR(VLOOKUP($C391,'6-COMP. PROPRIA'!$B$28:$I$808,4,0),""))</f>
        <v>FABRICAÇÃO E INSTALAÇÃO DE TESOURA INTEIRA EM AÇO, VÃO DE 10 M, PARA TELHA ONDULADA DE FIBROCIMENTO, METÁLICA, PLÁSTICA OU TERMOACÚSTICA, INCLUSO IÇAMENTO. AF_12/2015</v>
      </c>
      <c r="F391" s="669"/>
      <c r="G391" s="669"/>
      <c r="H391" s="669"/>
      <c r="I391" s="669"/>
      <c r="J391" s="670"/>
      <c r="K391" s="212">
        <v>5</v>
      </c>
      <c r="L391" s="239" t="str">
        <f>IFERROR(VLOOKUP($C391,'SINAPI MAIO 2020'!$1:$1048576,3,0),IFERROR(VLOOKUP($C391,'6-COMP. PROPRIA'!$B$1:$I$808,5,0),""))</f>
        <v>UN</v>
      </c>
      <c r="M391" s="44" t="e">
        <f>SUM(#REF!)</f>
        <v>#REF!</v>
      </c>
      <c r="N391" s="68" t="s">
        <v>952</v>
      </c>
      <c r="P391" s="157">
        <f>10*K391</f>
        <v>50</v>
      </c>
    </row>
    <row r="392" spans="2:16" ht="40.5" customHeight="1">
      <c r="B392" s="164"/>
      <c r="C392" s="20"/>
      <c r="D392" s="20"/>
      <c r="E392" s="238"/>
      <c r="F392" s="312"/>
      <c r="G392" s="312"/>
      <c r="H392" s="312"/>
      <c r="I392" s="312"/>
      <c r="J392" s="103"/>
      <c r="K392" s="211"/>
      <c r="L392" s="239" t="str">
        <f>IFERROR(VLOOKUP($C392,'SINAPI MAIO 2020'!$1:$1048576,3,0),IFERROR(VLOOKUP($C392,'6-COMP. PROPRIA'!$B$1:$I$808,5,0),""))</f>
        <v/>
      </c>
      <c r="M392" s="104"/>
      <c r="N392" s="105"/>
    </row>
    <row r="393" spans="2:16" ht="40.5" customHeight="1">
      <c r="B393" s="164" t="s">
        <v>6125</v>
      </c>
      <c r="C393" s="275">
        <v>92618</v>
      </c>
      <c r="D393" s="275" t="s">
        <v>8</v>
      </c>
      <c r="E393" s="668" t="str">
        <f>IFERROR(VLOOKUP($C393,'SINAPI MAIO 2020'!$1:$1048576,2,0),IFERROR(VLOOKUP($C393,'6-COMP. PROPRIA'!$B$28:$I$808,4,0),""))</f>
        <v>FABRICAÇÃO E INSTALAÇÃO DE TESOURA INTEIRA EM AÇO, VÃO DE 11 M, PARA TELHA ONDULADA DE FIBROCIMENTO, METÁLICA, PLÁSTICA OU TERMOACÚSTICA, INCLUSO IÇAMENTO. AF_12/2015</v>
      </c>
      <c r="F393" s="669"/>
      <c r="G393" s="669"/>
      <c r="H393" s="669"/>
      <c r="I393" s="669"/>
      <c r="J393" s="670"/>
      <c r="K393" s="212">
        <v>6</v>
      </c>
      <c r="L393" s="239" t="str">
        <f>IFERROR(VLOOKUP($C393,'SINAPI MAIO 2020'!$1:$1048576,3,0),IFERROR(VLOOKUP($C393,'6-COMP. PROPRIA'!$B$1:$I$808,5,0),""))</f>
        <v>UN</v>
      </c>
      <c r="M393" s="44" t="e">
        <f>SUM(#REF!)</f>
        <v>#REF!</v>
      </c>
      <c r="N393" s="68" t="s">
        <v>952</v>
      </c>
      <c r="P393" s="157">
        <f>10*K393</f>
        <v>60</v>
      </c>
    </row>
    <row r="394" spans="2:16" ht="40.5" customHeight="1">
      <c r="B394" s="164"/>
      <c r="C394" s="20"/>
      <c r="D394" s="20"/>
      <c r="E394" s="238"/>
      <c r="F394" s="312"/>
      <c r="G394" s="312"/>
      <c r="H394" s="312"/>
      <c r="I394" s="312"/>
      <c r="J394" s="103"/>
      <c r="K394" s="211"/>
      <c r="L394" s="239" t="str">
        <f>IFERROR(VLOOKUP($C394,'SINAPI MAIO 2020'!$1:$1048576,3,0),IFERROR(VLOOKUP($C394,'6-COMP. PROPRIA'!$B$1:$I$808,5,0),""))</f>
        <v/>
      </c>
      <c r="M394" s="104"/>
      <c r="N394" s="105"/>
    </row>
    <row r="395" spans="2:16" ht="40.5" customHeight="1">
      <c r="B395" s="164" t="s">
        <v>6171</v>
      </c>
      <c r="C395" s="275">
        <v>92610</v>
      </c>
      <c r="D395" s="275" t="s">
        <v>8</v>
      </c>
      <c r="E395" s="668" t="str">
        <f>IFERROR(VLOOKUP($C395,'SINAPI MAIO 2020'!$1:$1048576,2,0),IFERROR(VLOOKUP($C395,'6-COMP. PROPRIA'!$B$28:$I$808,4,0),""))</f>
        <v>FABRICAÇÃO E INSTALAÇÃO DE TESOURA INTEIRA EM AÇO, VÃO DE 7 M, PARA TELHA ONDULADA DE FIBROCIMENTO, METÁLICA, PLÁSTICA OU TERMOACÚSTICA, INCLUSO IÇAMENTO. AF_12/2015</v>
      </c>
      <c r="F395" s="669"/>
      <c r="G395" s="669"/>
      <c r="H395" s="669"/>
      <c r="I395" s="669"/>
      <c r="J395" s="670"/>
      <c r="K395" s="212">
        <v>4</v>
      </c>
      <c r="L395" s="239" t="str">
        <f>IFERROR(VLOOKUP($C395,'SINAPI MAIO 2020'!$1:$1048576,3,0),IFERROR(VLOOKUP($C395,'6-COMP. PROPRIA'!$B$1:$I$808,5,0),""))</f>
        <v>UN</v>
      </c>
      <c r="M395" s="44" t="e">
        <f>SUM(#REF!)</f>
        <v>#REF!</v>
      </c>
      <c r="N395" s="68" t="s">
        <v>952</v>
      </c>
      <c r="P395" s="157">
        <f>10*K395</f>
        <v>40</v>
      </c>
    </row>
    <row r="396" spans="2:16" ht="40.5" customHeight="1">
      <c r="B396" s="164"/>
      <c r="C396" s="20"/>
      <c r="D396" s="20"/>
      <c r="E396" s="238"/>
      <c r="F396" s="312"/>
      <c r="G396" s="312"/>
      <c r="H396" s="312"/>
      <c r="I396" s="312"/>
      <c r="J396" s="103"/>
      <c r="K396" s="211"/>
      <c r="L396" s="239" t="str">
        <f>IFERROR(VLOOKUP($C396,'SINAPI MAIO 2020'!$1:$1048576,3,0),IFERROR(VLOOKUP($C396,'6-COMP. PROPRIA'!$B$1:$I$808,5,0),""))</f>
        <v/>
      </c>
      <c r="M396" s="104"/>
      <c r="N396" s="105"/>
    </row>
    <row r="397" spans="2:16" ht="40.5" customHeight="1">
      <c r="B397" s="164"/>
      <c r="C397" s="275">
        <v>92580</v>
      </c>
      <c r="D397" s="275" t="s">
        <v>8</v>
      </c>
      <c r="E397" s="668" t="str">
        <f>IFERROR(VLOOKUP($C397,'SINAPI MAIO 2020'!$1:$1048576,2,0),IFERROR(VLOOKUP($C397,'6-COMP. PROPRIA'!$B$28:$I$808,4,0),""))</f>
        <v>TRAMA DE AÇO COMPOSTA POR TERÇAS PARA TELHADOS DE ATÉ 2 ÁGUAS PARA TELHA ONDULADA DE FIBROCIMENTO, METÁLICA, PLÁSTICA OU TERMOACÚSTICA, INCLUSO TRANSPORTE VERTICAL. AF_07/2019</v>
      </c>
      <c r="F397" s="669"/>
      <c r="G397" s="669"/>
      <c r="H397" s="669"/>
      <c r="I397" s="669"/>
      <c r="J397" s="670"/>
      <c r="K397" s="212">
        <f>SUM(K399:K401)</f>
        <v>759.64934999999991</v>
      </c>
      <c r="L397" s="239" t="str">
        <f>IFERROR(VLOOKUP($C397,'SINAPI MAIO 2020'!$1:$1048576,3,0),IFERROR(VLOOKUP($C397,'6-COMP. PROPRIA'!$B$1:$I$808,5,0),""))</f>
        <v>M2</v>
      </c>
      <c r="M397" s="99"/>
      <c r="N397" s="105"/>
    </row>
    <row r="398" spans="2:16" ht="40.5" customHeight="1">
      <c r="B398" s="164"/>
      <c r="C398" s="20"/>
      <c r="D398" s="70"/>
      <c r="E398" s="306" t="s">
        <v>6559</v>
      </c>
      <c r="F398" s="307" t="s">
        <v>6560</v>
      </c>
      <c r="G398" s="307"/>
      <c r="H398" s="307"/>
      <c r="I398" s="307"/>
      <c r="J398" s="308"/>
      <c r="K398" s="212"/>
      <c r="L398" s="239" t="str">
        <f>IFERROR(VLOOKUP($C398,'SINAPI MAIO 2020'!$1:$1048576,3,0),IFERROR(VLOOKUP($C398,'6-COMP. PROPRIA'!$B$1:$I$808,5,0),""))</f>
        <v/>
      </c>
      <c r="M398" s="99"/>
      <c r="N398" s="105"/>
    </row>
    <row r="399" spans="2:16" ht="17.25" customHeight="1">
      <c r="B399" s="164" t="s">
        <v>6126</v>
      </c>
      <c r="C399" s="20"/>
      <c r="D399" s="70"/>
      <c r="E399" s="299">
        <v>266.18</v>
      </c>
      <c r="F399" s="300">
        <v>1.0049999999999999</v>
      </c>
      <c r="G399" s="307"/>
      <c r="H399" s="307"/>
      <c r="I399" s="307"/>
      <c r="J399" s="308"/>
      <c r="K399" s="212">
        <f>E399*F399</f>
        <v>267.51089999999999</v>
      </c>
      <c r="L399" s="239" t="str">
        <f>IFERROR(VLOOKUP($C399,'SINAPI MAIO 2020'!$1:$1048576,3,0),IFERROR(VLOOKUP($C399,'6-COMP. PROPRIA'!$B$1:$I$808,5,0),""))</f>
        <v/>
      </c>
      <c r="M399" s="99"/>
      <c r="N399" s="105"/>
    </row>
    <row r="400" spans="2:16" ht="17.25" customHeight="1">
      <c r="B400" s="164" t="s">
        <v>6125</v>
      </c>
      <c r="C400" s="20"/>
      <c r="D400" s="70"/>
      <c r="E400" s="299">
        <v>337.51</v>
      </c>
      <c r="F400" s="300">
        <v>1.0049999999999999</v>
      </c>
      <c r="G400" s="307"/>
      <c r="H400" s="307"/>
      <c r="I400" s="307"/>
      <c r="J400" s="308"/>
      <c r="K400" s="212">
        <f t="shared" ref="K400:K401" si="16">E400*F400</f>
        <v>339.19754999999998</v>
      </c>
      <c r="L400" s="239" t="str">
        <f>IFERROR(VLOOKUP($C400,'SINAPI MAIO 2020'!$1:$1048576,3,0),IFERROR(VLOOKUP($C400,'6-COMP. PROPRIA'!$B$1:$I$808,5,0),""))</f>
        <v/>
      </c>
      <c r="M400" s="99"/>
      <c r="N400" s="105"/>
    </row>
    <row r="401" spans="2:14" ht="17.25" customHeight="1">
      <c r="B401" s="164" t="s">
        <v>6171</v>
      </c>
      <c r="C401" s="20"/>
      <c r="D401" s="70"/>
      <c r="E401" s="299">
        <v>152.18</v>
      </c>
      <c r="F401" s="300">
        <v>1.0049999999999999</v>
      </c>
      <c r="G401" s="307"/>
      <c r="H401" s="307"/>
      <c r="I401" s="307"/>
      <c r="J401" s="308"/>
      <c r="K401" s="212">
        <f t="shared" si="16"/>
        <v>152.9409</v>
      </c>
      <c r="L401" s="239" t="str">
        <f>IFERROR(VLOOKUP($C401,'SINAPI MAIO 2020'!$1:$1048576,3,0),IFERROR(VLOOKUP($C401,'6-COMP. PROPRIA'!$B$1:$I$808,5,0),""))</f>
        <v/>
      </c>
      <c r="M401" s="99"/>
      <c r="N401" s="105"/>
    </row>
    <row r="402" spans="2:14" ht="17.25" customHeight="1">
      <c r="B402" s="164"/>
      <c r="C402" s="20"/>
      <c r="D402" s="20"/>
      <c r="E402" s="238"/>
      <c r="F402" s="312"/>
      <c r="G402" s="312"/>
      <c r="H402" s="312"/>
      <c r="I402" s="312"/>
      <c r="J402" s="103"/>
      <c r="K402" s="211"/>
      <c r="L402" s="239" t="str">
        <f>IFERROR(VLOOKUP($C402,'SINAPI MAIO 2020'!$1:$1048576,3,0),IFERROR(VLOOKUP($C402,'6-COMP. PROPRIA'!$B$1:$I$808,5,0),""))</f>
        <v/>
      </c>
      <c r="M402" s="104"/>
      <c r="N402" s="105"/>
    </row>
    <row r="403" spans="2:14" ht="42.75" customHeight="1">
      <c r="B403" s="164"/>
      <c r="C403" s="275">
        <v>100721</v>
      </c>
      <c r="D403" s="275" t="s">
        <v>8</v>
      </c>
      <c r="E403" s="668" t="str">
        <f>IFERROR(VLOOKUP($C403,'SINAPI MAIO 2020'!$1:$1048576,2,0),IFERROR(VLOOKUP($C403,'6-COMP. PROPRIA'!$B$28:$I$808,4,0),""))</f>
        <v>PINTURA COM TINTA ALQUÍDICA DE FUNDO (TIPO ZARCÃO) PULVERIZADA SOBRE SUPERFÍCIES METÁLICAS (EXCETO PERFIL) EXECUTADO EM OBRA (POR DEMÃO). AF_01/2020</v>
      </c>
      <c r="F403" s="669"/>
      <c r="G403" s="669"/>
      <c r="H403" s="669"/>
      <c r="I403" s="669"/>
      <c r="J403" s="670"/>
      <c r="K403" s="212">
        <f>SUM(K405:K407)*1.2</f>
        <v>1823.1584399999997</v>
      </c>
      <c r="L403" s="239" t="str">
        <f>IFERROR(VLOOKUP($C403,'SINAPI MAIO 2020'!$1:$1048576,3,0),IFERROR(VLOOKUP($C403,'6-COMP. PROPRIA'!$B$1:$I$808,5,0),""))</f>
        <v>M2</v>
      </c>
      <c r="M403" s="104"/>
      <c r="N403" s="105"/>
    </row>
    <row r="404" spans="2:14" ht="17.25" customHeight="1">
      <c r="B404" s="164"/>
      <c r="C404" s="20"/>
      <c r="D404" s="70"/>
      <c r="E404" s="306" t="s">
        <v>6559</v>
      </c>
      <c r="F404" s="307" t="s">
        <v>6560</v>
      </c>
      <c r="G404" s="307" t="s">
        <v>7053</v>
      </c>
      <c r="H404" s="307"/>
      <c r="I404" s="307"/>
      <c r="J404" s="308"/>
      <c r="K404" s="212"/>
      <c r="L404" s="239" t="str">
        <f>IFERROR(VLOOKUP($C404,'SINAPI MAIO 2020'!$1:$1048576,3,0),IFERROR(VLOOKUP($C404,'6-COMP. PROPRIA'!$B$1:$I$808,5,0),""))</f>
        <v/>
      </c>
      <c r="M404" s="104"/>
      <c r="N404" s="105"/>
    </row>
    <row r="405" spans="2:14" ht="17.25" customHeight="1">
      <c r="B405" s="164" t="s">
        <v>6126</v>
      </c>
      <c r="C405" s="20"/>
      <c r="D405" s="70"/>
      <c r="E405" s="299">
        <v>266.18</v>
      </c>
      <c r="F405" s="300">
        <v>1.0049999999999999</v>
      </c>
      <c r="G405" s="300">
        <v>2</v>
      </c>
      <c r="H405" s="312"/>
      <c r="I405" s="312"/>
      <c r="J405" s="103"/>
      <c r="K405" s="212">
        <f>E405*F405*G405</f>
        <v>535.02179999999998</v>
      </c>
      <c r="L405" s="239" t="str">
        <f>IFERROR(VLOOKUP($C405,'SINAPI MAIO 2020'!$1:$1048576,3,0),IFERROR(VLOOKUP($C405,'6-COMP. PROPRIA'!$B$1:$I$808,5,0),""))</f>
        <v/>
      </c>
      <c r="M405" s="104"/>
      <c r="N405" s="105"/>
    </row>
    <row r="406" spans="2:14" ht="17.25" customHeight="1">
      <c r="B406" s="164" t="s">
        <v>6125</v>
      </c>
      <c r="C406" s="20"/>
      <c r="D406" s="70"/>
      <c r="E406" s="299">
        <v>337.51</v>
      </c>
      <c r="F406" s="300">
        <v>1.0049999999999999</v>
      </c>
      <c r="G406" s="300">
        <v>2</v>
      </c>
      <c r="H406" s="312"/>
      <c r="I406" s="312"/>
      <c r="J406" s="103"/>
      <c r="K406" s="212">
        <f t="shared" ref="K406:K407" si="17">E406*F406*G406</f>
        <v>678.39509999999996</v>
      </c>
      <c r="L406" s="239" t="str">
        <f>IFERROR(VLOOKUP($C406,'SINAPI MAIO 2020'!$1:$1048576,3,0),IFERROR(VLOOKUP($C406,'6-COMP. PROPRIA'!$B$1:$I$808,5,0),""))</f>
        <v/>
      </c>
      <c r="M406" s="104"/>
      <c r="N406" s="105"/>
    </row>
    <row r="407" spans="2:14" ht="17.25" customHeight="1">
      <c r="B407" s="164" t="s">
        <v>6171</v>
      </c>
      <c r="C407" s="20"/>
      <c r="D407" s="70"/>
      <c r="E407" s="299">
        <v>152.18</v>
      </c>
      <c r="F407" s="300">
        <v>1.0049999999999999</v>
      </c>
      <c r="G407" s="300">
        <v>2</v>
      </c>
      <c r="H407" s="312"/>
      <c r="I407" s="312"/>
      <c r="J407" s="103"/>
      <c r="K407" s="212">
        <f t="shared" si="17"/>
        <v>305.8818</v>
      </c>
      <c r="L407" s="239" t="str">
        <f>IFERROR(VLOOKUP($C407,'SINAPI MAIO 2020'!$1:$1048576,3,0),IFERROR(VLOOKUP($C407,'6-COMP. PROPRIA'!$B$1:$I$808,5,0),""))</f>
        <v/>
      </c>
      <c r="M407" s="104"/>
      <c r="N407" s="105"/>
    </row>
    <row r="408" spans="2:14" ht="17.25" customHeight="1">
      <c r="B408" s="164" t="s">
        <v>6573</v>
      </c>
      <c r="C408" s="20"/>
      <c r="D408" s="20"/>
      <c r="E408" s="238"/>
      <c r="F408" s="312"/>
      <c r="G408" s="312"/>
      <c r="H408" s="312"/>
      <c r="I408" s="312"/>
      <c r="J408" s="103"/>
      <c r="K408" s="211"/>
      <c r="L408" s="239" t="str">
        <f>IFERROR(VLOOKUP($C408,'SINAPI MAIO 2020'!$1:$1048576,3,0),IFERROR(VLOOKUP($C408,'6-COMP. PROPRIA'!$B$1:$I$808,5,0),""))</f>
        <v/>
      </c>
      <c r="M408" s="104"/>
      <c r="N408" s="105"/>
    </row>
    <row r="409" spans="2:14" ht="17.25" customHeight="1" thickBot="1">
      <c r="B409" s="164"/>
      <c r="C409" s="20"/>
      <c r="D409" s="20"/>
      <c r="E409" s="238"/>
      <c r="F409" s="312"/>
      <c r="G409" s="312"/>
      <c r="H409" s="312"/>
      <c r="I409" s="312"/>
      <c r="J409" s="103"/>
      <c r="K409" s="211"/>
      <c r="L409" s="239" t="str">
        <f>IFERROR(VLOOKUP($C409,'SINAPI MAIO 2020'!$1:$1048576,3,0),IFERROR(VLOOKUP($C409,'6-COMP. PROPRIA'!$B$1:$I$808,5,0),""))</f>
        <v/>
      </c>
      <c r="M409" s="104"/>
      <c r="N409" s="105"/>
    </row>
    <row r="410" spans="2:14" ht="17.25" customHeight="1" thickBot="1">
      <c r="B410" s="165"/>
      <c r="C410" s="90"/>
      <c r="D410" s="90"/>
      <c r="E410" s="674" t="s">
        <v>4489</v>
      </c>
      <c r="F410" s="675"/>
      <c r="G410" s="675"/>
      <c r="H410" s="675"/>
      <c r="I410" s="675"/>
      <c r="J410" s="676"/>
      <c r="K410" s="210"/>
      <c r="L410" s="239" t="str">
        <f>IFERROR(VLOOKUP($C410,'SINAPI MAIO 2020'!$1:$1048576,3,0),IFERROR(VLOOKUP($C410,'6-COMP. PROPRIA'!$B$1:$I$808,5,0),""))</f>
        <v/>
      </c>
      <c r="M410" s="94"/>
      <c r="N410" s="109"/>
    </row>
    <row r="411" spans="2:14" s="142" customFormat="1" ht="17.25" customHeight="1">
      <c r="B411" s="171"/>
      <c r="C411" s="93"/>
      <c r="D411" s="93"/>
      <c r="E411" s="314"/>
      <c r="F411" s="47"/>
      <c r="G411" s="47"/>
      <c r="H411" s="47"/>
      <c r="I411" s="47"/>
      <c r="J411" s="134"/>
      <c r="K411" s="210"/>
      <c r="L411" s="239" t="str">
        <f>IFERROR(VLOOKUP($C411,'SINAPI MAIO 2020'!$1:$1048576,3,0),IFERROR(VLOOKUP($C411,'6-COMP. PROPRIA'!$B$1:$I$808,5,0),""))</f>
        <v/>
      </c>
      <c r="M411" s="123"/>
      <c r="N411" s="141"/>
    </row>
    <row r="412" spans="2:14" ht="45.75" customHeight="1">
      <c r="B412" s="172"/>
      <c r="C412" s="275">
        <v>94216</v>
      </c>
      <c r="D412" s="275" t="s">
        <v>8</v>
      </c>
      <c r="E412" s="668" t="str">
        <f>IFERROR(VLOOKUP($C412,'SINAPI MAIO 2020'!$1:$1048576,2,0),IFERROR(VLOOKUP($C412,'6-COMP. PROPRIA'!$B$28:$I$808,4,0),""))</f>
        <v>TELHAMENTO COM TELHA METÁLICA TERMOACÚSTICA E = 30 MM, COM ATÉ 2 ÁGUAS, INCLUSO IÇAMENTO. AF_07/2019</v>
      </c>
      <c r="F412" s="669"/>
      <c r="G412" s="669"/>
      <c r="H412" s="669"/>
      <c r="I412" s="669"/>
      <c r="J412" s="670"/>
      <c r="K412" s="212">
        <f>SUM(K414:K416)</f>
        <v>759.64934999999991</v>
      </c>
      <c r="L412" s="239" t="str">
        <f>IFERROR(VLOOKUP($C412,'SINAPI MAIO 2020'!$1:$1048576,3,0),IFERROR(VLOOKUP($C412,'6-COMP. PROPRIA'!$B$1:$I$808,5,0),""))</f>
        <v>M2</v>
      </c>
      <c r="M412" s="104"/>
      <c r="N412" s="105"/>
    </row>
    <row r="413" spans="2:14" ht="17.25" customHeight="1">
      <c r="B413" s="164"/>
      <c r="C413" s="20"/>
      <c r="D413" s="70"/>
      <c r="E413" s="306" t="s">
        <v>6559</v>
      </c>
      <c r="F413" s="307" t="s">
        <v>6560</v>
      </c>
      <c r="G413" s="307"/>
      <c r="H413" s="307"/>
      <c r="I413" s="307"/>
      <c r="J413" s="308"/>
      <c r="K413" s="212"/>
      <c r="L413" s="239" t="str">
        <f>IFERROR(VLOOKUP($C413,'SINAPI MAIO 2020'!$1:$1048576,3,0),IFERROR(VLOOKUP($C413,'6-COMP. PROPRIA'!$B$1:$I$808,5,0),""))</f>
        <v/>
      </c>
      <c r="M413" s="99"/>
      <c r="N413" s="105"/>
    </row>
    <row r="414" spans="2:14" ht="17.25" customHeight="1">
      <c r="B414" s="164" t="s">
        <v>6126</v>
      </c>
      <c r="C414" s="20"/>
      <c r="D414" s="70"/>
      <c r="E414" s="299">
        <v>266.18</v>
      </c>
      <c r="F414" s="300">
        <v>1.0049999999999999</v>
      </c>
      <c r="G414" s="307"/>
      <c r="H414" s="307"/>
      <c r="I414" s="307"/>
      <c r="J414" s="308"/>
      <c r="K414" s="212">
        <f>E414*F414</f>
        <v>267.51089999999999</v>
      </c>
      <c r="L414" s="239" t="str">
        <f>IFERROR(VLOOKUP($C414,'SINAPI MAIO 2020'!$1:$1048576,3,0),IFERROR(VLOOKUP($C414,'6-COMP. PROPRIA'!$B$1:$I$808,5,0),""))</f>
        <v/>
      </c>
      <c r="M414" s="99"/>
      <c r="N414" s="105"/>
    </row>
    <row r="415" spans="2:14" ht="17.25" customHeight="1">
      <c r="B415" s="164" t="s">
        <v>6125</v>
      </c>
      <c r="C415" s="20"/>
      <c r="D415" s="70"/>
      <c r="E415" s="299">
        <v>337.51</v>
      </c>
      <c r="F415" s="300">
        <v>1.0049999999999999</v>
      </c>
      <c r="G415" s="307"/>
      <c r="H415" s="307"/>
      <c r="I415" s="307"/>
      <c r="J415" s="308"/>
      <c r="K415" s="212">
        <f t="shared" ref="K415:K416" si="18">E415*F415</f>
        <v>339.19754999999998</v>
      </c>
      <c r="L415" s="239" t="str">
        <f>IFERROR(VLOOKUP($C415,'SINAPI MAIO 2020'!$1:$1048576,3,0),IFERROR(VLOOKUP($C415,'6-COMP. PROPRIA'!$B$1:$I$808,5,0),""))</f>
        <v/>
      </c>
      <c r="M415" s="99"/>
      <c r="N415" s="105"/>
    </row>
    <row r="416" spans="2:14" ht="17.25" customHeight="1">
      <c r="B416" s="164" t="s">
        <v>6171</v>
      </c>
      <c r="C416" s="20"/>
      <c r="D416" s="70"/>
      <c r="E416" s="299">
        <v>152.18</v>
      </c>
      <c r="F416" s="300">
        <v>1.0049999999999999</v>
      </c>
      <c r="G416" s="307"/>
      <c r="H416" s="307"/>
      <c r="I416" s="307"/>
      <c r="J416" s="308"/>
      <c r="K416" s="212">
        <f t="shared" si="18"/>
        <v>152.9409</v>
      </c>
      <c r="L416" s="239" t="str">
        <f>IFERROR(VLOOKUP($C416,'SINAPI MAIO 2020'!$1:$1048576,3,0),IFERROR(VLOOKUP($C416,'6-COMP. PROPRIA'!$B$1:$I$808,5,0),""))</f>
        <v/>
      </c>
      <c r="M416" s="99"/>
      <c r="N416" s="105"/>
    </row>
    <row r="417" spans="2:14" ht="17.25" customHeight="1">
      <c r="B417" s="172"/>
      <c r="C417" s="20"/>
      <c r="D417" s="20"/>
      <c r="E417" s="306"/>
      <c r="F417" s="307"/>
      <c r="G417" s="307"/>
      <c r="H417" s="307"/>
      <c r="I417" s="307"/>
      <c r="J417" s="308"/>
      <c r="K417" s="212"/>
      <c r="L417" s="239" t="str">
        <f>IFERROR(VLOOKUP($C417,'SINAPI MAIO 2020'!$1:$1048576,3,0),IFERROR(VLOOKUP($C417,'6-COMP. PROPRIA'!$B$1:$I$808,5,0),""))</f>
        <v/>
      </c>
      <c r="M417" s="104"/>
      <c r="N417" s="105"/>
    </row>
    <row r="418" spans="2:14" ht="17.25" customHeight="1">
      <c r="B418" s="172"/>
      <c r="C418" s="20"/>
      <c r="D418" s="20"/>
      <c r="E418" s="306"/>
      <c r="F418" s="307"/>
      <c r="G418" s="307"/>
      <c r="H418" s="307"/>
      <c r="I418" s="307"/>
      <c r="J418" s="308"/>
      <c r="K418" s="212"/>
      <c r="L418" s="239" t="str">
        <f>IFERROR(VLOOKUP($C418,'SINAPI MAIO 2020'!$1:$1048576,3,0),IFERROR(VLOOKUP($C418,'6-COMP. PROPRIA'!$B$1:$I$808,5,0),""))</f>
        <v/>
      </c>
      <c r="M418" s="104"/>
      <c r="N418" s="105"/>
    </row>
    <row r="419" spans="2:14" ht="17.25" customHeight="1">
      <c r="B419" s="164"/>
      <c r="C419" s="20"/>
      <c r="D419" s="20"/>
      <c r="E419" s="84"/>
      <c r="F419" s="309"/>
      <c r="G419" s="309"/>
      <c r="H419" s="311"/>
      <c r="I419" s="309"/>
      <c r="J419" s="310"/>
      <c r="K419" s="211"/>
      <c r="L419" s="239" t="str">
        <f>IFERROR(VLOOKUP($C419,'SINAPI MAIO 2020'!$1:$1048576,3,0),IFERROR(VLOOKUP($C419,'6-COMP. PROPRIA'!$B$1:$I$808,5,0),""))</f>
        <v/>
      </c>
      <c r="M419" s="104"/>
      <c r="N419" s="105"/>
    </row>
    <row r="420" spans="2:14" ht="17.25" customHeight="1">
      <c r="B420" s="164"/>
      <c r="C420" s="274" t="str">
        <f>'6-COMP. PROPRIA'!B44</f>
        <v>CP-COB-01</v>
      </c>
      <c r="D420" s="275" t="s">
        <v>980</v>
      </c>
      <c r="E420" s="668" t="str">
        <f>IFERROR(VLOOKUP($C420,'SINAPI MAIO 2020'!$1:$1048576,2,0),IFERROR(VLOOKUP($C420,'6-COMP. PROPRIA'!$B$28:$I$808,4,0),""))</f>
        <v xml:space="preserve">CUMEEIRA PARA TELHA METÁLICA TERMOACÚSTICA </v>
      </c>
      <c r="F420" s="669"/>
      <c r="G420" s="669"/>
      <c r="H420" s="669"/>
      <c r="I420" s="669"/>
      <c r="J420" s="670"/>
      <c r="K420" s="215">
        <f>SUM(K422:K424)</f>
        <v>81.819999999999993</v>
      </c>
      <c r="L420" s="239" t="str">
        <f>IFERROR(VLOOKUP($C420,'SINAPI MAIO 2020'!$1:$1048576,3,0),IFERROR(VLOOKUP($C420,'6-COMP. PROPRIA'!$B$1:$I$808,5,0),""))</f>
        <v>M</v>
      </c>
      <c r="M420" s="104"/>
      <c r="N420" s="105"/>
    </row>
    <row r="421" spans="2:14" ht="17.25" customHeight="1">
      <c r="B421" s="164"/>
      <c r="C421" s="20"/>
      <c r="D421" s="20"/>
      <c r="E421" s="84" t="s">
        <v>6564</v>
      </c>
      <c r="F421" s="309"/>
      <c r="G421" s="309"/>
      <c r="H421" s="311"/>
      <c r="I421" s="309"/>
      <c r="J421" s="310"/>
      <c r="K421" s="211"/>
      <c r="L421" s="239" t="str">
        <f>IFERROR(VLOOKUP($C421,'SINAPI MAIO 2020'!$1:$1048576,3,0),IFERROR(VLOOKUP($C421,'6-COMP. PROPRIA'!$B$1:$I$808,5,0),""))</f>
        <v/>
      </c>
      <c r="M421" s="104"/>
      <c r="N421" s="105"/>
    </row>
    <row r="422" spans="2:14" ht="17.25" customHeight="1">
      <c r="B422" s="164" t="s">
        <v>6126</v>
      </c>
      <c r="C422" s="91"/>
      <c r="D422" s="91"/>
      <c r="E422" s="304">
        <v>27.56</v>
      </c>
      <c r="F422" s="309"/>
      <c r="G422" s="309"/>
      <c r="H422" s="311"/>
      <c r="I422" s="309"/>
      <c r="J422" s="310"/>
      <c r="K422" s="211">
        <f>E422</f>
        <v>27.56</v>
      </c>
      <c r="L422" s="239" t="str">
        <f>IFERROR(VLOOKUP($C422,'SINAPI MAIO 2020'!$1:$1048576,3,0),IFERROR(VLOOKUP($C422,'6-COMP. PROPRIA'!$B$1:$I$808,5,0),""))</f>
        <v/>
      </c>
      <c r="M422" s="104"/>
      <c r="N422" s="105"/>
    </row>
    <row r="423" spans="2:14" ht="17.25" customHeight="1">
      <c r="B423" s="164" t="s">
        <v>6125</v>
      </c>
      <c r="C423" s="91"/>
      <c r="D423" s="91"/>
      <c r="E423" s="304">
        <v>32.36</v>
      </c>
      <c r="F423" s="309"/>
      <c r="G423" s="309"/>
      <c r="H423" s="311"/>
      <c r="I423" s="309"/>
      <c r="J423" s="310"/>
      <c r="K423" s="211">
        <f t="shared" ref="K423:K424" si="19">E423</f>
        <v>32.36</v>
      </c>
      <c r="L423" s="239" t="str">
        <f>IFERROR(VLOOKUP($C423,'SINAPI MAIO 2020'!$1:$1048576,3,0),IFERROR(VLOOKUP($C423,'6-COMP. PROPRIA'!$B$1:$I$808,5,0),""))</f>
        <v/>
      </c>
      <c r="M423" s="104"/>
      <c r="N423" s="105"/>
    </row>
    <row r="424" spans="2:14" ht="17.25" customHeight="1">
      <c r="B424" s="164" t="s">
        <v>6171</v>
      </c>
      <c r="C424" s="91"/>
      <c r="D424" s="91"/>
      <c r="E424" s="304">
        <v>21.9</v>
      </c>
      <c r="F424" s="309"/>
      <c r="G424" s="309"/>
      <c r="H424" s="311"/>
      <c r="I424" s="309"/>
      <c r="J424" s="310"/>
      <c r="K424" s="211">
        <f t="shared" si="19"/>
        <v>21.9</v>
      </c>
      <c r="L424" s="239" t="str">
        <f>IFERROR(VLOOKUP($C424,'SINAPI MAIO 2020'!$1:$1048576,3,0),IFERROR(VLOOKUP($C424,'6-COMP. PROPRIA'!$B$1:$I$808,5,0),""))</f>
        <v/>
      </c>
      <c r="M424" s="104"/>
      <c r="N424" s="105"/>
    </row>
    <row r="425" spans="2:14" ht="17.25" customHeight="1">
      <c r="B425" s="168"/>
      <c r="C425" s="91"/>
      <c r="D425" s="91"/>
      <c r="E425" s="84"/>
      <c r="F425" s="309"/>
      <c r="G425" s="309"/>
      <c r="H425" s="311"/>
      <c r="I425" s="309"/>
      <c r="J425" s="310"/>
      <c r="K425" s="211"/>
      <c r="L425" s="239" t="str">
        <f>IFERROR(VLOOKUP($C425,'SINAPI MAIO 2020'!$1:$1048576,3,0),IFERROR(VLOOKUP($C425,'6-COMP. PROPRIA'!$B$1:$I$808,5,0),""))</f>
        <v/>
      </c>
      <c r="M425" s="104"/>
      <c r="N425" s="105"/>
    </row>
    <row r="426" spans="2:14" ht="17.25" customHeight="1">
      <c r="B426" s="168"/>
      <c r="C426" s="91"/>
      <c r="D426" s="91"/>
      <c r="E426" s="84"/>
      <c r="F426" s="309"/>
      <c r="G426" s="309"/>
      <c r="H426" s="311"/>
      <c r="I426" s="309"/>
      <c r="J426" s="310"/>
      <c r="K426" s="211"/>
      <c r="L426" s="239" t="str">
        <f>IFERROR(VLOOKUP($C426,'SINAPI MAIO 2020'!$1:$1048576,3,0),IFERROR(VLOOKUP($C426,'6-COMP. PROPRIA'!$B$1:$I$808,5,0),""))</f>
        <v/>
      </c>
      <c r="M426" s="104"/>
      <c r="N426" s="105"/>
    </row>
    <row r="427" spans="2:14" ht="28.5" customHeight="1">
      <c r="B427" s="168"/>
      <c r="C427" s="275">
        <v>93204</v>
      </c>
      <c r="D427" s="275" t="s">
        <v>8</v>
      </c>
      <c r="E427" s="668" t="str">
        <f>IFERROR(VLOOKUP($C427,'SINAPI MAIO 2020'!$1:$1048576,2,0),IFERROR(VLOOKUP($C427,'6-COMP. PROPRIA'!$B$28:$I$808,4,0),""))</f>
        <v>CINTA DE AMARRAÇÃO DE ALVENARIA MOLDADA IN LOCO EM CONCRETO. AF_03/2016</v>
      </c>
      <c r="F427" s="669"/>
      <c r="G427" s="669"/>
      <c r="H427" s="669"/>
      <c r="I427" s="669"/>
      <c r="J427" s="670"/>
      <c r="K427" s="215">
        <f>SUM(K429:K431)</f>
        <v>251.48</v>
      </c>
      <c r="L427" s="239" t="str">
        <f>IFERROR(VLOOKUP($C427,'SINAPI MAIO 2020'!$1:$1048576,3,0),IFERROR(VLOOKUP($C427,'6-COMP. PROPRIA'!$B$1:$I$808,5,0),""))</f>
        <v>M</v>
      </c>
      <c r="M427" s="104"/>
      <c r="N427" s="105"/>
    </row>
    <row r="428" spans="2:14" ht="17.25" customHeight="1">
      <c r="B428" s="164"/>
      <c r="C428" s="20"/>
      <c r="D428" s="20"/>
      <c r="E428" s="84" t="s">
        <v>6564</v>
      </c>
      <c r="F428" s="309"/>
      <c r="G428" s="309"/>
      <c r="H428" s="311"/>
      <c r="I428" s="309"/>
      <c r="J428" s="310"/>
      <c r="K428" s="211"/>
      <c r="L428" s="239" t="str">
        <f>IFERROR(VLOOKUP($C428,'SINAPI MAIO 2020'!$1:$1048576,3,0),IFERROR(VLOOKUP($C428,'6-COMP. PROPRIA'!$B$1:$I$808,5,0),""))</f>
        <v/>
      </c>
      <c r="M428" s="104"/>
      <c r="N428" s="105"/>
    </row>
    <row r="429" spans="2:14" ht="17.25" customHeight="1">
      <c r="B429" s="164" t="s">
        <v>6126</v>
      </c>
      <c r="C429" s="91"/>
      <c r="D429" s="91"/>
      <c r="E429" s="304">
        <f>64.32+7+7+8.11+4.3+1.51+2.3</f>
        <v>94.539999999999992</v>
      </c>
      <c r="F429" s="309"/>
      <c r="G429" s="309"/>
      <c r="H429" s="311"/>
      <c r="I429" s="309"/>
      <c r="J429" s="310"/>
      <c r="K429" s="211">
        <f>E429</f>
        <v>94.539999999999992</v>
      </c>
      <c r="L429" s="239" t="str">
        <f>IFERROR(VLOOKUP($C429,'SINAPI MAIO 2020'!$1:$1048576,3,0),IFERROR(VLOOKUP($C429,'6-COMP. PROPRIA'!$B$1:$I$808,5,0),""))</f>
        <v/>
      </c>
      <c r="M429" s="104"/>
      <c r="N429" s="105"/>
    </row>
    <row r="430" spans="2:14" ht="17.25" customHeight="1">
      <c r="B430" s="164" t="s">
        <v>6125</v>
      </c>
      <c r="C430" s="91"/>
      <c r="D430" s="91"/>
      <c r="E430" s="304">
        <f>36.26+3.18+5.99+36.66+8.5+6.47</f>
        <v>97.06</v>
      </c>
      <c r="F430" s="309"/>
      <c r="G430" s="309"/>
      <c r="H430" s="311"/>
      <c r="I430" s="309"/>
      <c r="J430" s="310"/>
      <c r="K430" s="211">
        <f t="shared" ref="K430:K431" si="20">E430</f>
        <v>97.06</v>
      </c>
      <c r="L430" s="239" t="str">
        <f>IFERROR(VLOOKUP($C430,'SINAPI MAIO 2020'!$1:$1048576,3,0),IFERROR(VLOOKUP($C430,'6-COMP. PROPRIA'!$B$1:$I$808,5,0),""))</f>
        <v/>
      </c>
      <c r="M430" s="104"/>
      <c r="N430" s="105"/>
    </row>
    <row r="431" spans="2:14" ht="17.25" customHeight="1">
      <c r="B431" s="164" t="s">
        <v>6171</v>
      </c>
      <c r="C431" s="91"/>
      <c r="D431" s="91"/>
      <c r="E431" s="304">
        <f>18.02+31.09+5.59+1.44+3.74</f>
        <v>59.88</v>
      </c>
      <c r="F431" s="309"/>
      <c r="G431" s="309"/>
      <c r="H431" s="311"/>
      <c r="I431" s="309"/>
      <c r="J431" s="310"/>
      <c r="K431" s="211">
        <f t="shared" si="20"/>
        <v>59.88</v>
      </c>
      <c r="L431" s="239" t="str">
        <f>IFERROR(VLOOKUP($C431,'SINAPI MAIO 2020'!$1:$1048576,3,0),IFERROR(VLOOKUP($C431,'6-COMP. PROPRIA'!$B$1:$I$808,5,0),""))</f>
        <v/>
      </c>
      <c r="M431" s="104"/>
      <c r="N431" s="105"/>
    </row>
    <row r="432" spans="2:14" ht="17.25" customHeight="1">
      <c r="B432" s="168"/>
      <c r="C432" s="91"/>
      <c r="D432" s="91"/>
      <c r="E432" s="84"/>
      <c r="F432" s="309"/>
      <c r="G432" s="309"/>
      <c r="H432" s="311"/>
      <c r="I432" s="309"/>
      <c r="J432" s="310"/>
      <c r="K432" s="211"/>
      <c r="L432" s="239" t="str">
        <f>IFERROR(VLOOKUP($C432,'SINAPI MAIO 2020'!$1:$1048576,3,0),IFERROR(VLOOKUP($C432,'6-COMP. PROPRIA'!$B$1:$I$808,5,0),""))</f>
        <v/>
      </c>
      <c r="M432" s="104"/>
      <c r="N432" s="105"/>
    </row>
    <row r="433" spans="2:14" ht="17.25" customHeight="1">
      <c r="B433" s="168"/>
      <c r="C433" s="91"/>
      <c r="D433" s="91"/>
      <c r="E433" s="84"/>
      <c r="F433" s="387"/>
      <c r="G433" s="387"/>
      <c r="H433" s="389"/>
      <c r="I433" s="387"/>
      <c r="J433" s="388"/>
      <c r="K433" s="211"/>
      <c r="L433" s="239"/>
      <c r="M433" s="104"/>
      <c r="N433" s="105"/>
    </row>
    <row r="434" spans="2:14" ht="35.25" customHeight="1">
      <c r="B434" s="168" t="s">
        <v>12929</v>
      </c>
      <c r="C434" s="275" t="s">
        <v>4381</v>
      </c>
      <c r="D434" s="275" t="s">
        <v>8</v>
      </c>
      <c r="E434" s="668" t="str">
        <f>IFERROR(VLOOKUP($C434,'SINAPI MAIO 2020'!$1:$1048576,2,0),IFERROR(VLOOKUP($C434,'6-COMP. PROPRIA'!$B$28:$I$808,4,0),""))</f>
        <v>SOLEIRA / TABEIRA EM MARMORE BRANCO COMUM, POLIDO, LARGURA 5 CM, ESPESSURA 2 CM, ASSENTADA COM ARGAMASSA COLANTE</v>
      </c>
      <c r="F434" s="669"/>
      <c r="G434" s="669"/>
      <c r="H434" s="669"/>
      <c r="I434" s="669"/>
      <c r="J434" s="670"/>
      <c r="K434" s="215">
        <v>110.48</v>
      </c>
      <c r="L434" s="239" t="str">
        <f>IFERROR(VLOOKUP($C434,'SINAPI MAIO 2020'!$1:$1048576,3,0),IFERROR(VLOOKUP($C434,'6-COMP. PROPRIA'!$B$1:$I$808,5,0),""))</f>
        <v>M</v>
      </c>
      <c r="M434" s="104"/>
      <c r="N434" s="105"/>
    </row>
    <row r="435" spans="2:14" ht="17.25" customHeight="1">
      <c r="B435" s="168"/>
      <c r="C435" s="91"/>
      <c r="D435" s="20"/>
      <c r="E435" s="84" t="s">
        <v>6564</v>
      </c>
      <c r="F435" s="387"/>
      <c r="G435" s="387"/>
      <c r="H435" s="389"/>
      <c r="I435" s="387"/>
      <c r="J435" s="388"/>
      <c r="K435" s="211"/>
      <c r="L435" s="239" t="str">
        <f>IFERROR(VLOOKUP($C435,'SINAPI MAIO 2020'!$1:$1048576,3,0),IFERROR(VLOOKUP($C435,'6-COMP. PROPRIA'!$B$1:$I$808,5,0),""))</f>
        <v/>
      </c>
      <c r="M435" s="104"/>
      <c r="N435" s="105"/>
    </row>
    <row r="436" spans="2:14" ht="17.25" customHeight="1">
      <c r="B436" s="168"/>
      <c r="C436" s="91"/>
      <c r="D436" s="91"/>
      <c r="E436" s="84"/>
      <c r="F436" s="309"/>
      <c r="G436" s="309"/>
      <c r="H436" s="311"/>
      <c r="I436" s="309"/>
      <c r="J436" s="310"/>
      <c r="K436" s="211"/>
      <c r="L436" s="239" t="str">
        <f>IFERROR(VLOOKUP($C436,'SINAPI MAIO 2020'!$1:$1048576,3,0),IFERROR(VLOOKUP($C436,'6-COMP. PROPRIA'!$B$1:$I$808,5,0),""))</f>
        <v/>
      </c>
      <c r="M436" s="104"/>
      <c r="N436" s="105"/>
    </row>
    <row r="437" spans="2:14" ht="17.25" customHeight="1">
      <c r="B437" s="168"/>
      <c r="C437" s="91"/>
      <c r="D437" s="91"/>
      <c r="E437" s="84"/>
      <c r="F437" s="309"/>
      <c r="G437" s="309"/>
      <c r="H437" s="311"/>
      <c r="I437" s="309"/>
      <c r="J437" s="310"/>
      <c r="K437" s="211"/>
      <c r="L437" s="239" t="str">
        <f>IFERROR(VLOOKUP($C437,'SINAPI MAIO 2020'!$1:$1048576,3,0),IFERROR(VLOOKUP($C437,'6-COMP. PROPRIA'!$B$1:$I$808,5,0),""))</f>
        <v/>
      </c>
      <c r="M437" s="104"/>
      <c r="N437" s="105"/>
    </row>
    <row r="438" spans="2:14" ht="17.25" customHeight="1">
      <c r="B438" s="168"/>
      <c r="C438" s="91"/>
      <c r="D438" s="91"/>
      <c r="E438" s="84"/>
      <c r="F438" s="387"/>
      <c r="G438" s="387"/>
      <c r="H438" s="389"/>
      <c r="I438" s="387"/>
      <c r="J438" s="388"/>
      <c r="K438" s="211"/>
      <c r="L438" s="239"/>
      <c r="M438" s="104"/>
      <c r="N438" s="105"/>
    </row>
    <row r="439" spans="2:14" ht="17.25" customHeight="1" thickBot="1">
      <c r="B439" s="168"/>
      <c r="C439" s="91"/>
      <c r="D439" s="91"/>
      <c r="E439" s="84"/>
      <c r="F439" s="387"/>
      <c r="G439" s="387"/>
      <c r="H439" s="389"/>
      <c r="I439" s="387"/>
      <c r="J439" s="388"/>
      <c r="K439" s="211"/>
      <c r="L439" s="239"/>
      <c r="M439" s="104"/>
      <c r="N439" s="105"/>
    </row>
    <row r="440" spans="2:14" ht="31.5" customHeight="1" thickBot="1">
      <c r="B440" s="171"/>
      <c r="C440" s="90"/>
      <c r="D440" s="279"/>
      <c r="E440" s="674" t="s">
        <v>4475</v>
      </c>
      <c r="F440" s="675"/>
      <c r="G440" s="675"/>
      <c r="H440" s="675"/>
      <c r="I440" s="675"/>
      <c r="J440" s="676"/>
      <c r="K440" s="210"/>
      <c r="L440" s="239" t="str">
        <f>IFERROR(VLOOKUP($C440,'SINAPI MAIO 2020'!$1:$1048576,3,0),IFERROR(VLOOKUP($C440,'6-COMP. PROPRIA'!$B$1:$I$808,5,0),""))</f>
        <v/>
      </c>
      <c r="M440" s="88" t="s">
        <v>4472</v>
      </c>
      <c r="N440" s="183" t="s">
        <v>965</v>
      </c>
    </row>
    <row r="441" spans="2:14" ht="17.25" customHeight="1">
      <c r="B441" s="173"/>
      <c r="C441" s="90"/>
      <c r="D441" s="90"/>
      <c r="E441" s="314"/>
      <c r="F441" s="315"/>
      <c r="G441" s="315"/>
      <c r="H441" s="315"/>
      <c r="I441" s="315"/>
      <c r="J441" s="316"/>
      <c r="K441" s="210"/>
      <c r="L441" s="239" t="str">
        <f>IFERROR(VLOOKUP($C441,'SINAPI MAIO 2020'!$1:$1048576,3,0),IFERROR(VLOOKUP($C441,'6-COMP. PROPRIA'!$B$1:$I$808,5,0),""))</f>
        <v/>
      </c>
      <c r="M441" s="100"/>
      <c r="N441" s="184"/>
    </row>
    <row r="442" spans="2:14" ht="47.25" customHeight="1">
      <c r="B442" s="172"/>
      <c r="C442" s="275">
        <v>91341</v>
      </c>
      <c r="D442" s="275" t="s">
        <v>8</v>
      </c>
      <c r="E442" s="668" t="str">
        <f>IFERROR(VLOOKUP($C442,'SINAPI MAIO 2020'!$1:$1048576,2,0),IFERROR(VLOOKUP($C442,'6-COMP. PROPRIA'!$B$28:$I$808,4,0),""))</f>
        <v>PORTA EM ALUMÍNIO DE ABRIR TIPO VENEZIANA COM GUARNIÇÃO, FIXAÇÃO COM PARAFUSOS - FORNECIMENTO E INSTALAÇÃO. AF_12/2019</v>
      </c>
      <c r="F442" s="669"/>
      <c r="G442" s="669"/>
      <c r="H442" s="669"/>
      <c r="I442" s="669"/>
      <c r="J442" s="670"/>
      <c r="K442" s="212">
        <f>K444</f>
        <v>5.0999999999999996</v>
      </c>
      <c r="L442" s="239" t="str">
        <f>IFERROR(VLOOKUP($C442,'SINAPI MAIO 2020'!$1:$1048576,3,0),IFERROR(VLOOKUP($C442,'6-COMP. PROPRIA'!$B$1:$I$808,5,0),""))</f>
        <v>M2</v>
      </c>
      <c r="M442" s="104"/>
      <c r="N442" s="105"/>
    </row>
    <row r="443" spans="2:14" ht="17.25" customHeight="1">
      <c r="B443" s="173"/>
      <c r="C443" s="90"/>
      <c r="D443" s="90"/>
      <c r="E443" s="84" t="s">
        <v>918</v>
      </c>
      <c r="F443" s="57" t="s">
        <v>924</v>
      </c>
      <c r="G443" s="57" t="s">
        <v>820</v>
      </c>
      <c r="H443" s="67"/>
      <c r="I443" s="67"/>
      <c r="J443" s="87"/>
      <c r="K443" s="211"/>
      <c r="L443" s="239" t="str">
        <f>IFERROR(VLOOKUP($C443,'SINAPI MAIO 2020'!$1:$1048576,3,0),IFERROR(VLOOKUP($C443,'6-COMP. PROPRIA'!$B$1:$I$808,5,0),""))</f>
        <v/>
      </c>
      <c r="M443" s="100"/>
      <c r="N443" s="184"/>
    </row>
    <row r="444" spans="2:14" ht="17.25" customHeight="1">
      <c r="B444" s="173" t="s">
        <v>6561</v>
      </c>
      <c r="C444" s="90"/>
      <c r="D444" s="90"/>
      <c r="E444" s="102">
        <v>0.6</v>
      </c>
      <c r="F444" s="63">
        <v>1.7</v>
      </c>
      <c r="G444" s="66">
        <v>5</v>
      </c>
      <c r="H444" s="312"/>
      <c r="I444" s="45"/>
      <c r="J444" s="120"/>
      <c r="K444" s="211">
        <f>E444*F444*G444</f>
        <v>5.0999999999999996</v>
      </c>
      <c r="L444" s="239" t="str">
        <f>IFERROR(VLOOKUP($C444,'SINAPI MAIO 2020'!$1:$1048576,3,0),IFERROR(VLOOKUP($C444,'6-COMP. PROPRIA'!$B$1:$I$808,5,0),""))</f>
        <v/>
      </c>
      <c r="M444" s="100">
        <f>(E444+0.56)*G444</f>
        <v>5.8000000000000007</v>
      </c>
      <c r="N444" s="184"/>
    </row>
    <row r="445" spans="2:14" ht="17.25" customHeight="1">
      <c r="B445" s="173"/>
      <c r="C445" s="90"/>
      <c r="D445" s="90"/>
      <c r="E445" s="314"/>
      <c r="F445" s="315"/>
      <c r="G445" s="315"/>
      <c r="H445" s="312"/>
      <c r="I445" s="45"/>
      <c r="J445" s="120"/>
      <c r="K445" s="211"/>
      <c r="L445" s="239" t="str">
        <f>IFERROR(VLOOKUP($C445,'SINAPI MAIO 2020'!$1:$1048576,3,0),IFERROR(VLOOKUP($C445,'6-COMP. PROPRIA'!$B$1:$I$808,5,0),""))</f>
        <v/>
      </c>
      <c r="M445" s="100"/>
      <c r="N445" s="184"/>
    </row>
    <row r="446" spans="2:14" ht="28.5" customHeight="1">
      <c r="B446" s="173"/>
      <c r="C446" s="274" t="str">
        <f>'6-COMP. PROPRIA'!B56</f>
        <v>CP-ESQ-01</v>
      </c>
      <c r="D446" s="275" t="s">
        <v>980</v>
      </c>
      <c r="E446" s="668" t="str">
        <f>IFERROR(VLOOKUP($C446,'SINAPI MAIO 2020'!$1:$1048576,2,0),IFERROR(VLOOKUP($C446,'6-COMP. PROPRIA'!$B$28:$I$808,4,0),""))</f>
        <v>PORTA DE FERRO DE ABRIR TIPO BARRA CHATA, COM REQUADRO E GUARNICAO COMPLETA</v>
      </c>
      <c r="F446" s="669"/>
      <c r="G446" s="669"/>
      <c r="H446" s="669"/>
      <c r="I446" s="669"/>
      <c r="J446" s="670"/>
      <c r="K446" s="212">
        <f>SUM(K448:K449)</f>
        <v>27.300000000000004</v>
      </c>
      <c r="L446" s="239" t="str">
        <f>IFERROR(VLOOKUP($C446,'SINAPI MAIO 2020'!$1:$1048576,3,0),IFERROR(VLOOKUP($C446,'6-COMP. PROPRIA'!$B$1:$I$808,5,0),""))</f>
        <v xml:space="preserve">M2    </v>
      </c>
      <c r="M446" s="100"/>
      <c r="N446" s="184"/>
    </row>
    <row r="447" spans="2:14" ht="17.25" customHeight="1">
      <c r="B447" s="173"/>
      <c r="C447" s="90"/>
      <c r="D447" s="90"/>
      <c r="E447" s="84" t="s">
        <v>918</v>
      </c>
      <c r="F447" s="57" t="s">
        <v>924</v>
      </c>
      <c r="G447" s="57" t="s">
        <v>820</v>
      </c>
      <c r="H447" s="67"/>
      <c r="I447" s="67"/>
      <c r="J447" s="87"/>
      <c r="K447" s="211"/>
      <c r="L447" s="239" t="str">
        <f>IFERROR(VLOOKUP($C447,'SINAPI MAIO 2020'!$1:$1048576,3,0),IFERROR(VLOOKUP($C447,'6-COMP. PROPRIA'!$B$1:$I$808,5,0),""))</f>
        <v/>
      </c>
      <c r="M447" s="100"/>
      <c r="N447" s="184"/>
    </row>
    <row r="448" spans="2:14" ht="17.25" customHeight="1">
      <c r="B448" s="173"/>
      <c r="C448" s="90"/>
      <c r="D448" s="90"/>
      <c r="E448" s="102">
        <v>0.8</v>
      </c>
      <c r="F448" s="63">
        <v>2.1</v>
      </c>
      <c r="G448" s="66">
        <v>15</v>
      </c>
      <c r="H448" s="312"/>
      <c r="I448" s="45"/>
      <c r="J448" s="120"/>
      <c r="K448" s="211">
        <f>E448*F448*G448</f>
        <v>25.200000000000003</v>
      </c>
      <c r="L448" s="239" t="str">
        <f>IFERROR(VLOOKUP($C448,'SINAPI MAIO 2020'!$1:$1048576,3,0),IFERROR(VLOOKUP($C448,'6-COMP. PROPRIA'!$B$1:$I$808,5,0),""))</f>
        <v/>
      </c>
      <c r="M448" s="100"/>
      <c r="N448" s="184"/>
    </row>
    <row r="449" spans="2:14" ht="17.25" customHeight="1">
      <c r="B449" s="173" t="s">
        <v>6558</v>
      </c>
      <c r="C449" s="90"/>
      <c r="D449" s="90"/>
      <c r="E449" s="102">
        <v>1</v>
      </c>
      <c r="F449" s="63">
        <v>2.1</v>
      </c>
      <c r="G449" s="66">
        <v>1</v>
      </c>
      <c r="H449" s="312"/>
      <c r="I449" s="45"/>
      <c r="J449" s="120"/>
      <c r="K449" s="211">
        <f>E449*F449*G449</f>
        <v>2.1</v>
      </c>
      <c r="L449" s="239" t="str">
        <f>IFERROR(VLOOKUP($C449,'SINAPI MAIO 2020'!$1:$1048576,3,0),IFERROR(VLOOKUP($C449,'6-COMP. PROPRIA'!$B$1:$I$808,5,0),""))</f>
        <v/>
      </c>
      <c r="M449" s="100"/>
      <c r="N449" s="184"/>
    </row>
    <row r="450" spans="2:14" ht="17.25" customHeight="1">
      <c r="B450" s="173"/>
      <c r="C450" s="90"/>
      <c r="D450" s="90"/>
      <c r="E450" s="314"/>
      <c r="F450" s="315"/>
      <c r="G450" s="315"/>
      <c r="H450" s="312"/>
      <c r="I450" s="45"/>
      <c r="J450" s="120"/>
      <c r="K450" s="211"/>
      <c r="L450" s="239" t="str">
        <f>IFERROR(VLOOKUP($C450,'SINAPI MAIO 2020'!$1:$1048576,3,0),IFERROR(VLOOKUP($C450,'6-COMP. PROPRIA'!$B$1:$I$808,5,0),""))</f>
        <v/>
      </c>
      <c r="M450" s="100"/>
      <c r="N450" s="184"/>
    </row>
    <row r="451" spans="2:14" ht="17.25" customHeight="1">
      <c r="B451" s="173"/>
      <c r="C451" s="90"/>
      <c r="D451" s="90"/>
      <c r="E451" s="314"/>
      <c r="F451" s="315"/>
      <c r="G451" s="315"/>
      <c r="H451" s="312"/>
      <c r="I451" s="45"/>
      <c r="J451" s="120"/>
      <c r="K451" s="211"/>
      <c r="L451" s="239" t="str">
        <f>IFERROR(VLOOKUP($C451,'SINAPI MAIO 2020'!$1:$1048576,3,0),IFERROR(VLOOKUP($C451,'6-COMP. PROPRIA'!$B$1:$I$808,5,0),""))</f>
        <v/>
      </c>
      <c r="M451" s="100"/>
      <c r="N451" s="184"/>
    </row>
    <row r="452" spans="2:14" ht="51.75" customHeight="1">
      <c r="B452" s="173"/>
      <c r="C452" s="275">
        <v>94573</v>
      </c>
      <c r="D452" s="275" t="s">
        <v>8</v>
      </c>
      <c r="E452" s="668" t="str">
        <f>IFERROR(VLOOKUP($C452,'SINAPI MAIO 2020'!$1:$1048576,2,0),IFERROR(VLOOKUP($C452,'6-COMP. PROPRIA'!$B$28:$I$808,4,0),""))</f>
        <v>JANELA DE ALUMÍNIO DE CORRER COM 4 FOLHAS PARA VIDROS, COM VIDROS, BATENTE, ACABAMENTO COM ACETATO OU BRILHANTE E FERRAGENS. EXCLUSIVE ALIZAR E CONTRAMARCO. FORNECIMENTO E INSTALAÇÃO. AF_12/2019</v>
      </c>
      <c r="F452" s="669"/>
      <c r="G452" s="669"/>
      <c r="H452" s="669"/>
      <c r="I452" s="669"/>
      <c r="J452" s="670"/>
      <c r="K452" s="212">
        <f>SUM(K454)</f>
        <v>52</v>
      </c>
      <c r="L452" s="239" t="str">
        <f>IFERROR(VLOOKUP($C452,'SINAPI MAIO 2020'!$1:$1048576,3,0),IFERROR(VLOOKUP($C452,'6-COMP. PROPRIA'!$B$1:$I$808,5,0),""))</f>
        <v>M2</v>
      </c>
      <c r="M452" s="100"/>
      <c r="N452" s="184"/>
    </row>
    <row r="453" spans="2:14" ht="17.25" customHeight="1">
      <c r="B453" s="173"/>
      <c r="C453" s="90"/>
      <c r="D453" s="90"/>
      <c r="E453" s="84" t="s">
        <v>918</v>
      </c>
      <c r="F453" s="57" t="s">
        <v>924</v>
      </c>
      <c r="G453" s="57" t="s">
        <v>820</v>
      </c>
      <c r="H453" s="67"/>
      <c r="I453" s="67"/>
      <c r="J453" s="87"/>
      <c r="K453" s="211"/>
      <c r="L453" s="239" t="str">
        <f>IFERROR(VLOOKUP($C453,'SINAPI MAIO 2020'!$1:$1048576,3,0),IFERROR(VLOOKUP($C453,'6-COMP. PROPRIA'!$B$1:$I$808,5,0),""))</f>
        <v/>
      </c>
      <c r="M453" s="100"/>
      <c r="N453" s="184"/>
    </row>
    <row r="454" spans="2:14" ht="17.25" customHeight="1">
      <c r="B454" s="173"/>
      <c r="C454" s="90"/>
      <c r="D454" s="90"/>
      <c r="E454" s="102">
        <v>2</v>
      </c>
      <c r="F454" s="63">
        <v>1</v>
      </c>
      <c r="G454" s="66">
        <v>26</v>
      </c>
      <c r="H454" s="315"/>
      <c r="I454" s="315"/>
      <c r="J454" s="316"/>
      <c r="K454" s="211">
        <f>E454*F454*G454</f>
        <v>52</v>
      </c>
      <c r="L454" s="239" t="str">
        <f>IFERROR(VLOOKUP($C454,'SINAPI MAIO 2020'!$1:$1048576,3,0),IFERROR(VLOOKUP($C454,'6-COMP. PROPRIA'!$B$1:$I$808,5,0),""))</f>
        <v/>
      </c>
      <c r="M454" s="100"/>
      <c r="N454" s="184"/>
    </row>
    <row r="455" spans="2:14" ht="17.25" customHeight="1">
      <c r="B455" s="173"/>
      <c r="C455" s="90"/>
      <c r="D455" s="90"/>
      <c r="E455" s="314"/>
      <c r="F455" s="315"/>
      <c r="G455" s="315"/>
      <c r="H455" s="315"/>
      <c r="I455" s="315"/>
      <c r="J455" s="316"/>
      <c r="K455" s="211"/>
      <c r="L455" s="239" t="str">
        <f>IFERROR(VLOOKUP($C455,'SINAPI MAIO 2020'!$1:$1048576,3,0),IFERROR(VLOOKUP($C455,'6-COMP. PROPRIA'!$B$1:$I$808,5,0),""))</f>
        <v/>
      </c>
      <c r="M455" s="100"/>
      <c r="N455" s="184"/>
    </row>
    <row r="456" spans="2:14" ht="30" customHeight="1">
      <c r="B456" s="173"/>
      <c r="C456" s="274">
        <v>94569</v>
      </c>
      <c r="D456" s="275" t="s">
        <v>8</v>
      </c>
      <c r="E456" s="668" t="str">
        <f>IFERROR(VLOOKUP($C456,'SINAPI MAIO 2020'!$1:$1048576,2,0),IFERROR(VLOOKUP($C456,'6-COMP. PROPRIA'!$B$28:$I$808,4,0),""))</f>
        <v>JANELA DE ALUMÍNIO TIPO MAXIM-AR, COM VIDROS, BATENTE E FERRAGENS. EXCLUSIVE ALIZAR, ACABAMENTO E CONTRAMARCO. FORNECIMENTO E INSTALAÇÃO. AF_12/2019</v>
      </c>
      <c r="F456" s="669"/>
      <c r="G456" s="669"/>
      <c r="H456" s="669"/>
      <c r="I456" s="669"/>
      <c r="J456" s="670"/>
      <c r="K456" s="212">
        <f>SUM(K458:K460)</f>
        <v>9</v>
      </c>
      <c r="L456" s="239" t="str">
        <f>IFERROR(VLOOKUP($C456,'SINAPI MAIO 2020'!$1:$1048576,3,0),IFERROR(VLOOKUP($C456,'6-COMP. PROPRIA'!$B$1:$I$808,5,0),""))</f>
        <v>M2</v>
      </c>
      <c r="M456" s="100"/>
      <c r="N456" s="184"/>
    </row>
    <row r="457" spans="2:14" ht="42.75" customHeight="1">
      <c r="B457" s="173"/>
      <c r="C457" s="90"/>
      <c r="D457" s="90"/>
      <c r="E457" s="84" t="s">
        <v>918</v>
      </c>
      <c r="F457" s="57" t="s">
        <v>924</v>
      </c>
      <c r="G457" s="57" t="s">
        <v>820</v>
      </c>
      <c r="H457" s="67"/>
      <c r="I457" s="67"/>
      <c r="J457" s="87"/>
      <c r="K457" s="211"/>
      <c r="L457" s="239" t="str">
        <f>IFERROR(VLOOKUP($C457,'SINAPI MAIO 2020'!$1:$1048576,3,0),IFERROR(VLOOKUP($C457,'6-COMP. PROPRIA'!$B$1:$I$808,5,0),""))</f>
        <v/>
      </c>
      <c r="M457" s="100"/>
      <c r="N457" s="184"/>
    </row>
    <row r="458" spans="2:14" ht="17.25" customHeight="1">
      <c r="B458" s="173"/>
      <c r="C458" s="90"/>
      <c r="D458" s="90"/>
      <c r="E458" s="102">
        <v>2</v>
      </c>
      <c r="F458" s="63">
        <v>0.6</v>
      </c>
      <c r="G458" s="66">
        <v>4</v>
      </c>
      <c r="H458" s="315"/>
      <c r="I458" s="315"/>
      <c r="J458" s="316"/>
      <c r="K458" s="211">
        <f>E458*F458*G458</f>
        <v>4.8</v>
      </c>
      <c r="L458" s="239" t="str">
        <f>IFERROR(VLOOKUP($C458,'SINAPI MAIO 2020'!$1:$1048576,3,0),IFERROR(VLOOKUP($C458,'6-COMP. PROPRIA'!$B$1:$I$808,5,0),""))</f>
        <v/>
      </c>
      <c r="M458" s="100"/>
      <c r="N458" s="184"/>
    </row>
    <row r="459" spans="2:14" ht="17.25" customHeight="1">
      <c r="B459" s="173"/>
      <c r="C459" s="90"/>
      <c r="D459" s="90"/>
      <c r="E459" s="102">
        <v>1</v>
      </c>
      <c r="F459" s="63">
        <v>0.6</v>
      </c>
      <c r="G459" s="66">
        <v>4</v>
      </c>
      <c r="H459" s="315"/>
      <c r="I459" s="315"/>
      <c r="J459" s="316"/>
      <c r="K459" s="211">
        <f t="shared" ref="K459:K460" si="21">E459*F459*G459</f>
        <v>2.4</v>
      </c>
      <c r="L459" s="239" t="str">
        <f>IFERROR(VLOOKUP($C459,'SINAPI MAIO 2020'!$1:$1048576,3,0),IFERROR(VLOOKUP($C459,'6-COMP. PROPRIA'!$B$1:$I$808,5,0),""))</f>
        <v/>
      </c>
      <c r="M459" s="100"/>
      <c r="N459" s="184"/>
    </row>
    <row r="460" spans="2:14" ht="17.25" customHeight="1">
      <c r="B460" s="173"/>
      <c r="C460" s="90"/>
      <c r="D460" s="90"/>
      <c r="E460" s="102">
        <v>1.5</v>
      </c>
      <c r="F460" s="63">
        <v>0.6</v>
      </c>
      <c r="G460" s="66">
        <v>2</v>
      </c>
      <c r="H460" s="315"/>
      <c r="I460" s="315"/>
      <c r="J460" s="316"/>
      <c r="K460" s="211">
        <f t="shared" si="21"/>
        <v>1.7999999999999998</v>
      </c>
      <c r="L460" s="239" t="str">
        <f>IFERROR(VLOOKUP($C460,'SINAPI MAIO 2020'!$1:$1048576,3,0),IFERROR(VLOOKUP($C460,'6-COMP. PROPRIA'!$B$1:$I$808,5,0),""))</f>
        <v/>
      </c>
      <c r="M460" s="100"/>
      <c r="N460" s="184"/>
    </row>
    <row r="461" spans="2:14" ht="17.25" customHeight="1">
      <c r="B461" s="173"/>
      <c r="C461" s="90"/>
      <c r="D461" s="90"/>
      <c r="E461" s="314"/>
      <c r="F461" s="315"/>
      <c r="G461" s="315"/>
      <c r="H461" s="315"/>
      <c r="I461" s="315"/>
      <c r="J461" s="316"/>
      <c r="K461" s="210"/>
      <c r="L461" s="239" t="str">
        <f>IFERROR(VLOOKUP($C461,'SINAPI MAIO 2020'!$1:$1048576,3,0),IFERROR(VLOOKUP($C461,'6-COMP. PROPRIA'!$B$1:$I$808,5,0),""))</f>
        <v/>
      </c>
      <c r="M461" s="100"/>
      <c r="N461" s="184"/>
    </row>
    <row r="462" spans="2:14" ht="17.25" customHeight="1">
      <c r="B462" s="164"/>
      <c r="C462" s="20"/>
      <c r="D462" s="20"/>
      <c r="E462" s="238"/>
      <c r="F462" s="312"/>
      <c r="G462" s="49"/>
      <c r="H462" s="49"/>
      <c r="I462" s="49"/>
      <c r="J462" s="319"/>
      <c r="K462" s="211"/>
      <c r="L462" s="239" t="str">
        <f>IFERROR(VLOOKUP($C462,'SINAPI MAIO 2020'!$1:$1048576,3,0),IFERROR(VLOOKUP($C462,'6-COMP. PROPRIA'!$B$1:$I$808,5,0),""))</f>
        <v/>
      </c>
      <c r="M462" s="104"/>
      <c r="N462" s="105"/>
    </row>
    <row r="463" spans="2:14" ht="39" customHeight="1">
      <c r="B463" s="164"/>
      <c r="C463" s="274" t="str">
        <f>'6-COMP. PROPRIA'!B63</f>
        <v>CP-ESQ-02</v>
      </c>
      <c r="D463" s="275" t="s">
        <v>980</v>
      </c>
      <c r="E463" s="668" t="str">
        <f>IFERROR(VLOOKUP($C463,'SINAPI MAIO 2020'!$1:$1048576,2,0),IFERROR(VLOOKUP($C463,'6-COMP. PROPRIA'!$B$28:$I$808,4,0),""))</f>
        <v>JANELA DE ALUMÍNIO DE CORRER, 2 FOLHAS, FIXAÇÃO COM ARGAMASSA, COM VIDROS, PADRONIZADA INCLUSO PEITORIL EM GRANILITE 60CM (ABERTURA NA VERTICAL "PASSA PRATO" - FORNECIMENTO E INSTALAÇÃO</v>
      </c>
      <c r="F463" s="669"/>
      <c r="G463" s="669"/>
      <c r="H463" s="669"/>
      <c r="I463" s="669"/>
      <c r="J463" s="670"/>
      <c r="K463" s="212">
        <f>G465</f>
        <v>1</v>
      </c>
      <c r="L463" s="239" t="str">
        <f>IFERROR(VLOOKUP($C463,'SINAPI MAIO 2020'!$1:$1048576,3,0),IFERROR(VLOOKUP($C463,'6-COMP. PROPRIA'!$B$1:$I$808,5,0),""))</f>
        <v>UNI</v>
      </c>
      <c r="M463" s="104"/>
      <c r="N463" s="105"/>
    </row>
    <row r="464" spans="2:14" ht="17.25" customHeight="1">
      <c r="B464" s="164"/>
      <c r="C464" s="90"/>
      <c r="D464" s="90"/>
      <c r="E464" s="257"/>
      <c r="F464" s="243"/>
      <c r="G464" s="57" t="s">
        <v>820</v>
      </c>
      <c r="H464" s="67"/>
      <c r="I464" s="67"/>
      <c r="J464" s="87"/>
      <c r="K464" s="211"/>
      <c r="L464" s="239" t="str">
        <f>IFERROR(VLOOKUP($C464,'SINAPI MAIO 2020'!$1:$1048576,3,0),IFERROR(VLOOKUP($C464,'6-COMP. PROPRIA'!$B$1:$I$808,5,0),""))</f>
        <v/>
      </c>
      <c r="M464" s="104"/>
      <c r="N464" s="105"/>
    </row>
    <row r="465" spans="2:14" ht="17.25" customHeight="1">
      <c r="B465" s="164"/>
      <c r="C465" s="90"/>
      <c r="D465" s="90"/>
      <c r="E465" s="258"/>
      <c r="F465" s="259"/>
      <c r="G465" s="66">
        <v>1</v>
      </c>
      <c r="H465" s="312"/>
      <c r="I465" s="45"/>
      <c r="J465" s="120"/>
      <c r="K465" s="211">
        <f>E465*F465*G465</f>
        <v>0</v>
      </c>
      <c r="L465" s="239" t="str">
        <f>IFERROR(VLOOKUP($C465,'SINAPI MAIO 2020'!$1:$1048576,3,0),IFERROR(VLOOKUP($C465,'6-COMP. PROPRIA'!$B$1:$I$808,5,0),""))</f>
        <v/>
      </c>
      <c r="M465" s="104"/>
      <c r="N465" s="105"/>
    </row>
    <row r="466" spans="2:14" ht="17.25" customHeight="1">
      <c r="B466" s="164"/>
      <c r="C466" s="20"/>
      <c r="D466" s="20"/>
      <c r="E466" s="238"/>
      <c r="F466" s="312"/>
      <c r="G466" s="49"/>
      <c r="H466" s="49"/>
      <c r="I466" s="49"/>
      <c r="J466" s="319"/>
      <c r="K466" s="211"/>
      <c r="L466" s="239" t="str">
        <f>IFERROR(VLOOKUP($C466,'SINAPI MAIO 2020'!$1:$1048576,3,0),IFERROR(VLOOKUP($C466,'6-COMP. PROPRIA'!$B$1:$I$808,5,0),""))</f>
        <v/>
      </c>
      <c r="M466" s="104"/>
      <c r="N466" s="105"/>
    </row>
    <row r="467" spans="2:14" ht="17.25" customHeight="1">
      <c r="B467" s="164"/>
      <c r="C467" s="20"/>
      <c r="D467" s="20"/>
      <c r="E467" s="238"/>
      <c r="F467" s="312"/>
      <c r="G467" s="49"/>
      <c r="H467" s="49"/>
      <c r="I467" s="49"/>
      <c r="J467" s="319"/>
      <c r="K467" s="211"/>
      <c r="L467" s="239" t="str">
        <f>IFERROR(VLOOKUP($C467,'SINAPI MAIO 2020'!$1:$1048576,3,0),IFERROR(VLOOKUP($C467,'6-COMP. PROPRIA'!$B$1:$I$808,5,0),""))</f>
        <v/>
      </c>
      <c r="M467" s="104"/>
      <c r="N467" s="105"/>
    </row>
    <row r="468" spans="2:14" ht="37.5" customHeight="1">
      <c r="B468" s="164"/>
      <c r="C468" s="274" t="str">
        <f>'6-COMP. PROPRIA'!B71</f>
        <v>CP-ESQ-03</v>
      </c>
      <c r="D468" s="275" t="s">
        <v>980</v>
      </c>
      <c r="E468" s="668" t="str">
        <f>IFERROR(VLOOKUP($C468,'SINAPI MAIO 2020'!$1:$1048576,2,0),IFERROR(VLOOKUP($C468,'6-COMP. PROPRIA'!$B$28:$I$808,4,0),""))</f>
        <v>PORTAO DE FERRO, DE ABRIR, TIPO CHAPA CORRUGADA, COM GUARNICOES E FECHADURA, FORNECIMENTO E INSTALAÇÃO (1,00 X 2,10)M</v>
      </c>
      <c r="F468" s="669"/>
      <c r="G468" s="669"/>
      <c r="H468" s="669"/>
      <c r="I468" s="669"/>
      <c r="J468" s="670"/>
      <c r="K468" s="212">
        <f>G470</f>
        <v>1</v>
      </c>
      <c r="L468" s="239" t="str">
        <f>IFERROR(VLOOKUP($C468,'SINAPI MAIO 2020'!$1:$1048576,3,0),IFERROR(VLOOKUP($C468,'6-COMP. PROPRIA'!$B$1:$I$808,5,0),""))</f>
        <v>UN</v>
      </c>
      <c r="M468" s="104"/>
      <c r="N468" s="105"/>
    </row>
    <row r="469" spans="2:14" ht="17.25" customHeight="1">
      <c r="B469" s="164"/>
      <c r="C469" s="20"/>
      <c r="D469" s="20"/>
      <c r="E469" s="257"/>
      <c r="F469" s="243"/>
      <c r="G469" s="57" t="s">
        <v>820</v>
      </c>
      <c r="H469" s="67"/>
      <c r="I469" s="67"/>
      <c r="J469" s="87"/>
      <c r="K469" s="211"/>
      <c r="L469" s="239" t="str">
        <f>IFERROR(VLOOKUP($C469,'SINAPI MAIO 2020'!$1:$1048576,3,0),IFERROR(VLOOKUP($C469,'6-COMP. PROPRIA'!$B$1:$I$808,5,0),""))</f>
        <v/>
      </c>
      <c r="M469" s="104"/>
      <c r="N469" s="105"/>
    </row>
    <row r="470" spans="2:14" ht="17.25" customHeight="1">
      <c r="B470" s="164"/>
      <c r="C470" s="20"/>
      <c r="D470" s="20"/>
      <c r="E470" s="258"/>
      <c r="F470" s="259"/>
      <c r="G470" s="66">
        <v>1</v>
      </c>
      <c r="H470" s="312"/>
      <c r="I470" s="45"/>
      <c r="J470" s="120"/>
      <c r="K470" s="211">
        <f>E470*F470*G470</f>
        <v>0</v>
      </c>
      <c r="L470" s="239" t="str">
        <f>IFERROR(VLOOKUP($C470,'SINAPI MAIO 2020'!$1:$1048576,3,0),IFERROR(VLOOKUP($C470,'6-COMP. PROPRIA'!$B$1:$I$808,5,0),""))</f>
        <v/>
      </c>
      <c r="M470" s="104"/>
      <c r="N470" s="105"/>
    </row>
    <row r="471" spans="2:14" ht="17.25" customHeight="1">
      <c r="B471" s="164"/>
      <c r="C471" s="20"/>
      <c r="D471" s="20"/>
      <c r="E471" s="258"/>
      <c r="F471" s="259"/>
      <c r="G471" s="312"/>
      <c r="H471" s="312"/>
      <c r="I471" s="45"/>
      <c r="J471" s="120"/>
      <c r="K471" s="211"/>
      <c r="L471" s="239" t="str">
        <f>IFERROR(VLOOKUP($C471,'SINAPI MAIO 2020'!$1:$1048576,3,0),IFERROR(VLOOKUP($C471,'6-COMP. PROPRIA'!$B$1:$I$808,5,0),""))</f>
        <v/>
      </c>
      <c r="M471" s="104"/>
      <c r="N471" s="105"/>
    </row>
    <row r="472" spans="2:14" ht="17.25" customHeight="1">
      <c r="B472" s="164"/>
      <c r="C472" s="20"/>
      <c r="D472" s="20"/>
      <c r="E472" s="258"/>
      <c r="F472" s="259"/>
      <c r="G472" s="312"/>
      <c r="H472" s="312"/>
      <c r="I472" s="45"/>
      <c r="J472" s="120"/>
      <c r="K472" s="211"/>
      <c r="L472" s="239" t="str">
        <f>IFERROR(VLOOKUP($C472,'SINAPI MAIO 2020'!$1:$1048576,3,0),IFERROR(VLOOKUP($C472,'6-COMP. PROPRIA'!$B$1:$I$808,5,0),""))</f>
        <v/>
      </c>
      <c r="M472" s="104"/>
      <c r="N472" s="105"/>
    </row>
    <row r="473" spans="2:14" ht="17.25" customHeight="1" thickBot="1">
      <c r="B473" s="164"/>
      <c r="C473" s="20"/>
      <c r="D473" s="20"/>
      <c r="E473" s="258"/>
      <c r="F473" s="259"/>
      <c r="G473" s="312"/>
      <c r="H473" s="312"/>
      <c r="I473" s="45"/>
      <c r="J473" s="120"/>
      <c r="K473" s="211"/>
      <c r="L473" s="239" t="str">
        <f>IFERROR(VLOOKUP($C473,'SINAPI MAIO 2020'!$1:$1048576,3,0),IFERROR(VLOOKUP($C473,'6-COMP. PROPRIA'!$B$1:$I$808,5,0),""))</f>
        <v/>
      </c>
      <c r="M473" s="104"/>
      <c r="N473" s="105"/>
    </row>
    <row r="474" spans="2:14" ht="17.25" customHeight="1" thickBot="1">
      <c r="B474" s="171"/>
      <c r="C474" s="93"/>
      <c r="D474" s="279"/>
      <c r="E474" s="674" t="s">
        <v>4702</v>
      </c>
      <c r="F474" s="675"/>
      <c r="G474" s="675"/>
      <c r="H474" s="675"/>
      <c r="I474" s="675"/>
      <c r="J474" s="676"/>
      <c r="K474" s="210"/>
      <c r="L474" s="239" t="str">
        <f>IFERROR(VLOOKUP($C474,'SINAPI MAIO 2020'!$1:$1048576,3,0),IFERROR(VLOOKUP($C474,'6-COMP. PROPRIA'!$B$1:$I$808,5,0),""))</f>
        <v/>
      </c>
      <c r="M474" s="94"/>
      <c r="N474" s="109"/>
    </row>
    <row r="475" spans="2:14" ht="17.25" customHeight="1">
      <c r="B475" s="164"/>
      <c r="C475" s="20"/>
      <c r="D475" s="20"/>
      <c r="E475" s="115"/>
      <c r="F475" s="45"/>
      <c r="G475" s="45"/>
      <c r="H475" s="45"/>
      <c r="I475" s="45"/>
      <c r="J475" s="120"/>
      <c r="K475" s="215"/>
      <c r="L475" s="239" t="str">
        <f>IFERROR(VLOOKUP($C475,'SINAPI MAIO 2020'!$1:$1048576,3,0),IFERROR(VLOOKUP($C475,'6-COMP. PROPRIA'!$B$1:$I$808,5,0),""))</f>
        <v/>
      </c>
      <c r="M475" s="94"/>
      <c r="N475" s="59"/>
    </row>
    <row r="476" spans="2:14" ht="32.25" customHeight="1">
      <c r="B476" s="164"/>
      <c r="C476" s="275">
        <v>84191</v>
      </c>
      <c r="D476" s="275" t="s">
        <v>8</v>
      </c>
      <c r="E476" s="668" t="str">
        <f>IFERROR(VLOOKUP($C476,'SINAPI MAIO 2020'!$1:$1048576,2,0),IFERROR(VLOOKUP($C476,'6-COMP. PROPRIA'!$B$28:$I$808,4,0),""))</f>
        <v>PISO EM GRANILITE, MARMORITE OU GRANITINA ESPESSURA 8 MM, INCLUSO JUNTAS DE DILATACAO PLASTICAS</v>
      </c>
      <c r="F476" s="669"/>
      <c r="G476" s="669"/>
      <c r="H476" s="669"/>
      <c r="I476" s="669"/>
      <c r="J476" s="670"/>
      <c r="K476" s="212">
        <f>SUM(K478:K482)</f>
        <v>374.32</v>
      </c>
      <c r="L476" s="239" t="str">
        <f>IFERROR(VLOOKUP($C476,'SINAPI MAIO 2020'!$1:$1048576,3,0),IFERROR(VLOOKUP($C476,'6-COMP. PROPRIA'!$B$1:$I$808,5,0),""))</f>
        <v>M2</v>
      </c>
      <c r="M476" s="104"/>
      <c r="N476" s="105"/>
    </row>
    <row r="477" spans="2:14" ht="17.25" customHeight="1">
      <c r="B477" s="164"/>
      <c r="C477" s="20"/>
      <c r="D477" s="20"/>
      <c r="E477" s="75" t="s">
        <v>963</v>
      </c>
      <c r="F477" s="309" t="s">
        <v>962</v>
      </c>
      <c r="G477" s="45"/>
      <c r="H477" s="45"/>
      <c r="I477" s="45"/>
      <c r="J477" s="120"/>
      <c r="K477" s="215"/>
      <c r="L477" s="239" t="str">
        <f>IFERROR(VLOOKUP($C477,'SINAPI MAIO 2020'!$1:$1048576,3,0),IFERROR(VLOOKUP($C477,'6-COMP. PROPRIA'!$B$1:$I$808,5,0),""))</f>
        <v/>
      </c>
      <c r="M477" s="104"/>
      <c r="N477" s="105"/>
    </row>
    <row r="478" spans="2:14" ht="17.25" customHeight="1">
      <c r="B478" s="164" t="s">
        <v>6091</v>
      </c>
      <c r="C478" s="20"/>
      <c r="D478" s="20"/>
      <c r="E478" s="73">
        <f>16+12.33</f>
        <v>28.33</v>
      </c>
      <c r="F478" s="63">
        <v>1</v>
      </c>
      <c r="G478" s="45"/>
      <c r="H478" s="45"/>
      <c r="I478" s="45"/>
      <c r="J478" s="120"/>
      <c r="K478" s="62">
        <f>E478*F478</f>
        <v>28.33</v>
      </c>
      <c r="L478" s="239" t="str">
        <f>IFERROR(VLOOKUP($C478,'SINAPI MAIO 2020'!$1:$1048576,3,0),IFERROR(VLOOKUP($C478,'6-COMP. PROPRIA'!$B$1:$I$808,5,0),""))</f>
        <v/>
      </c>
      <c r="M478" s="104"/>
      <c r="N478" s="105"/>
    </row>
    <row r="479" spans="2:14" ht="17.25" customHeight="1">
      <c r="B479" s="164" t="s">
        <v>6122</v>
      </c>
      <c r="C479" s="20"/>
      <c r="D479" s="20"/>
      <c r="E479" s="73">
        <f>139.21+10.64</f>
        <v>149.85000000000002</v>
      </c>
      <c r="F479" s="63">
        <v>1</v>
      </c>
      <c r="G479" s="45"/>
      <c r="H479" s="45"/>
      <c r="I479" s="45"/>
      <c r="J479" s="120"/>
      <c r="K479" s="62">
        <f>E479*F479</f>
        <v>149.85000000000002</v>
      </c>
      <c r="L479" s="239" t="str">
        <f>IFERROR(VLOOKUP($C479,'SINAPI MAIO 2020'!$1:$1048576,3,0),IFERROR(VLOOKUP($C479,'6-COMP. PROPRIA'!$B$1:$I$808,5,0),""))</f>
        <v/>
      </c>
      <c r="M479" s="104"/>
      <c r="N479" s="105"/>
    </row>
    <row r="480" spans="2:14" ht="17.25" customHeight="1">
      <c r="B480" s="164" t="s">
        <v>6172</v>
      </c>
      <c r="C480" s="20"/>
      <c r="D480" s="20"/>
      <c r="E480" s="73">
        <f>13.61+23.94+6.68</f>
        <v>44.23</v>
      </c>
      <c r="F480" s="63">
        <v>1</v>
      </c>
      <c r="G480" s="45"/>
      <c r="H480" s="45"/>
      <c r="I480" s="45"/>
      <c r="J480" s="120"/>
      <c r="K480" s="62">
        <f t="shared" ref="K480:K482" si="22">E480*F480</f>
        <v>44.23</v>
      </c>
      <c r="L480" s="239" t="str">
        <f>IFERROR(VLOOKUP($C480,'SINAPI MAIO 2020'!$1:$1048576,3,0),IFERROR(VLOOKUP($C480,'6-COMP. PROPRIA'!$B$1:$I$808,5,0),""))</f>
        <v/>
      </c>
      <c r="M480" s="104"/>
      <c r="N480" s="105"/>
    </row>
    <row r="481" spans="2:14" ht="17.25" customHeight="1">
      <c r="B481" s="164" t="s">
        <v>6094</v>
      </c>
      <c r="C481" s="20"/>
      <c r="D481" s="20"/>
      <c r="E481" s="73">
        <v>109.15</v>
      </c>
      <c r="F481" s="63">
        <v>1</v>
      </c>
      <c r="G481" s="45"/>
      <c r="H481" s="45"/>
      <c r="I481" s="45"/>
      <c r="J481" s="120"/>
      <c r="K481" s="62">
        <f t="shared" si="22"/>
        <v>109.15</v>
      </c>
      <c r="L481" s="239" t="str">
        <f>IFERROR(VLOOKUP($C481,'SINAPI MAIO 2020'!$1:$1048576,3,0),IFERROR(VLOOKUP($C481,'6-COMP. PROPRIA'!$B$1:$I$808,5,0),""))</f>
        <v/>
      </c>
      <c r="M481" s="104"/>
      <c r="N481" s="105"/>
    </row>
    <row r="482" spans="2:14" ht="17.25" customHeight="1">
      <c r="B482" s="164" t="s">
        <v>6173</v>
      </c>
      <c r="C482" s="20"/>
      <c r="D482" s="20"/>
      <c r="E482" s="73">
        <v>42.76</v>
      </c>
      <c r="F482" s="63">
        <v>1</v>
      </c>
      <c r="G482" s="312"/>
      <c r="H482" s="312"/>
      <c r="I482" s="312"/>
      <c r="J482" s="103"/>
      <c r="K482" s="62">
        <f t="shared" si="22"/>
        <v>42.76</v>
      </c>
      <c r="L482" s="239" t="str">
        <f>IFERROR(VLOOKUP($C482,'SINAPI MAIO 2020'!$1:$1048576,3,0),IFERROR(VLOOKUP($C482,'6-COMP. PROPRIA'!$B$1:$I$808,5,0),""))</f>
        <v/>
      </c>
      <c r="M482" s="104"/>
      <c r="N482" s="105"/>
    </row>
    <row r="483" spans="2:14" ht="17.25" customHeight="1">
      <c r="B483" s="164"/>
      <c r="C483" s="20"/>
      <c r="D483" s="20"/>
      <c r="E483" s="238"/>
      <c r="F483" s="312"/>
      <c r="G483" s="312"/>
      <c r="H483" s="312"/>
      <c r="I483" s="312"/>
      <c r="J483" s="103"/>
      <c r="K483" s="211"/>
      <c r="L483" s="239" t="str">
        <f>IFERROR(VLOOKUP($C483,'SINAPI MAIO 2020'!$1:$1048576,3,0),IFERROR(VLOOKUP($C483,'6-COMP. PROPRIA'!$B$1:$I$808,5,0),""))</f>
        <v/>
      </c>
      <c r="M483" s="104"/>
      <c r="N483" s="105"/>
    </row>
    <row r="484" spans="2:14" ht="17.25" customHeight="1">
      <c r="B484" s="164"/>
      <c r="C484" s="275">
        <v>95241</v>
      </c>
      <c r="D484" s="275" t="s">
        <v>8</v>
      </c>
      <c r="E484" s="668" t="str">
        <f>IFERROR(VLOOKUP($C484,'SINAPI MAIO 2020'!$1:$1048576,2,0),IFERROR(VLOOKUP($C484,'6-COMP. PROPRIA'!$B$28:$I$808,4,0),""))</f>
        <v>LASTRO DE CONCRETO MAGRO, APLICADO EM PISOS OU RADIERS, ESPESSURA DE 5 CM. AF_07/2016</v>
      </c>
      <c r="F484" s="669"/>
      <c r="G484" s="669"/>
      <c r="H484" s="669"/>
      <c r="I484" s="669"/>
      <c r="J484" s="670"/>
      <c r="K484" s="212">
        <f>SUM(K486:K490)</f>
        <v>222.41</v>
      </c>
      <c r="L484" s="239" t="str">
        <f>IFERROR(VLOOKUP($C484,'SINAPI MAIO 2020'!$1:$1048576,3,0),IFERROR(VLOOKUP($C484,'6-COMP. PROPRIA'!$B$1:$I$808,5,0),""))</f>
        <v>M2</v>
      </c>
      <c r="M484" s="104"/>
      <c r="N484" s="105"/>
    </row>
    <row r="485" spans="2:14" ht="17.25" customHeight="1">
      <c r="B485" s="164"/>
      <c r="C485" s="20"/>
      <c r="D485" s="20"/>
      <c r="E485" s="75" t="s">
        <v>963</v>
      </c>
      <c r="F485" s="309" t="s">
        <v>962</v>
      </c>
      <c r="G485" s="57" t="s">
        <v>4692</v>
      </c>
      <c r="H485" s="307"/>
      <c r="I485" s="307"/>
      <c r="J485" s="308"/>
      <c r="K485" s="212"/>
      <c r="L485" s="239" t="str">
        <f>IFERROR(VLOOKUP($C485,'SINAPI MAIO 2020'!$1:$1048576,3,0),IFERROR(VLOOKUP($C485,'6-COMP. PROPRIA'!$B$1:$I$808,5,0),""))</f>
        <v/>
      </c>
      <c r="M485" s="104"/>
      <c r="N485" s="105"/>
    </row>
    <row r="486" spans="2:14" ht="17.25" customHeight="1">
      <c r="B486" s="164" t="s">
        <v>6091</v>
      </c>
      <c r="C486" s="20"/>
      <c r="D486" s="20"/>
      <c r="E486" s="73">
        <f>16+12.33</f>
        <v>28.33</v>
      </c>
      <c r="F486" s="63">
        <v>1</v>
      </c>
      <c r="G486" s="66">
        <v>1</v>
      </c>
      <c r="H486" s="307"/>
      <c r="I486" s="307"/>
      <c r="J486" s="308"/>
      <c r="K486" s="62">
        <f>E486*F486*G486</f>
        <v>28.33</v>
      </c>
      <c r="L486" s="239" t="str">
        <f>IFERROR(VLOOKUP($C486,'SINAPI MAIO 2020'!$1:$1048576,3,0),IFERROR(VLOOKUP($C486,'6-COMP. PROPRIA'!$B$1:$I$808,5,0),""))</f>
        <v/>
      </c>
      <c r="M486" s="104"/>
      <c r="N486" s="105"/>
    </row>
    <row r="487" spans="2:14" ht="17.25" customHeight="1">
      <c r="B487" s="164" t="s">
        <v>6122</v>
      </c>
      <c r="C487" s="20"/>
      <c r="D487" s="20"/>
      <c r="E487" s="73">
        <f>139.21+10.64</f>
        <v>149.85000000000002</v>
      </c>
      <c r="F487" s="63">
        <v>1</v>
      </c>
      <c r="G487" s="66">
        <v>1</v>
      </c>
      <c r="H487" s="307"/>
      <c r="I487" s="307"/>
      <c r="J487" s="308"/>
      <c r="K487" s="62">
        <f t="shared" ref="K487:K490" si="23">E487*F487*G487</f>
        <v>149.85000000000002</v>
      </c>
      <c r="L487" s="239" t="str">
        <f>IFERROR(VLOOKUP($C487,'SINAPI MAIO 2020'!$1:$1048576,3,0),IFERROR(VLOOKUP($C487,'6-COMP. PROPRIA'!$B$1:$I$808,5,0),""))</f>
        <v/>
      </c>
      <c r="M487" s="104"/>
      <c r="N487" s="105"/>
    </row>
    <row r="488" spans="2:14" ht="17.25" customHeight="1">
      <c r="B488" s="164" t="s">
        <v>6172</v>
      </c>
      <c r="C488" s="20"/>
      <c r="D488" s="20"/>
      <c r="E488" s="73">
        <f>13.61+23.94+6.68</f>
        <v>44.23</v>
      </c>
      <c r="F488" s="63">
        <v>1</v>
      </c>
      <c r="G488" s="66">
        <v>1</v>
      </c>
      <c r="H488" s="307"/>
      <c r="I488" s="307"/>
      <c r="J488" s="308"/>
      <c r="K488" s="62">
        <f t="shared" si="23"/>
        <v>44.23</v>
      </c>
      <c r="L488" s="239" t="str">
        <f>IFERROR(VLOOKUP($C488,'SINAPI MAIO 2020'!$1:$1048576,3,0),IFERROR(VLOOKUP($C488,'6-COMP. PROPRIA'!$B$1:$I$808,5,0),""))</f>
        <v/>
      </c>
      <c r="M488" s="104"/>
      <c r="N488" s="105"/>
    </row>
    <row r="489" spans="2:14" ht="17.25" customHeight="1">
      <c r="B489" s="164"/>
      <c r="C489" s="20"/>
      <c r="D489" s="20"/>
      <c r="E489" s="73"/>
      <c r="F489" s="63"/>
      <c r="G489" s="66"/>
      <c r="H489" s="307"/>
      <c r="I489" s="307"/>
      <c r="J489" s="308"/>
      <c r="K489" s="62">
        <f t="shared" si="23"/>
        <v>0</v>
      </c>
      <c r="L489" s="239" t="str">
        <f>IFERROR(VLOOKUP($C489,'SINAPI MAIO 2020'!$1:$1048576,3,0),IFERROR(VLOOKUP($C489,'6-COMP. PROPRIA'!$B$1:$I$808,5,0),""))</f>
        <v/>
      </c>
      <c r="M489" s="104"/>
      <c r="N489" s="105"/>
    </row>
    <row r="490" spans="2:14" ht="17.25" customHeight="1">
      <c r="B490" s="164"/>
      <c r="C490" s="20"/>
      <c r="D490" s="20"/>
      <c r="E490" s="73"/>
      <c r="F490" s="63"/>
      <c r="G490" s="66"/>
      <c r="H490" s="307"/>
      <c r="I490" s="307"/>
      <c r="J490" s="308"/>
      <c r="K490" s="62">
        <f t="shared" si="23"/>
        <v>0</v>
      </c>
      <c r="L490" s="239" t="str">
        <f>IFERROR(VLOOKUP($C490,'SINAPI MAIO 2020'!$1:$1048576,3,0),IFERROR(VLOOKUP($C490,'6-COMP. PROPRIA'!$B$1:$I$808,5,0),""))</f>
        <v/>
      </c>
      <c r="M490" s="104"/>
      <c r="N490" s="105"/>
    </row>
    <row r="491" spans="2:14" ht="17.25" customHeight="1">
      <c r="B491" s="164"/>
      <c r="C491" s="20"/>
      <c r="D491" s="20"/>
      <c r="E491" s="73">
        <v>0</v>
      </c>
      <c r="F491" s="63">
        <v>0</v>
      </c>
      <c r="G491" s="66">
        <v>0</v>
      </c>
      <c r="H491" s="307"/>
      <c r="I491" s="307"/>
      <c r="J491" s="308"/>
      <c r="K491" s="62">
        <f>E491*F491*G491</f>
        <v>0</v>
      </c>
      <c r="L491" s="239" t="str">
        <f>IFERROR(VLOOKUP($C491,'SINAPI MAIO 2020'!$1:$1048576,3,0),IFERROR(VLOOKUP($C491,'6-COMP. PROPRIA'!$B$1:$I$808,5,0),""))</f>
        <v/>
      </c>
      <c r="M491" s="104"/>
      <c r="N491" s="105"/>
    </row>
    <row r="492" spans="2:14" ht="17.25" customHeight="1">
      <c r="B492" s="164"/>
      <c r="C492" s="20"/>
      <c r="D492" s="20"/>
      <c r="E492" s="238"/>
      <c r="F492" s="312"/>
      <c r="G492" s="312"/>
      <c r="H492" s="312"/>
      <c r="I492" s="312"/>
      <c r="J492" s="103"/>
      <c r="K492" s="211"/>
      <c r="L492" s="239" t="str">
        <f>IFERROR(VLOOKUP($C492,'SINAPI MAIO 2020'!$1:$1048576,3,0),IFERROR(VLOOKUP($C492,'6-COMP. PROPRIA'!$B$1:$I$808,5,0),""))</f>
        <v/>
      </c>
      <c r="M492" s="104"/>
      <c r="N492" s="105"/>
    </row>
    <row r="493" spans="2:14" ht="17.25" customHeight="1">
      <c r="B493" s="164"/>
      <c r="C493" s="20"/>
      <c r="D493" s="20"/>
      <c r="E493" s="238"/>
      <c r="F493" s="312"/>
      <c r="G493" s="312"/>
      <c r="H493" s="312"/>
      <c r="I493" s="312"/>
      <c r="J493" s="103"/>
      <c r="K493" s="211"/>
      <c r="L493" s="239" t="str">
        <f>IFERROR(VLOOKUP($C493,'SINAPI MAIO 2020'!$1:$1048576,3,0),IFERROR(VLOOKUP($C493,'6-COMP. PROPRIA'!$B$1:$I$808,5,0),""))</f>
        <v/>
      </c>
      <c r="M493" s="104"/>
      <c r="N493" s="105"/>
    </row>
    <row r="494" spans="2:14" ht="37.5" customHeight="1">
      <c r="B494" s="164"/>
      <c r="C494" s="275">
        <v>87640</v>
      </c>
      <c r="D494" s="275" t="s">
        <v>8</v>
      </c>
      <c r="E494" s="668" t="str">
        <f>IFERROR(VLOOKUP($C494,'SINAPI MAIO 2020'!$1:$1048576,2,0),IFERROR(VLOOKUP($C494,'6-COMP. PROPRIA'!$B$28:$I$808,4,0),""))</f>
        <v>CONTRAPISO EM ARGAMASSA TRAÇO 1:4 (CIMENTO E AREIA), PREPARO MECÂNICO COM BETONEIRA 400 L, APLICADO EM ÁREAS SECAS SOBRE LAJE, ADERIDO, ESPESSURA 4CM. AF_06/2014</v>
      </c>
      <c r="F494" s="669"/>
      <c r="G494" s="669"/>
      <c r="H494" s="669"/>
      <c r="I494" s="669"/>
      <c r="J494" s="670"/>
      <c r="K494" s="212">
        <f>K484</f>
        <v>222.41</v>
      </c>
      <c r="L494" s="239" t="str">
        <f>IFERROR(VLOOKUP($C494,'SINAPI MAIO 2020'!$1:$1048576,3,0),IFERROR(VLOOKUP($C494,'6-COMP. PROPRIA'!$B$1:$I$808,5,0),""))</f>
        <v>M2</v>
      </c>
      <c r="M494" s="104"/>
      <c r="N494" s="105"/>
    </row>
    <row r="495" spans="2:14" ht="17.25" customHeight="1">
      <c r="B495" s="164" t="s">
        <v>6091</v>
      </c>
      <c r="C495" s="20"/>
      <c r="D495" s="20"/>
      <c r="E495" s="73">
        <f>16+12.33</f>
        <v>28.33</v>
      </c>
      <c r="F495" s="63">
        <v>1</v>
      </c>
      <c r="G495" s="312"/>
      <c r="H495" s="312"/>
      <c r="I495" s="312"/>
      <c r="J495" s="103"/>
      <c r="K495" s="211"/>
      <c r="L495" s="239" t="str">
        <f>IFERROR(VLOOKUP($C495,'SINAPI MAIO 2020'!$1:$1048576,3,0),IFERROR(VLOOKUP($C495,'6-COMP. PROPRIA'!$B$1:$I$808,5,0),""))</f>
        <v/>
      </c>
      <c r="M495" s="104"/>
      <c r="N495" s="105"/>
    </row>
    <row r="496" spans="2:14" ht="17.25" customHeight="1">
      <c r="B496" s="164" t="s">
        <v>6122</v>
      </c>
      <c r="C496" s="20"/>
      <c r="D496" s="20"/>
      <c r="E496" s="73">
        <f>139.21+10.64</f>
        <v>149.85000000000002</v>
      </c>
      <c r="F496" s="63">
        <v>1</v>
      </c>
      <c r="G496" s="312"/>
      <c r="H496" s="312"/>
      <c r="I496" s="312"/>
      <c r="J496" s="103"/>
      <c r="K496" s="211"/>
      <c r="L496" s="239" t="str">
        <f>IFERROR(VLOOKUP($C496,'SINAPI MAIO 2020'!$1:$1048576,3,0),IFERROR(VLOOKUP($C496,'6-COMP. PROPRIA'!$B$1:$I$808,5,0),""))</f>
        <v/>
      </c>
      <c r="M496" s="104"/>
      <c r="N496" s="105"/>
    </row>
    <row r="497" spans="2:14" ht="17.25" customHeight="1">
      <c r="B497" s="164" t="s">
        <v>6172</v>
      </c>
      <c r="C497" s="20"/>
      <c r="D497" s="20"/>
      <c r="E497" s="73">
        <f>13.61+23.94+6.68</f>
        <v>44.23</v>
      </c>
      <c r="F497" s="63">
        <v>1</v>
      </c>
      <c r="G497" s="312"/>
      <c r="H497" s="312"/>
      <c r="I497" s="312"/>
      <c r="J497" s="103"/>
      <c r="K497" s="211"/>
      <c r="L497" s="239" t="str">
        <f>IFERROR(VLOOKUP($C497,'SINAPI MAIO 2020'!$1:$1048576,3,0),IFERROR(VLOOKUP($C497,'6-COMP. PROPRIA'!$B$1:$I$808,5,0),""))</f>
        <v/>
      </c>
      <c r="M497" s="104"/>
      <c r="N497" s="105"/>
    </row>
    <row r="498" spans="2:14" ht="17.25" customHeight="1">
      <c r="B498" s="164"/>
      <c r="C498" s="20"/>
      <c r="D498" s="20"/>
      <c r="E498" s="238"/>
      <c r="F498" s="312"/>
      <c r="G498" s="312"/>
      <c r="H498" s="312"/>
      <c r="I498" s="312"/>
      <c r="J498" s="103"/>
      <c r="K498" s="211"/>
      <c r="L498" s="239" t="str">
        <f>IFERROR(VLOOKUP($C498,'SINAPI MAIO 2020'!$1:$1048576,3,0),IFERROR(VLOOKUP($C498,'6-COMP. PROPRIA'!$B$1:$I$808,5,0),""))</f>
        <v/>
      </c>
      <c r="M498" s="104"/>
      <c r="N498" s="105"/>
    </row>
    <row r="499" spans="2:14" ht="17.25" customHeight="1">
      <c r="B499" s="164"/>
      <c r="C499" s="20"/>
      <c r="D499" s="20"/>
      <c r="E499" s="238"/>
      <c r="F499" s="312"/>
      <c r="G499" s="312"/>
      <c r="H499" s="312"/>
      <c r="I499" s="312"/>
      <c r="J499" s="103"/>
      <c r="K499" s="211"/>
      <c r="L499" s="239" t="str">
        <f>IFERROR(VLOOKUP($C499,'SINAPI MAIO 2020'!$1:$1048576,3,0),IFERROR(VLOOKUP($C499,'6-COMP. PROPRIA'!$B$1:$I$808,5,0),""))</f>
        <v/>
      </c>
      <c r="M499" s="104"/>
      <c r="N499" s="105"/>
    </row>
    <row r="500" spans="2:14" ht="44.25" customHeight="1">
      <c r="B500" s="164"/>
      <c r="C500" s="275">
        <v>87257</v>
      </c>
      <c r="D500" s="275" t="s">
        <v>8</v>
      </c>
      <c r="E500" s="668" t="str">
        <f>IFERROR(VLOOKUP($C500,'SINAPI MAIO 2020'!$1:$1048576,2,0),IFERROR(VLOOKUP($C500,'6-COMP. PROPRIA'!$B$28:$I$808,4,0),""))</f>
        <v>REVESTIMENTO CERÂMICO PARA PISO COM PLACAS TIPO ESMALTADA EXTRA DE DIMENSÕES 60X60 CM APLICADA EM AMBIENTES DE ÁREA MAIOR QUE 10 M2. AF_06/2014</v>
      </c>
      <c r="F500" s="669"/>
      <c r="G500" s="669"/>
      <c r="H500" s="669"/>
      <c r="I500" s="669"/>
      <c r="J500" s="670"/>
      <c r="K500" s="212">
        <f>SUM(K502:K508)</f>
        <v>64.900000000000006</v>
      </c>
      <c r="L500" s="239" t="str">
        <f>IFERROR(VLOOKUP($C500,'SINAPI MAIO 2020'!$1:$1048576,3,0),IFERROR(VLOOKUP($C500,'6-COMP. PROPRIA'!$B$1:$I$808,5,0),""))</f>
        <v>M2</v>
      </c>
      <c r="M500" s="104"/>
      <c r="N500" s="105"/>
    </row>
    <row r="501" spans="2:14" ht="17.25" customHeight="1">
      <c r="B501" s="175"/>
      <c r="C501" s="20"/>
      <c r="D501" s="20"/>
      <c r="E501" s="75" t="s">
        <v>963</v>
      </c>
      <c r="F501" s="309" t="s">
        <v>962</v>
      </c>
      <c r="G501" s="57" t="s">
        <v>4692</v>
      </c>
      <c r="H501" s="45"/>
      <c r="I501" s="45"/>
      <c r="J501" s="120"/>
      <c r="K501" s="215"/>
      <c r="L501" s="239" t="str">
        <f>IFERROR(VLOOKUP($C501,'SINAPI MAIO 2020'!$1:$1048576,3,0),IFERROR(VLOOKUP($C501,'6-COMP. PROPRIA'!$B$1:$I$808,5,0),""))</f>
        <v/>
      </c>
      <c r="M501" s="104"/>
      <c r="N501" s="105"/>
    </row>
    <row r="502" spans="2:14" ht="17.25" customHeight="1">
      <c r="B502" s="164" t="s">
        <v>6101</v>
      </c>
      <c r="C502" s="20"/>
      <c r="D502" s="20"/>
      <c r="E502" s="73">
        <v>8.5299999999999994</v>
      </c>
      <c r="F502" s="63">
        <v>1</v>
      </c>
      <c r="G502" s="63">
        <v>1</v>
      </c>
      <c r="H502" s="45"/>
      <c r="I502" s="45"/>
      <c r="J502" s="120"/>
      <c r="K502" s="62">
        <f>E502*F502*G502</f>
        <v>8.5299999999999994</v>
      </c>
      <c r="L502" s="239" t="str">
        <f>IFERROR(VLOOKUP($C502,'SINAPI MAIO 2020'!$1:$1048576,3,0),IFERROR(VLOOKUP($C502,'6-COMP. PROPRIA'!$B$1:$I$808,5,0),""))</f>
        <v/>
      </c>
      <c r="M502" s="104"/>
      <c r="N502" s="105"/>
    </row>
    <row r="503" spans="2:14" ht="17.25" customHeight="1">
      <c r="B503" s="164" t="s">
        <v>6061</v>
      </c>
      <c r="C503" s="20"/>
      <c r="D503" s="20"/>
      <c r="E503" s="73">
        <v>8.5299999999999994</v>
      </c>
      <c r="F503" s="63">
        <v>1</v>
      </c>
      <c r="G503" s="63">
        <v>1</v>
      </c>
      <c r="H503" s="45"/>
      <c r="I503" s="45"/>
      <c r="J503" s="120"/>
      <c r="K503" s="62">
        <f t="shared" ref="K503:K508" si="24">E503*F503*G503</f>
        <v>8.5299999999999994</v>
      </c>
      <c r="L503" s="239" t="str">
        <f>IFERROR(VLOOKUP($C503,'SINAPI MAIO 2020'!$1:$1048576,3,0),IFERROR(VLOOKUP($C503,'6-COMP. PROPRIA'!$B$1:$I$808,5,0),""))</f>
        <v/>
      </c>
      <c r="M503" s="104"/>
      <c r="N503" s="105"/>
    </row>
    <row r="504" spans="2:14" ht="17.25" customHeight="1">
      <c r="B504" s="164" t="s">
        <v>6102</v>
      </c>
      <c r="C504" s="20"/>
      <c r="D504" s="20"/>
      <c r="E504" s="73">
        <v>3.83</v>
      </c>
      <c r="F504" s="63">
        <v>1</v>
      </c>
      <c r="G504" s="63">
        <v>1</v>
      </c>
      <c r="H504" s="45"/>
      <c r="I504" s="45"/>
      <c r="J504" s="120"/>
      <c r="K504" s="62">
        <f t="shared" si="24"/>
        <v>3.83</v>
      </c>
      <c r="L504" s="239" t="str">
        <f>IFERROR(VLOOKUP($C504,'SINAPI MAIO 2020'!$1:$1048576,3,0),IFERROR(VLOOKUP($C504,'6-COMP. PROPRIA'!$B$1:$I$808,5,0),""))</f>
        <v/>
      </c>
      <c r="M504" s="104"/>
      <c r="N504" s="105"/>
    </row>
    <row r="505" spans="2:14" ht="17.25" customHeight="1">
      <c r="B505" s="164" t="s">
        <v>6103</v>
      </c>
      <c r="C505" s="20"/>
      <c r="D505" s="20"/>
      <c r="E505" s="73">
        <v>2.4</v>
      </c>
      <c r="F505" s="63">
        <v>1</v>
      </c>
      <c r="G505" s="63">
        <v>1</v>
      </c>
      <c r="H505" s="45"/>
      <c r="I505" s="45"/>
      <c r="J505" s="120"/>
      <c r="K505" s="62">
        <f t="shared" si="24"/>
        <v>2.4</v>
      </c>
      <c r="L505" s="239" t="str">
        <f>IFERROR(VLOOKUP($C505,'SINAPI MAIO 2020'!$1:$1048576,3,0),IFERROR(VLOOKUP($C505,'6-COMP. PROPRIA'!$B$1:$I$808,5,0),""))</f>
        <v/>
      </c>
      <c r="M505" s="104"/>
      <c r="N505" s="105"/>
    </row>
    <row r="506" spans="2:14" ht="17.25" customHeight="1">
      <c r="B506" s="164" t="s">
        <v>6104</v>
      </c>
      <c r="C506" s="20"/>
      <c r="D506" s="20"/>
      <c r="E506" s="73">
        <v>2.98</v>
      </c>
      <c r="F506" s="63">
        <v>1</v>
      </c>
      <c r="G506" s="63">
        <v>1</v>
      </c>
      <c r="H506" s="45"/>
      <c r="I506" s="45"/>
      <c r="J506" s="120"/>
      <c r="K506" s="62">
        <f t="shared" si="24"/>
        <v>2.98</v>
      </c>
      <c r="L506" s="239" t="str">
        <f>IFERROR(VLOOKUP($C506,'SINAPI MAIO 2020'!$1:$1048576,3,0),IFERROR(VLOOKUP($C506,'6-COMP. PROPRIA'!$B$1:$I$808,5,0),""))</f>
        <v/>
      </c>
      <c r="M506" s="104"/>
      <c r="N506" s="105"/>
    </row>
    <row r="507" spans="2:14" ht="17.25" customHeight="1">
      <c r="B507" s="164" t="s">
        <v>6105</v>
      </c>
      <c r="C507" s="20"/>
      <c r="D507" s="20"/>
      <c r="E507" s="73">
        <v>2.63</v>
      </c>
      <c r="F507" s="63">
        <v>1</v>
      </c>
      <c r="G507" s="63">
        <v>1</v>
      </c>
      <c r="H507" s="45"/>
      <c r="I507" s="45"/>
      <c r="J507" s="120"/>
      <c r="K507" s="62">
        <f t="shared" si="24"/>
        <v>2.63</v>
      </c>
      <c r="L507" s="239" t="str">
        <f>IFERROR(VLOOKUP($C507,'SINAPI MAIO 2020'!$1:$1048576,3,0),IFERROR(VLOOKUP($C507,'6-COMP. PROPRIA'!$B$1:$I$808,5,0),""))</f>
        <v/>
      </c>
      <c r="M507" s="104"/>
      <c r="N507" s="105"/>
    </row>
    <row r="508" spans="2:14" ht="17.25" customHeight="1">
      <c r="B508" s="164" t="s">
        <v>7060</v>
      </c>
      <c r="C508" s="20"/>
      <c r="D508" s="20"/>
      <c r="E508" s="73">
        <v>36</v>
      </c>
      <c r="F508" s="63">
        <v>1</v>
      </c>
      <c r="G508" s="63">
        <v>1</v>
      </c>
      <c r="H508" s="45"/>
      <c r="I508" s="45"/>
      <c r="J508" s="120"/>
      <c r="K508" s="62">
        <f t="shared" si="24"/>
        <v>36</v>
      </c>
      <c r="L508" s="239" t="str">
        <f>IFERROR(VLOOKUP($C508,'SINAPI MAIO 2020'!$1:$1048576,3,0),IFERROR(VLOOKUP($C508,'6-COMP. PROPRIA'!$B$1:$I$808,5,0),""))</f>
        <v/>
      </c>
      <c r="M508" s="104"/>
      <c r="N508" s="105"/>
    </row>
    <row r="509" spans="2:14" ht="17.25" customHeight="1">
      <c r="B509" s="164"/>
      <c r="C509" s="20"/>
      <c r="D509" s="20"/>
      <c r="E509" s="238"/>
      <c r="F509" s="312"/>
      <c r="G509" s="312"/>
      <c r="H509" s="312"/>
      <c r="I509" s="312"/>
      <c r="J509" s="103"/>
      <c r="K509" s="211"/>
      <c r="L509" s="239" t="str">
        <f>IFERROR(VLOOKUP($C509,'SINAPI MAIO 2020'!$1:$1048576,3,0),IFERROR(VLOOKUP($C509,'6-COMP. PROPRIA'!$B$1:$I$808,5,0),""))</f>
        <v/>
      </c>
      <c r="M509" s="104"/>
      <c r="N509" s="105"/>
    </row>
    <row r="510" spans="2:14" s="142" customFormat="1" ht="33" customHeight="1">
      <c r="B510" s="168"/>
      <c r="C510" s="275">
        <v>88650</v>
      </c>
      <c r="D510" s="275" t="s">
        <v>8</v>
      </c>
      <c r="E510" s="668" t="str">
        <f>IFERROR(VLOOKUP($C510,'SINAPI MAIO 2020'!$1:$1048576,2,0),IFERROR(VLOOKUP($C510,'6-COMP. PROPRIA'!$B$28:$I$808,4,0),""))</f>
        <v>RODAPÉ CERÂMICO DE 7CM DE ALTURA COM PLACAS TIPO ESMALTADA EXTRA DE DIMENSÕES 60X60CM. AF_06/2014</v>
      </c>
      <c r="F510" s="669"/>
      <c r="G510" s="669"/>
      <c r="H510" s="669"/>
      <c r="I510" s="669"/>
      <c r="J510" s="670"/>
      <c r="K510" s="212">
        <f>SUM(K511:K514)</f>
        <v>259.64999999999998</v>
      </c>
      <c r="L510" s="239" t="str">
        <f>IFERROR(VLOOKUP($C510,'SINAPI MAIO 2020'!$1:$1048576,3,0),IFERROR(VLOOKUP($C510,'6-COMP. PROPRIA'!$B$1:$I$808,5,0),""))</f>
        <v>M</v>
      </c>
      <c r="M510" s="145"/>
      <c r="N510" s="146"/>
    </row>
    <row r="511" spans="2:14" s="142" customFormat="1" ht="17.25" customHeight="1">
      <c r="B511" s="168"/>
      <c r="C511" s="91"/>
      <c r="D511" s="91"/>
      <c r="E511" s="126"/>
      <c r="F511" s="49" t="s">
        <v>960</v>
      </c>
      <c r="G511" s="49"/>
      <c r="H511" s="49"/>
      <c r="I511" s="49"/>
      <c r="J511" s="119"/>
      <c r="K511" s="216"/>
      <c r="L511" s="239" t="str">
        <f>IFERROR(VLOOKUP($C511,'SINAPI MAIO 2020'!$1:$1048576,3,0),IFERROR(VLOOKUP($C511,'6-COMP. PROPRIA'!$B$1:$I$808,5,0),""))</f>
        <v/>
      </c>
      <c r="M511" s="145"/>
      <c r="N511" s="146"/>
    </row>
    <row r="512" spans="2:14" s="142" customFormat="1" ht="17.25" customHeight="1">
      <c r="B512" s="168"/>
      <c r="C512" s="91"/>
      <c r="D512" s="295"/>
      <c r="E512" s="126"/>
      <c r="F512" s="66">
        <f>68.63+13.2</f>
        <v>81.83</v>
      </c>
      <c r="G512" s="49"/>
      <c r="H512" s="49"/>
      <c r="I512" s="49"/>
      <c r="J512" s="119"/>
      <c r="K512" s="216">
        <f>F512</f>
        <v>81.83</v>
      </c>
      <c r="L512" s="239" t="str">
        <f>IFERROR(VLOOKUP($C512,'SINAPI MAIO 2020'!$1:$1048576,3,0),IFERROR(VLOOKUP($C512,'6-COMP. PROPRIA'!$B$1:$I$808,5,0),""))</f>
        <v/>
      </c>
      <c r="M512" s="145"/>
      <c r="N512" s="146"/>
    </row>
    <row r="513" spans="2:14" s="142" customFormat="1" ht="17.25" customHeight="1">
      <c r="B513" s="168" t="s">
        <v>6211</v>
      </c>
      <c r="C513" s="91"/>
      <c r="D513" s="295"/>
      <c r="E513" s="126"/>
      <c r="F513" s="63">
        <v>31.49</v>
      </c>
      <c r="G513" s="49"/>
      <c r="H513" s="49"/>
      <c r="I513" s="49"/>
      <c r="J513" s="119"/>
      <c r="K513" s="216">
        <f t="shared" ref="K513:K515" si="25">F513</f>
        <v>31.49</v>
      </c>
      <c r="L513" s="239" t="str">
        <f>IFERROR(VLOOKUP($C513,'SINAPI MAIO 2020'!$1:$1048576,3,0),IFERROR(VLOOKUP($C513,'6-COMP. PROPRIA'!$B$1:$I$808,5,0),""))</f>
        <v/>
      </c>
      <c r="M513" s="145"/>
      <c r="N513" s="146"/>
    </row>
    <row r="514" spans="2:14" s="142" customFormat="1" ht="17.25" customHeight="1">
      <c r="B514" s="168" t="s">
        <v>6125</v>
      </c>
      <c r="C514" s="91"/>
      <c r="D514" s="295"/>
      <c r="E514" s="126"/>
      <c r="F514" s="63">
        <f>18.71+15.62+15.94+27.92+25.92+27.82+14.4</f>
        <v>146.33000000000001</v>
      </c>
      <c r="G514" s="49"/>
      <c r="H514" s="49"/>
      <c r="I514" s="49"/>
      <c r="J514" s="119"/>
      <c r="K514" s="216">
        <f t="shared" si="25"/>
        <v>146.33000000000001</v>
      </c>
      <c r="L514" s="239" t="str">
        <f>IFERROR(VLOOKUP($C514,'SINAPI MAIO 2020'!$1:$1048576,3,0),IFERROR(VLOOKUP($C514,'6-COMP. PROPRIA'!$B$1:$I$808,5,0),""))</f>
        <v/>
      </c>
      <c r="M514" s="145"/>
      <c r="N514" s="146"/>
    </row>
    <row r="515" spans="2:14" s="142" customFormat="1" ht="17.25" customHeight="1">
      <c r="B515" s="168" t="s">
        <v>6210</v>
      </c>
      <c r="C515" s="91"/>
      <c r="D515" s="295"/>
      <c r="E515" s="126"/>
      <c r="F515" s="63"/>
      <c r="G515" s="49"/>
      <c r="H515" s="49"/>
      <c r="I515" s="49"/>
      <c r="J515" s="119"/>
      <c r="K515" s="216">
        <f t="shared" si="25"/>
        <v>0</v>
      </c>
      <c r="L515" s="239" t="str">
        <f>IFERROR(VLOOKUP($C515,'SINAPI MAIO 2020'!$1:$1048576,3,0),IFERROR(VLOOKUP($C515,'6-COMP. PROPRIA'!$B$1:$I$808,5,0),""))</f>
        <v/>
      </c>
      <c r="M515" s="145"/>
      <c r="N515" s="146"/>
    </row>
    <row r="516" spans="2:14" s="142" customFormat="1" ht="17.25" customHeight="1">
      <c r="B516" s="168"/>
      <c r="C516" s="91"/>
      <c r="D516" s="295"/>
      <c r="E516" s="126"/>
      <c r="F516" s="63"/>
      <c r="G516" s="49"/>
      <c r="H516" s="49"/>
      <c r="I516" s="49"/>
      <c r="J516" s="119"/>
      <c r="K516" s="216"/>
      <c r="L516" s="239" t="str">
        <f>IFERROR(VLOOKUP($C516,'SINAPI MAIO 2020'!$1:$1048576,3,0),IFERROR(VLOOKUP($C516,'6-COMP. PROPRIA'!$B$1:$I$808,5,0),""))</f>
        <v/>
      </c>
      <c r="M516" s="145"/>
      <c r="N516" s="146"/>
    </row>
    <row r="517" spans="2:14" s="142" customFormat="1" ht="17.25" customHeight="1">
      <c r="B517" s="168"/>
      <c r="C517" s="91"/>
      <c r="D517" s="295"/>
      <c r="E517" s="126"/>
      <c r="F517" s="63"/>
      <c r="G517" s="49"/>
      <c r="H517" s="49"/>
      <c r="I517" s="49"/>
      <c r="J517" s="119"/>
      <c r="K517" s="216"/>
      <c r="L517" s="239" t="str">
        <f>IFERROR(VLOOKUP($C517,'SINAPI MAIO 2020'!$1:$1048576,3,0),IFERROR(VLOOKUP($C517,'6-COMP. PROPRIA'!$B$1:$I$808,5,0),""))</f>
        <v/>
      </c>
      <c r="M517" s="145"/>
      <c r="N517" s="146"/>
    </row>
    <row r="518" spans="2:14" s="142" customFormat="1" ht="17.25" customHeight="1">
      <c r="B518" s="168"/>
      <c r="C518" s="91"/>
      <c r="D518" s="295"/>
      <c r="E518" s="126"/>
      <c r="F518" s="49"/>
      <c r="G518" s="49"/>
      <c r="H518" s="49"/>
      <c r="I518" s="49"/>
      <c r="J518" s="119"/>
      <c r="K518" s="216"/>
      <c r="L518" s="239" t="str">
        <f>IFERROR(VLOOKUP($C518,'SINAPI MAIO 2020'!$1:$1048576,3,0),IFERROR(VLOOKUP($C518,'6-COMP. PROPRIA'!$B$1:$I$808,5,0),""))</f>
        <v/>
      </c>
      <c r="M518" s="145"/>
      <c r="N518" s="146"/>
    </row>
    <row r="519" spans="2:14" ht="45" customHeight="1">
      <c r="B519" s="164"/>
      <c r="C519" s="275">
        <v>94992</v>
      </c>
      <c r="D519" s="275" t="s">
        <v>8</v>
      </c>
      <c r="E519" s="668" t="str">
        <f>IFERROR(VLOOKUP($C519,'SINAPI MAIO 2020'!$1:$1048576,2,0),IFERROR(VLOOKUP($C519,'6-COMP. PROPRIA'!$B$28:$I$808,4,0),""))</f>
        <v>EXECUÇÃO DE PASSEIO (CALÇADA) OU PISO DE CONCRETO COM CONCRETO MOLDADO IN LOCO, FEITO EM OBRA, ACABAMENTO CONVENCIONAL, ESPESSURA 6 CM, ARMADO. AF_07/2016</v>
      </c>
      <c r="F519" s="669"/>
      <c r="G519" s="669"/>
      <c r="H519" s="669"/>
      <c r="I519" s="669"/>
      <c r="J519" s="670"/>
      <c r="K519" s="212">
        <f>SUM(K521:K522)</f>
        <v>164.18</v>
      </c>
      <c r="L519" s="239" t="str">
        <f>IFERROR(VLOOKUP($C519,'SINAPI MAIO 2020'!$1:$1048576,3,0),IFERROR(VLOOKUP($C519,'6-COMP. PROPRIA'!$B$1:$I$808,5,0),""))</f>
        <v>M2</v>
      </c>
      <c r="M519" s="212">
        <f>K519*0.06</f>
        <v>9.8507999999999996</v>
      </c>
      <c r="N519" s="59" t="s">
        <v>41</v>
      </c>
    </row>
    <row r="520" spans="2:14" ht="17.25" customHeight="1">
      <c r="B520" s="175"/>
      <c r="C520" s="20"/>
      <c r="D520" s="20"/>
      <c r="E520" s="75" t="s">
        <v>960</v>
      </c>
      <c r="F520" s="309" t="s">
        <v>898</v>
      </c>
      <c r="G520" s="57" t="s">
        <v>4692</v>
      </c>
      <c r="H520" s="312"/>
      <c r="I520" s="312"/>
      <c r="J520" s="103"/>
      <c r="K520" s="212"/>
      <c r="L520" s="239" t="str">
        <f>IFERROR(VLOOKUP($C520,'SINAPI MAIO 2020'!$1:$1048576,3,0),IFERROR(VLOOKUP($C520,'6-COMP. PROPRIA'!$B$1:$I$808,5,0),""))</f>
        <v/>
      </c>
      <c r="M520" s="98"/>
      <c r="N520" s="59"/>
    </row>
    <row r="521" spans="2:14" ht="17.25" customHeight="1">
      <c r="B521" s="164" t="s">
        <v>6108</v>
      </c>
      <c r="C521" s="20"/>
      <c r="D521" s="20"/>
      <c r="E521" s="102">
        <v>116.84</v>
      </c>
      <c r="F521" s="63">
        <v>1</v>
      </c>
      <c r="G521" s="63">
        <v>1</v>
      </c>
      <c r="H521" s="312"/>
      <c r="I521" s="312"/>
      <c r="J521" s="103"/>
      <c r="K521" s="62">
        <f t="shared" ref="K521:K522" si="26">E521*F521*G521</f>
        <v>116.84</v>
      </c>
      <c r="L521" s="239" t="str">
        <f>IFERROR(VLOOKUP($C521,'SINAPI MAIO 2020'!$1:$1048576,3,0),IFERROR(VLOOKUP($C521,'6-COMP. PROPRIA'!$B$1:$I$808,5,0),""))</f>
        <v/>
      </c>
      <c r="M521" s="104"/>
      <c r="N521" s="105"/>
    </row>
    <row r="522" spans="2:14" ht="17.25" customHeight="1">
      <c r="B522" s="164" t="s">
        <v>6109</v>
      </c>
      <c r="C522" s="20"/>
      <c r="D522" s="20"/>
      <c r="E522" s="102">
        <v>47.34</v>
      </c>
      <c r="F522" s="63">
        <v>1</v>
      </c>
      <c r="G522" s="63">
        <v>1</v>
      </c>
      <c r="H522" s="312"/>
      <c r="I522" s="312"/>
      <c r="J522" s="103"/>
      <c r="K522" s="62">
        <f t="shared" si="26"/>
        <v>47.34</v>
      </c>
      <c r="L522" s="239" t="str">
        <f>IFERROR(VLOOKUP($C522,'SINAPI MAIO 2020'!$1:$1048576,3,0),IFERROR(VLOOKUP($C522,'6-COMP. PROPRIA'!$B$1:$I$808,5,0),""))</f>
        <v/>
      </c>
      <c r="M522" s="104"/>
      <c r="N522" s="105"/>
    </row>
    <row r="523" spans="2:14" ht="17.25" customHeight="1">
      <c r="B523" s="164"/>
      <c r="C523" s="20"/>
      <c r="D523" s="70"/>
      <c r="E523" s="238"/>
      <c r="F523" s="312"/>
      <c r="G523" s="312"/>
      <c r="H523" s="312"/>
      <c r="I523" s="312"/>
      <c r="J523" s="103"/>
      <c r="K523" s="211"/>
      <c r="L523" s="239" t="str">
        <f>IFERROR(VLOOKUP($C523,'SINAPI MAIO 2020'!$1:$1048576,3,0),IFERROR(VLOOKUP($C523,'6-COMP. PROPRIA'!$B$1:$I$808,5,0),""))</f>
        <v/>
      </c>
      <c r="M523" s="104"/>
      <c r="N523" s="105"/>
    </row>
    <row r="524" spans="2:14" ht="60" customHeight="1">
      <c r="B524" s="164"/>
      <c r="C524" s="275">
        <v>94267</v>
      </c>
      <c r="D524" s="275" t="s">
        <v>8</v>
      </c>
      <c r="E524" s="668" t="str">
        <f>IFERROR(VLOOKUP($C524,'SINAPI MAIO 2020'!$1:$1048576,2,0),IFERROR(VLOOKUP($C524,'6-COMP. PROPRIA'!$B$28:$I$808,4,0),""))</f>
        <v>GUIA (MEIO-FIO) E SARJETA CONJUGADOS DE CONCRETO, MOLDADA  IN LOCO  EM TRECHO RETO COM EXTRUSORA, 45 CM BASE (15 CM BASE DA GUIA + 30 CM BASE DA SARJETA) X 22 CM ALTURA. AF_06/2016</v>
      </c>
      <c r="F524" s="669"/>
      <c r="G524" s="669"/>
      <c r="H524" s="669"/>
      <c r="I524" s="669"/>
      <c r="J524" s="670"/>
      <c r="K524" s="212">
        <f>SUM(K526:K526)</f>
        <v>39.82</v>
      </c>
      <c r="L524" s="239" t="str">
        <f>IFERROR(VLOOKUP($C524,'SINAPI MAIO 2020'!$1:$1048576,3,0),IFERROR(VLOOKUP($C524,'6-COMP. PROPRIA'!$B$1:$I$808,5,0),""))</f>
        <v>M</v>
      </c>
      <c r="M524" s="104"/>
      <c r="N524" s="105"/>
    </row>
    <row r="525" spans="2:14" ht="17.25" customHeight="1">
      <c r="B525" s="175"/>
      <c r="C525" s="20"/>
      <c r="D525" s="70"/>
      <c r="E525" s="75" t="s">
        <v>901</v>
      </c>
      <c r="F525" s="309" t="s">
        <v>964</v>
      </c>
      <c r="G525" s="312"/>
      <c r="H525" s="312"/>
      <c r="I525" s="312"/>
      <c r="J525" s="103"/>
      <c r="K525" s="212"/>
      <c r="L525" s="239" t="str">
        <f>IFERROR(VLOOKUP($C525,'SINAPI MAIO 2020'!$1:$1048576,3,0),IFERROR(VLOOKUP($C525,'6-COMP. PROPRIA'!$B$1:$I$808,5,0),""))</f>
        <v/>
      </c>
      <c r="M525" s="104"/>
      <c r="N525" s="105"/>
    </row>
    <row r="526" spans="2:14" ht="17.25" customHeight="1">
      <c r="B526" s="164"/>
      <c r="C526" s="20"/>
      <c r="D526" s="20"/>
      <c r="E526" s="102">
        <v>39.82</v>
      </c>
      <c r="F526" s="63">
        <v>1</v>
      </c>
      <c r="G526" s="312"/>
      <c r="H526" s="312"/>
      <c r="I526" s="312"/>
      <c r="J526" s="103"/>
      <c r="K526" s="62">
        <f t="shared" ref="K526" si="27">E526*F526</f>
        <v>39.82</v>
      </c>
      <c r="L526" s="239" t="str">
        <f>IFERROR(VLOOKUP($C526,'SINAPI MAIO 2020'!$1:$1048576,3,0),IFERROR(VLOOKUP($C526,'6-COMP. PROPRIA'!$B$1:$I$808,5,0),""))</f>
        <v/>
      </c>
      <c r="M526" s="104"/>
      <c r="N526" s="105"/>
    </row>
    <row r="527" spans="2:14" ht="17.25" customHeight="1">
      <c r="B527" s="164"/>
      <c r="C527" s="20"/>
      <c r="D527" s="20"/>
      <c r="E527" s="238"/>
      <c r="F527" s="312"/>
      <c r="G527" s="312"/>
      <c r="H527" s="312"/>
      <c r="I527" s="312"/>
      <c r="J527" s="103"/>
      <c r="K527" s="62"/>
      <c r="L527" s="239" t="str">
        <f>IFERROR(VLOOKUP($C527,'SINAPI MAIO 2020'!$1:$1048576,3,0),IFERROR(VLOOKUP($C527,'6-COMP. PROPRIA'!$B$1:$I$808,5,0),""))</f>
        <v/>
      </c>
      <c r="M527" s="104"/>
      <c r="N527" s="105"/>
    </row>
    <row r="528" spans="2:14" ht="17.25" customHeight="1">
      <c r="B528" s="164"/>
      <c r="C528" s="20"/>
      <c r="D528" s="20"/>
      <c r="E528" s="238"/>
      <c r="F528" s="312"/>
      <c r="G528" s="312"/>
      <c r="H528" s="312"/>
      <c r="I528" s="312"/>
      <c r="J528" s="103"/>
      <c r="K528" s="211"/>
      <c r="L528" s="239" t="str">
        <f>IFERROR(VLOOKUP($C528,'SINAPI MAIO 2020'!$1:$1048576,3,0),IFERROR(VLOOKUP($C528,'6-COMP. PROPRIA'!$B$1:$I$808,5,0),""))</f>
        <v/>
      </c>
      <c r="M528" s="104"/>
      <c r="N528" s="105"/>
    </row>
    <row r="529" spans="2:14" ht="17.25" customHeight="1" thickBot="1">
      <c r="B529" s="164"/>
      <c r="C529" s="20"/>
      <c r="D529" s="20"/>
      <c r="E529" s="238"/>
      <c r="F529" s="312"/>
      <c r="G529" s="312"/>
      <c r="H529" s="312"/>
      <c r="I529" s="312"/>
      <c r="J529" s="103"/>
      <c r="K529" s="211"/>
      <c r="L529" s="239" t="str">
        <f>IFERROR(VLOOKUP($C529,'SINAPI MAIO 2020'!$1:$1048576,3,0),IFERROR(VLOOKUP($C529,'6-COMP. PROPRIA'!$B$1:$I$808,5,0),""))</f>
        <v/>
      </c>
      <c r="M529" s="104"/>
      <c r="N529" s="105"/>
    </row>
    <row r="530" spans="2:14" ht="17.25" customHeight="1" thickBot="1">
      <c r="B530" s="165"/>
      <c r="C530" s="90"/>
      <c r="D530" s="279"/>
      <c r="E530" s="674" t="s">
        <v>4450</v>
      </c>
      <c r="F530" s="675"/>
      <c r="G530" s="675"/>
      <c r="H530" s="675"/>
      <c r="I530" s="675"/>
      <c r="J530" s="676"/>
      <c r="K530" s="210"/>
      <c r="L530" s="239" t="str">
        <f>IFERROR(VLOOKUP($C530,'SINAPI MAIO 2020'!$1:$1048576,3,0),IFERROR(VLOOKUP($C530,'6-COMP. PROPRIA'!$B$1:$I$808,5,0),""))</f>
        <v/>
      </c>
      <c r="M530" s="94"/>
      <c r="N530" s="109"/>
    </row>
    <row r="531" spans="2:14" ht="17.25" customHeight="1">
      <c r="B531" s="164"/>
      <c r="C531" s="20"/>
      <c r="D531" s="20"/>
      <c r="E531" s="238"/>
      <c r="F531" s="312"/>
      <c r="G531" s="312"/>
      <c r="H531" s="312"/>
      <c r="I531" s="312"/>
      <c r="J531" s="103"/>
      <c r="K531" s="211"/>
      <c r="L531" s="239" t="str">
        <f>IFERROR(VLOOKUP($C531,'SINAPI MAIO 2020'!$1:$1048576,3,0),IFERROR(VLOOKUP($C531,'6-COMP. PROPRIA'!$B$1:$I$808,5,0),""))</f>
        <v/>
      </c>
      <c r="M531" s="104"/>
      <c r="N531" s="105"/>
    </row>
    <row r="532" spans="2:14" s="142" customFormat="1" ht="17.25" customHeight="1">
      <c r="B532" s="164"/>
      <c r="C532" s="274" t="str">
        <f>'6-COMP. PROPRIA'!B80</f>
        <v>CP-REV-1</v>
      </c>
      <c r="D532" s="275" t="s">
        <v>980</v>
      </c>
      <c r="E532" s="668" t="str">
        <f>IFERROR(VLOOKUP($C532,'SINAPI MAIO 2020'!$1:$1048576,2,0),IFERROR(VLOOKUP($C532,'6-COMP. PROPRIA'!$B$28:$I$808,4,0),""))</f>
        <v>APICOAMENTO MANUAL DE SUPERFICIE DE CONCRETO</v>
      </c>
      <c r="F532" s="669"/>
      <c r="G532" s="669"/>
      <c r="H532" s="669"/>
      <c r="I532" s="669"/>
      <c r="J532" s="670"/>
      <c r="K532" s="212">
        <f>SUM(K535:K540)</f>
        <v>145.88999999999999</v>
      </c>
      <c r="L532" s="239" t="str">
        <f>IFERROR(VLOOKUP($C532,'SINAPI MAIO 2020'!$1:$1048576,3,0),IFERROR(VLOOKUP($C532,'6-COMP. PROPRIA'!$B$1:$I$808,5,0),""))</f>
        <v>M2</v>
      </c>
      <c r="M532" s="123"/>
      <c r="N532" s="141"/>
    </row>
    <row r="533" spans="2:14" s="142" customFormat="1" ht="17.25" customHeight="1">
      <c r="B533" s="164"/>
      <c r="C533" s="20"/>
      <c r="D533" s="70"/>
      <c r="E533" s="115"/>
      <c r="F533" s="312"/>
      <c r="G533" s="682" t="s">
        <v>4703</v>
      </c>
      <c r="H533" s="682"/>
      <c r="I533" s="682"/>
      <c r="J533" s="686"/>
      <c r="K533" s="212"/>
      <c r="L533" s="239" t="str">
        <f>IFERROR(VLOOKUP($C533,'SINAPI MAIO 2020'!$1:$1048576,3,0),IFERROR(VLOOKUP($C533,'6-COMP. PROPRIA'!$B$1:$I$808,5,0),""))</f>
        <v/>
      </c>
      <c r="M533" s="123"/>
      <c r="N533" s="141"/>
    </row>
    <row r="534" spans="2:14" s="142" customFormat="1" ht="17.25" customHeight="1">
      <c r="B534" s="166"/>
      <c r="C534" s="276"/>
      <c r="D534" s="70"/>
      <c r="E534" s="75" t="s">
        <v>4704</v>
      </c>
      <c r="F534" s="311" t="s">
        <v>4705</v>
      </c>
      <c r="G534" s="70" t="s">
        <v>899</v>
      </c>
      <c r="H534" s="70" t="s">
        <v>898</v>
      </c>
      <c r="I534" s="70" t="s">
        <v>4692</v>
      </c>
      <c r="J534" s="319" t="s">
        <v>4706</v>
      </c>
      <c r="K534" s="62"/>
      <c r="L534" s="239" t="str">
        <f>IFERROR(VLOOKUP($C534,'SINAPI MAIO 2020'!$1:$1048576,3,0),IFERROR(VLOOKUP($C534,'6-COMP. PROPRIA'!$B$1:$I$808,5,0),""))</f>
        <v/>
      </c>
      <c r="M534" s="123"/>
      <c r="N534" s="141"/>
    </row>
    <row r="535" spans="2:14" ht="17.25" customHeight="1">
      <c r="B535" s="164" t="s">
        <v>6101</v>
      </c>
      <c r="C535" s="70"/>
      <c r="D535" s="70"/>
      <c r="E535" s="102">
        <f t="shared" ref="E535:F540" si="28">E116</f>
        <v>11.7</v>
      </c>
      <c r="F535" s="63">
        <f t="shared" si="28"/>
        <v>1.2</v>
      </c>
      <c r="G535" s="159">
        <v>0</v>
      </c>
      <c r="H535" s="159">
        <v>0</v>
      </c>
      <c r="I535" s="159">
        <v>0</v>
      </c>
      <c r="J535" s="316">
        <f>G535*H535*I535</f>
        <v>0</v>
      </c>
      <c r="K535" s="62">
        <f t="shared" ref="K535:K540" si="29">E535*F535-J535</f>
        <v>14.04</v>
      </c>
      <c r="L535" s="239" t="str">
        <f>IFERROR(VLOOKUP($C535,'SINAPI MAIO 2020'!$1:$1048576,3,0),IFERROR(VLOOKUP($C535,'6-COMP. PROPRIA'!$B$1:$I$808,5,0),""))</f>
        <v/>
      </c>
      <c r="M535" s="104"/>
      <c r="N535" s="105"/>
    </row>
    <row r="536" spans="2:14" s="142" customFormat="1" ht="17.25" customHeight="1">
      <c r="B536" s="168" t="s">
        <v>6061</v>
      </c>
      <c r="C536" s="93"/>
      <c r="D536" s="93"/>
      <c r="E536" s="102">
        <f t="shared" si="28"/>
        <v>11.7</v>
      </c>
      <c r="F536" s="63">
        <f t="shared" si="28"/>
        <v>1.2</v>
      </c>
      <c r="G536" s="159">
        <v>0</v>
      </c>
      <c r="H536" s="159">
        <v>0</v>
      </c>
      <c r="I536" s="159">
        <v>0</v>
      </c>
      <c r="J536" s="316">
        <f>G536*H536*I536</f>
        <v>0</v>
      </c>
      <c r="K536" s="62">
        <f t="shared" si="29"/>
        <v>14.04</v>
      </c>
      <c r="L536" s="239" t="str">
        <f>IFERROR(VLOOKUP($C536,'SINAPI MAIO 2020'!$1:$1048576,3,0),IFERROR(VLOOKUP($C536,'6-COMP. PROPRIA'!$B$1:$I$808,5,0),""))</f>
        <v/>
      </c>
      <c r="M536" s="123"/>
      <c r="N536" s="141"/>
    </row>
    <row r="537" spans="2:14" s="142" customFormat="1" ht="17.25" customHeight="1">
      <c r="B537" s="168" t="s">
        <v>6110</v>
      </c>
      <c r="C537" s="93"/>
      <c r="D537" s="93"/>
      <c r="E537" s="102">
        <f t="shared" si="28"/>
        <v>27.82</v>
      </c>
      <c r="F537" s="63">
        <f t="shared" si="28"/>
        <v>1.5</v>
      </c>
      <c r="G537" s="159">
        <v>0</v>
      </c>
      <c r="H537" s="159">
        <v>0</v>
      </c>
      <c r="I537" s="159">
        <v>0</v>
      </c>
      <c r="J537" s="316">
        <f>G537*H537*I537</f>
        <v>0</v>
      </c>
      <c r="K537" s="62">
        <f t="shared" si="29"/>
        <v>41.730000000000004</v>
      </c>
      <c r="L537" s="239" t="str">
        <f>IFERROR(VLOOKUP($C537,'SINAPI MAIO 2020'!$1:$1048576,3,0),IFERROR(VLOOKUP($C537,'6-COMP. PROPRIA'!$B$1:$I$808,5,0),""))</f>
        <v/>
      </c>
      <c r="M537" s="123"/>
      <c r="N537" s="141"/>
    </row>
    <row r="538" spans="2:14" s="142" customFormat="1" ht="17.25" customHeight="1">
      <c r="B538" s="168" t="s">
        <v>6077</v>
      </c>
      <c r="C538" s="93"/>
      <c r="D538" s="93"/>
      <c r="E538" s="102">
        <f t="shared" si="28"/>
        <v>27.92</v>
      </c>
      <c r="F538" s="63">
        <f t="shared" si="28"/>
        <v>1.5</v>
      </c>
      <c r="G538" s="159">
        <v>0</v>
      </c>
      <c r="H538" s="159">
        <v>0</v>
      </c>
      <c r="I538" s="159">
        <v>0</v>
      </c>
      <c r="J538" s="316">
        <f>G538*H538*I538</f>
        <v>0</v>
      </c>
      <c r="K538" s="62">
        <f t="shared" si="29"/>
        <v>41.88</v>
      </c>
      <c r="L538" s="239" t="str">
        <f>IFERROR(VLOOKUP($C538,'SINAPI MAIO 2020'!$1:$1048576,3,0),IFERROR(VLOOKUP($C538,'6-COMP. PROPRIA'!$B$1:$I$808,5,0),""))</f>
        <v/>
      </c>
      <c r="M538" s="123"/>
      <c r="N538" s="141"/>
    </row>
    <row r="539" spans="2:14" s="142" customFormat="1" ht="17.25" customHeight="1">
      <c r="B539" s="168" t="s">
        <v>6111</v>
      </c>
      <c r="C539" s="93"/>
      <c r="D539" s="93"/>
      <c r="E539" s="102">
        <f t="shared" si="28"/>
        <v>16.52</v>
      </c>
      <c r="F539" s="63">
        <f t="shared" si="28"/>
        <v>1.5</v>
      </c>
      <c r="G539" s="159"/>
      <c r="H539" s="159"/>
      <c r="I539" s="159"/>
      <c r="J539" s="316"/>
      <c r="K539" s="62">
        <f t="shared" si="29"/>
        <v>24.78</v>
      </c>
      <c r="L539" s="239" t="str">
        <f>IFERROR(VLOOKUP($C539,'SINAPI MAIO 2020'!$1:$1048576,3,0),IFERROR(VLOOKUP($C539,'6-COMP. PROPRIA'!$B$1:$I$808,5,0),""))</f>
        <v/>
      </c>
      <c r="M539" s="123"/>
      <c r="N539" s="141"/>
    </row>
    <row r="540" spans="2:14" s="142" customFormat="1" ht="17.25" customHeight="1">
      <c r="B540" s="168" t="s">
        <v>6093</v>
      </c>
      <c r="C540" s="93"/>
      <c r="D540" s="93"/>
      <c r="E540" s="102">
        <f t="shared" si="28"/>
        <v>7.85</v>
      </c>
      <c r="F540" s="63">
        <f t="shared" si="28"/>
        <v>1.2</v>
      </c>
      <c r="G540" s="159"/>
      <c r="H540" s="159"/>
      <c r="I540" s="159"/>
      <c r="J540" s="316"/>
      <c r="K540" s="62">
        <f t="shared" si="29"/>
        <v>9.42</v>
      </c>
      <c r="L540" s="239" t="str">
        <f>IFERROR(VLOOKUP($C540,'SINAPI MAIO 2020'!$1:$1048576,3,0),IFERROR(VLOOKUP($C540,'6-COMP. PROPRIA'!$B$1:$I$808,5,0),""))</f>
        <v/>
      </c>
      <c r="M540" s="123"/>
      <c r="N540" s="141"/>
    </row>
    <row r="541" spans="2:14" s="142" customFormat="1" ht="17.25" customHeight="1">
      <c r="B541" s="171"/>
      <c r="C541" s="93"/>
      <c r="D541" s="93"/>
      <c r="E541" s="238"/>
      <c r="F541" s="312"/>
      <c r="G541" s="312"/>
      <c r="H541" s="312"/>
      <c r="I541" s="312"/>
      <c r="J541" s="103"/>
      <c r="K541" s="62"/>
      <c r="L541" s="239" t="str">
        <f>IFERROR(VLOOKUP($C541,'SINAPI MAIO 2020'!$1:$1048576,3,0),IFERROR(VLOOKUP($C541,'6-COMP. PROPRIA'!$B$1:$I$808,5,0),""))</f>
        <v/>
      </c>
      <c r="M541" s="123"/>
      <c r="N541" s="141"/>
    </row>
    <row r="542" spans="2:14" ht="39" customHeight="1">
      <c r="B542" s="164"/>
      <c r="C542" s="275">
        <v>87905</v>
      </c>
      <c r="D542" s="275" t="s">
        <v>8</v>
      </c>
      <c r="E542" s="668" t="str">
        <f>IFERROR(VLOOKUP($C542,'SINAPI MAIO 2020'!$1:$1048576,2,0),IFERROR(VLOOKUP($C542,'6-COMP. PROPRIA'!$B$28:$I$808,4,0),""))</f>
        <v>CHAPISCO APLICADO EM ALVENARIA (COM PRESENÇA DE VÃOS) E ESTRUTURAS DE CONCRETO DE FACHADA, COM COLHER DE PEDREIRO.  ARGAMASSA TRAÇO 1:3 COM PREPARO EM BETONEIRA 400L. AF_06/2014</v>
      </c>
      <c r="F542" s="669"/>
      <c r="G542" s="669"/>
      <c r="H542" s="669"/>
      <c r="I542" s="669"/>
      <c r="J542" s="670"/>
      <c r="K542" s="212">
        <f>SUM(K545:K548)</f>
        <v>607.37999999999988</v>
      </c>
      <c r="L542" s="239" t="str">
        <f>IFERROR(VLOOKUP($C542,'SINAPI MAIO 2020'!$1:$1048576,3,0),IFERROR(VLOOKUP($C542,'6-COMP. PROPRIA'!$B$1:$I$808,5,0),""))</f>
        <v>M2</v>
      </c>
      <c r="M542" s="104"/>
      <c r="N542" s="105"/>
    </row>
    <row r="543" spans="2:14" ht="17.25" customHeight="1">
      <c r="B543" s="164"/>
      <c r="C543" s="110"/>
      <c r="D543" s="110"/>
      <c r="E543" s="115"/>
      <c r="F543" s="312"/>
      <c r="G543" s="682" t="s">
        <v>4473</v>
      </c>
      <c r="H543" s="667"/>
      <c r="I543" s="667"/>
      <c r="J543" s="319"/>
      <c r="K543" s="211"/>
      <c r="L543" s="239" t="str">
        <f>IFERROR(VLOOKUP($C543,'SINAPI MAIO 2020'!$1:$1048576,3,0),IFERROR(VLOOKUP($C543,'6-COMP. PROPRIA'!$B$1:$I$808,5,0),""))</f>
        <v/>
      </c>
      <c r="M543" s="104"/>
      <c r="N543" s="105"/>
    </row>
    <row r="544" spans="2:14" ht="17.25" customHeight="1">
      <c r="B544" s="166"/>
      <c r="C544" s="70"/>
      <c r="D544" s="70"/>
      <c r="E544" s="75" t="s">
        <v>4704</v>
      </c>
      <c r="F544" s="311" t="s">
        <v>4705</v>
      </c>
      <c r="G544" s="70" t="s">
        <v>899</v>
      </c>
      <c r="H544" s="70" t="s">
        <v>898</v>
      </c>
      <c r="I544" s="70" t="s">
        <v>4692</v>
      </c>
      <c r="J544" s="319" t="s">
        <v>4706</v>
      </c>
      <c r="K544" s="62"/>
      <c r="L544" s="239" t="str">
        <f>IFERROR(VLOOKUP($C544,'SINAPI MAIO 2020'!$1:$1048576,3,0),IFERROR(VLOOKUP($C544,'6-COMP. PROPRIA'!$B$1:$I$808,5,0),""))</f>
        <v/>
      </c>
      <c r="M544" s="104"/>
      <c r="N544" s="105"/>
    </row>
    <row r="545" spans="2:15" ht="17.25" customHeight="1">
      <c r="B545" s="164" t="s">
        <v>6112</v>
      </c>
      <c r="C545" s="70"/>
      <c r="D545" s="70"/>
      <c r="E545" s="102">
        <f>12.34+16+2.4+16.56</f>
        <v>47.3</v>
      </c>
      <c r="F545" s="63">
        <v>3</v>
      </c>
      <c r="G545" s="159">
        <v>0</v>
      </c>
      <c r="H545" s="159">
        <v>0</v>
      </c>
      <c r="I545" s="159">
        <v>0</v>
      </c>
      <c r="J545" s="316">
        <f>G545*H545*I545</f>
        <v>0</v>
      </c>
      <c r="K545" s="62">
        <f>E545*F545-J545</f>
        <v>141.89999999999998</v>
      </c>
      <c r="L545" s="239" t="str">
        <f>IFERROR(VLOOKUP($C545,'SINAPI MAIO 2020'!$1:$1048576,3,0),IFERROR(VLOOKUP($C545,'6-COMP. PROPRIA'!$B$1:$I$808,5,0),""))</f>
        <v/>
      </c>
      <c r="M545" s="104"/>
      <c r="N545" s="105"/>
    </row>
    <row r="546" spans="2:15" ht="17.25" customHeight="1">
      <c r="B546" s="164" t="s">
        <v>6113</v>
      </c>
      <c r="C546" s="70"/>
      <c r="D546" s="70"/>
      <c r="E546" s="113">
        <f>68.52+6.79+7.01+13.16+23.99+7.69</f>
        <v>127.16</v>
      </c>
      <c r="F546" s="63">
        <v>3</v>
      </c>
      <c r="G546" s="159"/>
      <c r="H546" s="159"/>
      <c r="I546" s="159"/>
      <c r="J546" s="316"/>
      <c r="K546" s="62">
        <f t="shared" ref="K546:K548" si="30">E546*F546-J546</f>
        <v>381.48</v>
      </c>
      <c r="L546" s="239" t="str">
        <f>IFERROR(VLOOKUP($C546,'SINAPI MAIO 2020'!$1:$1048576,3,0),IFERROR(VLOOKUP($C546,'6-COMP. PROPRIA'!$B$1:$I$808,5,0),""))</f>
        <v/>
      </c>
      <c r="M546" s="104"/>
      <c r="N546" s="105"/>
    </row>
    <row r="547" spans="2:15" ht="17.25" customHeight="1">
      <c r="B547" s="164" t="s">
        <v>6114</v>
      </c>
      <c r="C547" s="70"/>
      <c r="D547" s="70"/>
      <c r="E547" s="102">
        <f>6.1*4</f>
        <v>24.4</v>
      </c>
      <c r="F547" s="63">
        <v>3</v>
      </c>
      <c r="G547" s="159"/>
      <c r="H547" s="159"/>
      <c r="I547" s="159"/>
      <c r="J547" s="316"/>
      <c r="K547" s="62">
        <f t="shared" si="30"/>
        <v>73.199999999999989</v>
      </c>
      <c r="L547" s="239" t="str">
        <f>IFERROR(VLOOKUP($C547,'SINAPI MAIO 2020'!$1:$1048576,3,0),IFERROR(VLOOKUP($C547,'6-COMP. PROPRIA'!$B$1:$I$808,5,0),""))</f>
        <v/>
      </c>
      <c r="M547" s="104"/>
      <c r="N547" s="105"/>
    </row>
    <row r="548" spans="2:15" ht="17.25" customHeight="1">
      <c r="B548" s="164" t="s">
        <v>6115</v>
      </c>
      <c r="C548" s="70"/>
      <c r="D548" s="70"/>
      <c r="E548" s="102">
        <f>1.2*3</f>
        <v>3.5999999999999996</v>
      </c>
      <c r="F548" s="63">
        <v>3</v>
      </c>
      <c r="G548" s="159"/>
      <c r="H548" s="159"/>
      <c r="I548" s="159"/>
      <c r="J548" s="316"/>
      <c r="K548" s="62">
        <f t="shared" si="30"/>
        <v>10.799999999999999</v>
      </c>
      <c r="L548" s="239" t="str">
        <f>IFERROR(VLOOKUP($C548,'SINAPI MAIO 2020'!$1:$1048576,3,0),IFERROR(VLOOKUP($C548,'6-COMP. PROPRIA'!$B$1:$I$808,5,0),""))</f>
        <v/>
      </c>
      <c r="M548" s="104"/>
      <c r="N548" s="105"/>
    </row>
    <row r="549" spans="2:15" ht="17.25" customHeight="1">
      <c r="B549" s="164"/>
      <c r="C549" s="20"/>
      <c r="D549" s="20"/>
      <c r="E549" s="238"/>
      <c r="F549" s="312"/>
      <c r="G549" s="312"/>
      <c r="H549" s="312"/>
      <c r="I549" s="312"/>
      <c r="J549" s="319"/>
      <c r="K549" s="211"/>
      <c r="L549" s="239" t="str">
        <f>IFERROR(VLOOKUP($C549,'SINAPI MAIO 2020'!$1:$1048576,3,0),IFERROR(VLOOKUP($C549,'6-COMP. PROPRIA'!$B$1:$I$808,5,0),""))</f>
        <v/>
      </c>
      <c r="M549" s="104"/>
      <c r="N549" s="105"/>
    </row>
    <row r="550" spans="2:15" ht="58.5" customHeight="1">
      <c r="B550" s="164"/>
      <c r="C550" s="275">
        <v>87546</v>
      </c>
      <c r="D550" s="275" t="s">
        <v>8</v>
      </c>
      <c r="E550" s="668" t="str">
        <f>IFERROR(VLOOKUP($C550,'SINAPI MAIO 2020'!$1:$1048576,2,0),IFERROR(VLOOKUP($C550,'6-COMP. PROPRIA'!$B$28:$I$808,4,0),""))</f>
        <v>EMBOÇO, PARA RECEBIMENTO DE CERÂMICA, EM ARGAMASSA TRAÇO 1:2:8, PREPARO MANUAL, APLICADO MANUALMENTE EM FACES INTERNAS DE PAREDES, PARA AMBIENTE COM ÁREA MENOR QUE 5M2, ESPESSURA DE 10MM, COM EXECUÇÃO DE TALISCAS. AF_06/2014</v>
      </c>
      <c r="F550" s="669"/>
      <c r="G550" s="669"/>
      <c r="H550" s="669"/>
      <c r="I550" s="669"/>
      <c r="J550" s="670"/>
      <c r="K550" s="212">
        <f>SUM(K553:K559)</f>
        <v>232.65</v>
      </c>
      <c r="L550" s="239" t="str">
        <f>IFERROR(VLOOKUP($C550,'SINAPI MAIO 2020'!$1:$1048576,3,0),IFERROR(VLOOKUP($C550,'6-COMP. PROPRIA'!$B$1:$I$808,5,0),""))</f>
        <v>M2</v>
      </c>
      <c r="M550" s="104"/>
      <c r="N550" s="105"/>
      <c r="O550" s="139"/>
    </row>
    <row r="551" spans="2:15" ht="17.25" customHeight="1">
      <c r="B551" s="164"/>
      <c r="C551" s="110"/>
      <c r="D551" s="110"/>
      <c r="E551" s="115"/>
      <c r="F551" s="312"/>
      <c r="G551" s="682" t="s">
        <v>4473</v>
      </c>
      <c r="H551" s="667"/>
      <c r="I551" s="667"/>
      <c r="J551" s="319"/>
      <c r="K551" s="211"/>
      <c r="L551" s="239" t="str">
        <f>IFERROR(VLOOKUP($C551,'SINAPI MAIO 2020'!$1:$1048576,3,0),IFERROR(VLOOKUP($C551,'6-COMP. PROPRIA'!$B$1:$I$808,5,0),""))</f>
        <v/>
      </c>
      <c r="M551" s="104"/>
      <c r="N551" s="105"/>
      <c r="O551" s="139"/>
    </row>
    <row r="552" spans="2:15" ht="17.25" customHeight="1">
      <c r="B552" s="164"/>
      <c r="C552" s="70"/>
      <c r="D552" s="70"/>
      <c r="E552" s="75" t="s">
        <v>4704</v>
      </c>
      <c r="F552" s="311" t="s">
        <v>4705</v>
      </c>
      <c r="G552" s="70" t="s">
        <v>899</v>
      </c>
      <c r="H552" s="70" t="s">
        <v>898</v>
      </c>
      <c r="I552" s="70" t="s">
        <v>4692</v>
      </c>
      <c r="J552" s="319" t="s">
        <v>4706</v>
      </c>
      <c r="K552" s="62"/>
      <c r="L552" s="239" t="str">
        <f>IFERROR(VLOOKUP($C552,'SINAPI MAIO 2020'!$1:$1048576,3,0),IFERROR(VLOOKUP($C552,'6-COMP. PROPRIA'!$B$1:$I$808,5,0),""))</f>
        <v/>
      </c>
      <c r="M552" s="104"/>
      <c r="N552" s="105"/>
      <c r="O552" s="139"/>
    </row>
    <row r="553" spans="2:15" ht="17.25" customHeight="1">
      <c r="B553" s="164" t="s">
        <v>6060</v>
      </c>
      <c r="C553" s="70"/>
      <c r="D553" s="70"/>
      <c r="E553" s="102">
        <v>11.7</v>
      </c>
      <c r="F553" s="63">
        <v>3</v>
      </c>
      <c r="G553" s="159">
        <v>0</v>
      </c>
      <c r="H553" s="159">
        <v>0</v>
      </c>
      <c r="I553" s="159">
        <v>0</v>
      </c>
      <c r="J553" s="316">
        <f>G553*H553*I553</f>
        <v>0</v>
      </c>
      <c r="K553" s="62">
        <f>E553*F553-J553</f>
        <v>35.099999999999994</v>
      </c>
      <c r="L553" s="239" t="str">
        <f>IFERROR(VLOOKUP($C553,'SINAPI MAIO 2020'!$1:$1048576,3,0),IFERROR(VLOOKUP($C553,'6-COMP. PROPRIA'!$B$1:$I$808,5,0),""))</f>
        <v/>
      </c>
      <c r="M553" s="104"/>
      <c r="N553" s="105"/>
      <c r="O553" s="139"/>
    </row>
    <row r="554" spans="2:15" ht="17.25" customHeight="1">
      <c r="B554" s="164" t="s">
        <v>6061</v>
      </c>
      <c r="C554" s="70"/>
      <c r="D554" s="70"/>
      <c r="E554" s="102">
        <v>11.7</v>
      </c>
      <c r="F554" s="63">
        <v>3</v>
      </c>
      <c r="G554" s="159"/>
      <c r="H554" s="159"/>
      <c r="I554" s="159"/>
      <c r="J554" s="316"/>
      <c r="K554" s="62">
        <f t="shared" ref="K554:K559" si="31">E554*F554-J554</f>
        <v>35.099999999999994</v>
      </c>
      <c r="L554" s="239" t="str">
        <f>IFERROR(VLOOKUP($C554,'SINAPI MAIO 2020'!$1:$1048576,3,0),IFERROR(VLOOKUP($C554,'6-COMP. PROPRIA'!$B$1:$I$808,5,0),""))</f>
        <v/>
      </c>
      <c r="M554" s="104"/>
      <c r="N554" s="105"/>
      <c r="O554" s="139"/>
    </row>
    <row r="555" spans="2:15" ht="17.25" customHeight="1">
      <c r="B555" s="164" t="s">
        <v>6093</v>
      </c>
      <c r="C555" s="70"/>
      <c r="D555" s="70"/>
      <c r="E555" s="102">
        <v>7.85</v>
      </c>
      <c r="F555" s="63">
        <v>3</v>
      </c>
      <c r="G555" s="159"/>
      <c r="H555" s="159"/>
      <c r="I555" s="159"/>
      <c r="J555" s="316"/>
      <c r="K555" s="62">
        <f t="shared" si="31"/>
        <v>23.549999999999997</v>
      </c>
      <c r="L555" s="239" t="str">
        <f>IFERROR(VLOOKUP($C555,'SINAPI MAIO 2020'!$1:$1048576,3,0),IFERROR(VLOOKUP($C555,'6-COMP. PROPRIA'!$B$1:$I$808,5,0),""))</f>
        <v/>
      </c>
      <c r="M555" s="104"/>
      <c r="N555" s="105"/>
      <c r="O555" s="139"/>
    </row>
    <row r="556" spans="2:15" ht="17.25" customHeight="1">
      <c r="B556" s="164" t="s">
        <v>6116</v>
      </c>
      <c r="C556" s="70"/>
      <c r="D556" s="70"/>
      <c r="E556" s="102">
        <v>6.4</v>
      </c>
      <c r="F556" s="63">
        <v>3</v>
      </c>
      <c r="G556" s="159"/>
      <c r="H556" s="159"/>
      <c r="I556" s="159"/>
      <c r="J556" s="316"/>
      <c r="K556" s="62">
        <f t="shared" si="31"/>
        <v>19.200000000000003</v>
      </c>
      <c r="L556" s="239" t="str">
        <f>IFERROR(VLOOKUP($C556,'SINAPI MAIO 2020'!$1:$1048576,3,0),IFERROR(VLOOKUP($C556,'6-COMP. PROPRIA'!$B$1:$I$808,5,0),""))</f>
        <v/>
      </c>
      <c r="M556" s="104"/>
      <c r="N556" s="105"/>
      <c r="O556" s="139"/>
    </row>
    <row r="557" spans="2:15" ht="17.25" customHeight="1">
      <c r="B557" s="164" t="s">
        <v>6117</v>
      </c>
      <c r="C557" s="70"/>
      <c r="D557" s="70"/>
      <c r="E557" s="102">
        <v>7.01</v>
      </c>
      <c r="F557" s="63">
        <v>3</v>
      </c>
      <c r="G557" s="159"/>
      <c r="H557" s="159"/>
      <c r="I557" s="159"/>
      <c r="J557" s="316"/>
      <c r="K557" s="62">
        <f t="shared" si="31"/>
        <v>21.03</v>
      </c>
      <c r="L557" s="239" t="str">
        <f>IFERROR(VLOOKUP($C557,'SINAPI MAIO 2020'!$1:$1048576,3,0),IFERROR(VLOOKUP($C557,'6-COMP. PROPRIA'!$B$1:$I$808,5,0),""))</f>
        <v/>
      </c>
      <c r="M557" s="104"/>
      <c r="N557" s="105"/>
      <c r="O557" s="139"/>
    </row>
    <row r="558" spans="2:15" ht="17.25" customHeight="1">
      <c r="B558" s="164" t="s">
        <v>7061</v>
      </c>
      <c r="C558" s="70"/>
      <c r="D558" s="70"/>
      <c r="E558" s="102">
        <f>7.69+24</f>
        <v>31.69</v>
      </c>
      <c r="F558" s="63">
        <v>3</v>
      </c>
      <c r="G558" s="159"/>
      <c r="H558" s="159"/>
      <c r="I558" s="159"/>
      <c r="J558" s="316"/>
      <c r="K558" s="62">
        <f t="shared" si="31"/>
        <v>95.070000000000007</v>
      </c>
      <c r="L558" s="239" t="str">
        <f>IFERROR(VLOOKUP($C558,'SINAPI MAIO 2020'!$1:$1048576,3,0),IFERROR(VLOOKUP($C558,'6-COMP. PROPRIA'!$B$1:$I$808,5,0),""))</f>
        <v/>
      </c>
      <c r="M558" s="104"/>
      <c r="N558" s="105"/>
      <c r="O558" s="139"/>
    </row>
    <row r="559" spans="2:15" ht="17.25" customHeight="1">
      <c r="B559" s="164" t="s">
        <v>6105</v>
      </c>
      <c r="C559" s="70"/>
      <c r="D559" s="70"/>
      <c r="E559" s="102">
        <v>1.2</v>
      </c>
      <c r="F559" s="63">
        <v>3</v>
      </c>
      <c r="G559" s="159"/>
      <c r="H559" s="159"/>
      <c r="I559" s="159"/>
      <c r="J559" s="316"/>
      <c r="K559" s="62">
        <f t="shared" si="31"/>
        <v>3.5999999999999996</v>
      </c>
      <c r="L559" s="239" t="str">
        <f>IFERROR(VLOOKUP($C559,'SINAPI MAIO 2020'!$1:$1048576,3,0),IFERROR(VLOOKUP($C559,'6-COMP. PROPRIA'!$B$1:$I$808,5,0),""))</f>
        <v/>
      </c>
      <c r="M559" s="104"/>
      <c r="N559" s="105"/>
      <c r="O559" s="139"/>
    </row>
    <row r="560" spans="2:15" ht="17.25" customHeight="1">
      <c r="B560" s="164"/>
      <c r="C560" s="70"/>
      <c r="D560" s="70"/>
      <c r="E560" s="238"/>
      <c r="F560" s="312"/>
      <c r="G560" s="312"/>
      <c r="H560" s="312"/>
      <c r="I560" s="312"/>
      <c r="J560" s="319"/>
      <c r="K560" s="211"/>
      <c r="L560" s="239" t="str">
        <f>IFERROR(VLOOKUP($C560,'SINAPI MAIO 2020'!$1:$1048576,3,0),IFERROR(VLOOKUP($C560,'6-COMP. PROPRIA'!$B$1:$I$808,5,0),""))</f>
        <v/>
      </c>
      <c r="M560" s="104"/>
      <c r="N560" s="105"/>
      <c r="O560" s="139"/>
    </row>
    <row r="561" spans="2:15" ht="53.25" customHeight="1">
      <c r="B561" s="164"/>
      <c r="C561" s="275">
        <v>87529</v>
      </c>
      <c r="D561" s="275" t="s">
        <v>8</v>
      </c>
      <c r="E561" s="668" t="str">
        <f>IFERROR(VLOOKUP($C561,'SINAPI MAIO 2020'!$1:$1048576,2,0),IFERROR(VLOOKUP($C561,'6-COMP. PROPRIA'!$B$28:$I$808,4,0),""))</f>
        <v>MASSA ÚNICA, PARA RECEBIMENTO DE PINTURA, EM ARGAMASSA TRAÇO 1:2:8, PREPARO MECÂNICO COM BETONEIRA 400L, APLICADA MANUALMENTE EM FACES INTERNAS DE PAREDES, ESPESSURA DE 20MM, COM EXECUÇÃO DE TALISCAS. AF_06/2014</v>
      </c>
      <c r="F561" s="669"/>
      <c r="G561" s="669"/>
      <c r="H561" s="669"/>
      <c r="I561" s="669"/>
      <c r="J561" s="670"/>
      <c r="K561" s="212">
        <f>SUM(K564:K569)</f>
        <v>423.90000000000003</v>
      </c>
      <c r="L561" s="239" t="str">
        <f>IFERROR(VLOOKUP($C561,'SINAPI MAIO 2020'!$1:$1048576,3,0),IFERROR(VLOOKUP($C561,'6-COMP. PROPRIA'!$B$1:$I$808,5,0),""))</f>
        <v>M2</v>
      </c>
      <c r="M561" s="104"/>
      <c r="N561" s="105"/>
      <c r="O561" s="139"/>
    </row>
    <row r="562" spans="2:15" ht="17.25" customHeight="1">
      <c r="B562" s="164"/>
      <c r="C562" s="20"/>
      <c r="D562" s="70"/>
      <c r="E562" s="306"/>
      <c r="F562" s="307"/>
      <c r="G562" s="682" t="s">
        <v>4473</v>
      </c>
      <c r="H562" s="667"/>
      <c r="I562" s="667"/>
      <c r="J562" s="308"/>
      <c r="K562" s="212"/>
      <c r="L562" s="239" t="str">
        <f>IFERROR(VLOOKUP($C562,'SINAPI MAIO 2020'!$1:$1048576,3,0),IFERROR(VLOOKUP($C562,'6-COMP. PROPRIA'!$B$1:$I$808,5,0),""))</f>
        <v/>
      </c>
      <c r="M562" s="104"/>
      <c r="N562" s="105"/>
      <c r="O562" s="139"/>
    </row>
    <row r="563" spans="2:15" ht="17.25" customHeight="1">
      <c r="B563" s="164"/>
      <c r="C563" s="70"/>
      <c r="D563" s="70"/>
      <c r="E563" s="75" t="s">
        <v>4704</v>
      </c>
      <c r="F563" s="311" t="s">
        <v>4705</v>
      </c>
      <c r="G563" s="70" t="s">
        <v>899</v>
      </c>
      <c r="H563" s="70" t="s">
        <v>898</v>
      </c>
      <c r="I563" s="70" t="s">
        <v>4692</v>
      </c>
      <c r="J563" s="319" t="s">
        <v>4706</v>
      </c>
      <c r="K563" s="62"/>
      <c r="L563" s="239" t="str">
        <f>IFERROR(VLOOKUP($C563,'SINAPI MAIO 2020'!$1:$1048576,3,0),IFERROR(VLOOKUP($C563,'6-COMP. PROPRIA'!$B$1:$I$808,5,0),""))</f>
        <v/>
      </c>
      <c r="M563" s="104"/>
      <c r="N563" s="105"/>
      <c r="O563" s="139"/>
    </row>
    <row r="564" spans="2:15" ht="17.25" customHeight="1">
      <c r="B564" s="164" t="s">
        <v>6122</v>
      </c>
      <c r="C564" s="70"/>
      <c r="D564" s="70"/>
      <c r="E564" s="102">
        <v>68.52</v>
      </c>
      <c r="F564" s="63">
        <v>3</v>
      </c>
      <c r="G564" s="159">
        <v>0</v>
      </c>
      <c r="H564" s="159">
        <v>0</v>
      </c>
      <c r="I564" s="159">
        <v>0</v>
      </c>
      <c r="J564" s="316">
        <f>G564*H564*I564</f>
        <v>0</v>
      </c>
      <c r="K564" s="62">
        <f>E564*F564-J564</f>
        <v>205.56</v>
      </c>
      <c r="L564" s="239" t="str">
        <f>IFERROR(VLOOKUP($C564,'SINAPI MAIO 2020'!$1:$1048576,3,0),IFERROR(VLOOKUP($C564,'6-COMP. PROPRIA'!$B$1:$I$808,5,0),""))</f>
        <v/>
      </c>
      <c r="M564" s="104"/>
      <c r="N564" s="105"/>
      <c r="O564" s="139"/>
    </row>
    <row r="565" spans="2:15" ht="17.25" customHeight="1">
      <c r="B565" s="164" t="s">
        <v>6123</v>
      </c>
      <c r="C565" s="70"/>
      <c r="D565" s="70"/>
      <c r="E565" s="102">
        <v>13.16</v>
      </c>
      <c r="F565" s="63">
        <v>3</v>
      </c>
      <c r="G565" s="159"/>
      <c r="H565" s="159"/>
      <c r="I565" s="159"/>
      <c r="J565" s="316"/>
      <c r="K565" s="62">
        <f t="shared" ref="K565:K569" si="32">E565*F565-J565</f>
        <v>39.480000000000004</v>
      </c>
      <c r="L565" s="239" t="str">
        <f>IFERROR(VLOOKUP($C565,'SINAPI MAIO 2020'!$1:$1048576,3,0),IFERROR(VLOOKUP($C565,'6-COMP. PROPRIA'!$B$1:$I$808,5,0),""))</f>
        <v/>
      </c>
      <c r="M565" s="104"/>
      <c r="N565" s="105"/>
      <c r="O565" s="139"/>
    </row>
    <row r="566" spans="2:15" ht="17.25" customHeight="1">
      <c r="B566" s="164" t="s">
        <v>6118</v>
      </c>
      <c r="C566" s="70"/>
      <c r="D566" s="70"/>
      <c r="E566" s="102">
        <f>(0.3+0.3+0.3+0.3)*3</f>
        <v>3.5999999999999996</v>
      </c>
      <c r="F566" s="63">
        <v>3</v>
      </c>
      <c r="G566" s="159"/>
      <c r="H566" s="159"/>
      <c r="I566" s="159"/>
      <c r="J566" s="316"/>
      <c r="K566" s="62">
        <f t="shared" si="32"/>
        <v>10.799999999999999</v>
      </c>
      <c r="L566" s="239" t="str">
        <f>IFERROR(VLOOKUP($C566,'SINAPI MAIO 2020'!$1:$1048576,3,0),IFERROR(VLOOKUP($C566,'6-COMP. PROPRIA'!$B$1:$I$808,5,0),""))</f>
        <v/>
      </c>
      <c r="M566" s="104"/>
      <c r="N566" s="105"/>
      <c r="O566" s="139"/>
    </row>
    <row r="567" spans="2:15" ht="17.25" customHeight="1">
      <c r="B567" s="164" t="s">
        <v>6119</v>
      </c>
      <c r="C567" s="70"/>
      <c r="D567" s="70"/>
      <c r="E567" s="102">
        <v>16</v>
      </c>
      <c r="F567" s="63">
        <v>3</v>
      </c>
      <c r="G567" s="159"/>
      <c r="H567" s="159"/>
      <c r="I567" s="159"/>
      <c r="J567" s="316"/>
      <c r="K567" s="62">
        <f t="shared" si="32"/>
        <v>48</v>
      </c>
      <c r="L567" s="239" t="str">
        <f>IFERROR(VLOOKUP($C567,'SINAPI MAIO 2020'!$1:$1048576,3,0),IFERROR(VLOOKUP($C567,'6-COMP. PROPRIA'!$B$1:$I$808,5,0),""))</f>
        <v/>
      </c>
      <c r="M567" s="104"/>
      <c r="N567" s="105"/>
      <c r="O567" s="139"/>
    </row>
    <row r="568" spans="2:15" ht="17.25" customHeight="1">
      <c r="B568" s="164" t="s">
        <v>6120</v>
      </c>
      <c r="C568" s="70"/>
      <c r="D568" s="70"/>
      <c r="E568" s="102">
        <v>15.62</v>
      </c>
      <c r="F568" s="63">
        <v>3</v>
      </c>
      <c r="G568" s="159"/>
      <c r="H568" s="159"/>
      <c r="I568" s="159"/>
      <c r="J568" s="316"/>
      <c r="K568" s="62">
        <f t="shared" si="32"/>
        <v>46.86</v>
      </c>
      <c r="L568" s="239" t="str">
        <f>IFERROR(VLOOKUP($C568,'SINAPI MAIO 2020'!$1:$1048576,3,0),IFERROR(VLOOKUP($C568,'6-COMP. PROPRIA'!$B$1:$I$808,5,0),""))</f>
        <v/>
      </c>
      <c r="M568" s="104"/>
      <c r="N568" s="105"/>
      <c r="O568" s="139"/>
    </row>
    <row r="569" spans="2:15" ht="17.25" customHeight="1">
      <c r="B569" s="164" t="s">
        <v>6121</v>
      </c>
      <c r="C569" s="70"/>
      <c r="D569" s="70"/>
      <c r="E569" s="102">
        <f>6.1*4</f>
        <v>24.4</v>
      </c>
      <c r="F569" s="63">
        <v>3</v>
      </c>
      <c r="G569" s="159"/>
      <c r="H569" s="159"/>
      <c r="I569" s="159"/>
      <c r="J569" s="316"/>
      <c r="K569" s="62">
        <f t="shared" si="32"/>
        <v>73.199999999999989</v>
      </c>
      <c r="L569" s="239" t="str">
        <f>IFERROR(VLOOKUP($C569,'SINAPI MAIO 2020'!$1:$1048576,3,0),IFERROR(VLOOKUP($C569,'6-COMP. PROPRIA'!$B$1:$I$808,5,0),""))</f>
        <v/>
      </c>
      <c r="M569" s="104"/>
      <c r="N569" s="105"/>
      <c r="O569" s="139"/>
    </row>
    <row r="570" spans="2:15" ht="17.25" customHeight="1">
      <c r="B570" s="164"/>
      <c r="C570" s="70"/>
      <c r="D570" s="70"/>
      <c r="E570" s="238"/>
      <c r="F570" s="312"/>
      <c r="G570" s="312"/>
      <c r="H570" s="312"/>
      <c r="I570" s="312"/>
      <c r="J570" s="319"/>
      <c r="K570" s="211"/>
      <c r="L570" s="239" t="str">
        <f>IFERROR(VLOOKUP($C570,'SINAPI MAIO 2020'!$1:$1048576,3,0),IFERROR(VLOOKUP($C570,'6-COMP. PROPRIA'!$B$1:$I$808,5,0),""))</f>
        <v/>
      </c>
      <c r="M570" s="104"/>
      <c r="N570" s="105"/>
      <c r="O570" s="139"/>
    </row>
    <row r="571" spans="2:15" ht="41.25" customHeight="1">
      <c r="B571" s="164"/>
      <c r="C571" s="275">
        <v>87273</v>
      </c>
      <c r="D571" s="275" t="s">
        <v>8</v>
      </c>
      <c r="E571" s="668" t="str">
        <f>IFERROR(VLOOKUP($C571,'SINAPI MAIO 2020'!$1:$1048576,2,0),IFERROR(VLOOKUP($C571,'6-COMP. PROPRIA'!$B$28:$I$808,4,0),""))</f>
        <v>REVESTIMENTO CERÂMICO PARA PAREDES INTERNAS COM PLACAS TIPO ESMALTADA EXTRA DE DIMENSÕES 33X45 CM APLICADAS EM AMBIENTES DE ÁREA MAIOR QUE 5 M² NA ALTURA INTEIRA DAS PAREDES. AF_06/2014</v>
      </c>
      <c r="F571" s="669"/>
      <c r="G571" s="669"/>
      <c r="H571" s="669"/>
      <c r="I571" s="669"/>
      <c r="J571" s="670"/>
      <c r="K571" s="212">
        <f>SUM(K574:K580)</f>
        <v>232.65</v>
      </c>
      <c r="L571" s="239" t="str">
        <f>IFERROR(VLOOKUP($C571,'SINAPI MAIO 2020'!$1:$1048576,3,0),IFERROR(VLOOKUP($C571,'6-COMP. PROPRIA'!$B$1:$I$808,5,0),""))</f>
        <v>M2</v>
      </c>
      <c r="M571" s="104"/>
      <c r="N571" s="105"/>
    </row>
    <row r="572" spans="2:15" ht="17.25" customHeight="1">
      <c r="B572" s="164"/>
      <c r="C572" s="20"/>
      <c r="D572" s="20"/>
      <c r="E572" s="306"/>
      <c r="F572" s="307"/>
      <c r="G572" s="682" t="s">
        <v>4473</v>
      </c>
      <c r="H572" s="667"/>
      <c r="I572" s="667"/>
      <c r="J572" s="308"/>
      <c r="K572" s="215"/>
      <c r="L572" s="239" t="str">
        <f>IFERROR(VLOOKUP($C572,'SINAPI MAIO 2020'!$1:$1048576,3,0),IFERROR(VLOOKUP($C572,'6-COMP. PROPRIA'!$B$1:$I$808,5,0),""))</f>
        <v/>
      </c>
      <c r="M572" s="104"/>
      <c r="N572" s="105"/>
    </row>
    <row r="573" spans="2:15" ht="17.25" customHeight="1">
      <c r="B573" s="164"/>
      <c r="C573" s="20"/>
      <c r="D573" s="20"/>
      <c r="E573" s="75" t="s">
        <v>4704</v>
      </c>
      <c r="F573" s="311" t="s">
        <v>4705</v>
      </c>
      <c r="G573" s="70" t="s">
        <v>899</v>
      </c>
      <c r="H573" s="70" t="s">
        <v>898</v>
      </c>
      <c r="I573" s="70" t="s">
        <v>4692</v>
      </c>
      <c r="J573" s="319" t="s">
        <v>4706</v>
      </c>
      <c r="K573" s="211"/>
      <c r="L573" s="239" t="str">
        <f>IFERROR(VLOOKUP($C573,'SINAPI MAIO 2020'!$1:$1048576,3,0),IFERROR(VLOOKUP($C573,'6-COMP. PROPRIA'!$B$1:$I$808,5,0),""))</f>
        <v/>
      </c>
      <c r="M573" s="104"/>
      <c r="N573" s="105"/>
    </row>
    <row r="574" spans="2:15" ht="17.25" customHeight="1">
      <c r="B574" s="164" t="s">
        <v>6060</v>
      </c>
      <c r="C574" s="20"/>
      <c r="D574" s="20"/>
      <c r="E574" s="102">
        <f>E553</f>
        <v>11.7</v>
      </c>
      <c r="F574" s="63">
        <v>3</v>
      </c>
      <c r="G574" s="159">
        <v>0</v>
      </c>
      <c r="H574" s="159">
        <v>0</v>
      </c>
      <c r="I574" s="159">
        <v>0</v>
      </c>
      <c r="J574" s="316">
        <f>G574*H574*I574</f>
        <v>0</v>
      </c>
      <c r="K574" s="62">
        <f>F574*E574-J574</f>
        <v>35.099999999999994</v>
      </c>
      <c r="L574" s="239" t="str">
        <f>IFERROR(VLOOKUP($C574,'SINAPI MAIO 2020'!$1:$1048576,3,0),IFERROR(VLOOKUP($C574,'6-COMP. PROPRIA'!$B$1:$I$808,5,0),""))</f>
        <v/>
      </c>
      <c r="M574" s="104"/>
      <c r="N574" s="105"/>
    </row>
    <row r="575" spans="2:15" ht="17.25" customHeight="1">
      <c r="B575" s="164" t="s">
        <v>6061</v>
      </c>
      <c r="C575" s="20"/>
      <c r="D575" s="20"/>
      <c r="E575" s="102">
        <f t="shared" ref="E575:E580" si="33">E554</f>
        <v>11.7</v>
      </c>
      <c r="F575" s="63">
        <v>3</v>
      </c>
      <c r="G575" s="159"/>
      <c r="H575" s="159"/>
      <c r="I575" s="159"/>
      <c r="J575" s="316"/>
      <c r="K575" s="62">
        <f t="shared" ref="K575:K580" si="34">F575*E575-J575</f>
        <v>35.099999999999994</v>
      </c>
      <c r="L575" s="239" t="str">
        <f>IFERROR(VLOOKUP($C575,'SINAPI MAIO 2020'!$1:$1048576,3,0),IFERROR(VLOOKUP($C575,'6-COMP. PROPRIA'!$B$1:$I$808,5,0),""))</f>
        <v/>
      </c>
      <c r="M575" s="104"/>
      <c r="N575" s="105"/>
    </row>
    <row r="576" spans="2:15" ht="17.25" customHeight="1">
      <c r="B576" s="164" t="s">
        <v>6093</v>
      </c>
      <c r="C576" s="20"/>
      <c r="D576" s="20"/>
      <c r="E576" s="102">
        <f t="shared" si="33"/>
        <v>7.85</v>
      </c>
      <c r="F576" s="63">
        <v>3</v>
      </c>
      <c r="G576" s="159"/>
      <c r="H576" s="159"/>
      <c r="I576" s="159"/>
      <c r="J576" s="316"/>
      <c r="K576" s="62">
        <f t="shared" si="34"/>
        <v>23.549999999999997</v>
      </c>
      <c r="L576" s="239" t="str">
        <f>IFERROR(VLOOKUP($C576,'SINAPI MAIO 2020'!$1:$1048576,3,0),IFERROR(VLOOKUP($C576,'6-COMP. PROPRIA'!$B$1:$I$808,5,0),""))</f>
        <v/>
      </c>
      <c r="M576" s="104"/>
      <c r="N576" s="105"/>
    </row>
    <row r="577" spans="2:14" ht="17.25" customHeight="1">
      <c r="B577" s="164" t="s">
        <v>6116</v>
      </c>
      <c r="C577" s="20"/>
      <c r="D577" s="20"/>
      <c r="E577" s="102">
        <f t="shared" si="33"/>
        <v>6.4</v>
      </c>
      <c r="F577" s="63">
        <v>3</v>
      </c>
      <c r="G577" s="159"/>
      <c r="H577" s="159"/>
      <c r="I577" s="159"/>
      <c r="J577" s="316"/>
      <c r="K577" s="62">
        <f t="shared" si="34"/>
        <v>19.200000000000003</v>
      </c>
      <c r="L577" s="239" t="str">
        <f>IFERROR(VLOOKUP($C577,'SINAPI MAIO 2020'!$1:$1048576,3,0),IFERROR(VLOOKUP($C577,'6-COMP. PROPRIA'!$B$1:$I$808,5,0),""))</f>
        <v/>
      </c>
      <c r="M577" s="104"/>
      <c r="N577" s="105"/>
    </row>
    <row r="578" spans="2:14" ht="17.25" customHeight="1">
      <c r="B578" s="164" t="s">
        <v>6117</v>
      </c>
      <c r="C578" s="20"/>
      <c r="D578" s="20"/>
      <c r="E578" s="102">
        <f t="shared" si="33"/>
        <v>7.01</v>
      </c>
      <c r="F578" s="63">
        <v>3</v>
      </c>
      <c r="G578" s="159"/>
      <c r="H578" s="159"/>
      <c r="I578" s="159"/>
      <c r="J578" s="316"/>
      <c r="K578" s="62">
        <f t="shared" si="34"/>
        <v>21.03</v>
      </c>
      <c r="L578" s="239" t="str">
        <f>IFERROR(VLOOKUP($C578,'SINAPI MAIO 2020'!$1:$1048576,3,0),IFERROR(VLOOKUP($C578,'6-COMP. PROPRIA'!$B$1:$I$808,5,0),""))</f>
        <v/>
      </c>
      <c r="M578" s="104"/>
      <c r="N578" s="105"/>
    </row>
    <row r="579" spans="2:14" ht="17.25" customHeight="1">
      <c r="B579" s="164" t="s">
        <v>6107</v>
      </c>
      <c r="C579" s="20"/>
      <c r="D579" s="20"/>
      <c r="E579" s="102">
        <f>E558</f>
        <v>31.69</v>
      </c>
      <c r="F579" s="63">
        <v>3</v>
      </c>
      <c r="G579" s="159"/>
      <c r="H579" s="159"/>
      <c r="I579" s="159"/>
      <c r="J579" s="316"/>
      <c r="K579" s="62">
        <f t="shared" si="34"/>
        <v>95.070000000000007</v>
      </c>
      <c r="L579" s="239" t="str">
        <f>IFERROR(VLOOKUP($C579,'SINAPI MAIO 2020'!$1:$1048576,3,0),IFERROR(VLOOKUP($C579,'6-COMP. PROPRIA'!$B$1:$I$808,5,0),""))</f>
        <v/>
      </c>
      <c r="M579" s="104"/>
      <c r="N579" s="105"/>
    </row>
    <row r="580" spans="2:14" ht="17.25" customHeight="1">
      <c r="B580" s="164" t="s">
        <v>6105</v>
      </c>
      <c r="C580" s="20"/>
      <c r="D580" s="20"/>
      <c r="E580" s="102">
        <f t="shared" si="33"/>
        <v>1.2</v>
      </c>
      <c r="F580" s="63">
        <v>3</v>
      </c>
      <c r="G580" s="159"/>
      <c r="H580" s="159"/>
      <c r="I580" s="159"/>
      <c r="J580" s="316"/>
      <c r="K580" s="62">
        <f t="shared" si="34"/>
        <v>3.5999999999999996</v>
      </c>
      <c r="L580" s="239" t="str">
        <f>IFERROR(VLOOKUP($C580,'SINAPI MAIO 2020'!$1:$1048576,3,0),IFERROR(VLOOKUP($C580,'6-COMP. PROPRIA'!$B$1:$I$808,5,0),""))</f>
        <v/>
      </c>
      <c r="M580" s="104"/>
      <c r="N580" s="105"/>
    </row>
    <row r="581" spans="2:14" ht="17.25" customHeight="1" thickBot="1">
      <c r="B581" s="164"/>
      <c r="C581" s="20"/>
      <c r="D581" s="20"/>
      <c r="E581" s="114"/>
      <c r="F581" s="311"/>
      <c r="G581" s="311"/>
      <c r="H581" s="311"/>
      <c r="I581" s="311"/>
      <c r="J581" s="319"/>
      <c r="K581" s="62"/>
      <c r="L581" s="239" t="str">
        <f>IFERROR(VLOOKUP($C581,'SINAPI MAIO 2020'!$1:$1048576,3,0),IFERROR(VLOOKUP($C581,'6-COMP. PROPRIA'!$B$1:$I$808,5,0),""))</f>
        <v/>
      </c>
      <c r="M581" s="104"/>
      <c r="N581" s="105"/>
    </row>
    <row r="582" spans="2:14" ht="17.25" customHeight="1" thickBot="1">
      <c r="B582" s="165"/>
      <c r="C582" s="90"/>
      <c r="D582" s="90"/>
      <c r="E582" s="674" t="s">
        <v>4451</v>
      </c>
      <c r="F582" s="675"/>
      <c r="G582" s="675"/>
      <c r="H582" s="675"/>
      <c r="I582" s="675"/>
      <c r="J582" s="676"/>
      <c r="K582" s="210"/>
      <c r="L582" s="239" t="str">
        <f>IFERROR(VLOOKUP($C582,'SINAPI MAIO 2020'!$1:$1048576,3,0),IFERROR(VLOOKUP($C582,'6-COMP. PROPRIA'!$B$1:$I$808,5,0),""))</f>
        <v/>
      </c>
      <c r="M582" s="94"/>
      <c r="N582" s="109"/>
    </row>
    <row r="583" spans="2:14" ht="17.25" customHeight="1">
      <c r="B583" s="164"/>
      <c r="C583" s="20"/>
      <c r="D583" s="20"/>
      <c r="E583" s="238"/>
      <c r="F583" s="312"/>
      <c r="G583" s="312"/>
      <c r="H583" s="312"/>
      <c r="I583" s="312"/>
      <c r="J583" s="103"/>
      <c r="K583" s="211"/>
      <c r="L583" s="239" t="str">
        <f>IFERROR(VLOOKUP($C583,'SINAPI MAIO 2020'!$1:$1048576,3,0),IFERROR(VLOOKUP($C583,'6-COMP. PROPRIA'!$B$1:$I$808,5,0),""))</f>
        <v/>
      </c>
      <c r="M583" s="104"/>
      <c r="N583" s="105"/>
    </row>
    <row r="584" spans="2:14" ht="52.5" customHeight="1">
      <c r="B584" s="164"/>
      <c r="C584" s="275" t="s">
        <v>4264</v>
      </c>
      <c r="D584" s="275" t="s">
        <v>8</v>
      </c>
      <c r="E584" s="668" t="str">
        <f>IFERROR(VLOOKUP($C584,'SINAPI MAIO 2020'!$1:$1048576,2,0),IFERROR(VLOOKUP($C584,'6-COMP. PROPRIA'!$B$28:$I$808,4,0),""))</f>
        <v>DIVISORIA EM MARMORITE ESPESSURA 35MM, CHUMBAMENTO NO PISO E PAREDE COM ARGAMASSA DE CIMENTO E AREIA, POLIMENTO MANUAL, EXCLUSIVE FERRAGENS</v>
      </c>
      <c r="F584" s="669"/>
      <c r="G584" s="669"/>
      <c r="H584" s="669"/>
      <c r="I584" s="669"/>
      <c r="J584" s="670"/>
      <c r="K584" s="212">
        <f>SUM(K586:K589)</f>
        <v>11.844000000000001</v>
      </c>
      <c r="L584" s="239" t="str">
        <f>IFERROR(VLOOKUP($C584,'SINAPI MAIO 2020'!$1:$1048576,3,0),IFERROR(VLOOKUP($C584,'6-COMP. PROPRIA'!$B$1:$I$808,5,0),""))</f>
        <v>M2</v>
      </c>
      <c r="M584" s="104"/>
      <c r="N584" s="105"/>
    </row>
    <row r="585" spans="2:14" ht="17.25" customHeight="1">
      <c r="B585" s="175"/>
      <c r="C585" s="20"/>
      <c r="D585" s="20"/>
      <c r="E585" s="75" t="s">
        <v>919</v>
      </c>
      <c r="F585" s="309" t="s">
        <v>918</v>
      </c>
      <c r="G585" s="309" t="s">
        <v>964</v>
      </c>
      <c r="H585" s="312"/>
      <c r="I585" s="312"/>
      <c r="J585" s="319"/>
      <c r="K585" s="211"/>
      <c r="L585" s="239" t="str">
        <f>IFERROR(VLOOKUP($C585,'SINAPI MAIO 2020'!$1:$1048576,3,0),IFERROR(VLOOKUP($C585,'6-COMP. PROPRIA'!$B$1:$I$808,5,0),""))</f>
        <v/>
      </c>
      <c r="M585" s="104"/>
      <c r="N585" s="105"/>
    </row>
    <row r="586" spans="2:14" ht="17.25" customHeight="1">
      <c r="B586" s="168" t="s">
        <v>6100</v>
      </c>
      <c r="C586" s="20"/>
      <c r="D586" s="20"/>
      <c r="E586" s="102">
        <f t="shared" ref="E586:F589" si="35">E163</f>
        <v>1.2399999999999998</v>
      </c>
      <c r="F586" s="63">
        <f t="shared" si="35"/>
        <v>1.8</v>
      </c>
      <c r="G586" s="63">
        <v>1</v>
      </c>
      <c r="H586" s="312"/>
      <c r="I586" s="312"/>
      <c r="J586" s="103"/>
      <c r="K586" s="211">
        <f>E586*F586*G586</f>
        <v>2.2319999999999998</v>
      </c>
      <c r="L586" s="239" t="str">
        <f>IFERROR(VLOOKUP($C586,'SINAPI MAIO 2020'!$1:$1048576,3,0),IFERROR(VLOOKUP($C586,'6-COMP. PROPRIA'!$B$1:$I$808,5,0),""))</f>
        <v/>
      </c>
      <c r="M586" s="104"/>
      <c r="N586" s="105"/>
    </row>
    <row r="587" spans="2:14" ht="17.25" customHeight="1">
      <c r="B587" s="168" t="s">
        <v>6100</v>
      </c>
      <c r="C587" s="20"/>
      <c r="D587" s="20"/>
      <c r="E587" s="102">
        <f t="shared" si="35"/>
        <v>2.4</v>
      </c>
      <c r="F587" s="63">
        <f t="shared" si="35"/>
        <v>1.8</v>
      </c>
      <c r="G587" s="63">
        <v>1</v>
      </c>
      <c r="H587" s="312"/>
      <c r="I587" s="312"/>
      <c r="J587" s="103"/>
      <c r="K587" s="211">
        <f t="shared" ref="K587:K590" si="36">E587*F587*G587</f>
        <v>4.32</v>
      </c>
      <c r="L587" s="239" t="str">
        <f>IFERROR(VLOOKUP($C587,'SINAPI MAIO 2020'!$1:$1048576,3,0),IFERROR(VLOOKUP($C587,'6-COMP. PROPRIA'!$B$1:$I$808,5,0),""))</f>
        <v/>
      </c>
      <c r="M587" s="104"/>
      <c r="N587" s="105"/>
    </row>
    <row r="588" spans="2:14" ht="17.25" customHeight="1">
      <c r="B588" s="168" t="s">
        <v>6060</v>
      </c>
      <c r="C588" s="20"/>
      <c r="D588" s="20"/>
      <c r="E588" s="102">
        <f t="shared" si="35"/>
        <v>0.54000000000000015</v>
      </c>
      <c r="F588" s="63">
        <f t="shared" si="35"/>
        <v>1.8</v>
      </c>
      <c r="G588" s="63">
        <v>1</v>
      </c>
      <c r="H588" s="312"/>
      <c r="I588" s="312"/>
      <c r="J588" s="103"/>
      <c r="K588" s="211">
        <f t="shared" si="36"/>
        <v>0.97200000000000031</v>
      </c>
      <c r="L588" s="239" t="str">
        <f>IFERROR(VLOOKUP($C588,'SINAPI MAIO 2020'!$1:$1048576,3,0),IFERROR(VLOOKUP($C588,'6-COMP. PROPRIA'!$B$1:$I$808,5,0),""))</f>
        <v/>
      </c>
      <c r="M588" s="104"/>
      <c r="N588" s="105"/>
    </row>
    <row r="589" spans="2:14" ht="17.25" customHeight="1">
      <c r="B589" s="168" t="s">
        <v>6060</v>
      </c>
      <c r="C589" s="20"/>
      <c r="D589" s="20"/>
      <c r="E589" s="102">
        <f t="shared" si="35"/>
        <v>2.4</v>
      </c>
      <c r="F589" s="63">
        <f t="shared" si="35"/>
        <v>1.8</v>
      </c>
      <c r="G589" s="63">
        <v>1</v>
      </c>
      <c r="H589" s="312"/>
      <c r="I589" s="312"/>
      <c r="J589" s="103"/>
      <c r="K589" s="211">
        <f t="shared" si="36"/>
        <v>4.32</v>
      </c>
      <c r="L589" s="239" t="str">
        <f>IFERROR(VLOOKUP($C589,'SINAPI MAIO 2020'!$1:$1048576,3,0),IFERROR(VLOOKUP($C589,'6-COMP. PROPRIA'!$B$1:$I$808,5,0),""))</f>
        <v/>
      </c>
      <c r="M589" s="104"/>
      <c r="N589" s="105"/>
    </row>
    <row r="590" spans="2:14" ht="17.25" customHeight="1">
      <c r="B590" s="164"/>
      <c r="C590" s="20"/>
      <c r="D590" s="20"/>
      <c r="E590" s="102"/>
      <c r="F590" s="63"/>
      <c r="G590" s="63"/>
      <c r="H590" s="312"/>
      <c r="I590" s="312"/>
      <c r="J590" s="103"/>
      <c r="K590" s="211">
        <f t="shared" si="36"/>
        <v>0</v>
      </c>
      <c r="L590" s="239" t="str">
        <f>IFERROR(VLOOKUP($C590,'SINAPI MAIO 2020'!$1:$1048576,3,0),IFERROR(VLOOKUP($C590,'6-COMP. PROPRIA'!$B$1:$I$808,5,0),""))</f>
        <v/>
      </c>
      <c r="M590" s="104"/>
      <c r="N590" s="105"/>
    </row>
    <row r="591" spans="2:14" ht="17.25" customHeight="1">
      <c r="B591" s="164"/>
      <c r="C591" s="20"/>
      <c r="D591" s="20"/>
      <c r="E591" s="238"/>
      <c r="F591" s="312"/>
      <c r="G591" s="312"/>
      <c r="H591" s="312"/>
      <c r="I591" s="312"/>
      <c r="J591" s="103"/>
      <c r="K591" s="211"/>
      <c r="L591" s="239" t="str">
        <f>IFERROR(VLOOKUP($C591,'SINAPI MAIO 2020'!$1:$1048576,3,0),IFERROR(VLOOKUP($C591,'6-COMP. PROPRIA'!$B$1:$I$808,5,0),""))</f>
        <v/>
      </c>
      <c r="M591" s="104"/>
      <c r="N591" s="105"/>
    </row>
    <row r="592" spans="2:14" ht="17.25" customHeight="1">
      <c r="B592" s="164" t="s">
        <v>6225</v>
      </c>
      <c r="C592" s="274" t="str">
        <f>'6-COMP. PROPRIA'!B83</f>
        <v>CP-REV-2</v>
      </c>
      <c r="D592" s="275" t="s">
        <v>980</v>
      </c>
      <c r="E592" s="668" t="str">
        <f>IFERROR(VLOOKUP($C592,'SINAPI MAIO 2020'!$1:$1048576,2,0),IFERROR(VLOOKUP($C592,'6-COMP. PROPRIA'!$B$28:$I$808,4,0),""))</f>
        <v xml:space="preserve">FORNECIMENTO E INSTALAÇÃO DE BANCADAS EM GRANITO POLIDO ESP =2,5CM A 3,0CM </v>
      </c>
      <c r="F592" s="669"/>
      <c r="G592" s="669"/>
      <c r="H592" s="669"/>
      <c r="I592" s="669"/>
      <c r="J592" s="670"/>
      <c r="K592" s="212">
        <f>(1.33+1.11+0.36+0.47+0.65+0.69)*1.3</f>
        <v>5.9930000000000003</v>
      </c>
      <c r="L592" s="239" t="str">
        <f>IFERROR(VLOOKUP($C592,'SINAPI MAIO 2020'!$1:$1048576,3,0),IFERROR(VLOOKUP($C592,'6-COMP. PROPRIA'!$B$1:$I$808,5,0),""))</f>
        <v>M2</v>
      </c>
      <c r="M592" s="104"/>
      <c r="N592" s="105"/>
    </row>
    <row r="593" spans="2:14" ht="17.25" customHeight="1" thickBot="1">
      <c r="B593" s="164"/>
      <c r="C593" s="20"/>
      <c r="D593" s="20"/>
      <c r="E593" s="238"/>
      <c r="F593" s="312"/>
      <c r="G593" s="312"/>
      <c r="H593" s="312"/>
      <c r="I593" s="312"/>
      <c r="J593" s="103"/>
      <c r="K593" s="211"/>
      <c r="L593" s="239" t="str">
        <f>IFERROR(VLOOKUP($C593,'SINAPI MAIO 2020'!$1:$1048576,3,0),IFERROR(VLOOKUP($C593,'6-COMP. PROPRIA'!$B$1:$I$808,5,0),""))</f>
        <v/>
      </c>
      <c r="M593" s="104"/>
      <c r="N593" s="105"/>
    </row>
    <row r="594" spans="2:14" ht="17.25" customHeight="1" thickBot="1">
      <c r="B594" s="165"/>
      <c r="C594" s="90"/>
      <c r="D594" s="279"/>
      <c r="E594" s="674" t="s">
        <v>959</v>
      </c>
      <c r="F594" s="675"/>
      <c r="G594" s="675"/>
      <c r="H594" s="675"/>
      <c r="I594" s="675"/>
      <c r="J594" s="676"/>
      <c r="K594" s="210"/>
      <c r="L594" s="239" t="str">
        <f>IFERROR(VLOOKUP($C594,'SINAPI MAIO 2020'!$1:$1048576,3,0),IFERROR(VLOOKUP($C594,'6-COMP. PROPRIA'!$B$1:$I$808,5,0),""))</f>
        <v/>
      </c>
      <c r="M594" s="94"/>
      <c r="N594" s="109"/>
    </row>
    <row r="595" spans="2:14" ht="17.25" customHeight="1">
      <c r="B595" s="164"/>
      <c r="C595" s="20"/>
      <c r="D595" s="20"/>
      <c r="E595" s="238"/>
      <c r="F595" s="312"/>
      <c r="G595" s="312"/>
      <c r="H595" s="312"/>
      <c r="I595" s="312"/>
      <c r="J595" s="103"/>
      <c r="K595" s="211"/>
      <c r="L595" s="239" t="str">
        <f>IFERROR(VLOOKUP($C595,'SINAPI MAIO 2020'!$1:$1048576,3,0),IFERROR(VLOOKUP($C595,'6-COMP. PROPRIA'!$B$1:$I$808,5,0),""))</f>
        <v/>
      </c>
      <c r="M595" s="104"/>
      <c r="N595" s="105"/>
    </row>
    <row r="596" spans="2:14" ht="34.5" customHeight="1">
      <c r="B596" s="164"/>
      <c r="C596" s="275">
        <v>96485</v>
      </c>
      <c r="D596" s="275" t="s">
        <v>8</v>
      </c>
      <c r="E596" s="668" t="str">
        <f>IFERROR(VLOOKUP($C596,'SINAPI MAIO 2020'!$1:$1048576,2,0),IFERROR(VLOOKUP($C596,'6-COMP. PROPRIA'!$B$28:$I$808,4,0),""))</f>
        <v>FORRO EM RÉGUAS DE PVC, LISO, PARA AMBIENTES RESIDENCIAIS, INCLUSIVE ESTRUTURA DE FIXAÇÃO. AF_05/2017_P</v>
      </c>
      <c r="F596" s="669"/>
      <c r="G596" s="669"/>
      <c r="H596" s="669"/>
      <c r="I596" s="669"/>
      <c r="J596" s="670"/>
      <c r="K596" s="212">
        <f>SUM(K598:K602)</f>
        <v>743.83000000000015</v>
      </c>
      <c r="L596" s="239" t="str">
        <f>IFERROR(VLOOKUP($C596,'SINAPI MAIO 2020'!$1:$1048576,3,0),IFERROR(VLOOKUP($C596,'6-COMP. PROPRIA'!$B$1:$I$808,5,0),""))</f>
        <v>M2</v>
      </c>
      <c r="M596" s="104"/>
      <c r="N596" s="105"/>
    </row>
    <row r="597" spans="2:14" ht="17.25" customHeight="1">
      <c r="B597" s="175"/>
      <c r="C597" s="20"/>
      <c r="D597" s="20"/>
      <c r="E597" s="75" t="s">
        <v>961</v>
      </c>
      <c r="F597" s="309" t="s">
        <v>966</v>
      </c>
      <c r="G597" s="309" t="s">
        <v>964</v>
      </c>
      <c r="H597" s="312"/>
      <c r="I597" s="312"/>
      <c r="J597" s="103"/>
      <c r="K597" s="211"/>
      <c r="L597" s="239" t="str">
        <f>IFERROR(VLOOKUP($C597,'SINAPI MAIO 2020'!$1:$1048576,3,0),IFERROR(VLOOKUP($C597,'6-COMP. PROPRIA'!$B$1:$I$808,5,0),""))</f>
        <v/>
      </c>
      <c r="M597" s="104"/>
      <c r="N597" s="105"/>
    </row>
    <row r="598" spans="2:14" ht="17.25" customHeight="1">
      <c r="B598" s="164" t="s">
        <v>6124</v>
      </c>
      <c r="C598" s="20"/>
      <c r="D598" s="20"/>
      <c r="E598" s="102">
        <v>310.85000000000002</v>
      </c>
      <c r="F598" s="63">
        <v>1</v>
      </c>
      <c r="G598" s="63">
        <v>1</v>
      </c>
      <c r="H598" s="312"/>
      <c r="I598" s="312"/>
      <c r="J598" s="103"/>
      <c r="K598" s="211">
        <f>E598*F598*G598</f>
        <v>310.85000000000002</v>
      </c>
      <c r="L598" s="239" t="str">
        <f>IFERROR(VLOOKUP($C598,'SINAPI MAIO 2020'!$1:$1048576,3,0),IFERROR(VLOOKUP($C598,'6-COMP. PROPRIA'!$B$1:$I$808,5,0),""))</f>
        <v/>
      </c>
      <c r="M598" s="104"/>
      <c r="N598" s="105"/>
    </row>
    <row r="599" spans="2:14" ht="17.25" customHeight="1">
      <c r="B599" s="164" t="s">
        <v>6113</v>
      </c>
      <c r="C599" s="20"/>
      <c r="D599" s="20"/>
      <c r="E599" s="102">
        <f>35.94+10.64+2.98+2.62</f>
        <v>52.179999999999993</v>
      </c>
      <c r="F599" s="63">
        <v>1</v>
      </c>
      <c r="G599" s="63">
        <v>1</v>
      </c>
      <c r="H599" s="312"/>
      <c r="I599" s="312"/>
      <c r="J599" s="103"/>
      <c r="K599" s="211">
        <f t="shared" ref="K599:K602" si="37">E599*F599*G599</f>
        <v>52.179999999999993</v>
      </c>
      <c r="L599" s="239" t="str">
        <f>IFERROR(VLOOKUP($C599,'SINAPI MAIO 2020'!$1:$1048576,3,0),IFERROR(VLOOKUP($C599,'6-COMP. PROPRIA'!$B$1:$I$808,5,0),""))</f>
        <v/>
      </c>
      <c r="M599" s="104"/>
      <c r="N599" s="105"/>
    </row>
    <row r="600" spans="2:14" ht="17.25" customHeight="1">
      <c r="B600" s="164" t="s">
        <v>6125</v>
      </c>
      <c r="C600" s="20"/>
      <c r="D600" s="20"/>
      <c r="E600" s="102">
        <f>3.83+24.88+51.93+51.93+8.53+8.53</f>
        <v>149.63</v>
      </c>
      <c r="F600" s="63">
        <v>1</v>
      </c>
      <c r="G600" s="63">
        <v>1</v>
      </c>
      <c r="H600" s="312"/>
      <c r="I600" s="312"/>
      <c r="J600" s="103"/>
      <c r="K600" s="211">
        <f t="shared" si="37"/>
        <v>149.63</v>
      </c>
      <c r="L600" s="239" t="str">
        <f>IFERROR(VLOOKUP($C600,'SINAPI MAIO 2020'!$1:$1048576,3,0),IFERROR(VLOOKUP($C600,'6-COMP. PROPRIA'!$B$1:$I$808,5,0),""))</f>
        <v/>
      </c>
      <c r="M600" s="104"/>
      <c r="N600" s="105"/>
    </row>
    <row r="601" spans="2:14" ht="17.25" customHeight="1">
      <c r="B601" s="164" t="s">
        <v>6126</v>
      </c>
      <c r="C601" s="20"/>
      <c r="D601" s="20"/>
      <c r="E601" s="102">
        <f>47.36+41.84+47.76+12.33+2.4+16</f>
        <v>167.69000000000003</v>
      </c>
      <c r="F601" s="63">
        <v>1</v>
      </c>
      <c r="G601" s="63">
        <v>1</v>
      </c>
      <c r="H601" s="312"/>
      <c r="I601" s="312"/>
      <c r="J601" s="103"/>
      <c r="K601" s="211">
        <f t="shared" si="37"/>
        <v>167.69000000000003</v>
      </c>
      <c r="L601" s="239" t="str">
        <f>IFERROR(VLOOKUP($C601,'SINAPI MAIO 2020'!$1:$1048576,3,0),IFERROR(VLOOKUP($C601,'6-COMP. PROPRIA'!$B$1:$I$808,5,0),""))</f>
        <v/>
      </c>
      <c r="M601" s="104"/>
      <c r="N601" s="105"/>
    </row>
    <row r="602" spans="2:14" ht="17.25" customHeight="1">
      <c r="B602" s="164" t="s">
        <v>6127</v>
      </c>
      <c r="C602" s="20"/>
      <c r="D602" s="20"/>
      <c r="E602" s="102">
        <v>63.48</v>
      </c>
      <c r="F602" s="63">
        <v>1</v>
      </c>
      <c r="G602" s="63">
        <v>1</v>
      </c>
      <c r="H602" s="312"/>
      <c r="I602" s="312"/>
      <c r="J602" s="103"/>
      <c r="K602" s="211">
        <f t="shared" si="37"/>
        <v>63.48</v>
      </c>
      <c r="L602" s="239" t="str">
        <f>IFERROR(VLOOKUP($C602,'SINAPI MAIO 2020'!$1:$1048576,3,0),IFERROR(VLOOKUP($C602,'6-COMP. PROPRIA'!$B$1:$I$808,5,0),""))</f>
        <v/>
      </c>
      <c r="M602" s="104"/>
      <c r="N602" s="105"/>
    </row>
    <row r="603" spans="2:14" ht="17.25" customHeight="1" thickBot="1">
      <c r="B603" s="164"/>
      <c r="C603" s="20"/>
      <c r="D603" s="20"/>
      <c r="E603" s="124"/>
      <c r="F603" s="49"/>
      <c r="G603" s="51"/>
      <c r="H603" s="49"/>
      <c r="I603" s="49"/>
      <c r="J603" s="119"/>
      <c r="K603" s="211"/>
      <c r="L603" s="239" t="str">
        <f>IFERROR(VLOOKUP($C603,'SINAPI MAIO 2020'!$1:$1048576,3,0),IFERROR(VLOOKUP($C603,'6-COMP. PROPRIA'!$B$1:$I$808,5,0),""))</f>
        <v/>
      </c>
      <c r="M603" s="104"/>
      <c r="N603" s="105"/>
    </row>
    <row r="604" spans="2:14" ht="17.25" customHeight="1" thickBot="1">
      <c r="B604" s="165"/>
      <c r="C604" s="90"/>
      <c r="D604" s="279"/>
      <c r="E604" s="687" t="s">
        <v>4663</v>
      </c>
      <c r="F604" s="688"/>
      <c r="G604" s="688"/>
      <c r="H604" s="688"/>
      <c r="I604" s="688"/>
      <c r="J604" s="689"/>
      <c r="K604" s="210"/>
      <c r="L604" s="239" t="str">
        <f>IFERROR(VLOOKUP($C604,'SINAPI MAIO 2020'!$1:$1048576,3,0),IFERROR(VLOOKUP($C604,'6-COMP. PROPRIA'!$B$1:$I$808,5,0),""))</f>
        <v/>
      </c>
      <c r="M604" s="94"/>
      <c r="N604" s="109"/>
    </row>
    <row r="605" spans="2:14" ht="17.25" customHeight="1" thickBot="1">
      <c r="B605" s="168"/>
      <c r="C605" s="20"/>
      <c r="D605" s="277"/>
      <c r="E605" s="674" t="s">
        <v>5306</v>
      </c>
      <c r="F605" s="675"/>
      <c r="G605" s="675"/>
      <c r="H605" s="675"/>
      <c r="I605" s="675"/>
      <c r="J605" s="676"/>
      <c r="K605" s="215"/>
      <c r="L605" s="239" t="str">
        <f>IFERROR(VLOOKUP($C605,'SINAPI MAIO 2020'!$1:$1048576,3,0),IFERROR(VLOOKUP($C605,'6-COMP. PROPRIA'!$B$1:$I$808,5,0),""))</f>
        <v/>
      </c>
      <c r="M605" s="94"/>
      <c r="N605" s="109"/>
    </row>
    <row r="606" spans="2:14" ht="17.25" customHeight="1">
      <c r="B606" s="168"/>
      <c r="C606" s="20"/>
      <c r="D606" s="20"/>
      <c r="E606" s="238"/>
      <c r="F606" s="312"/>
      <c r="G606" s="312"/>
      <c r="H606" s="312"/>
      <c r="I606" s="312"/>
      <c r="J606" s="103"/>
      <c r="K606" s="215"/>
      <c r="L606" s="239" t="str">
        <f>IFERROR(VLOOKUP($C606,'SINAPI MAIO 2020'!$1:$1048576,3,0),IFERROR(VLOOKUP($C606,'6-COMP. PROPRIA'!$B$1:$I$808,5,0),""))</f>
        <v/>
      </c>
      <c r="M606" s="94"/>
      <c r="N606" s="109"/>
    </row>
    <row r="607" spans="2:14" ht="17.25" customHeight="1">
      <c r="B607" s="164"/>
      <c r="C607" s="274" t="str">
        <f>'6-COMP. PROPRIA'!B90</f>
        <v>CP-PIN-1</v>
      </c>
      <c r="D607" s="275" t="s">
        <v>980</v>
      </c>
      <c r="E607" s="668" t="str">
        <f>IFERROR(VLOOKUP($C607,'SINAPI MAIO 2020'!$1:$1048576,2,0),IFERROR(VLOOKUP($C607,'6-COMP. PROPRIA'!$B$28:$I$808,4,0),""))</f>
        <v>LIXAMENTO MANUAL DE ALVENARIA</v>
      </c>
      <c r="F607" s="669"/>
      <c r="G607" s="669"/>
      <c r="H607" s="669"/>
      <c r="I607" s="669"/>
      <c r="J607" s="670"/>
      <c r="K607" s="212">
        <f>SUM(K610:K612)</f>
        <v>459.36</v>
      </c>
      <c r="L607" s="239" t="str">
        <f>IFERROR(VLOOKUP($C607,'SINAPI MAIO 2020'!$1:$1048576,3,0),IFERROR(VLOOKUP($C607,'6-COMP. PROPRIA'!$B$1:$I$808,5,0),""))</f>
        <v>M2</v>
      </c>
      <c r="M607" s="94"/>
      <c r="N607" s="109"/>
    </row>
    <row r="608" spans="2:14" ht="17.25" customHeight="1">
      <c r="B608" s="164"/>
      <c r="C608" s="20"/>
      <c r="D608" s="20"/>
      <c r="E608" s="238"/>
      <c r="F608" s="312"/>
      <c r="G608" s="680" t="s">
        <v>956</v>
      </c>
      <c r="H608" s="680"/>
      <c r="I608" s="680"/>
      <c r="J608" s="681"/>
      <c r="K608" s="212"/>
      <c r="L608" s="239" t="str">
        <f>IFERROR(VLOOKUP($C608,'SINAPI MAIO 2020'!$1:$1048576,3,0),IFERROR(VLOOKUP($C608,'6-COMP. PROPRIA'!$B$1:$I$808,5,0),""))</f>
        <v/>
      </c>
      <c r="M608" s="94"/>
      <c r="N608" s="109"/>
    </row>
    <row r="609" spans="2:17" ht="17.25" customHeight="1">
      <c r="B609" s="164"/>
      <c r="C609" s="20"/>
      <c r="D609" s="20"/>
      <c r="E609" s="75" t="s">
        <v>5304</v>
      </c>
      <c r="F609" s="309" t="s">
        <v>4492</v>
      </c>
      <c r="G609" s="311" t="s">
        <v>899</v>
      </c>
      <c r="H609" s="311" t="s">
        <v>898</v>
      </c>
      <c r="I609" s="311" t="s">
        <v>948</v>
      </c>
      <c r="J609" s="310" t="s">
        <v>955</v>
      </c>
      <c r="K609" s="212"/>
      <c r="L609" s="239" t="str">
        <f>IFERROR(VLOOKUP($C609,'SINAPI MAIO 2020'!$1:$1048576,3,0),IFERROR(VLOOKUP($C609,'6-COMP. PROPRIA'!$B$1:$I$808,5,0),""))</f>
        <v/>
      </c>
      <c r="M609" s="94"/>
      <c r="N609" s="109"/>
      <c r="Q609" s="5">
        <v>1048576</v>
      </c>
    </row>
    <row r="610" spans="2:17" ht="17.25" customHeight="1">
      <c r="B610" s="164" t="s">
        <v>6128</v>
      </c>
      <c r="C610" s="70"/>
      <c r="D610" s="70"/>
      <c r="E610" s="102">
        <f>13.2+2.2+2.2</f>
        <v>17.599999999999998</v>
      </c>
      <c r="F610" s="63">
        <v>1.8</v>
      </c>
      <c r="G610" s="240">
        <v>0</v>
      </c>
      <c r="H610" s="240">
        <v>0</v>
      </c>
      <c r="I610" s="240">
        <v>0</v>
      </c>
      <c r="J610" s="162">
        <f t="shared" ref="J610" si="38">G610*H610*I610</f>
        <v>0</v>
      </c>
      <c r="K610" s="62">
        <f>E610*F610-J610</f>
        <v>31.679999999999996</v>
      </c>
      <c r="L610" s="239" t="str">
        <f>IFERROR(VLOOKUP($C610,'SINAPI MAIO 2020'!$1:$1048576,3,0),IFERROR(VLOOKUP($C610,'6-COMP. PROPRIA'!$B$1:$I$808,5,0),""))</f>
        <v/>
      </c>
      <c r="M610" s="94"/>
      <c r="N610" s="109"/>
    </row>
    <row r="611" spans="2:17" ht="17.25" customHeight="1">
      <c r="B611" s="164" t="s">
        <v>6129</v>
      </c>
      <c r="C611" s="70"/>
      <c r="D611" s="70"/>
      <c r="E611" s="102">
        <f>51.94+51.94+20.44</f>
        <v>124.32</v>
      </c>
      <c r="F611" s="63">
        <v>1.8</v>
      </c>
      <c r="G611" s="240"/>
      <c r="H611" s="240"/>
      <c r="I611" s="240"/>
      <c r="J611" s="162"/>
      <c r="K611" s="62">
        <f t="shared" ref="K611:K612" si="39">E611*F611-J611</f>
        <v>223.77599999999998</v>
      </c>
      <c r="L611" s="239" t="str">
        <f>IFERROR(VLOOKUP($C611,'SINAPI MAIO 2020'!$1:$1048576,3,0),IFERROR(VLOOKUP($C611,'6-COMP. PROPRIA'!$B$1:$I$808,5,0),""))</f>
        <v/>
      </c>
      <c r="M611" s="94"/>
      <c r="N611" s="109"/>
    </row>
    <row r="612" spans="2:17" ht="17.25" customHeight="1">
      <c r="B612" s="164" t="s">
        <v>6130</v>
      </c>
      <c r="C612" s="70"/>
      <c r="D612" s="70"/>
      <c r="E612" s="102">
        <f>27.82+25.92+27.92+15.62+16</f>
        <v>113.28</v>
      </c>
      <c r="F612" s="63">
        <v>1.8</v>
      </c>
      <c r="G612" s="240"/>
      <c r="H612" s="240"/>
      <c r="I612" s="240"/>
      <c r="J612" s="162"/>
      <c r="K612" s="62">
        <f t="shared" si="39"/>
        <v>203.904</v>
      </c>
      <c r="L612" s="239" t="str">
        <f>IFERROR(VLOOKUP($C612,'SINAPI MAIO 2020'!$1:$1048576,3,0),IFERROR(VLOOKUP($C612,'6-COMP. PROPRIA'!$B$1:$I$808,5,0),""))</f>
        <v/>
      </c>
      <c r="M612" s="94"/>
      <c r="N612" s="109"/>
    </row>
    <row r="613" spans="2:17" ht="17.25" customHeight="1">
      <c r="B613" s="164"/>
      <c r="C613" s="70"/>
      <c r="D613" s="70"/>
      <c r="E613" s="102"/>
      <c r="F613" s="63"/>
      <c r="G613" s="240"/>
      <c r="H613" s="240"/>
      <c r="I613" s="240"/>
      <c r="J613" s="162"/>
      <c r="K613" s="62"/>
      <c r="L613" s="239" t="str">
        <f>IFERROR(VLOOKUP($C613,'SINAPI MAIO 2020'!$1:$1048576,3,0),IFERROR(VLOOKUP($C613,'6-COMP. PROPRIA'!$B$1:$I$808,5,0),""))</f>
        <v/>
      </c>
      <c r="M613" s="94"/>
      <c r="N613" s="109"/>
    </row>
    <row r="614" spans="2:17" ht="17.25" customHeight="1">
      <c r="B614" s="164"/>
      <c r="C614" s="20"/>
      <c r="D614" s="20"/>
      <c r="E614" s="238"/>
      <c r="F614" s="312"/>
      <c r="G614" s="312"/>
      <c r="H614" s="312"/>
      <c r="I614" s="312"/>
      <c r="J614" s="103"/>
      <c r="K614" s="215"/>
      <c r="L614" s="239" t="str">
        <f>IFERROR(VLOOKUP($C614,'SINAPI MAIO 2020'!$1:$1048576,3,0),IFERROR(VLOOKUP($C614,'6-COMP. PROPRIA'!$B$1:$I$808,5,0),""))</f>
        <v/>
      </c>
      <c r="M614" s="94"/>
      <c r="N614" s="109"/>
    </row>
    <row r="615" spans="2:17" ht="17.25" customHeight="1">
      <c r="B615" s="164"/>
      <c r="C615" s="275">
        <v>88485</v>
      </c>
      <c r="D615" s="275" t="s">
        <v>8</v>
      </c>
      <c r="E615" s="668" t="str">
        <f>IFERROR(VLOOKUP($C615,'SINAPI MAIO 2020'!$1:$1048576,2,0),IFERROR(VLOOKUP($C615,'6-COMP. PROPRIA'!$B$28:$I$808,4,0),""))</f>
        <v>APLICAÇÃO DE FUNDO SELADOR ACRÍLICO EM PAREDES, UMA DEMÃO. AF_06/2014</v>
      </c>
      <c r="F615" s="669"/>
      <c r="G615" s="669"/>
      <c r="H615" s="669"/>
      <c r="I615" s="669"/>
      <c r="J615" s="670"/>
      <c r="K615" s="212">
        <f>SUM(K618:K621)</f>
        <v>459.36</v>
      </c>
      <c r="L615" s="239" t="str">
        <f>IFERROR(VLOOKUP($C615,'SINAPI MAIO 2020'!$1:$1048576,3,0),IFERROR(VLOOKUP($C615,'6-COMP. PROPRIA'!$B$1:$I$808,5,0),""))</f>
        <v>M2</v>
      </c>
      <c r="M615" s="94"/>
      <c r="N615" s="109"/>
    </row>
    <row r="616" spans="2:17" ht="17.25" customHeight="1">
      <c r="B616" s="164"/>
      <c r="C616" s="20"/>
      <c r="D616" s="20"/>
      <c r="E616" s="238"/>
      <c r="F616" s="312"/>
      <c r="G616" s="680" t="s">
        <v>956</v>
      </c>
      <c r="H616" s="680"/>
      <c r="I616" s="680"/>
      <c r="J616" s="681"/>
      <c r="K616" s="215"/>
      <c r="L616" s="239" t="str">
        <f>IFERROR(VLOOKUP($C616,'SINAPI MAIO 2020'!$1:$1048576,3,0),IFERROR(VLOOKUP($C616,'6-COMP. PROPRIA'!$B$1:$I$808,5,0),""))</f>
        <v/>
      </c>
      <c r="M616" s="94"/>
      <c r="N616" s="109"/>
    </row>
    <row r="617" spans="2:17" ht="17.25" customHeight="1">
      <c r="B617" s="164"/>
      <c r="C617" s="20"/>
      <c r="D617" s="20"/>
      <c r="E617" s="75" t="s">
        <v>957</v>
      </c>
      <c r="F617" s="309" t="s">
        <v>4492</v>
      </c>
      <c r="G617" s="311" t="s">
        <v>899</v>
      </c>
      <c r="H617" s="311" t="s">
        <v>898</v>
      </c>
      <c r="I617" s="311" t="s">
        <v>948</v>
      </c>
      <c r="J617" s="310" t="s">
        <v>955</v>
      </c>
      <c r="K617" s="62"/>
      <c r="L617" s="239" t="str">
        <f>IFERROR(VLOOKUP($C617,'SINAPI MAIO 2020'!$1:$1048576,3,0),IFERROR(VLOOKUP($C617,'6-COMP. PROPRIA'!$B$1:$I$808,5,0),""))</f>
        <v/>
      </c>
      <c r="M617" s="104"/>
      <c r="N617" s="105"/>
      <c r="Q617" s="5">
        <f>8*48</f>
        <v>384</v>
      </c>
    </row>
    <row r="618" spans="2:17" ht="17.25" customHeight="1">
      <c r="B618" s="164" t="s">
        <v>6128</v>
      </c>
      <c r="C618" s="70"/>
      <c r="D618" s="70"/>
      <c r="E618" s="102">
        <f>E610</f>
        <v>17.599999999999998</v>
      </c>
      <c r="F618" s="63">
        <f>F610</f>
        <v>1.8</v>
      </c>
      <c r="G618" s="240">
        <v>0</v>
      </c>
      <c r="H618" s="240">
        <v>0</v>
      </c>
      <c r="I618" s="240">
        <v>0</v>
      </c>
      <c r="J618" s="162">
        <f>G618*H618*I618</f>
        <v>0</v>
      </c>
      <c r="K618" s="62">
        <f>E618*F618-J618</f>
        <v>31.679999999999996</v>
      </c>
      <c r="L618" s="239" t="str">
        <f>IFERROR(VLOOKUP($C618,'SINAPI MAIO 2020'!$1:$1048576,3,0),IFERROR(VLOOKUP($C618,'6-COMP. PROPRIA'!$B$1:$I$808,5,0),""))</f>
        <v/>
      </c>
      <c r="M618" s="104"/>
      <c r="N618" s="105"/>
    </row>
    <row r="619" spans="2:17" ht="17.25" customHeight="1">
      <c r="B619" s="164" t="s">
        <v>6129</v>
      </c>
      <c r="C619" s="70"/>
      <c r="D619" s="70"/>
      <c r="E619" s="102">
        <f t="shared" ref="E619:F620" si="40">E611</f>
        <v>124.32</v>
      </c>
      <c r="F619" s="63">
        <f t="shared" si="40"/>
        <v>1.8</v>
      </c>
      <c r="G619" s="240"/>
      <c r="H619" s="240"/>
      <c r="I619" s="240"/>
      <c r="J619" s="162"/>
      <c r="K619" s="62">
        <f t="shared" ref="K619:K620" si="41">E619*F619-J619</f>
        <v>223.77599999999998</v>
      </c>
      <c r="L619" s="239" t="str">
        <f>IFERROR(VLOOKUP($C619,'SINAPI MAIO 2020'!$1:$1048576,3,0),IFERROR(VLOOKUP($C619,'6-COMP. PROPRIA'!$B$1:$I$808,5,0),""))</f>
        <v/>
      </c>
      <c r="M619" s="104"/>
      <c r="N619" s="105"/>
    </row>
    <row r="620" spans="2:17" ht="17.25" customHeight="1">
      <c r="B620" s="164" t="s">
        <v>6130</v>
      </c>
      <c r="C620" s="70"/>
      <c r="D620" s="70"/>
      <c r="E620" s="102">
        <f t="shared" si="40"/>
        <v>113.28</v>
      </c>
      <c r="F620" s="63">
        <f t="shared" si="40"/>
        <v>1.8</v>
      </c>
      <c r="G620" s="240"/>
      <c r="H620" s="240"/>
      <c r="I620" s="240"/>
      <c r="J620" s="162"/>
      <c r="K620" s="62">
        <f t="shared" si="41"/>
        <v>203.904</v>
      </c>
      <c r="L620" s="239" t="str">
        <f>IFERROR(VLOOKUP($C620,'SINAPI MAIO 2020'!$1:$1048576,3,0),IFERROR(VLOOKUP($C620,'6-COMP. PROPRIA'!$B$1:$I$808,5,0),""))</f>
        <v/>
      </c>
      <c r="M620" s="104"/>
      <c r="N620" s="105"/>
    </row>
    <row r="621" spans="2:17" ht="17.25" customHeight="1">
      <c r="B621" s="164"/>
      <c r="C621" s="70"/>
      <c r="D621" s="70"/>
      <c r="E621" s="124"/>
      <c r="F621" s="49"/>
      <c r="G621" s="49"/>
      <c r="H621" s="49"/>
      <c r="I621" s="49"/>
      <c r="J621" s="162"/>
      <c r="K621" s="62"/>
      <c r="L621" s="239" t="str">
        <f>IFERROR(VLOOKUP($C621,'SINAPI MAIO 2020'!$1:$1048576,3,0),IFERROR(VLOOKUP($C621,'6-COMP. PROPRIA'!$B$1:$I$808,5,0),""))</f>
        <v/>
      </c>
      <c r="M621" s="104"/>
      <c r="N621" s="105"/>
    </row>
    <row r="622" spans="2:17" ht="17.25" customHeight="1">
      <c r="B622" s="164"/>
      <c r="C622" s="275">
        <v>88489</v>
      </c>
      <c r="D622" s="275" t="s">
        <v>8</v>
      </c>
      <c r="E622" s="668" t="str">
        <f>IFERROR(VLOOKUP($C622,'SINAPI MAIO 2020'!$1:$1048576,2,0),IFERROR(VLOOKUP($C622,'6-COMP. PROPRIA'!$B$28:$I$808,4,0),""))</f>
        <v>APLICAÇÃO MANUAL DE PINTURA COM TINTA LÁTEX ACRÍLICA EM PAREDES, DUAS DEMÃOS. AF_06/2014</v>
      </c>
      <c r="F622" s="669"/>
      <c r="G622" s="669"/>
      <c r="H622" s="669"/>
      <c r="I622" s="669"/>
      <c r="J622" s="670"/>
      <c r="K622" s="212">
        <f>SUM(K625:K627)</f>
        <v>459.36</v>
      </c>
      <c r="L622" s="239" t="str">
        <f>IFERROR(VLOOKUP($C622,'SINAPI MAIO 2020'!$1:$1048576,3,0),IFERROR(VLOOKUP($C622,'6-COMP. PROPRIA'!$B$1:$I$808,5,0),""))</f>
        <v>M2</v>
      </c>
      <c r="M622" s="246" t="e">
        <f>#REF!</f>
        <v>#REF!</v>
      </c>
      <c r="N622" s="245" t="s">
        <v>40</v>
      </c>
    </row>
    <row r="623" spans="2:17" ht="17.25" customHeight="1">
      <c r="B623" s="164"/>
      <c r="C623" s="20"/>
      <c r="D623" s="20"/>
      <c r="E623" s="238"/>
      <c r="F623" s="312"/>
      <c r="G623" s="680" t="s">
        <v>956</v>
      </c>
      <c r="H623" s="680"/>
      <c r="I623" s="680"/>
      <c r="J623" s="681"/>
      <c r="K623" s="215"/>
      <c r="L623" s="239" t="str">
        <f>IFERROR(VLOOKUP($C623,'SINAPI MAIO 2020'!$1:$1048576,3,0),IFERROR(VLOOKUP($C623,'6-COMP. PROPRIA'!$B$1:$I$808,5,0),""))</f>
        <v/>
      </c>
      <c r="M623" s="94"/>
      <c r="N623" s="109"/>
    </row>
    <row r="624" spans="2:17" ht="17.25" customHeight="1">
      <c r="B624" s="164"/>
      <c r="C624" s="20"/>
      <c r="D624" s="20"/>
      <c r="E624" s="75" t="s">
        <v>957</v>
      </c>
      <c r="F624" s="309" t="s">
        <v>4492</v>
      </c>
      <c r="G624" s="311" t="s">
        <v>899</v>
      </c>
      <c r="H624" s="311" t="s">
        <v>898</v>
      </c>
      <c r="I624" s="311" t="s">
        <v>948</v>
      </c>
      <c r="J624" s="310" t="s">
        <v>955</v>
      </c>
      <c r="K624" s="62"/>
      <c r="L624" s="239" t="str">
        <f>IFERROR(VLOOKUP($C624,'SINAPI MAIO 2020'!$1:$1048576,3,0),IFERROR(VLOOKUP($C624,'6-COMP. PROPRIA'!$B$1:$I$808,5,0),""))</f>
        <v/>
      </c>
      <c r="M624" s="104"/>
      <c r="N624" s="105"/>
    </row>
    <row r="625" spans="2:14" ht="17.25" customHeight="1">
      <c r="B625" s="164" t="s">
        <v>6128</v>
      </c>
      <c r="C625" s="70"/>
      <c r="D625" s="70"/>
      <c r="E625" s="102">
        <f>E618</f>
        <v>17.599999999999998</v>
      </c>
      <c r="F625" s="63">
        <f>F618</f>
        <v>1.8</v>
      </c>
      <c r="G625" s="240">
        <v>0</v>
      </c>
      <c r="H625" s="240">
        <v>0</v>
      </c>
      <c r="I625" s="240">
        <v>0</v>
      </c>
      <c r="J625" s="162">
        <f>G625*H625*I625</f>
        <v>0</v>
      </c>
      <c r="K625" s="62">
        <f>E625*F625-J625</f>
        <v>31.679999999999996</v>
      </c>
      <c r="L625" s="239" t="str">
        <f>IFERROR(VLOOKUP($C625,'SINAPI MAIO 2020'!$1:$1048576,3,0),IFERROR(VLOOKUP($C625,'6-COMP. PROPRIA'!$B$1:$I$808,5,0),""))</f>
        <v/>
      </c>
      <c r="M625" s="104"/>
      <c r="N625" s="105"/>
    </row>
    <row r="626" spans="2:14" ht="17.25" customHeight="1">
      <c r="B626" s="164" t="s">
        <v>6129</v>
      </c>
      <c r="C626" s="70"/>
      <c r="D626" s="70"/>
      <c r="E626" s="102">
        <f t="shared" ref="E626:F627" si="42">E619</f>
        <v>124.32</v>
      </c>
      <c r="F626" s="63">
        <f t="shared" si="42"/>
        <v>1.8</v>
      </c>
      <c r="G626" s="240"/>
      <c r="H626" s="240"/>
      <c r="I626" s="240"/>
      <c r="J626" s="162"/>
      <c r="K626" s="62">
        <f t="shared" ref="K626:K627" si="43">E626*F626-J626</f>
        <v>223.77599999999998</v>
      </c>
      <c r="L626" s="239" t="str">
        <f>IFERROR(VLOOKUP($C626,'SINAPI MAIO 2020'!$1:$1048576,3,0),IFERROR(VLOOKUP($C626,'6-COMP. PROPRIA'!$B$1:$I$808,5,0),""))</f>
        <v/>
      </c>
      <c r="M626" s="104"/>
      <c r="N626" s="105"/>
    </row>
    <row r="627" spans="2:14" ht="17.25" customHeight="1">
      <c r="B627" s="164" t="s">
        <v>6130</v>
      </c>
      <c r="C627" s="70"/>
      <c r="D627" s="70"/>
      <c r="E627" s="102">
        <f t="shared" si="42"/>
        <v>113.28</v>
      </c>
      <c r="F627" s="63">
        <f t="shared" si="42"/>
        <v>1.8</v>
      </c>
      <c r="G627" s="240"/>
      <c r="H627" s="240"/>
      <c r="I627" s="240"/>
      <c r="J627" s="162"/>
      <c r="K627" s="62">
        <f t="shared" si="43"/>
        <v>203.904</v>
      </c>
      <c r="L627" s="239" t="str">
        <f>IFERROR(VLOOKUP($C627,'SINAPI MAIO 2020'!$1:$1048576,3,0),IFERROR(VLOOKUP($C627,'6-COMP. PROPRIA'!$B$1:$I$808,5,0),""))</f>
        <v/>
      </c>
      <c r="M627" s="104"/>
      <c r="N627" s="105"/>
    </row>
    <row r="628" spans="2:14" ht="17.25" customHeight="1">
      <c r="B628" s="164"/>
      <c r="C628" s="70"/>
      <c r="D628" s="70"/>
      <c r="E628" s="102"/>
      <c r="F628" s="63"/>
      <c r="G628" s="240"/>
      <c r="H628" s="240"/>
      <c r="I628" s="240"/>
      <c r="J628" s="162"/>
      <c r="K628" s="62"/>
      <c r="L628" s="239" t="str">
        <f>IFERROR(VLOOKUP($C628,'SINAPI MAIO 2020'!$1:$1048576,3,0),IFERROR(VLOOKUP($C628,'6-COMP. PROPRIA'!$B$1:$I$808,5,0),""))</f>
        <v/>
      </c>
      <c r="M628" s="104"/>
      <c r="N628" s="105"/>
    </row>
    <row r="629" spans="2:14" ht="17.25" customHeight="1">
      <c r="B629" s="164"/>
      <c r="C629" s="70"/>
      <c r="D629" s="70"/>
      <c r="E629" s="124"/>
      <c r="F629" s="49"/>
      <c r="G629" s="49"/>
      <c r="H629" s="49"/>
      <c r="I629" s="49"/>
      <c r="J629" s="162"/>
      <c r="K629" s="216"/>
      <c r="L629" s="239" t="str">
        <f>IFERROR(VLOOKUP($C629,'SINAPI MAIO 2020'!$1:$1048576,3,0),IFERROR(VLOOKUP($C629,'6-COMP. PROPRIA'!$B$1:$I$808,5,0),""))</f>
        <v/>
      </c>
      <c r="M629" s="104"/>
      <c r="N629" s="105"/>
    </row>
    <row r="630" spans="2:14" ht="15">
      <c r="B630" s="164"/>
      <c r="C630" s="274" t="str">
        <f>'6-COMP. PROPRIA'!B95</f>
        <v>CP-PIN-2</v>
      </c>
      <c r="D630" s="275" t="s">
        <v>980</v>
      </c>
      <c r="E630" s="668" t="str">
        <f>IFERROR(VLOOKUP($C630,'SINAPI MAIO 2020'!$1:$1048576,2,0),IFERROR(VLOOKUP($C630,'6-COMP. PROPRIA'!$B$28:$I$808,4,0),""))</f>
        <v xml:space="preserve">PINTURA DE QUADRO ESCOLAR COM TINTA ESMALTE ACABAMENTO FOSCO, DUAS DEMÃOS SOBRE MASSA ACRILICA </v>
      </c>
      <c r="F630" s="669"/>
      <c r="G630" s="669"/>
      <c r="H630" s="669"/>
      <c r="I630" s="669"/>
      <c r="J630" s="670"/>
      <c r="K630" s="212">
        <f>SUM(K632:K632)</f>
        <v>33.6</v>
      </c>
      <c r="L630" s="239" t="str">
        <f>IFERROR(VLOOKUP($C630,'SINAPI MAIO 2020'!$1:$1048576,3,0),IFERROR(VLOOKUP($C630,'6-COMP. PROPRIA'!$B$1:$I$808,5,0),""))</f>
        <v>M2</v>
      </c>
      <c r="M630" s="104"/>
      <c r="N630" s="105"/>
    </row>
    <row r="631" spans="2:14" ht="17.25" customHeight="1">
      <c r="B631" s="164"/>
      <c r="C631" s="20"/>
      <c r="D631" s="20"/>
      <c r="E631" s="75" t="s">
        <v>961</v>
      </c>
      <c r="F631" s="309" t="s">
        <v>966</v>
      </c>
      <c r="G631" s="309" t="s">
        <v>964</v>
      </c>
      <c r="H631" s="312"/>
      <c r="I631" s="312"/>
      <c r="J631" s="103"/>
      <c r="K631" s="211"/>
      <c r="L631" s="239" t="str">
        <f>IFERROR(VLOOKUP($C631,'SINAPI MAIO 2020'!$1:$1048576,3,0),IFERROR(VLOOKUP($C631,'6-COMP. PROPRIA'!$B$1:$I$808,5,0),""))</f>
        <v/>
      </c>
      <c r="M631" s="104"/>
      <c r="N631" s="105"/>
    </row>
    <row r="632" spans="2:14" ht="17.25" customHeight="1">
      <c r="B632" s="164"/>
      <c r="C632" s="20"/>
      <c r="D632" s="20"/>
      <c r="E632" s="102">
        <v>4</v>
      </c>
      <c r="F632" s="63">
        <v>1.2</v>
      </c>
      <c r="G632" s="63">
        <v>7</v>
      </c>
      <c r="H632" s="312"/>
      <c r="I632" s="312"/>
      <c r="J632" s="103"/>
      <c r="K632" s="211">
        <f>E632*F632*G632</f>
        <v>33.6</v>
      </c>
      <c r="L632" s="239" t="str">
        <f>IFERROR(VLOOKUP($C632,'SINAPI MAIO 2020'!$1:$1048576,3,0),IFERROR(VLOOKUP($C632,'6-COMP. PROPRIA'!$B$1:$I$808,5,0),""))</f>
        <v/>
      </c>
      <c r="M632" s="104"/>
      <c r="N632" s="105"/>
    </row>
    <row r="633" spans="2:14" ht="17.25" customHeight="1">
      <c r="B633" s="164"/>
      <c r="C633" s="20"/>
      <c r="D633" s="20"/>
      <c r="E633" s="238"/>
      <c r="F633" s="312"/>
      <c r="G633" s="312"/>
      <c r="H633" s="312"/>
      <c r="I633" s="312"/>
      <c r="J633" s="103"/>
      <c r="K633" s="211"/>
      <c r="L633" s="239" t="str">
        <f>IFERROR(VLOOKUP($C633,'SINAPI MAIO 2020'!$1:$1048576,3,0),IFERROR(VLOOKUP($C633,'6-COMP. PROPRIA'!$B$1:$I$808,5,0),""))</f>
        <v/>
      </c>
      <c r="M633" s="104"/>
      <c r="N633" s="105"/>
    </row>
    <row r="634" spans="2:14" ht="17.25" customHeight="1">
      <c r="B634" s="164"/>
      <c r="C634" s="274" t="str">
        <f>'6-COMP. PROPRIA'!B104</f>
        <v>CP-PIN-03</v>
      </c>
      <c r="D634" s="275" t="s">
        <v>980</v>
      </c>
      <c r="E634" s="668" t="str">
        <f>IFERROR(VLOOKUP($C634,'SINAPI MAIO 2020'!$1:$1048576,2,0),IFERROR(VLOOKUP($C634,'6-COMP. PROPRIA'!$B$28:$I$808,4,0),""))</f>
        <v xml:space="preserve">PINTURA COM TINTA ESMALTE SINTÉTICO </v>
      </c>
      <c r="F634" s="669"/>
      <c r="G634" s="669"/>
      <c r="H634" s="669"/>
      <c r="I634" s="669"/>
      <c r="J634" s="670"/>
      <c r="K634" s="212">
        <f>SUM(K636:K638)</f>
        <v>306.24</v>
      </c>
      <c r="L634" s="239" t="str">
        <f>IFERROR(VLOOKUP($C634,'SINAPI MAIO 2020'!$1:$1048576,3,0),IFERROR(VLOOKUP($C634,'6-COMP. PROPRIA'!$B$1:$I$808,5,0),""))</f>
        <v>M2</v>
      </c>
      <c r="M634" s="104"/>
      <c r="N634" s="105"/>
    </row>
    <row r="635" spans="2:14" ht="17.25" customHeight="1">
      <c r="B635" s="164"/>
      <c r="C635" s="20"/>
      <c r="D635" s="20"/>
      <c r="E635" s="75" t="s">
        <v>961</v>
      </c>
      <c r="F635" s="309" t="s">
        <v>966</v>
      </c>
      <c r="G635" s="309" t="s">
        <v>964</v>
      </c>
      <c r="H635" s="312"/>
      <c r="I635" s="312"/>
      <c r="J635" s="103"/>
      <c r="K635" s="211"/>
      <c r="L635" s="239" t="str">
        <f>IFERROR(VLOOKUP($C635,'SINAPI MAIO 2020'!$1:$1048576,3,0),IFERROR(VLOOKUP($C635,'6-COMP. PROPRIA'!$B$1:$I$808,5,0),""))</f>
        <v/>
      </c>
      <c r="M635" s="104"/>
      <c r="N635" s="105"/>
    </row>
    <row r="636" spans="2:14" ht="17.25" customHeight="1">
      <c r="B636" s="164" t="s">
        <v>6128</v>
      </c>
      <c r="C636" s="20"/>
      <c r="D636" s="20"/>
      <c r="E636" s="102">
        <f>E625</f>
        <v>17.599999999999998</v>
      </c>
      <c r="F636" s="63">
        <v>1.2</v>
      </c>
      <c r="G636" s="63">
        <v>1</v>
      </c>
      <c r="H636" s="312"/>
      <c r="I636" s="312"/>
      <c r="J636" s="103"/>
      <c r="K636" s="211">
        <f>E636*F636*G636</f>
        <v>21.119999999999997</v>
      </c>
      <c r="L636" s="239" t="str">
        <f>IFERROR(VLOOKUP($C636,'SINAPI MAIO 2020'!$1:$1048576,3,0),IFERROR(VLOOKUP($C636,'6-COMP. PROPRIA'!$B$1:$I$808,5,0),""))</f>
        <v/>
      </c>
      <c r="M636" s="104"/>
      <c r="N636" s="105"/>
    </row>
    <row r="637" spans="2:14" ht="17.25" customHeight="1">
      <c r="B637" s="164" t="s">
        <v>6129</v>
      </c>
      <c r="C637" s="20"/>
      <c r="D637" s="20"/>
      <c r="E637" s="102">
        <f t="shared" ref="E637:E638" si="44">E626</f>
        <v>124.32</v>
      </c>
      <c r="F637" s="63">
        <v>1.2</v>
      </c>
      <c r="G637" s="63">
        <v>1</v>
      </c>
      <c r="H637" s="312"/>
      <c r="I637" s="312"/>
      <c r="J637" s="103"/>
      <c r="K637" s="211">
        <f t="shared" ref="K637:K638" si="45">E637*F637*G637</f>
        <v>149.184</v>
      </c>
      <c r="L637" s="239" t="str">
        <f>IFERROR(VLOOKUP($C637,'SINAPI MAIO 2020'!$1:$1048576,3,0),IFERROR(VLOOKUP($C637,'6-COMP. PROPRIA'!$B$1:$I$808,5,0),""))</f>
        <v/>
      </c>
      <c r="M637" s="104"/>
      <c r="N637" s="105"/>
    </row>
    <row r="638" spans="2:14" ht="17.25" customHeight="1">
      <c r="B638" s="164" t="s">
        <v>6130</v>
      </c>
      <c r="C638" s="20"/>
      <c r="D638" s="20"/>
      <c r="E638" s="102">
        <f t="shared" si="44"/>
        <v>113.28</v>
      </c>
      <c r="F638" s="63">
        <v>1.2</v>
      </c>
      <c r="G638" s="63">
        <v>1</v>
      </c>
      <c r="H638" s="312"/>
      <c r="I638" s="312"/>
      <c r="J638" s="103"/>
      <c r="K638" s="211">
        <f t="shared" si="45"/>
        <v>135.93600000000001</v>
      </c>
      <c r="L638" s="239" t="str">
        <f>IFERROR(VLOOKUP($C638,'SINAPI MAIO 2020'!$1:$1048576,3,0),IFERROR(VLOOKUP($C638,'6-COMP. PROPRIA'!$B$1:$I$808,5,0),""))</f>
        <v/>
      </c>
      <c r="M638" s="104"/>
      <c r="N638" s="105"/>
    </row>
    <row r="639" spans="2:14" ht="17.25" customHeight="1">
      <c r="B639" s="164"/>
      <c r="C639" s="20"/>
      <c r="D639" s="20"/>
      <c r="E639" s="102"/>
      <c r="F639" s="63"/>
      <c r="G639" s="63"/>
      <c r="H639" s="312"/>
      <c r="I639" s="312"/>
      <c r="J639" s="103"/>
      <c r="K639" s="211"/>
      <c r="L639" s="239" t="str">
        <f>IFERROR(VLOOKUP($C639,'SINAPI MAIO 2020'!$1:$1048576,3,0),IFERROR(VLOOKUP($C639,'6-COMP. PROPRIA'!$B$1:$I$808,5,0),""))</f>
        <v/>
      </c>
      <c r="M639" s="104"/>
      <c r="N639" s="105"/>
    </row>
    <row r="640" spans="2:14" ht="17.25" customHeight="1" thickBot="1">
      <c r="B640" s="164"/>
      <c r="C640" s="20"/>
      <c r="D640" s="20"/>
      <c r="E640" s="238"/>
      <c r="F640" s="312"/>
      <c r="G640" s="312"/>
      <c r="H640" s="312"/>
      <c r="I640" s="312"/>
      <c r="J640" s="103"/>
      <c r="K640" s="211"/>
      <c r="L640" s="239" t="str">
        <f>IFERROR(VLOOKUP($C640,'SINAPI MAIO 2020'!$1:$1048576,3,0),IFERROR(VLOOKUP($C640,'6-COMP. PROPRIA'!$B$1:$I$808,5,0),""))</f>
        <v/>
      </c>
      <c r="M640" s="104"/>
      <c r="N640" s="105"/>
    </row>
    <row r="641" spans="2:14" ht="17.25" customHeight="1" thickBot="1">
      <c r="B641" s="164"/>
      <c r="C641" s="20"/>
      <c r="D641" s="277"/>
      <c r="E641" s="674" t="s">
        <v>5308</v>
      </c>
      <c r="F641" s="675"/>
      <c r="G641" s="675"/>
      <c r="H641" s="675"/>
      <c r="I641" s="675"/>
      <c r="J641" s="676"/>
      <c r="K641" s="211"/>
      <c r="L641" s="239" t="str">
        <f>IFERROR(VLOOKUP($C641,'SINAPI MAIO 2020'!$1:$1048576,3,0),IFERROR(VLOOKUP($C641,'6-COMP. PROPRIA'!$B$1:$I$808,5,0),""))</f>
        <v/>
      </c>
      <c r="M641" s="104"/>
      <c r="N641" s="105"/>
    </row>
    <row r="642" spans="2:14" ht="17.25" customHeight="1">
      <c r="B642" s="164"/>
      <c r="C642" s="20"/>
      <c r="D642" s="20"/>
      <c r="E642" s="238"/>
      <c r="F642" s="312"/>
      <c r="G642" s="312"/>
      <c r="H642" s="312"/>
      <c r="I642" s="312"/>
      <c r="J642" s="103"/>
      <c r="K642" s="211"/>
      <c r="L642" s="239" t="str">
        <f>IFERROR(VLOOKUP($C642,'SINAPI MAIO 2020'!$1:$1048576,3,0),IFERROR(VLOOKUP($C642,'6-COMP. PROPRIA'!$B$1:$I$808,5,0),""))</f>
        <v/>
      </c>
      <c r="M642" s="104"/>
      <c r="N642" s="105"/>
    </row>
    <row r="643" spans="2:14" ht="17.25" customHeight="1">
      <c r="B643" s="164"/>
      <c r="C643" s="274" t="str">
        <f>'6-COMP. PROPRIA'!B90</f>
        <v>CP-PIN-1</v>
      </c>
      <c r="D643" s="275" t="s">
        <v>980</v>
      </c>
      <c r="E643" s="668" t="str">
        <f>IFERROR(VLOOKUP($C643,'SINAPI MAIO 2020'!$1:$1048576,2,0),IFERROR(VLOOKUP($C643,'6-COMP. PROPRIA'!$B$28:$I$808,4,0),""))</f>
        <v>LIXAMENTO MANUAL DE ALVENARIA</v>
      </c>
      <c r="F643" s="669"/>
      <c r="G643" s="669"/>
      <c r="H643" s="669"/>
      <c r="I643" s="669"/>
      <c r="J643" s="670"/>
      <c r="K643" s="212">
        <f>SUM(K646:K650)</f>
        <v>388.22400000000005</v>
      </c>
      <c r="L643" s="239" t="str">
        <f>IFERROR(VLOOKUP($C643,'SINAPI MAIO 2020'!$1:$1048576,3,0),IFERROR(VLOOKUP($C643,'6-COMP. PROPRIA'!$B$1:$I$808,5,0),""))</f>
        <v>M2</v>
      </c>
      <c r="M643" s="104"/>
      <c r="N643" s="105"/>
    </row>
    <row r="644" spans="2:14" ht="17.25" customHeight="1">
      <c r="B644" s="164"/>
      <c r="C644" s="20"/>
      <c r="D644" s="20"/>
      <c r="E644" s="238"/>
      <c r="F644" s="312"/>
      <c r="G644" s="680" t="s">
        <v>956</v>
      </c>
      <c r="H644" s="680"/>
      <c r="I644" s="680"/>
      <c r="J644" s="681"/>
      <c r="K644" s="212"/>
      <c r="L644" s="239" t="str">
        <f>IFERROR(VLOOKUP($C644,'SINAPI MAIO 2020'!$1:$1048576,3,0),IFERROR(VLOOKUP($C644,'6-COMP. PROPRIA'!$B$1:$I$808,5,0),""))</f>
        <v/>
      </c>
      <c r="M644" s="104"/>
      <c r="N644" s="105"/>
    </row>
    <row r="645" spans="2:14" ht="17.25" customHeight="1">
      <c r="B645" s="164"/>
      <c r="C645" s="20"/>
      <c r="D645" s="20"/>
      <c r="E645" s="75" t="s">
        <v>5304</v>
      </c>
      <c r="F645" s="309" t="s">
        <v>4492</v>
      </c>
      <c r="G645" s="311" t="s">
        <v>899</v>
      </c>
      <c r="H645" s="311" t="s">
        <v>898</v>
      </c>
      <c r="I645" s="311" t="s">
        <v>948</v>
      </c>
      <c r="J645" s="310" t="s">
        <v>955</v>
      </c>
      <c r="K645" s="212"/>
      <c r="L645" s="239" t="str">
        <f>IFERROR(VLOOKUP($C645,'SINAPI MAIO 2020'!$1:$1048576,3,0),IFERROR(VLOOKUP($C645,'6-COMP. PROPRIA'!$B$1:$I$808,5,0),""))</f>
        <v/>
      </c>
      <c r="M645" s="104"/>
      <c r="N645" s="105"/>
    </row>
    <row r="646" spans="2:14" ht="17.25" customHeight="1">
      <c r="B646" s="164" t="s">
        <v>6132</v>
      </c>
      <c r="C646" s="70"/>
      <c r="D646" s="20"/>
      <c r="E646" s="102">
        <v>114.46</v>
      </c>
      <c r="F646" s="63">
        <v>1.8</v>
      </c>
      <c r="G646" s="240">
        <v>0</v>
      </c>
      <c r="H646" s="240">
        <v>0</v>
      </c>
      <c r="I646" s="240">
        <v>0</v>
      </c>
      <c r="J646" s="162">
        <f>G646*H646*I646</f>
        <v>0</v>
      </c>
      <c r="K646" s="62">
        <f>E646*F646-J646</f>
        <v>206.02799999999999</v>
      </c>
      <c r="L646" s="239" t="str">
        <f>IFERROR(VLOOKUP($C646,'SINAPI MAIO 2020'!$1:$1048576,3,0),IFERROR(VLOOKUP($C646,'6-COMP. PROPRIA'!$B$1:$I$808,5,0),""))</f>
        <v/>
      </c>
      <c r="M646" s="104"/>
      <c r="N646" s="105"/>
    </row>
    <row r="647" spans="2:14" ht="17.25" customHeight="1">
      <c r="B647" s="164" t="s">
        <v>6052</v>
      </c>
      <c r="C647" s="70"/>
      <c r="D647" s="20"/>
      <c r="E647" s="102">
        <v>31.5</v>
      </c>
      <c r="F647" s="63">
        <v>1.8</v>
      </c>
      <c r="G647" s="240"/>
      <c r="H647" s="240"/>
      <c r="I647" s="240"/>
      <c r="J647" s="162"/>
      <c r="K647" s="62">
        <f t="shared" ref="K647:K650" si="46">E647*F647-J647</f>
        <v>56.7</v>
      </c>
      <c r="L647" s="239" t="str">
        <f>IFERROR(VLOOKUP($C647,'SINAPI MAIO 2020'!$1:$1048576,3,0),IFERROR(VLOOKUP($C647,'6-COMP. PROPRIA'!$B$1:$I$808,5,0),""))</f>
        <v/>
      </c>
      <c r="M647" s="104"/>
      <c r="N647" s="105"/>
    </row>
    <row r="648" spans="2:14" ht="17.25" customHeight="1">
      <c r="B648" s="164" t="s">
        <v>6126</v>
      </c>
      <c r="C648" s="70"/>
      <c r="D648" s="20"/>
      <c r="E648" s="102">
        <v>64.319999999999993</v>
      </c>
      <c r="F648" s="63">
        <v>1.8</v>
      </c>
      <c r="G648" s="240"/>
      <c r="H648" s="240"/>
      <c r="I648" s="240"/>
      <c r="J648" s="162"/>
      <c r="K648" s="62">
        <f t="shared" si="46"/>
        <v>115.776</v>
      </c>
      <c r="L648" s="239" t="str">
        <f>IFERROR(VLOOKUP($C648,'SINAPI MAIO 2020'!$1:$1048576,3,0),IFERROR(VLOOKUP($C648,'6-COMP. PROPRIA'!$B$1:$I$808,5,0),""))</f>
        <v/>
      </c>
      <c r="M648" s="104"/>
      <c r="N648" s="105"/>
    </row>
    <row r="649" spans="2:14" ht="17.25" customHeight="1">
      <c r="B649" s="164" t="s">
        <v>6118</v>
      </c>
      <c r="C649" s="70"/>
      <c r="D649" s="20"/>
      <c r="E649" s="102">
        <f>1.2*3</f>
        <v>3.5999999999999996</v>
      </c>
      <c r="F649" s="63">
        <v>1.8</v>
      </c>
      <c r="G649" s="240"/>
      <c r="H649" s="240"/>
      <c r="I649" s="240"/>
      <c r="J649" s="162"/>
      <c r="K649" s="62">
        <f t="shared" si="46"/>
        <v>6.4799999999999995</v>
      </c>
      <c r="L649" s="239" t="str">
        <f>IFERROR(VLOOKUP($C649,'SINAPI MAIO 2020'!$1:$1048576,3,0),IFERROR(VLOOKUP($C649,'6-COMP. PROPRIA'!$B$1:$I$808,5,0),""))</f>
        <v/>
      </c>
      <c r="M649" s="104"/>
      <c r="N649" s="105"/>
    </row>
    <row r="650" spans="2:14" ht="17.25" customHeight="1">
      <c r="B650" s="164" t="s">
        <v>6133</v>
      </c>
      <c r="C650" s="70"/>
      <c r="D650" s="20"/>
      <c r="E650" s="102">
        <f>0.9*2</f>
        <v>1.8</v>
      </c>
      <c r="F650" s="63">
        <v>1.8</v>
      </c>
      <c r="G650" s="240"/>
      <c r="H650" s="240"/>
      <c r="I650" s="240"/>
      <c r="J650" s="162"/>
      <c r="K650" s="62">
        <f t="shared" si="46"/>
        <v>3.24</v>
      </c>
      <c r="L650" s="239" t="str">
        <f>IFERROR(VLOOKUP($C650,'SINAPI MAIO 2020'!$1:$1048576,3,0),IFERROR(VLOOKUP($C650,'6-COMP. PROPRIA'!$B$1:$I$808,5,0),""))</f>
        <v/>
      </c>
      <c r="M650" s="104"/>
      <c r="N650" s="105"/>
    </row>
    <row r="651" spans="2:14" ht="17.25" customHeight="1">
      <c r="B651" s="164"/>
      <c r="C651" s="20"/>
      <c r="D651" s="20"/>
      <c r="E651" s="238"/>
      <c r="F651" s="312"/>
      <c r="G651" s="312"/>
      <c r="H651" s="312"/>
      <c r="I651" s="312"/>
      <c r="J651" s="103"/>
      <c r="K651" s="211"/>
      <c r="L651" s="239" t="str">
        <f>IFERROR(VLOOKUP($C651,'SINAPI MAIO 2020'!$1:$1048576,3,0),IFERROR(VLOOKUP($C651,'6-COMP. PROPRIA'!$B$1:$I$808,5,0),""))</f>
        <v/>
      </c>
      <c r="M651" s="104"/>
      <c r="N651" s="105"/>
    </row>
    <row r="652" spans="2:14" ht="17.25" customHeight="1">
      <c r="B652" s="164"/>
      <c r="C652" s="275">
        <v>88485</v>
      </c>
      <c r="D652" s="275" t="s">
        <v>8</v>
      </c>
      <c r="E652" s="668" t="str">
        <f>IFERROR(VLOOKUP($C652,'SINAPI MAIO 2020'!$1:$1048576,2,0),IFERROR(VLOOKUP($C652,'6-COMP. PROPRIA'!$B$28:$I$808,4,0),""))</f>
        <v>APLICAÇÃO DE FUNDO SELADOR ACRÍLICO EM PAREDES, UMA DEMÃO. AF_06/2014</v>
      </c>
      <c r="F652" s="669"/>
      <c r="G652" s="669"/>
      <c r="H652" s="669"/>
      <c r="I652" s="669"/>
      <c r="J652" s="670"/>
      <c r="K652" s="212">
        <f>SUM(K655:K655)</f>
        <v>206.02799999999999</v>
      </c>
      <c r="L652" s="239" t="str">
        <f>IFERROR(VLOOKUP($C652,'SINAPI MAIO 2020'!$1:$1048576,3,0),IFERROR(VLOOKUP($C652,'6-COMP. PROPRIA'!$B$1:$I$808,5,0),""))</f>
        <v>M2</v>
      </c>
      <c r="M652" s="104"/>
      <c r="N652" s="105"/>
    </row>
    <row r="653" spans="2:14" ht="17.25" customHeight="1">
      <c r="B653" s="164"/>
      <c r="C653" s="20"/>
      <c r="D653" s="20"/>
      <c r="E653" s="238"/>
      <c r="F653" s="312"/>
      <c r="G653" s="680" t="s">
        <v>956</v>
      </c>
      <c r="H653" s="680"/>
      <c r="I653" s="680"/>
      <c r="J653" s="681"/>
      <c r="K653" s="212"/>
      <c r="L653" s="239" t="str">
        <f>IFERROR(VLOOKUP($C653,'SINAPI MAIO 2020'!$1:$1048576,3,0),IFERROR(VLOOKUP($C653,'6-COMP. PROPRIA'!$B$1:$I$808,5,0),""))</f>
        <v/>
      </c>
      <c r="M653" s="104"/>
      <c r="N653" s="105"/>
    </row>
    <row r="654" spans="2:14" ht="17.25" customHeight="1">
      <c r="B654" s="164"/>
      <c r="C654" s="20"/>
      <c r="D654" s="20"/>
      <c r="E654" s="75" t="s">
        <v>5304</v>
      </c>
      <c r="F654" s="309" t="s">
        <v>4492</v>
      </c>
      <c r="G654" s="311" t="s">
        <v>899</v>
      </c>
      <c r="H654" s="311" t="s">
        <v>898</v>
      </c>
      <c r="I654" s="311" t="s">
        <v>948</v>
      </c>
      <c r="J654" s="310" t="s">
        <v>955</v>
      </c>
      <c r="K654" s="212"/>
      <c r="L654" s="239" t="str">
        <f>IFERROR(VLOOKUP($C654,'SINAPI MAIO 2020'!$1:$1048576,3,0),IFERROR(VLOOKUP($C654,'6-COMP. PROPRIA'!$B$1:$I$808,5,0),""))</f>
        <v/>
      </c>
      <c r="M654" s="104"/>
      <c r="N654" s="105"/>
    </row>
    <row r="655" spans="2:14" ht="17.25" customHeight="1">
      <c r="B655" s="164" t="s">
        <v>6132</v>
      </c>
      <c r="C655" s="70"/>
      <c r="D655" s="20"/>
      <c r="E655" s="102">
        <f>E646</f>
        <v>114.46</v>
      </c>
      <c r="F655" s="63">
        <f>F646</f>
        <v>1.8</v>
      </c>
      <c r="G655" s="240">
        <v>0</v>
      </c>
      <c r="H655" s="240">
        <v>0</v>
      </c>
      <c r="I655" s="240">
        <v>0</v>
      </c>
      <c r="J655" s="162">
        <f>G655*H655*I655</f>
        <v>0</v>
      </c>
      <c r="K655" s="62">
        <f>E655*F655-J655</f>
        <v>206.02799999999999</v>
      </c>
      <c r="L655" s="239" t="str">
        <f>IFERROR(VLOOKUP($C655,'SINAPI MAIO 2020'!$1:$1048576,3,0),IFERROR(VLOOKUP($C655,'6-COMP. PROPRIA'!$B$1:$I$808,5,0),""))</f>
        <v/>
      </c>
      <c r="M655" s="104"/>
      <c r="N655" s="105"/>
    </row>
    <row r="656" spans="2:14" ht="17.25" customHeight="1">
      <c r="B656" s="164" t="s">
        <v>6052</v>
      </c>
      <c r="C656" s="70"/>
      <c r="D656" s="20"/>
      <c r="E656" s="102">
        <f>E647</f>
        <v>31.5</v>
      </c>
      <c r="F656" s="63">
        <f>F647</f>
        <v>1.8</v>
      </c>
      <c r="G656" s="240"/>
      <c r="H656" s="240"/>
      <c r="I656" s="240"/>
      <c r="J656" s="162"/>
      <c r="K656" s="62"/>
      <c r="L656" s="239" t="str">
        <f>IFERROR(VLOOKUP($C656,'SINAPI MAIO 2020'!$1:$1048576,3,0),IFERROR(VLOOKUP($C656,'6-COMP. PROPRIA'!$B$1:$I$808,5,0),""))</f>
        <v/>
      </c>
      <c r="M656" s="104"/>
      <c r="N656" s="105"/>
    </row>
    <row r="657" spans="2:14" ht="17.25" customHeight="1">
      <c r="B657" s="164" t="s">
        <v>6126</v>
      </c>
      <c r="C657" s="70"/>
      <c r="D657" s="20"/>
      <c r="E657" s="102">
        <f t="shared" ref="E657:F659" si="47">E648</f>
        <v>64.319999999999993</v>
      </c>
      <c r="F657" s="63">
        <f t="shared" si="47"/>
        <v>1.8</v>
      </c>
      <c r="G657" s="240"/>
      <c r="H657" s="240"/>
      <c r="I657" s="240"/>
      <c r="J657" s="162"/>
      <c r="K657" s="62"/>
      <c r="L657" s="239" t="str">
        <f>IFERROR(VLOOKUP($C657,'SINAPI MAIO 2020'!$1:$1048576,3,0),IFERROR(VLOOKUP($C657,'6-COMP. PROPRIA'!$B$1:$I$808,5,0),""))</f>
        <v/>
      </c>
      <c r="M657" s="104"/>
      <c r="N657" s="105"/>
    </row>
    <row r="658" spans="2:14" ht="17.25" customHeight="1">
      <c r="B658" s="164" t="s">
        <v>6118</v>
      </c>
      <c r="C658" s="70"/>
      <c r="D658" s="20"/>
      <c r="E658" s="102">
        <f t="shared" si="47"/>
        <v>3.5999999999999996</v>
      </c>
      <c r="F658" s="63">
        <f t="shared" si="47"/>
        <v>1.8</v>
      </c>
      <c r="G658" s="240"/>
      <c r="H658" s="240"/>
      <c r="I658" s="240"/>
      <c r="J658" s="162"/>
      <c r="K658" s="62"/>
      <c r="L658" s="239" t="str">
        <f>IFERROR(VLOOKUP($C658,'SINAPI MAIO 2020'!$1:$1048576,3,0),IFERROR(VLOOKUP($C658,'6-COMP. PROPRIA'!$B$1:$I$808,5,0),""))</f>
        <v/>
      </c>
      <c r="M658" s="104"/>
      <c r="N658" s="105"/>
    </row>
    <row r="659" spans="2:14" ht="17.25" customHeight="1">
      <c r="B659" s="164" t="s">
        <v>6133</v>
      </c>
      <c r="C659" s="70"/>
      <c r="D659" s="20"/>
      <c r="E659" s="102">
        <f t="shared" si="47"/>
        <v>1.8</v>
      </c>
      <c r="F659" s="63">
        <f t="shared" si="47"/>
        <v>1.8</v>
      </c>
      <c r="G659" s="240"/>
      <c r="H659" s="240"/>
      <c r="I659" s="240"/>
      <c r="J659" s="162"/>
      <c r="K659" s="62"/>
      <c r="L659" s="239" t="str">
        <f>IFERROR(VLOOKUP($C659,'SINAPI MAIO 2020'!$1:$1048576,3,0),IFERROR(VLOOKUP($C659,'6-COMP. PROPRIA'!$B$1:$I$808,5,0),""))</f>
        <v/>
      </c>
      <c r="M659" s="104"/>
      <c r="N659" s="105"/>
    </row>
    <row r="660" spans="2:14" ht="17.25" customHeight="1">
      <c r="B660" s="164"/>
      <c r="C660" s="20"/>
      <c r="D660" s="20"/>
      <c r="E660" s="238"/>
      <c r="F660" s="312"/>
      <c r="G660" s="312"/>
      <c r="H660" s="312"/>
      <c r="I660" s="312"/>
      <c r="J660" s="103"/>
      <c r="K660" s="211"/>
      <c r="L660" s="239" t="str">
        <f>IFERROR(VLOOKUP($C660,'SINAPI MAIO 2020'!$1:$1048576,3,0),IFERROR(VLOOKUP($C660,'6-COMP. PROPRIA'!$B$1:$I$808,5,0),""))</f>
        <v/>
      </c>
      <c r="M660" s="104"/>
      <c r="N660" s="105"/>
    </row>
    <row r="661" spans="2:14" ht="36.75" customHeight="1">
      <c r="B661" s="164"/>
      <c r="C661" s="275">
        <v>88489</v>
      </c>
      <c r="D661" s="275" t="s">
        <v>8</v>
      </c>
      <c r="E661" s="668" t="str">
        <f>IFERROR(VLOOKUP($C661,'SINAPI MAIO 2020'!$1:$1048576,2,0),IFERROR(VLOOKUP($C661,'6-COMP. PROPRIA'!$B$28:$I$808,4,0),""))</f>
        <v>APLICAÇÃO MANUAL DE PINTURA COM TINTA LÁTEX ACRÍLICA EM PAREDES, DUAS DEMÃOS. AF_06/2014</v>
      </c>
      <c r="F661" s="669"/>
      <c r="G661" s="669"/>
      <c r="H661" s="669"/>
      <c r="I661" s="669"/>
      <c r="J661" s="670"/>
      <c r="K661" s="212">
        <f>SUM(K664:K669)</f>
        <v>206.02799999999999</v>
      </c>
      <c r="L661" s="239" t="str">
        <f>IFERROR(VLOOKUP($C661,'SINAPI MAIO 2020'!$1:$1048576,3,0),IFERROR(VLOOKUP($C661,'6-COMP. PROPRIA'!$B$1:$I$808,5,0),""))</f>
        <v>M2</v>
      </c>
      <c r="M661" s="104"/>
      <c r="N661" s="105"/>
    </row>
    <row r="662" spans="2:14" ht="17.25" customHeight="1">
      <c r="B662" s="164"/>
      <c r="C662" s="20"/>
      <c r="D662" s="20"/>
      <c r="E662" s="238"/>
      <c r="F662" s="312"/>
      <c r="G662" s="680" t="s">
        <v>956</v>
      </c>
      <c r="H662" s="680"/>
      <c r="I662" s="680"/>
      <c r="J662" s="681"/>
      <c r="K662" s="212"/>
      <c r="L662" s="239" t="str">
        <f>IFERROR(VLOOKUP($C662,'SINAPI MAIO 2020'!$1:$1048576,3,0),IFERROR(VLOOKUP($C662,'6-COMP. PROPRIA'!$B$1:$I$808,5,0),""))</f>
        <v/>
      </c>
      <c r="M662" s="104"/>
      <c r="N662" s="105"/>
    </row>
    <row r="663" spans="2:14" ht="17.25" customHeight="1">
      <c r="B663" s="164"/>
      <c r="C663" s="20"/>
      <c r="D663" s="20"/>
      <c r="E663" s="75" t="s">
        <v>5304</v>
      </c>
      <c r="F663" s="309" t="s">
        <v>4492</v>
      </c>
      <c r="G663" s="311" t="s">
        <v>899</v>
      </c>
      <c r="H663" s="311" t="s">
        <v>898</v>
      </c>
      <c r="I663" s="311" t="s">
        <v>948</v>
      </c>
      <c r="J663" s="310" t="s">
        <v>955</v>
      </c>
      <c r="K663" s="212"/>
      <c r="L663" s="239" t="str">
        <f>IFERROR(VLOOKUP($C663,'SINAPI MAIO 2020'!$1:$1048576,3,0),IFERROR(VLOOKUP($C663,'6-COMP. PROPRIA'!$B$1:$I$808,5,0),""))</f>
        <v/>
      </c>
      <c r="M663" s="104"/>
      <c r="N663" s="105"/>
    </row>
    <row r="664" spans="2:14" ht="17.25" customHeight="1">
      <c r="B664" s="164" t="s">
        <v>6132</v>
      </c>
      <c r="C664" s="70"/>
      <c r="D664" s="20"/>
      <c r="E664" s="102">
        <f>E655</f>
        <v>114.46</v>
      </c>
      <c r="F664" s="63">
        <v>1.8</v>
      </c>
      <c r="G664" s="240">
        <v>0</v>
      </c>
      <c r="H664" s="240">
        <v>0</v>
      </c>
      <c r="I664" s="240">
        <v>0</v>
      </c>
      <c r="J664" s="162">
        <f>G664*H664*I664</f>
        <v>0</v>
      </c>
      <c r="K664" s="62">
        <f>E664*F664-J664</f>
        <v>206.02799999999999</v>
      </c>
      <c r="L664" s="239" t="str">
        <f>IFERROR(VLOOKUP($C664,'SINAPI MAIO 2020'!$1:$1048576,3,0),IFERROR(VLOOKUP($C664,'6-COMP. PROPRIA'!$B$1:$I$808,5,0),""))</f>
        <v/>
      </c>
      <c r="M664" s="104"/>
      <c r="N664" s="105"/>
    </row>
    <row r="665" spans="2:14" ht="17.25" customHeight="1">
      <c r="B665" s="164" t="s">
        <v>6052</v>
      </c>
      <c r="C665" s="70"/>
      <c r="D665" s="20"/>
      <c r="E665" s="102">
        <f t="shared" ref="E665:E668" si="48">E656</f>
        <v>31.5</v>
      </c>
      <c r="F665" s="63">
        <v>1.8</v>
      </c>
      <c r="G665" s="240"/>
      <c r="H665" s="240"/>
      <c r="I665" s="240"/>
      <c r="J665" s="162"/>
      <c r="K665" s="62"/>
      <c r="L665" s="239" t="str">
        <f>IFERROR(VLOOKUP($C665,'SINAPI MAIO 2020'!$1:$1048576,3,0),IFERROR(VLOOKUP($C665,'6-COMP. PROPRIA'!$B$1:$I$808,5,0),""))</f>
        <v/>
      </c>
      <c r="M665" s="104"/>
      <c r="N665" s="105"/>
    </row>
    <row r="666" spans="2:14" ht="17.25" customHeight="1">
      <c r="B666" s="164" t="s">
        <v>6126</v>
      </c>
      <c r="C666" s="70"/>
      <c r="D666" s="20"/>
      <c r="E666" s="102">
        <f t="shared" si="48"/>
        <v>64.319999999999993</v>
      </c>
      <c r="F666" s="63">
        <v>1.8</v>
      </c>
      <c r="G666" s="240"/>
      <c r="H666" s="240"/>
      <c r="I666" s="240"/>
      <c r="J666" s="162"/>
      <c r="K666" s="62"/>
      <c r="L666" s="239" t="str">
        <f>IFERROR(VLOOKUP($C666,'SINAPI MAIO 2020'!$1:$1048576,3,0),IFERROR(VLOOKUP($C666,'6-COMP. PROPRIA'!$B$1:$I$808,5,0),""))</f>
        <v/>
      </c>
      <c r="M666" s="104"/>
      <c r="N666" s="105"/>
    </row>
    <row r="667" spans="2:14" ht="17.25" customHeight="1">
      <c r="B667" s="164" t="s">
        <v>6118</v>
      </c>
      <c r="C667" s="70"/>
      <c r="D667" s="20"/>
      <c r="E667" s="102">
        <f t="shared" si="48"/>
        <v>3.5999999999999996</v>
      </c>
      <c r="F667" s="63">
        <v>1.8</v>
      </c>
      <c r="G667" s="240"/>
      <c r="H667" s="240"/>
      <c r="I667" s="240"/>
      <c r="J667" s="162"/>
      <c r="K667" s="62"/>
      <c r="L667" s="239" t="str">
        <f>IFERROR(VLOOKUP($C667,'SINAPI MAIO 2020'!$1:$1048576,3,0),IFERROR(VLOOKUP($C667,'6-COMP. PROPRIA'!$B$1:$I$808,5,0),""))</f>
        <v/>
      </c>
      <c r="M667" s="104"/>
      <c r="N667" s="105"/>
    </row>
    <row r="668" spans="2:14" ht="17.25" customHeight="1">
      <c r="B668" s="164" t="s">
        <v>6133</v>
      </c>
      <c r="C668" s="70"/>
      <c r="D668" s="20"/>
      <c r="E668" s="102">
        <f t="shared" si="48"/>
        <v>1.8</v>
      </c>
      <c r="F668" s="63">
        <v>1.8</v>
      </c>
      <c r="G668" s="240"/>
      <c r="H668" s="240"/>
      <c r="I668" s="240"/>
      <c r="J668" s="162"/>
      <c r="K668" s="62"/>
      <c r="L668" s="239" t="str">
        <f>IFERROR(VLOOKUP($C668,'SINAPI MAIO 2020'!$1:$1048576,3,0),IFERROR(VLOOKUP($C668,'6-COMP. PROPRIA'!$B$1:$I$808,5,0),""))</f>
        <v/>
      </c>
      <c r="M668" s="104"/>
      <c r="N668" s="105"/>
    </row>
    <row r="669" spans="2:14" ht="17.25" customHeight="1">
      <c r="B669" s="164"/>
      <c r="C669" s="20"/>
      <c r="D669" s="20"/>
      <c r="E669" s="238"/>
      <c r="F669" s="312"/>
      <c r="G669" s="312"/>
      <c r="H669" s="312"/>
      <c r="I669" s="312"/>
      <c r="J669" s="103"/>
      <c r="K669" s="211"/>
      <c r="L669" s="239" t="str">
        <f>IFERROR(VLOOKUP($C669,'SINAPI MAIO 2020'!$1:$1048576,3,0),IFERROR(VLOOKUP($C669,'6-COMP. PROPRIA'!$B$1:$I$808,5,0),""))</f>
        <v/>
      </c>
      <c r="M669" s="104"/>
      <c r="N669" s="105"/>
    </row>
    <row r="670" spans="2:14" ht="17.25" customHeight="1">
      <c r="B670" s="164"/>
      <c r="C670" s="274" t="str">
        <f>'6-COMP. PROPRIA'!B104</f>
        <v>CP-PIN-03</v>
      </c>
      <c r="D670" s="275" t="s">
        <v>980</v>
      </c>
      <c r="E670" s="668" t="str">
        <f>IFERROR(VLOOKUP($C670,'SINAPI MAIO 2020'!$1:$1048576,2,0),IFERROR(VLOOKUP($C670,'6-COMP. PROPRIA'!$B$28:$I$808,4,0),""))</f>
        <v xml:space="preserve">PINTURA COM TINTA ESMALTE SINTÉTICO </v>
      </c>
      <c r="F670" s="669"/>
      <c r="G670" s="669"/>
      <c r="H670" s="669"/>
      <c r="I670" s="669"/>
      <c r="J670" s="670"/>
      <c r="K670" s="212">
        <f>SUM(K673:K674)</f>
        <v>175.15199999999999</v>
      </c>
      <c r="L670" s="239" t="str">
        <f>IFERROR(VLOOKUP($C670,'SINAPI MAIO 2020'!$1:$1048576,3,0),IFERROR(VLOOKUP($C670,'6-COMP. PROPRIA'!$B$1:$I$808,5,0),""))</f>
        <v>M2</v>
      </c>
      <c r="M670" s="104"/>
      <c r="N670" s="105"/>
    </row>
    <row r="671" spans="2:14" ht="17.25" customHeight="1">
      <c r="B671" s="164"/>
      <c r="C671" s="20"/>
      <c r="D671" s="20"/>
      <c r="E671" s="238"/>
      <c r="F671" s="312"/>
      <c r="G671" s="680" t="s">
        <v>956</v>
      </c>
      <c r="H671" s="680"/>
      <c r="I671" s="680"/>
      <c r="J671" s="681"/>
      <c r="K671" s="212"/>
      <c r="L671" s="239" t="str">
        <f>IFERROR(VLOOKUP($C671,'SINAPI MAIO 2020'!$1:$1048576,3,0),IFERROR(VLOOKUP($C671,'6-COMP. PROPRIA'!$B$1:$I$808,5,0),""))</f>
        <v/>
      </c>
      <c r="M671" s="104"/>
      <c r="N671" s="105"/>
    </row>
    <row r="672" spans="2:14" ht="17.25" customHeight="1">
      <c r="B672" s="164"/>
      <c r="C672" s="20"/>
      <c r="D672" s="20"/>
      <c r="E672" s="75" t="s">
        <v>5304</v>
      </c>
      <c r="F672" s="309" t="s">
        <v>4492</v>
      </c>
      <c r="G672" s="311" t="s">
        <v>899</v>
      </c>
      <c r="H672" s="311" t="s">
        <v>898</v>
      </c>
      <c r="I672" s="311" t="s">
        <v>948</v>
      </c>
      <c r="J672" s="310" t="s">
        <v>955</v>
      </c>
      <c r="K672" s="212"/>
      <c r="L672" s="239" t="str">
        <f>IFERROR(VLOOKUP($C672,'SINAPI MAIO 2020'!$1:$1048576,3,0),IFERROR(VLOOKUP($C672,'6-COMP. PROPRIA'!$B$1:$I$808,5,0),""))</f>
        <v/>
      </c>
      <c r="M672" s="104"/>
      <c r="N672" s="105"/>
    </row>
    <row r="673" spans="2:14" ht="17.25" customHeight="1">
      <c r="B673" s="164" t="s">
        <v>6132</v>
      </c>
      <c r="C673" s="70"/>
      <c r="D673" s="20"/>
      <c r="E673" s="102">
        <f>E664</f>
        <v>114.46</v>
      </c>
      <c r="F673" s="63">
        <v>1.2</v>
      </c>
      <c r="G673" s="240">
        <v>0</v>
      </c>
      <c r="H673" s="240">
        <v>0</v>
      </c>
      <c r="I673" s="240">
        <v>0</v>
      </c>
      <c r="J673" s="162">
        <f>G673*H673*I673</f>
        <v>0</v>
      </c>
      <c r="K673" s="62">
        <f>E673*F673-J673</f>
        <v>137.35199999999998</v>
      </c>
      <c r="L673" s="239" t="str">
        <f>IFERROR(VLOOKUP($C673,'SINAPI MAIO 2020'!$1:$1048576,3,0),IFERROR(VLOOKUP($C673,'6-COMP. PROPRIA'!$B$1:$I$808,5,0),""))</f>
        <v/>
      </c>
      <c r="M673" s="104"/>
      <c r="N673" s="105"/>
    </row>
    <row r="674" spans="2:14" ht="17.25" customHeight="1">
      <c r="B674" s="164" t="s">
        <v>6052</v>
      </c>
      <c r="C674" s="70"/>
      <c r="D674" s="20"/>
      <c r="E674" s="102">
        <f t="shared" ref="E674:E677" si="49">E665</f>
        <v>31.5</v>
      </c>
      <c r="F674" s="63">
        <v>1.2</v>
      </c>
      <c r="G674" s="240">
        <v>0</v>
      </c>
      <c r="H674" s="240">
        <v>0</v>
      </c>
      <c r="I674" s="240">
        <v>0</v>
      </c>
      <c r="J674" s="162">
        <f>G674*H674*I674</f>
        <v>0</v>
      </c>
      <c r="K674" s="62">
        <f t="shared" ref="K674:K677" si="50">E674*F674-J674</f>
        <v>37.799999999999997</v>
      </c>
      <c r="L674" s="239" t="str">
        <f>IFERROR(VLOOKUP($C674,'SINAPI MAIO 2020'!$1:$1048576,3,0),IFERROR(VLOOKUP($C674,'6-COMP. PROPRIA'!$B$1:$I$808,5,0),""))</f>
        <v/>
      </c>
      <c r="M674" s="104"/>
      <c r="N674" s="105"/>
    </row>
    <row r="675" spans="2:14" ht="17.25" customHeight="1">
      <c r="B675" s="164" t="s">
        <v>6126</v>
      </c>
      <c r="C675" s="70"/>
      <c r="D675" s="20"/>
      <c r="E675" s="102">
        <f t="shared" si="49"/>
        <v>64.319999999999993</v>
      </c>
      <c r="F675" s="63">
        <v>1.2</v>
      </c>
      <c r="G675" s="240"/>
      <c r="H675" s="240"/>
      <c r="I675" s="240"/>
      <c r="J675" s="162"/>
      <c r="K675" s="62">
        <f t="shared" si="50"/>
        <v>77.183999999999983</v>
      </c>
      <c r="L675" s="239" t="str">
        <f>IFERROR(VLOOKUP($C675,'SINAPI MAIO 2020'!$1:$1048576,3,0),IFERROR(VLOOKUP($C675,'6-COMP. PROPRIA'!$B$1:$I$808,5,0),""))</f>
        <v/>
      </c>
      <c r="M675" s="104"/>
      <c r="N675" s="105"/>
    </row>
    <row r="676" spans="2:14" ht="17.25" customHeight="1">
      <c r="B676" s="164" t="s">
        <v>6118</v>
      </c>
      <c r="C676" s="70"/>
      <c r="D676" s="20"/>
      <c r="E676" s="102">
        <f t="shared" si="49"/>
        <v>3.5999999999999996</v>
      </c>
      <c r="F676" s="63">
        <v>1.2</v>
      </c>
      <c r="G676" s="240"/>
      <c r="H676" s="240"/>
      <c r="I676" s="240"/>
      <c r="J676" s="162"/>
      <c r="K676" s="62">
        <f t="shared" si="50"/>
        <v>4.3199999999999994</v>
      </c>
      <c r="L676" s="239" t="str">
        <f>IFERROR(VLOOKUP($C676,'SINAPI MAIO 2020'!$1:$1048576,3,0),IFERROR(VLOOKUP($C676,'6-COMP. PROPRIA'!$B$1:$I$808,5,0),""))</f>
        <v/>
      </c>
      <c r="M676" s="104"/>
      <c r="N676" s="105"/>
    </row>
    <row r="677" spans="2:14" ht="17.25" customHeight="1">
      <c r="B677" s="164" t="s">
        <v>6133</v>
      </c>
      <c r="C677" s="70"/>
      <c r="D677" s="20"/>
      <c r="E677" s="102">
        <f t="shared" si="49"/>
        <v>1.8</v>
      </c>
      <c r="F677" s="63">
        <v>1.2</v>
      </c>
      <c r="G677" s="240"/>
      <c r="H677" s="240"/>
      <c r="I677" s="240"/>
      <c r="J677" s="162"/>
      <c r="K677" s="62">
        <f t="shared" si="50"/>
        <v>2.16</v>
      </c>
      <c r="L677" s="239" t="str">
        <f>IFERROR(VLOOKUP($C677,'SINAPI MAIO 2020'!$1:$1048576,3,0),IFERROR(VLOOKUP($C677,'6-COMP. PROPRIA'!$B$1:$I$808,5,0),""))</f>
        <v/>
      </c>
      <c r="M677" s="104"/>
      <c r="N677" s="105"/>
    </row>
    <row r="678" spans="2:14" ht="17.25" customHeight="1" thickBot="1">
      <c r="B678" s="164"/>
      <c r="C678" s="20"/>
      <c r="D678" s="20"/>
      <c r="E678" s="238"/>
      <c r="F678" s="312"/>
      <c r="G678" s="312"/>
      <c r="H678" s="312"/>
      <c r="I678" s="312"/>
      <c r="J678" s="103"/>
      <c r="K678" s="211"/>
      <c r="L678" s="239" t="str">
        <f>IFERROR(VLOOKUP($C678,'SINAPI MAIO 2020'!$1:$1048576,3,0),IFERROR(VLOOKUP($C678,'6-COMP. PROPRIA'!$B$1:$I$808,5,0),""))</f>
        <v/>
      </c>
      <c r="M678" s="104"/>
      <c r="N678" s="105"/>
    </row>
    <row r="679" spans="2:14" ht="17.25" customHeight="1" thickBot="1">
      <c r="B679" s="164"/>
      <c r="C679" s="20"/>
      <c r="D679" s="277"/>
      <c r="E679" s="674" t="s">
        <v>5317</v>
      </c>
      <c r="F679" s="675"/>
      <c r="G679" s="675"/>
      <c r="H679" s="675"/>
      <c r="I679" s="675"/>
      <c r="J679" s="676"/>
      <c r="K679" s="211"/>
      <c r="L679" s="239" t="str">
        <f>IFERROR(VLOOKUP($C679,'SINAPI MAIO 2020'!$1:$1048576,3,0),IFERROR(VLOOKUP($C679,'6-COMP. PROPRIA'!$B$1:$I$808,5,0),""))</f>
        <v/>
      </c>
      <c r="M679" s="104"/>
      <c r="N679" s="105"/>
    </row>
    <row r="680" spans="2:14" ht="17.25" customHeight="1" thickBot="1">
      <c r="B680" s="164"/>
      <c r="C680" s="20"/>
      <c r="D680" s="20"/>
      <c r="E680" s="238"/>
      <c r="F680" s="312"/>
      <c r="G680" s="312"/>
      <c r="H680" s="312"/>
      <c r="I680" s="312"/>
      <c r="J680" s="103"/>
      <c r="K680" s="211"/>
      <c r="L680" s="239" t="str">
        <f>IFERROR(VLOOKUP($C680,'SINAPI MAIO 2020'!$1:$1048576,3,0),IFERROR(VLOOKUP($C680,'6-COMP. PROPRIA'!$B$1:$I$808,5,0),""))</f>
        <v/>
      </c>
      <c r="M680" s="104"/>
      <c r="N680" s="105"/>
    </row>
    <row r="681" spans="2:14" ht="17.25" customHeight="1" thickBot="1">
      <c r="B681" s="164"/>
      <c r="C681" s="20"/>
      <c r="D681" s="20"/>
      <c r="E681" s="674" t="s">
        <v>6174</v>
      </c>
      <c r="F681" s="675"/>
      <c r="G681" s="675"/>
      <c r="H681" s="675"/>
      <c r="I681" s="675"/>
      <c r="J681" s="676"/>
      <c r="K681" s="211"/>
      <c r="L681" s="239" t="str">
        <f>IFERROR(VLOOKUP($C681,'SINAPI MAIO 2020'!$1:$1048576,3,0),IFERROR(VLOOKUP($C681,'6-COMP. PROPRIA'!$B$1:$I$808,5,0),""))</f>
        <v/>
      </c>
      <c r="M681" s="104"/>
      <c r="N681" s="105"/>
    </row>
    <row r="682" spans="2:14" ht="17.25" customHeight="1" thickBot="1">
      <c r="B682" s="164"/>
      <c r="C682" s="20"/>
      <c r="D682" s="20"/>
      <c r="E682" s="238"/>
      <c r="F682" s="312"/>
      <c r="G682" s="312"/>
      <c r="H682" s="312"/>
      <c r="I682" s="312"/>
      <c r="J682" s="103"/>
      <c r="K682" s="211"/>
      <c r="L682" s="239" t="str">
        <f>IFERROR(VLOOKUP($C682,'SINAPI MAIO 2020'!$1:$1048576,3,0),IFERROR(VLOOKUP($C682,'6-COMP. PROPRIA'!$B$1:$I$808,5,0),""))</f>
        <v/>
      </c>
      <c r="M682" s="104"/>
      <c r="N682" s="105"/>
    </row>
    <row r="683" spans="2:14" ht="17.25" customHeight="1" thickBot="1">
      <c r="B683" s="164"/>
      <c r="C683" s="20"/>
      <c r="D683" s="20"/>
      <c r="E683" s="674" t="s">
        <v>6072</v>
      </c>
      <c r="F683" s="675"/>
      <c r="G683" s="675"/>
      <c r="H683" s="675"/>
      <c r="I683" s="675"/>
      <c r="J683" s="676"/>
      <c r="K683" s="211"/>
      <c r="L683" s="239" t="str">
        <f>IFERROR(VLOOKUP($C683,'SINAPI MAIO 2020'!$1:$1048576,3,0),IFERROR(VLOOKUP($C683,'6-COMP. PROPRIA'!$B$1:$I$808,5,0),""))</f>
        <v/>
      </c>
      <c r="M683" s="104"/>
      <c r="N683" s="105"/>
    </row>
    <row r="684" spans="2:14" ht="17.25" customHeight="1">
      <c r="B684" s="164"/>
      <c r="C684" s="20"/>
      <c r="D684" s="20"/>
      <c r="E684" s="238"/>
      <c r="F684" s="312"/>
      <c r="G684" s="312"/>
      <c r="H684" s="312"/>
      <c r="I684" s="312"/>
      <c r="J684" s="103"/>
      <c r="K684" s="211"/>
      <c r="L684" s="239" t="str">
        <f>IFERROR(VLOOKUP($C684,'SINAPI MAIO 2020'!$1:$1048576,3,0),IFERROR(VLOOKUP($C684,'6-COMP. PROPRIA'!$B$1:$I$808,5,0),""))</f>
        <v/>
      </c>
      <c r="M684" s="104"/>
      <c r="N684" s="105"/>
    </row>
    <row r="685" spans="2:14" ht="17.25" customHeight="1">
      <c r="B685" s="164"/>
      <c r="C685" s="275">
        <v>96523</v>
      </c>
      <c r="D685" s="275" t="s">
        <v>8</v>
      </c>
      <c r="E685" s="668" t="str">
        <f>IFERROR(VLOOKUP($C685,'SINAPI MAIO 2020'!$1:$1048576,2,0),IFERROR(VLOOKUP($C685,'6-COMP. PROPRIA'!$B$28:$I$808,4,0),""))</f>
        <v>ESCAVAÇÃO MANUAL PARA BLOCO DE COROAMENTO OU SAPATA, COM PREVISÃO DE FÔRMA. AF_06/2017</v>
      </c>
      <c r="F685" s="669"/>
      <c r="G685" s="669"/>
      <c r="H685" s="669"/>
      <c r="I685" s="669"/>
      <c r="J685" s="670"/>
      <c r="K685" s="212">
        <f>SUM(K687:K688)</f>
        <v>16.128</v>
      </c>
      <c r="L685" s="239" t="str">
        <f>IFERROR(VLOOKUP($C685,'SINAPI MAIO 2020'!$1:$1048576,3,0),IFERROR(VLOOKUP($C685,'6-COMP. PROPRIA'!$B$1:$I$808,5,0),""))</f>
        <v>M3</v>
      </c>
      <c r="M685" s="104"/>
      <c r="N685" s="105"/>
    </row>
    <row r="686" spans="2:14" ht="17.25" customHeight="1">
      <c r="B686" s="166"/>
      <c r="C686" s="20"/>
      <c r="D686" s="20"/>
      <c r="E686" s="72" t="s">
        <v>919</v>
      </c>
      <c r="F686" s="311" t="s">
        <v>918</v>
      </c>
      <c r="G686" s="311" t="s">
        <v>921</v>
      </c>
      <c r="H686" s="309" t="s">
        <v>922</v>
      </c>
      <c r="I686" s="48"/>
      <c r="J686" s="130"/>
      <c r="K686" s="217"/>
      <c r="L686" s="239" t="str">
        <f>IFERROR(VLOOKUP($C686,'SINAPI MAIO 2020'!$1:$1048576,3,0),IFERROR(VLOOKUP($C686,'6-COMP. PROPRIA'!$B$1:$I$808,5,0),""))</f>
        <v/>
      </c>
      <c r="M686" s="104"/>
      <c r="N686" s="105"/>
    </row>
    <row r="687" spans="2:14" ht="17.25" customHeight="1">
      <c r="B687" s="164" t="s">
        <v>6175</v>
      </c>
      <c r="C687" s="20"/>
      <c r="D687" s="20"/>
      <c r="E687" s="102">
        <v>0.7</v>
      </c>
      <c r="F687" s="138">
        <v>0.6</v>
      </c>
      <c r="G687" s="63">
        <v>1.6</v>
      </c>
      <c r="H687" s="63">
        <v>13</v>
      </c>
      <c r="I687" s="312"/>
      <c r="J687" s="103"/>
      <c r="K687" s="62">
        <f>H687*G687*F687*E687</f>
        <v>8.7359999999999989</v>
      </c>
      <c r="L687" s="239" t="str">
        <f>IFERROR(VLOOKUP($C687,'SINAPI MAIO 2020'!$1:$1048576,3,0),IFERROR(VLOOKUP($C687,'6-COMP. PROPRIA'!$B$1:$I$808,5,0),""))</f>
        <v/>
      </c>
      <c r="M687" s="104"/>
      <c r="N687" s="105"/>
    </row>
    <row r="688" spans="2:14" ht="17.25" customHeight="1">
      <c r="B688" s="164" t="s">
        <v>6176</v>
      </c>
      <c r="C688" s="20"/>
      <c r="D688" s="20"/>
      <c r="E688" s="126">
        <v>0.7</v>
      </c>
      <c r="F688" s="312">
        <v>0.6</v>
      </c>
      <c r="G688" s="312">
        <v>1.6</v>
      </c>
      <c r="H688" s="49">
        <v>11</v>
      </c>
      <c r="I688" s="49"/>
      <c r="J688" s="119"/>
      <c r="K688" s="62">
        <f>H688*G688*F688*E688</f>
        <v>7.3919999999999995</v>
      </c>
      <c r="L688" s="239" t="str">
        <f>IFERROR(VLOOKUP($C688,'SINAPI MAIO 2020'!$1:$1048576,3,0),IFERROR(VLOOKUP($C688,'6-COMP. PROPRIA'!$B$1:$I$808,5,0),""))</f>
        <v/>
      </c>
      <c r="M688" s="128"/>
      <c r="N688" s="121"/>
    </row>
    <row r="689" spans="2:14" ht="17.25" customHeight="1">
      <c r="B689" s="164"/>
      <c r="C689" s="20"/>
      <c r="D689" s="20"/>
      <c r="E689" s="126"/>
      <c r="F689" s="312"/>
      <c r="G689" s="312"/>
      <c r="H689" s="49"/>
      <c r="I689" s="49"/>
      <c r="J689" s="119"/>
      <c r="K689" s="210"/>
      <c r="L689" s="239" t="str">
        <f>IFERROR(VLOOKUP($C689,'SINAPI MAIO 2020'!$1:$1048576,3,0),IFERROR(VLOOKUP($C689,'6-COMP. PROPRIA'!$B$1:$I$808,5,0),""))</f>
        <v/>
      </c>
      <c r="M689" s="128"/>
      <c r="N689" s="121"/>
    </row>
    <row r="690" spans="2:14" ht="17.25" customHeight="1">
      <c r="B690" s="164"/>
      <c r="C690" s="275">
        <v>96617</v>
      </c>
      <c r="D690" s="275" t="s">
        <v>8</v>
      </c>
      <c r="E690" s="668" t="str">
        <f>IFERROR(VLOOKUP($C690,'SINAPI MAIO 2020'!$1:$1048576,2,0),IFERROR(VLOOKUP($C690,'6-COMP. PROPRIA'!$B$28:$I$808,4,0),""))</f>
        <v>LASTRO DE CONCRETO MAGRO, APLICADO EM BLOCOS DE COROAMENTO OU SAPATAS, ESPESSURA DE 3 CM. AF_08/2017</v>
      </c>
      <c r="F690" s="669"/>
      <c r="G690" s="669"/>
      <c r="H690" s="669"/>
      <c r="I690" s="669"/>
      <c r="J690" s="670"/>
      <c r="K690" s="212">
        <f>SUM(K692:K693)</f>
        <v>10.079999999999998</v>
      </c>
      <c r="L690" s="239" t="str">
        <f>IFERROR(VLOOKUP($C690,'SINAPI MAIO 2020'!$1:$1048576,3,0),IFERROR(VLOOKUP($C690,'6-COMP. PROPRIA'!$B$1:$I$808,5,0),""))</f>
        <v>M2</v>
      </c>
      <c r="M690" s="43">
        <f>K690*0.03</f>
        <v>0.30239999999999995</v>
      </c>
      <c r="N690" s="112" t="s">
        <v>41</v>
      </c>
    </row>
    <row r="691" spans="2:14" ht="17.25" customHeight="1">
      <c r="B691" s="164"/>
      <c r="C691" s="20"/>
      <c r="D691" s="20"/>
      <c r="E691" s="72" t="s">
        <v>919</v>
      </c>
      <c r="F691" s="311" t="s">
        <v>918</v>
      </c>
      <c r="G691" s="312"/>
      <c r="H691" s="309" t="s">
        <v>922</v>
      </c>
      <c r="I691" s="312"/>
      <c r="J691" s="103"/>
      <c r="K691" s="211"/>
      <c r="L691" s="239" t="str">
        <f>IFERROR(VLOOKUP($C691,'SINAPI MAIO 2020'!$1:$1048576,3,0),IFERROR(VLOOKUP($C691,'6-COMP. PROPRIA'!$B$1:$I$808,5,0),""))</f>
        <v/>
      </c>
      <c r="M691" s="104"/>
      <c r="N691" s="105"/>
    </row>
    <row r="692" spans="2:14" ht="17.25" customHeight="1">
      <c r="B692" s="164" t="str">
        <f>B687</f>
        <v>FRENTE</v>
      </c>
      <c r="C692" s="20"/>
      <c r="D692" s="20"/>
      <c r="E692" s="238">
        <f>E687</f>
        <v>0.7</v>
      </c>
      <c r="F692" s="312">
        <f>F687</f>
        <v>0.6</v>
      </c>
      <c r="G692" s="312"/>
      <c r="H692" s="312">
        <f>H687</f>
        <v>13</v>
      </c>
      <c r="I692" s="312"/>
      <c r="J692" s="103"/>
      <c r="K692" s="62">
        <f>H692*F692*E692</f>
        <v>5.46</v>
      </c>
      <c r="L692" s="239" t="str">
        <f>IFERROR(VLOOKUP($C692,'SINAPI MAIO 2020'!$1:$1048576,3,0),IFERROR(VLOOKUP($C692,'6-COMP. PROPRIA'!$B$1:$I$808,5,0),""))</f>
        <v/>
      </c>
      <c r="M692" s="104"/>
      <c r="N692" s="105"/>
    </row>
    <row r="693" spans="2:14" ht="17.25" customHeight="1">
      <c r="B693" s="164" t="str">
        <f>B688</f>
        <v>LATERAL</v>
      </c>
      <c r="C693" s="20"/>
      <c r="D693" s="20"/>
      <c r="E693" s="238">
        <f>E688</f>
        <v>0.7</v>
      </c>
      <c r="F693" s="312">
        <f>F688</f>
        <v>0.6</v>
      </c>
      <c r="G693" s="312"/>
      <c r="H693" s="312">
        <f>H688</f>
        <v>11</v>
      </c>
      <c r="I693" s="312"/>
      <c r="J693" s="103"/>
      <c r="K693" s="62">
        <f>H693*F693*E693</f>
        <v>4.6199999999999992</v>
      </c>
      <c r="L693" s="239" t="str">
        <f>IFERROR(VLOOKUP($C693,'SINAPI MAIO 2020'!$1:$1048576,3,0),IFERROR(VLOOKUP($C693,'6-COMP. PROPRIA'!$B$1:$I$808,5,0),""))</f>
        <v/>
      </c>
      <c r="M693" s="104"/>
      <c r="N693" s="105"/>
    </row>
    <row r="694" spans="2:14" ht="17.25" customHeight="1">
      <c r="B694" s="164"/>
      <c r="C694" s="20"/>
      <c r="D694" s="20"/>
      <c r="E694" s="238"/>
      <c r="F694" s="312"/>
      <c r="G694" s="312"/>
      <c r="H694" s="312"/>
      <c r="I694" s="312"/>
      <c r="J694" s="103"/>
      <c r="K694" s="211"/>
      <c r="L694" s="239" t="str">
        <f>IFERROR(VLOOKUP($C694,'SINAPI MAIO 2020'!$1:$1048576,3,0),IFERROR(VLOOKUP($C694,'6-COMP. PROPRIA'!$B$1:$I$808,5,0),""))</f>
        <v/>
      </c>
      <c r="M694" s="104"/>
      <c r="N694" s="105"/>
    </row>
    <row r="695" spans="2:14" ht="42.75" customHeight="1">
      <c r="B695" s="164"/>
      <c r="C695" s="275">
        <v>94965</v>
      </c>
      <c r="D695" s="275" t="s">
        <v>8</v>
      </c>
      <c r="E695" s="668" t="str">
        <f>IFERROR(VLOOKUP($C695,'SINAPI MAIO 2020'!$1:$1048576,2,0),IFERROR(VLOOKUP($C695,'6-COMP. PROPRIA'!$B$28:$I$808,4,0),""))</f>
        <v>CONCRETO FCK = 25MPA, TRAÇO 1:2,3:2,7 (CIMENTO/ AREIA MÉDIA/ BRITA 1)  - PREPARO MECÂNICO COM BETONEIRA 400 L. AF_07/2016</v>
      </c>
      <c r="F695" s="669"/>
      <c r="G695" s="669"/>
      <c r="H695" s="669"/>
      <c r="I695" s="669"/>
      <c r="J695" s="670"/>
      <c r="K695" s="212">
        <f>SUM(K697:K699)</f>
        <v>5.2200000000000006</v>
      </c>
      <c r="L695" s="239" t="str">
        <f>IFERROR(VLOOKUP($C695,'SINAPI MAIO 2020'!$1:$1048576,3,0),IFERROR(VLOOKUP($C695,'6-COMP. PROPRIA'!$B$1:$I$808,5,0),""))</f>
        <v>M3</v>
      </c>
      <c r="M695" s="43">
        <v>0</v>
      </c>
      <c r="N695" s="112" t="s">
        <v>41</v>
      </c>
    </row>
    <row r="696" spans="2:14" ht="17.25" customHeight="1">
      <c r="B696" s="164"/>
      <c r="C696" s="20"/>
      <c r="D696" s="20"/>
      <c r="E696" s="72" t="s">
        <v>919</v>
      </c>
      <c r="F696" s="311" t="s">
        <v>918</v>
      </c>
      <c r="G696" s="311" t="s">
        <v>921</v>
      </c>
      <c r="H696" s="309" t="s">
        <v>922</v>
      </c>
      <c r="I696" s="312"/>
      <c r="J696" s="103"/>
      <c r="K696" s="211"/>
      <c r="L696" s="239" t="str">
        <f>IFERROR(VLOOKUP($C696,'SINAPI MAIO 2020'!$1:$1048576,3,0),IFERROR(VLOOKUP($C696,'6-COMP. PROPRIA'!$B$1:$I$808,5,0),""))</f>
        <v/>
      </c>
      <c r="M696" s="104"/>
      <c r="N696" s="105"/>
    </row>
    <row r="697" spans="2:14" ht="17.25" customHeight="1">
      <c r="B697" s="164" t="str">
        <f>B692</f>
        <v>FRENTE</v>
      </c>
      <c r="C697" s="20"/>
      <c r="D697" s="20"/>
      <c r="E697" s="102">
        <v>0.7</v>
      </c>
      <c r="F697" s="63">
        <v>0.6</v>
      </c>
      <c r="G697" s="63">
        <v>0.4</v>
      </c>
      <c r="H697" s="63">
        <f>H687</f>
        <v>13</v>
      </c>
      <c r="I697" s="312"/>
      <c r="J697" s="103"/>
      <c r="K697" s="62">
        <f>E697*F697*G697*H697</f>
        <v>2.1840000000000002</v>
      </c>
      <c r="L697" s="239" t="str">
        <f>IFERROR(VLOOKUP($C697,'SINAPI MAIO 2020'!$1:$1048576,3,0),IFERROR(VLOOKUP($C697,'6-COMP. PROPRIA'!$B$1:$I$808,5,0),""))</f>
        <v/>
      </c>
      <c r="M697" s="104"/>
      <c r="N697" s="105"/>
    </row>
    <row r="698" spans="2:14" ht="17.25" customHeight="1">
      <c r="B698" s="164" t="str">
        <f>B693</f>
        <v>LATERAL</v>
      </c>
      <c r="C698" s="20"/>
      <c r="D698" s="20"/>
      <c r="E698" s="102">
        <v>0.7</v>
      </c>
      <c r="F698" s="63">
        <v>0.6</v>
      </c>
      <c r="G698" s="63">
        <v>0.4</v>
      </c>
      <c r="H698" s="63">
        <f>H688</f>
        <v>11</v>
      </c>
      <c r="I698" s="312"/>
      <c r="J698" s="103"/>
      <c r="K698" s="62">
        <f>E698*F698*G698*H698</f>
        <v>1.8480000000000001</v>
      </c>
      <c r="L698" s="239" t="str">
        <f>IFERROR(VLOOKUP($C698,'SINAPI MAIO 2020'!$1:$1048576,3,0),IFERROR(VLOOKUP($C698,'6-COMP. PROPRIA'!$B$1:$I$808,5,0),""))</f>
        <v/>
      </c>
      <c r="M698" s="104"/>
      <c r="N698" s="105"/>
    </row>
    <row r="699" spans="2:14" ht="17.25" customHeight="1">
      <c r="B699" s="164" t="s">
        <v>6180</v>
      </c>
      <c r="C699" s="20"/>
      <c r="D699" s="20"/>
      <c r="E699" s="102">
        <v>0.15</v>
      </c>
      <c r="F699" s="63">
        <v>0.3</v>
      </c>
      <c r="G699" s="63">
        <v>1.1000000000000001</v>
      </c>
      <c r="H699" s="63">
        <v>24</v>
      </c>
      <c r="I699" s="312"/>
      <c r="J699" s="103"/>
      <c r="K699" s="62">
        <f>E699*F699*G699*H699</f>
        <v>1.1880000000000002</v>
      </c>
      <c r="L699" s="239" t="str">
        <f>IFERROR(VLOOKUP($C699,'SINAPI MAIO 2020'!$1:$1048576,3,0),IFERROR(VLOOKUP($C699,'6-COMP. PROPRIA'!$B$1:$I$808,5,0),""))</f>
        <v/>
      </c>
      <c r="M699" s="104"/>
      <c r="N699" s="105"/>
    </row>
    <row r="700" spans="2:14" ht="17.25" customHeight="1">
      <c r="B700" s="164"/>
      <c r="C700" s="20"/>
      <c r="D700" s="20"/>
      <c r="E700" s="238"/>
      <c r="F700" s="312"/>
      <c r="G700" s="312"/>
      <c r="H700" s="312"/>
      <c r="I700" s="312"/>
      <c r="J700" s="103"/>
      <c r="K700" s="211"/>
      <c r="L700" s="239" t="str">
        <f>IFERROR(VLOOKUP($C700,'SINAPI MAIO 2020'!$1:$1048576,3,0),IFERROR(VLOOKUP($C700,'6-COMP. PROPRIA'!$B$1:$I$808,5,0),""))</f>
        <v/>
      </c>
      <c r="M700" s="104"/>
      <c r="N700" s="105"/>
    </row>
    <row r="701" spans="2:14" ht="17.25" customHeight="1">
      <c r="B701" s="164"/>
      <c r="C701" s="275">
        <v>92873</v>
      </c>
      <c r="D701" s="275" t="s">
        <v>8</v>
      </c>
      <c r="E701" s="668" t="str">
        <f>IFERROR(VLOOKUP($C701,'SINAPI MAIO 2020'!$1:$1048576,2,0),IFERROR(VLOOKUP($C701,'6-COMP. PROPRIA'!$B$28:$I$808,4,0),""))</f>
        <v>LANÇAMENTO COM USO DE BALDES, ADENSAMENTO E ACABAMENTO DE CONCRETO EM ESTRUTURAS. AF_12/2015</v>
      </c>
      <c r="F701" s="669"/>
      <c r="G701" s="669"/>
      <c r="H701" s="669"/>
      <c r="I701" s="669"/>
      <c r="J701" s="670"/>
      <c r="K701" s="212">
        <f>K695</f>
        <v>5.2200000000000006</v>
      </c>
      <c r="L701" s="239" t="str">
        <f>IFERROR(VLOOKUP($C701,'SINAPI MAIO 2020'!$1:$1048576,3,0),IFERROR(VLOOKUP($C701,'6-COMP. PROPRIA'!$B$1:$I$808,5,0),""))</f>
        <v>M3</v>
      </c>
      <c r="M701" s="43">
        <f>M695</f>
        <v>0</v>
      </c>
      <c r="N701" s="112" t="s">
        <v>41</v>
      </c>
    </row>
    <row r="702" spans="2:14" ht="17.25" customHeight="1">
      <c r="B702" s="164"/>
      <c r="C702" s="20"/>
      <c r="D702" s="20"/>
      <c r="E702" s="238"/>
      <c r="F702" s="312"/>
      <c r="G702" s="312"/>
      <c r="H702" s="312"/>
      <c r="I702" s="312"/>
      <c r="J702" s="103"/>
      <c r="K702" s="211"/>
      <c r="L702" s="239" t="str">
        <f>IFERROR(VLOOKUP($C702,'SINAPI MAIO 2020'!$1:$1048576,3,0),IFERROR(VLOOKUP($C702,'6-COMP. PROPRIA'!$B$1:$I$808,5,0),""))</f>
        <v/>
      </c>
      <c r="M702" s="104"/>
      <c r="N702" s="105"/>
    </row>
    <row r="703" spans="2:14" ht="37.5" customHeight="1">
      <c r="B703" s="164" t="s">
        <v>6072</v>
      </c>
      <c r="C703" s="275">
        <v>96546</v>
      </c>
      <c r="D703" s="275" t="s">
        <v>8</v>
      </c>
      <c r="E703" s="668" t="str">
        <f>IFERROR(VLOOKUP($C703,'SINAPI MAIO 2020'!$1:$1048576,2,0),IFERROR(VLOOKUP($C703,'6-COMP. PROPRIA'!$B$28:$I$808,4,0),""))</f>
        <v>ARMAÇÃO DE BLOCO, VIGA BALDRAME OU SAPATA UTILIZANDO AÇO CA-50 DE 10 MM - MONTAGEM. AF_06/2017</v>
      </c>
      <c r="F703" s="669"/>
      <c r="G703" s="669"/>
      <c r="H703" s="669"/>
      <c r="I703" s="669"/>
      <c r="J703" s="670"/>
      <c r="K703" s="212">
        <f>SUM(K706:K709)</f>
        <v>216.65743200000003</v>
      </c>
      <c r="L703" s="239" t="str">
        <f>IFERROR(VLOOKUP($C703,'SINAPI MAIO 2020'!$1:$1048576,3,0),IFERROR(VLOOKUP($C703,'6-COMP. PROPRIA'!$B$1:$I$808,5,0),""))</f>
        <v>KG</v>
      </c>
      <c r="M703" s="43">
        <v>0</v>
      </c>
      <c r="N703" s="112" t="s">
        <v>24</v>
      </c>
    </row>
    <row r="704" spans="2:14" ht="17.25" customHeight="1">
      <c r="B704" s="164"/>
      <c r="C704" s="20"/>
      <c r="D704" s="20"/>
      <c r="E704" s="238"/>
      <c r="F704" s="312"/>
      <c r="G704" s="312"/>
      <c r="H704" s="62" t="s">
        <v>936</v>
      </c>
      <c r="I704" s="61">
        <f>K703/$K$695</f>
        <v>41.50525517241379</v>
      </c>
      <c r="J704" s="103"/>
      <c r="K704" s="62"/>
      <c r="L704" s="239" t="str">
        <f>IFERROR(VLOOKUP($C704,'SINAPI MAIO 2020'!$1:$1048576,3,0),IFERROR(VLOOKUP($C704,'6-COMP. PROPRIA'!$B$1:$I$808,5,0),""))</f>
        <v/>
      </c>
      <c r="M704" s="104"/>
      <c r="N704" s="105"/>
    </row>
    <row r="705" spans="2:14" ht="17.25" customHeight="1">
      <c r="B705" s="164"/>
      <c r="C705" s="20"/>
      <c r="D705" s="20"/>
      <c r="E705" s="75" t="s">
        <v>935</v>
      </c>
      <c r="F705" s="309" t="s">
        <v>899</v>
      </c>
      <c r="G705" s="309" t="s">
        <v>6177</v>
      </c>
      <c r="H705" s="53" t="s">
        <v>853</v>
      </c>
      <c r="I705" s="60" t="s">
        <v>6178</v>
      </c>
      <c r="J705" s="103"/>
      <c r="K705" s="62"/>
      <c r="L705" s="239" t="str">
        <f>IFERROR(VLOOKUP($C705,'SINAPI MAIO 2020'!$1:$1048576,3,0),IFERROR(VLOOKUP($C705,'6-COMP. PROPRIA'!$B$1:$I$808,5,0),""))</f>
        <v/>
      </c>
      <c r="M705" s="104"/>
      <c r="N705" s="105"/>
    </row>
    <row r="706" spans="2:14" ht="17.25" customHeight="1">
      <c r="B706" s="164"/>
      <c r="C706" s="20"/>
      <c r="D706" s="20"/>
      <c r="E706" s="102">
        <v>10</v>
      </c>
      <c r="F706" s="63">
        <f>1.08</f>
        <v>1.08</v>
      </c>
      <c r="G706" s="63">
        <v>7</v>
      </c>
      <c r="H706" s="63">
        <v>0.61699999999999999</v>
      </c>
      <c r="I706" s="63">
        <v>13</v>
      </c>
      <c r="J706" s="103"/>
      <c r="K706" s="211">
        <f>H706*G706*F706*I706</f>
        <v>60.638760000000005</v>
      </c>
      <c r="L706" s="239" t="str">
        <f>IFERROR(VLOOKUP($C706,'SINAPI MAIO 2020'!$1:$1048576,3,0),IFERROR(VLOOKUP($C706,'6-COMP. PROPRIA'!$B$1:$I$808,5,0),""))</f>
        <v/>
      </c>
      <c r="M706" s="104"/>
      <c r="N706" s="105"/>
    </row>
    <row r="707" spans="2:14" ht="17.25" customHeight="1">
      <c r="B707" s="164"/>
      <c r="C707" s="20"/>
      <c r="D707" s="20"/>
      <c r="E707" s="102">
        <v>10</v>
      </c>
      <c r="F707" s="63">
        <f>1.18</f>
        <v>1.18</v>
      </c>
      <c r="G707" s="63">
        <v>6</v>
      </c>
      <c r="H707" s="63">
        <f>((E707/1000)*(E707/1000)*3.14*0.25)*7850</f>
        <v>0.61622500000000013</v>
      </c>
      <c r="I707" s="63">
        <v>13</v>
      </c>
      <c r="J707" s="103"/>
      <c r="K707" s="211">
        <f t="shared" ref="K707:K709" si="51">H707*G707*F707*I707</f>
        <v>56.71734900000002</v>
      </c>
      <c r="L707" s="239" t="str">
        <f>IFERROR(VLOOKUP($C707,'SINAPI MAIO 2020'!$1:$1048576,3,0),IFERROR(VLOOKUP($C707,'6-COMP. PROPRIA'!$B$1:$I$808,5,0),""))</f>
        <v/>
      </c>
      <c r="M707" s="104"/>
      <c r="N707" s="105"/>
    </row>
    <row r="708" spans="2:14" ht="17.25" customHeight="1">
      <c r="B708" s="164"/>
      <c r="C708" s="20"/>
      <c r="D708" s="20"/>
      <c r="E708" s="102">
        <v>10</v>
      </c>
      <c r="F708" s="63">
        <f>1.08</f>
        <v>1.08</v>
      </c>
      <c r="G708" s="63">
        <v>7</v>
      </c>
      <c r="H708" s="63">
        <v>0.61699999999999999</v>
      </c>
      <c r="I708" s="63">
        <v>11</v>
      </c>
      <c r="J708" s="103"/>
      <c r="K708" s="211">
        <f t="shared" si="51"/>
        <v>51.309720000000006</v>
      </c>
      <c r="L708" s="239" t="str">
        <f>IFERROR(VLOOKUP($C708,'SINAPI MAIO 2020'!$1:$1048576,3,0),IFERROR(VLOOKUP($C708,'6-COMP. PROPRIA'!$B$1:$I$808,5,0),""))</f>
        <v/>
      </c>
      <c r="M708" s="104"/>
      <c r="N708" s="105"/>
    </row>
    <row r="709" spans="2:14" ht="17.25" customHeight="1">
      <c r="B709" s="164"/>
      <c r="C709" s="20"/>
      <c r="D709" s="20"/>
      <c r="E709" s="102">
        <v>10</v>
      </c>
      <c r="F709" s="63">
        <f>1.18</f>
        <v>1.18</v>
      </c>
      <c r="G709" s="63">
        <v>6</v>
      </c>
      <c r="H709" s="63">
        <f>((E709/1000)*(E709/1000)*3.14*0.25)*7850</f>
        <v>0.61622500000000013</v>
      </c>
      <c r="I709" s="63">
        <v>11</v>
      </c>
      <c r="J709" s="103"/>
      <c r="K709" s="211">
        <f t="shared" si="51"/>
        <v>47.991603000000012</v>
      </c>
      <c r="L709" s="239" t="str">
        <f>IFERROR(VLOOKUP($C709,'SINAPI MAIO 2020'!$1:$1048576,3,0),IFERROR(VLOOKUP($C709,'6-COMP. PROPRIA'!$B$1:$I$808,5,0),""))</f>
        <v/>
      </c>
      <c r="M709" s="104"/>
      <c r="N709" s="105"/>
    </row>
    <row r="710" spans="2:14" ht="17.25" customHeight="1">
      <c r="B710" s="164"/>
      <c r="C710" s="20"/>
      <c r="D710" s="20"/>
      <c r="E710" s="238"/>
      <c r="F710" s="312"/>
      <c r="G710" s="312"/>
      <c r="H710" s="312"/>
      <c r="I710" s="312"/>
      <c r="J710" s="103"/>
      <c r="K710" s="211"/>
      <c r="L710" s="239" t="str">
        <f>IFERROR(VLOOKUP($C710,'SINAPI MAIO 2020'!$1:$1048576,3,0),IFERROR(VLOOKUP($C710,'6-COMP. PROPRIA'!$B$1:$I$808,5,0),""))</f>
        <v/>
      </c>
      <c r="M710" s="104"/>
      <c r="N710" s="105"/>
    </row>
    <row r="711" spans="2:14" ht="17.25" customHeight="1">
      <c r="B711" s="164"/>
      <c r="C711" s="20"/>
      <c r="D711" s="20"/>
      <c r="E711" s="238"/>
      <c r="F711" s="312"/>
      <c r="G711" s="312"/>
      <c r="H711" s="312"/>
      <c r="I711" s="312"/>
      <c r="J711" s="103"/>
      <c r="K711" s="211"/>
      <c r="L711" s="239" t="str">
        <f>IFERROR(VLOOKUP($C711,'SINAPI MAIO 2020'!$1:$1048576,3,0),IFERROR(VLOOKUP($C711,'6-COMP. PROPRIA'!$B$1:$I$808,5,0),""))</f>
        <v/>
      </c>
      <c r="M711" s="104"/>
      <c r="N711" s="105"/>
    </row>
    <row r="712" spans="2:14" ht="44.25" customHeight="1">
      <c r="B712" s="164" t="s">
        <v>6071</v>
      </c>
      <c r="C712" s="275">
        <v>96546</v>
      </c>
      <c r="D712" s="275" t="s">
        <v>8</v>
      </c>
      <c r="E712" s="668" t="str">
        <f>IFERROR(VLOOKUP($C712,'SINAPI MAIO 2020'!$1:$1048576,2,0),IFERROR(VLOOKUP($C712,'6-COMP. PROPRIA'!$B$28:$I$808,4,0),""))</f>
        <v>ARMAÇÃO DE BLOCO, VIGA BALDRAME OU SAPATA UTILIZANDO AÇO CA-50 DE 10 MM - MONTAGEM. AF_06/2017</v>
      </c>
      <c r="F712" s="669"/>
      <c r="G712" s="669"/>
      <c r="H712" s="669"/>
      <c r="I712" s="669"/>
      <c r="J712" s="670"/>
      <c r="K712" s="212">
        <f>SUM(K715:K716)</f>
        <v>122.01792</v>
      </c>
      <c r="L712" s="239" t="str">
        <f>IFERROR(VLOOKUP($C712,'SINAPI MAIO 2020'!$1:$1048576,3,0),IFERROR(VLOOKUP($C712,'6-COMP. PROPRIA'!$B$1:$I$808,5,0),""))</f>
        <v>KG</v>
      </c>
      <c r="M712" s="43">
        <v>0</v>
      </c>
      <c r="N712" s="112" t="s">
        <v>24</v>
      </c>
    </row>
    <row r="713" spans="2:14" ht="17.25" customHeight="1">
      <c r="B713" s="164"/>
      <c r="C713" s="20"/>
      <c r="D713" s="20"/>
      <c r="E713" s="238"/>
      <c r="F713" s="312"/>
      <c r="G713" s="312"/>
      <c r="H713" s="62" t="s">
        <v>936</v>
      </c>
      <c r="I713" s="61">
        <f>K712/$K$695</f>
        <v>23.375080459770114</v>
      </c>
      <c r="J713" s="103"/>
      <c r="K713" s="62"/>
      <c r="L713" s="239" t="str">
        <f>IFERROR(VLOOKUP($C713,'SINAPI MAIO 2020'!$1:$1048576,3,0),IFERROR(VLOOKUP($C713,'6-COMP. PROPRIA'!$B$1:$I$808,5,0),""))</f>
        <v/>
      </c>
      <c r="M713" s="104"/>
      <c r="N713" s="105"/>
    </row>
    <row r="714" spans="2:14" ht="17.25" customHeight="1">
      <c r="B714" s="164"/>
      <c r="C714" s="20"/>
      <c r="D714" s="20"/>
      <c r="E714" s="75" t="s">
        <v>935</v>
      </c>
      <c r="F714" s="309" t="s">
        <v>899</v>
      </c>
      <c r="G714" s="309" t="s">
        <v>6177</v>
      </c>
      <c r="H714" s="53" t="s">
        <v>853</v>
      </c>
      <c r="I714" s="60" t="s">
        <v>6178</v>
      </c>
      <c r="J714" s="103"/>
      <c r="K714" s="62"/>
      <c r="L714" s="239" t="str">
        <f>IFERROR(VLOOKUP($C714,'SINAPI MAIO 2020'!$1:$1048576,3,0),IFERROR(VLOOKUP($C714,'6-COMP. PROPRIA'!$B$1:$I$808,5,0),""))</f>
        <v/>
      </c>
      <c r="M714" s="104"/>
      <c r="N714" s="105"/>
    </row>
    <row r="715" spans="2:14" ht="17.25" customHeight="1">
      <c r="B715" s="164"/>
      <c r="C715" s="20"/>
      <c r="D715" s="20"/>
      <c r="E715" s="102">
        <v>10</v>
      </c>
      <c r="F715" s="63">
        <v>2.06</v>
      </c>
      <c r="G715" s="63">
        <v>4</v>
      </c>
      <c r="H715" s="63">
        <v>0.61699999999999999</v>
      </c>
      <c r="I715" s="63">
        <v>13</v>
      </c>
      <c r="J715" s="103"/>
      <c r="K715" s="211">
        <f>H715*G715*F715*I715</f>
        <v>66.093040000000002</v>
      </c>
      <c r="L715" s="239" t="str">
        <f>IFERROR(VLOOKUP($C715,'SINAPI MAIO 2020'!$1:$1048576,3,0),IFERROR(VLOOKUP($C715,'6-COMP. PROPRIA'!$B$1:$I$808,5,0),""))</f>
        <v/>
      </c>
      <c r="M715" s="104"/>
      <c r="N715" s="105"/>
    </row>
    <row r="716" spans="2:14" ht="17.25" customHeight="1">
      <c r="B716" s="164"/>
      <c r="C716" s="20"/>
      <c r="D716" s="20"/>
      <c r="E716" s="102">
        <v>10</v>
      </c>
      <c r="F716" s="63">
        <v>2.06</v>
      </c>
      <c r="G716" s="63">
        <v>4</v>
      </c>
      <c r="H716" s="63">
        <v>0.61699999999999999</v>
      </c>
      <c r="I716" s="63">
        <v>11</v>
      </c>
      <c r="J716" s="103"/>
      <c r="K716" s="211">
        <f>H716*G716*F716*I716</f>
        <v>55.924880000000002</v>
      </c>
      <c r="L716" s="239" t="str">
        <f>IFERROR(VLOOKUP($C716,'SINAPI MAIO 2020'!$1:$1048576,3,0),IFERROR(VLOOKUP($C716,'6-COMP. PROPRIA'!$B$1:$I$808,5,0),""))</f>
        <v/>
      </c>
      <c r="M716" s="104"/>
      <c r="N716" s="105"/>
    </row>
    <row r="717" spans="2:14" ht="17.25" customHeight="1">
      <c r="B717" s="164"/>
      <c r="C717" s="20"/>
      <c r="D717" s="20"/>
      <c r="E717" s="238"/>
      <c r="F717" s="312"/>
      <c r="G717" s="312"/>
      <c r="H717" s="312"/>
      <c r="I717" s="312"/>
      <c r="J717" s="103"/>
      <c r="K717" s="211"/>
      <c r="L717" s="239" t="str">
        <f>IFERROR(VLOOKUP($C717,'SINAPI MAIO 2020'!$1:$1048576,3,0),IFERROR(VLOOKUP($C717,'6-COMP. PROPRIA'!$B$1:$I$808,5,0),""))</f>
        <v/>
      </c>
      <c r="M717" s="104"/>
      <c r="N717" s="105"/>
    </row>
    <row r="718" spans="2:14" ht="17.25" customHeight="1">
      <c r="B718" s="164"/>
      <c r="C718" s="20"/>
      <c r="D718" s="20"/>
      <c r="E718" s="238"/>
      <c r="F718" s="312"/>
      <c r="G718" s="312"/>
      <c r="H718" s="312"/>
      <c r="I718" s="312"/>
      <c r="J718" s="103"/>
      <c r="K718" s="211"/>
      <c r="L718" s="239" t="str">
        <f>IFERROR(VLOOKUP($C718,'SINAPI MAIO 2020'!$1:$1048576,3,0),IFERROR(VLOOKUP($C718,'6-COMP. PROPRIA'!$B$1:$I$808,5,0),""))</f>
        <v/>
      </c>
      <c r="M718" s="104"/>
      <c r="N718" s="105"/>
    </row>
    <row r="719" spans="2:14" ht="17.25" customHeight="1">
      <c r="B719" s="164"/>
      <c r="C719" s="20"/>
      <c r="D719" s="20"/>
      <c r="E719" s="238"/>
      <c r="F719" s="312"/>
      <c r="G719" s="312"/>
      <c r="H719" s="312"/>
      <c r="I719" s="312"/>
      <c r="J719" s="103"/>
      <c r="K719" s="211"/>
      <c r="L719" s="239" t="str">
        <f>IFERROR(VLOOKUP($C719,'SINAPI MAIO 2020'!$1:$1048576,3,0),IFERROR(VLOOKUP($C719,'6-COMP. PROPRIA'!$B$1:$I$808,5,0),""))</f>
        <v/>
      </c>
      <c r="M719" s="104"/>
      <c r="N719" s="105"/>
    </row>
    <row r="720" spans="2:14" ht="45" customHeight="1">
      <c r="B720" s="164" t="s">
        <v>6071</v>
      </c>
      <c r="C720" s="275">
        <v>92775</v>
      </c>
      <c r="D720" s="275" t="s">
        <v>8</v>
      </c>
      <c r="E720" s="668" t="str">
        <f>IFERROR(VLOOKUP($C720,'SINAPI MAIO 2020'!$1:$1048576,2,0),IFERROR(VLOOKUP($C720,'6-COMP. PROPRIA'!$B$28:$I$808,4,0),""))</f>
        <v>ARMAÇÃO DE PILAR OU VIGA DE UMA ESTRUTURA CONVENCIONAL DE CONCRETO ARMADO EM UMA EDIFICAÇÃO TÉRREA OU SOBRADO UTILIZANDO AÇO CA-60 DE 5,0 MM - MONTAGEM. AF_12/2015</v>
      </c>
      <c r="F720" s="669"/>
      <c r="G720" s="669"/>
      <c r="H720" s="669"/>
      <c r="I720" s="669"/>
      <c r="J720" s="670"/>
      <c r="K720" s="212">
        <f>SUM(K723:K724)</f>
        <v>3.0307200000000001</v>
      </c>
      <c r="L720" s="239" t="str">
        <f>IFERROR(VLOOKUP($C720,'SINAPI MAIO 2020'!$1:$1048576,3,0),IFERROR(VLOOKUP($C720,'6-COMP. PROPRIA'!$B$1:$I$808,5,0),""))</f>
        <v>KG</v>
      </c>
      <c r="M720" s="104"/>
      <c r="N720" s="105"/>
    </row>
    <row r="721" spans="2:14" ht="17.25" customHeight="1">
      <c r="B721" s="164"/>
      <c r="C721" s="20"/>
      <c r="D721" s="20"/>
      <c r="E721" s="238"/>
      <c r="F721" s="312"/>
      <c r="G721" s="312"/>
      <c r="H721" s="62" t="s">
        <v>936</v>
      </c>
      <c r="I721" s="61">
        <f>K720/$K$695</f>
        <v>0.58059770114942522</v>
      </c>
      <c r="J721" s="103"/>
      <c r="K721" s="211"/>
      <c r="L721" s="239" t="str">
        <f>IFERROR(VLOOKUP($C721,'SINAPI MAIO 2020'!$1:$1048576,3,0),IFERROR(VLOOKUP($C721,'6-COMP. PROPRIA'!$B$1:$I$808,5,0),""))</f>
        <v/>
      </c>
      <c r="M721" s="104"/>
      <c r="N721" s="105"/>
    </row>
    <row r="722" spans="2:14" ht="17.25" customHeight="1">
      <c r="B722" s="164"/>
      <c r="C722" s="20"/>
      <c r="D722" s="20"/>
      <c r="E722" s="75" t="s">
        <v>935</v>
      </c>
      <c r="F722" s="309" t="s">
        <v>899</v>
      </c>
      <c r="G722" s="309" t="s">
        <v>6177</v>
      </c>
      <c r="H722" s="53" t="s">
        <v>853</v>
      </c>
      <c r="I722" s="60" t="s">
        <v>6179</v>
      </c>
      <c r="J722" s="103"/>
      <c r="K722" s="211"/>
      <c r="L722" s="239" t="str">
        <f>IFERROR(VLOOKUP($C722,'SINAPI MAIO 2020'!$1:$1048576,3,0),IFERROR(VLOOKUP($C722,'6-COMP. PROPRIA'!$B$1:$I$808,5,0),""))</f>
        <v/>
      </c>
      <c r="M722" s="104"/>
      <c r="N722" s="105"/>
    </row>
    <row r="723" spans="2:14" ht="17.25" customHeight="1">
      <c r="B723" s="164"/>
      <c r="C723" s="20"/>
      <c r="D723" s="20"/>
      <c r="E723" s="102">
        <v>5</v>
      </c>
      <c r="F723" s="63">
        <v>0.82</v>
      </c>
      <c r="G723" s="63">
        <v>1</v>
      </c>
      <c r="H723" s="63">
        <v>0.154</v>
      </c>
      <c r="I723" s="63">
        <v>13</v>
      </c>
      <c r="J723" s="103"/>
      <c r="K723" s="211">
        <f>H723*G723*F723*I723</f>
        <v>1.64164</v>
      </c>
      <c r="L723" s="239" t="str">
        <f>IFERROR(VLOOKUP($C723,'SINAPI MAIO 2020'!$1:$1048576,3,0),IFERROR(VLOOKUP($C723,'6-COMP. PROPRIA'!$B$1:$I$808,5,0),""))</f>
        <v/>
      </c>
      <c r="M723" s="104"/>
      <c r="N723" s="105"/>
    </row>
    <row r="724" spans="2:14" ht="17.25" customHeight="1">
      <c r="B724" s="164"/>
      <c r="C724" s="20"/>
      <c r="D724" s="20"/>
      <c r="E724" s="102">
        <v>5</v>
      </c>
      <c r="F724" s="63">
        <v>0.82</v>
      </c>
      <c r="G724" s="63">
        <v>1</v>
      </c>
      <c r="H724" s="63">
        <v>0.154</v>
      </c>
      <c r="I724" s="63">
        <v>11</v>
      </c>
      <c r="J724" s="103"/>
      <c r="K724" s="211">
        <f>H724*G724*F724*I724</f>
        <v>1.3890800000000001</v>
      </c>
      <c r="L724" s="239" t="str">
        <f>IFERROR(VLOOKUP($C724,'SINAPI MAIO 2020'!$1:$1048576,3,0),IFERROR(VLOOKUP($C724,'6-COMP. PROPRIA'!$B$1:$I$808,5,0),""))</f>
        <v/>
      </c>
      <c r="M724" s="104"/>
      <c r="N724" s="105"/>
    </row>
    <row r="725" spans="2:14" ht="17.25" customHeight="1">
      <c r="B725" s="164"/>
      <c r="C725" s="20"/>
      <c r="D725" s="20"/>
      <c r="E725" s="238"/>
      <c r="F725" s="312"/>
      <c r="G725" s="312"/>
      <c r="H725" s="312"/>
      <c r="I725" s="312"/>
      <c r="J725" s="103"/>
      <c r="K725" s="211"/>
      <c r="L725" s="239" t="str">
        <f>IFERROR(VLOOKUP($C725,'SINAPI MAIO 2020'!$1:$1048576,3,0),IFERROR(VLOOKUP($C725,'6-COMP. PROPRIA'!$B$1:$I$808,5,0),""))</f>
        <v/>
      </c>
      <c r="M725" s="104"/>
      <c r="N725" s="105"/>
    </row>
    <row r="726" spans="2:14" ht="17.25" customHeight="1">
      <c r="B726" s="164"/>
      <c r="C726" s="20"/>
      <c r="D726" s="20"/>
      <c r="E726" s="238"/>
      <c r="F726" s="312"/>
      <c r="G726" s="312"/>
      <c r="H726" s="312"/>
      <c r="I726" s="312"/>
      <c r="J726" s="103"/>
      <c r="K726" s="211"/>
      <c r="L726" s="239" t="str">
        <f>IFERROR(VLOOKUP($C726,'SINAPI MAIO 2020'!$1:$1048576,3,0),IFERROR(VLOOKUP($C726,'6-COMP. PROPRIA'!$B$1:$I$808,5,0),""))</f>
        <v/>
      </c>
      <c r="M726" s="104"/>
      <c r="N726" s="105"/>
    </row>
    <row r="727" spans="2:14" ht="46.5" customHeight="1">
      <c r="B727" s="164"/>
      <c r="C727" s="275">
        <v>96536</v>
      </c>
      <c r="D727" s="275" t="s">
        <v>8</v>
      </c>
      <c r="E727" s="668" t="str">
        <f>IFERROR(VLOOKUP($C727,'SINAPI MAIO 2020'!$1:$1048576,2,0),IFERROR(VLOOKUP($C727,'6-COMP. PROPRIA'!$B$28:$I$808,4,0),""))</f>
        <v>FABRICAÇÃO, MONTAGEM E DESMONTAGEM DE FÔRMA PARA VIGA BALDRAME, EM MADEIRA SERRADA, E=25 MM, 4 UTILIZAÇÕES. AF_06/2017</v>
      </c>
      <c r="F727" s="669"/>
      <c r="G727" s="669"/>
      <c r="H727" s="669"/>
      <c r="I727" s="669"/>
      <c r="J727" s="670"/>
      <c r="K727" s="212">
        <f>SUM(K730:K731)</f>
        <v>51.36</v>
      </c>
      <c r="L727" s="239" t="str">
        <f>IFERROR(VLOOKUP($C727,'SINAPI MAIO 2020'!$1:$1048576,3,0),IFERROR(VLOOKUP($C727,'6-COMP. PROPRIA'!$B$1:$I$808,5,0),""))</f>
        <v>M2</v>
      </c>
      <c r="M727" s="104"/>
      <c r="N727" s="105"/>
    </row>
    <row r="728" spans="2:14" ht="17.25" customHeight="1">
      <c r="B728" s="164"/>
      <c r="C728" s="20"/>
      <c r="D728" s="20"/>
      <c r="E728" s="306" t="s">
        <v>6217</v>
      </c>
      <c r="F728" s="307" t="s">
        <v>6218</v>
      </c>
      <c r="G728" s="307" t="s">
        <v>6219</v>
      </c>
      <c r="H728" s="307"/>
      <c r="I728" s="307"/>
      <c r="J728" s="308"/>
      <c r="K728" s="212"/>
      <c r="L728" s="239" t="str">
        <f>IFERROR(VLOOKUP($C728,'SINAPI MAIO 2020'!$1:$1048576,3,0),IFERROR(VLOOKUP($C728,'6-COMP. PROPRIA'!$B$1:$I$808,5,0),""))</f>
        <v/>
      </c>
      <c r="M728" s="104"/>
      <c r="N728" s="105"/>
    </row>
    <row r="729" spans="2:14" ht="17.25" customHeight="1">
      <c r="B729" s="164" t="s">
        <v>6072</v>
      </c>
      <c r="C729" s="20"/>
      <c r="D729" s="20"/>
      <c r="E729" s="305">
        <f>(E692*2)+(F692*2)</f>
        <v>2.5999999999999996</v>
      </c>
      <c r="F729" s="66">
        <v>0.4</v>
      </c>
      <c r="G729" s="282">
        <v>24</v>
      </c>
      <c r="H729" s="312"/>
      <c r="I729" s="312"/>
      <c r="J729" s="103"/>
      <c r="K729" s="211"/>
      <c r="L729" s="239" t="str">
        <f>IFERROR(VLOOKUP($C729,'SINAPI MAIO 2020'!$1:$1048576,3,0),IFERROR(VLOOKUP($C729,'6-COMP. PROPRIA'!$B$1:$I$808,5,0),""))</f>
        <v/>
      </c>
      <c r="M729" s="104"/>
      <c r="N729" s="105"/>
    </row>
    <row r="730" spans="2:14" ht="17.25" customHeight="1">
      <c r="B730" s="164" t="s">
        <v>6181</v>
      </c>
      <c r="C730" s="20"/>
      <c r="D730" s="20"/>
      <c r="E730" s="305">
        <f>(0.15*2)+(0.35*2)</f>
        <v>1</v>
      </c>
      <c r="F730" s="66">
        <v>1.1000000000000001</v>
      </c>
      <c r="G730" s="282">
        <v>24</v>
      </c>
      <c r="H730" s="312"/>
      <c r="I730" s="312"/>
      <c r="J730" s="103"/>
      <c r="K730" s="211">
        <f>E729*F729*G729</f>
        <v>24.959999999999994</v>
      </c>
      <c r="L730" s="239" t="str">
        <f>IFERROR(VLOOKUP($C730,'SINAPI MAIO 2020'!$1:$1048576,3,0),IFERROR(VLOOKUP($C730,'6-COMP. PROPRIA'!$B$1:$I$808,5,0),""))</f>
        <v/>
      </c>
      <c r="M730" s="104"/>
      <c r="N730" s="105"/>
    </row>
    <row r="731" spans="2:14" ht="17.25" customHeight="1">
      <c r="B731" s="164"/>
      <c r="C731" s="20"/>
      <c r="D731" s="20"/>
      <c r="E731" s="238"/>
      <c r="F731" s="312"/>
      <c r="G731" s="312"/>
      <c r="H731" s="312"/>
      <c r="I731" s="312"/>
      <c r="J731" s="103"/>
      <c r="K731" s="211">
        <f>E730*F730*G730</f>
        <v>26.400000000000002</v>
      </c>
      <c r="L731" s="239" t="str">
        <f>IFERROR(VLOOKUP($C731,'SINAPI MAIO 2020'!$1:$1048576,3,0),IFERROR(VLOOKUP($C731,'6-COMP. PROPRIA'!$B$1:$I$808,5,0),""))</f>
        <v/>
      </c>
      <c r="M731" s="104"/>
      <c r="N731" s="105"/>
    </row>
    <row r="732" spans="2:14" ht="17.25" customHeight="1">
      <c r="B732" s="164"/>
      <c r="C732" s="20"/>
      <c r="D732" s="20"/>
      <c r="E732" s="238"/>
      <c r="F732" s="312"/>
      <c r="G732" s="312"/>
      <c r="H732" s="312"/>
      <c r="I732" s="312"/>
      <c r="J732" s="103"/>
      <c r="K732" s="211"/>
      <c r="L732" s="239" t="str">
        <f>IFERROR(VLOOKUP($C732,'SINAPI MAIO 2020'!$1:$1048576,3,0),IFERROR(VLOOKUP($C732,'6-COMP. PROPRIA'!$B$1:$I$808,5,0),""))</f>
        <v/>
      </c>
      <c r="M732" s="104"/>
      <c r="N732" s="105"/>
    </row>
    <row r="733" spans="2:14" ht="17.25" customHeight="1">
      <c r="B733" s="164"/>
      <c r="C733" s="275">
        <v>93382</v>
      </c>
      <c r="D733" s="275" t="s">
        <v>8</v>
      </c>
      <c r="E733" s="668" t="str">
        <f>IFERROR(VLOOKUP($C733,'SINAPI MAIO 2020'!$1:$1048576,2,0),IFERROR(VLOOKUP($C733,'6-COMP. PROPRIA'!$B$28:$I$808,4,0),""))</f>
        <v>REATERRO MANUAL DE VALAS COM COMPACTAÇÃO MECANIZADA. AF_04/2016</v>
      </c>
      <c r="F733" s="669"/>
      <c r="G733" s="669"/>
      <c r="H733" s="669"/>
      <c r="I733" s="669"/>
      <c r="J733" s="670"/>
      <c r="K733" s="212">
        <f>SUM(K735)</f>
        <v>10.907999999999999</v>
      </c>
      <c r="L733" s="239" t="str">
        <f>IFERROR(VLOOKUP($C733,'SINAPI MAIO 2020'!$1:$1048576,3,0),IFERROR(VLOOKUP($C733,'6-COMP. PROPRIA'!$B$1:$I$808,5,0),""))</f>
        <v>M3</v>
      </c>
      <c r="M733" s="104"/>
      <c r="N733" s="105"/>
    </row>
    <row r="734" spans="2:14" ht="17.25" customHeight="1">
      <c r="B734" s="164"/>
      <c r="C734" s="20"/>
      <c r="D734" s="20"/>
      <c r="E734" s="75" t="s">
        <v>950</v>
      </c>
      <c r="F734" s="309" t="s">
        <v>940</v>
      </c>
      <c r="G734" s="312"/>
      <c r="H734" s="312"/>
      <c r="I734" s="312"/>
      <c r="J734" s="103"/>
      <c r="K734" s="212"/>
      <c r="L734" s="239" t="str">
        <f>IFERROR(VLOOKUP($C734,'SINAPI MAIO 2020'!$1:$1048576,3,0),IFERROR(VLOOKUP($C734,'6-COMP. PROPRIA'!$B$1:$I$808,5,0),""))</f>
        <v/>
      </c>
      <c r="M734" s="104"/>
      <c r="N734" s="105"/>
    </row>
    <row r="735" spans="2:14" ht="17.25" customHeight="1">
      <c r="B735" s="164"/>
      <c r="C735" s="20"/>
      <c r="D735" s="20"/>
      <c r="E735" s="102">
        <f>K685</f>
        <v>16.128</v>
      </c>
      <c r="F735" s="63">
        <f>K695</f>
        <v>5.2200000000000006</v>
      </c>
      <c r="G735" s="312"/>
      <c r="H735" s="312"/>
      <c r="I735" s="312"/>
      <c r="J735" s="103"/>
      <c r="K735" s="62">
        <f>E735-F735</f>
        <v>10.907999999999999</v>
      </c>
      <c r="L735" s="239" t="str">
        <f>IFERROR(VLOOKUP($C735,'SINAPI MAIO 2020'!$1:$1048576,3,0),IFERROR(VLOOKUP($C735,'6-COMP. PROPRIA'!$B$1:$I$808,5,0),""))</f>
        <v/>
      </c>
      <c r="M735" s="104"/>
      <c r="N735" s="105"/>
    </row>
    <row r="736" spans="2:14" ht="17.25" customHeight="1">
      <c r="B736" s="164"/>
      <c r="C736" s="20"/>
      <c r="D736" s="20"/>
      <c r="E736" s="238"/>
      <c r="F736" s="312"/>
      <c r="G736" s="312"/>
      <c r="H736" s="312"/>
      <c r="I736" s="312"/>
      <c r="J736" s="103"/>
      <c r="K736" s="211"/>
      <c r="L736" s="239" t="str">
        <f>IFERROR(VLOOKUP($C736,'SINAPI MAIO 2020'!$1:$1048576,3,0),IFERROR(VLOOKUP($C736,'6-COMP. PROPRIA'!$B$1:$I$808,5,0),""))</f>
        <v/>
      </c>
      <c r="M736" s="104"/>
      <c r="N736" s="105"/>
    </row>
    <row r="737" spans="2:14" ht="17.25" customHeight="1">
      <c r="B737" s="164"/>
      <c r="C737" s="275">
        <v>98557</v>
      </c>
      <c r="D737" s="275" t="s">
        <v>8</v>
      </c>
      <c r="E737" s="668" t="str">
        <f>IFERROR(VLOOKUP($C737,'SINAPI MAIO 2020'!$1:$1048576,2,0),IFERROR(VLOOKUP($C737,'6-COMP. PROPRIA'!$B$28:$I$808,4,0),""))</f>
        <v>IMPERMEABILIZAÇÃO DE SUPERFÍCIE COM EMULSÃO ASFÁLTICA, 2 DEMÃOS AF_06/2018</v>
      </c>
      <c r="F737" s="669"/>
      <c r="G737" s="669"/>
      <c r="H737" s="669"/>
      <c r="I737" s="669"/>
      <c r="J737" s="670"/>
      <c r="K737" s="212">
        <f>SUM(K739:K740)</f>
        <v>49.919999999999987</v>
      </c>
      <c r="L737" s="239" t="str">
        <f>IFERROR(VLOOKUP($C737,'SINAPI MAIO 2020'!$1:$1048576,3,0),IFERROR(VLOOKUP($C737,'6-COMP. PROPRIA'!$B$1:$I$808,5,0),""))</f>
        <v>M2</v>
      </c>
      <c r="M737" s="104"/>
      <c r="N737" s="105"/>
    </row>
    <row r="738" spans="2:14" ht="17.25" customHeight="1">
      <c r="B738" s="164"/>
      <c r="C738" s="20"/>
      <c r="D738" s="20"/>
      <c r="E738" s="242" t="s">
        <v>938</v>
      </c>
      <c r="F738" s="311" t="s">
        <v>921</v>
      </c>
      <c r="G738" s="309" t="s">
        <v>922</v>
      </c>
      <c r="H738" s="312"/>
      <c r="I738" s="312"/>
      <c r="J738" s="103"/>
      <c r="K738" s="211"/>
      <c r="L738" s="239" t="str">
        <f>IFERROR(VLOOKUP($C738,'SINAPI MAIO 2020'!$1:$1048576,3,0),IFERROR(VLOOKUP($C738,'6-COMP. PROPRIA'!$B$1:$I$808,5,0),""))</f>
        <v/>
      </c>
      <c r="M738" s="104"/>
      <c r="N738" s="105"/>
    </row>
    <row r="739" spans="2:14" ht="17.25" customHeight="1">
      <c r="B739" s="164" t="s">
        <v>6072</v>
      </c>
      <c r="C739" s="20"/>
      <c r="D739" s="20"/>
      <c r="E739" s="102">
        <f>(E687*2)+(F687*2)</f>
        <v>2.5999999999999996</v>
      </c>
      <c r="F739" s="66">
        <v>0.4</v>
      </c>
      <c r="G739" s="282">
        <v>24</v>
      </c>
      <c r="H739" s="312"/>
      <c r="I739" s="312"/>
      <c r="J739" s="103"/>
      <c r="K739" s="211">
        <f>E739*F739*G739</f>
        <v>24.959999999999994</v>
      </c>
      <c r="L739" s="239" t="str">
        <f>IFERROR(VLOOKUP($C739,'SINAPI MAIO 2020'!$1:$1048576,3,0),IFERROR(VLOOKUP($C739,'6-COMP. PROPRIA'!$B$1:$I$808,5,0),""))</f>
        <v/>
      </c>
      <c r="M739" s="104"/>
      <c r="N739" s="105"/>
    </row>
    <row r="740" spans="2:14" ht="17.25" customHeight="1">
      <c r="B740" s="164" t="s">
        <v>6181</v>
      </c>
      <c r="C740" s="20"/>
      <c r="D740" s="20"/>
      <c r="E740" s="102">
        <f>(0.15*2)+(0.3*2)</f>
        <v>0.89999999999999991</v>
      </c>
      <c r="F740" s="66">
        <v>1.1000000000000001</v>
      </c>
      <c r="G740" s="282">
        <v>24</v>
      </c>
      <c r="H740" s="312"/>
      <c r="I740" s="312"/>
      <c r="J740" s="103"/>
      <c r="K740" s="211">
        <f>E739*F739*G739</f>
        <v>24.959999999999994</v>
      </c>
      <c r="L740" s="239" t="str">
        <f>IFERROR(VLOOKUP($C740,'SINAPI MAIO 2020'!$1:$1048576,3,0),IFERROR(VLOOKUP($C740,'6-COMP. PROPRIA'!$B$1:$I$808,5,0),""))</f>
        <v/>
      </c>
      <c r="M740" s="104"/>
      <c r="N740" s="105"/>
    </row>
    <row r="741" spans="2:14" ht="17.25" customHeight="1">
      <c r="B741" s="164"/>
      <c r="C741" s="20"/>
      <c r="D741" s="20"/>
      <c r="E741" s="242"/>
      <c r="F741" s="311"/>
      <c r="G741" s="309"/>
      <c r="H741" s="312"/>
      <c r="I741" s="312"/>
      <c r="J741" s="103"/>
      <c r="K741" s="215"/>
      <c r="L741" s="239" t="str">
        <f>IFERROR(VLOOKUP($C741,'SINAPI MAIO 2020'!$1:$1048576,3,0),IFERROR(VLOOKUP($C741,'6-COMP. PROPRIA'!$B$1:$I$808,5,0),""))</f>
        <v/>
      </c>
      <c r="M741" s="104"/>
      <c r="N741" s="105"/>
    </row>
    <row r="742" spans="2:14" ht="17.25" customHeight="1">
      <c r="B742" s="164"/>
      <c r="C742" s="20"/>
      <c r="D742" s="20"/>
      <c r="E742" s="114"/>
      <c r="F742" s="312"/>
      <c r="G742" s="312"/>
      <c r="H742" s="312"/>
      <c r="I742" s="312"/>
      <c r="J742" s="103"/>
      <c r="K742" s="215"/>
      <c r="L742" s="239" t="str">
        <f>IFERROR(VLOOKUP($C742,'SINAPI MAIO 2020'!$1:$1048576,3,0),IFERROR(VLOOKUP($C742,'6-COMP. PROPRIA'!$B$1:$I$808,5,0),""))</f>
        <v/>
      </c>
      <c r="M742" s="104"/>
      <c r="N742" s="105"/>
    </row>
    <row r="743" spans="2:14" ht="17.25" customHeight="1">
      <c r="B743" s="164"/>
      <c r="C743" s="275">
        <v>72897</v>
      </c>
      <c r="D743" s="275" t="s">
        <v>8</v>
      </c>
      <c r="E743" s="668" t="str">
        <f>IFERROR(VLOOKUP($C743,'SINAPI MAIO 2020'!$1:$1048576,2,0),IFERROR(VLOOKUP($C743,'6-COMP. PROPRIA'!$B$28:$I$808,4,0),""))</f>
        <v>CARGA MANUAL DE ENTULHO EM CAMINHAO BASCULANTE 6 M3</v>
      </c>
      <c r="F743" s="669"/>
      <c r="G743" s="669"/>
      <c r="H743" s="669"/>
      <c r="I743" s="669"/>
      <c r="J743" s="670"/>
      <c r="K743" s="212">
        <f>SUM(K745:K745)</f>
        <v>6.7860000000000014</v>
      </c>
      <c r="L743" s="239" t="str">
        <f>IFERROR(VLOOKUP($C743,'SINAPI MAIO 2020'!$1:$1048576,3,0),IFERROR(VLOOKUP($C743,'6-COMP. PROPRIA'!$B$1:$I$808,5,0),""))</f>
        <v>M3</v>
      </c>
      <c r="M743" s="104"/>
      <c r="N743" s="105"/>
    </row>
    <row r="744" spans="2:14" ht="33.75" customHeight="1">
      <c r="B744" s="164"/>
      <c r="C744" s="20"/>
      <c r="D744" s="20"/>
      <c r="E744" s="75"/>
      <c r="F744" s="309" t="s">
        <v>940</v>
      </c>
      <c r="G744" s="311"/>
      <c r="H744" s="309" t="s">
        <v>932</v>
      </c>
      <c r="I744" s="312"/>
      <c r="J744" s="310"/>
      <c r="K744" s="62"/>
      <c r="L744" s="239" t="str">
        <f>IFERROR(VLOOKUP($C744,'SINAPI MAIO 2020'!$1:$1048576,3,0),IFERROR(VLOOKUP($C744,'6-COMP. PROPRIA'!$B$1:$I$808,5,0),""))</f>
        <v/>
      </c>
      <c r="M744" s="104"/>
      <c r="N744" s="105"/>
    </row>
    <row r="745" spans="2:14" ht="17.25" customHeight="1">
      <c r="B745" s="164"/>
      <c r="C745" s="20"/>
      <c r="D745" s="20"/>
      <c r="E745" s="238"/>
      <c r="F745" s="66">
        <f>K695</f>
        <v>5.2200000000000006</v>
      </c>
      <c r="G745" s="311"/>
      <c r="H745" s="66">
        <v>1.3</v>
      </c>
      <c r="I745" s="312"/>
      <c r="J745" s="59"/>
      <c r="K745" s="62">
        <f>H745*F745</f>
        <v>6.7860000000000014</v>
      </c>
      <c r="L745" s="239" t="str">
        <f>IFERROR(VLOOKUP($C745,'SINAPI MAIO 2020'!$1:$1048576,3,0),IFERROR(VLOOKUP($C745,'6-COMP. PROPRIA'!$B$1:$I$808,5,0),""))</f>
        <v/>
      </c>
      <c r="M745" s="104"/>
      <c r="N745" s="105"/>
    </row>
    <row r="746" spans="2:14" ht="17.25" customHeight="1">
      <c r="B746" s="164"/>
      <c r="C746" s="20"/>
      <c r="D746" s="20"/>
      <c r="E746" s="238"/>
      <c r="F746" s="311"/>
      <c r="G746" s="311"/>
      <c r="H746" s="312"/>
      <c r="I746" s="311"/>
      <c r="J746" s="59"/>
      <c r="K746" s="62"/>
      <c r="L746" s="239" t="str">
        <f>IFERROR(VLOOKUP($C746,'SINAPI MAIO 2020'!$1:$1048576,3,0),IFERROR(VLOOKUP($C746,'6-COMP. PROPRIA'!$B$1:$I$808,5,0),""))</f>
        <v/>
      </c>
      <c r="M746" s="104"/>
      <c r="N746" s="105"/>
    </row>
    <row r="747" spans="2:14" ht="34.5" customHeight="1">
      <c r="B747" s="164"/>
      <c r="C747" s="275">
        <v>97916</v>
      </c>
      <c r="D747" s="275" t="s">
        <v>8</v>
      </c>
      <c r="E747" s="668" t="str">
        <f>IFERROR(VLOOKUP($C747,'SINAPI MAIO 2020'!$1:$1048576,2,0),IFERROR(VLOOKUP($C747,'6-COMP. PROPRIA'!$B$28:$I$808,4,0),""))</f>
        <v>TRANSPORTE COM CAMINHÃO BASCULANTE DE 6 M3, EM VIA URBANA EM LEITO NATURAL (UNIDADE: TXKM). AF_01/2018</v>
      </c>
      <c r="F747" s="669"/>
      <c r="G747" s="669"/>
      <c r="H747" s="669"/>
      <c r="I747" s="669"/>
      <c r="J747" s="670"/>
      <c r="K747" s="212">
        <f>SUM(K749:K750)</f>
        <v>169.65000000000003</v>
      </c>
      <c r="L747" s="239" t="str">
        <f>IFERROR(VLOOKUP($C747,'SINAPI MAIO 2020'!$1:$1048576,3,0),IFERROR(VLOOKUP($C747,'6-COMP. PROPRIA'!$B$1:$I$808,5,0),""))</f>
        <v>TXKM</v>
      </c>
      <c r="M747" s="104"/>
      <c r="N747" s="105"/>
    </row>
    <row r="748" spans="2:14" ht="27" customHeight="1">
      <c r="B748" s="164"/>
      <c r="C748" s="20"/>
      <c r="D748" s="20"/>
      <c r="E748" s="75" t="s">
        <v>925</v>
      </c>
      <c r="F748" s="312"/>
      <c r="G748" s="312"/>
      <c r="H748" s="309" t="s">
        <v>926</v>
      </c>
      <c r="I748" s="312"/>
      <c r="J748" s="103"/>
      <c r="K748" s="211"/>
      <c r="L748" s="239" t="str">
        <f>IFERROR(VLOOKUP($C748,'SINAPI MAIO 2020'!$1:$1048576,3,0),IFERROR(VLOOKUP($C748,'6-COMP. PROPRIA'!$B$1:$I$808,5,0),""))</f>
        <v/>
      </c>
      <c r="M748" s="104"/>
      <c r="N748" s="105"/>
    </row>
    <row r="749" spans="2:14" ht="17.25" customHeight="1">
      <c r="B749" s="164"/>
      <c r="C749" s="20"/>
      <c r="D749" s="20"/>
      <c r="E749" s="113">
        <f>K743</f>
        <v>6.7860000000000014</v>
      </c>
      <c r="F749" s="50"/>
      <c r="G749" s="50"/>
      <c r="H749" s="106">
        <v>25</v>
      </c>
      <c r="I749" s="312"/>
      <c r="J749" s="59"/>
      <c r="K749" s="62">
        <f>H749*E749</f>
        <v>169.65000000000003</v>
      </c>
      <c r="L749" s="239" t="str">
        <f>IFERROR(VLOOKUP($C749,'SINAPI MAIO 2020'!$1:$1048576,3,0),IFERROR(VLOOKUP($C749,'6-COMP. PROPRIA'!$B$1:$I$808,5,0),""))</f>
        <v/>
      </c>
      <c r="M749" s="104"/>
      <c r="N749" s="105"/>
    </row>
    <row r="750" spans="2:14" ht="17.25" customHeight="1" thickBot="1">
      <c r="B750" s="164"/>
      <c r="C750" s="92"/>
      <c r="D750" s="92"/>
      <c r="E750" s="114"/>
      <c r="F750" s="50"/>
      <c r="G750" s="50"/>
      <c r="H750" s="50"/>
      <c r="I750" s="312"/>
      <c r="J750" s="103"/>
      <c r="K750" s="62">
        <f>H750*E750</f>
        <v>0</v>
      </c>
      <c r="L750" s="239" t="str">
        <f>IFERROR(VLOOKUP($C750,'SINAPI MAIO 2020'!$1:$1048576,3,0),IFERROR(VLOOKUP($C750,'6-COMP. PROPRIA'!$B$1:$I$808,5,0),""))</f>
        <v/>
      </c>
      <c r="M750" s="104"/>
      <c r="N750" s="105"/>
    </row>
    <row r="751" spans="2:14" ht="17.25" customHeight="1" thickBot="1">
      <c r="B751" s="164"/>
      <c r="C751" s="20"/>
      <c r="D751" s="20"/>
      <c r="E751" s="674" t="s">
        <v>6182</v>
      </c>
      <c r="F751" s="675"/>
      <c r="G751" s="675"/>
      <c r="H751" s="675"/>
      <c r="I751" s="675"/>
      <c r="J751" s="676"/>
      <c r="K751" s="211"/>
      <c r="L751" s="239" t="str">
        <f>IFERROR(VLOOKUP($C751,'SINAPI MAIO 2020'!$1:$1048576,3,0),IFERROR(VLOOKUP($C751,'6-COMP. PROPRIA'!$B$1:$I$808,5,0),""))</f>
        <v/>
      </c>
      <c r="M751" s="104"/>
      <c r="N751" s="105"/>
    </row>
    <row r="752" spans="2:14" ht="17.25" customHeight="1">
      <c r="B752" s="164"/>
      <c r="C752" s="20"/>
      <c r="D752" s="20"/>
      <c r="E752" s="238"/>
      <c r="F752" s="312"/>
      <c r="G752" s="312"/>
      <c r="H752" s="312"/>
      <c r="I752" s="312"/>
      <c r="J752" s="103"/>
      <c r="K752" s="211"/>
      <c r="L752" s="239" t="str">
        <f>IFERROR(VLOOKUP($C752,'SINAPI MAIO 2020'!$1:$1048576,3,0),IFERROR(VLOOKUP($C752,'6-COMP. PROPRIA'!$B$1:$I$808,5,0),""))</f>
        <v/>
      </c>
      <c r="M752" s="104"/>
      <c r="N752" s="105"/>
    </row>
    <row r="753" spans="2:14" ht="17.25" customHeight="1">
      <c r="B753" s="164"/>
      <c r="C753" s="275">
        <v>96527</v>
      </c>
      <c r="D753" s="275" t="s">
        <v>8</v>
      </c>
      <c r="E753" s="668" t="str">
        <f>IFERROR(VLOOKUP($C753,'SINAPI MAIO 2020'!$1:$1048576,2,0),IFERROR(VLOOKUP($C753,'6-COMP. PROPRIA'!$B$28:$I$808,4,0),""))</f>
        <v>ESCAVAÇÃO MANUAL DE VALA PARA VIGA BALDRAME, COM PREVISÃO DE FÔRMA. AF_06/2017</v>
      </c>
      <c r="F753" s="669"/>
      <c r="G753" s="669"/>
      <c r="H753" s="669"/>
      <c r="I753" s="669"/>
      <c r="J753" s="670"/>
      <c r="K753" s="212">
        <f>SUM(K755:K760)*1.3</f>
        <v>7.4515999999999991</v>
      </c>
      <c r="L753" s="239" t="str">
        <f>IFERROR(VLOOKUP($C753,'SINAPI MAIO 2020'!$1:$1048576,3,0),IFERROR(VLOOKUP($C753,'6-COMP. PROPRIA'!$B$1:$I$808,5,0),""))</f>
        <v>M3</v>
      </c>
      <c r="M753" s="104"/>
      <c r="N753" s="105"/>
    </row>
    <row r="754" spans="2:14" ht="17.25" customHeight="1">
      <c r="B754" s="164"/>
      <c r="C754" s="20"/>
      <c r="D754" s="20"/>
      <c r="E754" s="72" t="s">
        <v>919</v>
      </c>
      <c r="F754" s="311" t="s">
        <v>918</v>
      </c>
      <c r="G754" s="311" t="s">
        <v>921</v>
      </c>
      <c r="H754" s="309" t="s">
        <v>922</v>
      </c>
      <c r="I754" s="317"/>
      <c r="J754" s="318"/>
      <c r="K754" s="217"/>
      <c r="L754" s="239" t="str">
        <f>IFERROR(VLOOKUP($C754,'SINAPI MAIO 2020'!$1:$1048576,3,0),IFERROR(VLOOKUP($C754,'6-COMP. PROPRIA'!$B$1:$I$808,5,0),""))</f>
        <v/>
      </c>
      <c r="M754" s="104"/>
      <c r="N754" s="105"/>
    </row>
    <row r="755" spans="2:14" ht="17.25" customHeight="1">
      <c r="B755" s="164" t="s">
        <v>6183</v>
      </c>
      <c r="C755" s="20"/>
      <c r="D755" s="20"/>
      <c r="E755" s="102">
        <v>2.52</v>
      </c>
      <c r="F755" s="106">
        <v>0.25</v>
      </c>
      <c r="G755" s="106">
        <v>0.4</v>
      </c>
      <c r="H755" s="106">
        <v>1</v>
      </c>
      <c r="I755" s="312"/>
      <c r="J755" s="103"/>
      <c r="K755" s="62">
        <f>E755*F755*G755*H755</f>
        <v>0.252</v>
      </c>
      <c r="L755" s="239" t="str">
        <f>IFERROR(VLOOKUP($C755,'SINAPI MAIO 2020'!$1:$1048576,3,0),IFERROR(VLOOKUP($C755,'6-COMP. PROPRIA'!$B$1:$I$808,5,0),""))</f>
        <v/>
      </c>
      <c r="M755" s="104"/>
      <c r="N755" s="105"/>
    </row>
    <row r="756" spans="2:14" ht="17.25" customHeight="1">
      <c r="B756" s="164" t="s">
        <v>6183</v>
      </c>
      <c r="C756" s="20"/>
      <c r="D756" s="20"/>
      <c r="E756" s="102">
        <v>2.37</v>
      </c>
      <c r="F756" s="106">
        <v>0.25</v>
      </c>
      <c r="G756" s="106">
        <v>0.4</v>
      </c>
      <c r="H756" s="106">
        <v>10</v>
      </c>
      <c r="I756" s="312"/>
      <c r="J756" s="103"/>
      <c r="K756" s="62">
        <f t="shared" ref="K756:K760" si="52">E756*F756*G756*H756</f>
        <v>2.37</v>
      </c>
      <c r="L756" s="239" t="str">
        <f>IFERROR(VLOOKUP($C756,'SINAPI MAIO 2020'!$1:$1048576,3,0),IFERROR(VLOOKUP($C756,'6-COMP. PROPRIA'!$B$1:$I$808,5,0),""))</f>
        <v/>
      </c>
      <c r="M756" s="104"/>
      <c r="N756" s="105"/>
    </row>
    <row r="757" spans="2:14" ht="17.25" customHeight="1">
      <c r="B757" s="164" t="s">
        <v>6183</v>
      </c>
      <c r="C757" s="20"/>
      <c r="D757" s="20"/>
      <c r="E757" s="102">
        <v>2.5499999999999998</v>
      </c>
      <c r="F757" s="106">
        <v>0.25</v>
      </c>
      <c r="G757" s="106">
        <v>0.4</v>
      </c>
      <c r="H757" s="106">
        <v>1</v>
      </c>
      <c r="I757" s="312"/>
      <c r="J757" s="103"/>
      <c r="K757" s="62">
        <f t="shared" si="52"/>
        <v>0.255</v>
      </c>
      <c r="L757" s="239" t="str">
        <f>IFERROR(VLOOKUP($C757,'SINAPI MAIO 2020'!$1:$1048576,3,0),IFERROR(VLOOKUP($C757,'6-COMP. PROPRIA'!$B$1:$I$808,5,0),""))</f>
        <v/>
      </c>
      <c r="M757" s="104"/>
      <c r="N757" s="105"/>
    </row>
    <row r="758" spans="2:14" ht="17.25" customHeight="1">
      <c r="B758" s="164" t="s">
        <v>6184</v>
      </c>
      <c r="C758" s="20"/>
      <c r="D758" s="20"/>
      <c r="E758" s="102">
        <v>2.82</v>
      </c>
      <c r="F758" s="106">
        <v>0.25</v>
      </c>
      <c r="G758" s="106">
        <v>0.4</v>
      </c>
      <c r="H758" s="106">
        <v>1</v>
      </c>
      <c r="I758" s="312"/>
      <c r="J758" s="103"/>
      <c r="K758" s="62">
        <f t="shared" si="52"/>
        <v>0.28199999999999997</v>
      </c>
      <c r="L758" s="239" t="str">
        <f>IFERROR(VLOOKUP($C758,'SINAPI MAIO 2020'!$1:$1048576,3,0),IFERROR(VLOOKUP($C758,'6-COMP. PROPRIA'!$B$1:$I$808,5,0),""))</f>
        <v/>
      </c>
      <c r="M758" s="104"/>
      <c r="N758" s="105"/>
    </row>
    <row r="759" spans="2:14" ht="17.25" customHeight="1">
      <c r="B759" s="164" t="s">
        <v>6184</v>
      </c>
      <c r="C759" s="20"/>
      <c r="D759" s="20"/>
      <c r="E759" s="102">
        <v>2.5499999999999998</v>
      </c>
      <c r="F759" s="106">
        <v>0.25</v>
      </c>
      <c r="G759" s="106">
        <v>0.4</v>
      </c>
      <c r="H759" s="106">
        <v>9</v>
      </c>
      <c r="I759" s="312"/>
      <c r="J759" s="103"/>
      <c r="K759" s="62">
        <f t="shared" si="52"/>
        <v>2.2949999999999999</v>
      </c>
      <c r="L759" s="239" t="str">
        <f>IFERROR(VLOOKUP($C759,'SINAPI MAIO 2020'!$1:$1048576,3,0),IFERROR(VLOOKUP($C759,'6-COMP. PROPRIA'!$B$1:$I$808,5,0),""))</f>
        <v/>
      </c>
      <c r="M759" s="104"/>
      <c r="N759" s="105"/>
    </row>
    <row r="760" spans="2:14" ht="17.25" customHeight="1">
      <c r="B760" s="164" t="s">
        <v>6184</v>
      </c>
      <c r="C760" s="20"/>
      <c r="D760" s="20"/>
      <c r="E760" s="102">
        <v>2.78</v>
      </c>
      <c r="F760" s="106">
        <v>0.25</v>
      </c>
      <c r="G760" s="106">
        <v>0.4</v>
      </c>
      <c r="H760" s="106">
        <v>1</v>
      </c>
      <c r="I760" s="312"/>
      <c r="J760" s="103"/>
      <c r="K760" s="62">
        <f t="shared" si="52"/>
        <v>0.27799999999999997</v>
      </c>
      <c r="L760" s="239" t="str">
        <f>IFERROR(VLOOKUP($C760,'SINAPI MAIO 2020'!$1:$1048576,3,0),IFERROR(VLOOKUP($C760,'6-COMP. PROPRIA'!$B$1:$I$808,5,0),""))</f>
        <v/>
      </c>
      <c r="M760" s="104"/>
      <c r="N760" s="105"/>
    </row>
    <row r="761" spans="2:14" ht="17.25" customHeight="1">
      <c r="B761" s="164"/>
      <c r="C761" s="20"/>
      <c r="D761" s="20"/>
      <c r="E761" s="238"/>
      <c r="F761" s="312"/>
      <c r="G761" s="312"/>
      <c r="H761" s="312"/>
      <c r="I761" s="312"/>
      <c r="J761" s="103"/>
      <c r="K761" s="211"/>
      <c r="L761" s="239" t="str">
        <f>IFERROR(VLOOKUP($C761,'SINAPI MAIO 2020'!$1:$1048576,3,0),IFERROR(VLOOKUP($C761,'6-COMP. PROPRIA'!$B$1:$I$808,5,0),""))</f>
        <v/>
      </c>
      <c r="M761" s="104"/>
      <c r="N761" s="105"/>
    </row>
    <row r="762" spans="2:14" ht="17.25" customHeight="1">
      <c r="B762" s="164"/>
      <c r="C762" s="20"/>
      <c r="D762" s="20"/>
      <c r="E762" s="238"/>
      <c r="F762" s="312"/>
      <c r="G762" s="312"/>
      <c r="H762" s="312"/>
      <c r="I762" s="312"/>
      <c r="J762" s="103"/>
      <c r="K762" s="211"/>
      <c r="L762" s="239" t="str">
        <f>IFERROR(VLOOKUP($C762,'SINAPI MAIO 2020'!$1:$1048576,3,0),IFERROR(VLOOKUP($C762,'6-COMP. PROPRIA'!$B$1:$I$808,5,0),""))</f>
        <v/>
      </c>
      <c r="M762" s="104"/>
      <c r="N762" s="105"/>
    </row>
    <row r="763" spans="2:14" ht="17.25" customHeight="1">
      <c r="B763" s="164"/>
      <c r="C763" s="20"/>
      <c r="D763" s="20"/>
      <c r="E763" s="238"/>
      <c r="F763" s="312"/>
      <c r="G763" s="312"/>
      <c r="H763" s="312"/>
      <c r="I763" s="312"/>
      <c r="J763" s="103"/>
      <c r="K763" s="211"/>
      <c r="L763" s="239" t="str">
        <f>IFERROR(VLOOKUP($C763,'SINAPI MAIO 2020'!$1:$1048576,3,0),IFERROR(VLOOKUP($C763,'6-COMP. PROPRIA'!$B$1:$I$808,5,0),""))</f>
        <v/>
      </c>
      <c r="M763" s="104"/>
      <c r="N763" s="105"/>
    </row>
    <row r="764" spans="2:14" ht="17.25" customHeight="1">
      <c r="B764" s="164"/>
      <c r="C764" s="275">
        <v>96617</v>
      </c>
      <c r="D764" s="275" t="s">
        <v>8</v>
      </c>
      <c r="E764" s="668" t="str">
        <f>IFERROR(VLOOKUP($C764,'SINAPI MAIO 2020'!$1:$1048576,2,0),IFERROR(VLOOKUP($C764,'6-COMP. PROPRIA'!$B$28:$I$808,4,0),""))</f>
        <v>LASTRO DE CONCRETO MAGRO, APLICADO EM BLOCOS DE COROAMENTO OU SAPATAS, ESPESSURA DE 3 CM. AF_08/2017</v>
      </c>
      <c r="F764" s="669"/>
      <c r="G764" s="669"/>
      <c r="H764" s="669"/>
      <c r="I764" s="669"/>
      <c r="J764" s="670"/>
      <c r="K764" s="212">
        <f>SUM(K766:K771)</f>
        <v>8.597999999999999</v>
      </c>
      <c r="L764" s="239" t="str">
        <f>IFERROR(VLOOKUP($C764,'SINAPI MAIO 2020'!$1:$1048576,3,0),IFERROR(VLOOKUP($C764,'6-COMP. PROPRIA'!$B$1:$I$808,5,0),""))</f>
        <v>M2</v>
      </c>
      <c r="M764" s="104"/>
      <c r="N764" s="105"/>
    </row>
    <row r="765" spans="2:14" ht="17.25" customHeight="1">
      <c r="B765" s="164"/>
      <c r="C765" s="91"/>
      <c r="D765" s="91"/>
      <c r="E765" s="72" t="s">
        <v>919</v>
      </c>
      <c r="F765" s="311" t="s">
        <v>918</v>
      </c>
      <c r="G765" s="312"/>
      <c r="H765" s="309" t="s">
        <v>922</v>
      </c>
      <c r="I765" s="312"/>
      <c r="J765" s="103"/>
      <c r="K765" s="211"/>
      <c r="L765" s="239" t="str">
        <f>IFERROR(VLOOKUP($C765,'SINAPI MAIO 2020'!$1:$1048576,3,0),IFERROR(VLOOKUP($C765,'6-COMP. PROPRIA'!$B$1:$I$808,5,0),""))</f>
        <v/>
      </c>
      <c r="M765" s="104"/>
      <c r="N765" s="105"/>
    </row>
    <row r="766" spans="2:14" ht="17.25" customHeight="1">
      <c r="B766" s="164" t="s">
        <v>6183</v>
      </c>
      <c r="C766" s="91"/>
      <c r="D766" s="91"/>
      <c r="E766" s="102">
        <v>2.52</v>
      </c>
      <c r="F766" s="106">
        <v>0.15</v>
      </c>
      <c r="G766" s="312"/>
      <c r="H766" s="106">
        <v>1</v>
      </c>
      <c r="I766" s="312"/>
      <c r="J766" s="103"/>
      <c r="K766" s="62">
        <f>H766*F766*E766</f>
        <v>0.378</v>
      </c>
      <c r="L766" s="239" t="str">
        <f>IFERROR(VLOOKUP($C766,'SINAPI MAIO 2020'!$1:$1048576,3,0),IFERROR(VLOOKUP($C766,'6-COMP. PROPRIA'!$B$1:$I$808,5,0),""))</f>
        <v/>
      </c>
      <c r="M766" s="104"/>
      <c r="N766" s="105"/>
    </row>
    <row r="767" spans="2:14" ht="17.25" customHeight="1">
      <c r="B767" s="164" t="s">
        <v>6183</v>
      </c>
      <c r="C767" s="91"/>
      <c r="D767" s="91"/>
      <c r="E767" s="102">
        <v>2.37</v>
      </c>
      <c r="F767" s="106">
        <v>0.15</v>
      </c>
      <c r="G767" s="312"/>
      <c r="H767" s="106">
        <v>10</v>
      </c>
      <c r="I767" s="312"/>
      <c r="J767" s="103"/>
      <c r="K767" s="62">
        <f t="shared" ref="K767:K771" si="53">H767*F767*E767</f>
        <v>3.5550000000000002</v>
      </c>
      <c r="L767" s="239" t="str">
        <f>IFERROR(VLOOKUP($C767,'SINAPI MAIO 2020'!$1:$1048576,3,0),IFERROR(VLOOKUP($C767,'6-COMP. PROPRIA'!$B$1:$I$808,5,0),""))</f>
        <v/>
      </c>
      <c r="M767" s="104"/>
      <c r="N767" s="105"/>
    </row>
    <row r="768" spans="2:14" ht="17.25" customHeight="1">
      <c r="B768" s="164" t="s">
        <v>6183</v>
      </c>
      <c r="C768" s="20"/>
      <c r="D768" s="20"/>
      <c r="E768" s="102">
        <v>2.5499999999999998</v>
      </c>
      <c r="F768" s="106">
        <v>0.15</v>
      </c>
      <c r="G768" s="312"/>
      <c r="H768" s="106">
        <v>1</v>
      </c>
      <c r="I768" s="312"/>
      <c r="J768" s="103"/>
      <c r="K768" s="62">
        <f t="shared" si="53"/>
        <v>0.38249999999999995</v>
      </c>
      <c r="L768" s="239" t="str">
        <f>IFERROR(VLOOKUP($C768,'SINAPI MAIO 2020'!$1:$1048576,3,0),IFERROR(VLOOKUP($C768,'6-COMP. PROPRIA'!$B$1:$I$808,5,0),""))</f>
        <v/>
      </c>
      <c r="M768" s="104"/>
      <c r="N768" s="105"/>
    </row>
    <row r="769" spans="2:14" ht="17.25" customHeight="1">
      <c r="B769" s="164" t="s">
        <v>6184</v>
      </c>
      <c r="C769" s="20"/>
      <c r="D769" s="20"/>
      <c r="E769" s="102">
        <v>2.82</v>
      </c>
      <c r="F769" s="106">
        <v>0.15</v>
      </c>
      <c r="G769" s="312"/>
      <c r="H769" s="106">
        <v>1</v>
      </c>
      <c r="I769" s="312"/>
      <c r="J769" s="103"/>
      <c r="K769" s="62">
        <f t="shared" si="53"/>
        <v>0.42299999999999999</v>
      </c>
      <c r="L769" s="239" t="str">
        <f>IFERROR(VLOOKUP($C769,'SINAPI MAIO 2020'!$1:$1048576,3,0),IFERROR(VLOOKUP($C769,'6-COMP. PROPRIA'!$B$1:$I$808,5,0),""))</f>
        <v/>
      </c>
      <c r="M769" s="104"/>
      <c r="N769" s="105"/>
    </row>
    <row r="770" spans="2:14" ht="17.25" customHeight="1">
      <c r="B770" s="164" t="s">
        <v>6184</v>
      </c>
      <c r="C770" s="20"/>
      <c r="D770" s="20"/>
      <c r="E770" s="102">
        <v>2.5499999999999998</v>
      </c>
      <c r="F770" s="106">
        <v>0.15</v>
      </c>
      <c r="G770" s="312"/>
      <c r="H770" s="106">
        <v>9</v>
      </c>
      <c r="I770" s="312"/>
      <c r="J770" s="103"/>
      <c r="K770" s="62">
        <f t="shared" si="53"/>
        <v>3.4424999999999994</v>
      </c>
      <c r="L770" s="239" t="str">
        <f>IFERROR(VLOOKUP($C770,'SINAPI MAIO 2020'!$1:$1048576,3,0),IFERROR(VLOOKUP($C770,'6-COMP. PROPRIA'!$B$1:$I$808,5,0),""))</f>
        <v/>
      </c>
      <c r="M770" s="104"/>
      <c r="N770" s="105"/>
    </row>
    <row r="771" spans="2:14" ht="17.25" customHeight="1">
      <c r="B771" s="164" t="s">
        <v>6184</v>
      </c>
      <c r="C771" s="20"/>
      <c r="D771" s="20"/>
      <c r="E771" s="102">
        <v>2.78</v>
      </c>
      <c r="F771" s="106">
        <v>0.15</v>
      </c>
      <c r="G771" s="312"/>
      <c r="H771" s="106">
        <v>1</v>
      </c>
      <c r="I771" s="312"/>
      <c r="J771" s="103"/>
      <c r="K771" s="62">
        <f t="shared" si="53"/>
        <v>0.41699999999999998</v>
      </c>
      <c r="L771" s="239" t="str">
        <f>IFERROR(VLOOKUP($C771,'SINAPI MAIO 2020'!$1:$1048576,3,0),IFERROR(VLOOKUP($C771,'6-COMP. PROPRIA'!$B$1:$I$808,5,0),""))</f>
        <v/>
      </c>
      <c r="M771" s="104"/>
      <c r="N771" s="105"/>
    </row>
    <row r="772" spans="2:14" ht="17.25" customHeight="1">
      <c r="B772" s="164"/>
      <c r="C772" s="20"/>
      <c r="D772" s="20"/>
      <c r="E772" s="238"/>
      <c r="F772" s="312"/>
      <c r="G772" s="312"/>
      <c r="H772" s="312"/>
      <c r="I772" s="312"/>
      <c r="J772" s="103"/>
      <c r="K772" s="62"/>
      <c r="L772" s="239" t="str">
        <f>IFERROR(VLOOKUP($C772,'SINAPI MAIO 2020'!$1:$1048576,3,0),IFERROR(VLOOKUP($C772,'6-COMP. PROPRIA'!$B$1:$I$808,5,0),""))</f>
        <v/>
      </c>
      <c r="M772" s="104"/>
      <c r="N772" s="105"/>
    </row>
    <row r="773" spans="2:14" ht="17.25" customHeight="1">
      <c r="B773" s="164"/>
      <c r="C773" s="275">
        <v>94965</v>
      </c>
      <c r="D773" s="275" t="s">
        <v>8</v>
      </c>
      <c r="E773" s="668" t="str">
        <f>IFERROR(VLOOKUP($C773,'SINAPI MAIO 2020'!$1:$1048576,2,0),IFERROR(VLOOKUP($C773,'6-COMP. PROPRIA'!$B$28:$I$808,4,0),""))</f>
        <v>CONCRETO FCK = 25MPA, TRAÇO 1:2,3:2,7 (CIMENTO/ AREIA MÉDIA/ BRITA 1)  - PREPARO MECÂNICO COM BETONEIRA 400 L. AF_07/2016</v>
      </c>
      <c r="F773" s="669"/>
      <c r="G773" s="669"/>
      <c r="H773" s="669"/>
      <c r="I773" s="669"/>
      <c r="J773" s="670"/>
      <c r="K773" s="212">
        <f>SUM(K775:K780)</f>
        <v>2.5793999999999997</v>
      </c>
      <c r="L773" s="239" t="str">
        <f>IFERROR(VLOOKUP($C773,'SINAPI MAIO 2020'!$1:$1048576,3,0),IFERROR(VLOOKUP($C773,'6-COMP. PROPRIA'!$B$1:$I$808,5,0),""))</f>
        <v>M3</v>
      </c>
      <c r="M773" s="104"/>
      <c r="N773" s="105"/>
    </row>
    <row r="774" spans="2:14" ht="17.25" customHeight="1">
      <c r="B774" s="164"/>
      <c r="C774" s="91"/>
      <c r="D774" s="91"/>
      <c r="E774" s="72" t="s">
        <v>919</v>
      </c>
      <c r="F774" s="311" t="s">
        <v>918</v>
      </c>
      <c r="G774" s="311" t="s">
        <v>921</v>
      </c>
      <c r="H774" s="309" t="s">
        <v>922</v>
      </c>
      <c r="I774" s="312"/>
      <c r="J774" s="103"/>
      <c r="K774" s="62"/>
      <c r="L774" s="239" t="str">
        <f>IFERROR(VLOOKUP($C774,'SINAPI MAIO 2020'!$1:$1048576,3,0),IFERROR(VLOOKUP($C774,'6-COMP. PROPRIA'!$B$1:$I$808,5,0),""))</f>
        <v/>
      </c>
      <c r="M774" s="104"/>
      <c r="N774" s="105"/>
    </row>
    <row r="775" spans="2:14" ht="17.25" customHeight="1">
      <c r="B775" s="164" t="s">
        <v>6183</v>
      </c>
      <c r="C775" s="20"/>
      <c r="D775" s="20"/>
      <c r="E775" s="102">
        <v>2.52</v>
      </c>
      <c r="F775" s="106">
        <v>0.15</v>
      </c>
      <c r="G775" s="106">
        <v>0.3</v>
      </c>
      <c r="H775" s="106">
        <v>1</v>
      </c>
      <c r="I775" s="312"/>
      <c r="J775" s="103"/>
      <c r="K775" s="62">
        <f t="shared" ref="K775:K780" si="54">E775*F775*G775*H775</f>
        <v>0.1134</v>
      </c>
      <c r="L775" s="239" t="str">
        <f>IFERROR(VLOOKUP($C775,'SINAPI MAIO 2020'!$1:$1048576,3,0),IFERROR(VLOOKUP($C775,'6-COMP. PROPRIA'!$B$1:$I$808,5,0),""))</f>
        <v/>
      </c>
      <c r="M775" s="104"/>
      <c r="N775" s="105"/>
    </row>
    <row r="776" spans="2:14" ht="17.25" customHeight="1">
      <c r="B776" s="164" t="s">
        <v>6183</v>
      </c>
      <c r="C776" s="20"/>
      <c r="D776" s="20"/>
      <c r="E776" s="102">
        <v>2.37</v>
      </c>
      <c r="F776" s="106">
        <v>0.15</v>
      </c>
      <c r="G776" s="106">
        <v>0.3</v>
      </c>
      <c r="H776" s="106">
        <v>10</v>
      </c>
      <c r="I776" s="312"/>
      <c r="J776" s="103"/>
      <c r="K776" s="62">
        <f t="shared" si="54"/>
        <v>1.0665</v>
      </c>
      <c r="L776" s="239" t="str">
        <f>IFERROR(VLOOKUP($C776,'SINAPI MAIO 2020'!$1:$1048576,3,0),IFERROR(VLOOKUP($C776,'6-COMP. PROPRIA'!$B$1:$I$808,5,0),""))</f>
        <v/>
      </c>
      <c r="M776" s="104"/>
      <c r="N776" s="105"/>
    </row>
    <row r="777" spans="2:14" ht="17.25" customHeight="1">
      <c r="B777" s="164" t="s">
        <v>6183</v>
      </c>
      <c r="C777" s="20"/>
      <c r="D777" s="20"/>
      <c r="E777" s="102">
        <v>2.5499999999999998</v>
      </c>
      <c r="F777" s="106">
        <v>0.15</v>
      </c>
      <c r="G777" s="106">
        <v>0.3</v>
      </c>
      <c r="H777" s="106">
        <v>1</v>
      </c>
      <c r="I777" s="312"/>
      <c r="J777" s="103"/>
      <c r="K777" s="62">
        <f t="shared" si="54"/>
        <v>0.11474999999999998</v>
      </c>
      <c r="L777" s="239" t="str">
        <f>IFERROR(VLOOKUP($C777,'SINAPI MAIO 2020'!$1:$1048576,3,0),IFERROR(VLOOKUP($C777,'6-COMP. PROPRIA'!$B$1:$I$808,5,0),""))</f>
        <v/>
      </c>
      <c r="M777" s="104"/>
      <c r="N777" s="105"/>
    </row>
    <row r="778" spans="2:14" ht="17.25" customHeight="1">
      <c r="B778" s="164" t="s">
        <v>6184</v>
      </c>
      <c r="C778" s="20"/>
      <c r="D778" s="20"/>
      <c r="E778" s="102">
        <v>2.82</v>
      </c>
      <c r="F778" s="106">
        <v>0.15</v>
      </c>
      <c r="G778" s="106">
        <v>0.3</v>
      </c>
      <c r="H778" s="106">
        <v>1</v>
      </c>
      <c r="I778" s="312"/>
      <c r="J778" s="103"/>
      <c r="K778" s="62">
        <f t="shared" si="54"/>
        <v>0.12689999999999999</v>
      </c>
      <c r="L778" s="239" t="str">
        <f>IFERROR(VLOOKUP($C778,'SINAPI MAIO 2020'!$1:$1048576,3,0),IFERROR(VLOOKUP($C778,'6-COMP. PROPRIA'!$B$1:$I$808,5,0),""))</f>
        <v/>
      </c>
      <c r="M778" s="104"/>
      <c r="N778" s="105"/>
    </row>
    <row r="779" spans="2:14" ht="17.25" customHeight="1">
      <c r="B779" s="164" t="s">
        <v>6184</v>
      </c>
      <c r="C779" s="20"/>
      <c r="D779" s="20"/>
      <c r="E779" s="102">
        <v>2.5499999999999998</v>
      </c>
      <c r="F779" s="106">
        <v>0.15</v>
      </c>
      <c r="G779" s="106">
        <v>0.3</v>
      </c>
      <c r="H779" s="106">
        <v>9</v>
      </c>
      <c r="I779" s="312"/>
      <c r="J779" s="103"/>
      <c r="K779" s="62">
        <f t="shared" si="54"/>
        <v>1.0327499999999998</v>
      </c>
      <c r="L779" s="239" t="str">
        <f>IFERROR(VLOOKUP($C779,'SINAPI MAIO 2020'!$1:$1048576,3,0),IFERROR(VLOOKUP($C779,'6-COMP. PROPRIA'!$B$1:$I$808,5,0),""))</f>
        <v/>
      </c>
      <c r="M779" s="104"/>
      <c r="N779" s="105"/>
    </row>
    <row r="780" spans="2:14" ht="17.25" customHeight="1">
      <c r="B780" s="164" t="s">
        <v>6184</v>
      </c>
      <c r="C780" s="20"/>
      <c r="D780" s="20"/>
      <c r="E780" s="102">
        <v>2.78</v>
      </c>
      <c r="F780" s="106">
        <v>0.15</v>
      </c>
      <c r="G780" s="106">
        <v>0.3</v>
      </c>
      <c r="H780" s="106">
        <v>1</v>
      </c>
      <c r="I780" s="312"/>
      <c r="J780" s="103"/>
      <c r="K780" s="62">
        <f t="shared" si="54"/>
        <v>0.12509999999999999</v>
      </c>
      <c r="L780" s="239" t="str">
        <f>IFERROR(VLOOKUP($C780,'SINAPI MAIO 2020'!$1:$1048576,3,0),IFERROR(VLOOKUP($C780,'6-COMP. PROPRIA'!$B$1:$I$808,5,0),""))</f>
        <v/>
      </c>
      <c r="M780" s="104"/>
      <c r="N780" s="105"/>
    </row>
    <row r="781" spans="2:14" ht="17.25" customHeight="1">
      <c r="B781" s="164"/>
      <c r="C781" s="20"/>
      <c r="D781" s="20"/>
      <c r="E781" s="238"/>
      <c r="F781" s="312"/>
      <c r="G781" s="312"/>
      <c r="H781" s="312"/>
      <c r="I781" s="312"/>
      <c r="J781" s="103"/>
      <c r="K781" s="211"/>
      <c r="L781" s="239" t="str">
        <f>IFERROR(VLOOKUP($C781,'SINAPI MAIO 2020'!$1:$1048576,3,0),IFERROR(VLOOKUP($C781,'6-COMP. PROPRIA'!$B$1:$I$808,5,0),""))</f>
        <v/>
      </c>
      <c r="M781" s="104"/>
      <c r="N781" s="105"/>
    </row>
    <row r="782" spans="2:14" ht="17.25" customHeight="1">
      <c r="B782" s="164"/>
      <c r="C782" s="275">
        <v>92873</v>
      </c>
      <c r="D782" s="275" t="s">
        <v>8</v>
      </c>
      <c r="E782" s="668" t="str">
        <f>IFERROR(VLOOKUP($C782,'SINAPI MAIO 2020'!$1:$1048576,2,0),IFERROR(VLOOKUP($C782,'6-COMP. PROPRIA'!$B$28:$I$808,4,0),""))</f>
        <v>LANÇAMENTO COM USO DE BALDES, ADENSAMENTO E ACABAMENTO DE CONCRETO EM ESTRUTURAS. AF_12/2015</v>
      </c>
      <c r="F782" s="669"/>
      <c r="G782" s="669"/>
      <c r="H782" s="669"/>
      <c r="I782" s="669"/>
      <c r="J782" s="670"/>
      <c r="K782" s="212">
        <f>K773</f>
        <v>2.5793999999999997</v>
      </c>
      <c r="L782" s="239" t="str">
        <f>IFERROR(VLOOKUP($C782,'SINAPI MAIO 2020'!$1:$1048576,3,0),IFERROR(VLOOKUP($C782,'6-COMP. PROPRIA'!$B$1:$I$808,5,0),""))</f>
        <v>M3</v>
      </c>
      <c r="M782" s="104"/>
      <c r="N782" s="105"/>
    </row>
    <row r="783" spans="2:14" ht="17.25" customHeight="1">
      <c r="B783" s="164"/>
      <c r="C783" s="20"/>
      <c r="D783" s="20"/>
      <c r="E783" s="238"/>
      <c r="F783" s="312"/>
      <c r="G783" s="312"/>
      <c r="H783" s="312"/>
      <c r="I783" s="312"/>
      <c r="J783" s="103"/>
      <c r="K783" s="211"/>
      <c r="L783" s="239" t="str">
        <f>IFERROR(VLOOKUP($C783,'SINAPI MAIO 2020'!$1:$1048576,3,0),IFERROR(VLOOKUP($C783,'6-COMP. PROPRIA'!$B$1:$I$808,5,0),""))</f>
        <v/>
      </c>
      <c r="M783" s="104"/>
      <c r="N783" s="105"/>
    </row>
    <row r="784" spans="2:14" ht="17.25" customHeight="1">
      <c r="B784" s="164"/>
      <c r="C784" s="275">
        <v>96543</v>
      </c>
      <c r="D784" s="275" t="s">
        <v>8</v>
      </c>
      <c r="E784" s="668" t="str">
        <f>IFERROR(VLOOKUP($C784,'SINAPI MAIO 2020'!$1:$1048576,2,0),IFERROR(VLOOKUP($C784,'6-COMP. PROPRIA'!$B$28:$I$808,4,0),""))</f>
        <v>ARMAÇÃO DE BLOCO, VIGA BALDRAME E SAPATA UTILIZANDO AÇO CA-60 DE 5 MM - MONTAGEM. AF_06/2017</v>
      </c>
      <c r="F784" s="669"/>
      <c r="G784" s="669"/>
      <c r="H784" s="669"/>
      <c r="I784" s="669"/>
      <c r="J784" s="670"/>
      <c r="K784" s="212">
        <f>SUM(K786:K787)</f>
        <v>48.617799999999995</v>
      </c>
      <c r="L784" s="239" t="str">
        <f>IFERROR(VLOOKUP($C784,'SINAPI MAIO 2020'!$1:$1048576,3,0),IFERROR(VLOOKUP($C784,'6-COMP. PROPRIA'!$B$1:$I$808,5,0),""))</f>
        <v>KG</v>
      </c>
      <c r="M784" s="104"/>
      <c r="N784" s="105"/>
    </row>
    <row r="785" spans="2:14" ht="17.25" customHeight="1">
      <c r="B785" s="164"/>
      <c r="C785" s="20"/>
      <c r="D785" s="20"/>
      <c r="E785" s="75" t="s">
        <v>935</v>
      </c>
      <c r="F785" s="309" t="s">
        <v>899</v>
      </c>
      <c r="G785" s="309" t="s">
        <v>6177</v>
      </c>
      <c r="H785" s="53" t="s">
        <v>853</v>
      </c>
      <c r="I785" s="60" t="s">
        <v>6189</v>
      </c>
      <c r="J785" s="103"/>
      <c r="K785" s="211"/>
      <c r="L785" s="239" t="str">
        <f>IFERROR(VLOOKUP($C785,'SINAPI MAIO 2020'!$1:$1048576,3,0),IFERROR(VLOOKUP($C785,'6-COMP. PROPRIA'!$B$1:$I$808,5,0),""))</f>
        <v/>
      </c>
      <c r="M785" s="104"/>
      <c r="N785" s="105"/>
    </row>
    <row r="786" spans="2:14" ht="17.25" customHeight="1">
      <c r="B786" s="164" t="s">
        <v>6183</v>
      </c>
      <c r="C786" s="20"/>
      <c r="D786" s="20"/>
      <c r="E786" s="102">
        <v>5</v>
      </c>
      <c r="F786" s="63">
        <v>0.82</v>
      </c>
      <c r="G786" s="63">
        <v>194</v>
      </c>
      <c r="H786" s="63">
        <v>0.154</v>
      </c>
      <c r="I786" s="63">
        <v>1</v>
      </c>
      <c r="J786" s="103"/>
      <c r="K786" s="211">
        <f>H786*G786*F786*I786</f>
        <v>24.49832</v>
      </c>
      <c r="L786" s="239" t="str">
        <f>IFERROR(VLOOKUP($C786,'SINAPI MAIO 2020'!$1:$1048576,3,0),IFERROR(VLOOKUP($C786,'6-COMP. PROPRIA'!$B$1:$I$808,5,0),""))</f>
        <v/>
      </c>
      <c r="M786" s="104"/>
      <c r="N786" s="105"/>
    </row>
    <row r="787" spans="2:14" ht="17.25" customHeight="1">
      <c r="B787" s="164" t="s">
        <v>6184</v>
      </c>
      <c r="C787" s="20"/>
      <c r="D787" s="20"/>
      <c r="E787" s="102">
        <v>5</v>
      </c>
      <c r="F787" s="63">
        <v>0.82</v>
      </c>
      <c r="G787" s="63">
        <v>191</v>
      </c>
      <c r="H787" s="63">
        <v>0.154</v>
      </c>
      <c r="I787" s="63">
        <v>1</v>
      </c>
      <c r="J787" s="103"/>
      <c r="K787" s="211">
        <f>H787*G787*F787*I787</f>
        <v>24.119479999999996</v>
      </c>
      <c r="L787" s="239" t="str">
        <f>IFERROR(VLOOKUP($C787,'SINAPI MAIO 2020'!$1:$1048576,3,0),IFERROR(VLOOKUP($C787,'6-COMP. PROPRIA'!$B$1:$I$808,5,0),""))</f>
        <v/>
      </c>
      <c r="M787" s="104"/>
      <c r="N787" s="105"/>
    </row>
    <row r="788" spans="2:14" ht="17.25" customHeight="1">
      <c r="B788" s="164"/>
      <c r="C788" s="20"/>
      <c r="D788" s="20"/>
      <c r="E788" s="238"/>
      <c r="F788" s="312"/>
      <c r="G788" s="312"/>
      <c r="H788" s="312"/>
      <c r="I788" s="312"/>
      <c r="J788" s="103"/>
      <c r="K788" s="211"/>
      <c r="L788" s="239" t="str">
        <f>IFERROR(VLOOKUP($C788,'SINAPI MAIO 2020'!$1:$1048576,3,0),IFERROR(VLOOKUP($C788,'6-COMP. PROPRIA'!$B$1:$I$808,5,0),""))</f>
        <v/>
      </c>
      <c r="M788" s="104"/>
      <c r="N788" s="105"/>
    </row>
    <row r="789" spans="2:14" ht="17.25" customHeight="1">
      <c r="B789" s="164"/>
      <c r="C789" s="275">
        <v>96546</v>
      </c>
      <c r="D789" s="275" t="s">
        <v>8</v>
      </c>
      <c r="E789" s="668" t="str">
        <f>IFERROR(VLOOKUP($C789,'SINAPI MAIO 2020'!$1:$1048576,2,0),IFERROR(VLOOKUP($C789,'6-COMP. PROPRIA'!$B$28:$I$808,4,0),""))</f>
        <v>ARMAÇÃO DE BLOCO, VIGA BALDRAME OU SAPATA UTILIZANDO AÇO CA-50 DE 10 MM - MONTAGEM. AF_06/2017</v>
      </c>
      <c r="F789" s="669"/>
      <c r="G789" s="669"/>
      <c r="H789" s="669"/>
      <c r="I789" s="669"/>
      <c r="J789" s="670"/>
      <c r="K789" s="212">
        <f>SUM(K791:K794)</f>
        <v>159.28471999999999</v>
      </c>
      <c r="L789" s="239" t="str">
        <f>IFERROR(VLOOKUP($C789,'SINAPI MAIO 2020'!$1:$1048576,3,0),IFERROR(VLOOKUP($C789,'6-COMP. PROPRIA'!$B$1:$I$808,5,0),""))</f>
        <v>KG</v>
      </c>
      <c r="M789" s="104"/>
      <c r="N789" s="105"/>
    </row>
    <row r="790" spans="2:14" ht="17.25" customHeight="1">
      <c r="B790" s="164"/>
      <c r="C790" s="20"/>
      <c r="D790" s="20"/>
      <c r="E790" s="75" t="s">
        <v>935</v>
      </c>
      <c r="F790" s="309" t="s">
        <v>899</v>
      </c>
      <c r="G790" s="309" t="s">
        <v>6177</v>
      </c>
      <c r="H790" s="53" t="s">
        <v>853</v>
      </c>
      <c r="I790" s="60" t="s">
        <v>6190</v>
      </c>
      <c r="J790" s="103"/>
      <c r="K790" s="211"/>
      <c r="L790" s="239" t="str">
        <f>IFERROR(VLOOKUP($C790,'SINAPI MAIO 2020'!$1:$1048576,3,0),IFERROR(VLOOKUP($C790,'6-COMP. PROPRIA'!$B$1:$I$808,5,0),""))</f>
        <v/>
      </c>
      <c r="M790" s="104"/>
      <c r="N790" s="105"/>
    </row>
    <row r="791" spans="2:14" ht="17.25" customHeight="1">
      <c r="B791" s="164" t="s">
        <v>6185</v>
      </c>
      <c r="C791" s="20"/>
      <c r="D791" s="20"/>
      <c r="E791" s="102">
        <v>10</v>
      </c>
      <c r="F791" s="63">
        <v>32.619999999999997</v>
      </c>
      <c r="G791" s="63">
        <v>2</v>
      </c>
      <c r="H791" s="63">
        <v>0.61699999999999999</v>
      </c>
      <c r="I791" s="63">
        <v>1</v>
      </c>
      <c r="J791" s="103"/>
      <c r="K791" s="211">
        <f>H791*G791*F791*I791</f>
        <v>40.253079999999997</v>
      </c>
      <c r="L791" s="239" t="str">
        <f>IFERROR(VLOOKUP($C791,'SINAPI MAIO 2020'!$1:$1048576,3,0),IFERROR(VLOOKUP($C791,'6-COMP. PROPRIA'!$B$1:$I$808,5,0),""))</f>
        <v/>
      </c>
      <c r="M791" s="104"/>
      <c r="N791" s="105"/>
    </row>
    <row r="792" spans="2:14" ht="17.25" customHeight="1">
      <c r="B792" s="164" t="s">
        <v>6186</v>
      </c>
      <c r="C792" s="20"/>
      <c r="D792" s="20"/>
      <c r="E792" s="102">
        <v>10</v>
      </c>
      <c r="F792" s="63">
        <v>32.74</v>
      </c>
      <c r="G792" s="63">
        <v>2</v>
      </c>
      <c r="H792" s="63">
        <v>0.61699999999999999</v>
      </c>
      <c r="I792" s="63">
        <v>1</v>
      </c>
      <c r="J792" s="103"/>
      <c r="K792" s="211">
        <f t="shared" ref="K792:K794" si="55">H792*G792*F792*I792</f>
        <v>40.401160000000004</v>
      </c>
      <c r="L792" s="239" t="str">
        <f>IFERROR(VLOOKUP($C792,'SINAPI MAIO 2020'!$1:$1048576,3,0),IFERROR(VLOOKUP($C792,'6-COMP. PROPRIA'!$B$1:$I$808,5,0),""))</f>
        <v/>
      </c>
      <c r="M792" s="104"/>
      <c r="N792" s="105"/>
    </row>
    <row r="793" spans="2:14" ht="17.25" customHeight="1">
      <c r="B793" s="164" t="s">
        <v>6187</v>
      </c>
      <c r="C793" s="20"/>
      <c r="D793" s="20"/>
      <c r="E793" s="102">
        <v>10</v>
      </c>
      <c r="F793" s="63">
        <v>31.8</v>
      </c>
      <c r="G793" s="63">
        <v>2</v>
      </c>
      <c r="H793" s="63">
        <v>0.61699999999999999</v>
      </c>
      <c r="I793" s="63">
        <v>1</v>
      </c>
      <c r="J793" s="103"/>
      <c r="K793" s="211">
        <f t="shared" si="55"/>
        <v>39.241199999999999</v>
      </c>
      <c r="L793" s="239" t="str">
        <f>IFERROR(VLOOKUP($C793,'SINAPI MAIO 2020'!$1:$1048576,3,0),IFERROR(VLOOKUP($C793,'6-COMP. PROPRIA'!$B$1:$I$808,5,0),""))</f>
        <v/>
      </c>
      <c r="M793" s="104"/>
      <c r="N793" s="105"/>
    </row>
    <row r="794" spans="2:14" ht="17.25" customHeight="1">
      <c r="B794" s="164" t="s">
        <v>6188</v>
      </c>
      <c r="C794" s="20"/>
      <c r="D794" s="20"/>
      <c r="E794" s="102">
        <v>10</v>
      </c>
      <c r="F794" s="63">
        <v>31.92</v>
      </c>
      <c r="G794" s="63">
        <v>2</v>
      </c>
      <c r="H794" s="63">
        <v>0.61699999999999999</v>
      </c>
      <c r="I794" s="63">
        <v>1</v>
      </c>
      <c r="J794" s="103"/>
      <c r="K794" s="211">
        <f t="shared" si="55"/>
        <v>39.389279999999999</v>
      </c>
      <c r="L794" s="239" t="str">
        <f>IFERROR(VLOOKUP($C794,'SINAPI MAIO 2020'!$1:$1048576,3,0),IFERROR(VLOOKUP($C794,'6-COMP. PROPRIA'!$B$1:$I$808,5,0),""))</f>
        <v/>
      </c>
      <c r="M794" s="104"/>
      <c r="N794" s="105"/>
    </row>
    <row r="795" spans="2:14" ht="17.25" customHeight="1">
      <c r="B795" s="164"/>
      <c r="C795" s="20"/>
      <c r="D795" s="20"/>
      <c r="E795" s="238"/>
      <c r="F795" s="312"/>
      <c r="G795" s="312"/>
      <c r="H795" s="49"/>
      <c r="I795" s="312"/>
      <c r="J795" s="103"/>
      <c r="K795" s="215"/>
      <c r="L795" s="239" t="str">
        <f>IFERROR(VLOOKUP($C795,'SINAPI MAIO 2020'!$1:$1048576,3,0),IFERROR(VLOOKUP($C795,'6-COMP. PROPRIA'!$B$1:$I$808,5,0),""))</f>
        <v/>
      </c>
      <c r="M795" s="104"/>
      <c r="N795" s="105"/>
    </row>
    <row r="796" spans="2:14" ht="17.25" customHeight="1">
      <c r="B796" s="164"/>
      <c r="C796" s="275">
        <v>96536</v>
      </c>
      <c r="D796" s="275" t="s">
        <v>8</v>
      </c>
      <c r="E796" s="668" t="str">
        <f>IFERROR(VLOOKUP($C796,'SINAPI MAIO 2020'!$1:$1048576,2,0),IFERROR(VLOOKUP($C796,'6-COMP. PROPRIA'!$B$28:$I$808,4,0),""))</f>
        <v>FABRICAÇÃO, MONTAGEM E DESMONTAGEM DE FÔRMA PARA VIGA BALDRAME, EM MADEIRA SERRADA, E=25 MM, 4 UTILIZAÇÕES. AF_06/2017</v>
      </c>
      <c r="F796" s="669"/>
      <c r="G796" s="669"/>
      <c r="H796" s="669"/>
      <c r="I796" s="669"/>
      <c r="J796" s="670"/>
      <c r="K796" s="212">
        <f>SUM(K798:K799)</f>
        <v>38.718000000000004</v>
      </c>
      <c r="L796" s="239" t="str">
        <f>IFERROR(VLOOKUP($C796,'SINAPI MAIO 2020'!$1:$1048576,3,0),IFERROR(VLOOKUP($C796,'6-COMP. PROPRIA'!$B$1:$I$808,5,0),""))</f>
        <v>M2</v>
      </c>
      <c r="M796" s="104"/>
      <c r="N796" s="105"/>
    </row>
    <row r="797" spans="2:14" ht="17.25" customHeight="1">
      <c r="B797" s="164"/>
      <c r="C797" s="91"/>
      <c r="D797" s="91"/>
      <c r="E797" s="72" t="s">
        <v>919</v>
      </c>
      <c r="F797" s="312"/>
      <c r="G797" s="311" t="s">
        <v>921</v>
      </c>
      <c r="H797" s="309" t="s">
        <v>922</v>
      </c>
      <c r="I797" s="312"/>
      <c r="J797" s="103"/>
      <c r="K797" s="62"/>
      <c r="L797" s="239" t="str">
        <f>IFERROR(VLOOKUP($C797,'SINAPI MAIO 2020'!$1:$1048576,3,0),IFERROR(VLOOKUP($C797,'6-COMP. PROPRIA'!$B$1:$I$808,5,0),""))</f>
        <v/>
      </c>
      <c r="M797" s="104"/>
      <c r="N797" s="105"/>
    </row>
    <row r="798" spans="2:14" ht="17.25" customHeight="1">
      <c r="B798" s="164" t="s">
        <v>6183</v>
      </c>
      <c r="C798" s="20"/>
      <c r="D798" s="20"/>
      <c r="E798" s="102">
        <v>32.700000000000003</v>
      </c>
      <c r="F798" s="312"/>
      <c r="G798" s="106">
        <v>0.3</v>
      </c>
      <c r="H798" s="106">
        <v>2</v>
      </c>
      <c r="I798" s="312"/>
      <c r="J798" s="103"/>
      <c r="K798" s="62">
        <f>E798*G798*H798</f>
        <v>19.62</v>
      </c>
      <c r="L798" s="239" t="str">
        <f>IFERROR(VLOOKUP($C798,'SINAPI MAIO 2020'!$1:$1048576,3,0),IFERROR(VLOOKUP($C798,'6-COMP. PROPRIA'!$B$1:$I$808,5,0),""))</f>
        <v/>
      </c>
      <c r="M798" s="104"/>
      <c r="N798" s="105"/>
    </row>
    <row r="799" spans="2:14" ht="17.25" customHeight="1">
      <c r="B799" s="164" t="s">
        <v>6184</v>
      </c>
      <c r="C799" s="20"/>
      <c r="D799" s="20"/>
      <c r="E799" s="102">
        <v>31.83</v>
      </c>
      <c r="F799" s="312"/>
      <c r="G799" s="106">
        <v>0.3</v>
      </c>
      <c r="H799" s="106">
        <v>2</v>
      </c>
      <c r="I799" s="312"/>
      <c r="J799" s="103"/>
      <c r="K799" s="62">
        <f>E799*G799*H799</f>
        <v>19.097999999999999</v>
      </c>
      <c r="L799" s="239" t="str">
        <f>IFERROR(VLOOKUP($C799,'SINAPI MAIO 2020'!$1:$1048576,3,0),IFERROR(VLOOKUP($C799,'6-COMP. PROPRIA'!$B$1:$I$808,5,0),""))</f>
        <v/>
      </c>
      <c r="M799" s="104"/>
      <c r="N799" s="105"/>
    </row>
    <row r="800" spans="2:14" ht="17.25" customHeight="1">
      <c r="B800" s="164"/>
      <c r="C800" s="20"/>
      <c r="D800" s="20"/>
      <c r="E800" s="238"/>
      <c r="F800" s="312"/>
      <c r="G800" s="312"/>
      <c r="H800" s="312"/>
      <c r="I800" s="312"/>
      <c r="J800" s="103"/>
      <c r="K800" s="211"/>
      <c r="L800" s="239" t="str">
        <f>IFERROR(VLOOKUP($C800,'SINAPI MAIO 2020'!$1:$1048576,3,0),IFERROR(VLOOKUP($C800,'6-COMP. PROPRIA'!$B$1:$I$808,5,0),""))</f>
        <v/>
      </c>
      <c r="M800" s="104"/>
      <c r="N800" s="105"/>
    </row>
    <row r="801" spans="2:14" ht="17.25" customHeight="1">
      <c r="B801" s="164"/>
      <c r="C801" s="275">
        <v>93382</v>
      </c>
      <c r="D801" s="275" t="s">
        <v>8</v>
      </c>
      <c r="E801" s="668" t="str">
        <f>IFERROR(VLOOKUP($C801,'SINAPI MAIO 2020'!$1:$1048576,2,0),IFERROR(VLOOKUP($C801,'6-COMP. PROPRIA'!$B$28:$I$808,4,0),""))</f>
        <v>REATERRO MANUAL DE VALAS COM COMPACTAÇÃO MECANIZADA. AF_04/2016</v>
      </c>
      <c r="F801" s="669"/>
      <c r="G801" s="669"/>
      <c r="H801" s="669"/>
      <c r="I801" s="669"/>
      <c r="J801" s="670"/>
      <c r="K801" s="212">
        <f>SUM(K803)</f>
        <v>4.8721999999999994</v>
      </c>
      <c r="L801" s="239" t="str">
        <f>IFERROR(VLOOKUP($C801,'SINAPI MAIO 2020'!$1:$1048576,3,0),IFERROR(VLOOKUP($C801,'6-COMP. PROPRIA'!$B$1:$I$808,5,0),""))</f>
        <v>M3</v>
      </c>
      <c r="M801" s="104"/>
      <c r="N801" s="105"/>
    </row>
    <row r="802" spans="2:14" ht="17.25" customHeight="1">
      <c r="B802" s="164"/>
      <c r="C802" s="20"/>
      <c r="D802" s="20"/>
      <c r="E802" s="75" t="s">
        <v>950</v>
      </c>
      <c r="F802" s="309" t="s">
        <v>940</v>
      </c>
      <c r="G802" s="312"/>
      <c r="H802" s="312"/>
      <c r="I802" s="312"/>
      <c r="J802" s="103"/>
      <c r="K802" s="212"/>
      <c r="L802" s="239" t="str">
        <f>IFERROR(VLOOKUP($C802,'SINAPI MAIO 2020'!$1:$1048576,3,0),IFERROR(VLOOKUP($C802,'6-COMP. PROPRIA'!$B$1:$I$808,5,0),""))</f>
        <v/>
      </c>
      <c r="M802" s="104"/>
      <c r="N802" s="105"/>
    </row>
    <row r="803" spans="2:14" ht="17.25" customHeight="1">
      <c r="B803" s="164"/>
      <c r="C803" s="20"/>
      <c r="D803" s="20"/>
      <c r="E803" s="102">
        <f>K753</f>
        <v>7.4515999999999991</v>
      </c>
      <c r="F803" s="63">
        <f>K773</f>
        <v>2.5793999999999997</v>
      </c>
      <c r="G803" s="312"/>
      <c r="H803" s="312"/>
      <c r="I803" s="312"/>
      <c r="J803" s="103"/>
      <c r="K803" s="62">
        <f>E803-F803</f>
        <v>4.8721999999999994</v>
      </c>
      <c r="L803" s="239" t="str">
        <f>IFERROR(VLOOKUP($C803,'SINAPI MAIO 2020'!$1:$1048576,3,0),IFERROR(VLOOKUP($C803,'6-COMP. PROPRIA'!$B$1:$I$808,5,0),""))</f>
        <v/>
      </c>
      <c r="M803" s="104"/>
      <c r="N803" s="105"/>
    </row>
    <row r="804" spans="2:14" ht="17.25" customHeight="1">
      <c r="B804" s="164"/>
      <c r="C804" s="20"/>
      <c r="D804" s="20"/>
      <c r="E804" s="238"/>
      <c r="F804" s="312"/>
      <c r="G804" s="312"/>
      <c r="H804" s="312"/>
      <c r="I804" s="312"/>
      <c r="J804" s="103"/>
      <c r="K804" s="211"/>
      <c r="L804" s="239" t="str">
        <f>IFERROR(VLOOKUP($C804,'SINAPI MAIO 2020'!$1:$1048576,3,0),IFERROR(VLOOKUP($C804,'6-COMP. PROPRIA'!$B$1:$I$808,5,0),""))</f>
        <v/>
      </c>
      <c r="M804" s="104"/>
      <c r="N804" s="105"/>
    </row>
    <row r="805" spans="2:14" ht="17.25" customHeight="1">
      <c r="B805" s="164"/>
      <c r="C805" s="275">
        <v>98557</v>
      </c>
      <c r="D805" s="275" t="s">
        <v>8</v>
      </c>
      <c r="E805" s="668" t="str">
        <f>IFERROR(VLOOKUP($C805,'SINAPI MAIO 2020'!$1:$1048576,2,0),IFERROR(VLOOKUP($C805,'6-COMP. PROPRIA'!$B$28:$I$808,4,0),""))</f>
        <v>IMPERMEABILIZAÇÃO DE SUPERFÍCIE COM EMULSÃO ASFÁLTICA, 2 DEMÃOS AF_06/2018</v>
      </c>
      <c r="F805" s="669"/>
      <c r="G805" s="669"/>
      <c r="H805" s="669"/>
      <c r="I805" s="669"/>
      <c r="J805" s="670"/>
      <c r="K805" s="212">
        <f>K796</f>
        <v>38.718000000000004</v>
      </c>
      <c r="L805" s="239" t="str">
        <f>IFERROR(VLOOKUP($C805,'SINAPI MAIO 2020'!$1:$1048576,3,0),IFERROR(VLOOKUP($C805,'6-COMP. PROPRIA'!$B$1:$I$808,5,0),""))</f>
        <v>M2</v>
      </c>
      <c r="M805" s="104"/>
      <c r="N805" s="105"/>
    </row>
    <row r="806" spans="2:14" ht="17.25" customHeight="1">
      <c r="B806" s="164"/>
      <c r="C806" s="20"/>
      <c r="D806" s="20"/>
      <c r="E806" s="114"/>
      <c r="F806" s="312"/>
      <c r="G806" s="312"/>
      <c r="H806" s="312"/>
      <c r="I806" s="312"/>
      <c r="J806" s="103"/>
      <c r="K806" s="215"/>
      <c r="L806" s="239" t="str">
        <f>IFERROR(VLOOKUP($C806,'SINAPI MAIO 2020'!$1:$1048576,3,0),IFERROR(VLOOKUP($C806,'6-COMP. PROPRIA'!$B$1:$I$808,5,0),""))</f>
        <v/>
      </c>
      <c r="M806" s="104"/>
      <c r="N806" s="105"/>
    </row>
    <row r="807" spans="2:14" ht="17.25" customHeight="1">
      <c r="B807" s="164"/>
      <c r="C807" s="20"/>
      <c r="D807" s="20"/>
      <c r="E807" s="114"/>
      <c r="F807" s="312"/>
      <c r="G807" s="312"/>
      <c r="H807" s="312"/>
      <c r="I807" s="312"/>
      <c r="J807" s="103"/>
      <c r="K807" s="215"/>
      <c r="L807" s="239" t="str">
        <f>IFERROR(VLOOKUP($C807,'SINAPI MAIO 2020'!$1:$1048576,3,0),IFERROR(VLOOKUP($C807,'6-COMP. PROPRIA'!$B$1:$I$808,5,0),""))</f>
        <v/>
      </c>
      <c r="M807" s="104"/>
      <c r="N807" s="105"/>
    </row>
    <row r="808" spans="2:14" ht="17.25" customHeight="1">
      <c r="B808" s="164"/>
      <c r="C808" s="275">
        <v>72897</v>
      </c>
      <c r="D808" s="275" t="s">
        <v>8</v>
      </c>
      <c r="E808" s="668" t="str">
        <f>IFERROR(VLOOKUP($C808,'SINAPI MAIO 2020'!$1:$1048576,2,0),IFERROR(VLOOKUP($C808,'6-COMP. PROPRIA'!$B$28:$I$808,4,0),""))</f>
        <v>CARGA MANUAL DE ENTULHO EM CAMINHAO BASCULANTE 6 M3</v>
      </c>
      <c r="F808" s="669"/>
      <c r="G808" s="669"/>
      <c r="H808" s="669"/>
      <c r="I808" s="669"/>
      <c r="J808" s="670"/>
      <c r="K808" s="212">
        <f>SUM(K810:K810)</f>
        <v>3.3532199999999999</v>
      </c>
      <c r="L808" s="239" t="str">
        <f>IFERROR(VLOOKUP($C808,'SINAPI MAIO 2020'!$1:$1048576,3,0),IFERROR(VLOOKUP($C808,'6-COMP. PROPRIA'!$B$1:$I$808,5,0),""))</f>
        <v>M3</v>
      </c>
      <c r="M808" s="104"/>
      <c r="N808" s="105"/>
    </row>
    <row r="809" spans="2:14" ht="33.75" customHeight="1">
      <c r="B809" s="164"/>
      <c r="C809" s="20"/>
      <c r="D809" s="20"/>
      <c r="E809" s="75"/>
      <c r="F809" s="309" t="s">
        <v>940</v>
      </c>
      <c r="G809" s="311"/>
      <c r="H809" s="309" t="s">
        <v>932</v>
      </c>
      <c r="I809" s="312"/>
      <c r="J809" s="310"/>
      <c r="K809" s="62"/>
      <c r="L809" s="239" t="str">
        <f>IFERROR(VLOOKUP($C809,'SINAPI MAIO 2020'!$1:$1048576,3,0),IFERROR(VLOOKUP($C809,'6-COMP. PROPRIA'!$B$1:$I$808,5,0),""))</f>
        <v/>
      </c>
      <c r="M809" s="104"/>
      <c r="N809" s="105"/>
    </row>
    <row r="810" spans="2:14" ht="17.25" customHeight="1">
      <c r="B810" s="164"/>
      <c r="C810" s="20"/>
      <c r="D810" s="20"/>
      <c r="E810" s="238"/>
      <c r="F810" s="66">
        <f>K773</f>
        <v>2.5793999999999997</v>
      </c>
      <c r="G810" s="311"/>
      <c r="H810" s="66">
        <v>1.3</v>
      </c>
      <c r="I810" s="312"/>
      <c r="J810" s="59"/>
      <c r="K810" s="62">
        <f>H810*F810</f>
        <v>3.3532199999999999</v>
      </c>
      <c r="L810" s="239" t="str">
        <f>IFERROR(VLOOKUP($C810,'SINAPI MAIO 2020'!$1:$1048576,3,0),IFERROR(VLOOKUP($C810,'6-COMP. PROPRIA'!$B$1:$I$808,5,0),""))</f>
        <v/>
      </c>
      <c r="M810" s="104"/>
      <c r="N810" s="105"/>
    </row>
    <row r="811" spans="2:14" ht="17.25" customHeight="1">
      <c r="B811" s="164"/>
      <c r="C811" s="20"/>
      <c r="D811" s="20"/>
      <c r="E811" s="238"/>
      <c r="F811" s="311"/>
      <c r="G811" s="311"/>
      <c r="H811" s="312"/>
      <c r="I811" s="311"/>
      <c r="J811" s="59"/>
      <c r="K811" s="62"/>
      <c r="L811" s="239" t="str">
        <f>IFERROR(VLOOKUP($C811,'SINAPI MAIO 2020'!$1:$1048576,3,0),IFERROR(VLOOKUP($C811,'6-COMP. PROPRIA'!$B$1:$I$808,5,0),""))</f>
        <v/>
      </c>
      <c r="M811" s="104"/>
      <c r="N811" s="105"/>
    </row>
    <row r="812" spans="2:14" ht="17.25" customHeight="1">
      <c r="B812" s="164"/>
      <c r="C812" s="20"/>
      <c r="D812" s="20"/>
      <c r="E812" s="238"/>
      <c r="F812" s="311"/>
      <c r="G812" s="311"/>
      <c r="H812" s="312"/>
      <c r="I812" s="311"/>
      <c r="J812" s="59"/>
      <c r="K812" s="62"/>
      <c r="L812" s="239" t="str">
        <f>IFERROR(VLOOKUP($C812,'SINAPI MAIO 2020'!$1:$1048576,3,0),IFERROR(VLOOKUP($C812,'6-COMP. PROPRIA'!$B$1:$I$808,5,0),""))</f>
        <v/>
      </c>
      <c r="M812" s="104"/>
      <c r="N812" s="105"/>
    </row>
    <row r="813" spans="2:14" ht="17.25" customHeight="1">
      <c r="B813" s="164"/>
      <c r="C813" s="275">
        <v>97916</v>
      </c>
      <c r="D813" s="275" t="s">
        <v>8</v>
      </c>
      <c r="E813" s="668" t="str">
        <f>IFERROR(VLOOKUP($C813,'SINAPI MAIO 2020'!$1:$1048576,2,0),IFERROR(VLOOKUP($C813,'6-COMP. PROPRIA'!$B$28:$I$808,4,0),""))</f>
        <v>TRANSPORTE COM CAMINHÃO BASCULANTE DE 6 M3, EM VIA URBANA EM LEITO NATURAL (UNIDADE: TXKM). AF_01/2018</v>
      </c>
      <c r="F813" s="669"/>
      <c r="G813" s="669"/>
      <c r="H813" s="669"/>
      <c r="I813" s="669"/>
      <c r="J813" s="670"/>
      <c r="K813" s="212">
        <f>SUM(K815:K816)</f>
        <v>83.830500000000001</v>
      </c>
      <c r="L813" s="239" t="str">
        <f>IFERROR(VLOOKUP($C813,'SINAPI MAIO 2020'!$1:$1048576,3,0),IFERROR(VLOOKUP($C813,'6-COMP. PROPRIA'!$B$1:$I$808,5,0),""))</f>
        <v>TXKM</v>
      </c>
      <c r="M813" s="104"/>
      <c r="N813" s="105"/>
    </row>
    <row r="814" spans="2:14" ht="41.25" customHeight="1">
      <c r="B814" s="164"/>
      <c r="C814" s="20"/>
      <c r="D814" s="20"/>
      <c r="E814" s="75" t="s">
        <v>925</v>
      </c>
      <c r="F814" s="312"/>
      <c r="G814" s="312"/>
      <c r="H814" s="309" t="s">
        <v>926</v>
      </c>
      <c r="I814" s="312"/>
      <c r="J814" s="103"/>
      <c r="K814" s="211"/>
      <c r="L814" s="239" t="str">
        <f>IFERROR(VLOOKUP($C814,'SINAPI MAIO 2020'!$1:$1048576,3,0),IFERROR(VLOOKUP($C814,'6-COMP. PROPRIA'!$B$1:$I$808,5,0),""))</f>
        <v/>
      </c>
      <c r="M814" s="104"/>
      <c r="N814" s="105"/>
    </row>
    <row r="815" spans="2:14" ht="17.25" customHeight="1">
      <c r="B815" s="164"/>
      <c r="C815" s="20"/>
      <c r="D815" s="20"/>
      <c r="E815" s="113">
        <f>K808</f>
        <v>3.3532199999999999</v>
      </c>
      <c r="F815" s="50"/>
      <c r="G815" s="50"/>
      <c r="H815" s="331">
        <v>25</v>
      </c>
      <c r="I815" s="312"/>
      <c r="J815" s="59"/>
      <c r="K815" s="62">
        <f>H815*E815</f>
        <v>83.830500000000001</v>
      </c>
      <c r="L815" s="239" t="str">
        <f>IFERROR(VLOOKUP($C815,'SINAPI MAIO 2020'!$1:$1048576,3,0),IFERROR(VLOOKUP($C815,'6-COMP. PROPRIA'!$B$1:$I$808,5,0),""))</f>
        <v/>
      </c>
      <c r="M815" s="104"/>
      <c r="N815" s="105"/>
    </row>
    <row r="816" spans="2:14" ht="17.25" customHeight="1">
      <c r="B816" s="164"/>
      <c r="C816" s="20"/>
      <c r="D816" s="20"/>
      <c r="E816" s="238"/>
      <c r="F816" s="312"/>
      <c r="G816" s="312"/>
      <c r="H816" s="312"/>
      <c r="I816" s="312"/>
      <c r="J816" s="103"/>
      <c r="K816" s="211"/>
      <c r="L816" s="239" t="str">
        <f>IFERROR(VLOOKUP($C816,'SINAPI MAIO 2020'!$1:$1048576,3,0),IFERROR(VLOOKUP($C816,'6-COMP. PROPRIA'!$B$1:$I$808,5,0),""))</f>
        <v/>
      </c>
      <c r="M816" s="104"/>
      <c r="N816" s="105"/>
    </row>
    <row r="817" spans="2:14" ht="17.25" customHeight="1" thickBot="1">
      <c r="B817" s="164"/>
      <c r="C817" s="20"/>
      <c r="D817" s="20"/>
      <c r="E817" s="238"/>
      <c r="F817" s="312"/>
      <c r="G817" s="312"/>
      <c r="H817" s="312"/>
      <c r="I817" s="312"/>
      <c r="J817" s="103"/>
      <c r="K817" s="211"/>
      <c r="L817" s="239" t="str">
        <f>IFERROR(VLOOKUP($C817,'SINAPI MAIO 2020'!$1:$1048576,3,0),IFERROR(VLOOKUP($C817,'6-COMP. PROPRIA'!$B$1:$I$808,5,0),""))</f>
        <v/>
      </c>
      <c r="M817" s="104"/>
      <c r="N817" s="105"/>
    </row>
    <row r="818" spans="2:14" ht="17.25" customHeight="1" thickBot="1">
      <c r="B818" s="164"/>
      <c r="C818" s="20"/>
      <c r="D818" s="20"/>
      <c r="E818" s="674" t="s">
        <v>5320</v>
      </c>
      <c r="F818" s="675"/>
      <c r="G818" s="675"/>
      <c r="H818" s="675"/>
      <c r="I818" s="675"/>
      <c r="J818" s="676"/>
      <c r="K818" s="211"/>
      <c r="L818" s="239" t="str">
        <f>IFERROR(VLOOKUP($C818,'SINAPI MAIO 2020'!$1:$1048576,3,0),IFERROR(VLOOKUP($C818,'6-COMP. PROPRIA'!$B$1:$I$808,5,0),""))</f>
        <v/>
      </c>
      <c r="M818" s="104"/>
      <c r="N818" s="105"/>
    </row>
    <row r="819" spans="2:14" ht="17.25" customHeight="1" thickBot="1">
      <c r="B819" s="164"/>
      <c r="C819" s="20"/>
      <c r="D819" s="20"/>
      <c r="E819" s="674" t="s">
        <v>6274</v>
      </c>
      <c r="F819" s="675"/>
      <c r="G819" s="675"/>
      <c r="H819" s="675"/>
      <c r="I819" s="675"/>
      <c r="J819" s="676"/>
      <c r="K819" s="211"/>
      <c r="L819" s="239" t="str">
        <f>IFERROR(VLOOKUP($C819,'SINAPI MAIO 2020'!$1:$1048576,3,0),IFERROR(VLOOKUP($C819,'6-COMP. PROPRIA'!$B$1:$I$808,5,0),""))</f>
        <v/>
      </c>
      <c r="M819" s="104"/>
      <c r="N819" s="105"/>
    </row>
    <row r="820" spans="2:14" ht="30.75" customHeight="1">
      <c r="B820" s="164"/>
      <c r="C820" s="275">
        <v>94965</v>
      </c>
      <c r="D820" s="275" t="s">
        <v>8</v>
      </c>
      <c r="E820" s="668" t="str">
        <f>IFERROR(VLOOKUP($C820,'SINAPI MAIO 2020'!$1:$1048576,2,0),IFERROR(VLOOKUP($C820,'6-COMP. PROPRIA'!$B$28:$I$808,4,0),""))</f>
        <v>CONCRETO FCK = 25MPA, TRAÇO 1:2,3:2,7 (CIMENTO/ AREIA MÉDIA/ BRITA 1)  - PREPARO MECÂNICO COM BETONEIRA 400 L. AF_07/2016</v>
      </c>
      <c r="F820" s="669"/>
      <c r="G820" s="669"/>
      <c r="H820" s="669"/>
      <c r="I820" s="669"/>
      <c r="J820" s="670"/>
      <c r="K820" s="212">
        <f>SUM(K822:K823)</f>
        <v>3.2399999999999998</v>
      </c>
      <c r="L820" s="239" t="str">
        <f>IFERROR(VLOOKUP($C820,'SINAPI MAIO 2020'!$1:$1048576,3,0),IFERROR(VLOOKUP($C820,'6-COMP. PROPRIA'!$B$1:$I$808,5,0),""))</f>
        <v>M3</v>
      </c>
      <c r="M820" s="104"/>
      <c r="N820" s="105"/>
    </row>
    <row r="821" spans="2:14" ht="17.25" customHeight="1">
      <c r="B821" s="164"/>
      <c r="C821" s="20"/>
      <c r="D821" s="20"/>
      <c r="E821" s="72" t="s">
        <v>929</v>
      </c>
      <c r="F821" s="311" t="s">
        <v>918</v>
      </c>
      <c r="G821" s="311" t="s">
        <v>921</v>
      </c>
      <c r="H821" s="309" t="s">
        <v>922</v>
      </c>
      <c r="I821" s="46"/>
      <c r="J821" s="129"/>
      <c r="K821" s="218"/>
      <c r="L821" s="239" t="str">
        <f>IFERROR(VLOOKUP($C821,'SINAPI MAIO 2020'!$1:$1048576,3,0),IFERROR(VLOOKUP($C821,'6-COMP. PROPRIA'!$B$1:$I$808,5,0),""))</f>
        <v/>
      </c>
      <c r="M821" s="131"/>
      <c r="N821" s="105"/>
    </row>
    <row r="822" spans="2:14" ht="17.25" customHeight="1">
      <c r="B822" s="164"/>
      <c r="C822" s="20"/>
      <c r="D822" s="20"/>
      <c r="E822" s="102">
        <v>0.3</v>
      </c>
      <c r="F822" s="63">
        <v>0.15</v>
      </c>
      <c r="G822" s="138">
        <v>3</v>
      </c>
      <c r="H822" s="63">
        <v>24</v>
      </c>
      <c r="I822" s="312"/>
      <c r="J822" s="103"/>
      <c r="K822" s="62">
        <f>H822*F822*G822*E822</f>
        <v>3.2399999999999998</v>
      </c>
      <c r="L822" s="239" t="str">
        <f>IFERROR(VLOOKUP($C822,'SINAPI MAIO 2020'!$1:$1048576,3,0),IFERROR(VLOOKUP($C822,'6-COMP. PROPRIA'!$B$1:$I$808,5,0),""))</f>
        <v/>
      </c>
      <c r="M822" s="104"/>
      <c r="N822" s="105"/>
    </row>
    <row r="823" spans="2:14" ht="17.25" customHeight="1">
      <c r="B823" s="164"/>
      <c r="C823" s="20"/>
      <c r="D823" s="20"/>
      <c r="E823" s="102"/>
      <c r="F823" s="63"/>
      <c r="G823" s="138"/>
      <c r="H823" s="63"/>
      <c r="I823" s="312"/>
      <c r="J823" s="103"/>
      <c r="K823" s="215"/>
      <c r="L823" s="239" t="str">
        <f>IFERROR(VLOOKUP($C823,'SINAPI MAIO 2020'!$1:$1048576,3,0),IFERROR(VLOOKUP($C823,'6-COMP. PROPRIA'!$B$1:$I$808,5,0),""))</f>
        <v/>
      </c>
      <c r="M823" s="104"/>
      <c r="N823" s="105"/>
    </row>
    <row r="824" spans="2:14" ht="17.25" customHeight="1">
      <c r="B824" s="164"/>
      <c r="C824" s="20"/>
      <c r="D824" s="312"/>
      <c r="E824" s="238"/>
      <c r="F824" s="312"/>
      <c r="G824" s="312"/>
      <c r="H824" s="312"/>
      <c r="I824" s="312"/>
      <c r="J824" s="103"/>
      <c r="K824" s="211"/>
      <c r="L824" s="239" t="str">
        <f>IFERROR(VLOOKUP($C824,'SINAPI MAIO 2020'!$1:$1048576,3,0),IFERROR(VLOOKUP($C824,'6-COMP. PROPRIA'!$B$1:$I$808,5,0),""))</f>
        <v/>
      </c>
      <c r="M824" s="104"/>
      <c r="N824" s="105"/>
    </row>
    <row r="825" spans="2:14" ht="17.25" customHeight="1">
      <c r="B825" s="164"/>
      <c r="C825" s="275">
        <v>92873</v>
      </c>
      <c r="D825" s="275" t="s">
        <v>8</v>
      </c>
      <c r="E825" s="668" t="str">
        <f>IFERROR(VLOOKUP($C825,'SINAPI MAIO 2020'!$1:$1048576,2,0),IFERROR(VLOOKUP($C825,'6-COMP. PROPRIA'!$B$28:$I$808,4,0),""))</f>
        <v>LANÇAMENTO COM USO DE BALDES, ADENSAMENTO E ACABAMENTO DE CONCRETO EM ESTRUTURAS. AF_12/2015</v>
      </c>
      <c r="F825" s="669"/>
      <c r="G825" s="669"/>
      <c r="H825" s="669"/>
      <c r="I825" s="669"/>
      <c r="J825" s="670"/>
      <c r="K825" s="212">
        <f>K820</f>
        <v>3.2399999999999998</v>
      </c>
      <c r="L825" s="239" t="str">
        <f>IFERROR(VLOOKUP($C825,'SINAPI MAIO 2020'!$1:$1048576,3,0),IFERROR(VLOOKUP($C825,'6-COMP. PROPRIA'!$B$1:$I$808,5,0),""))</f>
        <v>M3</v>
      </c>
      <c r="M825" s="104"/>
      <c r="N825" s="105"/>
    </row>
    <row r="826" spans="2:14" ht="17.25" customHeight="1">
      <c r="B826" s="164"/>
      <c r="C826" s="20"/>
      <c r="D826" s="20"/>
      <c r="E826" s="238"/>
      <c r="F826" s="312"/>
      <c r="G826" s="312"/>
      <c r="H826" s="312"/>
      <c r="I826" s="312"/>
      <c r="J826" s="103"/>
      <c r="K826" s="211"/>
      <c r="L826" s="239" t="str">
        <f>IFERROR(VLOOKUP($C826,'SINAPI MAIO 2020'!$1:$1048576,3,0),IFERROR(VLOOKUP($C826,'6-COMP. PROPRIA'!$B$1:$I$808,5,0),""))</f>
        <v/>
      </c>
      <c r="M826" s="104"/>
      <c r="N826" s="105"/>
    </row>
    <row r="827" spans="2:14" ht="38.25" customHeight="1">
      <c r="B827" s="164"/>
      <c r="C827" s="275">
        <v>92775</v>
      </c>
      <c r="D827" s="275" t="s">
        <v>8</v>
      </c>
      <c r="E827" s="668" t="str">
        <f>IFERROR(VLOOKUP($C827,'SINAPI MAIO 2020'!$1:$1048576,2,0),IFERROR(VLOOKUP($C827,'6-COMP. PROPRIA'!$B$28:$I$808,4,0),""))</f>
        <v>ARMAÇÃO DE PILAR OU VIGA DE UMA ESTRUTURA CONVENCIONAL DE CONCRETO ARMADO EM UMA EDIFICAÇÃO TÉRREA OU SOBRADO UTILIZANDO AÇO CA-60 DE 5,0 MM - MONTAGEM. AF_12/2015</v>
      </c>
      <c r="F827" s="669"/>
      <c r="G827" s="669"/>
      <c r="H827" s="669"/>
      <c r="I827" s="669"/>
      <c r="J827" s="670"/>
      <c r="K827" s="212">
        <f>K829</f>
        <v>175.91904000000002</v>
      </c>
      <c r="L827" s="239" t="str">
        <f>IFERROR(VLOOKUP($C827,'SINAPI MAIO 2020'!$1:$1048576,3,0),IFERROR(VLOOKUP($C827,'6-COMP. PROPRIA'!$B$1:$I$808,5,0),""))</f>
        <v>KG</v>
      </c>
      <c r="M827" s="43">
        <v>0</v>
      </c>
      <c r="N827" s="59" t="s">
        <v>24</v>
      </c>
    </row>
    <row r="828" spans="2:14" ht="17.25" customHeight="1">
      <c r="B828" s="164"/>
      <c r="C828" s="20"/>
      <c r="D828" s="20"/>
      <c r="E828" s="75" t="s">
        <v>935</v>
      </c>
      <c r="F828" s="309" t="s">
        <v>899</v>
      </c>
      <c r="G828" s="309" t="s">
        <v>6177</v>
      </c>
      <c r="H828" s="53" t="s">
        <v>853</v>
      </c>
      <c r="I828" s="57" t="s">
        <v>6199</v>
      </c>
      <c r="J828" s="103"/>
      <c r="K828" s="62"/>
      <c r="L828" s="239" t="str">
        <f>IFERROR(VLOOKUP($C828,'SINAPI MAIO 2020'!$1:$1048576,3,0),IFERROR(VLOOKUP($C828,'6-COMP. PROPRIA'!$B$1:$I$808,5,0),""))</f>
        <v/>
      </c>
      <c r="M828" s="94"/>
      <c r="N828" s="59"/>
    </row>
    <row r="829" spans="2:14" ht="17.25" customHeight="1">
      <c r="B829" s="164"/>
      <c r="C829" s="20"/>
      <c r="D829" s="20"/>
      <c r="E829" s="102">
        <v>10</v>
      </c>
      <c r="F829" s="63">
        <v>2.97</v>
      </c>
      <c r="G829" s="63">
        <v>4</v>
      </c>
      <c r="H829" s="63">
        <v>0.61699999999999999</v>
      </c>
      <c r="I829" s="63">
        <v>24</v>
      </c>
      <c r="J829" s="103"/>
      <c r="K829" s="62">
        <f>H829*F829*G829*I829</f>
        <v>175.91904000000002</v>
      </c>
      <c r="L829" s="239" t="str">
        <f>IFERROR(VLOOKUP($C829,'SINAPI MAIO 2020'!$1:$1048576,3,0),IFERROR(VLOOKUP($C829,'6-COMP. PROPRIA'!$B$1:$I$808,5,0),""))</f>
        <v/>
      </c>
      <c r="M829" s="94"/>
      <c r="N829" s="59"/>
    </row>
    <row r="830" spans="2:14" ht="17.25" customHeight="1">
      <c r="B830" s="164"/>
      <c r="C830" s="20"/>
      <c r="D830" s="20"/>
      <c r="E830" s="238"/>
      <c r="F830" s="312"/>
      <c r="G830" s="312"/>
      <c r="H830" s="312"/>
      <c r="I830" s="312"/>
      <c r="J830" s="103"/>
      <c r="K830" s="62"/>
      <c r="L830" s="239" t="str">
        <f>IFERROR(VLOOKUP($C830,'SINAPI MAIO 2020'!$1:$1048576,3,0),IFERROR(VLOOKUP($C830,'6-COMP. PROPRIA'!$B$1:$I$808,5,0),""))</f>
        <v/>
      </c>
      <c r="M830" s="94"/>
      <c r="N830" s="59"/>
    </row>
    <row r="831" spans="2:14" ht="17.25" customHeight="1">
      <c r="B831" s="164"/>
      <c r="C831" s="20"/>
      <c r="D831" s="20"/>
      <c r="E831" s="238"/>
      <c r="F831" s="312"/>
      <c r="G831" s="312"/>
      <c r="H831" s="312"/>
      <c r="I831" s="312"/>
      <c r="J831" s="103"/>
      <c r="K831" s="62"/>
      <c r="L831" s="239" t="str">
        <f>IFERROR(VLOOKUP($C831,'SINAPI MAIO 2020'!$1:$1048576,3,0),IFERROR(VLOOKUP($C831,'6-COMP. PROPRIA'!$B$1:$I$808,5,0),""))</f>
        <v/>
      </c>
      <c r="M831" s="94"/>
      <c r="N831" s="59"/>
    </row>
    <row r="832" spans="2:14" ht="36.75" customHeight="1">
      <c r="B832" s="164"/>
      <c r="C832" s="275">
        <v>92778</v>
      </c>
      <c r="D832" s="275" t="s">
        <v>8</v>
      </c>
      <c r="E832" s="668" t="str">
        <f>IFERROR(VLOOKUP($C832,'SINAPI MAIO 2020'!$1:$1048576,2,0),IFERROR(VLOOKUP($C832,'6-COMP. PROPRIA'!$B$28:$I$808,4,0),""))</f>
        <v>ARMAÇÃO DE PILAR OU VIGA DE UMA ESTRUTURA CONVENCIONAL DE CONCRETO ARMADO EM UMA EDIFICAÇÃO TÉRREA OU SOBRADO UTILIZANDO AÇO CA-50 DE 10,0 MM - MONTAGEM. AF_12/2015</v>
      </c>
      <c r="F832" s="669"/>
      <c r="G832" s="669"/>
      <c r="H832" s="669"/>
      <c r="I832" s="669"/>
      <c r="J832" s="670"/>
      <c r="K832" s="212">
        <f>K834</f>
        <v>90.921600000000012</v>
      </c>
      <c r="L832" s="239" t="str">
        <f>IFERROR(VLOOKUP($C832,'SINAPI MAIO 2020'!$1:$1048576,3,0),IFERROR(VLOOKUP($C832,'6-COMP. PROPRIA'!$B$1:$I$808,5,0),""))</f>
        <v>KG</v>
      </c>
      <c r="M832" s="43">
        <v>0</v>
      </c>
      <c r="N832" s="59" t="s">
        <v>24</v>
      </c>
    </row>
    <row r="833" spans="2:14" ht="17.25" customHeight="1">
      <c r="B833" s="164"/>
      <c r="C833" s="20"/>
      <c r="D833" s="20"/>
      <c r="E833" s="75" t="s">
        <v>935</v>
      </c>
      <c r="F833" s="309" t="s">
        <v>899</v>
      </c>
      <c r="G833" s="309" t="s">
        <v>6198</v>
      </c>
      <c r="H833" s="53" t="s">
        <v>853</v>
      </c>
      <c r="I833" s="57" t="s">
        <v>6199</v>
      </c>
      <c r="J833" s="103"/>
      <c r="K833" s="62"/>
      <c r="L833" s="239" t="str">
        <f>IFERROR(VLOOKUP($C833,'SINAPI MAIO 2020'!$1:$1048576,3,0),IFERROR(VLOOKUP($C833,'6-COMP. PROPRIA'!$B$1:$I$808,5,0),""))</f>
        <v/>
      </c>
      <c r="M833" s="94"/>
      <c r="N833" s="105"/>
    </row>
    <row r="834" spans="2:14" ht="17.25" customHeight="1">
      <c r="B834" s="164"/>
      <c r="C834" s="20"/>
      <c r="D834" s="20"/>
      <c r="E834" s="102">
        <v>5</v>
      </c>
      <c r="F834" s="63">
        <v>0.82</v>
      </c>
      <c r="G834" s="63">
        <v>30</v>
      </c>
      <c r="H834" s="63">
        <v>0.154</v>
      </c>
      <c r="I834" s="63">
        <v>24</v>
      </c>
      <c r="J834" s="103"/>
      <c r="K834" s="62">
        <f>H834*F834*G834*I834</f>
        <v>90.921600000000012</v>
      </c>
      <c r="L834" s="239" t="str">
        <f>IFERROR(VLOOKUP($C834,'SINAPI MAIO 2020'!$1:$1048576,3,0),IFERROR(VLOOKUP($C834,'6-COMP. PROPRIA'!$B$1:$I$808,5,0),""))</f>
        <v/>
      </c>
      <c r="M834" s="94"/>
      <c r="N834" s="105"/>
    </row>
    <row r="835" spans="2:14" ht="17.25" customHeight="1">
      <c r="B835" s="164"/>
      <c r="C835" s="20"/>
      <c r="D835" s="20"/>
      <c r="E835" s="238"/>
      <c r="F835" s="312"/>
      <c r="G835" s="312"/>
      <c r="H835" s="312"/>
      <c r="I835" s="312"/>
      <c r="J835" s="103"/>
      <c r="K835" s="62"/>
      <c r="L835" s="239" t="str">
        <f>IFERROR(VLOOKUP($C835,'SINAPI MAIO 2020'!$1:$1048576,3,0),IFERROR(VLOOKUP($C835,'6-COMP. PROPRIA'!$B$1:$I$808,5,0),""))</f>
        <v/>
      </c>
      <c r="M835" s="94"/>
      <c r="N835" s="105"/>
    </row>
    <row r="836" spans="2:14" ht="17.25" customHeight="1">
      <c r="B836" s="164"/>
      <c r="C836" s="20"/>
      <c r="D836" s="20"/>
      <c r="E836" s="238"/>
      <c r="F836" s="312"/>
      <c r="G836" s="312"/>
      <c r="H836" s="312"/>
      <c r="I836" s="312"/>
      <c r="J836" s="103"/>
      <c r="K836" s="62"/>
      <c r="L836" s="239" t="str">
        <f>IFERROR(VLOOKUP($C836,'SINAPI MAIO 2020'!$1:$1048576,3,0),IFERROR(VLOOKUP($C836,'6-COMP. PROPRIA'!$B$1:$I$808,5,0),""))</f>
        <v/>
      </c>
      <c r="M836" s="94"/>
      <c r="N836" s="105"/>
    </row>
    <row r="837" spans="2:14" ht="36.75" customHeight="1">
      <c r="B837" s="164"/>
      <c r="C837" s="275">
        <v>92412</v>
      </c>
      <c r="D837" s="275" t="s">
        <v>8</v>
      </c>
      <c r="E837" s="668" t="str">
        <f>IFERROR(VLOOKUP($C837,'SINAPI MAIO 2020'!$1:$1048576,2,0),IFERROR(VLOOKUP($C837,'6-COMP. PROPRIA'!$B$28:$I$808,4,0),""))</f>
        <v>MONTAGEM E DESMONTAGEM DE FÔRMA DE PILARES RETANGULARES E ESTRUTURAS SIMILARES COM ÁREA MÉDIA DAS SEÇÕES MENOR OU IGUAL A 0,25 M², PÉ-DIREITO SIMPLES, EM MADEIRA SERRADA, 4 UTILIZAÇÕES. AF_12/2015</v>
      </c>
      <c r="F837" s="669"/>
      <c r="G837" s="669"/>
      <c r="H837" s="669"/>
      <c r="I837" s="669"/>
      <c r="J837" s="670"/>
      <c r="K837" s="212">
        <f>K839</f>
        <v>79.2</v>
      </c>
      <c r="L837" s="239" t="str">
        <f>IFERROR(VLOOKUP($C837,'SINAPI MAIO 2020'!$1:$1048576,3,0),IFERROR(VLOOKUP($C837,'6-COMP. PROPRIA'!$B$1:$I$808,5,0),""))</f>
        <v>M2</v>
      </c>
      <c r="M837" s="104"/>
      <c r="N837" s="105"/>
    </row>
    <row r="838" spans="2:14" ht="17.25" customHeight="1">
      <c r="B838" s="164"/>
      <c r="C838" s="20"/>
      <c r="D838" s="20"/>
      <c r="E838" s="72" t="s">
        <v>929</v>
      </c>
      <c r="F838" s="311" t="s">
        <v>918</v>
      </c>
      <c r="G838" s="311" t="s">
        <v>921</v>
      </c>
      <c r="H838" s="309" t="s">
        <v>922</v>
      </c>
      <c r="I838" s="312"/>
      <c r="J838" s="103"/>
      <c r="K838" s="62"/>
      <c r="L838" s="239" t="str">
        <f>IFERROR(VLOOKUP($C838,'SINAPI MAIO 2020'!$1:$1048576,3,0),IFERROR(VLOOKUP($C838,'6-COMP. PROPRIA'!$B$1:$I$808,5,0),""))</f>
        <v/>
      </c>
      <c r="M838" s="104"/>
      <c r="N838" s="105"/>
    </row>
    <row r="839" spans="2:14" ht="17.25" customHeight="1">
      <c r="B839" s="164"/>
      <c r="C839" s="20"/>
      <c r="D839" s="20"/>
      <c r="E839" s="102">
        <f>0.4*2</f>
        <v>0.8</v>
      </c>
      <c r="F839" s="63">
        <f>0.15*2</f>
        <v>0.3</v>
      </c>
      <c r="G839" s="138">
        <v>3</v>
      </c>
      <c r="H839" s="63">
        <v>24</v>
      </c>
      <c r="I839" s="312"/>
      <c r="J839" s="103"/>
      <c r="K839" s="62">
        <f>(E839+F839)*G839*H839</f>
        <v>79.2</v>
      </c>
      <c r="L839" s="239" t="str">
        <f>IFERROR(VLOOKUP($C839,'SINAPI MAIO 2020'!$1:$1048576,3,0),IFERROR(VLOOKUP($C839,'6-COMP. PROPRIA'!$B$1:$I$808,5,0),""))</f>
        <v/>
      </c>
      <c r="M839" s="104"/>
      <c r="N839" s="105"/>
    </row>
    <row r="840" spans="2:14" ht="17.25" customHeight="1">
      <c r="B840" s="164"/>
      <c r="C840" s="20"/>
      <c r="D840" s="20"/>
      <c r="E840" s="238"/>
      <c r="F840" s="312"/>
      <c r="G840" s="312"/>
      <c r="H840" s="312"/>
      <c r="I840" s="312"/>
      <c r="J840" s="103"/>
      <c r="K840" s="211"/>
      <c r="L840" s="239" t="str">
        <f>IFERROR(VLOOKUP($C840,'SINAPI MAIO 2020'!$1:$1048576,3,0),IFERROR(VLOOKUP($C840,'6-COMP. PROPRIA'!$B$1:$I$808,5,0),""))</f>
        <v/>
      </c>
      <c r="M840" s="104"/>
      <c r="N840" s="105"/>
    </row>
    <row r="841" spans="2:14" ht="17.25" customHeight="1">
      <c r="B841" s="164"/>
      <c r="C841" s="20"/>
      <c r="D841" s="20"/>
      <c r="E841" s="238"/>
      <c r="F841" s="312"/>
      <c r="G841" s="312"/>
      <c r="H841" s="312"/>
      <c r="I841" s="312"/>
      <c r="J841" s="103"/>
      <c r="K841" s="211"/>
      <c r="L841" s="239" t="str">
        <f>IFERROR(VLOOKUP($C841,'SINAPI MAIO 2020'!$1:$1048576,3,0),IFERROR(VLOOKUP($C841,'6-COMP. PROPRIA'!$B$1:$I$808,5,0),""))</f>
        <v/>
      </c>
      <c r="M841" s="104"/>
      <c r="N841" s="105"/>
    </row>
    <row r="842" spans="2:14" ht="17.25" customHeight="1" thickBot="1">
      <c r="B842" s="164"/>
      <c r="C842" s="20"/>
      <c r="D842" s="20"/>
      <c r="E842" s="238"/>
      <c r="F842" s="312"/>
      <c r="G842" s="312"/>
      <c r="H842" s="312"/>
      <c r="I842" s="312"/>
      <c r="J842" s="103"/>
      <c r="K842" s="211"/>
      <c r="L842" s="239" t="str">
        <f>IFERROR(VLOOKUP($C842,'SINAPI MAIO 2020'!$1:$1048576,3,0),IFERROR(VLOOKUP($C842,'6-COMP. PROPRIA'!$B$1:$I$808,5,0),""))</f>
        <v/>
      </c>
      <c r="M842" s="104"/>
      <c r="N842" s="105"/>
    </row>
    <row r="843" spans="2:14" ht="17.25" customHeight="1" thickBot="1">
      <c r="B843" s="164"/>
      <c r="C843" s="20"/>
      <c r="D843" s="20"/>
      <c r="E843" s="674" t="s">
        <v>6191</v>
      </c>
      <c r="F843" s="675"/>
      <c r="G843" s="675"/>
      <c r="H843" s="675"/>
      <c r="I843" s="675"/>
      <c r="J843" s="676"/>
      <c r="K843" s="211"/>
      <c r="L843" s="239" t="str">
        <f>IFERROR(VLOOKUP($C843,'SINAPI MAIO 2020'!$1:$1048576,3,0),IFERROR(VLOOKUP($C843,'6-COMP. PROPRIA'!$B$1:$I$808,5,0),""))</f>
        <v/>
      </c>
      <c r="M843" s="104"/>
      <c r="N843" s="105"/>
    </row>
    <row r="844" spans="2:14" ht="17.25" customHeight="1">
      <c r="B844" s="164"/>
      <c r="C844" s="20"/>
      <c r="D844" s="20"/>
      <c r="E844" s="238"/>
      <c r="F844" s="312"/>
      <c r="G844" s="312"/>
      <c r="H844" s="312"/>
      <c r="I844" s="312"/>
      <c r="J844" s="103"/>
      <c r="K844" s="211"/>
      <c r="L844" s="239" t="str">
        <f>IFERROR(VLOOKUP($C844,'SINAPI MAIO 2020'!$1:$1048576,3,0),IFERROR(VLOOKUP($C844,'6-COMP. PROPRIA'!$B$1:$I$808,5,0),""))</f>
        <v/>
      </c>
      <c r="M844" s="104"/>
      <c r="N844" s="105"/>
    </row>
    <row r="845" spans="2:14" ht="37.5" customHeight="1">
      <c r="B845" s="164"/>
      <c r="C845" s="275">
        <v>87477</v>
      </c>
      <c r="D845" s="275" t="s">
        <v>8</v>
      </c>
      <c r="E845" s="668" t="str">
        <f>IFERROR(VLOOKUP($C845,'SINAPI MAIO 2020'!$1:$1048576,2,0),IFERROR(VLOOKUP($C845,'6-COMP. PROPRIA'!$B$28:$I$808,4,0),""))</f>
        <v>ALVENARIA DE VEDAÇÃO DE BLOCOS CERÂMICOS FURADOS NA VERTICAL DE 9X19X39CM (ESPESSURA 9CM) DE PAREDES COM ÁREA LÍQUIDA MAIOR OU IGUAL A 6M² SEM VÃOS E ARGAMASSA DE ASSENTAMENTO COM PREPARO EM BETONEIRA. AF_06/2014</v>
      </c>
      <c r="F845" s="669"/>
      <c r="G845" s="669"/>
      <c r="H845" s="669"/>
      <c r="I845" s="669"/>
      <c r="J845" s="670"/>
      <c r="K845" s="212">
        <f>SUM(K848:K849)</f>
        <v>180.684</v>
      </c>
      <c r="L845" s="239" t="str">
        <f>IFERROR(VLOOKUP($C845,'SINAPI MAIO 2020'!$1:$1048576,3,0),IFERROR(VLOOKUP($C845,'6-COMP. PROPRIA'!$B$1:$I$808,5,0),""))</f>
        <v>M2</v>
      </c>
      <c r="M845" s="104"/>
      <c r="N845" s="105"/>
    </row>
    <row r="846" spans="2:14" ht="17.25" customHeight="1">
      <c r="B846" s="164"/>
      <c r="C846" s="20"/>
      <c r="D846" s="20"/>
      <c r="E846" s="72" t="s">
        <v>899</v>
      </c>
      <c r="F846" s="311" t="s">
        <v>954</v>
      </c>
      <c r="G846" s="680" t="s">
        <v>956</v>
      </c>
      <c r="H846" s="680"/>
      <c r="I846" s="680"/>
      <c r="J846" s="681"/>
      <c r="K846" s="215"/>
      <c r="L846" s="239" t="str">
        <f>IFERROR(VLOOKUP($C846,'SINAPI MAIO 2020'!$1:$1048576,3,0),IFERROR(VLOOKUP($C846,'6-COMP. PROPRIA'!$B$1:$I$808,5,0),""))</f>
        <v/>
      </c>
      <c r="M846" s="104"/>
      <c r="N846" s="105"/>
    </row>
    <row r="847" spans="2:14" ht="17.25" customHeight="1">
      <c r="B847" s="164"/>
      <c r="C847" s="20"/>
      <c r="D847" s="20"/>
      <c r="E847" s="85"/>
      <c r="F847" s="69"/>
      <c r="G847" s="311" t="s">
        <v>899</v>
      </c>
      <c r="H847" s="311" t="s">
        <v>898</v>
      </c>
      <c r="I847" s="311" t="s">
        <v>948</v>
      </c>
      <c r="J847" s="310" t="s">
        <v>955</v>
      </c>
      <c r="K847" s="211"/>
      <c r="L847" s="239" t="str">
        <f>IFERROR(VLOOKUP($C847,'SINAPI MAIO 2020'!$1:$1048576,3,0),IFERROR(VLOOKUP($C847,'6-COMP. PROPRIA'!$B$1:$I$808,5,0),""))</f>
        <v/>
      </c>
      <c r="M847" s="104"/>
      <c r="N847" s="105"/>
    </row>
    <row r="848" spans="2:14" ht="17.25" customHeight="1">
      <c r="B848" s="164"/>
      <c r="C848" s="20"/>
      <c r="D848" s="20"/>
      <c r="E848" s="102">
        <v>32.700000000000003</v>
      </c>
      <c r="F848" s="63">
        <v>2.8</v>
      </c>
      <c r="G848" s="312"/>
      <c r="H848" s="312"/>
      <c r="I848" s="312"/>
      <c r="J848" s="103"/>
      <c r="K848" s="62">
        <f>E848*F848</f>
        <v>91.56</v>
      </c>
      <c r="L848" s="239" t="str">
        <f>IFERROR(VLOOKUP($C848,'SINAPI MAIO 2020'!$1:$1048576,3,0),IFERROR(VLOOKUP($C848,'6-COMP. PROPRIA'!$B$1:$I$808,5,0),""))</f>
        <v/>
      </c>
      <c r="M848" s="104"/>
      <c r="N848" s="105"/>
    </row>
    <row r="849" spans="2:14" ht="17.25" customHeight="1">
      <c r="B849" s="164"/>
      <c r="C849" s="20"/>
      <c r="D849" s="20"/>
      <c r="E849" s="102">
        <v>31.83</v>
      </c>
      <c r="F849" s="63">
        <v>2.8</v>
      </c>
      <c r="G849" s="312"/>
      <c r="H849" s="312"/>
      <c r="I849" s="312"/>
      <c r="J849" s="103"/>
      <c r="K849" s="62">
        <f>E849*F849</f>
        <v>89.123999999999995</v>
      </c>
      <c r="L849" s="239" t="str">
        <f>IFERROR(VLOOKUP($C849,'SINAPI MAIO 2020'!$1:$1048576,3,0),IFERROR(VLOOKUP($C849,'6-COMP. PROPRIA'!$B$1:$I$808,5,0),""))</f>
        <v/>
      </c>
      <c r="M849" s="104"/>
      <c r="N849" s="105"/>
    </row>
    <row r="850" spans="2:14" ht="17.25" customHeight="1">
      <c r="B850" s="164"/>
      <c r="C850" s="20"/>
      <c r="D850" s="20"/>
      <c r="E850" s="238"/>
      <c r="F850" s="312"/>
      <c r="G850" s="312"/>
      <c r="H850" s="312"/>
      <c r="I850" s="312"/>
      <c r="J850" s="103"/>
      <c r="K850" s="62"/>
      <c r="L850" s="239" t="str">
        <f>IFERROR(VLOOKUP($C850,'SINAPI MAIO 2020'!$1:$1048576,3,0),IFERROR(VLOOKUP($C850,'6-COMP. PROPRIA'!$B$1:$I$808,5,0),""))</f>
        <v/>
      </c>
      <c r="M850" s="104"/>
      <c r="N850" s="105"/>
    </row>
    <row r="851" spans="2:14" ht="17.25" customHeight="1">
      <c r="B851" s="164"/>
      <c r="C851" s="20"/>
      <c r="D851" s="20"/>
      <c r="E851" s="238"/>
      <c r="F851" s="312"/>
      <c r="G851" s="312"/>
      <c r="H851" s="312"/>
      <c r="I851" s="312"/>
      <c r="J851" s="103"/>
      <c r="K851" s="211"/>
      <c r="L851" s="239" t="str">
        <f>IFERROR(VLOOKUP($C851,'SINAPI MAIO 2020'!$1:$1048576,3,0),IFERROR(VLOOKUP($C851,'6-COMP. PROPRIA'!$B$1:$I$808,5,0),""))</f>
        <v/>
      </c>
      <c r="M851" s="104"/>
      <c r="N851" s="105"/>
    </row>
    <row r="852" spans="2:14" ht="29.25" customHeight="1">
      <c r="B852" s="164"/>
      <c r="C852" s="275">
        <v>87905</v>
      </c>
      <c r="D852" s="275" t="s">
        <v>8</v>
      </c>
      <c r="E852" s="668" t="str">
        <f>IFERROR(VLOOKUP($C852,'SINAPI MAIO 2020'!$1:$1048576,2,0),IFERROR(VLOOKUP($C852,'6-COMP. PROPRIA'!$B$28:$I$808,4,0),""))</f>
        <v>CHAPISCO APLICADO EM ALVENARIA (COM PRESENÇA DE VÃOS) E ESTRUTURAS DE CONCRETO DE FACHADA, COM COLHER DE PEDREIRO.  ARGAMASSA TRAÇO 1:3 COM PREPARO EM BETONEIRA 400L. AF_06/2014</v>
      </c>
      <c r="F852" s="669"/>
      <c r="G852" s="669"/>
      <c r="H852" s="669"/>
      <c r="I852" s="669"/>
      <c r="J852" s="670"/>
      <c r="K852" s="212">
        <f>SUM(K855:K856)</f>
        <v>361.36799999999999</v>
      </c>
      <c r="L852" s="239" t="str">
        <f>IFERROR(VLOOKUP($C852,'SINAPI MAIO 2020'!$1:$1048576,3,0),IFERROR(VLOOKUP($C852,'6-COMP. PROPRIA'!$B$1:$I$808,5,0),""))</f>
        <v>M2</v>
      </c>
      <c r="M852" s="104"/>
      <c r="N852" s="105"/>
    </row>
    <row r="853" spans="2:14" ht="17.25" customHeight="1">
      <c r="B853" s="164"/>
      <c r="C853" s="20"/>
      <c r="D853" s="20"/>
      <c r="E853" s="72" t="s">
        <v>899</v>
      </c>
      <c r="F853" s="311" t="s">
        <v>954</v>
      </c>
      <c r="G853" s="680" t="s">
        <v>956</v>
      </c>
      <c r="H853" s="680"/>
      <c r="I853" s="680"/>
      <c r="J853" s="681"/>
      <c r="K853" s="215"/>
      <c r="L853" s="239" t="str">
        <f>IFERROR(VLOOKUP($C853,'SINAPI MAIO 2020'!$1:$1048576,3,0),IFERROR(VLOOKUP($C853,'6-COMP. PROPRIA'!$B$1:$I$808,5,0),""))</f>
        <v/>
      </c>
      <c r="M853" s="104"/>
      <c r="N853" s="105"/>
    </row>
    <row r="854" spans="2:14" ht="17.25" customHeight="1">
      <c r="B854" s="164"/>
      <c r="C854" s="20"/>
      <c r="D854" s="20"/>
      <c r="E854" s="85"/>
      <c r="F854" s="69"/>
      <c r="G854" s="311" t="s">
        <v>899</v>
      </c>
      <c r="H854" s="311" t="s">
        <v>898</v>
      </c>
      <c r="I854" s="311" t="s">
        <v>948</v>
      </c>
      <c r="J854" s="310" t="s">
        <v>955</v>
      </c>
      <c r="K854" s="211"/>
      <c r="L854" s="239" t="str">
        <f>IFERROR(VLOOKUP($C854,'SINAPI MAIO 2020'!$1:$1048576,3,0),IFERROR(VLOOKUP($C854,'6-COMP. PROPRIA'!$B$1:$I$808,5,0),""))</f>
        <v/>
      </c>
      <c r="M854" s="104"/>
      <c r="N854" s="105"/>
    </row>
    <row r="855" spans="2:14" ht="17.25" customHeight="1">
      <c r="B855" s="164"/>
      <c r="C855" s="20"/>
      <c r="D855" s="20"/>
      <c r="E855" s="102">
        <f>2*32.7</f>
        <v>65.400000000000006</v>
      </c>
      <c r="F855" s="63">
        <v>2.8</v>
      </c>
      <c r="G855" s="312"/>
      <c r="H855" s="312"/>
      <c r="I855" s="312"/>
      <c r="J855" s="103"/>
      <c r="K855" s="62">
        <f>E855*F855</f>
        <v>183.12</v>
      </c>
      <c r="L855" s="239" t="str">
        <f>IFERROR(VLOOKUP($C855,'SINAPI MAIO 2020'!$1:$1048576,3,0),IFERROR(VLOOKUP($C855,'6-COMP. PROPRIA'!$B$1:$I$808,5,0),""))</f>
        <v/>
      </c>
      <c r="M855" s="104"/>
      <c r="N855" s="105"/>
    </row>
    <row r="856" spans="2:14" ht="17.25" customHeight="1">
      <c r="B856" s="164"/>
      <c r="C856" s="20"/>
      <c r="D856" s="20"/>
      <c r="E856" s="102">
        <f>2*31.83</f>
        <v>63.66</v>
      </c>
      <c r="F856" s="63">
        <v>2.8</v>
      </c>
      <c r="G856" s="312"/>
      <c r="H856" s="312"/>
      <c r="I856" s="312"/>
      <c r="J856" s="103"/>
      <c r="K856" s="62">
        <f>E856*F856</f>
        <v>178.24799999999999</v>
      </c>
      <c r="L856" s="239" t="str">
        <f>IFERROR(VLOOKUP($C856,'SINAPI MAIO 2020'!$1:$1048576,3,0),IFERROR(VLOOKUP($C856,'6-COMP. PROPRIA'!$B$1:$I$808,5,0),""))</f>
        <v/>
      </c>
      <c r="M856" s="104"/>
      <c r="N856" s="105"/>
    </row>
    <row r="857" spans="2:14" ht="17.25" customHeight="1">
      <c r="B857" s="164"/>
      <c r="C857" s="20"/>
      <c r="D857" s="20"/>
      <c r="E857" s="238"/>
      <c r="F857" s="312"/>
      <c r="G857" s="312"/>
      <c r="H857" s="312"/>
      <c r="I857" s="312"/>
      <c r="J857" s="103"/>
      <c r="K857" s="211"/>
      <c r="L857" s="239" t="str">
        <f>IFERROR(VLOOKUP($C857,'SINAPI MAIO 2020'!$1:$1048576,3,0),IFERROR(VLOOKUP($C857,'6-COMP. PROPRIA'!$B$1:$I$808,5,0),""))</f>
        <v/>
      </c>
      <c r="M857" s="104"/>
      <c r="N857" s="105"/>
    </row>
    <row r="858" spans="2:14" ht="17.25" customHeight="1">
      <c r="B858" s="164"/>
      <c r="C858" s="20"/>
      <c r="D858" s="20"/>
      <c r="E858" s="238"/>
      <c r="F858" s="312"/>
      <c r="G858" s="312"/>
      <c r="H858" s="312"/>
      <c r="I858" s="312"/>
      <c r="J858" s="103"/>
      <c r="K858" s="211"/>
      <c r="L858" s="239" t="str">
        <f>IFERROR(VLOOKUP($C858,'SINAPI MAIO 2020'!$1:$1048576,3,0),IFERROR(VLOOKUP($C858,'6-COMP. PROPRIA'!$B$1:$I$808,5,0),""))</f>
        <v/>
      </c>
      <c r="M858" s="104"/>
      <c r="N858" s="105"/>
    </row>
    <row r="859" spans="2:14" ht="17.25" customHeight="1">
      <c r="B859" s="164"/>
      <c r="C859" s="20"/>
      <c r="D859" s="20"/>
      <c r="E859" s="238"/>
      <c r="F859" s="312"/>
      <c r="G859" s="312"/>
      <c r="H859" s="312"/>
      <c r="I859" s="312"/>
      <c r="J859" s="103"/>
      <c r="K859" s="211"/>
      <c r="L859" s="239" t="str">
        <f>IFERROR(VLOOKUP($C859,'SINAPI MAIO 2020'!$1:$1048576,3,0),IFERROR(VLOOKUP($C859,'6-COMP. PROPRIA'!$B$1:$I$808,5,0),""))</f>
        <v/>
      </c>
      <c r="M859" s="104"/>
      <c r="N859" s="105"/>
    </row>
    <row r="860" spans="2:14" ht="27" customHeight="1">
      <c r="B860" s="164"/>
      <c r="C860" s="275">
        <v>87529</v>
      </c>
      <c r="D860" s="275" t="s">
        <v>8</v>
      </c>
      <c r="E860" s="668" t="str">
        <f>IFERROR(VLOOKUP($C860,'SINAPI MAIO 2020'!$1:$1048576,2,0),IFERROR(VLOOKUP($C860,'6-COMP. PROPRIA'!$B$28:$I$808,4,0),""))</f>
        <v>MASSA ÚNICA, PARA RECEBIMENTO DE PINTURA, EM ARGAMASSA TRAÇO 1:2:8, PREPARO MECÂNICO COM BETONEIRA 400L, APLICADA MANUALMENTE EM FACES INTERNAS DE PAREDES, ESPESSURA DE 20MM, COM EXECUÇÃO DE TALISCAS. AF_06/2014</v>
      </c>
      <c r="F860" s="669"/>
      <c r="G860" s="669"/>
      <c r="H860" s="669"/>
      <c r="I860" s="669"/>
      <c r="J860" s="670"/>
      <c r="K860" s="212">
        <f>SUM(K863:K864)</f>
        <v>361.36799999999999</v>
      </c>
      <c r="L860" s="239" t="str">
        <f>IFERROR(VLOOKUP($C860,'SINAPI MAIO 2020'!$1:$1048576,3,0),IFERROR(VLOOKUP($C860,'6-COMP. PROPRIA'!$B$1:$I$808,5,0),""))</f>
        <v>M2</v>
      </c>
      <c r="M860" s="104"/>
      <c r="N860" s="105"/>
    </row>
    <row r="861" spans="2:14" ht="17.25" customHeight="1">
      <c r="B861" s="164"/>
      <c r="C861" s="20"/>
      <c r="D861" s="20"/>
      <c r="E861" s="72" t="s">
        <v>899</v>
      </c>
      <c r="F861" s="311" t="s">
        <v>954</v>
      </c>
      <c r="G861" s="680" t="s">
        <v>956</v>
      </c>
      <c r="H861" s="680"/>
      <c r="I861" s="680"/>
      <c r="J861" s="681"/>
      <c r="K861" s="215"/>
      <c r="L861" s="239" t="str">
        <f>IFERROR(VLOOKUP($C861,'SINAPI MAIO 2020'!$1:$1048576,3,0),IFERROR(VLOOKUP($C861,'6-COMP. PROPRIA'!$B$1:$I$808,5,0),""))</f>
        <v/>
      </c>
      <c r="M861" s="104"/>
      <c r="N861" s="105"/>
    </row>
    <row r="862" spans="2:14" ht="17.25" customHeight="1">
      <c r="B862" s="164"/>
      <c r="C862" s="20"/>
      <c r="D862" s="20"/>
      <c r="E862" s="85"/>
      <c r="F862" s="69"/>
      <c r="G862" s="311" t="s">
        <v>899</v>
      </c>
      <c r="H862" s="311" t="s">
        <v>898</v>
      </c>
      <c r="I862" s="311" t="s">
        <v>948</v>
      </c>
      <c r="J862" s="310" t="s">
        <v>955</v>
      </c>
      <c r="K862" s="211"/>
      <c r="L862" s="239" t="str">
        <f>IFERROR(VLOOKUP($C862,'SINAPI MAIO 2020'!$1:$1048576,3,0),IFERROR(VLOOKUP($C862,'6-COMP. PROPRIA'!$B$1:$I$808,5,0),""))</f>
        <v/>
      </c>
      <c r="M862" s="104"/>
      <c r="N862" s="105"/>
    </row>
    <row r="863" spans="2:14" ht="17.25" customHeight="1">
      <c r="B863" s="164"/>
      <c r="C863" s="20"/>
      <c r="D863" s="20"/>
      <c r="E863" s="102">
        <f>2*32.7</f>
        <v>65.400000000000006</v>
      </c>
      <c r="F863" s="63">
        <v>2.8</v>
      </c>
      <c r="G863" s="312"/>
      <c r="H863" s="312"/>
      <c r="I863" s="312"/>
      <c r="J863" s="103"/>
      <c r="K863" s="62">
        <f>E863*F863</f>
        <v>183.12</v>
      </c>
      <c r="L863" s="239" t="str">
        <f>IFERROR(VLOOKUP($C863,'SINAPI MAIO 2020'!$1:$1048576,3,0),IFERROR(VLOOKUP($C863,'6-COMP. PROPRIA'!$B$1:$I$808,5,0),""))</f>
        <v/>
      </c>
      <c r="M863" s="104"/>
      <c r="N863" s="105"/>
    </row>
    <row r="864" spans="2:14" ht="17.25" customHeight="1">
      <c r="B864" s="164"/>
      <c r="C864" s="20"/>
      <c r="D864" s="20"/>
      <c r="E864" s="102">
        <f>2*31.83</f>
        <v>63.66</v>
      </c>
      <c r="F864" s="63">
        <v>2.8</v>
      </c>
      <c r="G864" s="312"/>
      <c r="H864" s="312"/>
      <c r="I864" s="312"/>
      <c r="J864" s="103"/>
      <c r="K864" s="62">
        <f>E864*F864</f>
        <v>178.24799999999999</v>
      </c>
      <c r="L864" s="239" t="str">
        <f>IFERROR(VLOOKUP($C864,'SINAPI MAIO 2020'!$1:$1048576,3,0),IFERROR(VLOOKUP($C864,'6-COMP. PROPRIA'!$B$1:$I$808,5,0),""))</f>
        <v/>
      </c>
      <c r="M864" s="104"/>
      <c r="N864" s="105"/>
    </row>
    <row r="865" spans="2:14" ht="17.25" customHeight="1">
      <c r="B865" s="164"/>
      <c r="C865" s="20"/>
      <c r="D865" s="20"/>
      <c r="E865" s="238"/>
      <c r="F865" s="312"/>
      <c r="G865" s="312"/>
      <c r="H865" s="312"/>
      <c r="I865" s="312"/>
      <c r="J865" s="103"/>
      <c r="K865" s="211"/>
      <c r="L865" s="239" t="str">
        <f>IFERROR(VLOOKUP($C865,'SINAPI MAIO 2020'!$1:$1048576,3,0),IFERROR(VLOOKUP($C865,'6-COMP. PROPRIA'!$B$1:$I$808,5,0),""))</f>
        <v/>
      </c>
      <c r="M865" s="104"/>
      <c r="N865" s="105"/>
    </row>
    <row r="866" spans="2:14" ht="17.25" customHeight="1">
      <c r="B866" s="164"/>
      <c r="C866" s="274" t="str">
        <f>'6-COMP. PROPRIA'!B104</f>
        <v>CP-PIN-03</v>
      </c>
      <c r="D866" s="275" t="s">
        <v>980</v>
      </c>
      <c r="E866" s="668" t="str">
        <f>IFERROR(VLOOKUP($C866,'SINAPI MAIO 2020'!$1:$1048576,2,0),IFERROR(VLOOKUP($C866,'6-COMP. PROPRIA'!$B$28:$I$808,4,0),""))</f>
        <v xml:space="preserve">PINTURA COM TINTA ESMALTE SINTÉTICO </v>
      </c>
      <c r="F866" s="669"/>
      <c r="G866" s="669"/>
      <c r="H866" s="669"/>
      <c r="I866" s="669"/>
      <c r="J866" s="670"/>
      <c r="K866" s="212">
        <f>SUM(K869:K870)</f>
        <v>94.762799999999999</v>
      </c>
      <c r="L866" s="239" t="str">
        <f>IFERROR(VLOOKUP($C866,'SINAPI MAIO 2020'!$1:$1048576,3,0),IFERROR(VLOOKUP($C866,'6-COMP. PROPRIA'!$B$1:$I$808,5,0),""))</f>
        <v>M2</v>
      </c>
      <c r="M866" s="104"/>
      <c r="N866" s="105"/>
    </row>
    <row r="867" spans="2:14" ht="17.25" customHeight="1">
      <c r="B867" s="164"/>
      <c r="C867" s="20"/>
      <c r="D867" s="20"/>
      <c r="E867" s="238"/>
      <c r="F867" s="312"/>
      <c r="G867" s="680" t="s">
        <v>956</v>
      </c>
      <c r="H867" s="680"/>
      <c r="I867" s="680"/>
      <c r="J867" s="681"/>
      <c r="K867" s="212"/>
      <c r="L867" s="239" t="str">
        <f>IFERROR(VLOOKUP($C867,'SINAPI MAIO 2020'!$1:$1048576,3,0),IFERROR(VLOOKUP($C867,'6-COMP. PROPRIA'!$B$1:$I$808,5,0),""))</f>
        <v/>
      </c>
      <c r="M867" s="104"/>
      <c r="N867" s="105"/>
    </row>
    <row r="868" spans="2:14" ht="17.25" customHeight="1">
      <c r="B868" s="164"/>
      <c r="C868" s="20"/>
      <c r="D868" s="20"/>
      <c r="E868" s="72" t="s">
        <v>899</v>
      </c>
      <c r="F868" s="309" t="s">
        <v>4492</v>
      </c>
      <c r="G868" s="311" t="s">
        <v>899</v>
      </c>
      <c r="H868" s="311" t="s">
        <v>898</v>
      </c>
      <c r="I868" s="311" t="s">
        <v>948</v>
      </c>
      <c r="J868" s="310" t="s">
        <v>955</v>
      </c>
      <c r="K868" s="212"/>
      <c r="L868" s="239" t="str">
        <f>IFERROR(VLOOKUP($C868,'SINAPI MAIO 2020'!$1:$1048576,3,0),IFERROR(VLOOKUP($C868,'6-COMP. PROPRIA'!$B$1:$I$808,5,0),""))</f>
        <v/>
      </c>
      <c r="M868" s="104"/>
      <c r="N868" s="105"/>
    </row>
    <row r="869" spans="2:14" ht="31.5" customHeight="1">
      <c r="B869" s="164" t="s">
        <v>6193</v>
      </c>
      <c r="C869" s="70"/>
      <c r="D869" s="20"/>
      <c r="E869" s="102">
        <f>(11.82+6.12+22.02+31.83)*1.1</f>
        <v>78.968999999999994</v>
      </c>
      <c r="F869" s="63">
        <v>1</v>
      </c>
      <c r="G869" s="240">
        <v>0</v>
      </c>
      <c r="H869" s="240">
        <v>0</v>
      </c>
      <c r="I869" s="240">
        <v>0</v>
      </c>
      <c r="J869" s="162">
        <f>G869*H869*I869</f>
        <v>0</v>
      </c>
      <c r="K869" s="62">
        <f>E869*F869-J869</f>
        <v>78.968999999999994</v>
      </c>
      <c r="L869" s="239" t="str">
        <f>IFERROR(VLOOKUP($C869,'SINAPI MAIO 2020'!$1:$1048576,3,0),IFERROR(VLOOKUP($C869,'6-COMP. PROPRIA'!$B$1:$I$808,5,0),""))</f>
        <v/>
      </c>
      <c r="M869" s="104"/>
      <c r="N869" s="105"/>
    </row>
    <row r="870" spans="2:14" ht="31.5" customHeight="1">
      <c r="B870" s="164" t="s">
        <v>6194</v>
      </c>
      <c r="C870" s="20"/>
      <c r="D870" s="20"/>
      <c r="E870" s="102">
        <f>E869</f>
        <v>78.968999999999994</v>
      </c>
      <c r="F870" s="63">
        <v>0.2</v>
      </c>
      <c r="G870" s="240">
        <v>0</v>
      </c>
      <c r="H870" s="240">
        <v>0</v>
      </c>
      <c r="I870" s="240">
        <v>0</v>
      </c>
      <c r="J870" s="103"/>
      <c r="K870" s="211">
        <f>E870*F870</f>
        <v>15.793799999999999</v>
      </c>
      <c r="L870" s="239" t="str">
        <f>IFERROR(VLOOKUP($C870,'SINAPI MAIO 2020'!$1:$1048576,3,0),IFERROR(VLOOKUP($C870,'6-COMP. PROPRIA'!$B$1:$I$808,5,0),""))</f>
        <v/>
      </c>
      <c r="M870" s="104"/>
      <c r="N870" s="105"/>
    </row>
    <row r="871" spans="2:14" ht="17.25" customHeight="1">
      <c r="B871" s="164"/>
      <c r="C871" s="20"/>
      <c r="D871" s="20"/>
      <c r="E871" s="238"/>
      <c r="F871" s="312"/>
      <c r="G871" s="312"/>
      <c r="H871" s="312"/>
      <c r="I871" s="312"/>
      <c r="J871" s="103"/>
      <c r="K871" s="211"/>
      <c r="L871" s="239" t="str">
        <f>IFERROR(VLOOKUP($C871,'SINAPI MAIO 2020'!$1:$1048576,3,0),IFERROR(VLOOKUP($C871,'6-COMP. PROPRIA'!$B$1:$I$808,5,0),""))</f>
        <v/>
      </c>
      <c r="M871" s="104"/>
      <c r="N871" s="105"/>
    </row>
    <row r="872" spans="2:14" ht="17.25" customHeight="1">
      <c r="B872" s="164"/>
      <c r="C872" s="275">
        <v>88489</v>
      </c>
      <c r="D872" s="275" t="s">
        <v>8</v>
      </c>
      <c r="E872" s="668" t="str">
        <f>IFERROR(VLOOKUP($C872,'SINAPI MAIO 2020'!$1:$1048576,2,0),IFERROR(VLOOKUP($C872,'6-COMP. PROPRIA'!$B$28:$I$808,4,0),""))</f>
        <v>APLICAÇÃO MANUAL DE PINTURA COM TINTA LÁTEX ACRÍLICA EM PAREDES, DUAS DEMÃOS. AF_06/2014</v>
      </c>
      <c r="F872" s="669"/>
      <c r="G872" s="669"/>
      <c r="H872" s="669"/>
      <c r="I872" s="669"/>
      <c r="J872" s="670"/>
      <c r="K872" s="212">
        <f>SUM(K875:K875)</f>
        <v>126.35039999999999</v>
      </c>
      <c r="L872" s="239" t="str">
        <f>IFERROR(VLOOKUP($C872,'SINAPI MAIO 2020'!$1:$1048576,3,0),IFERROR(VLOOKUP($C872,'6-COMP. PROPRIA'!$B$1:$I$808,5,0),""))</f>
        <v>M2</v>
      </c>
      <c r="M872" s="104"/>
      <c r="N872" s="105"/>
    </row>
    <row r="873" spans="2:14" ht="17.25" customHeight="1">
      <c r="B873" s="164"/>
      <c r="C873" s="20"/>
      <c r="D873" s="20"/>
      <c r="E873" s="238"/>
      <c r="F873" s="312"/>
      <c r="G873" s="680" t="s">
        <v>956</v>
      </c>
      <c r="H873" s="680"/>
      <c r="I873" s="680"/>
      <c r="J873" s="681"/>
      <c r="K873" s="212"/>
      <c r="L873" s="239" t="str">
        <f>IFERROR(VLOOKUP($C873,'SINAPI MAIO 2020'!$1:$1048576,3,0),IFERROR(VLOOKUP($C873,'6-COMP. PROPRIA'!$B$1:$I$808,5,0),""))</f>
        <v/>
      </c>
      <c r="M873" s="104"/>
      <c r="N873" s="105"/>
    </row>
    <row r="874" spans="2:14" ht="17.25" customHeight="1">
      <c r="B874" s="164"/>
      <c r="C874" s="20"/>
      <c r="D874" s="20"/>
      <c r="E874" s="75" t="s">
        <v>5304</v>
      </c>
      <c r="F874" s="309" t="s">
        <v>4492</v>
      </c>
      <c r="G874" s="311" t="s">
        <v>899</v>
      </c>
      <c r="H874" s="311" t="s">
        <v>898</v>
      </c>
      <c r="I874" s="311" t="s">
        <v>948</v>
      </c>
      <c r="J874" s="310" t="s">
        <v>955</v>
      </c>
      <c r="K874" s="212"/>
      <c r="L874" s="239" t="str">
        <f>IFERROR(VLOOKUP($C874,'SINAPI MAIO 2020'!$1:$1048576,3,0),IFERROR(VLOOKUP($C874,'6-COMP. PROPRIA'!$B$1:$I$808,5,0),""))</f>
        <v/>
      </c>
      <c r="M874" s="104"/>
      <c r="N874" s="105"/>
    </row>
    <row r="875" spans="2:14" ht="17.25" customHeight="1">
      <c r="B875" s="164" t="s">
        <v>6195</v>
      </c>
      <c r="C875" s="70"/>
      <c r="D875" s="20"/>
      <c r="E875" s="102">
        <f>E869</f>
        <v>78.968999999999994</v>
      </c>
      <c r="F875" s="63">
        <v>1.6</v>
      </c>
      <c r="G875" s="240">
        <v>0</v>
      </c>
      <c r="H875" s="240">
        <v>0</v>
      </c>
      <c r="I875" s="240">
        <v>0</v>
      </c>
      <c r="J875" s="162">
        <f>G875*H875*I875</f>
        <v>0</v>
      </c>
      <c r="K875" s="62">
        <f>E875*F875-J875</f>
        <v>126.35039999999999</v>
      </c>
      <c r="L875" s="239" t="str">
        <f>IFERROR(VLOOKUP($C875,'SINAPI MAIO 2020'!$1:$1048576,3,0),IFERROR(VLOOKUP($C875,'6-COMP. PROPRIA'!$B$1:$I$808,5,0),""))</f>
        <v/>
      </c>
      <c r="M875" s="104"/>
      <c r="N875" s="105"/>
    </row>
    <row r="876" spans="2:14" ht="17.25" customHeight="1">
      <c r="B876" s="164"/>
      <c r="C876" s="70"/>
      <c r="D876" s="20"/>
      <c r="E876" s="238"/>
      <c r="F876" s="312"/>
      <c r="G876" s="312"/>
      <c r="H876" s="312"/>
      <c r="I876" s="312"/>
      <c r="J876" s="103"/>
      <c r="K876" s="62"/>
      <c r="L876" s="239" t="str">
        <f>IFERROR(VLOOKUP($C876,'SINAPI MAIO 2020'!$1:$1048576,3,0),IFERROR(VLOOKUP($C876,'6-COMP. PROPRIA'!$B$1:$I$808,5,0),""))</f>
        <v/>
      </c>
      <c r="M876" s="104"/>
      <c r="N876" s="105"/>
    </row>
    <row r="877" spans="2:14" ht="17.25" customHeight="1">
      <c r="B877" s="164"/>
      <c r="C877" s="274" t="str">
        <f>'6-COMP. PROPRIA'!B109</f>
        <v>CP-PIN-4</v>
      </c>
      <c r="D877" s="275" t="s">
        <v>980</v>
      </c>
      <c r="E877" s="668" t="str">
        <f>IFERROR(VLOOKUP($C877,'SINAPI MAIO 2020'!$1:$1048576,2,0),IFERROR(VLOOKUP($C877,'6-COMP. PROPRIA'!$B$28:$I$808,4,0),""))</f>
        <v xml:space="preserve">PINTURA DE LOGOMARCA  E NOMENCLATURA </v>
      </c>
      <c r="F877" s="669"/>
      <c r="G877" s="669"/>
      <c r="H877" s="669"/>
      <c r="I877" s="669"/>
      <c r="J877" s="670"/>
      <c r="K877" s="212">
        <f>SUM(K880)</f>
        <v>6.4790000000000001</v>
      </c>
      <c r="L877" s="239" t="str">
        <f>IFERROR(VLOOKUP($C877,'SINAPI MAIO 2020'!$1:$1048576,3,0),IFERROR(VLOOKUP($C877,'6-COMP. PROPRIA'!$B$1:$I$808,5,0),""))</f>
        <v>M2</v>
      </c>
      <c r="M877" s="104"/>
      <c r="N877" s="105"/>
    </row>
    <row r="878" spans="2:14" ht="17.25" customHeight="1">
      <c r="B878" s="164"/>
      <c r="C878" s="20"/>
      <c r="D878" s="20"/>
      <c r="E878" s="238"/>
      <c r="F878" s="312"/>
      <c r="G878" s="680" t="s">
        <v>956</v>
      </c>
      <c r="H878" s="680"/>
      <c r="I878" s="680"/>
      <c r="J878" s="681"/>
      <c r="K878" s="212"/>
      <c r="L878" s="239" t="str">
        <f>IFERROR(VLOOKUP($C878,'SINAPI MAIO 2020'!$1:$1048576,3,0),IFERROR(VLOOKUP($C878,'6-COMP. PROPRIA'!$B$1:$I$808,5,0),""))</f>
        <v/>
      </c>
      <c r="M878" s="104"/>
      <c r="N878" s="105"/>
    </row>
    <row r="879" spans="2:14" ht="17.25" customHeight="1">
      <c r="B879" s="164"/>
      <c r="C879" s="20"/>
      <c r="D879" s="20"/>
      <c r="E879" s="75" t="s">
        <v>5304</v>
      </c>
      <c r="F879" s="309" t="s">
        <v>4492</v>
      </c>
      <c r="G879" s="311" t="s">
        <v>899</v>
      </c>
      <c r="H879" s="311" t="s">
        <v>898</v>
      </c>
      <c r="I879" s="311" t="s">
        <v>948</v>
      </c>
      <c r="J879" s="310" t="s">
        <v>955</v>
      </c>
      <c r="K879" s="212"/>
      <c r="L879" s="239" t="str">
        <f>IFERROR(VLOOKUP($C879,'SINAPI MAIO 2020'!$1:$1048576,3,0),IFERROR(VLOOKUP($C879,'6-COMP. PROPRIA'!$B$1:$I$808,5,0),""))</f>
        <v/>
      </c>
      <c r="M879" s="104"/>
      <c r="N879" s="105"/>
    </row>
    <row r="880" spans="2:14" ht="17.25" customHeight="1">
      <c r="B880" s="164"/>
      <c r="C880" s="70" t="s">
        <v>5305</v>
      </c>
      <c r="D880" s="20"/>
      <c r="E880" s="102">
        <f>11.78*1.1</f>
        <v>12.958</v>
      </c>
      <c r="F880" s="63">
        <v>0.5</v>
      </c>
      <c r="G880" s="240">
        <v>0</v>
      </c>
      <c r="H880" s="240">
        <v>0</v>
      </c>
      <c r="I880" s="240">
        <v>0</v>
      </c>
      <c r="J880" s="162">
        <f>G880*H880*I880</f>
        <v>0</v>
      </c>
      <c r="K880" s="62">
        <f>E880*F880</f>
        <v>6.4790000000000001</v>
      </c>
      <c r="L880" s="239" t="str">
        <f>IFERROR(VLOOKUP($C880,'SINAPI MAIO 2020'!$1:$1048576,3,0),IFERROR(VLOOKUP($C880,'6-COMP. PROPRIA'!$B$1:$I$808,5,0),""))</f>
        <v/>
      </c>
      <c r="M880" s="104"/>
      <c r="N880" s="105"/>
    </row>
    <row r="881" spans="2:14" s="142" customFormat="1" ht="17.25" customHeight="1">
      <c r="B881" s="168"/>
      <c r="C881" s="295"/>
      <c r="D881" s="91"/>
      <c r="E881" s="124"/>
      <c r="F881" s="49"/>
      <c r="G881" s="49"/>
      <c r="H881" s="49"/>
      <c r="I881" s="49"/>
      <c r="J881" s="162"/>
      <c r="K881" s="216"/>
      <c r="L881" s="239" t="str">
        <f>IFERROR(VLOOKUP($C881,'SINAPI MAIO 2020'!$1:$1048576,3,0),IFERROR(VLOOKUP($C881,'6-COMP. PROPRIA'!$B$1:$I$808,5,0),""))</f>
        <v/>
      </c>
      <c r="M881" s="145"/>
      <c r="N881" s="146"/>
    </row>
    <row r="882" spans="2:14" s="142" customFormat="1" ht="17.25" customHeight="1">
      <c r="B882" s="168"/>
      <c r="C882" s="274" t="str">
        <f>'6-COMP. PROPRIA'!B114</f>
        <v>CP-PIN-5</v>
      </c>
      <c r="D882" s="275" t="s">
        <v>980</v>
      </c>
      <c r="E882" s="668" t="str">
        <f>IFERROR(VLOOKUP($C882,'SINAPI MAIO 2020'!$1:$1048576,2,0),IFERROR(VLOOKUP($C882,'6-COMP. PROPRIA'!$B$28:$I$808,4,0),""))</f>
        <v xml:space="preserve">CAIAÇÃO COM ADOÇÃO DE FIXADOR COM DUAS DEMÃOS </v>
      </c>
      <c r="F882" s="669"/>
      <c r="G882" s="669"/>
      <c r="H882" s="669"/>
      <c r="I882" s="669"/>
      <c r="J882" s="670"/>
      <c r="K882" s="212">
        <f>SUM(K885:K886)</f>
        <v>454.12750000000005</v>
      </c>
      <c r="L882" s="239" t="str">
        <f>IFERROR(VLOOKUP($C882,'SINAPI MAIO 2020'!$1:$1048576,3,0),IFERROR(VLOOKUP($C882,'6-COMP. PROPRIA'!$B$1:$I$808,5,0),""))</f>
        <v>M2</v>
      </c>
      <c r="M882" s="145"/>
      <c r="N882" s="146"/>
    </row>
    <row r="883" spans="2:14" s="142" customFormat="1" ht="17.25" customHeight="1">
      <c r="B883" s="168"/>
      <c r="C883" s="20"/>
      <c r="D883" s="20"/>
      <c r="E883" s="238"/>
      <c r="F883" s="312"/>
      <c r="G883" s="680" t="s">
        <v>956</v>
      </c>
      <c r="H883" s="680"/>
      <c r="I883" s="680"/>
      <c r="J883" s="681"/>
      <c r="K883" s="212"/>
      <c r="L883" s="239" t="str">
        <f>IFERROR(VLOOKUP($C883,'SINAPI MAIO 2020'!$1:$1048576,3,0),IFERROR(VLOOKUP($C883,'6-COMP. PROPRIA'!$B$1:$I$808,5,0),""))</f>
        <v/>
      </c>
      <c r="M883" s="145"/>
      <c r="N883" s="146"/>
    </row>
    <row r="884" spans="2:14" s="142" customFormat="1" ht="17.25" customHeight="1">
      <c r="B884" s="168"/>
      <c r="C884" s="20"/>
      <c r="D884" s="20"/>
      <c r="E884" s="75" t="s">
        <v>5304</v>
      </c>
      <c r="F884" s="309" t="s">
        <v>4492</v>
      </c>
      <c r="G884" s="311" t="s">
        <v>899</v>
      </c>
      <c r="H884" s="311" t="s">
        <v>898</v>
      </c>
      <c r="I884" s="311" t="s">
        <v>948</v>
      </c>
      <c r="J884" s="310" t="s">
        <v>955</v>
      </c>
      <c r="K884" s="212"/>
      <c r="L884" s="239" t="str">
        <f>IFERROR(VLOOKUP($C884,'SINAPI MAIO 2020'!$1:$1048576,3,0),IFERROR(VLOOKUP($C884,'6-COMP. PROPRIA'!$B$1:$I$808,5,0),""))</f>
        <v/>
      </c>
      <c r="M884" s="145"/>
      <c r="N884" s="146"/>
    </row>
    <row r="885" spans="2:14" ht="17.25" customHeight="1">
      <c r="B885" s="168" t="s">
        <v>6196</v>
      </c>
      <c r="C885" s="20"/>
      <c r="D885" s="20"/>
      <c r="E885" s="102">
        <f>(22.02+6.12+11.82+21.48+9.44+32.7+31.83)*1.1</f>
        <v>148.95100000000002</v>
      </c>
      <c r="F885" s="63">
        <v>2.5</v>
      </c>
      <c r="G885" s="240">
        <v>0</v>
      </c>
      <c r="H885" s="240">
        <v>0</v>
      </c>
      <c r="I885" s="240"/>
      <c r="J885" s="162">
        <f>G885*H885*I885</f>
        <v>0</v>
      </c>
      <c r="K885" s="261">
        <f>E885*F885</f>
        <v>372.37750000000005</v>
      </c>
      <c r="L885" s="239" t="str">
        <f>IFERROR(VLOOKUP($C885,'SINAPI MAIO 2020'!$1:$1048576,3,0),IFERROR(VLOOKUP($C885,'6-COMP. PROPRIA'!$B$1:$I$808,5,0),""))</f>
        <v/>
      </c>
      <c r="M885" s="104"/>
      <c r="N885" s="105"/>
    </row>
    <row r="886" spans="2:14" ht="17.25" customHeight="1">
      <c r="B886" s="168" t="s">
        <v>6197</v>
      </c>
      <c r="C886" s="20"/>
      <c r="D886" s="20"/>
      <c r="E886" s="102">
        <v>32.700000000000003</v>
      </c>
      <c r="F886" s="63">
        <v>2.5</v>
      </c>
      <c r="G886" s="240">
        <v>0</v>
      </c>
      <c r="H886" s="240">
        <v>0</v>
      </c>
      <c r="I886" s="240"/>
      <c r="J886" s="103"/>
      <c r="K886" s="261">
        <f>E886*F886</f>
        <v>81.75</v>
      </c>
      <c r="L886" s="239" t="str">
        <f>IFERROR(VLOOKUP($C886,'SINAPI MAIO 2020'!$1:$1048576,3,0),IFERROR(VLOOKUP($C886,'6-COMP. PROPRIA'!$B$1:$I$808,5,0),""))</f>
        <v/>
      </c>
      <c r="M886" s="104"/>
      <c r="N886" s="105"/>
    </row>
    <row r="887" spans="2:14" ht="17.25" customHeight="1" thickBot="1">
      <c r="B887" s="168"/>
      <c r="C887" s="20"/>
      <c r="D887" s="20"/>
      <c r="E887" s="238"/>
      <c r="F887" s="312"/>
      <c r="G887" s="312"/>
      <c r="H887" s="312"/>
      <c r="I887" s="312"/>
      <c r="J887" s="103"/>
      <c r="K887" s="261"/>
      <c r="L887" s="239" t="str">
        <f>IFERROR(VLOOKUP($C887,'SINAPI MAIO 2020'!$1:$1048576,3,0),IFERROR(VLOOKUP($C887,'6-COMP. PROPRIA'!$B$1:$I$808,5,0),""))</f>
        <v/>
      </c>
      <c r="M887" s="104"/>
      <c r="N887" s="105"/>
    </row>
    <row r="888" spans="2:14" ht="17.25" customHeight="1" thickBot="1">
      <c r="B888" s="164"/>
      <c r="C888" s="20"/>
      <c r="D888" s="277"/>
      <c r="E888" s="674" t="s">
        <v>6275</v>
      </c>
      <c r="F888" s="675"/>
      <c r="G888" s="675"/>
      <c r="H888" s="675"/>
      <c r="I888" s="675"/>
      <c r="J888" s="676"/>
      <c r="K888" s="211"/>
      <c r="L888" s="239" t="str">
        <f>IFERROR(VLOOKUP($C888,'SINAPI MAIO 2020'!$1:$1048576,3,0),IFERROR(VLOOKUP($C888,'6-COMP. PROPRIA'!$B$1:$I$808,5,0),""))</f>
        <v/>
      </c>
      <c r="M888" s="104"/>
      <c r="N888" s="105"/>
    </row>
    <row r="889" spans="2:14" ht="17.25" customHeight="1">
      <c r="B889" s="164"/>
      <c r="C889" s="20"/>
      <c r="D889" s="20"/>
      <c r="E889" s="238"/>
      <c r="F889" s="312"/>
      <c r="G889" s="312"/>
      <c r="H889" s="312"/>
      <c r="I889" s="312"/>
      <c r="J889" s="103"/>
      <c r="K889" s="211"/>
      <c r="L889" s="239" t="str">
        <f>IFERROR(VLOOKUP($C889,'SINAPI MAIO 2020'!$1:$1048576,3,0),IFERROR(VLOOKUP($C889,'6-COMP. PROPRIA'!$B$1:$I$808,5,0),""))</f>
        <v/>
      </c>
      <c r="M889" s="104"/>
      <c r="N889" s="105"/>
    </row>
    <row r="890" spans="2:14" s="144" customFormat="1" ht="39.75" customHeight="1">
      <c r="B890" s="164"/>
      <c r="C890" s="275">
        <v>100757</v>
      </c>
      <c r="D890" s="275" t="s">
        <v>8</v>
      </c>
      <c r="E890" s="668" t="str">
        <f>IFERROR(VLOOKUP($C890,'SINAPI MAIO 2020'!$1:$1048576,2,0),IFERROR(VLOOKUP($C890,'6-COMP. PROPRIA'!$B$28:$I$808,4,0),""))</f>
        <v>PINTURA COM TINTA ALQUÍDICA DE ACABAMENTO (ESMALTE SINTÉTICO ACETINADO) PULVERIZADA SOBRE SUPERFÍCIES METÁLICAS (EXCETO PERFIL) EXECUTADO EM OBRA (02 DEMÃOS). AF_01/2020</v>
      </c>
      <c r="F890" s="669"/>
      <c r="G890" s="669"/>
      <c r="H890" s="669"/>
      <c r="I890" s="669"/>
      <c r="J890" s="670"/>
      <c r="K890" s="212">
        <f>SUM(K893:K895)</f>
        <v>215.00000000000003</v>
      </c>
      <c r="L890" s="239" t="str">
        <f>IFERROR(VLOOKUP($C890,'SINAPI MAIO 2020'!$1:$1048576,3,0),IFERROR(VLOOKUP($C890,'6-COMP. PROPRIA'!$B$1:$I$808,5,0),""))</f>
        <v>M2</v>
      </c>
      <c r="M890" s="104"/>
      <c r="N890" s="112"/>
    </row>
    <row r="891" spans="2:14" s="144" customFormat="1" ht="17.25" customHeight="1">
      <c r="B891" s="164"/>
      <c r="C891" s="70" t="s">
        <v>5319</v>
      </c>
      <c r="D891" s="70"/>
      <c r="E891" s="114"/>
      <c r="F891" s="311"/>
      <c r="G891" s="680" t="s">
        <v>956</v>
      </c>
      <c r="H891" s="680"/>
      <c r="I891" s="680"/>
      <c r="J891" s="681"/>
      <c r="K891" s="212"/>
      <c r="L891" s="239" t="str">
        <f>IFERROR(VLOOKUP($C891,'SINAPI MAIO 2020'!$1:$1048576,3,0),IFERROR(VLOOKUP($C891,'6-COMP. PROPRIA'!$B$1:$I$808,5,0),""))</f>
        <v/>
      </c>
      <c r="M891" s="104"/>
      <c r="N891" s="112"/>
    </row>
    <row r="892" spans="2:14" s="144" customFormat="1" ht="17.25" customHeight="1">
      <c r="B892" s="164"/>
      <c r="C892" s="70"/>
      <c r="D892" s="70"/>
      <c r="E892" s="75" t="s">
        <v>6137</v>
      </c>
      <c r="F892" s="309" t="s">
        <v>6138</v>
      </c>
      <c r="G892" s="311" t="s">
        <v>899</v>
      </c>
      <c r="H892" s="311" t="s">
        <v>898</v>
      </c>
      <c r="I892" s="311" t="s">
        <v>948</v>
      </c>
      <c r="J892" s="310" t="s">
        <v>955</v>
      </c>
      <c r="K892" s="212"/>
      <c r="L892" s="239" t="str">
        <f>IFERROR(VLOOKUP($C892,'SINAPI MAIO 2020'!$1:$1048576,3,0),IFERROR(VLOOKUP($C892,'6-COMP. PROPRIA'!$B$1:$I$808,5,0),""))</f>
        <v/>
      </c>
      <c r="M892" s="104"/>
      <c r="N892" s="112"/>
    </row>
    <row r="893" spans="2:14" s="144" customFormat="1" ht="17.25" customHeight="1">
      <c r="B893" s="164" t="s">
        <v>6134</v>
      </c>
      <c r="C893" s="70"/>
      <c r="D893" s="70"/>
      <c r="E893" s="113">
        <f>K452</f>
        <v>52</v>
      </c>
      <c r="F893" s="66">
        <v>3</v>
      </c>
      <c r="G893" s="278">
        <v>0</v>
      </c>
      <c r="H893" s="278">
        <v>0</v>
      </c>
      <c r="I893" s="278">
        <v>0</v>
      </c>
      <c r="J893" s="162">
        <f>G893*H893*I893</f>
        <v>0</v>
      </c>
      <c r="K893" s="62">
        <f>E893*F893-J893</f>
        <v>156</v>
      </c>
      <c r="L893" s="239" t="str">
        <f>IFERROR(VLOOKUP($C893,'SINAPI MAIO 2020'!$1:$1048576,3,0),IFERROR(VLOOKUP($C893,'6-COMP. PROPRIA'!$B$1:$I$808,5,0),""))</f>
        <v/>
      </c>
      <c r="M893" s="104"/>
      <c r="N893" s="112"/>
    </row>
    <row r="894" spans="2:14" s="144" customFormat="1" ht="17.25" customHeight="1">
      <c r="B894" s="164" t="s">
        <v>6135</v>
      </c>
      <c r="C894" s="70"/>
      <c r="D894" s="70"/>
      <c r="E894" s="113">
        <f>K446</f>
        <v>27.300000000000004</v>
      </c>
      <c r="F894" s="66">
        <v>2</v>
      </c>
      <c r="G894" s="278"/>
      <c r="H894" s="278"/>
      <c r="I894" s="278"/>
      <c r="J894" s="162"/>
      <c r="K894" s="62">
        <f t="shared" ref="K894:K895" si="56">E894*F894-J894</f>
        <v>54.600000000000009</v>
      </c>
      <c r="L894" s="239" t="str">
        <f>IFERROR(VLOOKUP($C894,'SINAPI MAIO 2020'!$1:$1048576,3,0),IFERROR(VLOOKUP($C894,'6-COMP. PROPRIA'!$B$1:$I$808,5,0),""))</f>
        <v/>
      </c>
      <c r="M894" s="104"/>
      <c r="N894" s="112"/>
    </row>
    <row r="895" spans="2:14" s="144" customFormat="1" ht="17.25" customHeight="1">
      <c r="B895" s="164" t="s">
        <v>6136</v>
      </c>
      <c r="C895" s="70"/>
      <c r="D895" s="70"/>
      <c r="E895" s="113">
        <f>1*2.2</f>
        <v>2.2000000000000002</v>
      </c>
      <c r="F895" s="66">
        <v>2</v>
      </c>
      <c r="G895" s="278"/>
      <c r="H895" s="278"/>
      <c r="I895" s="278"/>
      <c r="J895" s="162"/>
      <c r="K895" s="62">
        <f t="shared" si="56"/>
        <v>4.4000000000000004</v>
      </c>
      <c r="L895" s="239" t="str">
        <f>IFERROR(VLOOKUP($C895,'SINAPI MAIO 2020'!$1:$1048576,3,0),IFERROR(VLOOKUP($C895,'6-COMP. PROPRIA'!$B$1:$I$808,5,0),""))</f>
        <v/>
      </c>
      <c r="M895" s="104"/>
      <c r="N895" s="112"/>
    </row>
    <row r="896" spans="2:14" s="142" customFormat="1" ht="17.25" customHeight="1" thickBot="1">
      <c r="B896" s="168"/>
      <c r="C896" s="244"/>
      <c r="D896" s="244"/>
      <c r="E896" s="258"/>
      <c r="F896" s="259"/>
      <c r="G896" s="259"/>
      <c r="H896" s="259"/>
      <c r="I896" s="259"/>
      <c r="J896" s="263"/>
      <c r="K896" s="264"/>
      <c r="L896" s="239" t="str">
        <f>IFERROR(VLOOKUP($C896,'SINAPI MAIO 2020'!$1:$1048576,3,0),IFERROR(VLOOKUP($C896,'6-COMP. PROPRIA'!$B$1:$I$808,5,0),""))</f>
        <v/>
      </c>
      <c r="M896" s="265"/>
      <c r="N896" s="146"/>
    </row>
    <row r="897" spans="2:14" ht="17.25" customHeight="1" thickBot="1">
      <c r="B897" s="164"/>
      <c r="C897" s="20"/>
      <c r="D897" s="277"/>
      <c r="E897" s="674" t="s">
        <v>5318</v>
      </c>
      <c r="F897" s="675"/>
      <c r="G897" s="675"/>
      <c r="H897" s="675"/>
      <c r="I897" s="675"/>
      <c r="J897" s="676"/>
      <c r="K897" s="211"/>
      <c r="L897" s="239" t="str">
        <f>IFERROR(VLOOKUP($C897,'SINAPI MAIO 2020'!$1:$1048576,3,0),IFERROR(VLOOKUP($C897,'6-COMP. PROPRIA'!$B$1:$I$808,5,0),""))</f>
        <v/>
      </c>
      <c r="M897" s="104"/>
      <c r="N897" s="105"/>
    </row>
    <row r="898" spans="2:14" ht="17.25" customHeight="1">
      <c r="B898" s="164"/>
      <c r="C898" s="20"/>
      <c r="D898" s="20"/>
      <c r="E898" s="238"/>
      <c r="F898" s="312"/>
      <c r="G898" s="312"/>
      <c r="H898" s="312"/>
      <c r="I898" s="312"/>
      <c r="J898" s="103"/>
      <c r="K898" s="211"/>
      <c r="L898" s="239" t="str">
        <f>IFERROR(VLOOKUP($C898,'SINAPI MAIO 2020'!$1:$1048576,3,0),IFERROR(VLOOKUP($C898,'6-COMP. PROPRIA'!$B$1:$I$808,5,0),""))</f>
        <v/>
      </c>
      <c r="M898" s="104"/>
      <c r="N898" s="105"/>
    </row>
    <row r="899" spans="2:14" ht="17.25" customHeight="1">
      <c r="B899" s="164"/>
      <c r="C899" s="275" t="s">
        <v>4442</v>
      </c>
      <c r="D899" s="275" t="s">
        <v>8</v>
      </c>
      <c r="E899" s="668" t="str">
        <f>IFERROR(VLOOKUP($C899,'SINAPI MAIO 2020'!$1:$1048576,2,0),IFERROR(VLOOKUP($C899,'6-COMP. PROPRIA'!$B$28:$I$808,4,0),""))</f>
        <v>PINTURA ACRILICA EM PISO CIMENTADO DUAS DEMAOS</v>
      </c>
      <c r="F899" s="669"/>
      <c r="G899" s="669"/>
      <c r="H899" s="669"/>
      <c r="I899" s="669"/>
      <c r="J899" s="670"/>
      <c r="K899" s="212">
        <f>SUM(K902:K903)</f>
        <v>164.18</v>
      </c>
      <c r="L899" s="239" t="str">
        <f>IFERROR(VLOOKUP($C899,'SINAPI MAIO 2020'!$1:$1048576,3,0),IFERROR(VLOOKUP($C899,'6-COMP. PROPRIA'!$B$1:$I$808,5,0),""))</f>
        <v>M2</v>
      </c>
      <c r="M899" s="104"/>
      <c r="N899" s="105"/>
    </row>
    <row r="900" spans="2:14" ht="17.25" customHeight="1">
      <c r="B900" s="164"/>
      <c r="C900" s="20"/>
      <c r="D900" s="20"/>
      <c r="E900" s="238"/>
      <c r="F900" s="312"/>
      <c r="G900" s="680" t="s">
        <v>956</v>
      </c>
      <c r="H900" s="680"/>
      <c r="I900" s="680"/>
      <c r="J900" s="681"/>
      <c r="K900" s="212"/>
      <c r="L900" s="239" t="str">
        <f>IFERROR(VLOOKUP($C900,'SINAPI MAIO 2020'!$1:$1048576,3,0),IFERROR(VLOOKUP($C900,'6-COMP. PROPRIA'!$B$1:$I$808,5,0),""))</f>
        <v/>
      </c>
      <c r="M900" s="104"/>
      <c r="N900" s="105"/>
    </row>
    <row r="901" spans="2:14" ht="17.25" customHeight="1">
      <c r="B901" s="164"/>
      <c r="C901" s="20"/>
      <c r="D901" s="20"/>
      <c r="E901" s="75" t="s">
        <v>5304</v>
      </c>
      <c r="F901" s="309" t="s">
        <v>4492</v>
      </c>
      <c r="G901" s="311" t="s">
        <v>899</v>
      </c>
      <c r="H901" s="311" t="s">
        <v>898</v>
      </c>
      <c r="I901" s="311" t="s">
        <v>948</v>
      </c>
      <c r="J901" s="310" t="s">
        <v>955</v>
      </c>
      <c r="K901" s="212"/>
      <c r="L901" s="239" t="str">
        <f>IFERROR(VLOOKUP($C901,'SINAPI MAIO 2020'!$1:$1048576,3,0),IFERROR(VLOOKUP($C901,'6-COMP. PROPRIA'!$B$1:$I$808,5,0),""))</f>
        <v/>
      </c>
      <c r="M901" s="104"/>
      <c r="N901" s="105"/>
    </row>
    <row r="902" spans="2:14" ht="33" customHeight="1">
      <c r="B902" s="164" t="s">
        <v>6139</v>
      </c>
      <c r="C902" s="70"/>
      <c r="D902" s="20"/>
      <c r="E902" s="102">
        <f>K519</f>
        <v>164.18</v>
      </c>
      <c r="F902" s="63">
        <v>1</v>
      </c>
      <c r="G902" s="240">
        <v>0</v>
      </c>
      <c r="H902" s="240">
        <v>0</v>
      </c>
      <c r="I902" s="240">
        <v>0</v>
      </c>
      <c r="J902" s="162">
        <f>G902*H902*I902</f>
        <v>0</v>
      </c>
      <c r="K902" s="62">
        <f>E902*F902-J902</f>
        <v>164.18</v>
      </c>
      <c r="L902" s="239" t="str">
        <f>IFERROR(VLOOKUP($C902,'SINAPI MAIO 2020'!$1:$1048576,3,0),IFERROR(VLOOKUP($C902,'6-COMP. PROPRIA'!$B$1:$I$808,5,0),""))</f>
        <v/>
      </c>
      <c r="M902" s="104"/>
      <c r="N902" s="105"/>
    </row>
    <row r="903" spans="2:14" ht="17.25" customHeight="1" thickBot="1">
      <c r="B903" s="164"/>
      <c r="C903" s="20"/>
      <c r="D903" s="20"/>
      <c r="E903" s="238"/>
      <c r="F903" s="312"/>
      <c r="G903" s="312"/>
      <c r="H903" s="312"/>
      <c r="I903" s="312"/>
      <c r="J903" s="103"/>
      <c r="K903" s="211"/>
      <c r="L903" s="239" t="str">
        <f>IFERROR(VLOOKUP($C903,'SINAPI MAIO 2020'!$1:$1048576,3,0),IFERROR(VLOOKUP($C903,'6-COMP. PROPRIA'!$B$1:$I$808,5,0),""))</f>
        <v/>
      </c>
      <c r="M903" s="104"/>
      <c r="N903" s="105"/>
    </row>
    <row r="904" spans="2:14" ht="17.25" customHeight="1" thickBot="1">
      <c r="B904" s="164"/>
      <c r="C904" s="20"/>
      <c r="D904" s="277"/>
      <c r="E904" s="674" t="s">
        <v>14804</v>
      </c>
      <c r="F904" s="675"/>
      <c r="G904" s="675"/>
      <c r="H904" s="675"/>
      <c r="I904" s="675"/>
      <c r="J904" s="676"/>
      <c r="K904" s="211"/>
      <c r="L904" s="239" t="str">
        <f>IFERROR(VLOOKUP($C904,'SINAPI MAIO 2020'!$1:$1048576,3,0),IFERROR(VLOOKUP($C904,'6-COMP. PROPRIA'!$B$1:$I$808,5,0),""))</f>
        <v/>
      </c>
      <c r="M904" s="104"/>
      <c r="N904" s="105"/>
    </row>
    <row r="905" spans="2:14" ht="17.25" customHeight="1" thickBot="1">
      <c r="B905" s="164"/>
      <c r="C905" s="20"/>
      <c r="D905" s="20"/>
      <c r="E905" s="674" t="s">
        <v>6141</v>
      </c>
      <c r="F905" s="675"/>
      <c r="G905" s="675"/>
      <c r="H905" s="675"/>
      <c r="I905" s="675"/>
      <c r="J905" s="676"/>
      <c r="K905" s="211"/>
      <c r="L905" s="239" t="str">
        <f>IFERROR(VLOOKUP($C905,'SINAPI MAIO 2020'!$1:$1048576,3,0),IFERROR(VLOOKUP($C905,'6-COMP. PROPRIA'!$B$1:$I$808,5,0),""))</f>
        <v/>
      </c>
      <c r="M905" s="104"/>
      <c r="N905" s="105"/>
    </row>
    <row r="906" spans="2:14" ht="17.25" customHeight="1">
      <c r="B906" s="164"/>
      <c r="C906" s="20"/>
      <c r="D906" s="20"/>
      <c r="E906" s="238"/>
      <c r="F906" s="312"/>
      <c r="G906" s="312"/>
      <c r="H906" s="312"/>
      <c r="I906" s="312"/>
      <c r="J906" s="103"/>
      <c r="K906" s="211"/>
      <c r="L906" s="239" t="str">
        <f>IFERROR(VLOOKUP($C906,'SINAPI MAIO 2020'!$1:$1048576,3,0),IFERROR(VLOOKUP($C906,'6-COMP. PROPRIA'!$B$1:$I$808,5,0),""))</f>
        <v/>
      </c>
      <c r="M906" s="104"/>
      <c r="N906" s="105"/>
    </row>
    <row r="907" spans="2:14" ht="24" customHeight="1">
      <c r="B907" s="164"/>
      <c r="C907" s="274">
        <v>97622</v>
      </c>
      <c r="D907" s="275" t="s">
        <v>8</v>
      </c>
      <c r="E907" s="668" t="str">
        <f>IFERROR(VLOOKUP($C907,'SINAPI MAIO 2020'!$1:$1048576,2,0),IFERROR(VLOOKUP($C907,'6-COMP. PROPRIA'!$B$28:$I$808,4,0),""))</f>
        <v>DEMOLIÇÃO DE ALVENARIA DE BLOCO FURADO, DE FORMA MANUAL, SEM REAPROVEITAMENTO. AF_12/2017</v>
      </c>
      <c r="F907" s="669"/>
      <c r="G907" s="669"/>
      <c r="H907" s="669"/>
      <c r="I907" s="669"/>
      <c r="J907" s="670"/>
      <c r="K907" s="212">
        <f>SUM(K909:K922)*1.1</f>
        <v>0.53410500000000016</v>
      </c>
      <c r="L907" s="239" t="str">
        <f>IFERROR(VLOOKUP($C907,'SINAPI MAIO 2020'!$1:$1048576,3,0),IFERROR(VLOOKUP($C907,'6-COMP. PROPRIA'!$B$1:$I$808,5,0),""))</f>
        <v>M3</v>
      </c>
      <c r="M907" s="43">
        <f>K907</f>
        <v>0.53410500000000016</v>
      </c>
      <c r="N907" s="121" t="s">
        <v>41</v>
      </c>
    </row>
    <row r="908" spans="2:14" ht="30" customHeight="1">
      <c r="B908" s="164"/>
      <c r="C908" s="91"/>
      <c r="D908" s="91"/>
      <c r="E908" s="75" t="s">
        <v>987</v>
      </c>
      <c r="F908" s="309" t="s">
        <v>988</v>
      </c>
      <c r="G908" s="311" t="s">
        <v>6144</v>
      </c>
      <c r="H908" s="309" t="s">
        <v>922</v>
      </c>
      <c r="I908" s="49"/>
      <c r="J908" s="125"/>
      <c r="K908" s="216"/>
      <c r="L908" s="239" t="str">
        <f>IFERROR(VLOOKUP($C908,'SINAPI MAIO 2020'!$1:$1048576,3,0),IFERROR(VLOOKUP($C908,'6-COMP. PROPRIA'!$B$1:$I$808,5,0),""))</f>
        <v/>
      </c>
      <c r="M908" s="128"/>
      <c r="N908" s="121"/>
    </row>
    <row r="909" spans="2:14" ht="17.25" customHeight="1">
      <c r="B909" s="164" t="s">
        <v>6142</v>
      </c>
      <c r="C909" s="20"/>
      <c r="D909" s="20"/>
      <c r="E909" s="102">
        <v>0.2</v>
      </c>
      <c r="F909" s="63">
        <v>3</v>
      </c>
      <c r="G909" s="63">
        <v>0.05</v>
      </c>
      <c r="H909" s="63">
        <v>2</v>
      </c>
      <c r="I909" s="312"/>
      <c r="J909" s="103"/>
      <c r="K909" s="211">
        <f>H909*G909*F909*E909</f>
        <v>6.0000000000000012E-2</v>
      </c>
      <c r="L909" s="239" t="str">
        <f>IFERROR(VLOOKUP($C909,'SINAPI MAIO 2020'!$1:$1048576,3,0),IFERROR(VLOOKUP($C909,'6-COMP. PROPRIA'!$B$1:$I$808,5,0),""))</f>
        <v/>
      </c>
      <c r="M909" s="104"/>
      <c r="N909" s="105"/>
    </row>
    <row r="910" spans="2:14" ht="17.25" customHeight="1">
      <c r="B910" s="164" t="s">
        <v>6143</v>
      </c>
      <c r="C910" s="20"/>
      <c r="D910" s="20"/>
      <c r="E910" s="102">
        <v>0.2</v>
      </c>
      <c r="F910" s="63">
        <v>3</v>
      </c>
      <c r="G910" s="63">
        <v>0.05</v>
      </c>
      <c r="H910" s="63">
        <v>1</v>
      </c>
      <c r="I910" s="312"/>
      <c r="J910" s="103"/>
      <c r="K910" s="211">
        <f t="shared" ref="K910:K922" si="57">H910*G910*F910*E910</f>
        <v>3.0000000000000006E-2</v>
      </c>
      <c r="L910" s="239" t="str">
        <f>IFERROR(VLOOKUP($C910,'SINAPI MAIO 2020'!$1:$1048576,3,0),IFERROR(VLOOKUP($C910,'6-COMP. PROPRIA'!$B$1:$I$808,5,0),""))</f>
        <v/>
      </c>
      <c r="M910" s="104"/>
      <c r="N910" s="105"/>
    </row>
    <row r="911" spans="2:14" ht="17.25" customHeight="1">
      <c r="B911" s="164" t="s">
        <v>6145</v>
      </c>
      <c r="C911" s="20"/>
      <c r="D911" s="20"/>
      <c r="E911" s="102">
        <v>0.15</v>
      </c>
      <c r="F911" s="63">
        <v>2.8</v>
      </c>
      <c r="G911" s="63">
        <v>0.05</v>
      </c>
      <c r="H911" s="63">
        <v>5</v>
      </c>
      <c r="I911" s="312"/>
      <c r="J911" s="103"/>
      <c r="K911" s="211">
        <f t="shared" si="57"/>
        <v>0.105</v>
      </c>
      <c r="L911" s="239" t="str">
        <f>IFERROR(VLOOKUP($C911,'SINAPI MAIO 2020'!$1:$1048576,3,0),IFERROR(VLOOKUP($C911,'6-COMP. PROPRIA'!$B$1:$I$808,5,0),""))</f>
        <v/>
      </c>
      <c r="M911" s="104"/>
      <c r="N911" s="105"/>
    </row>
    <row r="912" spans="2:14" ht="17.25" customHeight="1">
      <c r="B912" s="164" t="s">
        <v>6145</v>
      </c>
      <c r="C912" s="20"/>
      <c r="D912" s="20"/>
      <c r="E912" s="102">
        <v>0.15</v>
      </c>
      <c r="F912" s="63">
        <v>2</v>
      </c>
      <c r="G912" s="63">
        <v>0.05</v>
      </c>
      <c r="H912" s="63">
        <v>1</v>
      </c>
      <c r="I912" s="312"/>
      <c r="J912" s="103"/>
      <c r="K912" s="211">
        <f t="shared" si="57"/>
        <v>1.4999999999999999E-2</v>
      </c>
      <c r="L912" s="239" t="str">
        <f>IFERROR(VLOOKUP($C912,'SINAPI MAIO 2020'!$1:$1048576,3,0),IFERROR(VLOOKUP($C912,'6-COMP. PROPRIA'!$B$1:$I$808,5,0),""))</f>
        <v/>
      </c>
      <c r="M912" s="104"/>
      <c r="N912" s="105"/>
    </row>
    <row r="913" spans="2:14" ht="17.25" customHeight="1">
      <c r="B913" s="164" t="s">
        <v>6145</v>
      </c>
      <c r="C913" s="20"/>
      <c r="D913" s="20"/>
      <c r="E913" s="102">
        <v>0.15</v>
      </c>
      <c r="F913" s="63">
        <v>2.4</v>
      </c>
      <c r="G913" s="63">
        <v>0.05</v>
      </c>
      <c r="H913" s="63">
        <v>6</v>
      </c>
      <c r="I913" s="312"/>
      <c r="J913" s="103"/>
      <c r="K913" s="211">
        <f t="shared" si="57"/>
        <v>0.10800000000000001</v>
      </c>
      <c r="L913" s="239" t="str">
        <f>IFERROR(VLOOKUP($C913,'SINAPI MAIO 2020'!$1:$1048576,3,0),IFERROR(VLOOKUP($C913,'6-COMP. PROPRIA'!$B$1:$I$808,5,0),""))</f>
        <v/>
      </c>
      <c r="M913" s="104"/>
      <c r="N913" s="105"/>
    </row>
    <row r="914" spans="2:14" ht="17.25" customHeight="1">
      <c r="B914" s="164" t="s">
        <v>6145</v>
      </c>
      <c r="C914" s="20"/>
      <c r="D914" s="20"/>
      <c r="E914" s="102">
        <v>0.15</v>
      </c>
      <c r="F914" s="63">
        <v>2.1</v>
      </c>
      <c r="G914" s="63">
        <v>0.05</v>
      </c>
      <c r="H914" s="63">
        <v>6</v>
      </c>
      <c r="I914" s="312"/>
      <c r="J914" s="103"/>
      <c r="K914" s="211">
        <f t="shared" si="57"/>
        <v>9.4500000000000015E-2</v>
      </c>
      <c r="L914" s="239" t="str">
        <f>IFERROR(VLOOKUP($C914,'SINAPI MAIO 2020'!$1:$1048576,3,0),IFERROR(VLOOKUP($C914,'6-COMP. PROPRIA'!$B$1:$I$808,5,0),""))</f>
        <v/>
      </c>
      <c r="M914" s="104"/>
      <c r="N914" s="105"/>
    </row>
    <row r="915" spans="2:14" ht="17.25" customHeight="1">
      <c r="B915" s="164" t="s">
        <v>6152</v>
      </c>
      <c r="C915" s="20"/>
      <c r="D915" s="20"/>
      <c r="E915" s="102">
        <v>0.15</v>
      </c>
      <c r="F915" s="63">
        <v>1.2</v>
      </c>
      <c r="G915" s="63">
        <v>0.05</v>
      </c>
      <c r="H915" s="63">
        <v>2</v>
      </c>
      <c r="I915" s="312"/>
      <c r="J915" s="103"/>
      <c r="K915" s="211">
        <f t="shared" si="57"/>
        <v>1.7999999999999999E-2</v>
      </c>
      <c r="L915" s="239" t="str">
        <f>IFERROR(VLOOKUP($C915,'SINAPI MAIO 2020'!$1:$1048576,3,0),IFERROR(VLOOKUP($C915,'6-COMP. PROPRIA'!$B$1:$I$808,5,0),""))</f>
        <v/>
      </c>
      <c r="M915" s="104"/>
      <c r="N915" s="105"/>
    </row>
    <row r="916" spans="2:14" ht="17.25" customHeight="1">
      <c r="B916" s="164" t="s">
        <v>6152</v>
      </c>
      <c r="C916" s="20"/>
      <c r="D916" s="20"/>
      <c r="E916" s="102">
        <v>0.15</v>
      </c>
      <c r="F916" s="63">
        <v>0.8</v>
      </c>
      <c r="G916" s="63">
        <v>0.05</v>
      </c>
      <c r="H916" s="63">
        <v>2</v>
      </c>
      <c r="I916" s="312"/>
      <c r="J916" s="103"/>
      <c r="K916" s="211">
        <f t="shared" si="57"/>
        <v>1.2000000000000002E-2</v>
      </c>
      <c r="L916" s="239" t="str">
        <f>IFERROR(VLOOKUP($C916,'SINAPI MAIO 2020'!$1:$1048576,3,0),IFERROR(VLOOKUP($C916,'6-COMP. PROPRIA'!$B$1:$I$808,5,0),""))</f>
        <v/>
      </c>
      <c r="M916" s="104"/>
      <c r="N916" s="105"/>
    </row>
    <row r="917" spans="2:14" ht="17.25" customHeight="1">
      <c r="B917" s="164" t="s">
        <v>6152</v>
      </c>
      <c r="C917" s="20"/>
      <c r="D917" s="20"/>
      <c r="E917" s="102">
        <v>0.15</v>
      </c>
      <c r="F917" s="63">
        <f>0.45+0.45</f>
        <v>0.9</v>
      </c>
      <c r="G917" s="63">
        <v>0.05</v>
      </c>
      <c r="H917" s="63">
        <v>2</v>
      </c>
      <c r="I917" s="312"/>
      <c r="J917" s="103"/>
      <c r="K917" s="211">
        <f t="shared" si="57"/>
        <v>1.3500000000000002E-2</v>
      </c>
      <c r="L917" s="239" t="str">
        <f>IFERROR(VLOOKUP($C917,'SINAPI MAIO 2020'!$1:$1048576,3,0),IFERROR(VLOOKUP($C917,'6-COMP. PROPRIA'!$B$1:$I$808,5,0),""))</f>
        <v/>
      </c>
      <c r="M917" s="104"/>
      <c r="N917" s="105"/>
    </row>
    <row r="918" spans="2:14" ht="17.25" customHeight="1">
      <c r="B918" s="164" t="s">
        <v>6152</v>
      </c>
      <c r="C918" s="20"/>
      <c r="D918" s="20"/>
      <c r="E918" s="102">
        <v>0.15</v>
      </c>
      <c r="F918" s="63">
        <v>0.3</v>
      </c>
      <c r="G918" s="63">
        <v>0.05</v>
      </c>
      <c r="H918" s="63">
        <v>1</v>
      </c>
      <c r="I918" s="312"/>
      <c r="J918" s="103"/>
      <c r="K918" s="211">
        <f t="shared" si="57"/>
        <v>2.2499999999999998E-3</v>
      </c>
      <c r="L918" s="239" t="str">
        <f>IFERROR(VLOOKUP($C918,'SINAPI MAIO 2020'!$1:$1048576,3,0),IFERROR(VLOOKUP($C918,'6-COMP. PROPRIA'!$B$1:$I$808,5,0),""))</f>
        <v/>
      </c>
      <c r="M918" s="104"/>
      <c r="N918" s="105"/>
    </row>
    <row r="919" spans="2:14" ht="17.25" customHeight="1">
      <c r="B919" s="164" t="s">
        <v>6152</v>
      </c>
      <c r="C919" s="20"/>
      <c r="D919" s="20"/>
      <c r="E919" s="102">
        <v>0.15</v>
      </c>
      <c r="F919" s="63">
        <v>0.9</v>
      </c>
      <c r="G919" s="63">
        <v>0.05</v>
      </c>
      <c r="H919" s="63">
        <v>1</v>
      </c>
      <c r="I919" s="312"/>
      <c r="J919" s="103"/>
      <c r="K919" s="211">
        <f t="shared" si="57"/>
        <v>6.7500000000000008E-3</v>
      </c>
      <c r="L919" s="239" t="str">
        <f>IFERROR(VLOOKUP($C919,'SINAPI MAIO 2020'!$1:$1048576,3,0),IFERROR(VLOOKUP($C919,'6-COMP. PROPRIA'!$B$1:$I$808,5,0),""))</f>
        <v/>
      </c>
      <c r="M919" s="104"/>
      <c r="N919" s="105"/>
    </row>
    <row r="920" spans="2:14" ht="17.25" customHeight="1">
      <c r="B920" s="164" t="s">
        <v>6152</v>
      </c>
      <c r="C920" s="20"/>
      <c r="D920" s="20"/>
      <c r="E920" s="102">
        <v>0.15</v>
      </c>
      <c r="F920" s="63">
        <v>0.8</v>
      </c>
      <c r="G920" s="63">
        <v>0.05</v>
      </c>
      <c r="H920" s="63">
        <v>1</v>
      </c>
      <c r="I920" s="312"/>
      <c r="J920" s="103"/>
      <c r="K920" s="211">
        <f t="shared" si="57"/>
        <v>6.000000000000001E-3</v>
      </c>
      <c r="L920" s="239" t="str">
        <f>IFERROR(VLOOKUP($C920,'SINAPI MAIO 2020'!$1:$1048576,3,0),IFERROR(VLOOKUP($C920,'6-COMP. PROPRIA'!$B$1:$I$808,5,0),""))</f>
        <v/>
      </c>
      <c r="M920" s="104"/>
      <c r="N920" s="105"/>
    </row>
    <row r="921" spans="2:14" ht="17.25" customHeight="1">
      <c r="B921" s="164" t="s">
        <v>6152</v>
      </c>
      <c r="C921" s="20"/>
      <c r="D921" s="20"/>
      <c r="E921" s="102">
        <v>0.15</v>
      </c>
      <c r="F921" s="63">
        <f>0.34+0.34</f>
        <v>0.68</v>
      </c>
      <c r="G921" s="63">
        <v>0.05</v>
      </c>
      <c r="H921" s="63">
        <v>2</v>
      </c>
      <c r="I921" s="312"/>
      <c r="J921" s="103"/>
      <c r="K921" s="211">
        <f t="shared" si="57"/>
        <v>1.0200000000000001E-2</v>
      </c>
      <c r="L921" s="239" t="str">
        <f>IFERROR(VLOOKUP($C921,'SINAPI MAIO 2020'!$1:$1048576,3,0),IFERROR(VLOOKUP($C921,'6-COMP. PROPRIA'!$B$1:$I$808,5,0),""))</f>
        <v/>
      </c>
      <c r="M921" s="104"/>
      <c r="N921" s="105"/>
    </row>
    <row r="922" spans="2:14" ht="17.25" customHeight="1">
      <c r="B922" s="164" t="s">
        <v>6152</v>
      </c>
      <c r="C922" s="20"/>
      <c r="D922" s="20"/>
      <c r="E922" s="102">
        <v>0.15</v>
      </c>
      <c r="F922" s="63">
        <v>0.57999999999999996</v>
      </c>
      <c r="G922" s="63">
        <v>0.05</v>
      </c>
      <c r="H922" s="63">
        <v>1</v>
      </c>
      <c r="I922" s="312"/>
      <c r="J922" s="103"/>
      <c r="K922" s="281">
        <f t="shared" si="57"/>
        <v>4.3499999999999997E-3</v>
      </c>
      <c r="L922" s="239" t="str">
        <f>IFERROR(VLOOKUP($C922,'SINAPI MAIO 2020'!$1:$1048576,3,0),IFERROR(VLOOKUP($C922,'6-COMP. PROPRIA'!$B$1:$I$808,5,0),""))</f>
        <v/>
      </c>
      <c r="M922" s="104"/>
      <c r="N922" s="105"/>
    </row>
    <row r="923" spans="2:14" ht="17.25" customHeight="1">
      <c r="B923" s="164"/>
      <c r="C923" s="20"/>
      <c r="D923" s="20"/>
      <c r="E923" s="238"/>
      <c r="F923" s="312"/>
      <c r="G923" s="312"/>
      <c r="H923" s="312"/>
      <c r="I923" s="312"/>
      <c r="J923" s="103"/>
      <c r="K923" s="211"/>
      <c r="L923" s="239" t="str">
        <f>IFERROR(VLOOKUP($C923,'SINAPI MAIO 2020'!$1:$1048576,3,0),IFERROR(VLOOKUP($C923,'6-COMP. PROPRIA'!$B$1:$I$808,5,0),""))</f>
        <v/>
      </c>
      <c r="M923" s="104"/>
      <c r="N923" s="105"/>
    </row>
    <row r="924" spans="2:14" ht="33" customHeight="1">
      <c r="B924" s="164"/>
      <c r="C924" s="275">
        <v>94975</v>
      </c>
      <c r="D924" s="275" t="s">
        <v>8</v>
      </c>
      <c r="E924" s="668" t="str">
        <f>IFERROR(VLOOKUP($C924,'SINAPI MAIO 2020'!$1:$1048576,2,0),IFERROR(VLOOKUP($C924,'6-COMP. PROPRIA'!$B$28:$I$808,4,0),""))</f>
        <v>CONCRETO FCK = 15MPA, TRAÇO 1:3,4:3,5 (CIMENTO/ AREIA MÉDIA/ BRITA 1)  - PREPARO MANUAL. AF_07/2016</v>
      </c>
      <c r="F924" s="669"/>
      <c r="G924" s="669"/>
      <c r="H924" s="669"/>
      <c r="I924" s="669"/>
      <c r="J924" s="670"/>
      <c r="K924" s="212">
        <f>SUM(K926:K940)*1.1</f>
        <v>0.5254700000000001</v>
      </c>
      <c r="L924" s="239" t="str">
        <f>IFERROR(VLOOKUP($C924,'SINAPI MAIO 2020'!$1:$1048576,3,0),IFERROR(VLOOKUP($C924,'6-COMP. PROPRIA'!$B$1:$I$808,5,0),""))</f>
        <v>M3</v>
      </c>
      <c r="M924" s="43">
        <f>K924*0.03</f>
        <v>1.5764100000000003E-2</v>
      </c>
      <c r="N924" s="121" t="s">
        <v>41</v>
      </c>
    </row>
    <row r="925" spans="2:14" ht="17.25" customHeight="1">
      <c r="B925" s="164"/>
      <c r="C925" s="20"/>
      <c r="D925" s="91"/>
      <c r="E925" s="75" t="s">
        <v>987</v>
      </c>
      <c r="F925" s="309" t="s">
        <v>988</v>
      </c>
      <c r="G925" s="311"/>
      <c r="H925" s="309" t="s">
        <v>922</v>
      </c>
      <c r="I925" s="296" t="s">
        <v>6146</v>
      </c>
      <c r="J925" s="125"/>
      <c r="K925" s="216"/>
      <c r="L925" s="239" t="str">
        <f>IFERROR(VLOOKUP($C925,'SINAPI MAIO 2020'!$1:$1048576,3,0),IFERROR(VLOOKUP($C925,'6-COMP. PROPRIA'!$B$1:$I$808,5,0),""))</f>
        <v/>
      </c>
      <c r="M925" s="128"/>
      <c r="N925" s="121"/>
    </row>
    <row r="926" spans="2:14" ht="17.25" customHeight="1">
      <c r="B926" s="164" t="s">
        <v>6142</v>
      </c>
      <c r="C926" s="20"/>
      <c r="D926" s="20"/>
      <c r="E926" s="102">
        <v>0.2</v>
      </c>
      <c r="F926" s="63">
        <v>3</v>
      </c>
      <c r="G926" s="63">
        <v>0.05</v>
      </c>
      <c r="H926" s="63">
        <v>2</v>
      </c>
      <c r="I926" s="280">
        <f>3.14*0.025*0.025*3*2</f>
        <v>1.1775000000000001E-2</v>
      </c>
      <c r="J926" s="103"/>
      <c r="K926" s="211">
        <f>H926*G926*F926*E926-I926</f>
        <v>4.8225000000000011E-2</v>
      </c>
      <c r="L926" s="239" t="str">
        <f>IFERROR(VLOOKUP($C926,'SINAPI MAIO 2020'!$1:$1048576,3,0),IFERROR(VLOOKUP($C926,'6-COMP. PROPRIA'!$B$1:$I$808,5,0),""))</f>
        <v/>
      </c>
      <c r="M926" s="104"/>
      <c r="N926" s="105"/>
    </row>
    <row r="927" spans="2:14" ht="17.25" customHeight="1">
      <c r="B927" s="164" t="s">
        <v>6143</v>
      </c>
      <c r="C927" s="20"/>
      <c r="D927" s="20"/>
      <c r="E927" s="102">
        <v>0.2</v>
      </c>
      <c r="F927" s="63">
        <v>3</v>
      </c>
      <c r="G927" s="63">
        <v>0.05</v>
      </c>
      <c r="H927" s="63">
        <v>1</v>
      </c>
      <c r="I927" s="280">
        <f>3.14*0.025*0.025*3*1</f>
        <v>5.8875000000000004E-3</v>
      </c>
      <c r="J927" s="103"/>
      <c r="K927" s="211">
        <f t="shared" ref="K927:K941" si="58">H927*G927*F927*E927-I927</f>
        <v>2.4112500000000005E-2</v>
      </c>
      <c r="L927" s="239" t="str">
        <f>IFERROR(VLOOKUP($C927,'SINAPI MAIO 2020'!$1:$1048576,3,0),IFERROR(VLOOKUP($C927,'6-COMP. PROPRIA'!$B$1:$I$808,5,0),""))</f>
        <v/>
      </c>
      <c r="M927" s="104"/>
      <c r="N927" s="105"/>
    </row>
    <row r="928" spans="2:14" ht="17.25" customHeight="1">
      <c r="B928" s="164" t="s">
        <v>6145</v>
      </c>
      <c r="C928" s="20"/>
      <c r="D928" s="20"/>
      <c r="E928" s="102">
        <v>0.15</v>
      </c>
      <c r="F928" s="63">
        <v>2.8</v>
      </c>
      <c r="G928" s="63">
        <v>0.05</v>
      </c>
      <c r="H928" s="63">
        <v>5</v>
      </c>
      <c r="I928" s="280">
        <f t="shared" ref="I928:I932" si="59">3.14*0.025*0.025*3*1</f>
        <v>5.8875000000000004E-3</v>
      </c>
      <c r="J928" s="103"/>
      <c r="K928" s="211">
        <f t="shared" si="58"/>
        <v>9.9112499999999992E-2</v>
      </c>
      <c r="L928" s="239" t="str">
        <f>IFERROR(VLOOKUP($C928,'SINAPI MAIO 2020'!$1:$1048576,3,0),IFERROR(VLOOKUP($C928,'6-COMP. PROPRIA'!$B$1:$I$808,5,0),""))</f>
        <v/>
      </c>
      <c r="M928" s="104"/>
      <c r="N928" s="105"/>
    </row>
    <row r="929" spans="2:16" ht="17.25" customHeight="1">
      <c r="B929" s="164" t="s">
        <v>6145</v>
      </c>
      <c r="C929" s="20"/>
      <c r="D929" s="20"/>
      <c r="E929" s="102">
        <v>0.15</v>
      </c>
      <c r="F929" s="63">
        <v>2</v>
      </c>
      <c r="G929" s="63">
        <v>0.05</v>
      </c>
      <c r="H929" s="63">
        <v>1</v>
      </c>
      <c r="I929" s="280">
        <f t="shared" si="59"/>
        <v>5.8875000000000004E-3</v>
      </c>
      <c r="J929" s="103"/>
      <c r="K929" s="211">
        <f t="shared" si="58"/>
        <v>9.1124999999999991E-3</v>
      </c>
      <c r="L929" s="239" t="str">
        <f>IFERROR(VLOOKUP($C929,'SINAPI MAIO 2020'!$1:$1048576,3,0),IFERROR(VLOOKUP($C929,'6-COMP. PROPRIA'!$B$1:$I$808,5,0),""))</f>
        <v/>
      </c>
      <c r="M929" s="104"/>
      <c r="N929" s="105"/>
    </row>
    <row r="930" spans="2:16" ht="17.25" customHeight="1">
      <c r="B930" s="164" t="s">
        <v>6145</v>
      </c>
      <c r="C930" s="20"/>
      <c r="D930" s="20"/>
      <c r="E930" s="102">
        <v>0.15</v>
      </c>
      <c r="F930" s="63">
        <v>2.4</v>
      </c>
      <c r="G930" s="63">
        <v>0.05</v>
      </c>
      <c r="H930" s="63">
        <v>6</v>
      </c>
      <c r="I930" s="280">
        <f t="shared" si="59"/>
        <v>5.8875000000000004E-3</v>
      </c>
      <c r="J930" s="103"/>
      <c r="K930" s="211">
        <f t="shared" si="58"/>
        <v>0.10211250000000001</v>
      </c>
      <c r="L930" s="239" t="str">
        <f>IFERROR(VLOOKUP($C930,'SINAPI MAIO 2020'!$1:$1048576,3,0),IFERROR(VLOOKUP($C930,'6-COMP. PROPRIA'!$B$1:$I$808,5,0),""))</f>
        <v/>
      </c>
      <c r="M930" s="104"/>
      <c r="N930" s="105"/>
    </row>
    <row r="931" spans="2:16" ht="17.25" customHeight="1">
      <c r="B931" s="164" t="s">
        <v>6145</v>
      </c>
      <c r="C931" s="20"/>
      <c r="D931" s="20"/>
      <c r="E931" s="102">
        <v>0.15</v>
      </c>
      <c r="F931" s="63">
        <v>2.1</v>
      </c>
      <c r="G931" s="63">
        <v>0.05</v>
      </c>
      <c r="H931" s="63">
        <v>6</v>
      </c>
      <c r="I931" s="280">
        <f t="shared" si="59"/>
        <v>5.8875000000000004E-3</v>
      </c>
      <c r="J931" s="103"/>
      <c r="K931" s="211">
        <f t="shared" si="58"/>
        <v>8.8612500000000011E-2</v>
      </c>
      <c r="L931" s="239" t="str">
        <f>IFERROR(VLOOKUP($C931,'SINAPI MAIO 2020'!$1:$1048576,3,0),IFERROR(VLOOKUP($C931,'6-COMP. PROPRIA'!$B$1:$I$808,5,0),""))</f>
        <v/>
      </c>
      <c r="M931" s="104"/>
      <c r="N931" s="105"/>
    </row>
    <row r="932" spans="2:16" ht="17.25" customHeight="1">
      <c r="B932" s="164" t="s">
        <v>6147</v>
      </c>
      <c r="C932" s="20"/>
      <c r="D932" s="20"/>
      <c r="E932" s="102">
        <v>0.15</v>
      </c>
      <c r="F932" s="63">
        <v>2.1</v>
      </c>
      <c r="G932" s="63">
        <v>0.05</v>
      </c>
      <c r="H932" s="63">
        <v>3</v>
      </c>
      <c r="I932" s="280">
        <f t="shared" si="59"/>
        <v>5.8875000000000004E-3</v>
      </c>
      <c r="J932" s="103"/>
      <c r="K932" s="211">
        <f t="shared" si="58"/>
        <v>4.136250000000001E-2</v>
      </c>
      <c r="L932" s="239" t="str">
        <f>IFERROR(VLOOKUP($C932,'SINAPI MAIO 2020'!$1:$1048576,3,0),IFERROR(VLOOKUP($C932,'6-COMP. PROPRIA'!$B$1:$I$808,5,0),""))</f>
        <v/>
      </c>
      <c r="M932" s="104"/>
      <c r="N932" s="105"/>
    </row>
    <row r="933" spans="2:16" ht="17.25" customHeight="1">
      <c r="B933" s="164" t="s">
        <v>6152</v>
      </c>
      <c r="C933" s="20"/>
      <c r="D933" s="20"/>
      <c r="E933" s="102">
        <v>0.15</v>
      </c>
      <c r="F933" s="63">
        <v>1.2</v>
      </c>
      <c r="G933" s="63">
        <v>0.05</v>
      </c>
      <c r="H933" s="63">
        <v>2</v>
      </c>
      <c r="I933" s="280">
        <v>1E-3</v>
      </c>
      <c r="J933" s="103"/>
      <c r="K933" s="211">
        <f t="shared" si="58"/>
        <v>1.6999999999999998E-2</v>
      </c>
      <c r="L933" s="239" t="str">
        <f>IFERROR(VLOOKUP($C933,'SINAPI MAIO 2020'!$1:$1048576,3,0),IFERROR(VLOOKUP($C933,'6-COMP. PROPRIA'!$B$1:$I$808,5,0),""))</f>
        <v/>
      </c>
      <c r="M933" s="104"/>
      <c r="N933" s="105"/>
    </row>
    <row r="934" spans="2:16" ht="17.25" customHeight="1">
      <c r="B934" s="164" t="s">
        <v>6152</v>
      </c>
      <c r="C934" s="20"/>
      <c r="D934" s="20"/>
      <c r="E934" s="102">
        <v>0.15</v>
      </c>
      <c r="F934" s="63">
        <v>0.8</v>
      </c>
      <c r="G934" s="63">
        <v>0.05</v>
      </c>
      <c r="H934" s="63">
        <v>2</v>
      </c>
      <c r="I934" s="280">
        <v>1E-3</v>
      </c>
      <c r="J934" s="103"/>
      <c r="K934" s="211">
        <f t="shared" si="58"/>
        <v>1.1000000000000003E-2</v>
      </c>
      <c r="L934" s="239" t="str">
        <f>IFERROR(VLOOKUP($C934,'SINAPI MAIO 2020'!$1:$1048576,3,0),IFERROR(VLOOKUP($C934,'6-COMP. PROPRIA'!$B$1:$I$808,5,0),""))</f>
        <v/>
      </c>
      <c r="M934" s="104"/>
      <c r="N934" s="105"/>
    </row>
    <row r="935" spans="2:16" ht="17.25" customHeight="1">
      <c r="B935" s="164" t="s">
        <v>6152</v>
      </c>
      <c r="C935" s="20"/>
      <c r="D935" s="20"/>
      <c r="E935" s="102">
        <v>0.15</v>
      </c>
      <c r="F935" s="63">
        <f>0.45+0.45</f>
        <v>0.9</v>
      </c>
      <c r="G935" s="63">
        <v>0.05</v>
      </c>
      <c r="H935" s="63">
        <v>2</v>
      </c>
      <c r="I935" s="280">
        <v>1E-3</v>
      </c>
      <c r="J935" s="103"/>
      <c r="K935" s="211">
        <f t="shared" si="58"/>
        <v>1.2500000000000001E-2</v>
      </c>
      <c r="L935" s="239" t="str">
        <f>IFERROR(VLOOKUP($C935,'SINAPI MAIO 2020'!$1:$1048576,3,0),IFERROR(VLOOKUP($C935,'6-COMP. PROPRIA'!$B$1:$I$808,5,0),""))</f>
        <v/>
      </c>
      <c r="M935" s="104"/>
      <c r="N935" s="105"/>
    </row>
    <row r="936" spans="2:16" ht="17.25" customHeight="1">
      <c r="B936" s="164" t="s">
        <v>6152</v>
      </c>
      <c r="C936" s="20"/>
      <c r="D936" s="20"/>
      <c r="E936" s="102">
        <v>0.15</v>
      </c>
      <c r="F936" s="63">
        <v>0.3</v>
      </c>
      <c r="G936" s="63">
        <v>0.05</v>
      </c>
      <c r="H936" s="63">
        <v>1</v>
      </c>
      <c r="I936" s="280">
        <v>1E-3</v>
      </c>
      <c r="J936" s="103"/>
      <c r="K936" s="281">
        <f t="shared" si="58"/>
        <v>1.2499999999999998E-3</v>
      </c>
      <c r="L936" s="239" t="str">
        <f>IFERROR(VLOOKUP($C936,'SINAPI MAIO 2020'!$1:$1048576,3,0),IFERROR(VLOOKUP($C936,'6-COMP. PROPRIA'!$B$1:$I$808,5,0),""))</f>
        <v/>
      </c>
      <c r="M936" s="104"/>
      <c r="N936" s="105"/>
    </row>
    <row r="937" spans="2:16" ht="17.25" customHeight="1">
      <c r="B937" s="164" t="s">
        <v>6152</v>
      </c>
      <c r="C937" s="20"/>
      <c r="D937" s="20"/>
      <c r="E937" s="102">
        <v>0.15</v>
      </c>
      <c r="F937" s="63">
        <v>0.9</v>
      </c>
      <c r="G937" s="63">
        <v>0.05</v>
      </c>
      <c r="H937" s="63">
        <v>1</v>
      </c>
      <c r="I937" s="280">
        <v>1E-3</v>
      </c>
      <c r="J937" s="103"/>
      <c r="K937" s="211">
        <f t="shared" si="58"/>
        <v>5.7500000000000008E-3</v>
      </c>
      <c r="L937" s="239" t="str">
        <f>IFERROR(VLOOKUP($C937,'SINAPI MAIO 2020'!$1:$1048576,3,0),IFERROR(VLOOKUP($C937,'6-COMP. PROPRIA'!$B$1:$I$808,5,0),""))</f>
        <v/>
      </c>
      <c r="M937" s="104"/>
      <c r="N937" s="105"/>
    </row>
    <row r="938" spans="2:16" ht="17.25" customHeight="1">
      <c r="B938" s="164" t="s">
        <v>6152</v>
      </c>
      <c r="C938" s="20"/>
      <c r="D938" s="20"/>
      <c r="E938" s="102">
        <v>0.15</v>
      </c>
      <c r="F938" s="63">
        <v>0.8</v>
      </c>
      <c r="G938" s="63">
        <v>0.05</v>
      </c>
      <c r="H938" s="63">
        <v>1</v>
      </c>
      <c r="I938" s="280">
        <v>1E-3</v>
      </c>
      <c r="J938" s="103"/>
      <c r="K938" s="211">
        <f t="shared" si="58"/>
        <v>5.000000000000001E-3</v>
      </c>
      <c r="L938" s="239" t="str">
        <f>IFERROR(VLOOKUP($C938,'SINAPI MAIO 2020'!$1:$1048576,3,0),IFERROR(VLOOKUP($C938,'6-COMP. PROPRIA'!$B$1:$I$808,5,0),""))</f>
        <v/>
      </c>
      <c r="M938" s="104"/>
      <c r="N938" s="105"/>
    </row>
    <row r="939" spans="2:16" ht="17.25" customHeight="1">
      <c r="B939" s="164" t="s">
        <v>6152</v>
      </c>
      <c r="C939" s="20"/>
      <c r="D939" s="20"/>
      <c r="E939" s="102">
        <v>0.15</v>
      </c>
      <c r="F939" s="63">
        <f>0.34+0.34</f>
        <v>0.68</v>
      </c>
      <c r="G939" s="63">
        <v>0.05</v>
      </c>
      <c r="H939" s="63">
        <v>2</v>
      </c>
      <c r="I939" s="280">
        <v>1E-3</v>
      </c>
      <c r="J939" s="103"/>
      <c r="K939" s="211">
        <f t="shared" si="58"/>
        <v>9.1999999999999998E-3</v>
      </c>
      <c r="L939" s="239" t="str">
        <f>IFERROR(VLOOKUP($C939,'SINAPI MAIO 2020'!$1:$1048576,3,0),IFERROR(VLOOKUP($C939,'6-COMP. PROPRIA'!$B$1:$I$808,5,0),""))</f>
        <v/>
      </c>
      <c r="M939" s="104"/>
      <c r="N939" s="105"/>
    </row>
    <row r="940" spans="2:16" ht="17.25" customHeight="1">
      <c r="B940" s="164" t="s">
        <v>6152</v>
      </c>
      <c r="C940" s="20"/>
      <c r="D940" s="20"/>
      <c r="E940" s="102">
        <v>0.15</v>
      </c>
      <c r="F940" s="63">
        <v>0.57999999999999996</v>
      </c>
      <c r="G940" s="63">
        <v>0.05</v>
      </c>
      <c r="H940" s="63">
        <v>1</v>
      </c>
      <c r="I940" s="280">
        <v>1E-3</v>
      </c>
      <c r="J940" s="103"/>
      <c r="K940" s="211">
        <f t="shared" si="58"/>
        <v>3.3499999999999997E-3</v>
      </c>
      <c r="L940" s="239" t="str">
        <f>IFERROR(VLOOKUP($C940,'SINAPI MAIO 2020'!$1:$1048576,3,0),IFERROR(VLOOKUP($C940,'6-COMP. PROPRIA'!$B$1:$I$808,5,0),""))</f>
        <v/>
      </c>
      <c r="M940" s="104"/>
      <c r="N940" s="105"/>
    </row>
    <row r="941" spans="2:16" ht="17.25" customHeight="1">
      <c r="B941" s="164"/>
      <c r="C941" s="20"/>
      <c r="D941" s="20"/>
      <c r="E941" s="238"/>
      <c r="F941" s="312"/>
      <c r="G941" s="312"/>
      <c r="H941" s="312"/>
      <c r="I941" s="312"/>
      <c r="J941" s="103"/>
      <c r="K941" s="211">
        <f t="shared" si="58"/>
        <v>0</v>
      </c>
      <c r="L941" s="239" t="str">
        <f>IFERROR(VLOOKUP($C941,'SINAPI MAIO 2020'!$1:$1048576,3,0),IFERROR(VLOOKUP($C941,'6-COMP. PROPRIA'!$B$1:$I$808,5,0),""))</f>
        <v/>
      </c>
      <c r="M941" s="104"/>
      <c r="N941" s="105"/>
    </row>
    <row r="942" spans="2:16" ht="22.5" customHeight="1">
      <c r="B942" s="164"/>
      <c r="C942" s="274">
        <v>72897</v>
      </c>
      <c r="D942" s="275" t="s">
        <v>8</v>
      </c>
      <c r="E942" s="668" t="str">
        <f>IFERROR(VLOOKUP($C942,'SINAPI MAIO 2020'!$1:$1048576,2,0),IFERROR(VLOOKUP($C942,'6-COMP. PROPRIA'!$B$28:$I$808,4,0),""))</f>
        <v>CARGA MANUAL DE ENTULHO EM CAMINHAO BASCULANTE 6 M3</v>
      </c>
      <c r="F942" s="669"/>
      <c r="G942" s="669"/>
      <c r="H942" s="669"/>
      <c r="I942" s="669"/>
      <c r="J942" s="670"/>
      <c r="K942" s="212">
        <f>SUM(K944:K945)</f>
        <v>0.69433650000000025</v>
      </c>
      <c r="L942" s="239" t="str">
        <f>IFERROR(VLOOKUP($C942,'SINAPI MAIO 2020'!$1:$1048576,3,0),IFERROR(VLOOKUP($C942,'6-COMP. PROPRIA'!$B$1:$I$808,5,0),""))</f>
        <v>M3</v>
      </c>
      <c r="M942" s="94"/>
      <c r="N942" s="121"/>
      <c r="P942" s="95"/>
    </row>
    <row r="943" spans="2:16" ht="27.75" customHeight="1">
      <c r="B943" s="166"/>
      <c r="C943" s="20"/>
      <c r="D943" s="20"/>
      <c r="E943" s="75" t="s">
        <v>931</v>
      </c>
      <c r="F943" s="49"/>
      <c r="G943" s="49"/>
      <c r="H943" s="57" t="s">
        <v>941</v>
      </c>
      <c r="I943" s="312"/>
      <c r="J943" s="103"/>
      <c r="K943" s="216"/>
      <c r="L943" s="239" t="str">
        <f>IFERROR(VLOOKUP($C943,'SINAPI MAIO 2020'!$1:$1048576,3,0),IFERROR(VLOOKUP($C943,'6-COMP. PROPRIA'!$B$1:$I$808,5,0),""))</f>
        <v/>
      </c>
      <c r="M943" s="104"/>
      <c r="N943" s="105"/>
      <c r="P943" s="95"/>
    </row>
    <row r="944" spans="2:16" ht="17.25" customHeight="1">
      <c r="B944" s="164"/>
      <c r="C944" s="20"/>
      <c r="D944" s="20"/>
      <c r="E944" s="102">
        <f>K907</f>
        <v>0.53410500000000016</v>
      </c>
      <c r="F944" s="49"/>
      <c r="G944" s="49"/>
      <c r="H944" s="63">
        <v>1.3</v>
      </c>
      <c r="I944" s="312"/>
      <c r="J944" s="103"/>
      <c r="K944" s="216">
        <f>E944*H944</f>
        <v>0.69433650000000025</v>
      </c>
      <c r="L944" s="239" t="str">
        <f>IFERROR(VLOOKUP($C944,'SINAPI MAIO 2020'!$1:$1048576,3,0),IFERROR(VLOOKUP($C944,'6-COMP. PROPRIA'!$B$1:$I$808,5,0),""))</f>
        <v/>
      </c>
      <c r="M944" s="104"/>
      <c r="N944" s="105"/>
      <c r="P944" s="95"/>
    </row>
    <row r="945" spans="2:16" ht="17.25" customHeight="1">
      <c r="B945" s="164"/>
      <c r="C945" s="20"/>
      <c r="D945" s="20"/>
      <c r="E945" s="238"/>
      <c r="F945" s="49"/>
      <c r="G945" s="49"/>
      <c r="H945" s="49"/>
      <c r="I945" s="312"/>
      <c r="J945" s="103"/>
      <c r="K945" s="216"/>
      <c r="L945" s="239" t="str">
        <f>IFERROR(VLOOKUP($C945,'SINAPI MAIO 2020'!$1:$1048576,3,0),IFERROR(VLOOKUP($C945,'6-COMP. PROPRIA'!$B$1:$I$808,5,0),""))</f>
        <v/>
      </c>
      <c r="M945" s="104"/>
      <c r="N945" s="105"/>
      <c r="P945" s="95"/>
    </row>
    <row r="946" spans="2:16" ht="27" customHeight="1">
      <c r="B946" s="168"/>
      <c r="C946" s="274">
        <v>97914</v>
      </c>
      <c r="D946" s="275" t="s">
        <v>8</v>
      </c>
      <c r="E946" s="668" t="str">
        <f>IFERROR(VLOOKUP($C946,'SINAPI MAIO 2020'!$1:$1048576,2,0),IFERROR(VLOOKUP($C946,'6-COMP. PROPRIA'!$B$28:$I$808,4,0),""))</f>
        <v>TRANSPORTE COM CAMINHÃO BASCULANTE DE 6 M3, EM VIA URBANA PAVIMENTADA, DMT ATÉ 30 KM (UNIDADE: M3XKM). AF_01/2018</v>
      </c>
      <c r="F946" s="669"/>
      <c r="G946" s="669"/>
      <c r="H946" s="669"/>
      <c r="I946" s="669"/>
      <c r="J946" s="670"/>
      <c r="K946" s="212">
        <f>SUM(K948:K949)</f>
        <v>17.358412500000007</v>
      </c>
      <c r="L946" s="239" t="str">
        <f>IFERROR(VLOOKUP($C946,'SINAPI MAIO 2020'!$1:$1048576,3,0),IFERROR(VLOOKUP($C946,'6-COMP. PROPRIA'!$B$1:$I$808,5,0),""))</f>
        <v>M3XKM</v>
      </c>
      <c r="M946" s="94"/>
      <c r="N946" s="121"/>
      <c r="P946" s="95"/>
    </row>
    <row r="947" spans="2:16" ht="17.25" customHeight="1">
      <c r="B947" s="164"/>
      <c r="C947" s="20"/>
      <c r="D947" s="20"/>
      <c r="E947" s="75" t="s">
        <v>925</v>
      </c>
      <c r="F947" s="312"/>
      <c r="G947" s="312"/>
      <c r="H947" s="309" t="s">
        <v>926</v>
      </c>
      <c r="I947" s="312"/>
      <c r="J947" s="103"/>
      <c r="K947" s="211"/>
      <c r="L947" s="239" t="str">
        <f>IFERROR(VLOOKUP($C947,'SINAPI MAIO 2020'!$1:$1048576,3,0),IFERROR(VLOOKUP($C947,'6-COMP. PROPRIA'!$B$1:$I$808,5,0),""))</f>
        <v/>
      </c>
      <c r="M947" s="104"/>
      <c r="N947" s="105"/>
    </row>
    <row r="948" spans="2:16" ht="17.25" customHeight="1">
      <c r="B948" s="164"/>
      <c r="C948" s="20"/>
      <c r="D948" s="20"/>
      <c r="E948" s="114">
        <f>K942</f>
        <v>0.69433650000000025</v>
      </c>
      <c r="F948" s="50"/>
      <c r="G948" s="50"/>
      <c r="H948" s="106">
        <v>25</v>
      </c>
      <c r="I948" s="312"/>
      <c r="J948" s="59"/>
      <c r="K948" s="62">
        <f>H948*E948</f>
        <v>17.358412500000007</v>
      </c>
      <c r="L948" s="239" t="str">
        <f>IFERROR(VLOOKUP($C948,'SINAPI MAIO 2020'!$1:$1048576,3,0),IFERROR(VLOOKUP($C948,'6-COMP. PROPRIA'!$B$1:$I$808,5,0),""))</f>
        <v/>
      </c>
      <c r="M948" s="104"/>
      <c r="N948" s="105"/>
    </row>
    <row r="949" spans="2:16" ht="17.25" customHeight="1">
      <c r="B949" s="164"/>
      <c r="C949" s="20"/>
      <c r="D949" s="20"/>
      <c r="E949" s="238"/>
      <c r="F949" s="312"/>
      <c r="G949" s="312"/>
      <c r="H949" s="312"/>
      <c r="I949" s="312"/>
      <c r="J949" s="103"/>
      <c r="K949" s="211"/>
      <c r="L949" s="239" t="str">
        <f>IFERROR(VLOOKUP($C949,'SINAPI MAIO 2020'!$1:$1048576,3,0),IFERROR(VLOOKUP($C949,'6-COMP. PROPRIA'!$B$1:$I$808,5,0),""))</f>
        <v/>
      </c>
      <c r="M949" s="104"/>
      <c r="N949" s="105"/>
    </row>
    <row r="950" spans="2:16" ht="17.25" customHeight="1">
      <c r="B950" s="164"/>
      <c r="C950" s="20"/>
      <c r="D950" s="20"/>
      <c r="E950" s="238"/>
      <c r="F950" s="312"/>
      <c r="G950" s="312"/>
      <c r="H950" s="312"/>
      <c r="I950" s="312"/>
      <c r="J950" s="103"/>
      <c r="K950" s="211"/>
      <c r="L950" s="239" t="str">
        <f>IFERROR(VLOOKUP($C950,'SINAPI MAIO 2020'!$1:$1048576,3,0),IFERROR(VLOOKUP($C950,'6-COMP. PROPRIA'!$B$1:$I$808,5,0),""))</f>
        <v/>
      </c>
      <c r="M950" s="104"/>
      <c r="N950" s="105"/>
    </row>
    <row r="951" spans="2:16" ht="17.25" customHeight="1">
      <c r="B951" s="164"/>
      <c r="C951" s="20"/>
      <c r="D951" s="20"/>
      <c r="E951" s="238"/>
      <c r="F951" s="312"/>
      <c r="G951" s="312"/>
      <c r="H951" s="312"/>
      <c r="I951" s="312"/>
      <c r="J951" s="103"/>
      <c r="K951" s="211"/>
      <c r="L951" s="239" t="str">
        <f>IFERROR(VLOOKUP($C951,'SINAPI MAIO 2020'!$1:$1048576,3,0),IFERROR(VLOOKUP($C951,'6-COMP. PROPRIA'!$B$1:$I$808,5,0),""))</f>
        <v/>
      </c>
      <c r="M951" s="104"/>
      <c r="N951" s="105"/>
    </row>
    <row r="952" spans="2:16" ht="17.25" customHeight="1" thickBot="1">
      <c r="B952" s="164"/>
      <c r="C952" s="20"/>
      <c r="D952" s="20"/>
      <c r="E952" s="238"/>
      <c r="F952" s="312"/>
      <c r="G952" s="312"/>
      <c r="H952" s="312"/>
      <c r="I952" s="312"/>
      <c r="J952" s="103"/>
      <c r="K952" s="211"/>
      <c r="L952" s="239" t="str">
        <f>IFERROR(VLOOKUP($C952,'SINAPI MAIO 2020'!$1:$1048576,3,0),IFERROR(VLOOKUP($C952,'6-COMP. PROPRIA'!$B$1:$I$808,5,0),""))</f>
        <v/>
      </c>
      <c r="M952" s="104"/>
      <c r="N952" s="105"/>
    </row>
    <row r="953" spans="2:16" ht="17.25" customHeight="1" thickBot="1">
      <c r="B953" s="164"/>
      <c r="C953" s="20"/>
      <c r="D953" s="20"/>
      <c r="E953" s="674" t="s">
        <v>14805</v>
      </c>
      <c r="F953" s="675"/>
      <c r="G953" s="675"/>
      <c r="H953" s="675"/>
      <c r="I953" s="675"/>
      <c r="J953" s="676"/>
      <c r="K953" s="211"/>
      <c r="L953" s="239" t="str">
        <f>IFERROR(VLOOKUP($C953,'SINAPI MAIO 2020'!$1:$1048576,3,0),IFERROR(VLOOKUP($C953,'6-COMP. PROPRIA'!$B$1:$I$808,5,0),""))</f>
        <v/>
      </c>
      <c r="M953" s="104"/>
      <c r="N953" s="105"/>
    </row>
    <row r="954" spans="2:16" ht="17.25" customHeight="1">
      <c r="B954" s="164"/>
      <c r="C954" s="20"/>
      <c r="D954" s="20"/>
      <c r="E954" s="238"/>
      <c r="F954" s="312"/>
      <c r="G954" s="312"/>
      <c r="H954" s="312"/>
      <c r="I954" s="312"/>
      <c r="J954" s="103"/>
      <c r="K954" s="211"/>
      <c r="L954" s="239" t="str">
        <f>IFERROR(VLOOKUP($C954,'SINAPI MAIO 2020'!$1:$1048576,3,0),IFERROR(VLOOKUP($C954,'6-COMP. PROPRIA'!$B$1:$I$808,5,0),""))</f>
        <v/>
      </c>
      <c r="M954" s="104"/>
      <c r="N954" s="105"/>
    </row>
    <row r="955" spans="2:16" ht="27" customHeight="1">
      <c r="B955" s="164"/>
      <c r="C955" s="275">
        <v>83646</v>
      </c>
      <c r="D955" s="275" t="s">
        <v>8</v>
      </c>
      <c r="E955" s="668" t="str">
        <f>IFERROR(VLOOKUP($C955,'SINAPI MAIO 2020'!$1:$1048576,2,0),IFERROR(VLOOKUP($C955,'6-COMP. PROPRIA'!$B$28:$I$808,4,0),""))</f>
        <v>BOMBA RECALQUE D'AGUA DE ESTAGIOS TRIFASICA 2,0 HP</v>
      </c>
      <c r="F955" s="669"/>
      <c r="G955" s="669"/>
      <c r="H955" s="669"/>
      <c r="I955" s="669"/>
      <c r="J955" s="670"/>
      <c r="K955" s="212">
        <v>1</v>
      </c>
      <c r="L955" s="239" t="str">
        <f>IFERROR(VLOOKUP($C955,'SINAPI MAIO 2020'!$1:$1048576,3,0),IFERROR(VLOOKUP($C955,'6-COMP. PROPRIA'!$B$1:$I$808,5,0),""))</f>
        <v>UN</v>
      </c>
      <c r="M955" s="43">
        <v>0</v>
      </c>
      <c r="N955" s="121" t="s">
        <v>41</v>
      </c>
    </row>
    <row r="956" spans="2:16" ht="27" customHeight="1">
      <c r="B956" s="164"/>
      <c r="C956" s="274" t="str">
        <f>'6-COMP. PROPRIA'!B123</f>
        <v>CP-HID-1</v>
      </c>
      <c r="D956" s="275" t="s">
        <v>980</v>
      </c>
      <c r="E956" s="668" t="str">
        <f>IFERROR(VLOOKUP($C956,'SINAPI MAIO 2020'!$1:$1048576,2,0),IFERROR(VLOOKUP($C956,'6-COMP. PROPRIA'!$B$28:$I$808,4,0),""))</f>
        <v>REGISTRO DE ESFERA, PVC, 3/4''</v>
      </c>
      <c r="F956" s="669"/>
      <c r="G956" s="669"/>
      <c r="H956" s="669"/>
      <c r="I956" s="669"/>
      <c r="J956" s="670"/>
      <c r="K956" s="212">
        <v>2</v>
      </c>
      <c r="L956" s="239" t="str">
        <f>IFERROR(VLOOKUP($C956,'SINAPI MAIO 2020'!$1:$1048576,3,0),IFERROR(VLOOKUP($C956,'6-COMP. PROPRIA'!$B$1:$I$808,5,0),""))</f>
        <v xml:space="preserve">UN    </v>
      </c>
      <c r="M956" s="43">
        <v>0</v>
      </c>
      <c r="N956" s="121" t="s">
        <v>41</v>
      </c>
    </row>
    <row r="957" spans="2:16" ht="27" customHeight="1">
      <c r="B957" s="164"/>
      <c r="C957" s="275">
        <v>94794</v>
      </c>
      <c r="D957" s="275" t="s">
        <v>8</v>
      </c>
      <c r="E957" s="668" t="str">
        <f>IFERROR(VLOOKUP($C957,'SINAPI MAIO 2020'!$1:$1048576,2,0),IFERROR(VLOOKUP($C957,'6-COMP. PROPRIA'!$B$28:$I$808,4,0),""))</f>
        <v>REGISTRO DE GAVETA BRUTO, LATÃO, ROSCÁVEL, 1 1/2, COM ACABAMENTO E CANOPLA CROMADOS, INSTALADO EM RESERVAÇÃO DE ÁGUA DE EDIFICAÇÃO QUE POSSUA RESERVATÓRIO DE FIBRA/FIBROCIMENTO  FORNECIMENTO E INSTALAÇÃO. AF_06/2016</v>
      </c>
      <c r="F957" s="669"/>
      <c r="G957" s="669"/>
      <c r="H957" s="669"/>
      <c r="I957" s="669"/>
      <c r="J957" s="670"/>
      <c r="K957" s="212">
        <v>3</v>
      </c>
      <c r="L957" s="239" t="str">
        <f>IFERROR(VLOOKUP($C957,'SINAPI MAIO 2020'!$1:$1048576,3,0),IFERROR(VLOOKUP($C957,'6-COMP. PROPRIA'!$B$1:$I$808,5,0),""))</f>
        <v>UN</v>
      </c>
      <c r="M957" s="43">
        <v>0</v>
      </c>
      <c r="N957" s="121" t="s">
        <v>41</v>
      </c>
    </row>
    <row r="958" spans="2:16" ht="27" customHeight="1">
      <c r="B958" s="164"/>
      <c r="C958" s="275">
        <v>90371</v>
      </c>
      <c r="D958" s="275" t="s">
        <v>8</v>
      </c>
      <c r="E958" s="668" t="str">
        <f>IFERROR(VLOOKUP($C958,'SINAPI MAIO 2020'!$1:$1048576,2,0),IFERROR(VLOOKUP($C958,'6-COMP. PROPRIA'!$B$28:$I$808,4,0),""))</f>
        <v>REGISTRO DE ESFERA, PVC, ROSCÁVEL, 3/4", FORNECIDO E INSTALADO EM RAMAL DE ÁGUA. AF_03/2015</v>
      </c>
      <c r="F958" s="669"/>
      <c r="G958" s="669"/>
      <c r="H958" s="669"/>
      <c r="I958" s="669"/>
      <c r="J958" s="670"/>
      <c r="K958" s="212">
        <v>1</v>
      </c>
      <c r="L958" s="239" t="str">
        <f>IFERROR(VLOOKUP($C958,'SINAPI MAIO 2020'!$1:$1048576,3,0),IFERROR(VLOOKUP($C958,'6-COMP. PROPRIA'!$B$1:$I$808,5,0),""))</f>
        <v>UN</v>
      </c>
      <c r="M958" s="43">
        <v>0</v>
      </c>
      <c r="N958" s="121" t="s">
        <v>41</v>
      </c>
    </row>
    <row r="959" spans="2:16" ht="27" customHeight="1">
      <c r="B959" s="164"/>
      <c r="C959" s="275">
        <v>95141</v>
      </c>
      <c r="D959" s="275" t="s">
        <v>8</v>
      </c>
      <c r="E959" s="668" t="str">
        <f>IFERROR(VLOOKUP($C959,'SINAPI MAIO 2020'!$1:$1048576,2,0),IFERROR(VLOOKUP($C959,'6-COMP. PROPRIA'!$B$28:$I$808,4,0),""))</f>
        <v>ADAPTADOR COM FLANGES LIVRES, PVC, SOLDÁVEL LONGO, DN  25 MM X 3/4 , INSTALADO EM RESERVAÇÃO DE ÁGUA DE EDIFICAÇÃO QUE POSSUA RESERVATÓRIO DE FIBRA/FIBROCIMENTO    FORNECIMENTO E INSTALAÇÃO. AF_06/2016</v>
      </c>
      <c r="F959" s="669"/>
      <c r="G959" s="669"/>
      <c r="H959" s="669"/>
      <c r="I959" s="669"/>
      <c r="J959" s="670"/>
      <c r="K959" s="212">
        <v>2</v>
      </c>
      <c r="L959" s="239" t="str">
        <f>IFERROR(VLOOKUP($C959,'SINAPI MAIO 2020'!$1:$1048576,3,0),IFERROR(VLOOKUP($C959,'6-COMP. PROPRIA'!$B$1:$I$808,5,0),""))</f>
        <v>UN</v>
      </c>
      <c r="M959" s="104"/>
      <c r="N959" s="105"/>
    </row>
    <row r="960" spans="2:16" ht="27" customHeight="1">
      <c r="B960" s="164"/>
      <c r="C960" s="275">
        <v>94787</v>
      </c>
      <c r="D960" s="275" t="s">
        <v>8</v>
      </c>
      <c r="E960" s="668" t="str">
        <f>IFERROR(VLOOKUP($C960,'SINAPI MAIO 2020'!$1:$1048576,2,0),IFERROR(VLOOKUP($C960,'6-COMP. PROPRIA'!$B$28:$I$808,4,0),""))</f>
        <v>ADAPTADOR COM FLANGES LIVRES, PVC, SOLDÁVEL LONGO, DN 50 MM X 1 1/2 , INSTALADO EM RESERVAÇÃO DE ÁGUA DE EDIFICAÇÃO QUE POSSUA RESERVATÓRIO DE FIBRA/FIBROCIMENTO   FORNECIMENTO E INSTALAÇÃO. AF_06/2016</v>
      </c>
      <c r="F960" s="669"/>
      <c r="G960" s="669"/>
      <c r="H960" s="669"/>
      <c r="I960" s="669"/>
      <c r="J960" s="670"/>
      <c r="K960" s="212">
        <v>3</v>
      </c>
      <c r="L960" s="239" t="str">
        <f>IFERROR(VLOOKUP($C960,'SINAPI MAIO 2020'!$1:$1048576,3,0),IFERROR(VLOOKUP($C960,'6-COMP. PROPRIA'!$B$1:$I$808,5,0),""))</f>
        <v>UN</v>
      </c>
      <c r="M960" s="104"/>
      <c r="N960" s="105"/>
    </row>
    <row r="961" spans="2:14" ht="27" customHeight="1">
      <c r="B961" s="164"/>
      <c r="C961" s="275">
        <v>89538</v>
      </c>
      <c r="D961" s="275" t="s">
        <v>8</v>
      </c>
      <c r="E961" s="668" t="str">
        <f>IFERROR(VLOOKUP($C961,'SINAPI MAIO 2020'!$1:$1048576,2,0),IFERROR(VLOOKUP($C961,'6-COMP. PROPRIA'!$B$28:$I$808,4,0),""))</f>
        <v>ADAPTADOR CURTO COM BOLSA E ROSCA PARA REGISTRO, PVC, SOLDÁVEL, DN 25MM X 3/4, INSTALADO EM PRUMADA DE ÁGUA - FORNECIMENTO E INSTALAÇÃO. AF_12/2014</v>
      </c>
      <c r="F961" s="669"/>
      <c r="G961" s="669"/>
      <c r="H961" s="669"/>
      <c r="I961" s="669"/>
      <c r="J961" s="670"/>
      <c r="K961" s="212">
        <v>3</v>
      </c>
      <c r="L961" s="239" t="str">
        <f>IFERROR(VLOOKUP($C961,'SINAPI MAIO 2020'!$1:$1048576,3,0),IFERROR(VLOOKUP($C961,'6-COMP. PROPRIA'!$B$1:$I$808,5,0),""))</f>
        <v>UN</v>
      </c>
      <c r="M961" s="104"/>
      <c r="N961" s="105"/>
    </row>
    <row r="962" spans="2:14" ht="27" customHeight="1">
      <c r="B962" s="164"/>
      <c r="C962" s="275">
        <v>94662</v>
      </c>
      <c r="D962" s="275" t="s">
        <v>8</v>
      </c>
      <c r="E962" s="668" t="str">
        <f>IFERROR(VLOOKUP($C962,'SINAPI MAIO 2020'!$1:$1048576,2,0),IFERROR(VLOOKUP($C962,'6-COMP. PROPRIA'!$B$28:$I$808,4,0),""))</f>
        <v>ADAPTADOR CURTO COM BOLSA E ROSCA PARA REGISTRO, PVC, SOLDÁVEL, DN 50 MM X 1 1/2 , INSTALADO EM RESERVAÇÃO DE ÁGUA DE EDIFICAÇÃO QUE POSSUA RESERVATÓRIO DE FIBRA/FIBROCIMENTO   FORNECIMENTO E INSTALAÇÃO. AF_06/2016</v>
      </c>
      <c r="F962" s="669"/>
      <c r="G962" s="669"/>
      <c r="H962" s="669"/>
      <c r="I962" s="669"/>
      <c r="J962" s="670"/>
      <c r="K962" s="212">
        <v>6</v>
      </c>
      <c r="L962" s="239" t="str">
        <f>IFERROR(VLOOKUP($C962,'SINAPI MAIO 2020'!$1:$1048576,3,0),IFERROR(VLOOKUP($C962,'6-COMP. PROPRIA'!$B$1:$I$808,5,0),""))</f>
        <v>UN</v>
      </c>
      <c r="M962" s="104"/>
      <c r="N962" s="105"/>
    </row>
    <row r="963" spans="2:14" ht="27" customHeight="1">
      <c r="B963" s="164"/>
      <c r="C963" s="275">
        <v>89408</v>
      </c>
      <c r="D963" s="275" t="s">
        <v>8</v>
      </c>
      <c r="E963" s="668" t="str">
        <f>IFERROR(VLOOKUP($C963,'SINAPI MAIO 2020'!$1:$1048576,2,0),IFERROR(VLOOKUP($C963,'6-COMP. PROPRIA'!$B$28:$I$808,4,0),""))</f>
        <v>JOELHO 90 GRAUS, PVC, SOLDÁVEL, DN 25MM, INSTALADO EM RAMAL DE DISTRIBUIÇÃO DE ÁGUA - FORNECIMENTO E INSTALAÇÃO. AF_12/2014</v>
      </c>
      <c r="F963" s="669"/>
      <c r="G963" s="669"/>
      <c r="H963" s="669"/>
      <c r="I963" s="669"/>
      <c r="J963" s="670"/>
      <c r="K963" s="212">
        <f>4+3</f>
        <v>7</v>
      </c>
      <c r="L963" s="239" t="str">
        <f>IFERROR(VLOOKUP($C963,'SINAPI MAIO 2020'!$1:$1048576,3,0),IFERROR(VLOOKUP($C963,'6-COMP. PROPRIA'!$B$1:$I$808,5,0),""))</f>
        <v>UN</v>
      </c>
      <c r="M963" s="104"/>
      <c r="N963" s="105"/>
    </row>
    <row r="964" spans="2:14" ht="27" customHeight="1">
      <c r="B964" s="164"/>
      <c r="C964" s="275">
        <v>89413</v>
      </c>
      <c r="D964" s="275" t="s">
        <v>8</v>
      </c>
      <c r="E964" s="668" t="str">
        <f>IFERROR(VLOOKUP($C964,'SINAPI MAIO 2020'!$1:$1048576,2,0),IFERROR(VLOOKUP($C964,'6-COMP. PROPRIA'!$B$28:$I$808,4,0),""))</f>
        <v>JOELHO 90 GRAUS, PVC, SOLDÁVEL, DN 32MM, INSTALADO EM RAMAL DE DISTRIBUIÇÃO DE ÁGUA - FORNECIMENTO E INSTALAÇÃO. AF_12/2014</v>
      </c>
      <c r="F964" s="669"/>
      <c r="G964" s="669"/>
      <c r="H964" s="669"/>
      <c r="I964" s="669"/>
      <c r="J964" s="670"/>
      <c r="K964" s="212">
        <v>1</v>
      </c>
      <c r="L964" s="239" t="str">
        <f>IFERROR(VLOOKUP($C964,'SINAPI MAIO 2020'!$1:$1048576,3,0),IFERROR(VLOOKUP($C964,'6-COMP. PROPRIA'!$B$1:$I$808,5,0),""))</f>
        <v>UN</v>
      </c>
      <c r="M964" s="104"/>
      <c r="N964" s="105"/>
    </row>
    <row r="965" spans="2:14" ht="27" customHeight="1">
      <c r="B965" s="164"/>
      <c r="C965" s="275">
        <v>89497</v>
      </c>
      <c r="D965" s="275" t="s">
        <v>8</v>
      </c>
      <c r="E965" s="668" t="str">
        <f>IFERROR(VLOOKUP($C965,'SINAPI MAIO 2020'!$1:$1048576,2,0),IFERROR(VLOOKUP($C965,'6-COMP. PROPRIA'!$B$28:$I$808,4,0),""))</f>
        <v>JOELHO 90 GRAUS, PVC, SOLDÁVEL, DN 40MM, INSTALADO EM PRUMADA DE ÁGUA - FORNECIMENTO E INSTALAÇÃO. AF_12/2014</v>
      </c>
      <c r="F965" s="669"/>
      <c r="G965" s="669"/>
      <c r="H965" s="669"/>
      <c r="I965" s="669"/>
      <c r="J965" s="670"/>
      <c r="K965" s="212">
        <v>4</v>
      </c>
      <c r="L965" s="239" t="str">
        <f>IFERROR(VLOOKUP($C965,'SINAPI MAIO 2020'!$1:$1048576,3,0),IFERROR(VLOOKUP($C965,'6-COMP. PROPRIA'!$B$1:$I$808,5,0),""))</f>
        <v>UN</v>
      </c>
      <c r="M965" s="104"/>
      <c r="N965" s="105"/>
    </row>
    <row r="966" spans="2:14" ht="27" customHeight="1">
      <c r="B966" s="164"/>
      <c r="C966" s="275">
        <v>89501</v>
      </c>
      <c r="D966" s="275" t="s">
        <v>8</v>
      </c>
      <c r="E966" s="668" t="str">
        <f>IFERROR(VLOOKUP($C966,'SINAPI MAIO 2020'!$1:$1048576,2,0),IFERROR(VLOOKUP($C966,'6-COMP. PROPRIA'!$B$28:$I$808,4,0),""))</f>
        <v>JOELHO 90 GRAUS, PVC, SOLDÁVEL, DN 50MM, INSTALADO EM PRUMADA DE ÁGUA - FORNECIMENTO E INSTALAÇÃO. AF_12/2014</v>
      </c>
      <c r="F966" s="669"/>
      <c r="G966" s="669"/>
      <c r="H966" s="669"/>
      <c r="I966" s="669"/>
      <c r="J966" s="670"/>
      <c r="K966" s="212">
        <v>19</v>
      </c>
      <c r="L966" s="239" t="str">
        <f>IFERROR(VLOOKUP($C966,'SINAPI MAIO 2020'!$1:$1048576,3,0),IFERROR(VLOOKUP($C966,'6-COMP. PROPRIA'!$B$1:$I$808,5,0),""))</f>
        <v>UN</v>
      </c>
      <c r="M966" s="104"/>
      <c r="N966" s="105"/>
    </row>
    <row r="967" spans="2:14" ht="27" customHeight="1">
      <c r="B967" s="164"/>
      <c r="C967" s="275">
        <v>89505</v>
      </c>
      <c r="D967" s="275" t="s">
        <v>8</v>
      </c>
      <c r="E967" s="668" t="str">
        <f>IFERROR(VLOOKUP($C967,'SINAPI MAIO 2020'!$1:$1048576,2,0),IFERROR(VLOOKUP($C967,'6-COMP. PROPRIA'!$B$28:$I$808,4,0),""))</f>
        <v>JOELHO 90 GRAUS, PVC, SOLDÁVEL, DN 60MM, INSTALADO EM PRUMADA DE ÁGUA - FORNECIMENTO E INSTALAÇÃO. AF_12/2014</v>
      </c>
      <c r="F967" s="669"/>
      <c r="G967" s="669"/>
      <c r="H967" s="669"/>
      <c r="I967" s="669"/>
      <c r="J967" s="670"/>
      <c r="K967" s="212">
        <v>3</v>
      </c>
      <c r="L967" s="239" t="str">
        <f>IFERROR(VLOOKUP($C967,'SINAPI MAIO 2020'!$1:$1048576,3,0),IFERROR(VLOOKUP($C967,'6-COMP. PROPRIA'!$B$1:$I$808,5,0),""))</f>
        <v>UN</v>
      </c>
      <c r="M967" s="104"/>
      <c r="N967" s="105"/>
    </row>
    <row r="968" spans="2:14" ht="27" customHeight="1">
      <c r="B968" s="164"/>
      <c r="C968" s="274" t="str">
        <f>'6-COMP. PROPRIA'!B131</f>
        <v>CP-HID-2</v>
      </c>
      <c r="D968" s="275" t="s">
        <v>980</v>
      </c>
      <c r="E968" s="668" t="str">
        <f>IFERROR(VLOOKUP($C968,'SINAPI MAIO 2020'!$1:$1048576,2,0),IFERROR(VLOOKUP($C968,'6-COMP. PROPRIA'!$B$28:$I$808,4,0),""))</f>
        <v xml:space="preserve">JOELHO DE REDUCAO, PVC SOLDAVEL, 90 GRAUS,  32 MM X 25 MM, PARA AGUA FRIA PREDIAL </v>
      </c>
      <c r="F968" s="669"/>
      <c r="G968" s="669"/>
      <c r="H968" s="669"/>
      <c r="I968" s="669"/>
      <c r="J968" s="670"/>
      <c r="K968" s="212">
        <v>12</v>
      </c>
      <c r="L968" s="239" t="str">
        <f>IFERROR(VLOOKUP($C968,'SINAPI MAIO 2020'!$1:$1048576,3,0),IFERROR(VLOOKUP($C968,'6-COMP. PROPRIA'!$B$1:$I$808,5,0),""))</f>
        <v>UN</v>
      </c>
      <c r="M968" s="104"/>
      <c r="N968" s="105"/>
    </row>
    <row r="969" spans="2:14" ht="27" customHeight="1">
      <c r="B969" s="164"/>
      <c r="C969" s="275">
        <v>89446</v>
      </c>
      <c r="D969" s="275" t="s">
        <v>8</v>
      </c>
      <c r="E969" s="668" t="str">
        <f>IFERROR(VLOOKUP($C969,'SINAPI MAIO 2020'!$1:$1048576,2,0),IFERROR(VLOOKUP($C969,'6-COMP. PROPRIA'!$B$28:$I$808,4,0),""))</f>
        <v>TUBO, PVC, SOLDÁVEL, DN 25MM, INSTALADO EM PRUMADA DE ÁGUA - FORNECIMENTO E INSTALAÇÃO. AF_12/2014</v>
      </c>
      <c r="F969" s="669"/>
      <c r="G969" s="669"/>
      <c r="H969" s="669"/>
      <c r="I969" s="669"/>
      <c r="J969" s="670"/>
      <c r="K969" s="212">
        <v>33.299999999999997</v>
      </c>
      <c r="L969" s="239" t="str">
        <f>IFERROR(VLOOKUP($C969,'SINAPI MAIO 2020'!$1:$1048576,3,0),IFERROR(VLOOKUP($C969,'6-COMP. PROPRIA'!$B$1:$I$808,5,0),""))</f>
        <v>M</v>
      </c>
      <c r="M969" s="104"/>
      <c r="N969" s="105"/>
    </row>
    <row r="970" spans="2:14" ht="27" customHeight="1">
      <c r="B970" s="164"/>
      <c r="C970" s="275">
        <v>89447</v>
      </c>
      <c r="D970" s="275" t="s">
        <v>8</v>
      </c>
      <c r="E970" s="668" t="str">
        <f>IFERROR(VLOOKUP($C970,'SINAPI MAIO 2020'!$1:$1048576,2,0),IFERROR(VLOOKUP($C970,'6-COMP. PROPRIA'!$B$28:$I$808,4,0),""))</f>
        <v>TUBO, PVC, SOLDÁVEL, DN 32MM, INSTALADO EM PRUMADA DE ÁGUA - FORNECIMENTO E INSTALAÇÃO. AF_12/2014</v>
      </c>
      <c r="F970" s="669"/>
      <c r="G970" s="669"/>
      <c r="H970" s="669"/>
      <c r="I970" s="669"/>
      <c r="J970" s="670"/>
      <c r="K970" s="212">
        <v>11.27</v>
      </c>
      <c r="L970" s="239" t="str">
        <f>IFERROR(VLOOKUP($C970,'SINAPI MAIO 2020'!$1:$1048576,3,0),IFERROR(VLOOKUP($C970,'6-COMP. PROPRIA'!$B$1:$I$808,5,0),""))</f>
        <v>M</v>
      </c>
      <c r="M970" s="104"/>
      <c r="N970" s="105"/>
    </row>
    <row r="971" spans="2:14" ht="27" customHeight="1">
      <c r="B971" s="164"/>
      <c r="C971" s="275">
        <v>89448</v>
      </c>
      <c r="D971" s="275" t="s">
        <v>8</v>
      </c>
      <c r="E971" s="668" t="str">
        <f>IFERROR(VLOOKUP($C971,'SINAPI MAIO 2020'!$1:$1048576,2,0),IFERROR(VLOOKUP($C971,'6-COMP. PROPRIA'!$B$28:$I$808,4,0),""))</f>
        <v>TUBO, PVC, SOLDÁVEL, DN 40MM, INSTALADO EM PRUMADA DE ÁGUA - FORNECIMENTO E INSTALAÇÃO. AF_12/2014</v>
      </c>
      <c r="F971" s="669"/>
      <c r="G971" s="669"/>
      <c r="H971" s="669"/>
      <c r="I971" s="669"/>
      <c r="J971" s="670"/>
      <c r="K971" s="212">
        <v>6.09</v>
      </c>
      <c r="L971" s="239" t="str">
        <f>IFERROR(VLOOKUP($C971,'SINAPI MAIO 2020'!$1:$1048576,3,0),IFERROR(VLOOKUP($C971,'6-COMP. PROPRIA'!$B$1:$I$808,5,0),""))</f>
        <v>M</v>
      </c>
      <c r="M971" s="104"/>
      <c r="N971" s="105"/>
    </row>
    <row r="972" spans="2:14" ht="27" customHeight="1">
      <c r="B972" s="164"/>
      <c r="C972" s="275">
        <v>89449</v>
      </c>
      <c r="D972" s="275" t="s">
        <v>8</v>
      </c>
      <c r="E972" s="668" t="str">
        <f>IFERROR(VLOOKUP($C972,'SINAPI MAIO 2020'!$1:$1048576,2,0),IFERROR(VLOOKUP($C972,'6-COMP. PROPRIA'!$B$28:$I$808,4,0),""))</f>
        <v>TUBO, PVC, SOLDÁVEL, DN 50MM, INSTALADO EM PRUMADA DE ÁGUA - FORNECIMENTO E INSTALAÇÃO. AF_12/2014</v>
      </c>
      <c r="F972" s="669"/>
      <c r="G972" s="669"/>
      <c r="H972" s="669"/>
      <c r="I972" s="669"/>
      <c r="J972" s="670"/>
      <c r="K972" s="212">
        <v>136.02000000000001</v>
      </c>
      <c r="L972" s="239" t="str">
        <f>IFERROR(VLOOKUP($C972,'SINAPI MAIO 2020'!$1:$1048576,3,0),IFERROR(VLOOKUP($C972,'6-COMP. PROPRIA'!$B$1:$I$808,5,0),""))</f>
        <v>M</v>
      </c>
      <c r="M972" s="104"/>
      <c r="N972" s="105"/>
    </row>
    <row r="973" spans="2:14" ht="27" customHeight="1">
      <c r="B973" s="164"/>
      <c r="C973" s="275">
        <v>89450</v>
      </c>
      <c r="D973" s="275" t="s">
        <v>8</v>
      </c>
      <c r="E973" s="668" t="str">
        <f>IFERROR(VLOOKUP($C973,'SINAPI MAIO 2020'!$1:$1048576,2,0),IFERROR(VLOOKUP($C973,'6-COMP. PROPRIA'!$B$28:$I$808,4,0),""))</f>
        <v>TUBO, PVC, SOLDÁVEL, DN 60MM, INSTALADO EM PRUMADA DE ÁGUA - FORNECIMENTO E INSTALAÇÃO. AF_12/2014</v>
      </c>
      <c r="F973" s="669"/>
      <c r="G973" s="669"/>
      <c r="H973" s="669"/>
      <c r="I973" s="669"/>
      <c r="J973" s="670"/>
      <c r="K973" s="212">
        <f>6+5.38</f>
        <v>11.379999999999999</v>
      </c>
      <c r="L973" s="239" t="str">
        <f>IFERROR(VLOOKUP($C973,'SINAPI MAIO 2020'!$1:$1048576,3,0),IFERROR(VLOOKUP($C973,'6-COMP. PROPRIA'!$B$1:$I$808,5,0),""))</f>
        <v>M</v>
      </c>
      <c r="M973" s="104"/>
      <c r="N973" s="105"/>
    </row>
    <row r="974" spans="2:14" ht="27" customHeight="1">
      <c r="B974" s="164"/>
      <c r="C974" s="275">
        <v>89440</v>
      </c>
      <c r="D974" s="275" t="s">
        <v>8</v>
      </c>
      <c r="E974" s="668" t="str">
        <f>IFERROR(VLOOKUP($C974,'SINAPI MAIO 2020'!$1:$1048576,2,0),IFERROR(VLOOKUP($C974,'6-COMP. PROPRIA'!$B$28:$I$808,4,0),""))</f>
        <v>TE, PVC, SOLDÁVEL, DN 25MM, INSTALADO EM RAMAL DE DISTRIBUIÇÃO DE ÁGUA - FORNECIMENTO E INSTALAÇÃO. AF_12/2014</v>
      </c>
      <c r="F974" s="669"/>
      <c r="G974" s="669"/>
      <c r="H974" s="669"/>
      <c r="I974" s="669"/>
      <c r="J974" s="670"/>
      <c r="K974" s="212">
        <v>6</v>
      </c>
      <c r="L974" s="239" t="str">
        <f>IFERROR(VLOOKUP($C974,'SINAPI MAIO 2020'!$1:$1048576,3,0),IFERROR(VLOOKUP($C974,'6-COMP. PROPRIA'!$B$1:$I$808,5,0),""))</f>
        <v>UN</v>
      </c>
      <c r="M974" s="104"/>
      <c r="N974" s="105"/>
    </row>
    <row r="975" spans="2:14" ht="27" customHeight="1">
      <c r="B975" s="164"/>
      <c r="C975" s="274" t="str">
        <f>'6-COMP. PROPRIA'!B137</f>
        <v>CP-HID-3</v>
      </c>
      <c r="D975" s="275" t="s">
        <v>980</v>
      </c>
      <c r="E975" s="668" t="str">
        <f>IFERROR(VLOOKUP($C975,'SINAPI MAIO 2020'!$1:$1048576,2,0),IFERROR(VLOOKUP($C975,'6-COMP. PROPRIA'!$B$28:$I$808,4,0),""))</f>
        <v>TE DE REDUCAO, PVC, SOLDAVEL, 90 GRAUS, 50 MM X 32 MM, PARA AGUA FRIA PREDIAL</v>
      </c>
      <c r="F975" s="669"/>
      <c r="G975" s="669"/>
      <c r="H975" s="669"/>
      <c r="I975" s="669"/>
      <c r="J975" s="670"/>
      <c r="K975" s="212">
        <v>5</v>
      </c>
      <c r="L975" s="239" t="str">
        <f>IFERROR(VLOOKUP($C975,'SINAPI MAIO 2020'!$1:$1048576,3,0),IFERROR(VLOOKUP($C975,'6-COMP. PROPRIA'!$B$1:$I$808,5,0),""))</f>
        <v>UN</v>
      </c>
      <c r="M975" s="104"/>
      <c r="N975" s="105"/>
    </row>
    <row r="976" spans="2:14" ht="27" customHeight="1">
      <c r="B976" s="164"/>
      <c r="C976" s="275">
        <v>94695</v>
      </c>
      <c r="D976" s="275" t="s">
        <v>8</v>
      </c>
      <c r="E976" s="668" t="str">
        <f>IFERROR(VLOOKUP($C976,'SINAPI MAIO 2020'!$1:$1048576,2,0),IFERROR(VLOOKUP($C976,'6-COMP. PROPRIA'!$B$28:$I$808,4,0),""))</f>
        <v>TÊ DE REDUÇÃO, PVC, SOLDÁVEL, DN 50 MM X 40 MM, INSTALADO EM RESERVAÇÃO DE ÁGUA DE EDIFICAÇÃO QUE POSSUA RESERVATÓRIO DE FIBRA/FIBROCIMENTO   FORNECIMENTO E INSTALAÇÃO. AF_06/2016</v>
      </c>
      <c r="F976" s="669"/>
      <c r="G976" s="669"/>
      <c r="H976" s="669"/>
      <c r="I976" s="669"/>
      <c r="J976" s="670"/>
      <c r="K976" s="212">
        <v>4</v>
      </c>
      <c r="L976" s="239" t="str">
        <f>IFERROR(VLOOKUP($C976,'SINAPI MAIO 2020'!$1:$1048576,3,0),IFERROR(VLOOKUP($C976,'6-COMP. PROPRIA'!$B$1:$I$808,5,0),""))</f>
        <v>UN</v>
      </c>
      <c r="M976" s="104"/>
      <c r="N976" s="105"/>
    </row>
    <row r="977" spans="2:14" ht="27" customHeight="1">
      <c r="B977" s="164"/>
      <c r="C977" s="275">
        <v>94496</v>
      </c>
      <c r="D977" s="275" t="s">
        <v>8</v>
      </c>
      <c r="E977" s="668" t="str">
        <f>IFERROR(VLOOKUP($C977,'SINAPI MAIO 2020'!$1:$1048576,2,0),IFERROR(VLOOKUP($C977,'6-COMP. PROPRIA'!$B$28:$I$808,4,0),""))</f>
        <v>REGISTRO DE GAVETA BRUTO, LATÃO, ROSCÁVEL, 1 1/4, INSTALADO EM RESERVAÇÃO DE ÁGUA DE EDIFICAÇÃO QUE POSSUA RESERVATÓRIO DE FIBRA/FIBROCIMENTO  FORNECIMENTO E INSTALAÇÃO. AF_06/2016</v>
      </c>
      <c r="F977" s="669"/>
      <c r="G977" s="669"/>
      <c r="H977" s="669"/>
      <c r="I977" s="669"/>
      <c r="J977" s="670"/>
      <c r="K977" s="212">
        <v>6</v>
      </c>
      <c r="L977" s="239" t="str">
        <f>IFERROR(VLOOKUP($C977,'SINAPI MAIO 2020'!$1:$1048576,3,0),IFERROR(VLOOKUP($C977,'6-COMP. PROPRIA'!$B$1:$I$808,5,0),""))</f>
        <v>UN</v>
      </c>
      <c r="M977" s="104"/>
      <c r="N977" s="105"/>
    </row>
    <row r="978" spans="2:14" ht="27" customHeight="1">
      <c r="B978" s="164"/>
      <c r="C978" s="275">
        <v>89351</v>
      </c>
      <c r="D978" s="275" t="s">
        <v>8</v>
      </c>
      <c r="E978" s="668" t="str">
        <f>IFERROR(VLOOKUP($C978,'SINAPI MAIO 2020'!$1:$1048576,2,0),IFERROR(VLOOKUP($C978,'6-COMP. PROPRIA'!$B$28:$I$808,4,0),""))</f>
        <v>REGISTRO DE PRESSÃO BRUTO, LATÃO,  ROSCÁVEL, 3/4, FORNECIDO E INSTALADO EM RAMAL DE ÁGUA. AF_12/2014</v>
      </c>
      <c r="F978" s="669"/>
      <c r="G978" s="669"/>
      <c r="H978" s="669"/>
      <c r="I978" s="669"/>
      <c r="J978" s="670"/>
      <c r="K978" s="212">
        <v>12</v>
      </c>
      <c r="L978" s="239" t="str">
        <f>IFERROR(VLOOKUP($C978,'SINAPI MAIO 2020'!$1:$1048576,3,0),IFERROR(VLOOKUP($C978,'6-COMP. PROPRIA'!$B$1:$I$808,5,0),""))</f>
        <v>UN</v>
      </c>
      <c r="M978" s="104"/>
      <c r="N978" s="105"/>
    </row>
    <row r="979" spans="2:14" ht="27" customHeight="1">
      <c r="B979" s="164"/>
      <c r="C979" s="275">
        <v>89985</v>
      </c>
      <c r="D979" s="275" t="s">
        <v>8</v>
      </c>
      <c r="E979" s="668" t="str">
        <f>IFERROR(VLOOKUP($C979,'SINAPI MAIO 2020'!$1:$1048576,2,0),IFERROR(VLOOKUP($C979,'6-COMP. PROPRIA'!$B$28:$I$808,4,0),""))</f>
        <v>REGISTRO DE PRESSÃO BRUTO, LATÃO, ROSCÁVEL, 3/4", COM ACABAMENTO E CANOPLA CROMADOS. FORNECIDO E INSTALADO EM RAMAL DE ÁGUA. AF_12/2014</v>
      </c>
      <c r="F979" s="669"/>
      <c r="G979" s="669"/>
      <c r="H979" s="669"/>
      <c r="I979" s="669"/>
      <c r="J979" s="670"/>
      <c r="K979" s="212">
        <v>2</v>
      </c>
      <c r="L979" s="239" t="str">
        <f>IFERROR(VLOOKUP($C979,'SINAPI MAIO 2020'!$1:$1048576,3,0),IFERROR(VLOOKUP($C979,'6-COMP. PROPRIA'!$B$1:$I$808,5,0),""))</f>
        <v>UN</v>
      </c>
      <c r="M979" s="104"/>
      <c r="N979" s="105"/>
    </row>
    <row r="980" spans="2:14" ht="27" customHeight="1">
      <c r="B980" s="164"/>
      <c r="C980" s="274" t="str">
        <f>'6-COMP. PROPRIA'!B145</f>
        <v>CP-HID-4</v>
      </c>
      <c r="D980" s="275" t="s">
        <v>980</v>
      </c>
      <c r="E980" s="668" t="str">
        <f>IFERROR(VLOOKUP($C980,'SINAPI MAIO 2020'!$1:$1048576,2,0),IFERROR(VLOOKUP($C980,'6-COMP. PROPRIA'!$B$28:$I$808,4,0),""))</f>
        <v>VALVULA DE DESCARGA METALICA, BASE 1 1/4 " E ACABAMENTO METALICO CROMADO</v>
      </c>
      <c r="F980" s="669"/>
      <c r="G980" s="669"/>
      <c r="H980" s="669"/>
      <c r="I980" s="669"/>
      <c r="J980" s="670"/>
      <c r="K980" s="212">
        <v>8</v>
      </c>
      <c r="L980" s="239" t="str">
        <f>IFERROR(VLOOKUP($C980,'SINAPI MAIO 2020'!$1:$1048576,3,0),IFERROR(VLOOKUP($C980,'6-COMP. PROPRIA'!$B$1:$I$808,5,0),""))</f>
        <v>UN</v>
      </c>
      <c r="M980" s="104"/>
      <c r="N980" s="105"/>
    </row>
    <row r="981" spans="2:14" ht="27" customHeight="1">
      <c r="B981" s="164"/>
      <c r="C981" s="274" t="str">
        <f>'6-COMP. PROPRIA'!B151</f>
        <v>CP-HID-5</v>
      </c>
      <c r="D981" s="275" t="s">
        <v>980</v>
      </c>
      <c r="E981" s="668" t="str">
        <f>IFERROR(VLOOKUP($C981,'SINAPI MAIO 2020'!$1:$1048576,2,0),IFERROR(VLOOKUP($C981,'6-COMP. PROPRIA'!$B$28:$I$808,4,0),""))</f>
        <v>BUCHA DE REDUCAO DE PVC, SOLDAVEL, LONGA, COM 50 X 32 MM, PARA AGUA FRIA PREDIAL</v>
      </c>
      <c r="F981" s="669"/>
      <c r="G981" s="669"/>
      <c r="H981" s="669"/>
      <c r="I981" s="669"/>
      <c r="J981" s="670"/>
      <c r="K981" s="212">
        <v>7</v>
      </c>
      <c r="L981" s="239" t="str">
        <f>IFERROR(VLOOKUP($C981,'SINAPI MAIO 2020'!$1:$1048576,3,0),IFERROR(VLOOKUP($C981,'6-COMP. PROPRIA'!$B$1:$I$808,5,0),""))</f>
        <v>UN</v>
      </c>
      <c r="M981" s="104"/>
      <c r="N981" s="105"/>
    </row>
    <row r="982" spans="2:14" ht="17.25" customHeight="1" thickBot="1">
      <c r="B982" s="164"/>
      <c r="C982" s="20"/>
      <c r="D982" s="20"/>
      <c r="E982" s="668" t="str">
        <f>IFERROR(VLOOKUP($C982,'SINAPI MAIO 2020'!$1:$1048576,2,0),IFERROR(VLOOKUP($C982,'6-COMP. PROPRIA'!$B$28:$I$808,4,0),""))</f>
        <v/>
      </c>
      <c r="F982" s="669"/>
      <c r="G982" s="669"/>
      <c r="H982" s="669"/>
      <c r="I982" s="669"/>
      <c r="J982" s="670"/>
      <c r="K982" s="211"/>
      <c r="L982" s="239" t="str">
        <f>IFERROR(VLOOKUP($C982,'SINAPI MAIO 2020'!$1:$1048576,3,0),IFERROR(VLOOKUP($C982,'6-COMP. PROPRIA'!$B$1:$I$808,5,0),""))</f>
        <v/>
      </c>
      <c r="M982" s="104"/>
      <c r="N982" s="105"/>
    </row>
    <row r="983" spans="2:14" ht="17.25" customHeight="1" thickBot="1">
      <c r="B983" s="164"/>
      <c r="C983" s="20"/>
      <c r="D983" s="20"/>
      <c r="E983" s="674" t="s">
        <v>14806</v>
      </c>
      <c r="F983" s="675"/>
      <c r="G983" s="675"/>
      <c r="H983" s="675"/>
      <c r="I983" s="675"/>
      <c r="J983" s="676"/>
      <c r="K983" s="211"/>
      <c r="L983" s="239" t="str">
        <f>IFERROR(VLOOKUP($C983,'SINAPI MAIO 2020'!$1:$1048576,3,0),IFERROR(VLOOKUP($C983,'6-COMP. PROPRIA'!$B$1:$I$808,5,0),""))</f>
        <v/>
      </c>
      <c r="M983" s="104"/>
      <c r="N983" s="105"/>
    </row>
    <row r="984" spans="2:14" ht="17.25" customHeight="1">
      <c r="B984" s="164"/>
      <c r="C984" s="20"/>
      <c r="D984" s="20"/>
      <c r="E984" s="668" t="str">
        <f>IFERROR(VLOOKUP($C984,'SINAPI MAIO 2020'!$1:$1048576,2,0),IFERROR(VLOOKUP($C984,'6-COMP. PROPRIA'!$B$28:$I$808,4,0),""))</f>
        <v/>
      </c>
      <c r="F984" s="669"/>
      <c r="G984" s="669"/>
      <c r="H984" s="669"/>
      <c r="I984" s="669"/>
      <c r="J984" s="670"/>
      <c r="K984" s="211"/>
      <c r="L984" s="239" t="str">
        <f>IFERROR(VLOOKUP($C984,'SINAPI MAIO 2020'!$1:$1048576,3,0),IFERROR(VLOOKUP($C984,'6-COMP. PROPRIA'!$B$1:$I$808,5,0),""))</f>
        <v/>
      </c>
      <c r="M984" s="104"/>
      <c r="N984" s="105"/>
    </row>
    <row r="985" spans="2:14" ht="33" customHeight="1">
      <c r="B985" s="164"/>
      <c r="C985" s="275">
        <v>89538</v>
      </c>
      <c r="D985" s="275" t="s">
        <v>8</v>
      </c>
      <c r="E985" s="668" t="str">
        <f>IFERROR(VLOOKUP($C985,'SINAPI MAIO 2020'!$1:$1048576,2,0),IFERROR(VLOOKUP($C985,'6-COMP. PROPRIA'!$B$28:$I$808,4,0),""))</f>
        <v>ADAPTADOR CURTO COM BOLSA E ROSCA PARA REGISTRO, PVC, SOLDÁVEL, DN 25MM X 3/4, INSTALADO EM PRUMADA DE ÁGUA - FORNECIMENTO E INSTALAÇÃO. AF_12/2014</v>
      </c>
      <c r="F985" s="669"/>
      <c r="G985" s="669"/>
      <c r="H985" s="669"/>
      <c r="I985" s="669"/>
      <c r="J985" s="670"/>
      <c r="K985" s="211">
        <v>26</v>
      </c>
      <c r="L985" s="239" t="str">
        <f>IFERROR(VLOOKUP($C985,'SINAPI MAIO 2020'!$1:$1048576,3,0),IFERROR(VLOOKUP($C985,'6-COMP. PROPRIA'!$B$1:$I$808,5,0),""))</f>
        <v>UN</v>
      </c>
      <c r="M985" s="104"/>
      <c r="N985" s="105"/>
    </row>
    <row r="986" spans="2:14" ht="33" customHeight="1">
      <c r="B986" s="164"/>
      <c r="C986" s="275">
        <v>89572</v>
      </c>
      <c r="D986" s="275" t="s">
        <v>8</v>
      </c>
      <c r="E986" s="668" t="str">
        <f>IFERROR(VLOOKUP($C986,'SINAPI MAIO 2020'!$1:$1048576,2,0),IFERROR(VLOOKUP($C986,'6-COMP. PROPRIA'!$B$28:$I$808,4,0),""))</f>
        <v>ADAPTADOR CURTO COM BOLSA E ROSCA PARA REGISTRO, PVC, SOLDÁVEL, DN 40MM X 1.1/4, INSTALADO EM PRUMADA DE ÁGUA - FORNECIMENTO E INSTALAÇÃO. AF_12/2014</v>
      </c>
      <c r="F986" s="669"/>
      <c r="G986" s="669"/>
      <c r="H986" s="669"/>
      <c r="I986" s="669"/>
      <c r="J986" s="670"/>
      <c r="K986" s="211">
        <v>20</v>
      </c>
      <c r="L986" s="239" t="str">
        <f>IFERROR(VLOOKUP($C986,'SINAPI MAIO 2020'!$1:$1048576,3,0),IFERROR(VLOOKUP($C986,'6-COMP. PROPRIA'!$B$1:$I$808,5,0),""))</f>
        <v>UN</v>
      </c>
      <c r="M986" s="104"/>
      <c r="N986" s="105"/>
    </row>
    <row r="987" spans="2:14" ht="33" customHeight="1">
      <c r="B987" s="164"/>
      <c r="C987" s="275">
        <v>90375</v>
      </c>
      <c r="D987" s="275" t="s">
        <v>8</v>
      </c>
      <c r="E987" s="668" t="str">
        <f>IFERROR(VLOOKUP($C987,'SINAPI MAIO 2020'!$1:$1048576,2,0),IFERROR(VLOOKUP($C987,'6-COMP. PROPRIA'!$B$28:$I$808,4,0),""))</f>
        <v>BUCHA DE REDUÇÃO, PVC, SOLDÁVEL, DN 40MM X 32MM, INSTALADO EM RAMAL OU SUB-RAMAL DE ÁGUA - FORNECIMENTO E INSTALAÇÃO. AF_03/2015</v>
      </c>
      <c r="F987" s="669"/>
      <c r="G987" s="669"/>
      <c r="H987" s="669"/>
      <c r="I987" s="669"/>
      <c r="J987" s="670"/>
      <c r="K987" s="211">
        <v>1</v>
      </c>
      <c r="L987" s="239" t="str">
        <f>IFERROR(VLOOKUP($C987,'SINAPI MAIO 2020'!$1:$1048576,3,0),IFERROR(VLOOKUP($C987,'6-COMP. PROPRIA'!$B$1:$I$808,5,0),""))</f>
        <v>UN</v>
      </c>
      <c r="M987" s="104"/>
      <c r="N987" s="105"/>
    </row>
    <row r="988" spans="2:14" ht="33" customHeight="1">
      <c r="B988" s="164"/>
      <c r="C988" s="274" t="str">
        <f>'6-COMP. PROPRIA'!B160</f>
        <v>CP-HID-6</v>
      </c>
      <c r="D988" s="275" t="s">
        <v>980</v>
      </c>
      <c r="E988" s="668" t="str">
        <f>IFERROR(VLOOKUP($C988,'SINAPI MAIO 2020'!$1:$1048576,2,0),IFERROR(VLOOKUP($C988,'6-COMP. PROPRIA'!$B$28:$I$808,4,0),""))</f>
        <v>BUCHA DE REDUCAO DE PVC, SOLDAVEL, CURTA, COM 50 X 40 MM, PARA AGUA FRIA PREDIAL</v>
      </c>
      <c r="F988" s="669"/>
      <c r="G988" s="669"/>
      <c r="H988" s="669"/>
      <c r="I988" s="669"/>
      <c r="J988" s="670"/>
      <c r="K988" s="211">
        <v>2</v>
      </c>
      <c r="L988" s="239" t="str">
        <f>IFERROR(VLOOKUP($C988,'SINAPI MAIO 2020'!$1:$1048576,3,0),IFERROR(VLOOKUP($C988,'6-COMP. PROPRIA'!$B$1:$I$808,5,0),""))</f>
        <v>UN</v>
      </c>
      <c r="M988" s="104"/>
      <c r="N988" s="105"/>
    </row>
    <row r="989" spans="2:14" ht="33" customHeight="1">
      <c r="B989" s="164"/>
      <c r="C989" s="275">
        <v>89408</v>
      </c>
      <c r="D989" s="275" t="s">
        <v>8</v>
      </c>
      <c r="E989" s="668" t="str">
        <f>IFERROR(VLOOKUP($C989,'SINAPI MAIO 2020'!$1:$1048576,2,0),IFERROR(VLOOKUP($C989,'6-COMP. PROPRIA'!$B$28:$I$808,4,0),""))</f>
        <v>JOELHO 90 GRAUS, PVC, SOLDÁVEL, DN 25MM, INSTALADO EM RAMAL DE DISTRIBUIÇÃO DE ÁGUA - FORNECIMENTO E INSTALAÇÃO. AF_12/2014</v>
      </c>
      <c r="F989" s="669"/>
      <c r="G989" s="669"/>
      <c r="H989" s="669"/>
      <c r="I989" s="669"/>
      <c r="J989" s="670"/>
      <c r="K989" s="211">
        <v>3</v>
      </c>
      <c r="L989" s="239" t="str">
        <f>IFERROR(VLOOKUP($C989,'SINAPI MAIO 2020'!$1:$1048576,3,0),IFERROR(VLOOKUP($C989,'6-COMP. PROPRIA'!$B$1:$I$808,5,0),""))</f>
        <v>UN</v>
      </c>
      <c r="M989" s="104"/>
      <c r="N989" s="105"/>
    </row>
    <row r="990" spans="2:14" ht="33" customHeight="1">
      <c r="B990" s="164"/>
      <c r="C990" s="275">
        <v>89497</v>
      </c>
      <c r="D990" s="275" t="s">
        <v>8</v>
      </c>
      <c r="E990" s="668" t="str">
        <f>IFERROR(VLOOKUP($C990,'SINAPI MAIO 2020'!$1:$1048576,2,0),IFERROR(VLOOKUP($C990,'6-COMP. PROPRIA'!$B$28:$I$808,4,0),""))</f>
        <v>JOELHO 90 GRAUS, PVC, SOLDÁVEL, DN 40MM, INSTALADO EM PRUMADA DE ÁGUA - FORNECIMENTO E INSTALAÇÃO. AF_12/2014</v>
      </c>
      <c r="F990" s="669"/>
      <c r="G990" s="669"/>
      <c r="H990" s="669"/>
      <c r="I990" s="669"/>
      <c r="J990" s="670"/>
      <c r="K990" s="211">
        <v>7</v>
      </c>
      <c r="L990" s="239" t="str">
        <f>IFERROR(VLOOKUP($C990,'SINAPI MAIO 2020'!$1:$1048576,3,0),IFERROR(VLOOKUP($C990,'6-COMP. PROPRIA'!$B$1:$I$808,5,0),""))</f>
        <v>UN</v>
      </c>
      <c r="M990" s="104"/>
      <c r="N990" s="105"/>
    </row>
    <row r="991" spans="2:14" ht="33" customHeight="1">
      <c r="B991" s="164"/>
      <c r="C991" s="274" t="str">
        <f>'6-COMP. PROPRIA'!B131</f>
        <v>CP-HID-2</v>
      </c>
      <c r="D991" s="275" t="s">
        <v>980</v>
      </c>
      <c r="E991" s="677" t="str">
        <f>IFERROR(VLOOKUP($C991,'SINAPI MAIO 2020'!$1:$1048576,2,0),IFERROR(VLOOKUP($C991,'6-COMP. PROPRIA'!$B$28:$I$808,4,0),""))</f>
        <v xml:space="preserve">JOELHO DE REDUCAO, PVC SOLDAVEL, 90 GRAUS,  32 MM X 25 MM, PARA AGUA FRIA PREDIAL </v>
      </c>
      <c r="F991" s="678" t="str">
        <f>IFERROR(VLOOKUP($C991,'SINAPI MAIO 2020'!$1:$1048576,2,0),IFERROR(VLOOKUP($C991,'6-COMP. PROPRIA'!$B$28:$I$808,4,0),""))</f>
        <v xml:space="preserve">JOELHO DE REDUCAO, PVC SOLDAVEL, 90 GRAUS,  32 MM X 25 MM, PARA AGUA FRIA PREDIAL </v>
      </c>
      <c r="G991" s="678" t="str">
        <f>IFERROR(VLOOKUP($C991,'SINAPI MAIO 2020'!$1:$1048576,2,0),IFERROR(VLOOKUP($C991,'6-COMP. PROPRIA'!$B$28:$I$808,4,0),""))</f>
        <v xml:space="preserve">JOELHO DE REDUCAO, PVC SOLDAVEL, 90 GRAUS,  32 MM X 25 MM, PARA AGUA FRIA PREDIAL </v>
      </c>
      <c r="H991" s="678" t="str">
        <f>IFERROR(VLOOKUP($C991,'SINAPI MAIO 2020'!$1:$1048576,2,0),IFERROR(VLOOKUP($C991,'6-COMP. PROPRIA'!$B$28:$I$808,4,0),""))</f>
        <v xml:space="preserve">JOELHO DE REDUCAO, PVC SOLDAVEL, 90 GRAUS,  32 MM X 25 MM, PARA AGUA FRIA PREDIAL </v>
      </c>
      <c r="I991" s="678" t="str">
        <f>IFERROR(VLOOKUP($C991,'SINAPI MAIO 2020'!$1:$1048576,2,0),IFERROR(VLOOKUP($C991,'6-COMP. PROPRIA'!$B$28:$I$808,4,0),""))</f>
        <v xml:space="preserve">JOELHO DE REDUCAO, PVC SOLDAVEL, 90 GRAUS,  32 MM X 25 MM, PARA AGUA FRIA PREDIAL </v>
      </c>
      <c r="J991" s="679" t="str">
        <f>IFERROR(VLOOKUP($C991,'SINAPI MAIO 2020'!$1:$1048576,2,0),IFERROR(VLOOKUP($C991,'6-COMP. PROPRIA'!$B$28:$I$808,4,0),""))</f>
        <v xml:space="preserve">JOELHO DE REDUCAO, PVC SOLDAVEL, 90 GRAUS,  32 MM X 25 MM, PARA AGUA FRIA PREDIAL </v>
      </c>
      <c r="K991" s="211">
        <v>1</v>
      </c>
      <c r="L991" s="239" t="str">
        <f>IFERROR(VLOOKUP($C991,'SINAPI MAIO 2020'!$1:$1048576,3,0),IFERROR(VLOOKUP($C991,'6-COMP. PROPRIA'!$B$1:$I$808,5,0),""))</f>
        <v>UN</v>
      </c>
      <c r="M991" s="104"/>
      <c r="N991" s="105"/>
    </row>
    <row r="992" spans="2:14" ht="33" customHeight="1">
      <c r="B992" s="164"/>
      <c r="C992" s="275">
        <v>89446</v>
      </c>
      <c r="D992" s="275" t="s">
        <v>8</v>
      </c>
      <c r="E992" s="668" t="str">
        <f>IFERROR(VLOOKUP($C992,'SINAPI MAIO 2020'!$1:$1048576,2,0),IFERROR(VLOOKUP($C992,'6-COMP. PROPRIA'!$B$28:$I$808,4,0),""))</f>
        <v>TUBO, PVC, SOLDÁVEL, DN 25MM, INSTALADO EM PRUMADA DE ÁGUA - FORNECIMENTO E INSTALAÇÃO. AF_12/2014</v>
      </c>
      <c r="F992" s="669"/>
      <c r="G992" s="669"/>
      <c r="H992" s="669"/>
      <c r="I992" s="669"/>
      <c r="J992" s="670"/>
      <c r="K992" s="211">
        <v>27.93</v>
      </c>
      <c r="L992" s="239" t="str">
        <f>IFERROR(VLOOKUP($C992,'SINAPI MAIO 2020'!$1:$1048576,3,0),IFERROR(VLOOKUP($C992,'6-COMP. PROPRIA'!$B$1:$I$808,5,0),""))</f>
        <v>M</v>
      </c>
      <c r="M992" s="104"/>
      <c r="N992" s="105"/>
    </row>
    <row r="993" spans="2:14" ht="33" customHeight="1">
      <c r="B993" s="164"/>
      <c r="C993" s="275">
        <v>89447</v>
      </c>
      <c r="D993" s="275" t="s">
        <v>8</v>
      </c>
      <c r="E993" s="668" t="str">
        <f>IFERROR(VLOOKUP($C993,'SINAPI MAIO 2020'!$1:$1048576,2,0),IFERROR(VLOOKUP($C993,'6-COMP. PROPRIA'!$B$28:$I$808,4,0),""))</f>
        <v>TUBO, PVC, SOLDÁVEL, DN 32MM, INSTALADO EM PRUMADA DE ÁGUA - FORNECIMENTO E INSTALAÇÃO. AF_12/2014</v>
      </c>
      <c r="F993" s="669"/>
      <c r="G993" s="669"/>
      <c r="H993" s="669"/>
      <c r="I993" s="669"/>
      <c r="J993" s="670"/>
      <c r="K993" s="211">
        <v>0.87</v>
      </c>
      <c r="L993" s="239" t="str">
        <f>IFERROR(VLOOKUP($C993,'SINAPI MAIO 2020'!$1:$1048576,3,0),IFERROR(VLOOKUP($C993,'6-COMP. PROPRIA'!$B$1:$I$808,5,0),""))</f>
        <v>M</v>
      </c>
      <c r="M993" s="104"/>
      <c r="N993" s="105"/>
    </row>
    <row r="994" spans="2:14" ht="33" customHeight="1">
      <c r="B994" s="164"/>
      <c r="C994" s="275">
        <v>89448</v>
      </c>
      <c r="D994" s="275" t="s">
        <v>8</v>
      </c>
      <c r="E994" s="668" t="str">
        <f>IFERROR(VLOOKUP($C994,'SINAPI MAIO 2020'!$1:$1048576,2,0),IFERROR(VLOOKUP($C994,'6-COMP. PROPRIA'!$B$28:$I$808,4,0),""))</f>
        <v>TUBO, PVC, SOLDÁVEL, DN 40MM, INSTALADO EM PRUMADA DE ÁGUA - FORNECIMENTO E INSTALAÇÃO. AF_12/2014</v>
      </c>
      <c r="F994" s="669"/>
      <c r="G994" s="669"/>
      <c r="H994" s="669"/>
      <c r="I994" s="669"/>
      <c r="J994" s="670"/>
      <c r="K994" s="211">
        <v>12.83</v>
      </c>
      <c r="L994" s="239" t="str">
        <f>IFERROR(VLOOKUP($C994,'SINAPI MAIO 2020'!$1:$1048576,3,0),IFERROR(VLOOKUP($C994,'6-COMP. PROPRIA'!$B$1:$I$808,5,0),""))</f>
        <v>M</v>
      </c>
      <c r="M994" s="104"/>
      <c r="N994" s="105"/>
    </row>
    <row r="995" spans="2:14" ht="33" customHeight="1">
      <c r="B995" s="164"/>
      <c r="C995" s="275">
        <v>89395</v>
      </c>
      <c r="D995" s="275" t="s">
        <v>8</v>
      </c>
      <c r="E995" s="668" t="str">
        <f>IFERROR(VLOOKUP($C995,'SINAPI MAIO 2020'!$1:$1048576,2,0),IFERROR(VLOOKUP($C995,'6-COMP. PROPRIA'!$B$28:$I$808,4,0),""))</f>
        <v>TE, PVC, SOLDÁVEL, DN 25MM, INSTALADO EM RAMAL OU SUB-RAMAL DE ÁGUA - FORNECIMENTO E INSTALAÇÃO. AF_12/2014</v>
      </c>
      <c r="F995" s="669"/>
      <c r="G995" s="669"/>
      <c r="H995" s="669"/>
      <c r="I995" s="669"/>
      <c r="J995" s="670"/>
      <c r="K995" s="211">
        <v>3</v>
      </c>
      <c r="L995" s="239" t="str">
        <f>IFERROR(VLOOKUP($C995,'SINAPI MAIO 2020'!$1:$1048576,3,0),IFERROR(VLOOKUP($C995,'6-COMP. PROPRIA'!$B$1:$I$808,5,0),""))</f>
        <v>UN</v>
      </c>
      <c r="M995" s="104"/>
      <c r="N995" s="105"/>
    </row>
    <row r="996" spans="2:14" ht="33" customHeight="1">
      <c r="B996" s="164"/>
      <c r="C996" s="275">
        <v>89623</v>
      </c>
      <c r="D996" s="275" t="s">
        <v>8</v>
      </c>
      <c r="E996" s="668" t="str">
        <f>IFERROR(VLOOKUP($C996,'SINAPI MAIO 2020'!$1:$1048576,2,0),IFERROR(VLOOKUP($C996,'6-COMP. PROPRIA'!$B$28:$I$808,4,0),""))</f>
        <v>TE, PVC, SOLDÁVEL, DN 40MM, INSTALADO EM PRUMADA DE ÁGUA - FORNECIMENTO E INSTALAÇÃO. AF_12/2014</v>
      </c>
      <c r="F996" s="669"/>
      <c r="G996" s="669"/>
      <c r="H996" s="669"/>
      <c r="I996" s="669"/>
      <c r="J996" s="670"/>
      <c r="K996" s="211">
        <v>3</v>
      </c>
      <c r="L996" s="239" t="str">
        <f>IFERROR(VLOOKUP($C996,'SINAPI MAIO 2020'!$1:$1048576,3,0),IFERROR(VLOOKUP($C996,'6-COMP. PROPRIA'!$B$1:$I$808,5,0),""))</f>
        <v>UN</v>
      </c>
      <c r="M996" s="104"/>
      <c r="N996" s="105"/>
    </row>
    <row r="997" spans="2:14" ht="33" customHeight="1">
      <c r="B997" s="164"/>
      <c r="C997" s="275">
        <v>89366</v>
      </c>
      <c r="D997" s="275" t="s">
        <v>8</v>
      </c>
      <c r="E997" s="668" t="str">
        <f>IFERROR(VLOOKUP($C997,'SINAPI MAIO 2020'!$1:$1048576,2,0),IFERROR(VLOOKUP($C997,'6-COMP. PROPRIA'!$B$28:$I$808,4,0),""))</f>
        <v>JOELHO 90 GRAUS COM BUCHA DE LATÃO, PVC, SOLDÁVEL, DN 25MM, X 3/4 INSTALADO EM RAMAL OU SUB-RAMAL DE ÁGUA - FORNECIMENTO E INSTALAÇÃO. AF_12/2014</v>
      </c>
      <c r="F997" s="669"/>
      <c r="G997" s="669"/>
      <c r="H997" s="669"/>
      <c r="I997" s="669"/>
      <c r="J997" s="670"/>
      <c r="K997" s="211">
        <v>3</v>
      </c>
      <c r="L997" s="239" t="str">
        <f>IFERROR(VLOOKUP($C997,'SINAPI MAIO 2020'!$1:$1048576,3,0),IFERROR(VLOOKUP($C997,'6-COMP. PROPRIA'!$B$1:$I$808,5,0),""))</f>
        <v>UN</v>
      </c>
      <c r="M997" s="104"/>
      <c r="N997" s="105"/>
    </row>
    <row r="998" spans="2:14" ht="33" customHeight="1">
      <c r="B998" s="164"/>
      <c r="C998" s="274" t="str">
        <f>'6-COMP. PROPRIA'!B168</f>
        <v>CP-HID-7</v>
      </c>
      <c r="D998" s="275" t="s">
        <v>980</v>
      </c>
      <c r="E998" s="668" t="str">
        <f>IFERROR(VLOOKUP($C998,'SINAPI MAIO 2020'!$1:$1048576,2,0),IFERROR(VLOOKUP($C998,'6-COMP. PROPRIA'!$B$28:$I$808,4,0),""))</f>
        <v>TE PVC, SOLDAVEL, COM BUCHA DE LATAO NA BOLSA CENTRAL, 90 GRAUS, 25 MM X 1/2", PARA AGUA FRIA PREDIAL</v>
      </c>
      <c r="F998" s="669"/>
      <c r="G998" s="669"/>
      <c r="H998" s="669"/>
      <c r="I998" s="669"/>
      <c r="J998" s="670"/>
      <c r="K998" s="211">
        <v>1</v>
      </c>
      <c r="L998" s="239" t="str">
        <f>IFERROR(VLOOKUP($C998,'SINAPI MAIO 2020'!$1:$1048576,3,0),IFERROR(VLOOKUP($C998,'6-COMP. PROPRIA'!$B$1:$I$808,5,0),""))</f>
        <v>UN</v>
      </c>
      <c r="M998" s="104"/>
      <c r="N998" s="105"/>
    </row>
    <row r="999" spans="2:14" ht="33" customHeight="1">
      <c r="B999" s="164"/>
      <c r="C999" s="274" t="str">
        <f>'6-COMP. PROPRIA'!B176</f>
        <v>CP-HID-8</v>
      </c>
      <c r="D999" s="275" t="s">
        <v>980</v>
      </c>
      <c r="E999" s="668" t="str">
        <f>IFERROR(VLOOKUP($C999,'SINAPI MAIO 2020'!$1:$1048576,2,0),IFERROR(VLOOKUP($C999,'6-COMP. PROPRIA'!$B$28:$I$808,4,0),""))</f>
        <v>JOELHO DE REDUCAO, PVC, ROSCAVEL COM BUCHA DE LATAO, 90 GRAUS,  25 MM -1/2", PARA AGUA FRIA PREDIAL</v>
      </c>
      <c r="F999" s="669"/>
      <c r="G999" s="669"/>
      <c r="H999" s="669"/>
      <c r="I999" s="669"/>
      <c r="J999" s="670"/>
      <c r="K999" s="211">
        <v>14</v>
      </c>
      <c r="L999" s="239" t="str">
        <f>IFERROR(VLOOKUP($C999,'SINAPI MAIO 2020'!$1:$1048576,3,0),IFERROR(VLOOKUP($C999,'6-COMP. PROPRIA'!$B$1:$I$808,5,0),""))</f>
        <v>UN</v>
      </c>
      <c r="M999" s="104"/>
      <c r="N999" s="105"/>
    </row>
    <row r="1000" spans="2:14" ht="17.25" customHeight="1" thickBot="1">
      <c r="B1000" s="164"/>
      <c r="C1000" s="20"/>
      <c r="D1000" s="20"/>
      <c r="E1000" s="668" t="str">
        <f>IFERROR(VLOOKUP($C1000,'SINAPI MAIO 2020'!$1:$1048576,2,0),IFERROR(VLOOKUP($C1000,'6-COMP. PROPRIA'!$B$28:$I$808,4,0),""))</f>
        <v/>
      </c>
      <c r="F1000" s="669"/>
      <c r="G1000" s="669"/>
      <c r="H1000" s="669"/>
      <c r="I1000" s="669"/>
      <c r="J1000" s="670"/>
      <c r="K1000" s="211"/>
      <c r="L1000" s="239" t="str">
        <f>IFERROR(VLOOKUP($C1000,'SINAPI MAIO 2020'!$1:$1048576,3,0),IFERROR(VLOOKUP($C1000,'6-COMP. PROPRIA'!$B$1:$I$808,5,0),""))</f>
        <v/>
      </c>
      <c r="M1000" s="104"/>
      <c r="N1000" s="105"/>
    </row>
    <row r="1001" spans="2:14" ht="17.25" customHeight="1" thickBot="1">
      <c r="B1001" s="288"/>
      <c r="C1001" s="289"/>
      <c r="D1001" s="289"/>
      <c r="E1001" s="674" t="s">
        <v>6430</v>
      </c>
      <c r="F1001" s="675"/>
      <c r="G1001" s="675"/>
      <c r="H1001" s="675"/>
      <c r="I1001" s="675"/>
      <c r="J1001" s="676"/>
      <c r="K1001" s="211"/>
      <c r="L1001" s="239" t="str">
        <f>IFERROR(VLOOKUP($C1001,'SINAPI MAIO 2020'!$1:$1048576,3,0),IFERROR(VLOOKUP($C1001,'6-COMP. PROPRIA'!$B$1:$I$808,5,0),""))</f>
        <v/>
      </c>
      <c r="M1001" s="104"/>
      <c r="N1001" s="105"/>
    </row>
    <row r="1002" spans="2:14" ht="17.25" customHeight="1">
      <c r="B1002" s="168"/>
      <c r="C1002" s="91"/>
      <c r="D1002" s="91"/>
      <c r="E1002" s="306"/>
      <c r="F1002" s="307"/>
      <c r="G1002" s="307"/>
      <c r="H1002" s="307"/>
      <c r="I1002" s="307"/>
      <c r="J1002" s="308"/>
      <c r="K1002" s="211"/>
      <c r="L1002" s="239" t="str">
        <f>IFERROR(VLOOKUP($C1002,'SINAPI MAIO 2020'!$1:$1048576,3,0),IFERROR(VLOOKUP($C1002,'6-COMP. PROPRIA'!$B$1:$I$808,5,0),""))</f>
        <v/>
      </c>
      <c r="M1002" s="104"/>
      <c r="N1002" s="105"/>
    </row>
    <row r="1003" spans="2:14" ht="32.25" customHeight="1">
      <c r="B1003" s="164"/>
      <c r="C1003" s="274" t="str">
        <f>'6-COMP. PROPRIA'!B184</f>
        <v>CP-HID-9</v>
      </c>
      <c r="D1003" s="275" t="s">
        <v>980</v>
      </c>
      <c r="E1003" s="668" t="str">
        <f>IFERROR(VLOOKUP($C1003,'SINAPI MAIO 2020'!$1:$1048576,2,0),IFERROR(VLOOKUP($C1003,'6-COMP. PROPRIA'!$B$28:$I$808,4,0),""))</f>
        <v xml:space="preserve">RESERVATÓRIO METÁLICO TUBULAR 20.000 L COM CISTERNA </v>
      </c>
      <c r="F1003" s="669"/>
      <c r="G1003" s="669"/>
      <c r="H1003" s="669"/>
      <c r="I1003" s="669"/>
      <c r="J1003" s="670"/>
      <c r="K1003" s="211">
        <v>1</v>
      </c>
      <c r="L1003" s="239" t="str">
        <f>IFERROR(VLOOKUP($C1003,'SINAPI MAIO 2020'!$1:$1048576,3,0),IFERROR(VLOOKUP($C1003,'6-COMP. PROPRIA'!$B$1:$I$808,5,0),""))</f>
        <v>UNI</v>
      </c>
      <c r="M1003" s="104"/>
      <c r="N1003" s="105"/>
    </row>
    <row r="1004" spans="2:14" ht="17.25" customHeight="1" thickBot="1">
      <c r="B1004" s="164"/>
      <c r="C1004" s="20"/>
      <c r="D1004" s="20"/>
      <c r="E1004" s="306"/>
      <c r="F1004" s="307"/>
      <c r="G1004" s="307"/>
      <c r="H1004" s="307"/>
      <c r="I1004" s="307"/>
      <c r="J1004" s="308"/>
      <c r="K1004" s="211"/>
      <c r="L1004" s="239" t="str">
        <f>IFERROR(VLOOKUP($C1004,'SINAPI MAIO 2020'!$1:$1048576,3,0),IFERROR(VLOOKUP($C1004,'6-COMP. PROPRIA'!$B$1:$I$808,5,0),""))</f>
        <v/>
      </c>
      <c r="M1004" s="104"/>
      <c r="N1004" s="105"/>
    </row>
    <row r="1005" spans="2:14" ht="17.25" customHeight="1" thickBot="1">
      <c r="B1005" s="164"/>
      <c r="C1005" s="20"/>
      <c r="D1005" s="277"/>
      <c r="E1005" s="674" t="s">
        <v>14823</v>
      </c>
      <c r="F1005" s="675"/>
      <c r="G1005" s="675"/>
      <c r="H1005" s="675"/>
      <c r="I1005" s="675"/>
      <c r="J1005" s="676"/>
      <c r="K1005" s="211"/>
      <c r="L1005" s="239" t="str">
        <f>IFERROR(VLOOKUP($C1005,'SINAPI MAIO 2020'!$1:$1048576,3,0),IFERROR(VLOOKUP($C1005,'6-COMP. PROPRIA'!$B$1:$I$808,5,0),""))</f>
        <v/>
      </c>
      <c r="M1005" s="104"/>
      <c r="N1005" s="105"/>
    </row>
    <row r="1006" spans="2:14" ht="17.25" customHeight="1" thickBot="1">
      <c r="B1006" s="164"/>
      <c r="C1006" s="20"/>
      <c r="D1006" s="20"/>
      <c r="E1006" s="306"/>
      <c r="F1006" s="307"/>
      <c r="G1006" s="307"/>
      <c r="H1006" s="307"/>
      <c r="I1006" s="307"/>
      <c r="J1006" s="308"/>
      <c r="K1006" s="211"/>
      <c r="L1006" s="239" t="str">
        <f>IFERROR(VLOOKUP($C1006,'SINAPI MAIO 2020'!$1:$1048576,3,0),IFERROR(VLOOKUP($C1006,'6-COMP. PROPRIA'!$B$1:$I$808,5,0),""))</f>
        <v/>
      </c>
      <c r="M1006" s="104"/>
      <c r="N1006" s="105"/>
    </row>
    <row r="1007" spans="2:14" ht="17.25" customHeight="1" thickBot="1">
      <c r="B1007" s="164"/>
      <c r="C1007" s="20"/>
      <c r="D1007" s="20"/>
      <c r="E1007" s="674" t="s">
        <v>6151</v>
      </c>
      <c r="F1007" s="675"/>
      <c r="G1007" s="675"/>
      <c r="H1007" s="675"/>
      <c r="I1007" s="675"/>
      <c r="J1007" s="676"/>
      <c r="K1007" s="211"/>
      <c r="L1007" s="239" t="str">
        <f>IFERROR(VLOOKUP($C1007,'SINAPI MAIO 2020'!$1:$1048576,3,0),IFERROR(VLOOKUP($C1007,'6-COMP. PROPRIA'!$B$1:$I$808,5,0),""))</f>
        <v/>
      </c>
      <c r="M1007" s="104"/>
      <c r="N1007" s="105"/>
    </row>
    <row r="1008" spans="2:14" ht="17.25" customHeight="1">
      <c r="B1008" s="164"/>
      <c r="C1008" s="274" t="str">
        <f>'6-COMP. PROPRIA'!B28</f>
        <v>CP-DEM-2</v>
      </c>
      <c r="D1008" s="275" t="s">
        <v>980</v>
      </c>
      <c r="E1008" s="668" t="str">
        <f>IFERROR(VLOOKUP($C1008,'SINAPI MAIO 2020'!$1:$1048576,2,0),IFERROR(VLOOKUP($C1008,'6-COMP. PROPRIA'!$B$28:$I$808,4,0),""))</f>
        <v>DEMOLIÇÃO DE CONCRETO SIMPLES</v>
      </c>
      <c r="F1008" s="669"/>
      <c r="G1008" s="669"/>
      <c r="H1008" s="669"/>
      <c r="I1008" s="669"/>
      <c r="J1008" s="670"/>
      <c r="K1008" s="212">
        <f>SUM(K1010:K1012)</f>
        <v>8.3904000000000006E-2</v>
      </c>
      <c r="L1008" s="239" t="str">
        <f>IFERROR(VLOOKUP($C1008,'SINAPI MAIO 2020'!$1:$1048576,3,0),IFERROR(VLOOKUP($C1008,'6-COMP. PROPRIA'!$B$1:$I$808,5,0),""))</f>
        <v>M3</v>
      </c>
      <c r="M1008" s="104"/>
      <c r="N1008" s="105"/>
    </row>
    <row r="1009" spans="2:14" ht="17.25" customHeight="1">
      <c r="B1009" s="164"/>
      <c r="C1009" s="20"/>
      <c r="D1009" s="20"/>
      <c r="E1009" s="75" t="s">
        <v>984</v>
      </c>
      <c r="F1009" s="309" t="s">
        <v>985</v>
      </c>
      <c r="G1009" s="311" t="s">
        <v>929</v>
      </c>
      <c r="H1009" s="309" t="s">
        <v>920</v>
      </c>
      <c r="I1009" s="312"/>
      <c r="J1009" s="107"/>
      <c r="K1009" s="215"/>
      <c r="L1009" s="239" t="str">
        <f>IFERROR(VLOOKUP($C1009,'SINAPI MAIO 2020'!$1:$1048576,3,0),IFERROR(VLOOKUP($C1009,'6-COMP. PROPRIA'!$B$1:$I$808,5,0),""))</f>
        <v/>
      </c>
      <c r="M1009" s="104"/>
      <c r="N1009" s="105"/>
    </row>
    <row r="1010" spans="2:14" ht="17.25" customHeight="1">
      <c r="B1010" s="164"/>
      <c r="C1010" s="20"/>
      <c r="D1010" s="20"/>
      <c r="E1010" s="102">
        <f>0.1+0.05+0.05</f>
        <v>0.2</v>
      </c>
      <c r="F1010" s="63">
        <f>8.03+(0.68*5)+(0.82*5)+2.61+2.21+0.5+0.34</f>
        <v>21.19</v>
      </c>
      <c r="G1010" s="63">
        <v>0.01</v>
      </c>
      <c r="H1010" s="63">
        <v>1</v>
      </c>
      <c r="I1010" s="312"/>
      <c r="J1010" s="107"/>
      <c r="K1010" s="62">
        <f>E1010*F1010*G1010*H1010</f>
        <v>4.2380000000000008E-2</v>
      </c>
      <c r="L1010" s="239" t="str">
        <f>IFERROR(VLOOKUP($C1010,'SINAPI MAIO 2020'!$1:$1048576,3,0),IFERROR(VLOOKUP($C1010,'6-COMP. PROPRIA'!$B$1:$I$808,5,0),""))</f>
        <v/>
      </c>
      <c r="M1010" s="104"/>
      <c r="N1010" s="105"/>
    </row>
    <row r="1011" spans="2:14" ht="17.25" customHeight="1">
      <c r="B1011" s="164"/>
      <c r="C1011" s="20"/>
      <c r="D1011" s="20"/>
      <c r="E1011" s="102">
        <f>0.04+0.05+0.05</f>
        <v>0.14000000000000001</v>
      </c>
      <c r="F1011" s="63">
        <f>(0.39*2)+0.68+0.29+1+0.52+0.53+2+0.28+3.65+0.96+2.75+1.5+(0.17*2)+(0.62*2)+4.06+0.59+(0.58*2)+0.23</f>
        <v>22.56</v>
      </c>
      <c r="G1011" s="63">
        <v>0.01</v>
      </c>
      <c r="H1011" s="63">
        <v>1</v>
      </c>
      <c r="I1011" s="307"/>
      <c r="J1011" s="308"/>
      <c r="K1011" s="62">
        <f t="shared" ref="K1011:K1012" si="60">E1011*F1011*G1011*H1011</f>
        <v>3.1584000000000001E-2</v>
      </c>
      <c r="L1011" s="239" t="str">
        <f>IFERROR(VLOOKUP($C1011,'SINAPI MAIO 2020'!$1:$1048576,3,0),IFERROR(VLOOKUP($C1011,'6-COMP. PROPRIA'!$B$1:$I$808,5,0),""))</f>
        <v/>
      </c>
      <c r="M1011" s="104"/>
      <c r="N1011" s="105"/>
    </row>
    <row r="1012" spans="2:14" ht="17.25" customHeight="1">
      <c r="B1012" s="164"/>
      <c r="C1012" s="20"/>
      <c r="D1012" s="20"/>
      <c r="E1012" s="102">
        <v>0.14000000000000001</v>
      </c>
      <c r="F1012" s="63">
        <f>0.69+0.29+0.22+0.14+1.21+0.24+0.1+0.13+0.58+0.32+0.75+0.14+0.4+0.15+0.45+0.81+0.21+0.27</f>
        <v>7.1000000000000014</v>
      </c>
      <c r="G1012" s="63">
        <v>0.01</v>
      </c>
      <c r="H1012" s="63">
        <v>1</v>
      </c>
      <c r="I1012" s="307"/>
      <c r="J1012" s="308"/>
      <c r="K1012" s="62">
        <f t="shared" si="60"/>
        <v>9.9400000000000027E-3</v>
      </c>
      <c r="L1012" s="239" t="str">
        <f>IFERROR(VLOOKUP($C1012,'SINAPI MAIO 2020'!$1:$1048576,3,0),IFERROR(VLOOKUP($C1012,'6-COMP. PROPRIA'!$B$1:$I$808,5,0),""))</f>
        <v/>
      </c>
      <c r="M1012" s="104"/>
      <c r="N1012" s="105"/>
    </row>
    <row r="1013" spans="2:14" ht="17.25" customHeight="1">
      <c r="B1013" s="164"/>
      <c r="C1013" s="20"/>
      <c r="D1013" s="20"/>
      <c r="E1013" s="306"/>
      <c r="F1013" s="307"/>
      <c r="G1013" s="307"/>
      <c r="H1013" s="307"/>
      <c r="I1013" s="307"/>
      <c r="J1013" s="308"/>
      <c r="K1013" s="211"/>
      <c r="L1013" s="239" t="str">
        <f>IFERROR(VLOOKUP($C1013,'SINAPI MAIO 2020'!$1:$1048576,3,0),IFERROR(VLOOKUP($C1013,'6-COMP. PROPRIA'!$B$1:$I$808,5,0),""))</f>
        <v/>
      </c>
      <c r="M1013" s="104"/>
      <c r="N1013" s="105"/>
    </row>
    <row r="1014" spans="2:14" ht="17.25" customHeight="1">
      <c r="B1014" s="164"/>
      <c r="C1014" s="20"/>
      <c r="D1014" s="20"/>
      <c r="E1014" s="306"/>
      <c r="F1014" s="307"/>
      <c r="G1014" s="307"/>
      <c r="H1014" s="307"/>
      <c r="I1014" s="307"/>
      <c r="J1014" s="308"/>
      <c r="K1014" s="211"/>
      <c r="L1014" s="239" t="str">
        <f>IFERROR(VLOOKUP($C1014,'SINAPI MAIO 2020'!$1:$1048576,3,0),IFERROR(VLOOKUP($C1014,'6-COMP. PROPRIA'!$B$1:$I$808,5,0),""))</f>
        <v/>
      </c>
      <c r="M1014" s="104"/>
      <c r="N1014" s="105"/>
    </row>
    <row r="1015" spans="2:14" ht="17.25" customHeight="1">
      <c r="B1015" s="164"/>
      <c r="C1015" s="274">
        <v>93358</v>
      </c>
      <c r="D1015" s="275" t="s">
        <v>8</v>
      </c>
      <c r="E1015" s="668" t="str">
        <f>IFERROR(VLOOKUP($C1015,'SINAPI MAIO 2020'!$1:$1048576,2,0),IFERROR(VLOOKUP($C1015,'6-COMP. PROPRIA'!$B$28:$I$808,4,0),""))</f>
        <v>ESCAVAÇÃO MANUAL DE VALA COM PROFUNDIDADE MENOR OU IGUAL A 1,30 M. AF_03/2016</v>
      </c>
      <c r="F1015" s="669"/>
      <c r="G1015" s="669"/>
      <c r="H1015" s="669"/>
      <c r="I1015" s="669"/>
      <c r="J1015" s="670"/>
      <c r="K1015" s="212">
        <f>SUM(K1017:K1021)</f>
        <v>4.5869699999999991</v>
      </c>
      <c r="L1015" s="239" t="str">
        <f>IFERROR(VLOOKUP($C1015,'SINAPI MAIO 2020'!$1:$1048576,3,0),IFERROR(VLOOKUP($C1015,'6-COMP. PROPRIA'!$B$1:$I$808,5,0),""))</f>
        <v>M3</v>
      </c>
      <c r="M1015" s="104"/>
      <c r="N1015" s="105"/>
    </row>
    <row r="1016" spans="2:14" ht="17.25" customHeight="1">
      <c r="B1016" s="164"/>
      <c r="C1016" s="20"/>
      <c r="D1016" s="20"/>
      <c r="E1016" s="75" t="s">
        <v>984</v>
      </c>
      <c r="F1016" s="309" t="s">
        <v>985</v>
      </c>
      <c r="G1016" s="311" t="s">
        <v>929</v>
      </c>
      <c r="H1016" s="309" t="s">
        <v>920</v>
      </c>
      <c r="I1016" s="312"/>
      <c r="J1016" s="107"/>
      <c r="K1016" s="215"/>
      <c r="L1016" s="239" t="str">
        <f>IFERROR(VLOOKUP($C1016,'SINAPI MAIO 2020'!$1:$1048576,3,0),IFERROR(VLOOKUP($C1016,'6-COMP. PROPRIA'!$B$1:$I$808,5,0),""))</f>
        <v/>
      </c>
      <c r="M1016" s="104"/>
      <c r="N1016" s="105"/>
    </row>
    <row r="1017" spans="2:14" ht="17.25" customHeight="1">
      <c r="B1017" s="164" t="s">
        <v>6155</v>
      </c>
      <c r="C1017" s="20"/>
      <c r="D1017" s="20"/>
      <c r="E1017" s="102">
        <f>0.1+0.05+0.05</f>
        <v>0.2</v>
      </c>
      <c r="F1017" s="63">
        <f>8.03+(0.68*5)+(0.82*5)+2.61+2.21+0.5+0.34</f>
        <v>21.19</v>
      </c>
      <c r="G1017" s="63">
        <v>0.05</v>
      </c>
      <c r="H1017" s="63">
        <v>1</v>
      </c>
      <c r="I1017" s="307"/>
      <c r="J1017" s="308"/>
      <c r="K1017" s="62">
        <f>E1017*F1017*G1017*H1017</f>
        <v>0.21190000000000003</v>
      </c>
      <c r="L1017" s="239" t="str">
        <f>IFERROR(VLOOKUP($C1017,'SINAPI MAIO 2020'!$1:$1048576,3,0),IFERROR(VLOOKUP($C1017,'6-COMP. PROPRIA'!$B$1:$I$808,5,0),""))</f>
        <v/>
      </c>
      <c r="M1017" s="104"/>
      <c r="N1017" s="105"/>
    </row>
    <row r="1018" spans="2:14" ht="17.25" customHeight="1">
      <c r="B1018" s="164" t="s">
        <v>6156</v>
      </c>
      <c r="C1018" s="20"/>
      <c r="D1018" s="20"/>
      <c r="E1018" s="102">
        <f>0.04+0.05+0.05</f>
        <v>0.14000000000000001</v>
      </c>
      <c r="F1018" s="63">
        <f>(0.39*2)+0.68+0.29+1+0.52+0.53+2+0.28+3.65+0.96+2.75+1.5+(0.17*2)+(0.62*2)+4.06+0.59+(0.58*2)+0.23+1.06+0.4+0.25+0.89+0.18+1.48</f>
        <v>26.819999999999997</v>
      </c>
      <c r="G1018" s="63">
        <v>0.05</v>
      </c>
      <c r="H1018" s="63">
        <v>1</v>
      </c>
      <c r="I1018" s="307"/>
      <c r="J1018" s="308"/>
      <c r="K1018" s="62">
        <f t="shared" ref="K1018:K1021" si="61">E1018*F1018*G1018*H1018</f>
        <v>0.18774000000000002</v>
      </c>
      <c r="L1018" s="239" t="str">
        <f>IFERROR(VLOOKUP($C1018,'SINAPI MAIO 2020'!$1:$1048576,3,0),IFERROR(VLOOKUP($C1018,'6-COMP. PROPRIA'!$B$1:$I$808,5,0),""))</f>
        <v/>
      </c>
      <c r="M1018" s="104"/>
      <c r="N1018" s="105"/>
    </row>
    <row r="1019" spans="2:14" ht="17.25" customHeight="1">
      <c r="B1019" s="164" t="s">
        <v>6157</v>
      </c>
      <c r="C1019" s="20"/>
      <c r="D1019" s="20"/>
      <c r="E1019" s="102">
        <v>0.14000000000000001</v>
      </c>
      <c r="F1019" s="63">
        <f>0.69+0.29+0.22+0.14+1.21+0.24+0.1+0.13+0.58+0.32+0.75+0.14+0.4+0.15+0.45+0.81+0.21+0.27+0.39+0.22+0.19+0.35+0.79+0.25</f>
        <v>9.2900000000000027</v>
      </c>
      <c r="G1019" s="63">
        <v>0.05</v>
      </c>
      <c r="H1019" s="63">
        <v>1</v>
      </c>
      <c r="I1019" s="307"/>
      <c r="J1019" s="308"/>
      <c r="K1019" s="62">
        <f t="shared" si="61"/>
        <v>6.5030000000000018E-2</v>
      </c>
      <c r="L1019" s="239" t="str">
        <f>IFERROR(VLOOKUP($C1019,'SINAPI MAIO 2020'!$1:$1048576,3,0),IFERROR(VLOOKUP($C1019,'6-COMP. PROPRIA'!$B$1:$I$808,5,0),""))</f>
        <v/>
      </c>
      <c r="M1019" s="104"/>
      <c r="N1019" s="105"/>
    </row>
    <row r="1020" spans="2:14" ht="17.25" customHeight="1">
      <c r="B1020" s="164" t="s">
        <v>6158</v>
      </c>
      <c r="C1020" s="20"/>
      <c r="D1020" s="20"/>
      <c r="E1020" s="102">
        <f>0.1+0.05+0.05</f>
        <v>0.2</v>
      </c>
      <c r="F1020" s="63">
        <f>0.97+1.23+4.81+17.42+2.39+6.41+17.56+4.46+1.18+6.24+1.65+4.91</f>
        <v>69.23</v>
      </c>
      <c r="G1020" s="63">
        <v>0.05</v>
      </c>
      <c r="H1020" s="63">
        <v>1</v>
      </c>
      <c r="I1020" s="307"/>
      <c r="J1020" s="308"/>
      <c r="K1020" s="62">
        <f t="shared" si="61"/>
        <v>0.69230000000000014</v>
      </c>
      <c r="L1020" s="239" t="str">
        <f>IFERROR(VLOOKUP($C1020,'SINAPI MAIO 2020'!$1:$1048576,3,0),IFERROR(VLOOKUP($C1020,'6-COMP. PROPRIA'!$B$1:$I$808,5,0),""))</f>
        <v/>
      </c>
      <c r="M1020" s="104"/>
      <c r="N1020" s="105"/>
    </row>
    <row r="1021" spans="2:14" ht="17.25" customHeight="1">
      <c r="B1021" s="164" t="s">
        <v>6159</v>
      </c>
      <c r="C1021" s="20"/>
      <c r="D1021" s="20"/>
      <c r="E1021" s="102">
        <v>0.7</v>
      </c>
      <c r="F1021" s="63">
        <v>0.7</v>
      </c>
      <c r="G1021" s="63">
        <v>0.7</v>
      </c>
      <c r="H1021" s="63">
        <v>10</v>
      </c>
      <c r="I1021" s="307"/>
      <c r="J1021" s="308"/>
      <c r="K1021" s="62">
        <f t="shared" si="61"/>
        <v>3.4299999999999993</v>
      </c>
      <c r="L1021" s="239" t="str">
        <f>IFERROR(VLOOKUP($C1021,'SINAPI MAIO 2020'!$1:$1048576,3,0),IFERROR(VLOOKUP($C1021,'6-COMP. PROPRIA'!$B$1:$I$808,5,0),""))</f>
        <v/>
      </c>
      <c r="M1021" s="104"/>
      <c r="N1021" s="105"/>
    </row>
    <row r="1022" spans="2:14" ht="17.25" customHeight="1">
      <c r="B1022" s="164"/>
      <c r="C1022" s="20"/>
      <c r="D1022" s="20"/>
      <c r="E1022" s="306"/>
      <c r="F1022" s="307"/>
      <c r="G1022" s="307"/>
      <c r="H1022" s="307"/>
      <c r="I1022" s="307"/>
      <c r="J1022" s="308"/>
      <c r="K1022" s="211"/>
      <c r="L1022" s="239" t="str">
        <f>IFERROR(VLOOKUP($C1022,'SINAPI MAIO 2020'!$1:$1048576,3,0),IFERROR(VLOOKUP($C1022,'6-COMP. PROPRIA'!$B$1:$I$808,5,0),""))</f>
        <v/>
      </c>
      <c r="M1022" s="104"/>
      <c r="N1022" s="105"/>
    </row>
    <row r="1023" spans="2:14" ht="17.25" customHeight="1">
      <c r="B1023" s="164"/>
      <c r="C1023" s="20"/>
      <c r="D1023" s="20"/>
      <c r="E1023" s="306"/>
      <c r="F1023" s="307"/>
      <c r="G1023" s="307"/>
      <c r="H1023" s="307"/>
      <c r="I1023" s="307"/>
      <c r="J1023" s="308"/>
      <c r="K1023" s="211"/>
      <c r="L1023" s="239" t="str">
        <f>IFERROR(VLOOKUP($C1023,'SINAPI MAIO 2020'!$1:$1048576,3,0),IFERROR(VLOOKUP($C1023,'6-COMP. PROPRIA'!$B$1:$I$808,5,0),""))</f>
        <v/>
      </c>
      <c r="M1023" s="104"/>
      <c r="N1023" s="105"/>
    </row>
    <row r="1024" spans="2:14" ht="17.25" customHeight="1">
      <c r="B1024" s="164"/>
      <c r="C1024" s="274">
        <v>96995</v>
      </c>
      <c r="D1024" s="275" t="s">
        <v>8</v>
      </c>
      <c r="E1024" s="668" t="str">
        <f>IFERROR(VLOOKUP($C1024,'SINAPI MAIO 2020'!$1:$1048576,2,0),IFERROR(VLOOKUP($C1024,'6-COMP. PROPRIA'!$B$28:$I$808,4,0),""))</f>
        <v>REATERRO MANUAL APILOADO COM SOQUETE. AF_10/2017</v>
      </c>
      <c r="F1024" s="669"/>
      <c r="G1024" s="669"/>
      <c r="H1024" s="669"/>
      <c r="I1024" s="669"/>
      <c r="J1024" s="670"/>
      <c r="K1024" s="212">
        <f>SUM(K1026:K1027)</f>
        <v>0.14884450000000005</v>
      </c>
      <c r="L1024" s="239" t="str">
        <f>IFERROR(VLOOKUP($C1024,'SINAPI MAIO 2020'!$1:$1048576,3,0),IFERROR(VLOOKUP($C1024,'6-COMP. PROPRIA'!$B$1:$I$808,5,0),""))</f>
        <v>M3</v>
      </c>
      <c r="M1024" s="104"/>
      <c r="N1024" s="105"/>
    </row>
    <row r="1025" spans="2:16" ht="17.25" customHeight="1">
      <c r="B1025" s="164"/>
      <c r="C1025" s="20"/>
      <c r="D1025" s="20"/>
      <c r="E1025" s="75" t="s">
        <v>984</v>
      </c>
      <c r="F1025" s="309" t="s">
        <v>985</v>
      </c>
      <c r="G1025" s="311" t="s">
        <v>929</v>
      </c>
      <c r="H1025" s="309" t="s">
        <v>920</v>
      </c>
      <c r="I1025" s="296" t="s">
        <v>6146</v>
      </c>
      <c r="J1025" s="107"/>
      <c r="K1025" s="215"/>
      <c r="L1025" s="239" t="str">
        <f>IFERROR(VLOOKUP($C1025,'SINAPI MAIO 2020'!$1:$1048576,3,0),IFERROR(VLOOKUP($C1025,'6-COMP. PROPRIA'!$B$1:$I$808,5,0),""))</f>
        <v/>
      </c>
      <c r="M1025" s="104"/>
      <c r="N1025" s="105"/>
    </row>
    <row r="1026" spans="2:16" ht="17.25" customHeight="1">
      <c r="B1026" s="164" t="s">
        <v>6158</v>
      </c>
      <c r="C1026" s="20"/>
      <c r="D1026" s="20"/>
      <c r="E1026" s="102">
        <f>0.1+0.05+0.05</f>
        <v>0.2</v>
      </c>
      <c r="F1026" s="63">
        <f>0.97+1.23+4.81+17.42+2.39+6.41+17.56+4.46+1.18+6.24+1.65+4.91</f>
        <v>69.23</v>
      </c>
      <c r="G1026" s="63">
        <v>0.05</v>
      </c>
      <c r="H1026" s="63">
        <v>1</v>
      </c>
      <c r="I1026" s="63">
        <f>3.14*0.05*0.05*69.23</f>
        <v>0.54345550000000009</v>
      </c>
      <c r="J1026" s="308"/>
      <c r="K1026" s="62">
        <f>E1026*F1026*G1026*H1026-I1026</f>
        <v>0.14884450000000005</v>
      </c>
      <c r="L1026" s="239" t="str">
        <f>IFERROR(VLOOKUP($C1026,'SINAPI MAIO 2020'!$1:$1048576,3,0),IFERROR(VLOOKUP($C1026,'6-COMP. PROPRIA'!$B$1:$I$808,5,0),""))</f>
        <v/>
      </c>
      <c r="M1026" s="104"/>
      <c r="N1026" s="105"/>
    </row>
    <row r="1027" spans="2:16" ht="17.25" customHeight="1">
      <c r="B1027" s="164"/>
      <c r="C1027" s="20"/>
      <c r="D1027" s="20"/>
      <c r="E1027" s="102"/>
      <c r="F1027" s="63"/>
      <c r="G1027" s="63"/>
      <c r="H1027" s="63"/>
      <c r="I1027" s="63"/>
      <c r="J1027" s="308"/>
      <c r="K1027" s="62">
        <f t="shared" ref="K1027" si="62">E1027*F1027*G1027*H1027</f>
        <v>0</v>
      </c>
      <c r="L1027" s="239" t="str">
        <f>IFERROR(VLOOKUP($C1027,'SINAPI MAIO 2020'!$1:$1048576,3,0),IFERROR(VLOOKUP($C1027,'6-COMP. PROPRIA'!$B$1:$I$808,5,0),""))</f>
        <v/>
      </c>
      <c r="M1027" s="104"/>
      <c r="N1027" s="105"/>
    </row>
    <row r="1028" spans="2:16" ht="17.25" customHeight="1">
      <c r="B1028" s="164"/>
      <c r="C1028" s="20"/>
      <c r="D1028" s="20"/>
      <c r="E1028" s="306"/>
      <c r="F1028" s="307"/>
      <c r="G1028" s="307"/>
      <c r="H1028" s="307"/>
      <c r="I1028" s="307"/>
      <c r="J1028" s="308"/>
      <c r="K1028" s="62"/>
      <c r="L1028" s="239" t="str">
        <f>IFERROR(VLOOKUP($C1028,'SINAPI MAIO 2020'!$1:$1048576,3,0),IFERROR(VLOOKUP($C1028,'6-COMP. PROPRIA'!$B$1:$I$808,5,0),""))</f>
        <v/>
      </c>
      <c r="M1028" s="104"/>
      <c r="N1028" s="105"/>
    </row>
    <row r="1029" spans="2:16" ht="17.25" customHeight="1">
      <c r="B1029" s="164"/>
      <c r="C1029" s="20"/>
      <c r="D1029" s="20"/>
      <c r="E1029" s="306"/>
      <c r="F1029" s="307"/>
      <c r="G1029" s="307"/>
      <c r="H1029" s="307"/>
      <c r="I1029" s="307"/>
      <c r="J1029" s="308"/>
      <c r="K1029" s="211"/>
      <c r="L1029" s="239" t="str">
        <f>IFERROR(VLOOKUP($C1029,'SINAPI MAIO 2020'!$1:$1048576,3,0),IFERROR(VLOOKUP($C1029,'6-COMP. PROPRIA'!$B$1:$I$808,5,0),""))</f>
        <v/>
      </c>
      <c r="M1029" s="104"/>
      <c r="N1029" s="105"/>
    </row>
    <row r="1030" spans="2:16" ht="17.25" customHeight="1">
      <c r="B1030" s="164"/>
      <c r="C1030" s="20"/>
      <c r="D1030" s="20"/>
      <c r="E1030" s="306"/>
      <c r="F1030" s="307"/>
      <c r="G1030" s="307"/>
      <c r="H1030" s="307"/>
      <c r="I1030" s="307"/>
      <c r="J1030" s="308"/>
      <c r="K1030" s="211"/>
      <c r="L1030" s="239" t="str">
        <f>IFERROR(VLOOKUP($C1030,'SINAPI MAIO 2020'!$1:$1048576,3,0),IFERROR(VLOOKUP($C1030,'6-COMP. PROPRIA'!$B$1:$I$808,5,0),""))</f>
        <v/>
      </c>
      <c r="M1030" s="104"/>
      <c r="N1030" s="105"/>
    </row>
    <row r="1031" spans="2:16" ht="17.25" customHeight="1">
      <c r="B1031" s="164"/>
      <c r="C1031" s="20"/>
      <c r="D1031" s="20"/>
      <c r="E1031" s="306"/>
      <c r="F1031" s="307"/>
      <c r="G1031" s="307"/>
      <c r="H1031" s="307"/>
      <c r="I1031" s="307"/>
      <c r="J1031" s="308"/>
      <c r="K1031" s="211"/>
      <c r="L1031" s="239" t="str">
        <f>IFERROR(VLOOKUP($C1031,'SINAPI MAIO 2020'!$1:$1048576,3,0),IFERROR(VLOOKUP($C1031,'6-COMP. PROPRIA'!$B$1:$I$808,5,0),""))</f>
        <v/>
      </c>
      <c r="M1031" s="104"/>
      <c r="N1031" s="105"/>
    </row>
    <row r="1032" spans="2:16" ht="17.25" customHeight="1">
      <c r="B1032" s="164"/>
      <c r="C1032" s="275">
        <v>94975</v>
      </c>
      <c r="D1032" s="275" t="s">
        <v>8</v>
      </c>
      <c r="E1032" s="668" t="str">
        <f>IFERROR(VLOOKUP($C1032,'SINAPI MAIO 2020'!$1:$1048576,2,0),IFERROR(VLOOKUP($C1032,'6-COMP. PROPRIA'!$B$28:$I$808,4,0),""))</f>
        <v>CONCRETO FCK = 15MPA, TRAÇO 1:3,4:3,5 (CIMENTO/ AREIA MÉDIA/ BRITA 1)  - PREPARO MANUAL. AF_07/2016</v>
      </c>
      <c r="F1032" s="669"/>
      <c r="G1032" s="669"/>
      <c r="H1032" s="669"/>
      <c r="I1032" s="669"/>
      <c r="J1032" s="670"/>
      <c r="K1032" s="212">
        <f>SUM(K1034:K1036)*1.1</f>
        <v>0.27827177400000003</v>
      </c>
      <c r="L1032" s="239" t="str">
        <f>IFERROR(VLOOKUP($C1032,'SINAPI MAIO 2020'!$1:$1048576,3,0),IFERROR(VLOOKUP($C1032,'6-COMP. PROPRIA'!$B$1:$I$808,5,0),""))</f>
        <v>M3</v>
      </c>
      <c r="M1032" s="43"/>
      <c r="N1032" s="121" t="s">
        <v>41</v>
      </c>
    </row>
    <row r="1033" spans="2:16" ht="17.25" customHeight="1">
      <c r="B1033" s="164"/>
      <c r="C1033" s="20"/>
      <c r="D1033" s="91"/>
      <c r="E1033" s="75" t="s">
        <v>987</v>
      </c>
      <c r="F1033" s="309" t="s">
        <v>988</v>
      </c>
      <c r="G1033" s="311"/>
      <c r="H1033" s="309" t="s">
        <v>922</v>
      </c>
      <c r="I1033" s="296" t="s">
        <v>6146</v>
      </c>
      <c r="J1033" s="125"/>
      <c r="K1033" s="216"/>
      <c r="L1033" s="239" t="str">
        <f>IFERROR(VLOOKUP($C1033,'SINAPI MAIO 2020'!$1:$1048576,3,0),IFERROR(VLOOKUP($C1033,'6-COMP. PROPRIA'!$B$1:$I$808,5,0),""))</f>
        <v/>
      </c>
      <c r="M1033" s="128"/>
      <c r="N1033" s="121"/>
    </row>
    <row r="1034" spans="2:16" ht="17.25" customHeight="1">
      <c r="B1034" s="164"/>
      <c r="C1034" s="20"/>
      <c r="D1034" s="20"/>
      <c r="E1034" s="102">
        <f>0.1+0.05+0.05</f>
        <v>0.2</v>
      </c>
      <c r="F1034" s="63">
        <f>8.03+(0.68*5)+(0.82*5)+2.61+2.21+0.5+0.34</f>
        <v>21.19</v>
      </c>
      <c r="G1034" s="63">
        <v>0.05</v>
      </c>
      <c r="H1034" s="63">
        <v>1</v>
      </c>
      <c r="I1034" s="280">
        <f>3.14*0.05*0.05*21.19</f>
        <v>0.16634150000000003</v>
      </c>
      <c r="J1034" s="103"/>
      <c r="K1034" s="211">
        <f>H1034*G1034*F1034*E1034-I1034</f>
        <v>4.5558500000000002E-2</v>
      </c>
      <c r="L1034" s="239" t="str">
        <f>IFERROR(VLOOKUP($C1034,'SINAPI MAIO 2020'!$1:$1048576,3,0),IFERROR(VLOOKUP($C1034,'6-COMP. PROPRIA'!$B$1:$I$808,5,0),""))</f>
        <v/>
      </c>
      <c r="M1034" s="104"/>
      <c r="N1034" s="105"/>
    </row>
    <row r="1035" spans="2:16" ht="17.25" customHeight="1">
      <c r="B1035" s="164"/>
      <c r="C1035" s="20"/>
      <c r="D1035" s="20"/>
      <c r="E1035" s="102">
        <f>0.04+0.05+0.05</f>
        <v>0.14000000000000001</v>
      </c>
      <c r="F1035" s="63">
        <f>(0.39*2)+0.68+0.29+1+0.52+0.53+2+0.28+3.65+0.96+2.75+1.5+(0.17*2)+(0.62*2)+4.06+0.59+(0.58*2)+0.23+1.06+0.4+0.25+0.89+0.18+1.48</f>
        <v>26.819999999999997</v>
      </c>
      <c r="G1035" s="63">
        <v>0.05</v>
      </c>
      <c r="H1035" s="63">
        <v>1</v>
      </c>
      <c r="I1035" s="280">
        <f>3.14*0.02*0.02*26.82</f>
        <v>3.3685920000000008E-2</v>
      </c>
      <c r="J1035" s="308"/>
      <c r="K1035" s="211">
        <f t="shared" ref="K1035:K1036" si="63">H1035*G1035*F1035*E1035-I1035</f>
        <v>0.15405408000000001</v>
      </c>
      <c r="L1035" s="239" t="str">
        <f>IFERROR(VLOOKUP($C1035,'SINAPI MAIO 2020'!$1:$1048576,3,0),IFERROR(VLOOKUP($C1035,'6-COMP. PROPRIA'!$B$1:$I$808,5,0),""))</f>
        <v/>
      </c>
      <c r="M1035" s="104"/>
      <c r="N1035" s="105"/>
    </row>
    <row r="1036" spans="2:16" ht="17.25" customHeight="1">
      <c r="B1036" s="164"/>
      <c r="C1036" s="20"/>
      <c r="D1036" s="20"/>
      <c r="E1036" s="102">
        <v>0.14000000000000001</v>
      </c>
      <c r="F1036" s="63">
        <f>0.69+0.29+0.22+0.14+1.21+0.24+0.1+0.13+0.58+0.32+0.75+0.14+0.4+0.15+0.45+0.81+0.21+0.27+0.39+0.22+0.19+0.35+0.79+0.25</f>
        <v>9.2900000000000027</v>
      </c>
      <c r="G1036" s="63">
        <v>0.05</v>
      </c>
      <c r="H1036" s="63">
        <v>1</v>
      </c>
      <c r="I1036" s="280">
        <f>3.14*0.02*0.02*9.29</f>
        <v>1.166824E-2</v>
      </c>
      <c r="J1036" s="308"/>
      <c r="K1036" s="211">
        <f t="shared" si="63"/>
        <v>5.3361760000000022E-2</v>
      </c>
      <c r="L1036" s="239" t="str">
        <f>IFERROR(VLOOKUP($C1036,'SINAPI MAIO 2020'!$1:$1048576,3,0),IFERROR(VLOOKUP($C1036,'6-COMP. PROPRIA'!$B$1:$I$808,5,0),""))</f>
        <v/>
      </c>
      <c r="M1036" s="104"/>
      <c r="N1036" s="105"/>
    </row>
    <row r="1037" spans="2:16" ht="17.25" customHeight="1">
      <c r="B1037" s="164"/>
      <c r="C1037" s="20"/>
      <c r="D1037" s="20"/>
      <c r="E1037" s="306"/>
      <c r="F1037" s="307"/>
      <c r="G1037" s="307"/>
      <c r="H1037" s="307"/>
      <c r="I1037" s="307"/>
      <c r="J1037" s="308"/>
      <c r="K1037" s="211"/>
      <c r="L1037" s="239" t="str">
        <f>IFERROR(VLOOKUP($C1037,'SINAPI MAIO 2020'!$1:$1048576,3,0),IFERROR(VLOOKUP($C1037,'6-COMP. PROPRIA'!$B$1:$I$808,5,0),""))</f>
        <v/>
      </c>
      <c r="M1037" s="104"/>
      <c r="N1037" s="105"/>
    </row>
    <row r="1038" spans="2:16" ht="17.25" customHeight="1">
      <c r="B1038" s="164"/>
      <c r="C1038" s="274">
        <v>72897</v>
      </c>
      <c r="D1038" s="275" t="s">
        <v>8</v>
      </c>
      <c r="E1038" s="668" t="str">
        <f>IFERROR(VLOOKUP($C1038,'SINAPI MAIO 2020'!$1:$1048576,2,0),IFERROR(VLOOKUP($C1038,'6-COMP. PROPRIA'!$B$28:$I$808,4,0),""))</f>
        <v>CARGA MANUAL DE ENTULHO EM CAMINHAO BASCULANTE 6 M3</v>
      </c>
      <c r="F1038" s="669"/>
      <c r="G1038" s="669"/>
      <c r="H1038" s="669"/>
      <c r="I1038" s="669"/>
      <c r="J1038" s="670"/>
      <c r="K1038" s="212">
        <f>SUM(K1040:K1041)</f>
        <v>5.8786383499999992</v>
      </c>
      <c r="L1038" s="239" t="str">
        <f>IFERROR(VLOOKUP($C1038,'SINAPI MAIO 2020'!$1:$1048576,3,0),IFERROR(VLOOKUP($C1038,'6-COMP. PROPRIA'!$B$1:$I$808,5,0),""))</f>
        <v>M3</v>
      </c>
      <c r="M1038" s="94"/>
      <c r="N1038" s="121"/>
      <c r="P1038" s="95"/>
    </row>
    <row r="1039" spans="2:16" ht="45" customHeight="1">
      <c r="B1039" s="166"/>
      <c r="C1039" s="20"/>
      <c r="D1039" s="20"/>
      <c r="E1039" s="75" t="s">
        <v>931</v>
      </c>
      <c r="F1039" s="49"/>
      <c r="G1039" s="49"/>
      <c r="H1039" s="57" t="s">
        <v>941</v>
      </c>
      <c r="I1039" s="312"/>
      <c r="J1039" s="103"/>
      <c r="K1039" s="216"/>
      <c r="L1039" s="239" t="str">
        <f>IFERROR(VLOOKUP($C1039,'SINAPI MAIO 2020'!$1:$1048576,3,0),IFERROR(VLOOKUP($C1039,'6-COMP. PROPRIA'!$B$1:$I$808,5,0),""))</f>
        <v/>
      </c>
      <c r="M1039" s="104"/>
      <c r="N1039" s="105"/>
      <c r="P1039" s="95"/>
    </row>
    <row r="1040" spans="2:16" ht="17.25" customHeight="1">
      <c r="B1040" s="164"/>
      <c r="C1040" s="20"/>
      <c r="D1040" s="20"/>
      <c r="E1040" s="102">
        <f>K1008+(K1015-K1024)</f>
        <v>4.5220294999999995</v>
      </c>
      <c r="F1040" s="49"/>
      <c r="G1040" s="49"/>
      <c r="H1040" s="63">
        <v>1.3</v>
      </c>
      <c r="I1040" s="312"/>
      <c r="J1040" s="103"/>
      <c r="K1040" s="216">
        <f>E1040*H1040</f>
        <v>5.8786383499999992</v>
      </c>
      <c r="L1040" s="239" t="str">
        <f>IFERROR(VLOOKUP($C1040,'SINAPI MAIO 2020'!$1:$1048576,3,0),IFERROR(VLOOKUP($C1040,'6-COMP. PROPRIA'!$B$1:$I$808,5,0),""))</f>
        <v/>
      </c>
      <c r="M1040" s="104"/>
      <c r="N1040" s="105"/>
      <c r="P1040" s="95"/>
    </row>
    <row r="1041" spans="2:16" ht="17.25" customHeight="1">
      <c r="B1041" s="164"/>
      <c r="C1041" s="20"/>
      <c r="D1041" s="20"/>
      <c r="E1041" s="238"/>
      <c r="F1041" s="49"/>
      <c r="G1041" s="49"/>
      <c r="H1041" s="49"/>
      <c r="I1041" s="312"/>
      <c r="J1041" s="103"/>
      <c r="K1041" s="216"/>
      <c r="L1041" s="239" t="str">
        <f>IFERROR(VLOOKUP($C1041,'SINAPI MAIO 2020'!$1:$1048576,3,0),IFERROR(VLOOKUP($C1041,'6-COMP. PROPRIA'!$B$1:$I$808,5,0),""))</f>
        <v/>
      </c>
      <c r="M1041" s="104"/>
      <c r="N1041" s="105"/>
      <c r="P1041" s="95"/>
    </row>
    <row r="1042" spans="2:16" ht="35.25" customHeight="1">
      <c r="B1042" s="168"/>
      <c r="C1042" s="274">
        <v>97914</v>
      </c>
      <c r="D1042" s="275" t="s">
        <v>8</v>
      </c>
      <c r="E1042" s="668" t="str">
        <f>IFERROR(VLOOKUP($C1042,'SINAPI MAIO 2020'!$1:$1048576,2,0),IFERROR(VLOOKUP($C1042,'6-COMP. PROPRIA'!$B$28:$I$808,4,0),""))</f>
        <v>TRANSPORTE COM CAMINHÃO BASCULANTE DE 6 M3, EM VIA URBANA PAVIMENTADA, DMT ATÉ 30 KM (UNIDADE: M3XKM). AF_01/2018</v>
      </c>
      <c r="F1042" s="669"/>
      <c r="G1042" s="669"/>
      <c r="H1042" s="669"/>
      <c r="I1042" s="669"/>
      <c r="J1042" s="670"/>
      <c r="K1042" s="212">
        <f>SUM(K1044:K1045)</f>
        <v>146.96595874999997</v>
      </c>
      <c r="L1042" s="239" t="str">
        <f>IFERROR(VLOOKUP($C1042,'SINAPI MAIO 2020'!$1:$1048576,3,0),IFERROR(VLOOKUP($C1042,'6-COMP. PROPRIA'!$B$1:$I$808,5,0),""))</f>
        <v>M3XKM</v>
      </c>
      <c r="M1042" s="94"/>
      <c r="N1042" s="121"/>
      <c r="P1042" s="95"/>
    </row>
    <row r="1043" spans="2:16" ht="17.25" customHeight="1">
      <c r="B1043" s="164"/>
      <c r="C1043" s="20"/>
      <c r="D1043" s="20"/>
      <c r="E1043" s="75" t="s">
        <v>925</v>
      </c>
      <c r="F1043" s="312"/>
      <c r="G1043" s="312"/>
      <c r="H1043" s="309" t="s">
        <v>926</v>
      </c>
      <c r="I1043" s="312"/>
      <c r="J1043" s="103"/>
      <c r="K1043" s="211"/>
      <c r="L1043" s="239" t="str">
        <f>IFERROR(VLOOKUP($C1043,'SINAPI MAIO 2020'!$1:$1048576,3,0),IFERROR(VLOOKUP($C1043,'6-COMP. PROPRIA'!$B$1:$I$808,5,0),""))</f>
        <v/>
      </c>
      <c r="M1043" s="104"/>
      <c r="N1043" s="105"/>
    </row>
    <row r="1044" spans="2:16" ht="17.25" customHeight="1">
      <c r="B1044" s="164"/>
      <c r="C1044" s="20"/>
      <c r="D1044" s="20"/>
      <c r="E1044" s="114">
        <f>K1038</f>
        <v>5.8786383499999992</v>
      </c>
      <c r="F1044" s="50"/>
      <c r="G1044" s="50"/>
      <c r="H1044" s="106">
        <v>25</v>
      </c>
      <c r="I1044" s="312"/>
      <c r="J1044" s="59"/>
      <c r="K1044" s="62">
        <f>H1044*E1044</f>
        <v>146.96595874999997</v>
      </c>
      <c r="L1044" s="239" t="str">
        <f>IFERROR(VLOOKUP($C1044,'SINAPI MAIO 2020'!$1:$1048576,3,0),IFERROR(VLOOKUP($C1044,'6-COMP. PROPRIA'!$B$1:$I$808,5,0),""))</f>
        <v/>
      </c>
      <c r="M1044" s="104"/>
      <c r="N1044" s="105"/>
    </row>
    <row r="1045" spans="2:16" ht="17.25" customHeight="1" thickBot="1">
      <c r="B1045" s="164"/>
      <c r="C1045" s="20"/>
      <c r="D1045" s="20"/>
      <c r="E1045" s="306"/>
      <c r="F1045" s="307"/>
      <c r="G1045" s="307"/>
      <c r="H1045" s="307"/>
      <c r="I1045" s="307"/>
      <c r="J1045" s="308"/>
      <c r="K1045" s="211"/>
      <c r="L1045" s="239" t="str">
        <f>IFERROR(VLOOKUP($C1045,'SINAPI MAIO 2020'!$1:$1048576,3,0),IFERROR(VLOOKUP($C1045,'6-COMP. PROPRIA'!$B$1:$I$808,5,0),""))</f>
        <v/>
      </c>
      <c r="M1045" s="104"/>
      <c r="N1045" s="105"/>
    </row>
    <row r="1046" spans="2:16" ht="17.25" customHeight="1" thickBot="1">
      <c r="B1046" s="164"/>
      <c r="C1046" s="20"/>
      <c r="D1046" s="20"/>
      <c r="E1046" s="674" t="s">
        <v>6153</v>
      </c>
      <c r="F1046" s="675"/>
      <c r="G1046" s="675"/>
      <c r="H1046" s="675"/>
      <c r="I1046" s="675"/>
      <c r="J1046" s="676"/>
      <c r="K1046" s="211"/>
      <c r="L1046" s="239" t="str">
        <f>IFERROR(VLOOKUP($C1046,'SINAPI MAIO 2020'!$1:$1048576,3,0),IFERROR(VLOOKUP($C1046,'6-COMP. PROPRIA'!$B$1:$I$808,5,0),""))</f>
        <v/>
      </c>
      <c r="M1046" s="104"/>
      <c r="N1046" s="105"/>
    </row>
    <row r="1047" spans="2:16" ht="17.25" customHeight="1">
      <c r="B1047" s="164"/>
      <c r="C1047" s="20"/>
      <c r="D1047" s="20"/>
      <c r="E1047" s="306"/>
      <c r="F1047" s="307"/>
      <c r="G1047" s="307"/>
      <c r="H1047" s="307"/>
      <c r="I1047" s="307"/>
      <c r="J1047" s="308"/>
      <c r="K1047" s="211"/>
      <c r="L1047" s="239" t="str">
        <f>IFERROR(VLOOKUP($C1047,'SINAPI MAIO 2020'!$1:$1048576,3,0),IFERROR(VLOOKUP($C1047,'6-COMP. PROPRIA'!$B$1:$I$808,5,0),""))</f>
        <v/>
      </c>
      <c r="M1047" s="104"/>
      <c r="N1047" s="105"/>
    </row>
    <row r="1048" spans="2:16" ht="33.75" customHeight="1">
      <c r="B1048" s="164"/>
      <c r="C1048" s="327">
        <v>97906</v>
      </c>
      <c r="D1048" s="275" t="s">
        <v>8</v>
      </c>
      <c r="E1048" s="668" t="str">
        <f>IFERROR(VLOOKUP($C1048,'SINAPI MAIO 2020'!$1:$1048576,2,0),IFERROR(VLOOKUP($C1048,'6-COMP. PROPRIA'!$B$28:$I$808,4,0),""))</f>
        <v>CAIXA ENTERRADA HIDRÁULICA RETANGULAR, EM ALVENARIA COM BLOCOS DE CONCRETO, DIMENSÕES INTERNAS: 0,6X0,6X0,6 M PARA REDE DE ESGOTO. AF_05/2018</v>
      </c>
      <c r="F1048" s="669"/>
      <c r="G1048" s="669"/>
      <c r="H1048" s="669"/>
      <c r="I1048" s="669"/>
      <c r="J1048" s="670"/>
      <c r="K1048" s="212">
        <f>SUM(H1049:H1050)</f>
        <v>10</v>
      </c>
      <c r="L1048" s="239" t="str">
        <f>IFERROR(VLOOKUP($C1048,'SINAPI MAIO 2020'!$1:$1048576,3,0),IFERROR(VLOOKUP($C1048,'6-COMP. PROPRIA'!$B$1:$I$808,5,0),""))</f>
        <v>UN</v>
      </c>
      <c r="M1048" s="43">
        <f>K1048*0.03</f>
        <v>0.3</v>
      </c>
      <c r="N1048" s="121" t="s">
        <v>41</v>
      </c>
    </row>
    <row r="1049" spans="2:16" ht="12.75">
      <c r="B1049" s="164"/>
      <c r="C1049" s="664"/>
      <c r="D1049" s="665"/>
      <c r="E1049" s="666" t="s">
        <v>14827</v>
      </c>
      <c r="F1049" s="667"/>
      <c r="G1049" s="50"/>
      <c r="H1049" s="609">
        <v>1</v>
      </c>
      <c r="I1049" s="609"/>
      <c r="J1049" s="59"/>
      <c r="K1049" s="62"/>
      <c r="L1049" s="239" t="str">
        <f>IFERROR(VLOOKUP(#REF!,'SINAPI MAIO 2020'!$1:$1048576,3,0),IFERROR(VLOOKUP(#REF!,'6-COMP. PROPRIA'!$B$1:$I$808,5,0),""))</f>
        <v/>
      </c>
      <c r="M1049" s="43"/>
      <c r="N1049" s="121"/>
    </row>
    <row r="1050" spans="2:16" ht="12.75">
      <c r="B1050" s="164"/>
      <c r="C1050" s="664"/>
      <c r="D1050" s="665"/>
      <c r="E1050" s="666" t="s">
        <v>14828</v>
      </c>
      <c r="F1050" s="667"/>
      <c r="G1050" s="50"/>
      <c r="H1050" s="609">
        <v>9</v>
      </c>
      <c r="I1050" s="609"/>
      <c r="J1050" s="59"/>
      <c r="K1050" s="62"/>
      <c r="L1050" s="239" t="str">
        <f>IFERROR(VLOOKUP($C1050,'SINAPI MAIO 2020'!$1:$1048576,3,0),IFERROR(VLOOKUP($C1050,'6-COMP. PROPRIA'!$B$1:$I$808,5,0),""))</f>
        <v/>
      </c>
      <c r="M1050" s="43"/>
      <c r="N1050" s="121"/>
    </row>
    <row r="1051" spans="2:16" ht="15">
      <c r="B1051" s="164"/>
      <c r="C1051" s="327" t="str">
        <f>'6-COMP. PROPRIA'!B228</f>
        <v>CP-SNT-1</v>
      </c>
      <c r="D1051" s="275" t="s">
        <v>980</v>
      </c>
      <c r="E1051" s="668" t="str">
        <f>IFERROR(VLOOKUP($C1051,'SINAPI MAIO 2020'!$1:$1048576,2,0),IFERROR(VLOOKUP($C1051,'6-COMP. PROPRIA'!$B$28:$I$808,4,0),""))</f>
        <v>CAIXA SIFONADA PVC, 150 X 150 X 50 MM, COM GRELHA REDONDA BRANCA</v>
      </c>
      <c r="F1051" s="669"/>
      <c r="G1051" s="669"/>
      <c r="H1051" s="669"/>
      <c r="I1051" s="669"/>
      <c r="J1051" s="670"/>
      <c r="K1051" s="212">
        <v>7</v>
      </c>
      <c r="L1051" s="239" t="str">
        <f>IFERROR(VLOOKUP($C1051,'SINAPI MAIO 2020'!$1:$1048576,3,0),IFERROR(VLOOKUP($C1051,'6-COMP. PROPRIA'!$B$1:$I$808,5,0),""))</f>
        <v>UN</v>
      </c>
      <c r="M1051" s="104"/>
      <c r="N1051" s="105"/>
    </row>
    <row r="1052" spans="2:16" ht="33.75" customHeight="1">
      <c r="B1052" s="164"/>
      <c r="C1052" s="275">
        <v>89710</v>
      </c>
      <c r="D1052" s="275" t="s">
        <v>8</v>
      </c>
      <c r="E1052" s="668" t="str">
        <f>IFERROR(VLOOKUP($C1052,'SINAPI MAIO 2020'!$1:$1048576,2,0),IFERROR(VLOOKUP($C1052,'6-COMP. PROPRIA'!$B$28:$I$808,4,0),""))</f>
        <v>RALO SECO, PVC, DN 100 X 40 MM, JUNTA SOLDÁVEL, FORNECIDO E INSTALADO EM RAMAL DE DESCARGA OU EM RAMAL DE ESGOTO SANITÁRIO. AF_12/2014</v>
      </c>
      <c r="F1052" s="669"/>
      <c r="G1052" s="669"/>
      <c r="H1052" s="669"/>
      <c r="I1052" s="669"/>
      <c r="J1052" s="670"/>
      <c r="K1052" s="212">
        <v>4</v>
      </c>
      <c r="L1052" s="239" t="str">
        <f>IFERROR(VLOOKUP($C1052,'SINAPI MAIO 2020'!$1:$1048576,3,0),IFERROR(VLOOKUP($C1052,'6-COMP. PROPRIA'!$B$1:$I$808,5,0),""))</f>
        <v>UN</v>
      </c>
      <c r="M1052" s="104"/>
      <c r="N1052" s="105"/>
    </row>
    <row r="1053" spans="2:16" ht="44.25" customHeight="1">
      <c r="B1053" s="164"/>
      <c r="C1053" s="275">
        <v>89728</v>
      </c>
      <c r="D1053" s="275" t="s">
        <v>8</v>
      </c>
      <c r="E1053" s="668" t="str">
        <f>IFERROR(VLOOKUP($C1053,'SINAPI MAIO 2020'!$1:$1048576,2,0),IFERROR(VLOOKUP($C1053,'6-COMP. PROPRIA'!$B$28:$I$808,4,0),""))</f>
        <v>CURVA CURTA 90 GRAUS, PVC, SERIE NORMAL, ESGOTO PREDIAL, DN 40 MM, JUNTA SOLDÁVEL, FORNECIDO E INSTALADO EM RAMAL DE DESCARGA OU RAMAL DE ESGOTO SANITÁRIO. AF_12/2014</v>
      </c>
      <c r="F1053" s="669"/>
      <c r="G1053" s="669"/>
      <c r="H1053" s="669"/>
      <c r="I1053" s="669"/>
      <c r="J1053" s="670"/>
      <c r="K1053" s="212">
        <v>13</v>
      </c>
      <c r="L1053" s="239" t="str">
        <f>IFERROR(VLOOKUP($C1053,'SINAPI MAIO 2020'!$1:$1048576,3,0),IFERROR(VLOOKUP($C1053,'6-COMP. PROPRIA'!$B$1:$I$808,5,0),""))</f>
        <v>UN</v>
      </c>
      <c r="M1053" s="104"/>
      <c r="N1053" s="105"/>
    </row>
    <row r="1054" spans="2:16" ht="32.25" customHeight="1">
      <c r="B1054" s="164"/>
      <c r="C1054" s="327">
        <v>89803</v>
      </c>
      <c r="D1054" s="275" t="s">
        <v>8</v>
      </c>
      <c r="E1054" s="668" t="str">
        <f>IFERROR(VLOOKUP($C1054,'SINAPI MAIO 2020'!$1:$1048576,2,0),IFERROR(VLOOKUP($C1054,'6-COMP. PROPRIA'!$B$28:$I$808,4,0),""))</f>
        <v>CURVA CURTA 90 GRAUS, PVC, SERIE NORMAL, ESGOTO PREDIAL, DN 50 MM, JUNTA ELÁSTICA, FORNECIDO E INSTALADO EM PRUMADA DE ESGOTO SANITÁRIO OU VENTILAÇÃO. AF_12/2014</v>
      </c>
      <c r="F1054" s="669"/>
      <c r="G1054" s="669"/>
      <c r="H1054" s="669"/>
      <c r="I1054" s="669"/>
      <c r="J1054" s="670"/>
      <c r="K1054" s="212">
        <v>1</v>
      </c>
      <c r="L1054" s="239" t="str">
        <f>IFERROR(VLOOKUP($C1054,'SINAPI MAIO 2020'!$1:$1048576,3,0),IFERROR(VLOOKUP($C1054,'6-COMP. PROPRIA'!$B$1:$I$808,5,0),""))</f>
        <v>UN</v>
      </c>
      <c r="M1054" s="104"/>
      <c r="N1054" s="105"/>
    </row>
    <row r="1055" spans="2:16" ht="46.5" customHeight="1">
      <c r="B1055" s="164"/>
      <c r="C1055" s="275">
        <v>89746</v>
      </c>
      <c r="D1055" s="275" t="s">
        <v>8</v>
      </c>
      <c r="E1055" s="668" t="str">
        <f>IFERROR(VLOOKUP($C1055,'SINAPI MAIO 2020'!$1:$1048576,2,0),IFERROR(VLOOKUP($C1055,'6-COMP. PROPRIA'!$B$28:$I$808,4,0),""))</f>
        <v>JOELHO 45 GRAUS, PVC, SERIE NORMAL, ESGOTO PREDIAL, DN 100 MM, JUNTA ELÁSTICA, FORNECIDO E INSTALADO EM RAMAL DE DESCARGA OU RAMAL DE ESGOTO SANITÁRIO. AF_12/2014</v>
      </c>
      <c r="F1055" s="669"/>
      <c r="G1055" s="669"/>
      <c r="H1055" s="669"/>
      <c r="I1055" s="669"/>
      <c r="J1055" s="670"/>
      <c r="K1055" s="212">
        <v>10</v>
      </c>
      <c r="L1055" s="239" t="str">
        <f>IFERROR(VLOOKUP($C1055,'SINAPI MAIO 2020'!$1:$1048576,3,0),IFERROR(VLOOKUP($C1055,'6-COMP. PROPRIA'!$B$1:$I$808,5,0),""))</f>
        <v>UN</v>
      </c>
      <c r="M1055" s="104"/>
      <c r="N1055" s="105"/>
    </row>
    <row r="1056" spans="2:16" ht="44.25" customHeight="1">
      <c r="B1056" s="164"/>
      <c r="C1056" s="275">
        <v>89726</v>
      </c>
      <c r="D1056" s="275" t="s">
        <v>8</v>
      </c>
      <c r="E1056" s="668" t="str">
        <f>IFERROR(VLOOKUP($C1056,'SINAPI MAIO 2020'!$1:$1048576,2,0),IFERROR(VLOOKUP($C1056,'6-COMP. PROPRIA'!$B$28:$I$808,4,0),""))</f>
        <v>JOELHO 45 GRAUS, PVC, SERIE NORMAL, ESGOTO PREDIAL, DN 40 MM, JUNTA SOLDÁVEL, FORNECIDO E INSTALADO EM RAMAL DE DESCARGA OU RAMAL DE ESGOTO SANITÁRIO. AF_12/2014</v>
      </c>
      <c r="F1056" s="669"/>
      <c r="G1056" s="669"/>
      <c r="H1056" s="669"/>
      <c r="I1056" s="669"/>
      <c r="J1056" s="670"/>
      <c r="K1056" s="212">
        <v>13</v>
      </c>
      <c r="L1056" s="239" t="str">
        <f>IFERROR(VLOOKUP($C1056,'SINAPI MAIO 2020'!$1:$1048576,3,0),IFERROR(VLOOKUP($C1056,'6-COMP. PROPRIA'!$B$1:$I$808,5,0),""))</f>
        <v>UN</v>
      </c>
      <c r="M1056" s="104"/>
      <c r="N1056" s="105"/>
    </row>
    <row r="1057" spans="2:14" ht="46.5" customHeight="1">
      <c r="B1057" s="164"/>
      <c r="C1057" s="275">
        <v>89732</v>
      </c>
      <c r="D1057" s="275" t="s">
        <v>8</v>
      </c>
      <c r="E1057" s="668" t="str">
        <f>IFERROR(VLOOKUP($C1057,'SINAPI MAIO 2020'!$1:$1048576,2,0),IFERROR(VLOOKUP($C1057,'6-COMP. PROPRIA'!$B$28:$I$808,4,0),""))</f>
        <v>JOELHO 45 GRAUS, PVC, SERIE NORMAL, ESGOTO PREDIAL, DN 50 MM, JUNTA ELÁSTICA, FORNECIDO E INSTALADO EM RAMAL DE DESCARGA OU RAMAL DE ESGOTO SANITÁRIO. AF_12/2014</v>
      </c>
      <c r="F1057" s="669"/>
      <c r="G1057" s="669"/>
      <c r="H1057" s="669"/>
      <c r="I1057" s="669"/>
      <c r="J1057" s="670"/>
      <c r="K1057" s="212">
        <v>8</v>
      </c>
      <c r="L1057" s="239" t="str">
        <f>IFERROR(VLOOKUP($C1057,'SINAPI MAIO 2020'!$1:$1048576,3,0),IFERROR(VLOOKUP($C1057,'6-COMP. PROPRIA'!$B$1:$I$808,5,0),""))</f>
        <v>UN</v>
      </c>
      <c r="M1057" s="104"/>
      <c r="N1057" s="105"/>
    </row>
    <row r="1058" spans="2:14" ht="44.25" customHeight="1">
      <c r="B1058" s="164"/>
      <c r="C1058" s="275">
        <v>89744</v>
      </c>
      <c r="D1058" s="275" t="s">
        <v>8</v>
      </c>
      <c r="E1058" s="668" t="str">
        <f>IFERROR(VLOOKUP($C1058,'SINAPI MAIO 2020'!$1:$1048576,2,0),IFERROR(VLOOKUP($C1058,'6-COMP. PROPRIA'!$B$28:$I$808,4,0),""))</f>
        <v>JOELHO 90 GRAUS, PVC, SERIE NORMAL, ESGOTO PREDIAL, DN 100 MM, JUNTA ELÁSTICA, FORNECIDO E INSTALADO EM RAMAL DE DESCARGA OU RAMAL DE ESGOTO SANITÁRIO. AF_12/2014</v>
      </c>
      <c r="F1058" s="669"/>
      <c r="G1058" s="669"/>
      <c r="H1058" s="669"/>
      <c r="I1058" s="669"/>
      <c r="J1058" s="670"/>
      <c r="K1058" s="212">
        <v>9</v>
      </c>
      <c r="L1058" s="239" t="str">
        <f>IFERROR(VLOOKUP($C1058,'SINAPI MAIO 2020'!$1:$1048576,3,0),IFERROR(VLOOKUP($C1058,'6-COMP. PROPRIA'!$B$1:$I$808,5,0),""))</f>
        <v>UN</v>
      </c>
      <c r="M1058" s="104"/>
      <c r="N1058" s="105"/>
    </row>
    <row r="1059" spans="2:14" ht="48.75" customHeight="1">
      <c r="B1059" s="164"/>
      <c r="C1059" s="275">
        <v>89731</v>
      </c>
      <c r="D1059" s="275" t="s">
        <v>8</v>
      </c>
      <c r="E1059" s="668" t="str">
        <f>IFERROR(VLOOKUP($C1059,'SINAPI MAIO 2020'!$1:$1048576,2,0),IFERROR(VLOOKUP($C1059,'6-COMP. PROPRIA'!$B$28:$I$808,4,0),""))</f>
        <v>JOELHO 90 GRAUS, PVC, SERIE NORMAL, ESGOTO PREDIAL, DN 50 MM, JUNTA ELÁSTICA, FORNECIDO E INSTALADO EM RAMAL DE DESCARGA OU RAMAL DE ESGOTO SANITÁRIO. AF_12/2014</v>
      </c>
      <c r="F1059" s="669"/>
      <c r="G1059" s="669"/>
      <c r="H1059" s="669"/>
      <c r="I1059" s="669"/>
      <c r="J1059" s="670"/>
      <c r="K1059" s="212">
        <v>1</v>
      </c>
      <c r="L1059" s="239" t="str">
        <f>IFERROR(VLOOKUP($C1059,'SINAPI MAIO 2020'!$1:$1048576,3,0),IFERROR(VLOOKUP($C1059,'6-COMP. PROPRIA'!$B$1:$I$808,5,0),""))</f>
        <v>UN</v>
      </c>
      <c r="M1059" s="104"/>
      <c r="N1059" s="105"/>
    </row>
    <row r="1060" spans="2:14" ht="15">
      <c r="B1060" s="164"/>
      <c r="C1060" s="327" t="str">
        <f>'6-COMP. PROPRIA'!B238</f>
        <v>CP-SNT-2</v>
      </c>
      <c r="D1060" s="275" t="s">
        <v>980</v>
      </c>
      <c r="E1060" s="668" t="str">
        <f>IFERROR(VLOOKUP($C1060,'SINAPI MAIO 2020'!$1:$1048576,2,0),IFERROR(VLOOKUP($C1060,'6-COMP. PROPRIA'!$B$28:$I$808,4,0),""))</f>
        <v>JUNÇÃO PVC SIMPLES 100MM-50MM - FORNECIMENTO E INSTALAÇÃO</v>
      </c>
      <c r="F1060" s="669"/>
      <c r="G1060" s="669"/>
      <c r="H1060" s="669"/>
      <c r="I1060" s="669"/>
      <c r="J1060" s="670"/>
      <c r="K1060" s="212">
        <v>7</v>
      </c>
      <c r="L1060" s="239" t="str">
        <f>IFERROR(VLOOKUP($C1060,'SINAPI MAIO 2020'!$1:$1048576,3,0),IFERROR(VLOOKUP($C1060,'6-COMP. PROPRIA'!$B$1:$I$808,5,0),""))</f>
        <v>UN</v>
      </c>
      <c r="M1060" s="104"/>
      <c r="N1060" s="105"/>
    </row>
    <row r="1061" spans="2:14" ht="33.75" customHeight="1">
      <c r="B1061" s="164"/>
      <c r="C1061" s="275">
        <v>89834</v>
      </c>
      <c r="D1061" s="275" t="s">
        <v>8</v>
      </c>
      <c r="E1061" s="668" t="str">
        <f>IFERROR(VLOOKUP($C1061,'SINAPI MAIO 2020'!$1:$1048576,2,0),IFERROR(VLOOKUP($C1061,'6-COMP. PROPRIA'!$B$28:$I$808,4,0),""))</f>
        <v>JUNÇÃO SIMPLES, PVC, SERIE NORMAL, ESGOTO PREDIAL, DN 100 X 100 MM, JUNTA ELÁSTICA, FORNECIDO E INSTALADO EM PRUMADA DE ESGOTO SANITÁRIO OU VENTILAÇÃO. AF_12/2014</v>
      </c>
      <c r="F1061" s="669"/>
      <c r="G1061" s="669"/>
      <c r="H1061" s="669"/>
      <c r="I1061" s="669"/>
      <c r="J1061" s="670"/>
      <c r="K1061" s="212">
        <v>4</v>
      </c>
      <c r="L1061" s="239" t="str">
        <f>IFERROR(VLOOKUP($C1061,'SINAPI MAIO 2020'!$1:$1048576,3,0),IFERROR(VLOOKUP($C1061,'6-COMP. PROPRIA'!$B$1:$I$808,5,0),""))</f>
        <v>UN</v>
      </c>
      <c r="M1061" s="104"/>
      <c r="N1061" s="105"/>
    </row>
    <row r="1062" spans="2:14" ht="33.75" customHeight="1">
      <c r="B1062" s="164"/>
      <c r="C1062" s="275">
        <v>89714</v>
      </c>
      <c r="D1062" s="275" t="s">
        <v>8</v>
      </c>
      <c r="E1062" s="668" t="str">
        <f>IFERROR(VLOOKUP($C1062,'SINAPI MAIO 2020'!$1:$1048576,2,0),IFERROR(VLOOKUP($C1062,'6-COMP. PROPRIA'!$B$28:$I$808,4,0),""))</f>
        <v>TUBO PVC, SERIE NORMAL, ESGOTO PREDIAL, DN 100 MM, FORNECIDO E INSTALADO EM RAMAL DE DESCARGA OU RAMAL DE ESGOTO SANITÁRIO. AF_12/2014</v>
      </c>
      <c r="F1062" s="669"/>
      <c r="G1062" s="669"/>
      <c r="H1062" s="669"/>
      <c r="I1062" s="669"/>
      <c r="J1062" s="670"/>
      <c r="K1062" s="212">
        <v>108.98</v>
      </c>
      <c r="L1062" s="239" t="str">
        <f>IFERROR(VLOOKUP($C1062,'SINAPI MAIO 2020'!$1:$1048576,3,0),IFERROR(VLOOKUP($C1062,'6-COMP. PROPRIA'!$B$1:$I$808,5,0),""))</f>
        <v>M</v>
      </c>
      <c r="M1062" s="104"/>
      <c r="N1062" s="105"/>
    </row>
    <row r="1063" spans="2:14" ht="33.75" customHeight="1">
      <c r="B1063" s="164"/>
      <c r="C1063" s="275">
        <v>89849</v>
      </c>
      <c r="D1063" s="275" t="s">
        <v>8</v>
      </c>
      <c r="E1063" s="668" t="str">
        <f>IFERROR(VLOOKUP($C1063,'SINAPI MAIO 2020'!$1:$1048576,2,0),IFERROR(VLOOKUP($C1063,'6-COMP. PROPRIA'!$B$28:$I$808,4,0),""))</f>
        <v>TUBO PVC, SERIE NORMAL, ESGOTO PREDIAL, DN 150 MM, FORNECIDO E INSTALADO EM SUBCOLETOR AÉREO DE ESGOTO SANITÁRIO. AF_12/2014</v>
      </c>
      <c r="F1063" s="669"/>
      <c r="G1063" s="669"/>
      <c r="H1063" s="669"/>
      <c r="I1063" s="669"/>
      <c r="J1063" s="670"/>
      <c r="K1063" s="212">
        <v>5</v>
      </c>
      <c r="L1063" s="239" t="str">
        <f>IFERROR(VLOOKUP($C1063,'SINAPI MAIO 2020'!$1:$1048576,3,0),IFERROR(VLOOKUP($C1063,'6-COMP. PROPRIA'!$B$1:$I$808,5,0),""))</f>
        <v>M</v>
      </c>
      <c r="M1063" s="104"/>
      <c r="N1063" s="105"/>
    </row>
    <row r="1064" spans="2:14" ht="33.75" customHeight="1">
      <c r="B1064" s="164"/>
      <c r="C1064" s="275">
        <v>89711</v>
      </c>
      <c r="D1064" s="275" t="s">
        <v>8</v>
      </c>
      <c r="E1064" s="668" t="str">
        <f>IFERROR(VLOOKUP($C1064,'SINAPI MAIO 2020'!$1:$1048576,2,0),IFERROR(VLOOKUP($C1064,'6-COMP. PROPRIA'!$B$28:$I$808,4,0),""))</f>
        <v>TUBO PVC, SERIE NORMAL, ESGOTO PREDIAL, DN 40 MM, FORNECIDO E INSTALADO EM RAMAL DE DESCARGA OU RAMAL DE ESGOTO SANITÁRIO. AF_12/2014</v>
      </c>
      <c r="F1064" s="669"/>
      <c r="G1064" s="669"/>
      <c r="H1064" s="669"/>
      <c r="I1064" s="669"/>
      <c r="J1064" s="670"/>
      <c r="K1064" s="212">
        <v>26.23</v>
      </c>
      <c r="L1064" s="239" t="str">
        <f>IFERROR(VLOOKUP($C1064,'SINAPI MAIO 2020'!$1:$1048576,3,0),IFERROR(VLOOKUP($C1064,'6-COMP. PROPRIA'!$B$1:$I$808,5,0),""))</f>
        <v>M</v>
      </c>
      <c r="M1064" s="104"/>
      <c r="N1064" s="105"/>
    </row>
    <row r="1065" spans="2:14" ht="33.75" customHeight="1">
      <c r="B1065" s="164"/>
      <c r="C1065" s="275">
        <v>89712</v>
      </c>
      <c r="D1065" s="275" t="s">
        <v>8</v>
      </c>
      <c r="E1065" s="668" t="str">
        <f>IFERROR(VLOOKUP($C1065,'SINAPI MAIO 2020'!$1:$1048576,2,0),IFERROR(VLOOKUP($C1065,'6-COMP. PROPRIA'!$B$28:$I$808,4,0),""))</f>
        <v>TUBO PVC, SERIE NORMAL, ESGOTO PREDIAL, DN 50 MM, FORNECIDO E INSTALADO EM RAMAL DE DESCARGA OU RAMAL DE ESGOTO SANITÁRIO. AF_12/2014</v>
      </c>
      <c r="F1065" s="669"/>
      <c r="G1065" s="669"/>
      <c r="H1065" s="669"/>
      <c r="I1065" s="669"/>
      <c r="J1065" s="670"/>
      <c r="K1065" s="212">
        <v>6.72</v>
      </c>
      <c r="L1065" s="239" t="str">
        <f>IFERROR(VLOOKUP($C1065,'SINAPI MAIO 2020'!$1:$1048576,3,0),IFERROR(VLOOKUP($C1065,'6-COMP. PROPRIA'!$B$1:$I$808,5,0),""))</f>
        <v>M</v>
      </c>
      <c r="M1065" s="104"/>
      <c r="N1065" s="105"/>
    </row>
    <row r="1066" spans="2:14" ht="33.75" customHeight="1">
      <c r="B1066" s="164"/>
      <c r="C1066" s="275">
        <v>89782</v>
      </c>
      <c r="D1066" s="275" t="s">
        <v>8</v>
      </c>
      <c r="E1066" s="668" t="str">
        <f>IFERROR(VLOOKUP($C1066,'SINAPI MAIO 2020'!$1:$1048576,2,0),IFERROR(VLOOKUP($C1066,'6-COMP. PROPRIA'!$B$28:$I$808,4,0),""))</f>
        <v>TE, PVC, SERIE NORMAL, ESGOTO PREDIAL, DN 40 X 40 MM, JUNTA SOLDÁVEL, FORNECIDO E INSTALADO EM RAMAL DE DESCARGA OU RAMAL DE ESGOTO SANITÁRIO. AF_12/2014</v>
      </c>
      <c r="F1066" s="669"/>
      <c r="G1066" s="669"/>
      <c r="H1066" s="669"/>
      <c r="I1066" s="669"/>
      <c r="J1066" s="670"/>
      <c r="K1066" s="212">
        <v>4</v>
      </c>
      <c r="L1066" s="239" t="str">
        <f>IFERROR(VLOOKUP($C1066,'SINAPI MAIO 2020'!$1:$1048576,3,0),IFERROR(VLOOKUP($C1066,'6-COMP. PROPRIA'!$B$1:$I$808,5,0),""))</f>
        <v>UN</v>
      </c>
      <c r="M1066" s="104"/>
      <c r="N1066" s="105"/>
    </row>
    <row r="1067" spans="2:14" ht="17.25" customHeight="1" thickBot="1">
      <c r="B1067" s="164"/>
      <c r="C1067" s="20"/>
      <c r="D1067" s="20"/>
      <c r="E1067" s="306"/>
      <c r="F1067" s="307"/>
      <c r="G1067" s="307"/>
      <c r="H1067" s="307"/>
      <c r="I1067" s="307"/>
      <c r="J1067" s="308"/>
      <c r="K1067" s="212"/>
      <c r="L1067" s="239" t="str">
        <f>IFERROR(VLOOKUP($C1067,'SINAPI MAIO 2020'!$1:$1048576,3,0),IFERROR(VLOOKUP($C1067,'6-COMP. PROPRIA'!$B$1:$I$808,5,0),""))</f>
        <v/>
      </c>
      <c r="M1067" s="104"/>
      <c r="N1067" s="105"/>
    </row>
    <row r="1068" spans="2:14" ht="17.25" customHeight="1" thickBot="1">
      <c r="B1068" s="164"/>
      <c r="C1068" s="20"/>
      <c r="D1068" s="20"/>
      <c r="E1068" s="674" t="s">
        <v>6154</v>
      </c>
      <c r="F1068" s="675"/>
      <c r="G1068" s="675"/>
      <c r="H1068" s="675"/>
      <c r="I1068" s="675"/>
      <c r="J1068" s="676"/>
      <c r="K1068" s="212"/>
      <c r="L1068" s="239" t="str">
        <f>IFERROR(VLOOKUP($C1068,'SINAPI MAIO 2020'!$1:$1048576,3,0),IFERROR(VLOOKUP($C1068,'6-COMP. PROPRIA'!$B$1:$I$808,5,0),""))</f>
        <v/>
      </c>
      <c r="M1068" s="104"/>
      <c r="N1068" s="105"/>
    </row>
    <row r="1069" spans="2:14" ht="17.25" customHeight="1">
      <c r="B1069" s="164"/>
      <c r="C1069" s="20"/>
      <c r="D1069" s="20"/>
      <c r="E1069" s="306"/>
      <c r="F1069" s="307"/>
      <c r="G1069" s="307"/>
      <c r="H1069" s="307"/>
      <c r="I1069" s="307"/>
      <c r="J1069" s="308"/>
      <c r="K1069" s="212"/>
      <c r="L1069" s="239" t="str">
        <f>IFERROR(VLOOKUP($C1069,'SINAPI MAIO 2020'!$1:$1048576,3,0),IFERROR(VLOOKUP($C1069,'6-COMP. PROPRIA'!$B$1:$I$808,5,0),""))</f>
        <v/>
      </c>
      <c r="M1069" s="104"/>
      <c r="N1069" s="105"/>
    </row>
    <row r="1070" spans="2:14" ht="43.5" customHeight="1">
      <c r="B1070" s="164"/>
      <c r="C1070" s="275">
        <v>89732</v>
      </c>
      <c r="D1070" s="275" t="s">
        <v>8</v>
      </c>
      <c r="E1070" s="668" t="str">
        <f>IFERROR(VLOOKUP($C1070,'SINAPI MAIO 2020'!$1:$1048576,2,0),IFERROR(VLOOKUP($C1070,'6-COMP. PROPRIA'!$B$28:$I$808,4,0),""))</f>
        <v>JOELHO 45 GRAUS, PVC, SERIE NORMAL, ESGOTO PREDIAL, DN 50 MM, JUNTA ELÁSTICA, FORNECIDO E INSTALADO EM RAMAL DE DESCARGA OU RAMAL DE ESGOTO SANITÁRIO. AF_12/2014</v>
      </c>
      <c r="F1070" s="669"/>
      <c r="G1070" s="669"/>
      <c r="H1070" s="669"/>
      <c r="I1070" s="669"/>
      <c r="J1070" s="670"/>
      <c r="K1070" s="212">
        <v>5</v>
      </c>
      <c r="L1070" s="239" t="str">
        <f>IFERROR(VLOOKUP($C1070,'SINAPI MAIO 2020'!$1:$1048576,3,0),IFERROR(VLOOKUP($C1070,'6-COMP. PROPRIA'!$B$1:$I$808,5,0),""))</f>
        <v>UN</v>
      </c>
      <c r="M1070" s="104"/>
      <c r="N1070" s="105"/>
    </row>
    <row r="1071" spans="2:14" ht="43.5" customHeight="1">
      <c r="B1071" s="164"/>
      <c r="C1071" s="275">
        <v>89731</v>
      </c>
      <c r="D1071" s="275" t="s">
        <v>8</v>
      </c>
      <c r="E1071" s="668" t="str">
        <f>IFERROR(VLOOKUP($C1071,'SINAPI MAIO 2020'!$1:$1048576,2,0),IFERROR(VLOOKUP($C1071,'6-COMP. PROPRIA'!$B$28:$I$808,4,0),""))</f>
        <v>JOELHO 90 GRAUS, PVC, SERIE NORMAL, ESGOTO PREDIAL, DN 50 MM, JUNTA ELÁSTICA, FORNECIDO E INSTALADO EM RAMAL DE DESCARGA OU RAMAL DE ESGOTO SANITÁRIO. AF_12/2014</v>
      </c>
      <c r="F1071" s="669"/>
      <c r="G1071" s="669"/>
      <c r="H1071" s="669"/>
      <c r="I1071" s="669"/>
      <c r="J1071" s="670"/>
      <c r="K1071" s="212">
        <v>14</v>
      </c>
      <c r="L1071" s="239" t="str">
        <f>IFERROR(VLOOKUP($C1071,'SINAPI MAIO 2020'!$1:$1048576,3,0),IFERROR(VLOOKUP($C1071,'6-COMP. PROPRIA'!$B$1:$I$808,5,0),""))</f>
        <v>UN</v>
      </c>
      <c r="M1071" s="104"/>
      <c r="N1071" s="105"/>
    </row>
    <row r="1072" spans="2:14" ht="43.5" customHeight="1">
      <c r="B1072" s="164"/>
      <c r="C1072" s="275">
        <v>89712</v>
      </c>
      <c r="D1072" s="275" t="s">
        <v>8</v>
      </c>
      <c r="E1072" s="668" t="str">
        <f>IFERROR(VLOOKUP($C1072,'SINAPI MAIO 2020'!$1:$1048576,2,0),IFERROR(VLOOKUP($C1072,'6-COMP. PROPRIA'!$B$28:$I$808,4,0),""))</f>
        <v>TUBO PVC, SERIE NORMAL, ESGOTO PREDIAL, DN 50 MM, FORNECIDO E INSTALADO EM RAMAL DE DESCARGA OU RAMAL DE ESGOTO SANITÁRIO. AF_12/2014</v>
      </c>
      <c r="F1072" s="669"/>
      <c r="G1072" s="669"/>
      <c r="H1072" s="669"/>
      <c r="I1072" s="669"/>
      <c r="J1072" s="670"/>
      <c r="K1072" s="212">
        <v>27.38</v>
      </c>
      <c r="L1072" s="239" t="str">
        <f>IFERROR(VLOOKUP($C1072,'SINAPI MAIO 2020'!$1:$1048576,3,0),IFERROR(VLOOKUP($C1072,'6-COMP. PROPRIA'!$B$1:$I$808,5,0),""))</f>
        <v>M</v>
      </c>
      <c r="M1072" s="104"/>
      <c r="N1072" s="105"/>
    </row>
    <row r="1073" spans="2:14" ht="43.5" customHeight="1">
      <c r="B1073" s="164"/>
      <c r="C1073" s="275">
        <v>89784</v>
      </c>
      <c r="D1073" s="275" t="s">
        <v>8</v>
      </c>
      <c r="E1073" s="668" t="str">
        <f>IFERROR(VLOOKUP($C1073,'SINAPI MAIO 2020'!$1:$1048576,2,0),IFERROR(VLOOKUP($C1073,'6-COMP. PROPRIA'!$B$28:$I$808,4,0),""))</f>
        <v>TE, PVC, SERIE NORMAL, ESGOTO PREDIAL, DN 50 X 50 MM, JUNTA ELÁSTICA, FORNECIDO E INSTALADO EM RAMAL DE DESCARGA OU RAMAL DE ESGOTO SANITÁRIO. AF_12/2014</v>
      </c>
      <c r="F1073" s="669"/>
      <c r="G1073" s="669"/>
      <c r="H1073" s="669"/>
      <c r="I1073" s="669"/>
      <c r="J1073" s="670"/>
      <c r="K1073" s="212">
        <v>7</v>
      </c>
      <c r="L1073" s="239" t="str">
        <f>IFERROR(VLOOKUP($C1073,'SINAPI MAIO 2020'!$1:$1048576,3,0),IFERROR(VLOOKUP($C1073,'6-COMP. PROPRIA'!$B$1:$I$808,5,0),""))</f>
        <v>UN</v>
      </c>
      <c r="M1073" s="104"/>
      <c r="N1073" s="105"/>
    </row>
    <row r="1074" spans="2:14" ht="17.25" customHeight="1" thickBot="1">
      <c r="B1074" s="164"/>
      <c r="C1074" s="20"/>
      <c r="D1074" s="20"/>
      <c r="E1074" s="238"/>
      <c r="F1074" s="312"/>
      <c r="G1074" s="312"/>
      <c r="H1074" s="312"/>
      <c r="I1074" s="312"/>
      <c r="J1074" s="103"/>
      <c r="K1074" s="211"/>
      <c r="L1074" s="239" t="str">
        <f>IFERROR(VLOOKUP($C1074,'SINAPI MAIO 2020'!$1:$1048576,3,0),IFERROR(VLOOKUP($C1074,'6-COMP. PROPRIA'!$B$1:$I$808,5,0),""))</f>
        <v/>
      </c>
      <c r="M1074" s="104"/>
      <c r="N1074" s="105"/>
    </row>
    <row r="1075" spans="2:14" ht="17.25" customHeight="1" thickBot="1">
      <c r="B1075" s="288"/>
      <c r="C1075" s="289"/>
      <c r="D1075" s="289"/>
      <c r="E1075" s="674" t="s">
        <v>6521</v>
      </c>
      <c r="F1075" s="675"/>
      <c r="G1075" s="675"/>
      <c r="H1075" s="675"/>
      <c r="I1075" s="675"/>
      <c r="J1075" s="676"/>
      <c r="K1075" s="211"/>
      <c r="L1075" s="239" t="str">
        <f>IFERROR(VLOOKUP($C1075,'SINAPI MAIO 2020'!$1:$1048576,3,0),IFERROR(VLOOKUP($C1075,'6-COMP. PROPRIA'!$B$1:$I$808,5,0),""))</f>
        <v/>
      </c>
      <c r="M1075" s="104"/>
      <c r="N1075" s="105"/>
    </row>
    <row r="1076" spans="2:14" ht="17.25" customHeight="1" thickBot="1">
      <c r="B1076" s="164"/>
      <c r="C1076" s="20"/>
      <c r="D1076" s="20"/>
      <c r="E1076" s="238"/>
      <c r="F1076" s="312"/>
      <c r="G1076" s="312"/>
      <c r="H1076" s="312"/>
      <c r="I1076" s="312"/>
      <c r="J1076" s="103"/>
      <c r="K1076" s="211"/>
      <c r="L1076" s="239" t="str">
        <f>IFERROR(VLOOKUP($C1076,'SINAPI MAIO 2020'!$1:$1048576,3,0),IFERROR(VLOOKUP($C1076,'6-COMP. PROPRIA'!$B$1:$I$808,5,0),""))</f>
        <v/>
      </c>
      <c r="M1076" s="104"/>
      <c r="N1076" s="105"/>
    </row>
    <row r="1077" spans="2:14" ht="17.25" customHeight="1" thickBot="1">
      <c r="B1077" s="164"/>
      <c r="C1077" s="20"/>
      <c r="D1077" s="20"/>
      <c r="E1077" s="674" t="s">
        <v>6223</v>
      </c>
      <c r="F1077" s="675"/>
      <c r="G1077" s="675"/>
      <c r="H1077" s="675"/>
      <c r="I1077" s="675"/>
      <c r="J1077" s="676"/>
      <c r="K1077" s="211"/>
      <c r="L1077" s="239" t="str">
        <f>IFERROR(VLOOKUP($C1077,'SINAPI MAIO 2020'!$1:$1048576,3,0),IFERROR(VLOOKUP($C1077,'6-COMP. PROPRIA'!$B$1:$I$808,5,0),""))</f>
        <v/>
      </c>
      <c r="M1077" s="104"/>
      <c r="N1077" s="105"/>
    </row>
    <row r="1078" spans="2:14" ht="17.25" customHeight="1">
      <c r="B1078" s="164"/>
      <c r="C1078" s="274">
        <v>93358</v>
      </c>
      <c r="D1078" s="275" t="s">
        <v>8</v>
      </c>
      <c r="E1078" s="668" t="str">
        <f>IFERROR(VLOOKUP($C1078,'SINAPI MAIO 2020'!$1:$1048576,2,0),IFERROR(VLOOKUP($C1078,'6-COMP. PROPRIA'!$B$28:$I$808,4,0),""))</f>
        <v>ESCAVAÇÃO MANUAL DE VALA COM PROFUNDIDADE MENOR OU IGUAL A 1,30 M. AF_03/2016</v>
      </c>
      <c r="F1078" s="669"/>
      <c r="G1078" s="669"/>
      <c r="H1078" s="669"/>
      <c r="I1078" s="669"/>
      <c r="J1078" s="670"/>
      <c r="K1078" s="212">
        <f>SUM(K1080:K1082)</f>
        <v>24.53125</v>
      </c>
      <c r="L1078" s="239" t="str">
        <f>IFERROR(VLOOKUP($C1078,'SINAPI MAIO 2020'!$1:$1048576,3,0),IFERROR(VLOOKUP($C1078,'6-COMP. PROPRIA'!$B$1:$I$808,5,0),""))</f>
        <v>M3</v>
      </c>
      <c r="M1078" s="104"/>
      <c r="N1078" s="105"/>
    </row>
    <row r="1079" spans="2:14" ht="17.25" customHeight="1">
      <c r="B1079" s="164"/>
      <c r="C1079" s="20"/>
      <c r="D1079" s="20"/>
      <c r="E1079" s="306" t="s">
        <v>6137</v>
      </c>
      <c r="F1079" s="307" t="s">
        <v>6222</v>
      </c>
      <c r="G1079" s="307"/>
      <c r="H1079" s="307"/>
      <c r="I1079" s="307"/>
      <c r="J1079" s="308"/>
      <c r="K1079" s="212"/>
      <c r="L1079" s="239" t="str">
        <f>IFERROR(VLOOKUP($C1079,'SINAPI MAIO 2020'!$1:$1048576,3,0),IFERROR(VLOOKUP($C1079,'6-COMP. PROPRIA'!$B$1:$I$808,5,0),""))</f>
        <v/>
      </c>
      <c r="M1079" s="104"/>
      <c r="N1079" s="105"/>
    </row>
    <row r="1080" spans="2:14" ht="17.25" customHeight="1">
      <c r="B1080" s="164" t="s">
        <v>6167</v>
      </c>
      <c r="C1080" s="20"/>
      <c r="D1080" s="20"/>
      <c r="E1080" s="305">
        <f>3.14*1.25*1.25</f>
        <v>4.90625</v>
      </c>
      <c r="F1080" s="407">
        <v>2</v>
      </c>
      <c r="G1080" s="307"/>
      <c r="H1080" s="307"/>
      <c r="I1080" s="307"/>
      <c r="J1080" s="308"/>
      <c r="K1080" s="212">
        <f>E1080*F1080</f>
        <v>9.8125</v>
      </c>
      <c r="L1080" s="239" t="str">
        <f>IFERROR(VLOOKUP($C1080,'SINAPI MAIO 2020'!$1:$1048576,3,0),IFERROR(VLOOKUP($C1080,'6-COMP. PROPRIA'!$B$1:$I$808,5,0),""))</f>
        <v/>
      </c>
      <c r="M1080" s="104"/>
      <c r="N1080" s="105"/>
    </row>
    <row r="1081" spans="2:14" ht="17.25" customHeight="1">
      <c r="B1081" s="164" t="s">
        <v>6522</v>
      </c>
      <c r="C1081" s="20"/>
      <c r="D1081" s="20"/>
      <c r="E1081" s="305">
        <f t="shared" ref="E1081:E1082" si="64">3.14*1.25*1.25</f>
        <v>4.90625</v>
      </c>
      <c r="F1081" s="407">
        <v>1</v>
      </c>
      <c r="G1081" s="307"/>
      <c r="H1081" s="307"/>
      <c r="I1081" s="307"/>
      <c r="J1081" s="308"/>
      <c r="K1081" s="212">
        <f t="shared" ref="K1081:K1083" si="65">E1081*F1081</f>
        <v>4.90625</v>
      </c>
      <c r="L1081" s="239" t="str">
        <f>IFERROR(VLOOKUP($C1081,'SINAPI MAIO 2020'!$1:$1048576,3,0),IFERROR(VLOOKUP($C1081,'6-COMP. PROPRIA'!$B$1:$I$808,5,0),""))</f>
        <v/>
      </c>
      <c r="M1081" s="104"/>
      <c r="N1081" s="105"/>
    </row>
    <row r="1082" spans="2:14" ht="17.25" customHeight="1">
      <c r="B1082" s="164" t="s">
        <v>6523</v>
      </c>
      <c r="C1082" s="20"/>
      <c r="D1082" s="20"/>
      <c r="E1082" s="305">
        <f t="shared" si="64"/>
        <v>4.90625</v>
      </c>
      <c r="F1082" s="407">
        <v>2</v>
      </c>
      <c r="G1082" s="307"/>
      <c r="H1082" s="307"/>
      <c r="I1082" s="307"/>
      <c r="J1082" s="308"/>
      <c r="K1082" s="212">
        <f t="shared" si="65"/>
        <v>9.8125</v>
      </c>
      <c r="L1082" s="239" t="str">
        <f>IFERROR(VLOOKUP($C1082,'SINAPI MAIO 2020'!$1:$1048576,3,0),IFERROR(VLOOKUP($C1082,'6-COMP. PROPRIA'!$B$1:$I$808,5,0),""))</f>
        <v/>
      </c>
      <c r="M1082" s="104"/>
      <c r="N1082" s="105"/>
    </row>
    <row r="1083" spans="2:14" ht="17.25" customHeight="1">
      <c r="B1083" s="164"/>
      <c r="C1083" s="20"/>
      <c r="D1083" s="20"/>
      <c r="E1083" s="306"/>
      <c r="F1083" s="307"/>
      <c r="G1083" s="307"/>
      <c r="H1083" s="307"/>
      <c r="I1083" s="307"/>
      <c r="J1083" s="308"/>
      <c r="K1083" s="212">
        <f t="shared" si="65"/>
        <v>0</v>
      </c>
      <c r="L1083" s="239" t="str">
        <f>IFERROR(VLOOKUP($C1083,'SINAPI MAIO 2020'!$1:$1048576,3,0),IFERROR(VLOOKUP($C1083,'6-COMP. PROPRIA'!$B$1:$I$808,5,0),""))</f>
        <v/>
      </c>
      <c r="M1083" s="104"/>
      <c r="N1083" s="105"/>
    </row>
    <row r="1084" spans="2:14" ht="17.25" customHeight="1">
      <c r="B1084" s="164"/>
      <c r="C1084" s="20"/>
      <c r="D1084" s="20"/>
      <c r="E1084" s="306"/>
      <c r="F1084" s="307"/>
      <c r="G1084" s="307"/>
      <c r="H1084" s="307"/>
      <c r="I1084" s="307"/>
      <c r="J1084" s="308"/>
      <c r="K1084" s="212"/>
      <c r="L1084" s="239" t="str">
        <f>IFERROR(VLOOKUP($C1084,'SINAPI MAIO 2020'!$1:$1048576,3,0),IFERROR(VLOOKUP($C1084,'6-COMP. PROPRIA'!$B$1:$I$808,5,0),""))</f>
        <v/>
      </c>
      <c r="M1084" s="104"/>
      <c r="N1084" s="105"/>
    </row>
    <row r="1085" spans="2:14" ht="17.25" customHeight="1">
      <c r="B1085" s="164"/>
      <c r="C1085" s="20"/>
      <c r="D1085" s="20"/>
      <c r="E1085" s="306"/>
      <c r="F1085" s="307"/>
      <c r="G1085" s="307"/>
      <c r="H1085" s="307"/>
      <c r="I1085" s="307"/>
      <c r="J1085" s="308"/>
      <c r="K1085" s="212"/>
      <c r="L1085" s="239" t="str">
        <f>IFERROR(VLOOKUP($C1085,'SINAPI MAIO 2020'!$1:$1048576,3,0),IFERROR(VLOOKUP($C1085,'6-COMP. PROPRIA'!$B$1:$I$808,5,0),""))</f>
        <v/>
      </c>
      <c r="M1085" s="104"/>
      <c r="N1085" s="105"/>
    </row>
    <row r="1086" spans="2:14" ht="17.25" customHeight="1">
      <c r="B1086" s="164"/>
      <c r="C1086" s="20"/>
      <c r="D1086" s="20"/>
      <c r="E1086" s="306"/>
      <c r="F1086" s="307"/>
      <c r="G1086" s="307"/>
      <c r="H1086" s="307"/>
      <c r="I1086" s="307"/>
      <c r="J1086" s="308"/>
      <c r="K1086" s="212"/>
      <c r="L1086" s="239" t="str">
        <f>IFERROR(VLOOKUP($C1086,'SINAPI MAIO 2020'!$1:$1048576,3,0),IFERROR(VLOOKUP($C1086,'6-COMP. PROPRIA'!$B$1:$I$808,5,0),""))</f>
        <v/>
      </c>
      <c r="M1086" s="104"/>
      <c r="N1086" s="105"/>
    </row>
    <row r="1087" spans="2:14" ht="17.25" customHeight="1">
      <c r="B1087" s="164"/>
      <c r="C1087" s="275">
        <v>96995</v>
      </c>
      <c r="D1087" s="275" t="s">
        <v>8</v>
      </c>
      <c r="E1087" s="668" t="str">
        <f>IFERROR(VLOOKUP($C1087,'SINAPI MAIO 2020'!$1:$1048576,2,0),IFERROR(VLOOKUP($C1087,'6-COMP. PROPRIA'!$B$28:$I$808,4,0),""))</f>
        <v>REATERRO MANUAL APILOADO COM SOQUETE. AF_10/2017</v>
      </c>
      <c r="F1087" s="669"/>
      <c r="G1087" s="669"/>
      <c r="H1087" s="669"/>
      <c r="I1087" s="669"/>
      <c r="J1087" s="670"/>
      <c r="K1087" s="212">
        <f>SUM(K1089:K1091)</f>
        <v>3.3205499999999977</v>
      </c>
      <c r="L1087" s="239" t="str">
        <f>IFERROR(VLOOKUP($C1087,'SINAPI MAIO 2020'!$1:$1048576,3,0),IFERROR(VLOOKUP($C1087,'6-COMP. PROPRIA'!$B$1:$I$808,5,0),""))</f>
        <v>M3</v>
      </c>
      <c r="M1087" s="104"/>
      <c r="N1087" s="105"/>
    </row>
    <row r="1088" spans="2:14" ht="17.25" customHeight="1">
      <c r="B1088" s="164"/>
      <c r="C1088" s="20"/>
      <c r="D1088" s="20"/>
      <c r="E1088" s="404" t="s">
        <v>6524</v>
      </c>
      <c r="F1088" s="405" t="s">
        <v>6525</v>
      </c>
      <c r="G1088" s="312"/>
      <c r="H1088" s="312"/>
      <c r="I1088" s="312"/>
      <c r="J1088" s="103"/>
      <c r="K1088" s="211"/>
      <c r="L1088" s="239" t="str">
        <f>IFERROR(VLOOKUP($C1088,'SINAPI MAIO 2020'!$1:$1048576,3,0),IFERROR(VLOOKUP($C1088,'6-COMP. PROPRIA'!$B$1:$I$808,5,0),""))</f>
        <v/>
      </c>
      <c r="M1088" s="104"/>
      <c r="N1088" s="105"/>
    </row>
    <row r="1089" spans="2:14" ht="17.25" customHeight="1">
      <c r="B1089" s="164" t="s">
        <v>6167</v>
      </c>
      <c r="C1089" s="20"/>
      <c r="D1089" s="20"/>
      <c r="E1089" s="305">
        <f>3.14*1.25*1.25</f>
        <v>4.90625</v>
      </c>
      <c r="F1089" s="66">
        <f>3.14*1.1*1.1</f>
        <v>3.7994000000000008</v>
      </c>
      <c r="G1089" s="312"/>
      <c r="H1089" s="312"/>
      <c r="I1089" s="312"/>
      <c r="J1089" s="103"/>
      <c r="K1089" s="211">
        <f>E1089-F1089</f>
        <v>1.1068499999999992</v>
      </c>
      <c r="L1089" s="239" t="str">
        <f>IFERROR(VLOOKUP($C1089,'SINAPI MAIO 2020'!$1:$1048576,3,0),IFERROR(VLOOKUP($C1089,'6-COMP. PROPRIA'!$B$1:$I$808,5,0),""))</f>
        <v/>
      </c>
      <c r="M1089" s="104"/>
      <c r="N1089" s="105"/>
    </row>
    <row r="1090" spans="2:14" ht="17.25" customHeight="1">
      <c r="B1090" s="164" t="s">
        <v>6522</v>
      </c>
      <c r="C1090" s="20"/>
      <c r="D1090" s="20"/>
      <c r="E1090" s="305">
        <f t="shared" ref="E1090:E1091" si="66">3.14*1.25*1.25</f>
        <v>4.90625</v>
      </c>
      <c r="F1090" s="66">
        <f t="shared" ref="F1090:F1091" si="67">3.14*1.1*1.1</f>
        <v>3.7994000000000008</v>
      </c>
      <c r="G1090" s="312"/>
      <c r="H1090" s="312"/>
      <c r="I1090" s="312"/>
      <c r="J1090" s="103"/>
      <c r="K1090" s="211">
        <f t="shared" ref="K1090:K1092" si="68">E1090-F1090</f>
        <v>1.1068499999999992</v>
      </c>
      <c r="L1090" s="239" t="str">
        <f>IFERROR(VLOOKUP($C1090,'SINAPI MAIO 2020'!$1:$1048576,3,0),IFERROR(VLOOKUP($C1090,'6-COMP. PROPRIA'!$B$1:$I$808,5,0),""))</f>
        <v/>
      </c>
      <c r="M1090" s="104"/>
      <c r="N1090" s="105"/>
    </row>
    <row r="1091" spans="2:14" ht="17.25" customHeight="1">
      <c r="B1091" s="164" t="s">
        <v>6523</v>
      </c>
      <c r="C1091" s="20"/>
      <c r="D1091" s="20"/>
      <c r="E1091" s="305">
        <f t="shared" si="66"/>
        <v>4.90625</v>
      </c>
      <c r="F1091" s="66">
        <f t="shared" si="67"/>
        <v>3.7994000000000008</v>
      </c>
      <c r="G1091" s="312"/>
      <c r="H1091" s="312"/>
      <c r="I1091" s="312"/>
      <c r="J1091" s="103"/>
      <c r="K1091" s="211">
        <f t="shared" si="68"/>
        <v>1.1068499999999992</v>
      </c>
      <c r="L1091" s="239" t="str">
        <f>IFERROR(VLOOKUP($C1091,'SINAPI MAIO 2020'!$1:$1048576,3,0),IFERROR(VLOOKUP($C1091,'6-COMP. PROPRIA'!$B$1:$I$808,5,0),""))</f>
        <v/>
      </c>
      <c r="M1091" s="104"/>
      <c r="N1091" s="105"/>
    </row>
    <row r="1092" spans="2:14" ht="17.25" customHeight="1">
      <c r="B1092" s="164"/>
      <c r="C1092" s="20"/>
      <c r="D1092" s="20"/>
      <c r="E1092" s="238"/>
      <c r="F1092" s="312"/>
      <c r="G1092" s="312"/>
      <c r="H1092" s="312"/>
      <c r="I1092" s="312"/>
      <c r="J1092" s="103"/>
      <c r="K1092" s="211">
        <f t="shared" si="68"/>
        <v>0</v>
      </c>
      <c r="L1092" s="239" t="str">
        <f>IFERROR(VLOOKUP($C1092,'SINAPI MAIO 2020'!$1:$1048576,3,0),IFERROR(VLOOKUP($C1092,'6-COMP. PROPRIA'!$B$1:$I$808,5,0),""))</f>
        <v/>
      </c>
      <c r="M1092" s="104"/>
      <c r="N1092" s="105"/>
    </row>
    <row r="1093" spans="2:14" ht="17.25" customHeight="1">
      <c r="B1093" s="164"/>
      <c r="C1093" s="20"/>
      <c r="D1093" s="20"/>
      <c r="E1093" s="238"/>
      <c r="F1093" s="312"/>
      <c r="G1093" s="312"/>
      <c r="H1093" s="312"/>
      <c r="I1093" s="312"/>
      <c r="J1093" s="103"/>
      <c r="K1093" s="211"/>
      <c r="L1093" s="239" t="str">
        <f>IFERROR(VLOOKUP($C1093,'SINAPI MAIO 2020'!$1:$1048576,3,0),IFERROR(VLOOKUP($C1093,'6-COMP. PROPRIA'!$B$1:$I$808,5,0),""))</f>
        <v/>
      </c>
      <c r="M1093" s="104"/>
      <c r="N1093" s="105"/>
    </row>
    <row r="1094" spans="2:14" ht="17.25" customHeight="1">
      <c r="B1094" s="164"/>
      <c r="C1094" s="20"/>
      <c r="D1094" s="20"/>
      <c r="E1094" s="238"/>
      <c r="F1094" s="312"/>
      <c r="G1094" s="312"/>
      <c r="H1094" s="312"/>
      <c r="I1094" s="312"/>
      <c r="J1094" s="103"/>
      <c r="K1094" s="211"/>
      <c r="L1094" s="239" t="str">
        <f>IFERROR(VLOOKUP($C1094,'SINAPI MAIO 2020'!$1:$1048576,3,0),IFERROR(VLOOKUP($C1094,'6-COMP. PROPRIA'!$B$1:$I$808,5,0),""))</f>
        <v/>
      </c>
      <c r="M1094" s="104"/>
      <c r="N1094" s="105"/>
    </row>
    <row r="1095" spans="2:14" ht="17.25" customHeight="1">
      <c r="B1095" s="164"/>
      <c r="C1095" s="274" t="str">
        <f>'6-COMP. PROPRIA'!B246</f>
        <v>CP-SNT-3</v>
      </c>
      <c r="D1095" s="275" t="s">
        <v>980</v>
      </c>
      <c r="E1095" s="668" t="str">
        <f>IFERROR(VLOOKUP($C1095,'SINAPI MAIO 2020'!$1:$1048576,2,0),IFERROR(VLOOKUP($C1095,'6-COMP. PROPRIA'!$B$28:$I$808,4,0),""))</f>
        <v xml:space="preserve">FOSSA SÉPTICA  COM ADUELAS DE Ø 2,20 M X H=2,00M </v>
      </c>
      <c r="F1095" s="669"/>
      <c r="G1095" s="669"/>
      <c r="H1095" s="669"/>
      <c r="I1095" s="669"/>
      <c r="J1095" s="670"/>
      <c r="K1095" s="212">
        <v>1</v>
      </c>
      <c r="L1095" s="239" t="str">
        <f>IFERROR(VLOOKUP($C1095,'SINAPI MAIO 2020'!$1:$1048576,3,0),IFERROR(VLOOKUP($C1095,'6-COMP. PROPRIA'!$B$1:$I$808,5,0),""))</f>
        <v>UNI</v>
      </c>
      <c r="M1095" s="104"/>
      <c r="N1095" s="105"/>
    </row>
    <row r="1096" spans="2:14" ht="17.25" customHeight="1">
      <c r="B1096" s="164"/>
      <c r="C1096" s="274" t="str">
        <f>'6-COMP. PROPRIA'!B256</f>
        <v>CP-SNT-4</v>
      </c>
      <c r="D1096" s="275" t="s">
        <v>980</v>
      </c>
      <c r="E1096" s="668" t="str">
        <f>IFERROR(VLOOKUP($C1096,'SINAPI MAIO 2020'!$1:$1048576,2,0),IFERROR(VLOOKUP($C1096,'6-COMP. PROPRIA'!$B$28:$I$808,4,0),""))</f>
        <v>FILTRO ANAERÓBICO COM ADUELAS DE Ø 2,20 M X H=1,00M</v>
      </c>
      <c r="F1096" s="669"/>
      <c r="G1096" s="669"/>
      <c r="H1096" s="669"/>
      <c r="I1096" s="669"/>
      <c r="J1096" s="670"/>
      <c r="K1096" s="212">
        <v>1</v>
      </c>
      <c r="L1096" s="239" t="str">
        <f>IFERROR(VLOOKUP($C1096,'SINAPI MAIO 2020'!$1:$1048576,3,0),IFERROR(VLOOKUP($C1096,'6-COMP. PROPRIA'!$B$1:$I$808,5,0),""))</f>
        <v>UNI</v>
      </c>
      <c r="M1096" s="104"/>
      <c r="N1096" s="105"/>
    </row>
    <row r="1097" spans="2:14" ht="17.25" customHeight="1">
      <c r="B1097" s="164"/>
      <c r="C1097" s="274" t="str">
        <f>'6-COMP. PROPRIA'!B269</f>
        <v>CP-SNT-5</v>
      </c>
      <c r="D1097" s="275" t="s">
        <v>980</v>
      </c>
      <c r="E1097" s="668" t="str">
        <f>IFERROR(VLOOKUP($C1097,'SINAPI MAIO 2020'!$1:$1048576,2,0),IFERROR(VLOOKUP($C1097,'6-COMP. PROPRIA'!$B$28:$I$808,4,0),""))</f>
        <v xml:space="preserve">SUMIDOURO  COM ADUELAS (VAZADA) DE Ø 2,20 M X H=2,00M </v>
      </c>
      <c r="F1097" s="669"/>
      <c r="G1097" s="669"/>
      <c r="H1097" s="669"/>
      <c r="I1097" s="669"/>
      <c r="J1097" s="670"/>
      <c r="K1097" s="212">
        <v>1</v>
      </c>
      <c r="L1097" s="239" t="str">
        <f>IFERROR(VLOOKUP($C1097,'SINAPI MAIO 2020'!$1:$1048576,3,0),IFERROR(VLOOKUP($C1097,'6-COMP. PROPRIA'!$B$1:$I$808,5,0),""))</f>
        <v>UNI</v>
      </c>
      <c r="M1097" s="104"/>
      <c r="N1097" s="105"/>
    </row>
    <row r="1098" spans="2:14" ht="17.25" customHeight="1">
      <c r="B1098" s="164"/>
      <c r="C1098" s="20"/>
      <c r="D1098" s="20"/>
      <c r="E1098" s="238"/>
      <c r="F1098" s="312"/>
      <c r="G1098" s="312"/>
      <c r="H1098" s="312"/>
      <c r="I1098" s="312"/>
      <c r="J1098" s="103"/>
      <c r="K1098" s="211"/>
      <c r="L1098" s="239" t="str">
        <f>IFERROR(VLOOKUP($C1098,'SINAPI MAIO 2020'!$1:$1048576,3,0),IFERROR(VLOOKUP($C1098,'6-COMP. PROPRIA'!$B$1:$I$808,5,0),""))</f>
        <v/>
      </c>
      <c r="M1098" s="104"/>
      <c r="N1098" s="105"/>
    </row>
    <row r="1099" spans="2:14" ht="39.75" customHeight="1">
      <c r="B1099" s="164"/>
      <c r="C1099" s="274">
        <v>72897</v>
      </c>
      <c r="D1099" s="275" t="s">
        <v>8</v>
      </c>
      <c r="E1099" s="668" t="str">
        <f>IFERROR(VLOOKUP($C1099,'SINAPI MAIO 2020'!$1:$1048576,2,0),IFERROR(VLOOKUP($C1099,'6-COMP. PROPRIA'!$B$28:$I$808,4,0),""))</f>
        <v>CARGA MANUAL DE ENTULHO EM CAMINHAO BASCULANTE 6 M3</v>
      </c>
      <c r="F1099" s="669"/>
      <c r="G1099" s="669"/>
      <c r="H1099" s="669"/>
      <c r="I1099" s="669"/>
      <c r="J1099" s="670"/>
      <c r="K1099" s="212">
        <f>SUM(K1101:K1103)</f>
        <v>24.696100000000008</v>
      </c>
      <c r="L1099" s="239" t="str">
        <f>IFERROR(VLOOKUP($C1099,'SINAPI MAIO 2020'!$1:$1048576,3,0),IFERROR(VLOOKUP($C1099,'6-COMP. PROPRIA'!$B$1:$I$808,5,0),""))</f>
        <v>M3</v>
      </c>
      <c r="M1099" s="104"/>
      <c r="N1099" s="105"/>
    </row>
    <row r="1100" spans="2:14" ht="41.25" customHeight="1">
      <c r="B1100" s="164"/>
      <c r="C1100" s="20"/>
      <c r="D1100" s="20"/>
      <c r="E1100" s="75" t="s">
        <v>931</v>
      </c>
      <c r="F1100" s="49"/>
      <c r="G1100" s="49"/>
      <c r="H1100" s="57" t="s">
        <v>941</v>
      </c>
      <c r="I1100" s="333"/>
      <c r="J1100" s="103"/>
      <c r="K1100" s="216"/>
      <c r="L1100" s="239" t="str">
        <f>IFERROR(VLOOKUP($C1100,'SINAPI MAIO 2020'!$1:$1048576,3,0),IFERROR(VLOOKUP($C1100,'6-COMP. PROPRIA'!$B$1:$I$808,5,0),""))</f>
        <v/>
      </c>
      <c r="M1100" s="104"/>
      <c r="N1100" s="105"/>
    </row>
    <row r="1101" spans="2:14" ht="12.75">
      <c r="B1101" s="164" t="s">
        <v>12572</v>
      </c>
      <c r="C1101" s="20"/>
      <c r="D1101" s="20"/>
      <c r="E1101" s="102">
        <f>1.1*1.1*3.14*2</f>
        <v>7.5988000000000016</v>
      </c>
      <c r="F1101" s="49"/>
      <c r="G1101" s="49"/>
      <c r="H1101" s="63">
        <v>1.3</v>
      </c>
      <c r="I1101" s="333"/>
      <c r="J1101" s="103"/>
      <c r="K1101" s="216">
        <f>E1101*H1101</f>
        <v>9.878440000000003</v>
      </c>
      <c r="L1101" s="239" t="str">
        <f>IFERROR(VLOOKUP($C1101,'SINAPI MAIO 2020'!$1:$1048576,3,0),IFERROR(VLOOKUP($C1101,'6-COMP. PROPRIA'!$B$1:$I$808,5,0),""))</f>
        <v/>
      </c>
      <c r="M1101" s="104"/>
      <c r="N1101" s="105"/>
    </row>
    <row r="1102" spans="2:14" ht="12.75">
      <c r="B1102" s="164" t="s">
        <v>6522</v>
      </c>
      <c r="C1102" s="20"/>
      <c r="D1102" s="20"/>
      <c r="E1102" s="102">
        <f>1.1*1.1*3.14*1</f>
        <v>3.7994000000000008</v>
      </c>
      <c r="F1102" s="49"/>
      <c r="G1102" s="49"/>
      <c r="H1102" s="63">
        <v>1.3</v>
      </c>
      <c r="I1102" s="333"/>
      <c r="J1102" s="103"/>
      <c r="K1102" s="216">
        <f t="shared" ref="K1102:K1103" si="69">E1102*H1102</f>
        <v>4.9392200000000015</v>
      </c>
      <c r="L1102" s="239"/>
      <c r="M1102" s="104"/>
      <c r="N1102" s="105"/>
    </row>
    <row r="1103" spans="2:14" ht="12.75">
      <c r="B1103" s="164" t="s">
        <v>6523</v>
      </c>
      <c r="C1103" s="20"/>
      <c r="D1103" s="20"/>
      <c r="E1103" s="102">
        <f t="shared" ref="E1103" si="70">1.1*1.1*3.14*2</f>
        <v>7.5988000000000016</v>
      </c>
      <c r="F1103" s="49"/>
      <c r="G1103" s="49"/>
      <c r="H1103" s="63">
        <v>1.3</v>
      </c>
      <c r="I1103" s="333"/>
      <c r="J1103" s="103"/>
      <c r="K1103" s="216">
        <f t="shared" si="69"/>
        <v>9.878440000000003</v>
      </c>
      <c r="L1103" s="239"/>
      <c r="M1103" s="104"/>
      <c r="N1103" s="105"/>
    </row>
    <row r="1104" spans="2:14" ht="17.25" customHeight="1">
      <c r="B1104" s="164"/>
      <c r="C1104" s="20"/>
      <c r="D1104" s="20"/>
      <c r="E1104" s="238"/>
      <c r="F1104" s="49"/>
      <c r="G1104" s="49"/>
      <c r="H1104" s="49"/>
      <c r="I1104" s="333"/>
      <c r="J1104" s="103"/>
      <c r="K1104" s="216"/>
      <c r="L1104" s="239" t="str">
        <f>IFERROR(VLOOKUP($C1104,'SINAPI MAIO 2020'!$1:$1048576,3,0),IFERROR(VLOOKUP($C1104,'6-COMP. PROPRIA'!$B$1:$I$808,5,0),""))</f>
        <v/>
      </c>
      <c r="M1104" s="104"/>
      <c r="N1104" s="105"/>
    </row>
    <row r="1105" spans="2:14" ht="35.25" customHeight="1">
      <c r="B1105" s="164"/>
      <c r="C1105" s="274">
        <v>97914</v>
      </c>
      <c r="D1105" s="275" t="s">
        <v>8</v>
      </c>
      <c r="E1105" s="668" t="str">
        <f>IFERROR(VLOOKUP($C1105,'SINAPI MAIO 2020'!$1:$1048576,2,0),IFERROR(VLOOKUP($C1105,'6-COMP. PROPRIA'!$B$28:$I$808,4,0),""))</f>
        <v>TRANSPORTE COM CAMINHÃO BASCULANTE DE 6 M3, EM VIA URBANA PAVIMENTADA, DMT ATÉ 30 KM (UNIDADE: M3XKM). AF_01/2018</v>
      </c>
      <c r="F1105" s="669"/>
      <c r="G1105" s="669"/>
      <c r="H1105" s="669"/>
      <c r="I1105" s="669"/>
      <c r="J1105" s="670"/>
      <c r="K1105" s="212">
        <f>SUM(K1107:K1108)</f>
        <v>617.40250000000026</v>
      </c>
      <c r="L1105" s="239" t="str">
        <f>IFERROR(VLOOKUP($C1105,'SINAPI MAIO 2020'!$1:$1048576,3,0),IFERROR(VLOOKUP($C1105,'6-COMP. PROPRIA'!$B$1:$I$808,5,0),""))</f>
        <v>M3XKM</v>
      </c>
      <c r="M1105" s="104"/>
      <c r="N1105" s="105"/>
    </row>
    <row r="1106" spans="2:14" ht="25.5">
      <c r="B1106" s="164"/>
      <c r="C1106" s="20"/>
      <c r="D1106" s="20"/>
      <c r="E1106" s="75" t="s">
        <v>925</v>
      </c>
      <c r="F1106" s="333"/>
      <c r="G1106" s="333"/>
      <c r="H1106" s="332" t="s">
        <v>926</v>
      </c>
      <c r="I1106" s="333"/>
      <c r="J1106" s="103"/>
      <c r="K1106" s="211"/>
      <c r="L1106" s="239" t="str">
        <f>IFERROR(VLOOKUP($C1106,'SINAPI MAIO 2020'!$1:$1048576,3,0),IFERROR(VLOOKUP($C1106,'6-COMP. PROPRIA'!$B$1:$I$808,5,0),""))</f>
        <v/>
      </c>
      <c r="M1106" s="104"/>
      <c r="N1106" s="105"/>
    </row>
    <row r="1107" spans="2:14" ht="17.25" customHeight="1">
      <c r="B1107" s="164"/>
      <c r="C1107" s="20"/>
      <c r="D1107" s="20"/>
      <c r="E1107" s="114">
        <f>K1099</f>
        <v>24.696100000000008</v>
      </c>
      <c r="F1107" s="50"/>
      <c r="G1107" s="50"/>
      <c r="H1107" s="106">
        <v>25</v>
      </c>
      <c r="I1107" s="333"/>
      <c r="J1107" s="59"/>
      <c r="K1107" s="62">
        <f>H1107*E1107</f>
        <v>617.40250000000026</v>
      </c>
      <c r="L1107" s="239" t="str">
        <f>IFERROR(VLOOKUP($C1107,'SINAPI MAIO 2020'!$1:$1048576,3,0),IFERROR(VLOOKUP($C1107,'6-COMP. PROPRIA'!$B$1:$I$808,5,0),""))</f>
        <v/>
      </c>
      <c r="M1107" s="104"/>
      <c r="N1107" s="105"/>
    </row>
    <row r="1108" spans="2:14" ht="17.25" customHeight="1" thickBot="1">
      <c r="B1108" s="164"/>
      <c r="C1108" s="20"/>
      <c r="D1108" s="20"/>
      <c r="E1108" s="238"/>
      <c r="F1108" s="333"/>
      <c r="G1108" s="333"/>
      <c r="H1108" s="333"/>
      <c r="I1108" s="333"/>
      <c r="J1108" s="103"/>
      <c r="K1108" s="211"/>
      <c r="L1108" s="239"/>
      <c r="M1108" s="104"/>
      <c r="N1108" s="105"/>
    </row>
    <row r="1109" spans="2:14" ht="17.25" customHeight="1" thickBot="1">
      <c r="B1109" s="168"/>
      <c r="C1109" s="91"/>
      <c r="D1109" s="20"/>
      <c r="E1109" s="674" t="s">
        <v>6170</v>
      </c>
      <c r="F1109" s="675"/>
      <c r="G1109" s="675"/>
      <c r="H1109" s="675"/>
      <c r="I1109" s="675"/>
      <c r="J1109" s="676"/>
      <c r="K1109" s="211"/>
      <c r="L1109" s="239" t="str">
        <f>IFERROR(VLOOKUP($C1109,'SINAPI MAIO 2020'!$1:$1048576,3,0),IFERROR(VLOOKUP($C1109,'6-COMP. PROPRIA'!$B$1:$I$808,5,0),""))</f>
        <v/>
      </c>
      <c r="M1109" s="104"/>
      <c r="N1109" s="105"/>
    </row>
    <row r="1110" spans="2:14" ht="17.25" customHeight="1" thickBot="1">
      <c r="B1110" s="164"/>
      <c r="C1110" s="20"/>
      <c r="D1110" s="20"/>
      <c r="E1110" s="674" t="s">
        <v>6209</v>
      </c>
      <c r="F1110" s="675"/>
      <c r="G1110" s="675"/>
      <c r="H1110" s="675"/>
      <c r="I1110" s="675"/>
      <c r="J1110" s="676"/>
      <c r="K1110" s="211"/>
      <c r="L1110" s="239" t="str">
        <f>IFERROR(VLOOKUP($C1110,'SINAPI MAIO 2020'!$1:$1048576,3,0),IFERROR(VLOOKUP($C1110,'6-COMP. PROPRIA'!$B$1:$I$808,5,0),""))</f>
        <v/>
      </c>
      <c r="M1110" s="104"/>
      <c r="N1110" s="105"/>
    </row>
    <row r="1111" spans="2:14" ht="30" customHeight="1">
      <c r="B1111" s="284"/>
      <c r="C1111" s="274">
        <v>95470</v>
      </c>
      <c r="D1111" s="275" t="s">
        <v>8</v>
      </c>
      <c r="E1111" s="668" t="str">
        <f>IFERROR(VLOOKUP($C1111,'SINAPI MAIO 2020'!$1:$1048576,2,0),IFERROR(VLOOKUP($C1111,'6-COMP. PROPRIA'!$B$28:$I$808,4,0),""))</f>
        <v>VASO SANITARIO SIFONADO CONVENCIONAL COM LOUÇA BRANCA, INCLUSO CONJUNTO DE LIGAÇÃO PARA BACIA SANITÁRIA AJUSTÁVEL - FORNECIMENTO E INSTALAÇÃO. AF_10/2016</v>
      </c>
      <c r="F1111" s="669"/>
      <c r="G1111" s="669"/>
      <c r="H1111" s="669"/>
      <c r="I1111" s="669"/>
      <c r="J1111" s="670"/>
      <c r="K1111" s="212">
        <v>7</v>
      </c>
      <c r="L1111" s="239" t="str">
        <f>IFERROR(VLOOKUP($C1111,'SINAPI MAIO 2020'!$1:$1048576,3,0),IFERROR(VLOOKUP($C1111,'6-COMP. PROPRIA'!$B$1:$I$808,5,0),""))</f>
        <v>UN</v>
      </c>
      <c r="M1111" s="104"/>
      <c r="N1111" s="105"/>
    </row>
    <row r="1112" spans="2:14" ht="15">
      <c r="B1112" s="284"/>
      <c r="C1112" s="293"/>
      <c r="D1112" s="289"/>
      <c r="E1112" s="606"/>
      <c r="F1112" s="607"/>
      <c r="G1112" s="607"/>
      <c r="H1112" s="607"/>
      <c r="I1112" s="607"/>
      <c r="J1112" s="608"/>
      <c r="K1112" s="212"/>
      <c r="L1112" s="239"/>
      <c r="M1112" s="104"/>
      <c r="N1112" s="105"/>
    </row>
    <row r="1113" spans="2:14" ht="49.5" customHeight="1">
      <c r="B1113" s="284" t="s">
        <v>6093</v>
      </c>
      <c r="C1113" s="274">
        <v>95472</v>
      </c>
      <c r="D1113" s="275" t="s">
        <v>8</v>
      </c>
      <c r="E1113" s="668" t="str">
        <f>IFERROR(VLOOKUP($C1113,'SINAPI MAIO 2020'!$1:$1048576,2,0),IFERROR(VLOOKUP($C1113,'6-COMP. PROPRIA'!$B$28:$I$808,4,0),""))</f>
        <v>VASO SANITARIO SIFONADO CONVENCIONAL PARA PCD SEM FURO FRONTAL COM LOUÇA BRANCA SEM ASSENTO, INCLUSO CONJUNTO DE LIGAÇÃO PARA BACIA SANITÁRIA AJUSTÁVEL - FORNECIMENTO E INSTALAÇÃO. AF_01/2020</v>
      </c>
      <c r="F1113" s="669"/>
      <c r="G1113" s="669"/>
      <c r="H1113" s="669"/>
      <c r="I1113" s="669"/>
      <c r="J1113" s="670"/>
      <c r="K1113" s="212">
        <v>1</v>
      </c>
      <c r="L1113" s="239" t="str">
        <f>IFERROR(VLOOKUP($C1113,'SINAPI MAIO 2020'!$1:$1048576,3,0),IFERROR(VLOOKUP($C1113,'6-COMP. PROPRIA'!$B$1:$I$808,5,0),""))</f>
        <v>UN</v>
      </c>
      <c r="M1113" s="104"/>
      <c r="N1113" s="105"/>
    </row>
    <row r="1114" spans="2:14" ht="15">
      <c r="B1114" s="610"/>
      <c r="C1114" s="293"/>
      <c r="D1114" s="289"/>
      <c r="E1114" s="606"/>
      <c r="F1114" s="607"/>
      <c r="G1114" s="607"/>
      <c r="H1114" s="607"/>
      <c r="I1114" s="607"/>
      <c r="J1114" s="608"/>
      <c r="K1114" s="212"/>
      <c r="L1114" s="239"/>
      <c r="M1114" s="104"/>
      <c r="N1114" s="105"/>
    </row>
    <row r="1115" spans="2:14" ht="18" customHeight="1">
      <c r="B1115" s="5"/>
      <c r="C1115" s="274">
        <v>100849</v>
      </c>
      <c r="D1115" s="275" t="s">
        <v>8</v>
      </c>
      <c r="E1115" s="668" t="str">
        <f>IFERROR(VLOOKUP($C1115,'SINAPI MAIO 2020'!$1:$1048576,2,0),IFERROR(VLOOKUP($C1115,'6-COMP. PROPRIA'!$B$28:$I$808,4,0),""))</f>
        <v>ASSENTO SANITÁRIO CONVENCIONAL - FORNECIMENTO E INSTALACAO. AF_01/2020</v>
      </c>
      <c r="F1115" s="669"/>
      <c r="G1115" s="669"/>
      <c r="H1115" s="669"/>
      <c r="I1115" s="669"/>
      <c r="J1115" s="670"/>
      <c r="K1115" s="212">
        <f>SUM(K1111:K1113)</f>
        <v>8</v>
      </c>
      <c r="L1115" s="239" t="str">
        <f>IFERROR(VLOOKUP($C1115,'SINAPI MAIO 2020'!$1:$1048576,3,0),IFERROR(VLOOKUP($C1115,'6-COMP. PROPRIA'!$B$1:$I$808,5,0),""))</f>
        <v>UN</v>
      </c>
      <c r="M1115" s="104"/>
      <c r="N1115" s="105"/>
    </row>
    <row r="1116" spans="2:14" ht="17.25" customHeight="1">
      <c r="B1116" s="284"/>
      <c r="C1116" s="90"/>
      <c r="D1116" s="20"/>
      <c r="E1116" s="238"/>
      <c r="F1116" s="312"/>
      <c r="G1116" s="312"/>
      <c r="H1116" s="312"/>
      <c r="I1116" s="312"/>
      <c r="J1116" s="103"/>
      <c r="K1116" s="211"/>
      <c r="L1116" s="239" t="str">
        <f>IFERROR(VLOOKUP($C1116,'SINAPI MAIO 2020'!$1:$1048576,3,0),IFERROR(VLOOKUP($C1116,'6-COMP. PROPRIA'!$B$1:$I$808,5,0),""))</f>
        <v/>
      </c>
      <c r="M1116" s="104"/>
      <c r="N1116" s="105"/>
    </row>
    <row r="1117" spans="2:14" ht="49.5" customHeight="1">
      <c r="B1117" s="284"/>
      <c r="C1117" s="275">
        <v>86941</v>
      </c>
      <c r="D1117" s="275" t="s">
        <v>8</v>
      </c>
      <c r="E1117" s="668" t="str">
        <f>IFERROR(VLOOKUP($C1117,'SINAPI MAIO 2020'!$1:$1048576,2,0),IFERROR(VLOOKUP($C1117,'6-COMP. PROPRIA'!$B$28:$I$808,4,0),""))</f>
        <v>LAVATÓRIO LOUÇA BRANCA COM COLUNA, 45 X 55CM OU EQUIVALENTE, PADRÃO MÉDIO, INCLUSO SIFÃO TIPO GARRAFA, VÁLVULA E ENGATE FLEXÍVEL DE 40CM EM METAL CROMADO, COM TORNEIRA CROMADA DE MESA, PADRÃO MÉDIO - FORNECIMENTO E INSTALAÇÃO. AF_01/2020</v>
      </c>
      <c r="F1117" s="669"/>
      <c r="G1117" s="669"/>
      <c r="H1117" s="669"/>
      <c r="I1117" s="669"/>
      <c r="J1117" s="670"/>
      <c r="K1117" s="212">
        <v>6</v>
      </c>
      <c r="L1117" s="239" t="str">
        <f>IFERROR(VLOOKUP($C1117,'SINAPI MAIO 2020'!$1:$1048576,3,0),IFERROR(VLOOKUP($C1117,'6-COMP. PROPRIA'!$B$1:$I$808,5,0),""))</f>
        <v>UN</v>
      </c>
      <c r="M1117" s="104"/>
      <c r="N1117" s="105"/>
    </row>
    <row r="1118" spans="2:14" ht="17.25" customHeight="1">
      <c r="B1118" s="284"/>
      <c r="C1118" s="90"/>
      <c r="D1118" s="20"/>
      <c r="E1118" s="238"/>
      <c r="F1118" s="312"/>
      <c r="G1118" s="312"/>
      <c r="H1118" s="312"/>
      <c r="I1118" s="312"/>
      <c r="J1118" s="103"/>
      <c r="K1118" s="211"/>
      <c r="L1118" s="239" t="str">
        <f>IFERROR(VLOOKUP($C1118,'SINAPI MAIO 2020'!$1:$1048576,3,0),IFERROR(VLOOKUP($C1118,'6-COMP. PROPRIA'!$B$1:$I$808,5,0),""))</f>
        <v/>
      </c>
      <c r="M1118" s="104"/>
      <c r="N1118" s="105"/>
    </row>
    <row r="1119" spans="2:14" ht="43.5" customHeight="1">
      <c r="B1119" s="284" t="s">
        <v>6093</v>
      </c>
      <c r="C1119" s="286">
        <v>86943</v>
      </c>
      <c r="D1119" s="275" t="s">
        <v>8</v>
      </c>
      <c r="E1119" s="668" t="str">
        <f>IFERROR(VLOOKUP($C1119,'SINAPI MAIO 2020'!$1:$1048576,2,0),IFERROR(VLOOKUP($C1119,'6-COMP. PROPRIA'!$B$28:$I$808,4,0),""))</f>
        <v>LAVATÓRIO LOUÇA BRANCA SUSPENSO, 29,5 X 39CM OU EQUIVALENTE, PADRÃO POPULAR, INCLUSO SIFÃO FLEXÍVEL EM PVC, VÁLVULA E ENGATE FLEXÍVEL 30CM EM PLÁSTICO E TORNEIRA CROMADA DE MESA, PADRÃO POPULAR - FORNECIMENTO E INSTALAÇÃO. AF_01/2020</v>
      </c>
      <c r="F1119" s="669"/>
      <c r="G1119" s="669"/>
      <c r="H1119" s="669"/>
      <c r="I1119" s="669"/>
      <c r="J1119" s="670"/>
      <c r="K1119" s="212">
        <v>1</v>
      </c>
      <c r="L1119" s="239" t="str">
        <f>IFERROR(VLOOKUP($C1119,'SINAPI MAIO 2020'!$1:$1048576,3,0),IFERROR(VLOOKUP($C1119,'6-COMP. PROPRIA'!$B$1:$I$808,5,0),""))</f>
        <v>UN</v>
      </c>
      <c r="M1119" s="104"/>
      <c r="N1119" s="105"/>
    </row>
    <row r="1120" spans="2:14" ht="17.25" customHeight="1">
      <c r="B1120" s="284"/>
      <c r="C1120" s="90"/>
      <c r="D1120" s="20"/>
      <c r="E1120" s="238"/>
      <c r="F1120" s="312"/>
      <c r="G1120" s="312"/>
      <c r="H1120" s="312"/>
      <c r="I1120" s="312"/>
      <c r="J1120" s="103"/>
      <c r="K1120" s="211"/>
      <c r="L1120" s="239" t="str">
        <f>IFERROR(VLOOKUP($C1120,'SINAPI MAIO 2020'!$1:$1048576,3,0),IFERROR(VLOOKUP($C1120,'6-COMP. PROPRIA'!$B$1:$I$808,5,0),""))</f>
        <v/>
      </c>
      <c r="M1120" s="104"/>
      <c r="N1120" s="105"/>
    </row>
    <row r="1121" spans="2:14" ht="31.5" customHeight="1">
      <c r="B1121" s="284" t="s">
        <v>6208</v>
      </c>
      <c r="C1121" s="286">
        <v>100860</v>
      </c>
      <c r="D1121" s="275" t="s">
        <v>8</v>
      </c>
      <c r="E1121" s="668" t="str">
        <f>IFERROR(VLOOKUP($C1121,'SINAPI MAIO 2020'!$1:$1048576,2,0),IFERROR(VLOOKUP($C1121,'6-COMP. PROPRIA'!$B$28:$I$808,4,0),""))</f>
        <v>CHUVEIRO ELÉTRICO COMUM CORPO PLÁSTICO, TIPO DUCHA  FORNECIMENTO E INSTALAÇÃO. AF_01/2020</v>
      </c>
      <c r="F1121" s="669"/>
      <c r="G1121" s="669"/>
      <c r="H1121" s="669"/>
      <c r="I1121" s="669"/>
      <c r="J1121" s="670"/>
      <c r="K1121" s="212">
        <v>2</v>
      </c>
      <c r="L1121" s="239" t="str">
        <f>IFERROR(VLOOKUP($C1121,'SINAPI MAIO 2020'!$1:$1048576,3,0),IFERROR(VLOOKUP($C1121,'6-COMP. PROPRIA'!$B$1:$I$808,5,0),""))</f>
        <v>UN</v>
      </c>
      <c r="M1121" s="104"/>
      <c r="N1121" s="105"/>
    </row>
    <row r="1122" spans="2:14" ht="17.25" customHeight="1">
      <c r="B1122" s="164"/>
      <c r="C1122" s="90"/>
      <c r="D1122" s="20"/>
      <c r="E1122" s="238"/>
      <c r="F1122" s="312"/>
      <c r="G1122" s="312"/>
      <c r="H1122" s="312"/>
      <c r="I1122" s="312"/>
      <c r="J1122" s="103"/>
      <c r="K1122" s="211"/>
      <c r="L1122" s="239" t="str">
        <f>IFERROR(VLOOKUP($C1122,'SINAPI MAIO 2020'!$1:$1048576,3,0),IFERROR(VLOOKUP($C1122,'6-COMP. PROPRIA'!$B$1:$I$808,5,0),""))</f>
        <v/>
      </c>
      <c r="M1122" s="104"/>
      <c r="N1122" s="105"/>
    </row>
    <row r="1123" spans="2:14" ht="33" customHeight="1">
      <c r="B1123" s="164"/>
      <c r="C1123" s="286">
        <v>86921</v>
      </c>
      <c r="D1123" s="275" t="s">
        <v>8</v>
      </c>
      <c r="E1123" s="668" t="str">
        <f>IFERROR(VLOOKUP($C1123,'SINAPI MAIO 2020'!$1:$1048576,2,0),IFERROR(VLOOKUP($C1123,'6-COMP. PROPRIA'!$B$28:$I$808,4,0),""))</f>
        <v>TANQUE DE LOUÇA BRANCA COM COLUNA, 30L OU EQUIVALENTE, INCLUSO SIFÃO FLEXÍVEL EM PVC, VÁLVULA PLÁSTICA E TORNEIRA DE PLÁSTICO - FORNECIMENTO E INSTALAÇÃO. AF_01/2020</v>
      </c>
      <c r="F1123" s="669"/>
      <c r="G1123" s="669"/>
      <c r="H1123" s="669"/>
      <c r="I1123" s="669"/>
      <c r="J1123" s="670"/>
      <c r="K1123" s="212">
        <v>1</v>
      </c>
      <c r="L1123" s="239" t="str">
        <f>IFERROR(VLOOKUP($C1123,'SINAPI MAIO 2020'!$1:$1048576,3,0),IFERROR(VLOOKUP($C1123,'6-COMP. PROPRIA'!$B$1:$I$808,5,0),""))</f>
        <v>UN</v>
      </c>
      <c r="M1123" s="104"/>
      <c r="N1123" s="105"/>
    </row>
    <row r="1124" spans="2:14" ht="17.25" customHeight="1" thickBot="1">
      <c r="B1124" s="164"/>
      <c r="C1124" s="90"/>
      <c r="D1124" s="20"/>
      <c r="E1124" s="306"/>
      <c r="F1124" s="307"/>
      <c r="G1124" s="307"/>
      <c r="H1124" s="307"/>
      <c r="I1124" s="307"/>
      <c r="J1124" s="308"/>
      <c r="K1124" s="212"/>
      <c r="L1124" s="239" t="str">
        <f>IFERROR(VLOOKUP($C1124,'SINAPI MAIO 2020'!$1:$1048576,3,0),IFERROR(VLOOKUP($C1124,'6-COMP. PROPRIA'!$B$1:$I$808,5,0),""))</f>
        <v/>
      </c>
      <c r="M1124" s="104"/>
      <c r="N1124" s="105"/>
    </row>
    <row r="1125" spans="2:14" ht="17.25" customHeight="1" thickBot="1">
      <c r="B1125" s="164"/>
      <c r="C1125" s="90"/>
      <c r="D1125" s="20"/>
      <c r="E1125" s="674" t="s">
        <v>6107</v>
      </c>
      <c r="F1125" s="675"/>
      <c r="G1125" s="675"/>
      <c r="H1125" s="675"/>
      <c r="I1125" s="675"/>
      <c r="J1125" s="676"/>
      <c r="K1125" s="211"/>
      <c r="L1125" s="239" t="str">
        <f>IFERROR(VLOOKUP($C1125,'SINAPI MAIO 2020'!$1:$1048576,3,0),IFERROR(VLOOKUP($C1125,'6-COMP. PROPRIA'!$B$1:$I$808,5,0),""))</f>
        <v/>
      </c>
      <c r="M1125" s="104"/>
      <c r="N1125" s="105"/>
    </row>
    <row r="1126" spans="2:14" ht="17.25" customHeight="1">
      <c r="B1126" s="164"/>
      <c r="C1126" s="90"/>
      <c r="D1126" s="20"/>
      <c r="E1126" s="238"/>
      <c r="F1126" s="312"/>
      <c r="G1126" s="312"/>
      <c r="H1126" s="312"/>
      <c r="I1126" s="312"/>
      <c r="J1126" s="103"/>
      <c r="K1126" s="211"/>
      <c r="L1126" s="239" t="str">
        <f>IFERROR(VLOOKUP($C1126,'SINAPI MAIO 2020'!$1:$1048576,3,0),IFERROR(VLOOKUP($C1126,'6-COMP. PROPRIA'!$B$1:$I$808,5,0),""))</f>
        <v/>
      </c>
      <c r="M1126" s="104"/>
      <c r="N1126" s="105"/>
    </row>
    <row r="1127" spans="2:14" ht="42.75" customHeight="1">
      <c r="B1127" s="164"/>
      <c r="C1127" s="275">
        <v>86941</v>
      </c>
      <c r="D1127" s="275" t="s">
        <v>8</v>
      </c>
      <c r="E1127" s="668" t="str">
        <f>IFERROR(VLOOKUP($C1127,'SINAPI MAIO 2020'!$1:$1048576,2,0),IFERROR(VLOOKUP($C1127,'6-COMP. PROPRIA'!$B$28:$I$808,4,0),""))</f>
        <v>LAVATÓRIO LOUÇA BRANCA COM COLUNA, 45 X 55CM OU EQUIVALENTE, PADRÃO MÉDIO, INCLUSO SIFÃO TIPO GARRAFA, VÁLVULA E ENGATE FLEXÍVEL DE 40CM EM METAL CROMADO, COM TORNEIRA CROMADA DE MESA, PADRÃO MÉDIO - FORNECIMENTO E INSTALAÇÃO. AF_01/2020</v>
      </c>
      <c r="F1127" s="669"/>
      <c r="G1127" s="669"/>
      <c r="H1127" s="669"/>
      <c r="I1127" s="669"/>
      <c r="J1127" s="670"/>
      <c r="K1127" s="212">
        <v>1</v>
      </c>
      <c r="L1127" s="239" t="str">
        <f>IFERROR(VLOOKUP($C1127,'SINAPI MAIO 2020'!$1:$1048576,3,0),IFERROR(VLOOKUP($C1127,'6-COMP. PROPRIA'!$B$1:$I$808,5,0),""))</f>
        <v>UN</v>
      </c>
      <c r="M1127" s="104"/>
      <c r="N1127" s="105"/>
    </row>
    <row r="1128" spans="2:14" ht="17.25" customHeight="1">
      <c r="B1128" s="164"/>
      <c r="C1128" s="90"/>
      <c r="D1128" s="20"/>
      <c r="E1128" s="238"/>
      <c r="F1128" s="312"/>
      <c r="G1128" s="312"/>
      <c r="H1128" s="312"/>
      <c r="I1128" s="312"/>
      <c r="J1128" s="103"/>
      <c r="K1128" s="211"/>
      <c r="L1128" s="239" t="str">
        <f>IFERROR(VLOOKUP($C1128,'SINAPI MAIO 2020'!$1:$1048576,3,0),IFERROR(VLOOKUP($C1128,'6-COMP. PROPRIA'!$B$1:$I$808,5,0),""))</f>
        <v/>
      </c>
      <c r="M1128" s="104"/>
      <c r="N1128" s="105"/>
    </row>
    <row r="1129" spans="2:14" ht="17.25" customHeight="1">
      <c r="B1129" s="164"/>
      <c r="C1129" s="90"/>
      <c r="D1129" s="20"/>
      <c r="E1129" s="238"/>
      <c r="F1129" s="312"/>
      <c r="G1129" s="312"/>
      <c r="H1129" s="312"/>
      <c r="I1129" s="312"/>
      <c r="J1129" s="103"/>
      <c r="K1129" s="211"/>
      <c r="L1129" s="239" t="str">
        <f>IFERROR(VLOOKUP($C1129,'SINAPI MAIO 2020'!$1:$1048576,3,0),IFERROR(VLOOKUP($C1129,'6-COMP. PROPRIA'!$B$1:$I$808,5,0),""))</f>
        <v/>
      </c>
      <c r="M1129" s="104"/>
      <c r="N1129" s="105"/>
    </row>
    <row r="1130" spans="2:14" ht="42" customHeight="1">
      <c r="B1130" s="164"/>
      <c r="C1130" s="275">
        <v>86910</v>
      </c>
      <c r="D1130" s="275" t="s">
        <v>8</v>
      </c>
      <c r="E1130" s="668" t="str">
        <f>IFERROR(VLOOKUP($C1130,'SINAPI MAIO 2020'!$1:$1048576,2,0),IFERROR(VLOOKUP($C1130,'6-COMP. PROPRIA'!$B$28:$I$808,4,0),""))</f>
        <v>TORNEIRA CROMADA TUBO MÓVEL, DE PAREDE, 1/2 OU 3/4, PARA PIA DE COZINHA, PADRÃO MÉDIO - FORNECIMENTO E INSTALAÇÃO. AF_01/2020</v>
      </c>
      <c r="F1130" s="669"/>
      <c r="G1130" s="669"/>
      <c r="H1130" s="669"/>
      <c r="I1130" s="669"/>
      <c r="J1130" s="670"/>
      <c r="K1130" s="212">
        <v>3</v>
      </c>
      <c r="L1130" s="239" t="str">
        <f>IFERROR(VLOOKUP($C1130,'SINAPI MAIO 2020'!$1:$1048576,3,0),IFERROR(VLOOKUP($C1130,'6-COMP. PROPRIA'!$B$1:$I$808,5,0),""))</f>
        <v>UN</v>
      </c>
      <c r="M1130" s="104"/>
      <c r="N1130" s="105"/>
    </row>
    <row r="1131" spans="2:14" ht="17.25" customHeight="1">
      <c r="B1131" s="164"/>
      <c r="C1131" s="90"/>
      <c r="D1131" s="20"/>
      <c r="E1131" s="238"/>
      <c r="F1131" s="312"/>
      <c r="G1131" s="312"/>
      <c r="H1131" s="312"/>
      <c r="I1131" s="312"/>
      <c r="J1131" s="103"/>
      <c r="K1131" s="211"/>
      <c r="L1131" s="239" t="str">
        <f>IFERROR(VLOOKUP($C1131,'SINAPI MAIO 2020'!$1:$1048576,3,0),IFERROR(VLOOKUP($C1131,'6-COMP. PROPRIA'!$B$1:$I$808,5,0),""))</f>
        <v/>
      </c>
      <c r="M1131" s="104"/>
      <c r="N1131" s="105"/>
    </row>
    <row r="1132" spans="2:14" ht="27" customHeight="1">
      <c r="B1132" s="164"/>
      <c r="C1132" s="275">
        <v>86935</v>
      </c>
      <c r="D1132" s="275" t="s">
        <v>8</v>
      </c>
      <c r="E1132" s="668" t="str">
        <f>IFERROR(VLOOKUP($C1132,'SINAPI MAIO 2020'!$1:$1048576,2,0),IFERROR(VLOOKUP($C1132,'6-COMP. PROPRIA'!$B$28:$I$808,4,0),""))</f>
        <v>CUBA DE EMBUTIR DE AÇO INOXIDÁVEL MÉDIA, INCLUSO VÁLVULA TIPO AMERICANA EM METAL CROMADO E SIFÃO FLEXÍVEL EM PVC - FORNECIMENTO E INSTALAÇÃO. AF_01/2020</v>
      </c>
      <c r="F1132" s="669"/>
      <c r="G1132" s="669"/>
      <c r="H1132" s="669"/>
      <c r="I1132" s="669"/>
      <c r="J1132" s="670"/>
      <c r="K1132" s="212">
        <v>3</v>
      </c>
      <c r="L1132" s="239" t="str">
        <f>IFERROR(VLOOKUP($C1132,'SINAPI MAIO 2020'!$1:$1048576,3,0),IFERROR(VLOOKUP($C1132,'6-COMP. PROPRIA'!$B$1:$I$808,5,0),""))</f>
        <v>UN</v>
      </c>
      <c r="M1132" s="104"/>
      <c r="N1132" s="105"/>
    </row>
    <row r="1133" spans="2:14" ht="17.25" customHeight="1">
      <c r="B1133" s="164"/>
      <c r="C1133" s="90"/>
      <c r="D1133" s="20"/>
      <c r="E1133" s="238"/>
      <c r="F1133" s="312"/>
      <c r="G1133" s="312"/>
      <c r="H1133" s="312"/>
      <c r="I1133" s="312"/>
      <c r="J1133" s="103"/>
      <c r="K1133" s="211"/>
      <c r="L1133" s="239" t="str">
        <f>IFERROR(VLOOKUP($C1133,'SINAPI MAIO 2020'!$1:$1048576,3,0),IFERROR(VLOOKUP($C1133,'6-COMP. PROPRIA'!$B$1:$I$808,5,0),""))</f>
        <v/>
      </c>
      <c r="M1133" s="104"/>
      <c r="N1133" s="105"/>
    </row>
    <row r="1134" spans="2:14" ht="17.25" customHeight="1" thickBot="1">
      <c r="B1134" s="164"/>
      <c r="C1134" s="90"/>
      <c r="D1134" s="20"/>
      <c r="E1134" s="238"/>
      <c r="F1134" s="312"/>
      <c r="G1134" s="312"/>
      <c r="H1134" s="312"/>
      <c r="I1134" s="312"/>
      <c r="J1134" s="103"/>
      <c r="K1134" s="211"/>
      <c r="L1134" s="239" t="str">
        <f>IFERROR(VLOOKUP($C1134,'SINAPI MAIO 2020'!$1:$1048576,3,0),IFERROR(VLOOKUP($C1134,'6-COMP. PROPRIA'!$B$1:$I$808,5,0),""))</f>
        <v/>
      </c>
      <c r="M1134" s="104"/>
      <c r="N1134" s="105"/>
    </row>
    <row r="1135" spans="2:14" ht="17.25" customHeight="1" thickBot="1">
      <c r="B1135" s="171"/>
      <c r="C1135" s="93"/>
      <c r="D1135" s="93"/>
      <c r="E1135" s="674" t="s">
        <v>834</v>
      </c>
      <c r="F1135" s="675"/>
      <c r="G1135" s="675"/>
      <c r="H1135" s="675"/>
      <c r="I1135" s="675"/>
      <c r="J1135" s="676"/>
      <c r="K1135" s="210"/>
      <c r="L1135" s="239" t="str">
        <f>IFERROR(VLOOKUP($C1135,'SINAPI MAIO 2020'!$1:$1048576,3,0),IFERROR(VLOOKUP($C1135,'6-COMP. PROPRIA'!$B$1:$I$808,5,0),""))</f>
        <v/>
      </c>
      <c r="M1135" s="94"/>
      <c r="N1135" s="109"/>
    </row>
    <row r="1136" spans="2:14" ht="17.25" customHeight="1">
      <c r="B1136" s="164"/>
      <c r="C1136" s="70"/>
      <c r="D1136" s="70"/>
      <c r="E1136" s="238"/>
      <c r="F1136" s="312"/>
      <c r="G1136" s="312"/>
      <c r="H1136" s="312"/>
      <c r="I1136" s="312"/>
      <c r="J1136" s="103"/>
      <c r="K1136" s="62"/>
      <c r="L1136" s="239" t="str">
        <f>IFERROR(VLOOKUP($C1136,'SINAPI MAIO 2020'!$1:$1048576,3,0),IFERROR(VLOOKUP($C1136,'6-COMP. PROPRIA'!$B$1:$I$808,5,0),""))</f>
        <v/>
      </c>
      <c r="M1136" s="104"/>
      <c r="N1136" s="105"/>
    </row>
    <row r="1137" spans="2:14" ht="32.25" customHeight="1">
      <c r="B1137" s="164"/>
      <c r="C1137" s="274" t="str">
        <f>'6-COMP. PROPRIA'!B283</f>
        <v>CP-GAS-1</v>
      </c>
      <c r="D1137" s="275" t="s">
        <v>980</v>
      </c>
      <c r="E1137" s="668" t="str">
        <f>IFERROR(VLOOKUP($C1137,'SINAPI MAIO 2020'!$1:$1048576,2,0),IFERROR(VLOOKUP($C1137,'6-COMP. PROPRIA'!$B$28:$I$808,4,0),""))</f>
        <v>FORNECIMENTO E INSTALAÇÃO DE CASA DE GÁS MODELO PADRÃO DE 2,00X1,00</v>
      </c>
      <c r="F1137" s="669"/>
      <c r="G1137" s="669"/>
      <c r="H1137" s="669"/>
      <c r="I1137" s="669"/>
      <c r="J1137" s="670"/>
      <c r="K1137" s="210">
        <v>1</v>
      </c>
      <c r="L1137" s="239" t="str">
        <f>IFERROR(VLOOKUP($C1137,'SINAPI MAIO 2020'!$1:$1048576,3,0),IFERROR(VLOOKUP($C1137,'6-COMP. PROPRIA'!$B$1:$I$808,5,0),""))</f>
        <v>UNI</v>
      </c>
      <c r="M1137" s="104"/>
      <c r="N1137" s="105"/>
    </row>
    <row r="1138" spans="2:14" ht="32.25" customHeight="1">
      <c r="B1138" s="164"/>
      <c r="C1138" s="70">
        <v>92688</v>
      </c>
      <c r="D1138" s="70" t="s">
        <v>8</v>
      </c>
      <c r="E1138" s="668" t="str">
        <f>IFERROR(VLOOKUP($C1138,'SINAPI MAIO 2020'!$1:$1048576,2,0),IFERROR(VLOOKUP($C1138,'6-COMP. PROPRIA'!$B$28:$I$808,4,0),""))</f>
        <v>TUBO DE AÇO GALVANIZADO COM COSTURA, CLASSE MÉDIA, CONEXÃO ROSQUEADA, DN 20 (3/4"), INSTALADO EM RAMAIS E SUB-RAMAIS DE GÁS - FORNECIMENTO E INSTALAÇÃO. AF_12/2015</v>
      </c>
      <c r="F1138" s="669"/>
      <c r="G1138" s="669"/>
      <c r="H1138" s="669"/>
      <c r="I1138" s="669"/>
      <c r="J1138" s="670"/>
      <c r="K1138" s="290">
        <v>11.5</v>
      </c>
      <c r="L1138" s="239" t="str">
        <f>IFERROR(VLOOKUP($C1138,'SINAPI MAIO 2020'!$1:$1048576,3,0),IFERROR(VLOOKUP($C1138,'6-COMP. PROPRIA'!$B$1:$I$808,5,0),""))</f>
        <v>M</v>
      </c>
      <c r="M1138" s="104"/>
      <c r="N1138" s="105"/>
    </row>
    <row r="1139" spans="2:14" ht="32.25" customHeight="1">
      <c r="B1139" s="164"/>
      <c r="C1139" s="70">
        <v>92873</v>
      </c>
      <c r="D1139" s="70" t="s">
        <v>8</v>
      </c>
      <c r="E1139" s="668" t="str">
        <f>IFERROR(VLOOKUP($C1139,'SINAPI MAIO 2020'!$1:$1048576,2,0),IFERROR(VLOOKUP($C1139,'6-COMP. PROPRIA'!$B$28:$I$808,4,0),""))</f>
        <v>LANÇAMENTO COM USO DE BALDES, ADENSAMENTO E ACABAMENTO DE CONCRETO EM ESTRUTURAS. AF_12/2015</v>
      </c>
      <c r="F1139" s="669"/>
      <c r="G1139" s="669"/>
      <c r="H1139" s="669"/>
      <c r="I1139" s="669"/>
      <c r="J1139" s="670"/>
      <c r="K1139" s="290">
        <v>0.06</v>
      </c>
      <c r="L1139" s="239" t="str">
        <f>IFERROR(VLOOKUP($C1139,'SINAPI MAIO 2020'!$1:$1048576,3,0),IFERROR(VLOOKUP($C1139,'6-COMP. PROPRIA'!$B$1:$I$808,5,0),""))</f>
        <v>M3</v>
      </c>
      <c r="M1139" s="104"/>
      <c r="N1139" s="105"/>
    </row>
    <row r="1140" spans="2:14" ht="32.25" customHeight="1">
      <c r="B1140" s="164"/>
      <c r="C1140" s="274" t="str">
        <f>'6-COMP. PROPRIA'!B304</f>
        <v>CP-GAS-2</v>
      </c>
      <c r="D1140" s="275" t="s">
        <v>980</v>
      </c>
      <c r="E1140" s="668" t="str">
        <f>IFERROR(VLOOKUP($C1140,'SINAPI MAIO 2020'!$1:$1048576,2,0),IFERROR(VLOOKUP($C1140,'6-COMP. PROPRIA'!$B$28:$I$808,4,0),""))</f>
        <v>FITA ADESIVA ANTICORROSIVA DE PVC FLEXIVEL, COR PRETA, PARA PROTECAO TUBULACAO, 50 MM X 30 M (L X C), E= *0,25* MM - FORNECIMETNO E INSTALAÇÃO</v>
      </c>
      <c r="F1140" s="669"/>
      <c r="G1140" s="669"/>
      <c r="H1140" s="669"/>
      <c r="I1140" s="669"/>
      <c r="J1140" s="670"/>
      <c r="K1140" s="210">
        <v>5</v>
      </c>
      <c r="L1140" s="239" t="str">
        <f>IFERROR(VLOOKUP($C1140,'SINAPI MAIO 2020'!$1:$1048576,3,0),IFERROR(VLOOKUP($C1140,'6-COMP. PROPRIA'!$B$1:$I$808,5,0),""))</f>
        <v>M</v>
      </c>
      <c r="M1140" s="104"/>
      <c r="N1140" s="105"/>
    </row>
    <row r="1141" spans="2:14" ht="32.25" customHeight="1">
      <c r="B1141" s="164"/>
      <c r="C1141" s="274" t="str">
        <f>'6-COMP. PROPRIA'!B309</f>
        <v>CP-GAS-3</v>
      </c>
      <c r="D1141" s="275" t="s">
        <v>980</v>
      </c>
      <c r="E1141" s="668" t="str">
        <f>IFERROR(VLOOKUP($C1141,'SINAPI MAIO 2020'!$1:$1048576,2,0),IFERROR(VLOOKUP($C1141,'6-COMP. PROPRIA'!$B$28:$I$808,4,0),""))</f>
        <v>VALVULA DE RETENCAO VERTICAL, DE BRONZE (PN-16), 3/4", 200 PSI, EXTREMIDADES COM ROSCA - FORNECIMENTO E INSTALAÇÃO</v>
      </c>
      <c r="F1141" s="669"/>
      <c r="G1141" s="669"/>
      <c r="H1141" s="669"/>
      <c r="I1141" s="669"/>
      <c r="J1141" s="670"/>
      <c r="K1141" s="210">
        <v>1</v>
      </c>
      <c r="L1141" s="239" t="str">
        <f>IFERROR(VLOOKUP($C1141,'SINAPI MAIO 2020'!$1:$1048576,3,0),IFERROR(VLOOKUP($C1141,'6-COMP. PROPRIA'!$B$1:$I$808,5,0),""))</f>
        <v>UNI</v>
      </c>
      <c r="M1141" s="104"/>
      <c r="N1141" s="105"/>
    </row>
    <row r="1142" spans="2:14" ht="32.25" customHeight="1">
      <c r="B1142" s="164"/>
      <c r="C1142" s="70">
        <v>92905</v>
      </c>
      <c r="D1142" s="70" t="s">
        <v>8</v>
      </c>
      <c r="E1142" s="668" t="str">
        <f>IFERROR(VLOOKUP($C1142,'SINAPI MAIO 2020'!$1:$1048576,2,0),IFERROR(VLOOKUP($C1142,'6-COMP. PROPRIA'!$B$28:$I$808,4,0),""))</f>
        <v>UNIÃO, EM FERRO GALVANIZADO, CONEXÃO ROSQUEADA, DN 20 (3/4"), INSTALADO EM RAMAIS E SUB-RAMAIS DE GÁS - FORNECIMENTO E INSTALAÇÃO. AF_12/2015</v>
      </c>
      <c r="F1142" s="669"/>
      <c r="G1142" s="669"/>
      <c r="H1142" s="669"/>
      <c r="I1142" s="669"/>
      <c r="J1142" s="670"/>
      <c r="K1142" s="290">
        <v>8</v>
      </c>
      <c r="L1142" s="239" t="str">
        <f>IFERROR(VLOOKUP($C1142,'SINAPI MAIO 2020'!$1:$1048576,3,0),IFERROR(VLOOKUP($C1142,'6-COMP. PROPRIA'!$B$1:$I$808,5,0),""))</f>
        <v>UN</v>
      </c>
      <c r="M1142" s="104"/>
      <c r="N1142" s="105"/>
    </row>
    <row r="1143" spans="2:14" ht="32.25" customHeight="1">
      <c r="B1143" s="164"/>
      <c r="C1143" s="70">
        <v>92694</v>
      </c>
      <c r="D1143" s="70" t="s">
        <v>8</v>
      </c>
      <c r="E1143" s="668" t="str">
        <f>IFERROR(VLOOKUP($C1143,'SINAPI MAIO 2020'!$1:$1048576,2,0),IFERROR(VLOOKUP($C1143,'6-COMP. PROPRIA'!$B$28:$I$808,4,0),""))</f>
        <v>NIPLE, EM FERRO GALVANIZADO, CONEXÃO ROSQUEADA, DN 20 (3/4"), INSTALADO EM RAMAIS E SUB-RAMAIS DE GÁS - FORNECIMENTO E INSTALAÇÃO. AF_12/2015</v>
      </c>
      <c r="F1143" s="669"/>
      <c r="G1143" s="669"/>
      <c r="H1143" s="669"/>
      <c r="I1143" s="669"/>
      <c r="J1143" s="670"/>
      <c r="K1143" s="290">
        <v>6</v>
      </c>
      <c r="L1143" s="239" t="str">
        <f>IFERROR(VLOOKUP($C1143,'SINAPI MAIO 2020'!$1:$1048576,3,0),IFERROR(VLOOKUP($C1143,'6-COMP. PROPRIA'!$B$1:$I$808,5,0),""))</f>
        <v>UN</v>
      </c>
      <c r="M1143" s="104"/>
      <c r="N1143" s="105"/>
    </row>
    <row r="1144" spans="2:14" ht="32.25" customHeight="1">
      <c r="B1144" s="164"/>
      <c r="C1144" s="70">
        <v>92692</v>
      </c>
      <c r="D1144" s="70" t="s">
        <v>8</v>
      </c>
      <c r="E1144" s="668" t="str">
        <f>IFERROR(VLOOKUP($C1144,'SINAPI MAIO 2020'!$1:$1048576,2,0),IFERROR(VLOOKUP($C1144,'6-COMP. PROPRIA'!$B$28:$I$808,4,0),""))</f>
        <v>NIPLE, EM FERRO GALVANIZADO, CONEXÃO ROSQUEADA, DN 15 (1/2"), INSTALADO EM RAMAIS E SUB-RAMAIS DE GÁS - FORNECIMENTO E INSTALAÇÃO. AF_12/2015</v>
      </c>
      <c r="F1144" s="669"/>
      <c r="G1144" s="669"/>
      <c r="H1144" s="669"/>
      <c r="I1144" s="669"/>
      <c r="J1144" s="670"/>
      <c r="K1144" s="290">
        <v>8</v>
      </c>
      <c r="L1144" s="239" t="str">
        <f>IFERROR(VLOOKUP($C1144,'SINAPI MAIO 2020'!$1:$1048576,3,0),IFERROR(VLOOKUP($C1144,'6-COMP. PROPRIA'!$B$1:$I$808,5,0),""))</f>
        <v>UN</v>
      </c>
      <c r="M1144" s="104"/>
      <c r="N1144" s="105"/>
    </row>
    <row r="1145" spans="2:14" ht="32.25" customHeight="1">
      <c r="B1145" s="164"/>
      <c r="C1145" s="274" t="str">
        <f>'6-COMP. PROPRIA'!B309</f>
        <v>CP-GAS-3</v>
      </c>
      <c r="D1145" s="275" t="s">
        <v>980</v>
      </c>
      <c r="E1145" s="668" t="str">
        <f>IFERROR(VLOOKUP($C1145,'SINAPI MAIO 2020'!$1:$1048576,2,0),IFERROR(VLOOKUP($C1145,'6-COMP. PROPRIA'!$B$28:$I$808,4,0),""))</f>
        <v>VALVULA DE RETENCAO VERTICAL, DE BRONZE (PN-16), 3/4", 200 PSI, EXTREMIDADES COM ROSCA - FORNECIMENTO E INSTALAÇÃO</v>
      </c>
      <c r="F1145" s="669"/>
      <c r="G1145" s="669"/>
      <c r="H1145" s="669"/>
      <c r="I1145" s="669"/>
      <c r="J1145" s="670"/>
      <c r="K1145" s="210">
        <v>1</v>
      </c>
      <c r="L1145" s="239" t="str">
        <f>IFERROR(VLOOKUP($C1145,'SINAPI MAIO 2020'!$1:$1048576,3,0),IFERROR(VLOOKUP($C1145,'6-COMP. PROPRIA'!$B$1:$I$808,5,0),""))</f>
        <v>UNI</v>
      </c>
      <c r="M1145" s="104"/>
      <c r="N1145" s="105"/>
    </row>
    <row r="1146" spans="2:14" ht="32.25" customHeight="1">
      <c r="B1146" s="164"/>
      <c r="C1146" s="70">
        <v>92953</v>
      </c>
      <c r="D1146" s="70" t="s">
        <v>8</v>
      </c>
      <c r="E1146" s="668" t="str">
        <f>IFERROR(VLOOKUP($C1146,'SINAPI MAIO 2020'!$1:$1048576,2,0),IFERROR(VLOOKUP($C1146,'6-COMP. PROPRIA'!$B$28:$I$808,4,0),""))</f>
        <v>LUVA DE REDUÇÃO, EM FERRO GALVANIZADO, 3/4" X 1/2", CONEXÃO ROSQUEADA, INSTALADO EM RAMAIS E SUB-RAMAIS DE GÁS - FORNECIMENTO E INSTALAÇÃO. AF_12/2015</v>
      </c>
      <c r="F1146" s="669"/>
      <c r="G1146" s="669"/>
      <c r="H1146" s="669"/>
      <c r="I1146" s="669"/>
      <c r="J1146" s="670"/>
      <c r="K1146" s="290">
        <v>4</v>
      </c>
      <c r="L1146" s="239" t="str">
        <f>IFERROR(VLOOKUP($C1146,'SINAPI MAIO 2020'!$1:$1048576,3,0),IFERROR(VLOOKUP($C1146,'6-COMP. PROPRIA'!$B$1:$I$808,5,0),""))</f>
        <v>UN</v>
      </c>
      <c r="M1146" s="104"/>
      <c r="N1146" s="105"/>
    </row>
    <row r="1147" spans="2:14" ht="32.25" customHeight="1">
      <c r="B1147" s="164"/>
      <c r="C1147" s="70">
        <v>92701</v>
      </c>
      <c r="D1147" s="70" t="s">
        <v>8</v>
      </c>
      <c r="E1147" s="668" t="str">
        <f>IFERROR(VLOOKUP($C1147,'SINAPI MAIO 2020'!$1:$1048576,2,0),IFERROR(VLOOKUP($C1147,'6-COMP. PROPRIA'!$B$28:$I$808,4,0),""))</f>
        <v>JOELHO 90 GRAUS, EM FERRO GALVANIZADO, CONEXÃO ROSQUEADA, DN 20 (3/4"), INSTALADO EM RAMAIS E SUB-RAMAIS DE GÁS - FORNECIMENTO E INSTALAÇÃO. AF_12/2015</v>
      </c>
      <c r="F1147" s="669"/>
      <c r="G1147" s="669"/>
      <c r="H1147" s="669"/>
      <c r="I1147" s="669"/>
      <c r="J1147" s="670"/>
      <c r="K1147" s="290">
        <v>8</v>
      </c>
      <c r="L1147" s="239" t="str">
        <f>IFERROR(VLOOKUP($C1147,'SINAPI MAIO 2020'!$1:$1048576,3,0),IFERROR(VLOOKUP($C1147,'6-COMP. PROPRIA'!$B$1:$I$808,5,0),""))</f>
        <v>UN</v>
      </c>
      <c r="M1147" s="104"/>
      <c r="N1147" s="105"/>
    </row>
    <row r="1148" spans="2:14" ht="32.25" customHeight="1">
      <c r="B1148" s="164"/>
      <c r="C1148" s="274" t="str">
        <f>'6-COMP. PROPRIA'!B316</f>
        <v>CP-GAS-4</v>
      </c>
      <c r="D1148" s="275" t="s">
        <v>980</v>
      </c>
      <c r="E1148" s="668" t="str">
        <f>IFERROR(VLOOKUP($C1148,'SINAPI MAIO 2020'!$1:$1048576,2,0),IFERROR(VLOOKUP($C1148,'6-COMP. PROPRIA'!$B$28:$I$808,4,0),""))</f>
        <v xml:space="preserve">REGUALADOR DE 1º ESTÁGIO PARA 10KG - FORNECIMENTO E INSTALAÇÃO </v>
      </c>
      <c r="F1148" s="669"/>
      <c r="G1148" s="669"/>
      <c r="H1148" s="669"/>
      <c r="I1148" s="669"/>
      <c r="J1148" s="670"/>
      <c r="K1148" s="210">
        <v>1</v>
      </c>
      <c r="L1148" s="239" t="str">
        <f>IFERROR(VLOOKUP($C1148,'SINAPI MAIO 2020'!$1:$1048576,3,0),IFERROR(VLOOKUP($C1148,'6-COMP. PROPRIA'!$B$1:$I$808,5,0),""))</f>
        <v>UNI</v>
      </c>
      <c r="M1148" s="104"/>
      <c r="N1148" s="105"/>
    </row>
    <row r="1149" spans="2:14" ht="32.25" customHeight="1">
      <c r="B1149" s="164"/>
      <c r="C1149" s="274" t="str">
        <f>'6-COMP. PROPRIA'!B322</f>
        <v>CP-GAS-5</v>
      </c>
      <c r="D1149" s="275" t="s">
        <v>980</v>
      </c>
      <c r="E1149" s="668" t="str">
        <f>IFERROR(VLOOKUP($C1149,'SINAPI MAIO 2020'!$1:$1048576,2,0),IFERROR(VLOOKUP($C1149,'6-COMP. PROPRIA'!$B$28:$I$808,4,0),""))</f>
        <v>MANOMETRO COM CAIXA EM ACO PINTADO, ESCALA *10* KGF/CM2 (*10* BAR), DIAMETRO NOMINAL DE 100 MM, CONEXAO DE 1/2" - FORNECIMENTO E INSTALAÇÃO</v>
      </c>
      <c r="F1149" s="669"/>
      <c r="G1149" s="669"/>
      <c r="H1149" s="669"/>
      <c r="I1149" s="669"/>
      <c r="J1149" s="670"/>
      <c r="K1149" s="210">
        <v>1</v>
      </c>
      <c r="L1149" s="239" t="str">
        <f>IFERROR(VLOOKUP($C1149,'SINAPI MAIO 2020'!$1:$1048576,3,0),IFERROR(VLOOKUP($C1149,'6-COMP. PROPRIA'!$B$1:$I$808,5,0),""))</f>
        <v>UNI</v>
      </c>
      <c r="M1149" s="104"/>
      <c r="N1149" s="105"/>
    </row>
    <row r="1150" spans="2:14" ht="32.25" customHeight="1">
      <c r="B1150" s="164"/>
      <c r="C1150" s="274" t="str">
        <f>'6-COMP. PROPRIA'!B329</f>
        <v>CP-GAS-6</v>
      </c>
      <c r="D1150" s="275" t="s">
        <v>980</v>
      </c>
      <c r="E1150" s="668" t="str">
        <f>IFERROR(VLOOKUP($C1150,'SINAPI MAIO 2020'!$1:$1048576,2,0),IFERROR(VLOOKUP($C1150,'6-COMP. PROPRIA'!$B$28:$I$808,4,0),""))</f>
        <v>PLACA DE SINALIZACAO DE SEGURANCA CONTRA INCENDIO, FOTOLUMINESCENTE, RETANGULAR, *20 X 40* CM, EM PVC *2* MM ANTI-CHAMAS (SIMBOLOS, CORES E PICTOGRAMAS CONFORME NBR 13434) - FORNECIMENTO E INSTALAÇÃO</v>
      </c>
      <c r="F1150" s="669"/>
      <c r="G1150" s="669"/>
      <c r="H1150" s="669"/>
      <c r="I1150" s="669"/>
      <c r="J1150" s="670"/>
      <c r="K1150" s="215">
        <v>1</v>
      </c>
      <c r="L1150" s="239" t="str">
        <f>IFERROR(VLOOKUP($C1150,'SINAPI MAIO 2020'!$1:$1048576,3,0),IFERROR(VLOOKUP($C1150,'6-COMP. PROPRIA'!$B$1:$I$808,5,0),""))</f>
        <v>UNI</v>
      </c>
      <c r="M1150" s="104"/>
      <c r="N1150" s="105"/>
    </row>
    <row r="1151" spans="2:14" ht="64.5" customHeight="1">
      <c r="B1151" s="164"/>
      <c r="C1151" s="274" t="str">
        <f>'6-COMP. PROPRIA'!B334</f>
        <v>CP-GAS-7</v>
      </c>
      <c r="D1151" s="275" t="s">
        <v>980</v>
      </c>
      <c r="E1151" s="668" t="str">
        <f>IFERROR(VLOOKUP($C1151,'SINAPI MAIO 2020'!$1:$1048576,2,0),IFERROR(VLOOKUP($C1151,'6-COMP. PROPRIA'!$B$28:$I$808,4,0),""))</f>
        <v>PLACA DE SINALIZACAO DE SEGURANCA CONTRA INCENDIO - ALERTA, TRIANGULAR, BASE DE *30* CM, EM PVC *2* MM ANTI-CHAMAS (SIMBOLOS, CORES E PICTOGRAMAS CONFORME NBR 13434) - FORNECIMENTO E INSTALAÇÃO</v>
      </c>
      <c r="F1151" s="669"/>
      <c r="G1151" s="669"/>
      <c r="H1151" s="669"/>
      <c r="I1151" s="669"/>
      <c r="J1151" s="670"/>
      <c r="K1151" s="215">
        <v>1</v>
      </c>
      <c r="L1151" s="239" t="str">
        <f>IFERROR(VLOOKUP($C1151,'SINAPI MAIO 2020'!$1:$1048576,3,0),IFERROR(VLOOKUP($C1151,'6-COMP. PROPRIA'!$B$1:$I$808,5,0),""))</f>
        <v>UNI</v>
      </c>
      <c r="M1151" s="104"/>
      <c r="N1151" s="105"/>
    </row>
    <row r="1152" spans="2:14" ht="17.25" customHeight="1" thickBot="1">
      <c r="B1152" s="164"/>
      <c r="C1152" s="70"/>
      <c r="D1152" s="70"/>
      <c r="E1152" s="114"/>
      <c r="F1152" s="312"/>
      <c r="G1152" s="312"/>
      <c r="H1152" s="312"/>
      <c r="I1152" s="312"/>
      <c r="J1152" s="103"/>
      <c r="K1152" s="62"/>
      <c r="L1152" s="239" t="str">
        <f>IFERROR(VLOOKUP($C1152,'SINAPI MAIO 2020'!$1:$1048576,3,0),IFERROR(VLOOKUP($C1152,'6-COMP. PROPRIA'!$B$1:$I$808,5,0),""))</f>
        <v/>
      </c>
      <c r="M1152" s="104"/>
      <c r="N1152" s="105"/>
    </row>
    <row r="1153" spans="2:14" ht="17.25" customHeight="1" thickBot="1">
      <c r="B1153" s="165"/>
      <c r="C1153" s="90"/>
      <c r="D1153" s="279"/>
      <c r="E1153" s="674" t="s">
        <v>4488</v>
      </c>
      <c r="F1153" s="675"/>
      <c r="G1153" s="675"/>
      <c r="H1153" s="675"/>
      <c r="I1153" s="675"/>
      <c r="J1153" s="676"/>
      <c r="K1153" s="210"/>
      <c r="L1153" s="239" t="str">
        <f>IFERROR(VLOOKUP($C1153,'SINAPI MAIO 2020'!$1:$1048576,3,0),IFERROR(VLOOKUP($C1153,'6-COMP. PROPRIA'!$B$1:$I$808,5,0),""))</f>
        <v/>
      </c>
      <c r="M1153" s="94"/>
      <c r="N1153" s="109"/>
    </row>
    <row r="1154" spans="2:14" ht="17.25" customHeight="1" thickBot="1">
      <c r="B1154" s="164"/>
      <c r="C1154" s="20"/>
      <c r="D1154" s="20"/>
      <c r="E1154" s="238"/>
      <c r="F1154" s="312"/>
      <c r="G1154" s="312"/>
      <c r="H1154" s="312"/>
      <c r="I1154" s="312"/>
      <c r="J1154" s="103"/>
      <c r="K1154" s="211"/>
      <c r="L1154" s="239" t="str">
        <f>IFERROR(VLOOKUP($C1154,'SINAPI MAIO 2020'!$1:$1048576,3,0),IFERROR(VLOOKUP($C1154,'6-COMP. PROPRIA'!$B$1:$I$808,5,0),""))</f>
        <v/>
      </c>
      <c r="M1154" s="104"/>
      <c r="N1154" s="105"/>
    </row>
    <row r="1155" spans="2:14" ht="17.25" customHeight="1" thickBot="1">
      <c r="B1155" s="164"/>
      <c r="C1155" s="20"/>
      <c r="D1155" s="20"/>
      <c r="E1155" s="674" t="s">
        <v>6166</v>
      </c>
      <c r="F1155" s="675"/>
      <c r="G1155" s="675"/>
      <c r="H1155" s="675"/>
      <c r="I1155" s="675"/>
      <c r="J1155" s="676"/>
      <c r="K1155" s="211"/>
      <c r="L1155" s="239" t="str">
        <f>IFERROR(VLOOKUP($C1155,'SINAPI MAIO 2020'!$1:$1048576,3,0),IFERROR(VLOOKUP($C1155,'6-COMP. PROPRIA'!$B$1:$I$808,5,0),""))</f>
        <v/>
      </c>
      <c r="M1155" s="104"/>
      <c r="N1155" s="105"/>
    </row>
    <row r="1156" spans="2:14" ht="37.5" customHeight="1">
      <c r="B1156" s="164"/>
      <c r="C1156" s="274">
        <v>97622</v>
      </c>
      <c r="D1156" s="275" t="s">
        <v>8</v>
      </c>
      <c r="E1156" s="668" t="str">
        <f>IFERROR(VLOOKUP($C1156,'SINAPI MAIO 2020'!$1:$1048576,2,0),IFERROR(VLOOKUP($C1156,'6-COMP. PROPRIA'!$B$28:$I$808,4,0),""))</f>
        <v>DEMOLIÇÃO DE ALVENARIA DE BLOCO FURADO, DE FORMA MANUAL, SEM REAPROVEITAMENTO. AF_12/2017</v>
      </c>
      <c r="F1156" s="669"/>
      <c r="G1156" s="669"/>
      <c r="H1156" s="669"/>
      <c r="I1156" s="669"/>
      <c r="J1156" s="670"/>
      <c r="K1156" s="212">
        <f>SUM(K1158:K1161)*1.1</f>
        <v>0.51370000000000005</v>
      </c>
      <c r="L1156" s="239" t="str">
        <f>IFERROR(VLOOKUP($C1156,'SINAPI MAIO 2020'!$1:$1048576,3,0),IFERROR(VLOOKUP($C1156,'6-COMP. PROPRIA'!$B$1:$I$808,5,0),""))</f>
        <v>M3</v>
      </c>
      <c r="M1156" s="43">
        <f>K1156</f>
        <v>0.51370000000000005</v>
      </c>
      <c r="N1156" s="121" t="s">
        <v>41</v>
      </c>
    </row>
    <row r="1157" spans="2:14" ht="39" customHeight="1">
      <c r="B1157" s="164"/>
      <c r="C1157" s="91"/>
      <c r="D1157" s="91"/>
      <c r="E1157" s="75" t="s">
        <v>987</v>
      </c>
      <c r="F1157" s="309" t="s">
        <v>988</v>
      </c>
      <c r="G1157" s="311" t="s">
        <v>6144</v>
      </c>
      <c r="H1157" s="309" t="s">
        <v>922</v>
      </c>
      <c r="I1157" s="49"/>
      <c r="J1157" s="125"/>
      <c r="K1157" s="216"/>
      <c r="L1157" s="239" t="str">
        <f>IFERROR(VLOOKUP($C1157,'SINAPI MAIO 2020'!$1:$1048576,3,0),IFERROR(VLOOKUP($C1157,'6-COMP. PROPRIA'!$B$1:$I$808,5,0),""))</f>
        <v/>
      </c>
      <c r="M1157" s="128"/>
      <c r="N1157" s="121"/>
    </row>
    <row r="1158" spans="2:14" ht="17.25" customHeight="1">
      <c r="B1158" s="164" t="s">
        <v>6161</v>
      </c>
      <c r="C1158" s="20"/>
      <c r="D1158" s="20"/>
      <c r="E1158" s="102">
        <v>0.05</v>
      </c>
      <c r="F1158" s="63">
        <f>3-1.2</f>
        <v>1.8</v>
      </c>
      <c r="G1158" s="63">
        <v>0.05</v>
      </c>
      <c r="H1158" s="63">
        <v>21</v>
      </c>
      <c r="I1158" s="312"/>
      <c r="J1158" s="103"/>
      <c r="K1158" s="211">
        <f>H1158*G1158*F1158*E1158</f>
        <v>9.4500000000000015E-2</v>
      </c>
      <c r="L1158" s="239" t="str">
        <f>IFERROR(VLOOKUP($C1158,'SINAPI MAIO 2020'!$1:$1048576,3,0),IFERROR(VLOOKUP($C1158,'6-COMP. PROPRIA'!$B$1:$I$808,5,0),""))</f>
        <v/>
      </c>
      <c r="M1158" s="104"/>
      <c r="N1158" s="105"/>
    </row>
    <row r="1159" spans="2:14" ht="17.25" customHeight="1">
      <c r="B1159" s="164" t="s">
        <v>6162</v>
      </c>
      <c r="C1159" s="20"/>
      <c r="D1159" s="20"/>
      <c r="E1159" s="102">
        <v>0.05</v>
      </c>
      <c r="F1159" s="63">
        <f>3-1.8</f>
        <v>1.2</v>
      </c>
      <c r="G1159" s="63">
        <v>0.05</v>
      </c>
      <c r="H1159" s="63">
        <f>14+16</f>
        <v>30</v>
      </c>
      <c r="I1159" s="312"/>
      <c r="J1159" s="103"/>
      <c r="K1159" s="211">
        <f t="shared" ref="K1159:K1161" si="71">H1159*G1159*F1159*E1159</f>
        <v>0.09</v>
      </c>
      <c r="L1159" s="239" t="str">
        <f>IFERROR(VLOOKUP($C1159,'SINAPI MAIO 2020'!$1:$1048576,3,0),IFERROR(VLOOKUP($C1159,'6-COMP. PROPRIA'!$B$1:$I$808,5,0),""))</f>
        <v/>
      </c>
      <c r="M1159" s="104"/>
      <c r="N1159" s="105"/>
    </row>
    <row r="1160" spans="2:14" ht="17.25" customHeight="1">
      <c r="B1160" s="164" t="s">
        <v>6163</v>
      </c>
      <c r="C1160" s="20"/>
      <c r="D1160" s="20"/>
      <c r="E1160" s="102">
        <v>0.05</v>
      </c>
      <c r="F1160" s="63">
        <f>3-0.2</f>
        <v>2.8</v>
      </c>
      <c r="G1160" s="63">
        <v>0.05</v>
      </c>
      <c r="H1160" s="63">
        <v>23</v>
      </c>
      <c r="I1160" s="312"/>
      <c r="J1160" s="103"/>
      <c r="K1160" s="211">
        <f t="shared" si="71"/>
        <v>0.16100000000000003</v>
      </c>
      <c r="L1160" s="239" t="str">
        <f>IFERROR(VLOOKUP($C1160,'SINAPI MAIO 2020'!$1:$1048576,3,0),IFERROR(VLOOKUP($C1160,'6-COMP. PROPRIA'!$B$1:$I$808,5,0),""))</f>
        <v/>
      </c>
      <c r="M1160" s="104"/>
      <c r="N1160" s="105"/>
    </row>
    <row r="1161" spans="2:14" ht="17.25" customHeight="1">
      <c r="B1161" s="164" t="s">
        <v>6164</v>
      </c>
      <c r="C1161" s="20"/>
      <c r="D1161" s="20"/>
      <c r="E1161" s="102">
        <v>0.05</v>
      </c>
      <c r="F1161" s="63">
        <f>3-1.2</f>
        <v>1.8</v>
      </c>
      <c r="G1161" s="63">
        <v>0.05</v>
      </c>
      <c r="H1161" s="63">
        <v>27</v>
      </c>
      <c r="I1161" s="312"/>
      <c r="J1161" s="103"/>
      <c r="K1161" s="211">
        <f t="shared" si="71"/>
        <v>0.12150000000000001</v>
      </c>
      <c r="L1161" s="239" t="str">
        <f>IFERROR(VLOOKUP($C1161,'SINAPI MAIO 2020'!$1:$1048576,3,0),IFERROR(VLOOKUP($C1161,'6-COMP. PROPRIA'!$B$1:$I$808,5,0),""))</f>
        <v/>
      </c>
      <c r="M1161" s="104"/>
      <c r="N1161" s="105"/>
    </row>
    <row r="1162" spans="2:14" ht="17.25" customHeight="1">
      <c r="B1162" s="164"/>
      <c r="C1162" s="20"/>
      <c r="D1162" s="20"/>
      <c r="E1162" s="238"/>
      <c r="F1162" s="312"/>
      <c r="G1162" s="312"/>
      <c r="H1162" s="312"/>
      <c r="I1162" s="312"/>
      <c r="J1162" s="103"/>
      <c r="K1162" s="211"/>
      <c r="L1162" s="239" t="str">
        <f>IFERROR(VLOOKUP($C1162,'SINAPI MAIO 2020'!$1:$1048576,3,0),IFERROR(VLOOKUP($C1162,'6-COMP. PROPRIA'!$B$1:$I$808,5,0),""))</f>
        <v/>
      </c>
      <c r="M1162" s="104"/>
      <c r="N1162" s="105"/>
    </row>
    <row r="1163" spans="2:14" ht="17.25" customHeight="1">
      <c r="B1163" s="164"/>
      <c r="C1163" s="20"/>
      <c r="D1163" s="20"/>
      <c r="E1163" s="238"/>
      <c r="F1163" s="312"/>
      <c r="G1163" s="312"/>
      <c r="H1163" s="312"/>
      <c r="I1163" s="312"/>
      <c r="J1163" s="103"/>
      <c r="K1163" s="211"/>
      <c r="L1163" s="239" t="str">
        <f>IFERROR(VLOOKUP($C1163,'SINAPI MAIO 2020'!$1:$1048576,3,0),IFERROR(VLOOKUP($C1163,'6-COMP. PROPRIA'!$B$1:$I$808,5,0),""))</f>
        <v/>
      </c>
      <c r="M1163" s="104"/>
      <c r="N1163" s="105"/>
    </row>
    <row r="1164" spans="2:14" ht="35.25" customHeight="1">
      <c r="B1164" s="164"/>
      <c r="C1164" s="275">
        <v>94975</v>
      </c>
      <c r="D1164" s="275" t="s">
        <v>8</v>
      </c>
      <c r="E1164" s="668" t="str">
        <f>IFERROR(VLOOKUP($C1164,'SINAPI MAIO 2020'!$1:$1048576,2,0),IFERROR(VLOOKUP($C1164,'6-COMP. PROPRIA'!$B$28:$I$808,4,0),""))</f>
        <v>CONCRETO FCK = 15MPA, TRAÇO 1:3,4:3,5 (CIMENTO/ AREIA MÉDIA/ BRITA 1)  - PREPARO MANUAL. AF_07/2016</v>
      </c>
      <c r="F1164" s="669"/>
      <c r="G1164" s="669"/>
      <c r="H1164" s="669"/>
      <c r="I1164" s="669"/>
      <c r="J1164" s="670"/>
      <c r="K1164" s="212">
        <f>SUM(K1166:K1169)*1.1</f>
        <v>0.47881460000000009</v>
      </c>
      <c r="L1164" s="239" t="str">
        <f>IFERROR(VLOOKUP($C1164,'SINAPI MAIO 2020'!$1:$1048576,3,0),IFERROR(VLOOKUP($C1164,'6-COMP. PROPRIA'!$B$1:$I$808,5,0),""))</f>
        <v>M3</v>
      </c>
      <c r="M1164" s="43">
        <f>K1164*0.03</f>
        <v>1.4364438000000002E-2</v>
      </c>
      <c r="N1164" s="121" t="s">
        <v>41</v>
      </c>
    </row>
    <row r="1165" spans="2:14" ht="17.25" customHeight="1">
      <c r="B1165" s="164"/>
      <c r="C1165" s="20"/>
      <c r="D1165" s="91"/>
      <c r="E1165" s="75" t="s">
        <v>987</v>
      </c>
      <c r="F1165" s="309" t="s">
        <v>988</v>
      </c>
      <c r="G1165" s="311"/>
      <c r="H1165" s="309" t="s">
        <v>922</v>
      </c>
      <c r="I1165" s="296" t="s">
        <v>6165</v>
      </c>
      <c r="J1165" s="125"/>
      <c r="K1165" s="216"/>
      <c r="L1165" s="239" t="str">
        <f>IFERROR(VLOOKUP($C1165,'SINAPI MAIO 2020'!$1:$1048576,3,0),IFERROR(VLOOKUP($C1165,'6-COMP. PROPRIA'!$B$1:$I$808,5,0),""))</f>
        <v/>
      </c>
      <c r="M1165" s="128"/>
      <c r="N1165" s="121"/>
    </row>
    <row r="1166" spans="2:14" ht="17.25" customHeight="1">
      <c r="B1166" s="164" t="s">
        <v>6161</v>
      </c>
      <c r="C1166" s="20"/>
      <c r="D1166" s="20"/>
      <c r="E1166" s="102">
        <v>0.05</v>
      </c>
      <c r="F1166" s="63">
        <f>3-1.2</f>
        <v>1.8</v>
      </c>
      <c r="G1166" s="63">
        <v>0.05</v>
      </c>
      <c r="H1166" s="63">
        <v>21</v>
      </c>
      <c r="I1166" s="280">
        <f>3.14*0.01*0.01*H1166</f>
        <v>6.5940000000000009E-3</v>
      </c>
      <c r="J1166" s="103"/>
      <c r="K1166" s="211">
        <f>H1166*G1166*F1166*E1166-I1166</f>
        <v>8.7906000000000012E-2</v>
      </c>
      <c r="L1166" s="239" t="str">
        <f>IFERROR(VLOOKUP($C1166,'SINAPI MAIO 2020'!$1:$1048576,3,0),IFERROR(VLOOKUP($C1166,'6-COMP. PROPRIA'!$B$1:$I$808,5,0),""))</f>
        <v/>
      </c>
      <c r="M1166" s="104"/>
      <c r="N1166" s="105"/>
    </row>
    <row r="1167" spans="2:14" ht="17.25" customHeight="1">
      <c r="B1167" s="164" t="s">
        <v>6162</v>
      </c>
      <c r="C1167" s="20"/>
      <c r="D1167" s="20"/>
      <c r="E1167" s="102">
        <v>0.05</v>
      </c>
      <c r="F1167" s="63">
        <f>3-1.8</f>
        <v>1.2</v>
      </c>
      <c r="G1167" s="63">
        <v>0.05</v>
      </c>
      <c r="H1167" s="63">
        <f>14+16</f>
        <v>30</v>
      </c>
      <c r="I1167" s="280">
        <f>3.14*0.01*0.01*H1167</f>
        <v>9.4200000000000013E-3</v>
      </c>
      <c r="J1167" s="103"/>
      <c r="K1167" s="211">
        <f t="shared" ref="K1167:K1170" si="72">H1167*G1167*F1167*E1167-I1167</f>
        <v>8.0579999999999999E-2</v>
      </c>
      <c r="L1167" s="239" t="str">
        <f>IFERROR(VLOOKUP($C1167,'SINAPI MAIO 2020'!$1:$1048576,3,0),IFERROR(VLOOKUP($C1167,'6-COMP. PROPRIA'!$B$1:$I$808,5,0),""))</f>
        <v/>
      </c>
      <c r="M1167" s="104"/>
      <c r="N1167" s="105"/>
    </row>
    <row r="1168" spans="2:14" ht="17.25" customHeight="1">
      <c r="B1168" s="164" t="s">
        <v>6163</v>
      </c>
      <c r="C1168" s="20"/>
      <c r="D1168" s="20"/>
      <c r="E1168" s="102">
        <v>0.05</v>
      </c>
      <c r="F1168" s="63">
        <f>3-0.2</f>
        <v>2.8</v>
      </c>
      <c r="G1168" s="63">
        <v>0.05</v>
      </c>
      <c r="H1168" s="63">
        <v>23</v>
      </c>
      <c r="I1168" s="280">
        <f t="shared" ref="I1168:I1169" si="73">3.14*0.01*0.01*H1168</f>
        <v>7.222000000000001E-3</v>
      </c>
      <c r="J1168" s="103"/>
      <c r="K1168" s="211">
        <f t="shared" si="72"/>
        <v>0.15377800000000003</v>
      </c>
      <c r="L1168" s="239" t="str">
        <f>IFERROR(VLOOKUP($C1168,'SINAPI MAIO 2020'!$1:$1048576,3,0),IFERROR(VLOOKUP($C1168,'6-COMP. PROPRIA'!$B$1:$I$808,5,0),""))</f>
        <v/>
      </c>
      <c r="M1168" s="104"/>
      <c r="N1168" s="105"/>
    </row>
    <row r="1169" spans="2:14" ht="17.25" customHeight="1">
      <c r="B1169" s="164" t="s">
        <v>6164</v>
      </c>
      <c r="C1169" s="20"/>
      <c r="D1169" s="20"/>
      <c r="E1169" s="102">
        <v>0.05</v>
      </c>
      <c r="F1169" s="63">
        <f>3-1.2</f>
        <v>1.8</v>
      </c>
      <c r="G1169" s="63">
        <v>0.05</v>
      </c>
      <c r="H1169" s="63">
        <v>27</v>
      </c>
      <c r="I1169" s="280">
        <f t="shared" si="73"/>
        <v>8.4780000000000012E-3</v>
      </c>
      <c r="J1169" s="103"/>
      <c r="K1169" s="211">
        <f t="shared" si="72"/>
        <v>0.11302200000000001</v>
      </c>
      <c r="L1169" s="239" t="str">
        <f>IFERROR(VLOOKUP($C1169,'SINAPI MAIO 2020'!$1:$1048576,3,0),IFERROR(VLOOKUP($C1169,'6-COMP. PROPRIA'!$B$1:$I$808,5,0),""))</f>
        <v/>
      </c>
      <c r="M1169" s="104"/>
      <c r="N1169" s="105"/>
    </row>
    <row r="1170" spans="2:14" ht="17.25" customHeight="1">
      <c r="B1170" s="164"/>
      <c r="C1170" s="20"/>
      <c r="D1170" s="20"/>
      <c r="E1170" s="238"/>
      <c r="F1170" s="312"/>
      <c r="G1170" s="312"/>
      <c r="H1170" s="312"/>
      <c r="I1170" s="312"/>
      <c r="J1170" s="103"/>
      <c r="K1170" s="211">
        <f t="shared" si="72"/>
        <v>0</v>
      </c>
      <c r="L1170" s="239" t="str">
        <f>IFERROR(VLOOKUP($C1170,'SINAPI MAIO 2020'!$1:$1048576,3,0),IFERROR(VLOOKUP($C1170,'6-COMP. PROPRIA'!$B$1:$I$808,5,0),""))</f>
        <v/>
      </c>
      <c r="M1170" s="104"/>
      <c r="N1170" s="105"/>
    </row>
    <row r="1171" spans="2:14" ht="17.25" customHeight="1">
      <c r="B1171" s="164"/>
      <c r="C1171" s="20"/>
      <c r="D1171" s="20"/>
      <c r="E1171" s="238"/>
      <c r="F1171" s="312"/>
      <c r="G1171" s="312"/>
      <c r="H1171" s="312"/>
      <c r="I1171" s="312"/>
      <c r="J1171" s="103"/>
      <c r="K1171" s="211"/>
      <c r="L1171" s="239" t="str">
        <f>IFERROR(VLOOKUP($C1171,'SINAPI MAIO 2020'!$1:$1048576,3,0),IFERROR(VLOOKUP($C1171,'6-COMP. PROPRIA'!$B$1:$I$808,5,0),""))</f>
        <v/>
      </c>
      <c r="M1171" s="104"/>
      <c r="N1171" s="105"/>
    </row>
    <row r="1172" spans="2:14" ht="17.25" customHeight="1">
      <c r="B1172" s="164"/>
      <c r="C1172" s="20"/>
      <c r="D1172" s="20"/>
      <c r="E1172" s="238"/>
      <c r="F1172" s="312"/>
      <c r="G1172" s="312"/>
      <c r="H1172" s="312"/>
      <c r="I1172" s="312"/>
      <c r="J1172" s="103"/>
      <c r="K1172" s="211"/>
      <c r="L1172" s="239" t="str">
        <f>IFERROR(VLOOKUP($C1172,'SINAPI MAIO 2020'!$1:$1048576,3,0),IFERROR(VLOOKUP($C1172,'6-COMP. PROPRIA'!$B$1:$I$808,5,0),""))</f>
        <v/>
      </c>
      <c r="M1172" s="104"/>
      <c r="N1172" s="105"/>
    </row>
    <row r="1173" spans="2:14" ht="17.25" customHeight="1">
      <c r="B1173" s="164"/>
      <c r="C1173" s="274">
        <v>93358</v>
      </c>
      <c r="D1173" s="275" t="s">
        <v>8</v>
      </c>
      <c r="E1173" s="668" t="str">
        <f>IFERROR(VLOOKUP($C1173,'SINAPI MAIO 2020'!$1:$1048576,2,0),IFERROR(VLOOKUP($C1173,'6-COMP. PROPRIA'!$B$28:$I$808,4,0),""))</f>
        <v>ESCAVAÇÃO MANUAL DE VALA COM PROFUNDIDADE MENOR OU IGUAL A 1,30 M. AF_03/2016</v>
      </c>
      <c r="F1173" s="669"/>
      <c r="G1173" s="669"/>
      <c r="H1173" s="669"/>
      <c r="I1173" s="669"/>
      <c r="J1173" s="670"/>
      <c r="K1173" s="212">
        <f>SUM(K1175:K1187)</f>
        <v>1.0394999999999999</v>
      </c>
      <c r="L1173" s="239" t="str">
        <f>IFERROR(VLOOKUP($C1173,'SINAPI MAIO 2020'!$1:$1048576,3,0),IFERROR(VLOOKUP($C1173,'6-COMP. PROPRIA'!$B$1:$I$808,5,0),""))</f>
        <v>M3</v>
      </c>
      <c r="M1173" s="104"/>
      <c r="N1173" s="105"/>
    </row>
    <row r="1174" spans="2:14" ht="17.25" customHeight="1">
      <c r="B1174" s="164"/>
      <c r="C1174" s="20"/>
      <c r="D1174" s="20"/>
      <c r="E1174" s="75" t="s">
        <v>984</v>
      </c>
      <c r="F1174" s="309" t="s">
        <v>985</v>
      </c>
      <c r="G1174" s="311" t="s">
        <v>929</v>
      </c>
      <c r="H1174" s="309" t="s">
        <v>920</v>
      </c>
      <c r="I1174" s="312"/>
      <c r="J1174" s="107"/>
      <c r="K1174" s="215"/>
      <c r="L1174" s="239" t="str">
        <f>IFERROR(VLOOKUP($C1174,'SINAPI MAIO 2020'!$1:$1048576,3,0),IFERROR(VLOOKUP($C1174,'6-COMP. PROPRIA'!$B$1:$I$808,5,0),""))</f>
        <v/>
      </c>
      <c r="M1174" s="104"/>
      <c r="N1174" s="105"/>
    </row>
    <row r="1175" spans="2:14" ht="17.25" customHeight="1">
      <c r="B1175" s="164"/>
      <c r="C1175" s="20"/>
      <c r="D1175" s="20"/>
      <c r="E1175" s="102">
        <v>0.15</v>
      </c>
      <c r="F1175" s="66">
        <v>1.1000000000000001</v>
      </c>
      <c r="G1175" s="63">
        <v>0.15</v>
      </c>
      <c r="H1175" s="63">
        <v>1</v>
      </c>
      <c r="I1175" s="307"/>
      <c r="J1175" s="308"/>
      <c r="K1175" s="62">
        <f>E1175*F1175*G1175*H1175</f>
        <v>2.4750000000000001E-2</v>
      </c>
      <c r="L1175" s="239" t="str">
        <f>IFERROR(VLOOKUP($C1175,'SINAPI MAIO 2020'!$1:$1048576,3,0),IFERROR(VLOOKUP($C1175,'6-COMP. PROPRIA'!$B$1:$I$808,5,0),""))</f>
        <v/>
      </c>
      <c r="M1175" s="104"/>
      <c r="N1175" s="105"/>
    </row>
    <row r="1176" spans="2:14" ht="17.25" customHeight="1">
      <c r="B1176" s="164"/>
      <c r="C1176" s="20"/>
      <c r="D1176" s="20"/>
      <c r="E1176" s="102">
        <v>0.15</v>
      </c>
      <c r="F1176" s="63">
        <v>10.8</v>
      </c>
      <c r="G1176" s="63">
        <v>0.15</v>
      </c>
      <c r="H1176" s="63">
        <v>1</v>
      </c>
      <c r="I1176" s="307"/>
      <c r="J1176" s="308"/>
      <c r="K1176" s="62">
        <f t="shared" ref="K1176:K1186" si="74">E1176*F1176*G1176*H1176</f>
        <v>0.24299999999999999</v>
      </c>
      <c r="L1176" s="239" t="str">
        <f>IFERROR(VLOOKUP($C1176,'SINAPI MAIO 2020'!$1:$1048576,3,0),IFERROR(VLOOKUP($C1176,'6-COMP. PROPRIA'!$B$1:$I$808,5,0),""))</f>
        <v/>
      </c>
      <c r="M1176" s="104"/>
      <c r="N1176" s="105"/>
    </row>
    <row r="1177" spans="2:14" ht="17.25" customHeight="1">
      <c r="B1177" s="164"/>
      <c r="C1177" s="20"/>
      <c r="D1177" s="20"/>
      <c r="E1177" s="102">
        <v>0.15</v>
      </c>
      <c r="F1177" s="63">
        <v>13.2</v>
      </c>
      <c r="G1177" s="63">
        <v>0.15</v>
      </c>
      <c r="H1177" s="63">
        <v>1</v>
      </c>
      <c r="I1177" s="307"/>
      <c r="J1177" s="308"/>
      <c r="K1177" s="62">
        <f t="shared" si="74"/>
        <v>0.29699999999999993</v>
      </c>
      <c r="L1177" s="239" t="str">
        <f>IFERROR(VLOOKUP($C1177,'SINAPI MAIO 2020'!$1:$1048576,3,0),IFERROR(VLOOKUP($C1177,'6-COMP. PROPRIA'!$B$1:$I$808,5,0),""))</f>
        <v/>
      </c>
      <c r="M1177" s="104"/>
      <c r="N1177" s="105"/>
    </row>
    <row r="1178" spans="2:14" ht="17.25" customHeight="1">
      <c r="B1178" s="164"/>
      <c r="C1178" s="20"/>
      <c r="D1178" s="20"/>
      <c r="E1178" s="102">
        <v>0.15</v>
      </c>
      <c r="F1178" s="63">
        <v>2</v>
      </c>
      <c r="G1178" s="63">
        <v>0.15</v>
      </c>
      <c r="H1178" s="63">
        <v>1</v>
      </c>
      <c r="I1178" s="307"/>
      <c r="J1178" s="308"/>
      <c r="K1178" s="62">
        <f t="shared" si="74"/>
        <v>4.4999999999999998E-2</v>
      </c>
      <c r="L1178" s="239" t="str">
        <f>IFERROR(VLOOKUP($C1178,'SINAPI MAIO 2020'!$1:$1048576,3,0),IFERROR(VLOOKUP($C1178,'6-COMP. PROPRIA'!$B$1:$I$808,5,0),""))</f>
        <v/>
      </c>
      <c r="M1178" s="104"/>
      <c r="N1178" s="105"/>
    </row>
    <row r="1179" spans="2:14" ht="17.25" customHeight="1">
      <c r="B1179" s="164"/>
      <c r="C1179" s="20"/>
      <c r="D1179" s="20"/>
      <c r="E1179" s="102">
        <v>0.15</v>
      </c>
      <c r="F1179" s="63">
        <v>1.4</v>
      </c>
      <c r="G1179" s="63">
        <v>0.15</v>
      </c>
      <c r="H1179" s="63">
        <v>1</v>
      </c>
      <c r="I1179" s="307"/>
      <c r="J1179" s="308"/>
      <c r="K1179" s="62">
        <f t="shared" si="74"/>
        <v>3.15E-2</v>
      </c>
      <c r="L1179" s="239" t="str">
        <f>IFERROR(VLOOKUP($C1179,'SINAPI MAIO 2020'!$1:$1048576,3,0),IFERROR(VLOOKUP($C1179,'6-COMP. PROPRIA'!$B$1:$I$808,5,0),""))</f>
        <v/>
      </c>
      <c r="M1179" s="104"/>
      <c r="N1179" s="105"/>
    </row>
    <row r="1180" spans="2:14" ht="17.25" customHeight="1">
      <c r="B1180" s="164"/>
      <c r="C1180" s="20"/>
      <c r="D1180" s="20"/>
      <c r="E1180" s="102">
        <v>0.15</v>
      </c>
      <c r="F1180" s="63">
        <v>1.1000000000000001</v>
      </c>
      <c r="G1180" s="63">
        <v>0.15</v>
      </c>
      <c r="H1180" s="63">
        <v>1</v>
      </c>
      <c r="I1180" s="307"/>
      <c r="J1180" s="308"/>
      <c r="K1180" s="62">
        <f t="shared" si="74"/>
        <v>2.4750000000000001E-2</v>
      </c>
      <c r="L1180" s="239" t="str">
        <f>IFERROR(VLOOKUP($C1180,'SINAPI MAIO 2020'!$1:$1048576,3,0),IFERROR(VLOOKUP($C1180,'6-COMP. PROPRIA'!$B$1:$I$808,5,0),""))</f>
        <v/>
      </c>
      <c r="M1180" s="104"/>
      <c r="N1180" s="105"/>
    </row>
    <row r="1181" spans="2:14" ht="17.25" customHeight="1">
      <c r="B1181" s="164"/>
      <c r="C1181" s="20"/>
      <c r="D1181" s="20"/>
      <c r="E1181" s="102">
        <v>0.15</v>
      </c>
      <c r="F1181" s="63">
        <v>0.3</v>
      </c>
      <c r="G1181" s="63">
        <v>0.15</v>
      </c>
      <c r="H1181" s="63">
        <v>1</v>
      </c>
      <c r="I1181" s="307"/>
      <c r="J1181" s="308"/>
      <c r="K1181" s="62">
        <f t="shared" si="74"/>
        <v>6.7499999999999999E-3</v>
      </c>
      <c r="L1181" s="239" t="str">
        <f>IFERROR(VLOOKUP($C1181,'SINAPI MAIO 2020'!$1:$1048576,3,0),IFERROR(VLOOKUP($C1181,'6-COMP. PROPRIA'!$B$1:$I$808,5,0),""))</f>
        <v/>
      </c>
      <c r="M1181" s="104"/>
      <c r="N1181" s="105"/>
    </row>
    <row r="1182" spans="2:14" ht="17.25" customHeight="1">
      <c r="B1182" s="164"/>
      <c r="C1182" s="20"/>
      <c r="D1182" s="20"/>
      <c r="E1182" s="102">
        <v>0.15</v>
      </c>
      <c r="F1182" s="63">
        <v>0.3</v>
      </c>
      <c r="G1182" s="63">
        <v>0.15</v>
      </c>
      <c r="H1182" s="63">
        <v>1</v>
      </c>
      <c r="I1182" s="307"/>
      <c r="J1182" s="308"/>
      <c r="K1182" s="62">
        <f t="shared" si="74"/>
        <v>6.7499999999999999E-3</v>
      </c>
      <c r="L1182" s="239" t="str">
        <f>IFERROR(VLOOKUP($C1182,'SINAPI MAIO 2020'!$1:$1048576,3,0),IFERROR(VLOOKUP($C1182,'6-COMP. PROPRIA'!$B$1:$I$808,5,0),""))</f>
        <v/>
      </c>
      <c r="M1182" s="104"/>
      <c r="N1182" s="105"/>
    </row>
    <row r="1183" spans="2:14" ht="17.25" customHeight="1">
      <c r="B1183" s="164"/>
      <c r="C1183" s="20"/>
      <c r="D1183" s="20"/>
      <c r="E1183" s="102">
        <v>0.15</v>
      </c>
      <c r="F1183" s="63">
        <v>3.6</v>
      </c>
      <c r="G1183" s="63">
        <v>0.15</v>
      </c>
      <c r="H1183" s="63">
        <v>1</v>
      </c>
      <c r="I1183" s="307"/>
      <c r="J1183" s="308"/>
      <c r="K1183" s="62">
        <f t="shared" si="74"/>
        <v>8.1000000000000003E-2</v>
      </c>
      <c r="L1183" s="239" t="str">
        <f>IFERROR(VLOOKUP($C1183,'SINAPI MAIO 2020'!$1:$1048576,3,0),IFERROR(VLOOKUP($C1183,'6-COMP. PROPRIA'!$B$1:$I$808,5,0),""))</f>
        <v/>
      </c>
      <c r="M1183" s="104"/>
      <c r="N1183" s="105"/>
    </row>
    <row r="1184" spans="2:14" ht="17.25" customHeight="1">
      <c r="B1184" s="164"/>
      <c r="C1184" s="20"/>
      <c r="D1184" s="20"/>
      <c r="E1184" s="102">
        <v>0.15</v>
      </c>
      <c r="F1184" s="63">
        <v>0.5</v>
      </c>
      <c r="G1184" s="63">
        <v>0.15</v>
      </c>
      <c r="H1184" s="63">
        <v>1</v>
      </c>
      <c r="I1184" s="307"/>
      <c r="J1184" s="308"/>
      <c r="K1184" s="62">
        <f t="shared" si="74"/>
        <v>1.125E-2</v>
      </c>
      <c r="L1184" s="239" t="str">
        <f>IFERROR(VLOOKUP($C1184,'SINAPI MAIO 2020'!$1:$1048576,3,0),IFERROR(VLOOKUP($C1184,'6-COMP. PROPRIA'!$B$1:$I$808,5,0),""))</f>
        <v/>
      </c>
      <c r="M1184" s="104"/>
      <c r="N1184" s="105"/>
    </row>
    <row r="1185" spans="2:14" ht="17.25" customHeight="1">
      <c r="B1185" s="164"/>
      <c r="C1185" s="20"/>
      <c r="D1185" s="20"/>
      <c r="E1185" s="102">
        <v>0.15</v>
      </c>
      <c r="F1185" s="63">
        <v>0.5</v>
      </c>
      <c r="G1185" s="63">
        <v>0.15</v>
      </c>
      <c r="H1185" s="63">
        <v>1</v>
      </c>
      <c r="I1185" s="307"/>
      <c r="J1185" s="308"/>
      <c r="K1185" s="62">
        <f t="shared" si="74"/>
        <v>1.125E-2</v>
      </c>
      <c r="L1185" s="239" t="str">
        <f>IFERROR(VLOOKUP($C1185,'SINAPI MAIO 2020'!$1:$1048576,3,0),IFERROR(VLOOKUP($C1185,'6-COMP. PROPRIA'!$B$1:$I$808,5,0),""))</f>
        <v/>
      </c>
      <c r="M1185" s="104"/>
      <c r="N1185" s="105"/>
    </row>
    <row r="1186" spans="2:14" ht="17.25" customHeight="1">
      <c r="B1186" s="164"/>
      <c r="C1186" s="20"/>
      <c r="D1186" s="20"/>
      <c r="E1186" s="102">
        <v>0.15</v>
      </c>
      <c r="F1186" s="66">
        <v>7</v>
      </c>
      <c r="G1186" s="63">
        <v>0.1</v>
      </c>
      <c r="H1186" s="63">
        <v>1</v>
      </c>
      <c r="I1186" s="307"/>
      <c r="J1186" s="308"/>
      <c r="K1186" s="62">
        <f t="shared" si="74"/>
        <v>0.10500000000000001</v>
      </c>
      <c r="L1186" s="239" t="str">
        <f>IFERROR(VLOOKUP($C1186,'SINAPI MAIO 2020'!$1:$1048576,3,0),IFERROR(VLOOKUP($C1186,'6-COMP. PROPRIA'!$B$1:$I$808,5,0),""))</f>
        <v/>
      </c>
      <c r="M1186" s="104"/>
      <c r="N1186" s="105"/>
    </row>
    <row r="1187" spans="2:14" ht="17.25" customHeight="1">
      <c r="B1187" s="164"/>
      <c r="C1187" s="20"/>
      <c r="D1187" s="20"/>
      <c r="E1187" s="102">
        <v>0.15</v>
      </c>
      <c r="F1187" s="66">
        <v>10.1</v>
      </c>
      <c r="G1187" s="63">
        <v>0.1</v>
      </c>
      <c r="H1187" s="63">
        <v>1</v>
      </c>
      <c r="I1187" s="307"/>
      <c r="J1187" s="308"/>
      <c r="K1187" s="62">
        <f>E1187*F1187*G1187*H1187</f>
        <v>0.1515</v>
      </c>
      <c r="L1187" s="239" t="str">
        <f>IFERROR(VLOOKUP($C1187,'SINAPI MAIO 2020'!$1:$1048576,3,0),IFERROR(VLOOKUP($C1187,'6-COMP. PROPRIA'!$B$1:$I$808,5,0),""))</f>
        <v/>
      </c>
      <c r="M1187" s="104"/>
      <c r="N1187" s="105"/>
    </row>
    <row r="1188" spans="2:14" ht="17.25" customHeight="1">
      <c r="B1188" s="164"/>
      <c r="C1188" s="20"/>
      <c r="D1188" s="20"/>
      <c r="E1188" s="306"/>
      <c r="F1188" s="307"/>
      <c r="G1188" s="307"/>
      <c r="H1188" s="307"/>
      <c r="I1188" s="307"/>
      <c r="J1188" s="308"/>
      <c r="K1188" s="62"/>
      <c r="L1188" s="239" t="str">
        <f>IFERROR(VLOOKUP($C1188,'SINAPI MAIO 2020'!$1:$1048576,3,0),IFERROR(VLOOKUP($C1188,'6-COMP. PROPRIA'!$B$1:$I$808,5,0),""))</f>
        <v/>
      </c>
      <c r="M1188" s="104"/>
      <c r="N1188" s="105"/>
    </row>
    <row r="1189" spans="2:14" ht="17.25" customHeight="1">
      <c r="B1189" s="164"/>
      <c r="C1189" s="274" t="str">
        <f>'6-COMP. PROPRIA'!B28</f>
        <v>CP-DEM-2</v>
      </c>
      <c r="D1189" s="275" t="s">
        <v>980</v>
      </c>
      <c r="E1189" s="668" t="str">
        <f>IFERROR(VLOOKUP($C1189,'SINAPI MAIO 2020'!$1:$1048576,2,0),IFERROR(VLOOKUP($C1189,'6-COMP. PROPRIA'!$B$28:$I$808,4,0),""))</f>
        <v>DEMOLIÇÃO DE CONCRETO SIMPLES</v>
      </c>
      <c r="F1189" s="669"/>
      <c r="G1189" s="669"/>
      <c r="H1189" s="669"/>
      <c r="I1189" s="669"/>
      <c r="J1189" s="670"/>
      <c r="K1189" s="212">
        <f>SUM(K1191:K1192)</f>
        <v>0.12825</v>
      </c>
      <c r="L1189" s="239" t="str">
        <f>IFERROR(VLOOKUP($C1189,'SINAPI MAIO 2020'!$1:$1048576,3,0),IFERROR(VLOOKUP($C1189,'6-COMP. PROPRIA'!$B$1:$I$808,5,0),""))</f>
        <v>M3</v>
      </c>
      <c r="M1189" s="104"/>
      <c r="N1189" s="105"/>
    </row>
    <row r="1190" spans="2:14" ht="17.25" customHeight="1">
      <c r="B1190" s="164"/>
      <c r="C1190" s="20"/>
      <c r="D1190" s="20"/>
      <c r="E1190" s="75" t="s">
        <v>984</v>
      </c>
      <c r="F1190" s="309" t="s">
        <v>985</v>
      </c>
      <c r="G1190" s="311" t="s">
        <v>929</v>
      </c>
      <c r="H1190" s="309" t="s">
        <v>920</v>
      </c>
      <c r="I1190" s="312"/>
      <c r="J1190" s="107"/>
      <c r="K1190" s="215"/>
      <c r="L1190" s="239" t="str">
        <f>IFERROR(VLOOKUP($C1190,'SINAPI MAIO 2020'!$1:$1048576,3,0),IFERROR(VLOOKUP($C1190,'6-COMP. PROPRIA'!$B$1:$I$808,5,0),""))</f>
        <v/>
      </c>
      <c r="M1190" s="104"/>
      <c r="N1190" s="105"/>
    </row>
    <row r="1191" spans="2:14" ht="17.25" customHeight="1">
      <c r="B1191" s="164"/>
      <c r="C1191" s="20"/>
      <c r="D1191" s="20"/>
      <c r="E1191" s="102">
        <v>0.15</v>
      </c>
      <c r="F1191" s="66">
        <v>7</v>
      </c>
      <c r="G1191" s="63">
        <v>0.05</v>
      </c>
      <c r="H1191" s="63">
        <v>1</v>
      </c>
      <c r="I1191" s="307"/>
      <c r="J1191" s="308"/>
      <c r="K1191" s="62">
        <f>E1191*F1191*G1191*H1191</f>
        <v>5.2500000000000005E-2</v>
      </c>
      <c r="L1191" s="239" t="str">
        <f>IFERROR(VLOOKUP($C1191,'SINAPI MAIO 2020'!$1:$1048576,3,0),IFERROR(VLOOKUP($C1191,'6-COMP. PROPRIA'!$B$1:$I$808,5,0),""))</f>
        <v/>
      </c>
      <c r="M1191" s="104"/>
      <c r="N1191" s="105"/>
    </row>
    <row r="1192" spans="2:14" ht="17.25" customHeight="1">
      <c r="B1192" s="164"/>
      <c r="C1192" s="20"/>
      <c r="D1192" s="20"/>
      <c r="E1192" s="102">
        <v>0.15</v>
      </c>
      <c r="F1192" s="66">
        <v>10.1</v>
      </c>
      <c r="G1192" s="63">
        <v>0.05</v>
      </c>
      <c r="H1192" s="63">
        <v>1</v>
      </c>
      <c r="I1192" s="307"/>
      <c r="J1192" s="308"/>
      <c r="K1192" s="62">
        <f t="shared" ref="K1192" si="75">E1192*F1192*G1192*H1192</f>
        <v>7.5749999999999998E-2</v>
      </c>
      <c r="L1192" s="239" t="str">
        <f>IFERROR(VLOOKUP($C1192,'SINAPI MAIO 2020'!$1:$1048576,3,0),IFERROR(VLOOKUP($C1192,'6-COMP. PROPRIA'!$B$1:$I$808,5,0),""))</f>
        <v/>
      </c>
      <c r="M1192" s="104"/>
      <c r="N1192" s="105"/>
    </row>
    <row r="1193" spans="2:14" ht="17.25" customHeight="1">
      <c r="B1193" s="164"/>
      <c r="C1193" s="20"/>
      <c r="D1193" s="20"/>
      <c r="E1193" s="306"/>
      <c r="F1193" s="307"/>
      <c r="G1193" s="307"/>
      <c r="H1193" s="307"/>
      <c r="I1193" s="307"/>
      <c r="J1193" s="308"/>
      <c r="K1193" s="211"/>
      <c r="L1193" s="239" t="str">
        <f>IFERROR(VLOOKUP($C1193,'SINAPI MAIO 2020'!$1:$1048576,3,0),IFERROR(VLOOKUP($C1193,'6-COMP. PROPRIA'!$B$1:$I$808,5,0),""))</f>
        <v/>
      </c>
      <c r="M1193" s="104"/>
      <c r="N1193" s="105"/>
    </row>
    <row r="1194" spans="2:14" ht="17.25" customHeight="1">
      <c r="B1194" s="164"/>
      <c r="C1194" s="20"/>
      <c r="D1194" s="20"/>
      <c r="E1194" s="306"/>
      <c r="F1194" s="307"/>
      <c r="G1194" s="307"/>
      <c r="H1194" s="307"/>
      <c r="I1194" s="307"/>
      <c r="J1194" s="308"/>
      <c r="K1194" s="211"/>
      <c r="L1194" s="239" t="str">
        <f>IFERROR(VLOOKUP($C1194,'SINAPI MAIO 2020'!$1:$1048576,3,0),IFERROR(VLOOKUP($C1194,'6-COMP. PROPRIA'!$B$1:$I$808,5,0),""))</f>
        <v/>
      </c>
      <c r="M1194" s="104"/>
      <c r="N1194" s="105"/>
    </row>
    <row r="1195" spans="2:14" ht="17.25" customHeight="1">
      <c r="B1195" s="164"/>
      <c r="C1195" s="20"/>
      <c r="D1195" s="20"/>
      <c r="E1195" s="306"/>
      <c r="F1195" s="307"/>
      <c r="G1195" s="307"/>
      <c r="H1195" s="307"/>
      <c r="I1195" s="307"/>
      <c r="J1195" s="308"/>
      <c r="K1195" s="211"/>
      <c r="L1195" s="239" t="str">
        <f>IFERROR(VLOOKUP($C1195,'SINAPI MAIO 2020'!$1:$1048576,3,0),IFERROR(VLOOKUP($C1195,'6-COMP. PROPRIA'!$B$1:$I$808,5,0),""))</f>
        <v/>
      </c>
      <c r="M1195" s="104"/>
      <c r="N1195" s="105"/>
    </row>
    <row r="1196" spans="2:14" ht="17.25" customHeight="1">
      <c r="B1196" s="164"/>
      <c r="C1196" s="20"/>
      <c r="D1196" s="20"/>
      <c r="E1196" s="306"/>
      <c r="F1196" s="307"/>
      <c r="G1196" s="307"/>
      <c r="H1196" s="307"/>
      <c r="I1196" s="307"/>
      <c r="J1196" s="308"/>
      <c r="K1196" s="211"/>
      <c r="L1196" s="239" t="str">
        <f>IFERROR(VLOOKUP($C1196,'SINAPI MAIO 2020'!$1:$1048576,3,0),IFERROR(VLOOKUP($C1196,'6-COMP. PROPRIA'!$B$1:$I$808,5,0),""))</f>
        <v/>
      </c>
      <c r="M1196" s="104"/>
      <c r="N1196" s="105"/>
    </row>
    <row r="1197" spans="2:14" ht="17.25" customHeight="1">
      <c r="B1197" s="164"/>
      <c r="C1197" s="274">
        <v>96995</v>
      </c>
      <c r="D1197" s="275" t="s">
        <v>8</v>
      </c>
      <c r="E1197" s="668" t="str">
        <f>IFERROR(VLOOKUP($C1197,'SINAPI MAIO 2020'!$1:$1048576,2,0),IFERROR(VLOOKUP($C1197,'6-COMP. PROPRIA'!$B$28:$I$808,4,0),""))</f>
        <v>REATERRO MANUAL APILOADO COM SOQUETE. AF_10/2017</v>
      </c>
      <c r="F1197" s="669"/>
      <c r="G1197" s="669"/>
      <c r="H1197" s="669"/>
      <c r="I1197" s="669"/>
      <c r="J1197" s="670"/>
      <c r="K1197" s="212">
        <f>SUM(K1199:K1200)</f>
        <v>0.1994999999999999</v>
      </c>
      <c r="L1197" s="239" t="str">
        <f>IFERROR(VLOOKUP($C1197,'SINAPI MAIO 2020'!$1:$1048576,3,0),IFERROR(VLOOKUP($C1197,'6-COMP. PROPRIA'!$B$1:$I$808,5,0),""))</f>
        <v>M3</v>
      </c>
      <c r="M1197" s="104"/>
      <c r="N1197" s="105"/>
    </row>
    <row r="1198" spans="2:14" ht="17.25" customHeight="1">
      <c r="B1198" s="164"/>
      <c r="C1198" s="20"/>
      <c r="D1198" s="20"/>
      <c r="E1198" s="75" t="s">
        <v>6542</v>
      </c>
      <c r="F1198" s="309" t="s">
        <v>6543</v>
      </c>
      <c r="G1198" s="311" t="s">
        <v>929</v>
      </c>
      <c r="H1198" s="309" t="s">
        <v>920</v>
      </c>
      <c r="I1198" s="296" t="s">
        <v>6146</v>
      </c>
      <c r="J1198" s="107"/>
      <c r="K1198" s="215"/>
      <c r="L1198" s="239" t="str">
        <f>IFERROR(VLOOKUP($C1198,'SINAPI MAIO 2020'!$1:$1048576,3,0),IFERROR(VLOOKUP($C1198,'6-COMP. PROPRIA'!$B$1:$I$808,5,0),""))</f>
        <v/>
      </c>
      <c r="M1198" s="104"/>
      <c r="N1198" s="105"/>
    </row>
    <row r="1199" spans="2:14" ht="17.25" customHeight="1">
      <c r="B1199" s="164"/>
      <c r="C1199" s="20"/>
      <c r="D1199" s="20"/>
      <c r="E1199" s="102">
        <f>K1173</f>
        <v>1.0394999999999999</v>
      </c>
      <c r="F1199" s="63">
        <v>0.84</v>
      </c>
      <c r="G1199" s="63"/>
      <c r="H1199" s="63"/>
      <c r="I1199" s="63"/>
      <c r="J1199" s="308"/>
      <c r="K1199" s="62">
        <f>E1199-F1199</f>
        <v>0.1994999999999999</v>
      </c>
      <c r="L1199" s="239" t="str">
        <f>IFERROR(VLOOKUP($C1199,'SINAPI MAIO 2020'!$1:$1048576,3,0),IFERROR(VLOOKUP($C1199,'6-COMP. PROPRIA'!$B$1:$I$808,5,0),""))</f>
        <v/>
      </c>
      <c r="M1199" s="104"/>
      <c r="N1199" s="105"/>
    </row>
    <row r="1200" spans="2:14" ht="17.25" customHeight="1">
      <c r="B1200" s="164"/>
      <c r="C1200" s="20"/>
      <c r="D1200" s="20"/>
      <c r="E1200" s="238"/>
      <c r="F1200" s="312"/>
      <c r="G1200" s="312"/>
      <c r="H1200" s="312"/>
      <c r="I1200" s="312"/>
      <c r="J1200" s="103"/>
      <c r="K1200" s="211"/>
      <c r="L1200" s="239" t="str">
        <f>IFERROR(VLOOKUP($C1200,'SINAPI MAIO 2020'!$1:$1048576,3,0),IFERROR(VLOOKUP($C1200,'6-COMP. PROPRIA'!$B$1:$I$808,5,0),""))</f>
        <v/>
      </c>
      <c r="M1200" s="104"/>
      <c r="N1200" s="105"/>
    </row>
    <row r="1201" spans="2:16" ht="17.25" customHeight="1">
      <c r="B1201" s="164"/>
      <c r="C1201" s="20"/>
      <c r="D1201" s="20"/>
      <c r="E1201" s="238"/>
      <c r="F1201" s="312"/>
      <c r="G1201" s="312"/>
      <c r="H1201" s="312"/>
      <c r="I1201" s="312"/>
      <c r="J1201" s="103"/>
      <c r="K1201" s="211"/>
      <c r="L1201" s="239" t="str">
        <f>IFERROR(VLOOKUP($C1201,'SINAPI MAIO 2020'!$1:$1048576,3,0),IFERROR(VLOOKUP($C1201,'6-COMP. PROPRIA'!$B$1:$I$808,5,0),""))</f>
        <v/>
      </c>
      <c r="M1201" s="104"/>
      <c r="N1201" s="105"/>
    </row>
    <row r="1202" spans="2:16" ht="17.25" customHeight="1">
      <c r="B1202" s="164"/>
      <c r="C1202" s="274">
        <v>72897</v>
      </c>
      <c r="D1202" s="275" t="s">
        <v>8</v>
      </c>
      <c r="E1202" s="668" t="str">
        <f>IFERROR(VLOOKUP($C1202,'SINAPI MAIO 2020'!$1:$1048576,2,0),IFERROR(VLOOKUP($C1202,'6-COMP. PROPRIA'!$B$28:$I$808,4,0),""))</f>
        <v>CARGA MANUAL DE ENTULHO EM CAMINHAO BASCULANTE 6 M3</v>
      </c>
      <c r="F1202" s="669"/>
      <c r="G1202" s="669"/>
      <c r="H1202" s="669"/>
      <c r="I1202" s="669"/>
      <c r="J1202" s="670"/>
      <c r="K1202" s="212">
        <f>SUM(K1204:K1205)</f>
        <v>1.9265349999999999</v>
      </c>
      <c r="L1202" s="239" t="str">
        <f>IFERROR(VLOOKUP($C1202,'SINAPI MAIO 2020'!$1:$1048576,3,0),IFERROR(VLOOKUP($C1202,'6-COMP. PROPRIA'!$B$1:$I$808,5,0),""))</f>
        <v>M3</v>
      </c>
      <c r="M1202" s="94"/>
      <c r="N1202" s="121"/>
      <c r="P1202" s="95"/>
    </row>
    <row r="1203" spans="2:16" ht="17.25" customHeight="1">
      <c r="B1203" s="166"/>
      <c r="C1203" s="20"/>
      <c r="D1203" s="20"/>
      <c r="E1203" s="75" t="s">
        <v>931</v>
      </c>
      <c r="F1203" s="49"/>
      <c r="G1203" s="49"/>
      <c r="H1203" s="57" t="s">
        <v>941</v>
      </c>
      <c r="I1203" s="312"/>
      <c r="J1203" s="103"/>
      <c r="K1203" s="216"/>
      <c r="L1203" s="239" t="str">
        <f>IFERROR(VLOOKUP($C1203,'SINAPI MAIO 2020'!$1:$1048576,3,0),IFERROR(VLOOKUP($C1203,'6-COMP. PROPRIA'!$B$1:$I$808,5,0),""))</f>
        <v/>
      </c>
      <c r="M1203" s="104"/>
      <c r="N1203" s="105"/>
      <c r="P1203" s="95"/>
    </row>
    <row r="1204" spans="2:16" ht="17.25" customHeight="1">
      <c r="B1204" s="164"/>
      <c r="C1204" s="20"/>
      <c r="D1204" s="20"/>
      <c r="E1204" s="102">
        <f>K1156+K1173-K1197+K1189</f>
        <v>1.4819499999999999</v>
      </c>
      <c r="F1204" s="49"/>
      <c r="G1204" s="49"/>
      <c r="H1204" s="63">
        <v>1.3</v>
      </c>
      <c r="I1204" s="312"/>
      <c r="J1204" s="103"/>
      <c r="K1204" s="216">
        <f>E1204*H1204</f>
        <v>1.9265349999999999</v>
      </c>
      <c r="L1204" s="239" t="str">
        <f>IFERROR(VLOOKUP($C1204,'SINAPI MAIO 2020'!$1:$1048576,3,0),IFERROR(VLOOKUP($C1204,'6-COMP. PROPRIA'!$B$1:$I$808,5,0),""))</f>
        <v/>
      </c>
      <c r="M1204" s="104"/>
      <c r="N1204" s="105"/>
      <c r="P1204" s="95"/>
    </row>
    <row r="1205" spans="2:16" ht="17.25" customHeight="1">
      <c r="B1205" s="164"/>
      <c r="C1205" s="20"/>
      <c r="D1205" s="20"/>
      <c r="E1205" s="238"/>
      <c r="F1205" s="49"/>
      <c r="G1205" s="49"/>
      <c r="H1205" s="49"/>
      <c r="I1205" s="312"/>
      <c r="J1205" s="103"/>
      <c r="K1205" s="216"/>
      <c r="L1205" s="239" t="str">
        <f>IFERROR(VLOOKUP($C1205,'SINAPI MAIO 2020'!$1:$1048576,3,0),IFERROR(VLOOKUP($C1205,'6-COMP. PROPRIA'!$B$1:$I$808,5,0),""))</f>
        <v/>
      </c>
      <c r="M1205" s="104"/>
      <c r="N1205" s="105"/>
      <c r="P1205" s="95"/>
    </row>
    <row r="1206" spans="2:16" ht="17.25" customHeight="1">
      <c r="B1206" s="168"/>
      <c r="C1206" s="274">
        <v>97914</v>
      </c>
      <c r="D1206" s="275" t="s">
        <v>8</v>
      </c>
      <c r="E1206" s="668" t="str">
        <f>IFERROR(VLOOKUP($C1206,'SINAPI MAIO 2020'!$1:$1048576,2,0),IFERROR(VLOOKUP($C1206,'6-COMP. PROPRIA'!$B$28:$I$808,4,0),""))</f>
        <v>TRANSPORTE COM CAMINHÃO BASCULANTE DE 6 M3, EM VIA URBANA PAVIMENTADA, DMT ATÉ 30 KM (UNIDADE: M3XKM). AF_01/2018</v>
      </c>
      <c r="F1206" s="669"/>
      <c r="G1206" s="669"/>
      <c r="H1206" s="669"/>
      <c r="I1206" s="669"/>
      <c r="J1206" s="670"/>
      <c r="K1206" s="212">
        <f>SUM(K1208:K1209)</f>
        <v>48.163374999999995</v>
      </c>
      <c r="L1206" s="239" t="str">
        <f>IFERROR(VLOOKUP($C1206,'SINAPI MAIO 2020'!$1:$1048576,3,0),IFERROR(VLOOKUP($C1206,'6-COMP. PROPRIA'!$B$1:$I$808,5,0),""))</f>
        <v>M3XKM</v>
      </c>
      <c r="M1206" s="94"/>
      <c r="N1206" s="121"/>
      <c r="P1206" s="95"/>
    </row>
    <row r="1207" spans="2:16" ht="17.25" customHeight="1">
      <c r="B1207" s="164"/>
      <c r="C1207" s="20"/>
      <c r="D1207" s="20"/>
      <c r="E1207" s="75" t="s">
        <v>925</v>
      </c>
      <c r="F1207" s="312"/>
      <c r="G1207" s="312"/>
      <c r="H1207" s="309" t="s">
        <v>926</v>
      </c>
      <c r="I1207" s="312"/>
      <c r="J1207" s="103"/>
      <c r="K1207" s="211"/>
      <c r="L1207" s="239" t="str">
        <f>IFERROR(VLOOKUP($C1207,'SINAPI MAIO 2020'!$1:$1048576,3,0),IFERROR(VLOOKUP($C1207,'6-COMP. PROPRIA'!$B$1:$I$808,5,0),""))</f>
        <v/>
      </c>
      <c r="M1207" s="104"/>
      <c r="N1207" s="105"/>
    </row>
    <row r="1208" spans="2:16" ht="17.25" customHeight="1">
      <c r="B1208" s="164"/>
      <c r="C1208" s="20"/>
      <c r="D1208" s="20"/>
      <c r="E1208" s="114">
        <f>K1202</f>
        <v>1.9265349999999999</v>
      </c>
      <c r="F1208" s="50"/>
      <c r="G1208" s="50"/>
      <c r="H1208" s="106">
        <v>25</v>
      </c>
      <c r="I1208" s="312"/>
      <c r="J1208" s="59"/>
      <c r="K1208" s="62">
        <f>H1208*E1208</f>
        <v>48.163374999999995</v>
      </c>
      <c r="L1208" s="239" t="str">
        <f>IFERROR(VLOOKUP($C1208,'SINAPI MAIO 2020'!$1:$1048576,3,0),IFERROR(VLOOKUP($C1208,'6-COMP. PROPRIA'!$B$1:$I$808,5,0),""))</f>
        <v/>
      </c>
      <c r="M1208" s="104"/>
      <c r="N1208" s="105"/>
    </row>
    <row r="1209" spans="2:16" ht="17.25" customHeight="1">
      <c r="B1209" s="164"/>
      <c r="C1209" s="20"/>
      <c r="D1209" s="20"/>
      <c r="E1209" s="238"/>
      <c r="F1209" s="312"/>
      <c r="G1209" s="312"/>
      <c r="H1209" s="312"/>
      <c r="I1209" s="312"/>
      <c r="J1209" s="103"/>
      <c r="K1209" s="211"/>
      <c r="L1209" s="239" t="str">
        <f>IFERROR(VLOOKUP($C1209,'SINAPI MAIO 2020'!$1:$1048576,3,0),IFERROR(VLOOKUP($C1209,'6-COMP. PROPRIA'!$B$1:$I$808,5,0),""))</f>
        <v/>
      </c>
      <c r="M1209" s="104"/>
      <c r="N1209" s="105"/>
    </row>
    <row r="1210" spans="2:16" ht="17.25" customHeight="1" thickBot="1">
      <c r="B1210" s="164"/>
      <c r="C1210" s="20"/>
      <c r="D1210" s="20"/>
      <c r="E1210" s="238"/>
      <c r="F1210" s="312"/>
      <c r="G1210" s="312"/>
      <c r="H1210" s="312"/>
      <c r="I1210" s="312"/>
      <c r="J1210" s="103"/>
      <c r="K1210" s="211"/>
      <c r="L1210" s="239" t="str">
        <f>IFERROR(VLOOKUP($C1210,'SINAPI MAIO 2020'!$1:$1048576,3,0),IFERROR(VLOOKUP($C1210,'6-COMP. PROPRIA'!$B$1:$I$808,5,0),""))</f>
        <v/>
      </c>
      <c r="M1210" s="104"/>
      <c r="N1210" s="105"/>
    </row>
    <row r="1211" spans="2:16" ht="17.25" customHeight="1" thickBot="1">
      <c r="B1211" s="164"/>
      <c r="C1211" s="20"/>
      <c r="D1211" s="20"/>
      <c r="E1211" s="674" t="s">
        <v>6168</v>
      </c>
      <c r="F1211" s="675"/>
      <c r="G1211" s="675"/>
      <c r="H1211" s="675"/>
      <c r="I1211" s="675"/>
      <c r="J1211" s="676"/>
      <c r="K1211" s="211"/>
      <c r="L1211" s="239" t="str">
        <f>IFERROR(VLOOKUP($C1211,'SINAPI MAIO 2020'!$1:$1048576,3,0),IFERROR(VLOOKUP($C1211,'6-COMP. PROPRIA'!$B$1:$I$808,5,0),""))</f>
        <v/>
      </c>
      <c r="M1211" s="104"/>
      <c r="N1211" s="105"/>
    </row>
    <row r="1212" spans="2:16" ht="17.25" customHeight="1">
      <c r="B1212" s="164"/>
      <c r="C1212" s="20"/>
      <c r="D1212" s="20"/>
      <c r="E1212" s="238"/>
      <c r="F1212" s="312"/>
      <c r="G1212" s="312"/>
      <c r="H1212" s="312"/>
      <c r="I1212" s="312"/>
      <c r="J1212" s="103"/>
      <c r="K1212" s="211"/>
      <c r="L1212" s="239" t="str">
        <f>IFERROR(VLOOKUP($C1212,'SINAPI MAIO 2020'!$1:$1048576,3,0),IFERROR(VLOOKUP($C1212,'6-COMP. PROPRIA'!$B$1:$I$808,5,0),""))</f>
        <v/>
      </c>
      <c r="M1212" s="104"/>
      <c r="N1212" s="105"/>
    </row>
    <row r="1213" spans="2:16" ht="45" customHeight="1">
      <c r="B1213" s="164"/>
      <c r="C1213" s="274">
        <v>91941</v>
      </c>
      <c r="D1213" s="275" t="s">
        <v>8</v>
      </c>
      <c r="E1213" s="668" t="str">
        <f>IFERROR(VLOOKUP($C1213,'SINAPI MAIO 2020'!$1:$1048576,2,0),IFERROR(VLOOKUP($C1213,'6-COMP. PROPRIA'!$B$28:$I$808,4,0),""))</f>
        <v>CAIXA RETANGULAR 4" X 2" BAIXA (0,30 M DO PISO), PVC, INSTALADA EM PAREDE - FORNECIMENTO E INSTALAÇÃO. AF_12/2015</v>
      </c>
      <c r="F1213" s="669"/>
      <c r="G1213" s="669"/>
      <c r="H1213" s="669"/>
      <c r="I1213" s="669"/>
      <c r="J1213" s="670"/>
      <c r="K1213" s="212">
        <v>30</v>
      </c>
      <c r="L1213" s="239" t="str">
        <f>IFERROR(VLOOKUP($C1213,'SINAPI MAIO 2020'!$1:$1048576,3,0),IFERROR(VLOOKUP($C1213,'6-COMP. PROPRIA'!$B$1:$I$808,5,0),""))</f>
        <v>UN</v>
      </c>
      <c r="M1213" s="104"/>
      <c r="N1213" s="105"/>
    </row>
    <row r="1214" spans="2:16" ht="45" customHeight="1">
      <c r="B1214" s="164"/>
      <c r="C1214" s="274">
        <v>91940</v>
      </c>
      <c r="D1214" s="275" t="s">
        <v>8</v>
      </c>
      <c r="E1214" s="668" t="str">
        <f>IFERROR(VLOOKUP($C1214,'SINAPI MAIO 2020'!$1:$1048576,2,0),IFERROR(VLOOKUP($C1214,'6-COMP. PROPRIA'!$B$28:$I$808,4,0),""))</f>
        <v>CAIXA RETANGULAR 4" X 2" MÉDIA (1,30 M DO PISO), PVC, INSTALADA EM PAREDE - FORNECIMENTO E INSTALAÇÃO. AF_12/2015</v>
      </c>
      <c r="F1214" s="669"/>
      <c r="G1214" s="669"/>
      <c r="H1214" s="669"/>
      <c r="I1214" s="669"/>
      <c r="J1214" s="670"/>
      <c r="K1214" s="212">
        <v>29</v>
      </c>
      <c r="L1214" s="239" t="str">
        <f>IFERROR(VLOOKUP($C1214,'SINAPI MAIO 2020'!$1:$1048576,3,0),IFERROR(VLOOKUP($C1214,'6-COMP. PROPRIA'!$B$1:$I$808,5,0),""))</f>
        <v>UN</v>
      </c>
      <c r="M1214" s="104"/>
      <c r="N1214" s="105"/>
    </row>
    <row r="1215" spans="2:16" ht="45" customHeight="1">
      <c r="B1215" s="164"/>
      <c r="C1215" s="274">
        <v>92867</v>
      </c>
      <c r="D1215" s="275" t="s">
        <v>8</v>
      </c>
      <c r="E1215" s="668" t="str">
        <f>IFERROR(VLOOKUP($C1215,'SINAPI MAIO 2020'!$1:$1048576,2,0),IFERROR(VLOOKUP($C1215,'6-COMP. PROPRIA'!$B$28:$I$808,4,0),""))</f>
        <v>CAIXA RETANGULAR 4" X 2" ALTA (2,00 M DO PISO), METÁLICA, INSTALADA EM PAREDE - FORNECIMENTO E INSTALAÇÃO. AF_12/2015</v>
      </c>
      <c r="F1215" s="669"/>
      <c r="G1215" s="669"/>
      <c r="H1215" s="669"/>
      <c r="I1215" s="669"/>
      <c r="J1215" s="670"/>
      <c r="K1215" s="212">
        <f>14+16</f>
        <v>30</v>
      </c>
      <c r="L1215" s="239" t="str">
        <f>IFERROR(VLOOKUP($C1215,'SINAPI MAIO 2020'!$1:$1048576,3,0),IFERROR(VLOOKUP($C1215,'6-COMP. PROPRIA'!$B$1:$I$808,5,0),""))</f>
        <v>UN</v>
      </c>
      <c r="M1215" s="104"/>
      <c r="N1215" s="105"/>
    </row>
    <row r="1216" spans="2:16" ht="45" customHeight="1">
      <c r="B1216" s="164"/>
      <c r="C1216" s="274">
        <v>91937</v>
      </c>
      <c r="D1216" s="275" t="s">
        <v>8</v>
      </c>
      <c r="E1216" s="668" t="str">
        <f>IFERROR(VLOOKUP($C1216,'SINAPI MAIO 2020'!$1:$1048576,2,0),IFERROR(VLOOKUP($C1216,'6-COMP. PROPRIA'!$B$28:$I$808,4,0),""))</f>
        <v>CAIXA OCTOGONAL 3" X 3", PVC, INSTALADA EM LAJE - FORNECIMENTO E INSTALAÇÃO. AF_12/2015</v>
      </c>
      <c r="F1216" s="669"/>
      <c r="G1216" s="669"/>
      <c r="H1216" s="669"/>
      <c r="I1216" s="669"/>
      <c r="J1216" s="670"/>
      <c r="K1216" s="212">
        <v>136</v>
      </c>
      <c r="L1216" s="239" t="str">
        <f>IFERROR(VLOOKUP($C1216,'SINAPI MAIO 2020'!$1:$1048576,3,0),IFERROR(VLOOKUP($C1216,'6-COMP. PROPRIA'!$B$1:$I$808,5,0),""))</f>
        <v>UN</v>
      </c>
      <c r="M1216" s="104"/>
      <c r="N1216" s="105"/>
    </row>
    <row r="1217" spans="2:14" ht="45" customHeight="1">
      <c r="B1217" s="164"/>
      <c r="C1217" s="274">
        <v>97892</v>
      </c>
      <c r="D1217" s="275" t="s">
        <v>8</v>
      </c>
      <c r="E1217" s="668" t="str">
        <f>IFERROR(VLOOKUP($C1217,'SINAPI MAIO 2020'!$1:$1048576,2,0),IFERROR(VLOOKUP($C1217,'6-COMP. PROPRIA'!$B$28:$I$808,4,0),""))</f>
        <v>CAIXA ENTERRADA ELÉTRICA RETANGULAR, EM ALVENARIA COM BLOCOS DE CONCRETO, FUNDO COM BRITA, DIMENSÕES INTERNAS: 0,6X0,6X0,6 M. AF_05/2018</v>
      </c>
      <c r="F1217" s="669"/>
      <c r="G1217" s="669"/>
      <c r="H1217" s="669"/>
      <c r="I1217" s="669"/>
      <c r="J1217" s="670"/>
      <c r="K1217" s="212">
        <v>7</v>
      </c>
      <c r="L1217" s="239" t="str">
        <f>IFERROR(VLOOKUP($C1217,'SINAPI MAIO 2020'!$1:$1048576,3,0),IFERROR(VLOOKUP($C1217,'6-COMP. PROPRIA'!$B$1:$I$808,5,0),""))</f>
        <v>UN</v>
      </c>
      <c r="M1217" s="104"/>
      <c r="N1217" s="105"/>
    </row>
    <row r="1218" spans="2:14" ht="17.25" customHeight="1">
      <c r="B1218" s="164"/>
      <c r="C1218" s="20"/>
      <c r="D1218" s="295"/>
      <c r="E1218" s="306"/>
      <c r="F1218" s="307"/>
      <c r="G1218" s="307"/>
      <c r="H1218" s="307"/>
      <c r="I1218" s="307"/>
      <c r="J1218" s="308"/>
      <c r="K1218" s="212"/>
      <c r="L1218" s="239" t="str">
        <f>IFERROR(VLOOKUP($C1218,'SINAPI MAIO 2020'!$1:$1048576,3,0),IFERROR(VLOOKUP($C1218,'6-COMP. PROPRIA'!$B$1:$I$808,5,0),""))</f>
        <v/>
      </c>
      <c r="M1218" s="104"/>
      <c r="N1218" s="105"/>
    </row>
    <row r="1219" spans="2:14" ht="17.25" customHeight="1" thickBot="1">
      <c r="B1219" s="164"/>
      <c r="C1219" s="20"/>
      <c r="D1219" s="295"/>
      <c r="E1219" s="306"/>
      <c r="F1219" s="307"/>
      <c r="G1219" s="307"/>
      <c r="H1219" s="307"/>
      <c r="I1219" s="307"/>
      <c r="J1219" s="308"/>
      <c r="K1219" s="212"/>
      <c r="L1219" s="239" t="str">
        <f>IFERROR(VLOOKUP($C1219,'SINAPI MAIO 2020'!$1:$1048576,3,0),IFERROR(VLOOKUP($C1219,'6-COMP. PROPRIA'!$B$1:$I$808,5,0),""))</f>
        <v/>
      </c>
      <c r="M1219" s="104"/>
      <c r="N1219" s="105"/>
    </row>
    <row r="1220" spans="2:14" ht="17.25" customHeight="1" thickBot="1">
      <c r="B1220" s="164"/>
      <c r="C1220" s="20"/>
      <c r="D1220" s="295"/>
      <c r="E1220" s="674" t="s">
        <v>6483</v>
      </c>
      <c r="F1220" s="675"/>
      <c r="G1220" s="675"/>
      <c r="H1220" s="675"/>
      <c r="I1220" s="675"/>
      <c r="J1220" s="676"/>
      <c r="K1220" s="212"/>
      <c r="L1220" s="239" t="str">
        <f>IFERROR(VLOOKUP($C1220,'SINAPI MAIO 2020'!$1:$1048576,3,0),IFERROR(VLOOKUP($C1220,'6-COMP. PROPRIA'!$B$1:$I$808,5,0),""))</f>
        <v/>
      </c>
      <c r="M1220" s="104"/>
      <c r="N1220" s="105"/>
    </row>
    <row r="1221" spans="2:14" ht="64.5" customHeight="1">
      <c r="B1221" s="164"/>
      <c r="C1221" s="274">
        <v>91933</v>
      </c>
      <c r="D1221" s="275" t="s">
        <v>8</v>
      </c>
      <c r="E1221" s="668" t="str">
        <f>IFERROR(VLOOKUP($C1221,'SINAPI MAIO 2020'!$1:$1048576,2,0),IFERROR(VLOOKUP($C1221,'6-COMP. PROPRIA'!$B$28:$I$808,4,0),""))</f>
        <v>CABO DE COBRE FLEXÍVEL ISOLADO, 10 MM², ANTI-CHAMA 0,6/1,0 KV, PARA CIRCUITOS TERMINAIS - FORNECIMENTO E INSTALAÇÃO. AF_12/2015</v>
      </c>
      <c r="F1221" s="669"/>
      <c r="G1221" s="669"/>
      <c r="H1221" s="669"/>
      <c r="I1221" s="669"/>
      <c r="J1221" s="670"/>
      <c r="K1221" s="212">
        <v>205.2</v>
      </c>
      <c r="L1221" s="239" t="str">
        <f>IFERROR(VLOOKUP($C1221,'SINAPI MAIO 2020'!$1:$1048576,3,0),IFERROR(VLOOKUP($C1221,'6-COMP. PROPRIA'!$B$1:$I$808,5,0),""))</f>
        <v>M</v>
      </c>
      <c r="M1221" s="104"/>
      <c r="N1221" s="105"/>
    </row>
    <row r="1222" spans="2:14" ht="64.5" customHeight="1">
      <c r="B1222" s="164"/>
      <c r="C1222" s="274">
        <v>92982</v>
      </c>
      <c r="D1222" s="275" t="s">
        <v>8</v>
      </c>
      <c r="E1222" s="668" t="str">
        <f>IFERROR(VLOOKUP($C1222,'SINAPI MAIO 2020'!$1:$1048576,2,0),IFERROR(VLOOKUP($C1222,'6-COMP. PROPRIA'!$B$28:$I$808,4,0),""))</f>
        <v>CABO DE COBRE FLEXÍVEL ISOLADO, 16 MM², ANTI-CHAMA 0,6/1,0 KV, PARA DISTRIBUIÇÃO - FORNECIMENTO E INSTALAÇÃO. AF_12/2015</v>
      </c>
      <c r="F1222" s="669"/>
      <c r="G1222" s="669"/>
      <c r="H1222" s="669"/>
      <c r="I1222" s="669"/>
      <c r="J1222" s="670"/>
      <c r="K1222" s="212">
        <v>13.2</v>
      </c>
      <c r="L1222" s="239" t="str">
        <f>IFERROR(VLOOKUP($C1222,'SINAPI MAIO 2020'!$1:$1048576,3,0),IFERROR(VLOOKUP($C1222,'6-COMP. PROPRIA'!$B$1:$I$808,5,0),""))</f>
        <v>M</v>
      </c>
      <c r="M1222" s="104"/>
      <c r="N1222" s="105"/>
    </row>
    <row r="1223" spans="2:14" ht="64.5" customHeight="1">
      <c r="B1223" s="164"/>
      <c r="C1223" s="274">
        <v>92986</v>
      </c>
      <c r="D1223" s="275" t="s">
        <v>8</v>
      </c>
      <c r="E1223" s="668" t="str">
        <f>IFERROR(VLOOKUP($C1223,'SINAPI MAIO 2020'!$1:$1048576,2,0),IFERROR(VLOOKUP($C1223,'6-COMP. PROPRIA'!$B$28:$I$808,4,0),""))</f>
        <v>CABO DE COBRE FLEXÍVEL ISOLADO, 35 MM², ANTI-CHAMA 0,6/1,0 KV, PARA DISTRIBUIÇÃO - FORNECIMENTO E INSTALAÇÃO. AF_12/2015</v>
      </c>
      <c r="F1223" s="669"/>
      <c r="G1223" s="669"/>
      <c r="H1223" s="669"/>
      <c r="I1223" s="669"/>
      <c r="J1223" s="670"/>
      <c r="K1223" s="212">
        <v>55.6</v>
      </c>
      <c r="L1223" s="239" t="str">
        <f>IFERROR(VLOOKUP($C1223,'SINAPI MAIO 2020'!$1:$1048576,3,0),IFERROR(VLOOKUP($C1223,'6-COMP. PROPRIA'!$B$1:$I$808,5,0),""))</f>
        <v>M</v>
      </c>
      <c r="M1223" s="104"/>
      <c r="N1223" s="105"/>
    </row>
    <row r="1224" spans="2:14" ht="42" customHeight="1">
      <c r="B1224" s="164"/>
      <c r="C1224" s="274">
        <v>91929</v>
      </c>
      <c r="D1224" s="275" t="s">
        <v>8</v>
      </c>
      <c r="E1224" s="668" t="str">
        <f>IFERROR(VLOOKUP($C1224,'SINAPI MAIO 2020'!$1:$1048576,2,0),IFERROR(VLOOKUP($C1224,'6-COMP. PROPRIA'!$B$28:$I$808,4,0),""))</f>
        <v>CABO DE COBRE FLEXÍVEL ISOLADO, 4 MM², ANTI-CHAMA 0,6/1,0 KV, PARA CIRCUITOS TERMINAIS - FORNECIMENTO E INSTALAÇÃO. AF_12/2015</v>
      </c>
      <c r="F1224" s="669"/>
      <c r="G1224" s="669"/>
      <c r="H1224" s="669"/>
      <c r="I1224" s="669"/>
      <c r="J1224" s="670"/>
      <c r="K1224" s="212">
        <v>14.1</v>
      </c>
      <c r="L1224" s="239" t="str">
        <f>IFERROR(VLOOKUP($C1224,'SINAPI MAIO 2020'!$1:$1048576,3,0),IFERROR(VLOOKUP($C1224,'6-COMP. PROPRIA'!$B$1:$I$808,5,0),""))</f>
        <v>M</v>
      </c>
      <c r="M1224" s="104"/>
      <c r="N1224" s="105"/>
    </row>
    <row r="1225" spans="2:14" ht="42" customHeight="1">
      <c r="B1225" s="164"/>
      <c r="C1225" s="274">
        <v>92988</v>
      </c>
      <c r="D1225" s="275" t="s">
        <v>8</v>
      </c>
      <c r="E1225" s="668" t="str">
        <f>IFERROR(VLOOKUP($C1225,'SINAPI MAIO 2020'!$1:$1048576,2,0),IFERROR(VLOOKUP($C1225,'6-COMP. PROPRIA'!$B$28:$I$808,4,0),""))</f>
        <v>CABO DE COBRE FLEXÍVEL ISOLADO, 50 MM², ANTI-CHAMA 0,6/1,0 KV, PARA DISTRIBUIÇÃO - FORNECIMENTO E INSTALAÇÃO. AF_12/2015</v>
      </c>
      <c r="F1225" s="669"/>
      <c r="G1225" s="669"/>
      <c r="H1225" s="669"/>
      <c r="I1225" s="669"/>
      <c r="J1225" s="670"/>
      <c r="K1225" s="212">
        <v>32.1</v>
      </c>
      <c r="L1225" s="239" t="str">
        <f>IFERROR(VLOOKUP($C1225,'SINAPI MAIO 2020'!$1:$1048576,3,0),IFERROR(VLOOKUP($C1225,'6-COMP. PROPRIA'!$B$1:$I$808,5,0),""))</f>
        <v>M</v>
      </c>
      <c r="M1225" s="104"/>
      <c r="N1225" s="105"/>
    </row>
    <row r="1226" spans="2:14" ht="42" customHeight="1">
      <c r="B1226" s="164"/>
      <c r="C1226" s="274">
        <v>92990</v>
      </c>
      <c r="D1226" s="275" t="s">
        <v>8</v>
      </c>
      <c r="E1226" s="668" t="str">
        <f>IFERROR(VLOOKUP($C1226,'SINAPI MAIO 2020'!$1:$1048576,2,0),IFERROR(VLOOKUP($C1226,'6-COMP. PROPRIA'!$B$28:$I$808,4,0),""))</f>
        <v>CABO DE COBRE FLEXÍVEL ISOLADO, 70 MM², ANTI-CHAMA 0,6/1,0 KV, PARA DISTRIBUIÇÃO - FORNECIMENTO E INSTALAÇÃO. AF_12/2015</v>
      </c>
      <c r="F1226" s="669"/>
      <c r="G1226" s="669"/>
      <c r="H1226" s="669"/>
      <c r="I1226" s="669"/>
      <c r="J1226" s="670"/>
      <c r="K1226" s="212">
        <v>11.5</v>
      </c>
      <c r="L1226" s="239" t="str">
        <f>IFERROR(VLOOKUP($C1226,'SINAPI MAIO 2020'!$1:$1048576,3,0),IFERROR(VLOOKUP($C1226,'6-COMP. PROPRIA'!$B$1:$I$808,5,0),""))</f>
        <v>M</v>
      </c>
      <c r="M1226" s="104"/>
      <c r="N1226" s="105"/>
    </row>
    <row r="1227" spans="2:14" ht="42" customHeight="1">
      <c r="B1227" s="164"/>
      <c r="C1227" s="274">
        <v>91926</v>
      </c>
      <c r="D1227" s="275" t="s">
        <v>8</v>
      </c>
      <c r="E1227" s="668" t="str">
        <f>IFERROR(VLOOKUP($C1227,'SINAPI MAIO 2020'!$1:$1048576,2,0),IFERROR(VLOOKUP($C1227,'6-COMP. PROPRIA'!$B$28:$I$808,4,0),""))</f>
        <v>CABO DE COBRE FLEXÍVEL ISOLADO, 2,5 MM², ANTI-CHAMA 450/750 V, PARA CIRCUITOS TERMINAIS - FORNECIMENTO E INSTALAÇÃO. AF_12/2015</v>
      </c>
      <c r="F1227" s="669"/>
      <c r="G1227" s="669"/>
      <c r="H1227" s="669"/>
      <c r="I1227" s="669"/>
      <c r="J1227" s="670"/>
      <c r="K1227" s="212">
        <v>2522.1999999999998</v>
      </c>
      <c r="L1227" s="239" t="str">
        <f>IFERROR(VLOOKUP($C1227,'SINAPI MAIO 2020'!$1:$1048576,3,0),IFERROR(VLOOKUP($C1227,'6-COMP. PROPRIA'!$B$1:$I$808,5,0),""))</f>
        <v>M</v>
      </c>
      <c r="M1227" s="104"/>
      <c r="N1227" s="105"/>
    </row>
    <row r="1228" spans="2:14" ht="42" customHeight="1">
      <c r="B1228" s="164" t="s">
        <v>12495</v>
      </c>
      <c r="C1228" s="274">
        <v>91928</v>
      </c>
      <c r="D1228" s="275" t="s">
        <v>8</v>
      </c>
      <c r="E1228" s="668" t="str">
        <f>IFERROR(VLOOKUP($C1228,'SINAPI MAIO 2020'!$1:$1048576,2,0),IFERROR(VLOOKUP($C1228,'6-COMP. PROPRIA'!$B$28:$I$808,4,0),""))</f>
        <v>CABO DE COBRE FLEXÍVEL ISOLADO, 4 MM², ANTI-CHAMA 450/750 V, PARA CIRCUITOS TERMINAIS - FORNECIMENTO E INSTALAÇÃO. AF_12/2015</v>
      </c>
      <c r="F1228" s="669"/>
      <c r="G1228" s="669"/>
      <c r="H1228" s="669"/>
      <c r="I1228" s="669"/>
      <c r="J1228" s="670"/>
      <c r="K1228" s="212">
        <f>137.4+110.74</f>
        <v>248.14</v>
      </c>
      <c r="L1228" s="239" t="str">
        <f>IFERROR(VLOOKUP($C1228,'SINAPI MAIO 2020'!$1:$1048576,3,0),IFERROR(VLOOKUP($C1228,'6-COMP. PROPRIA'!$B$1:$I$808,5,0),""))</f>
        <v>M</v>
      </c>
      <c r="M1228" s="104"/>
      <c r="N1228" s="105"/>
    </row>
    <row r="1229" spans="2:14" ht="42" customHeight="1">
      <c r="B1229" s="164" t="s">
        <v>12496</v>
      </c>
      <c r="C1229" s="274">
        <v>91930</v>
      </c>
      <c r="D1229" s="275" t="s">
        <v>8</v>
      </c>
      <c r="E1229" s="668" t="str">
        <f>IFERROR(VLOOKUP($C1229,'SINAPI MAIO 2020'!$1:$1048576,2,0),IFERROR(VLOOKUP($C1229,'6-COMP. PROPRIA'!$B$28:$I$808,4,0),""))</f>
        <v>CABO DE COBRE FLEXÍVEL ISOLADO, 6 MM², ANTI-CHAMA 450/750 V, PARA CIRCUITOS TERMINAIS - FORNECIMENTO E INSTALAÇÃO. AF_12/2015</v>
      </c>
      <c r="F1229" s="669"/>
      <c r="G1229" s="669"/>
      <c r="H1229" s="669"/>
      <c r="I1229" s="669"/>
      <c r="J1229" s="670"/>
      <c r="K1229" s="212">
        <f>552+134.24</f>
        <v>686.24</v>
      </c>
      <c r="L1229" s="239" t="str">
        <f>IFERROR(VLOOKUP($C1229,'SINAPI MAIO 2020'!$1:$1048576,3,0),IFERROR(VLOOKUP($C1229,'6-COMP. PROPRIA'!$B$1:$I$808,5,0),""))</f>
        <v>M</v>
      </c>
      <c r="M1229" s="104"/>
      <c r="N1229" s="105"/>
    </row>
    <row r="1230" spans="2:14" ht="27" customHeight="1">
      <c r="B1230" s="164"/>
      <c r="C1230" s="274">
        <v>91953</v>
      </c>
      <c r="D1230" s="275" t="s">
        <v>8</v>
      </c>
      <c r="E1230" s="668" t="str">
        <f>IFERROR(VLOOKUP($C1230,'SINAPI MAIO 2020'!$1:$1048576,2,0),IFERROR(VLOOKUP($C1230,'6-COMP. PROPRIA'!$B$28:$I$808,4,0),""))</f>
        <v>INTERRUPTOR SIMPLES (1 MÓDULO), 10A/250V, INCLUINDO SUPORTE E PLACA - FORNECIMENTO E INSTALAÇÃO. AF_12/2015</v>
      </c>
      <c r="F1230" s="669"/>
      <c r="G1230" s="669"/>
      <c r="H1230" s="669"/>
      <c r="I1230" s="669"/>
      <c r="J1230" s="670"/>
      <c r="K1230" s="212">
        <v>12</v>
      </c>
      <c r="L1230" s="239" t="str">
        <f>IFERROR(VLOOKUP($C1230,'SINAPI MAIO 2020'!$1:$1048576,3,0),IFERROR(VLOOKUP($C1230,'6-COMP. PROPRIA'!$B$1:$I$808,5,0),""))</f>
        <v>UN</v>
      </c>
      <c r="M1230" s="104"/>
      <c r="N1230" s="105"/>
    </row>
    <row r="1231" spans="2:14" ht="27" customHeight="1">
      <c r="B1231" s="164"/>
      <c r="C1231" s="274">
        <v>91959</v>
      </c>
      <c r="D1231" s="275" t="s">
        <v>8</v>
      </c>
      <c r="E1231" s="668" t="str">
        <f>IFERROR(VLOOKUP($C1231,'SINAPI MAIO 2020'!$1:$1048576,2,0),IFERROR(VLOOKUP($C1231,'6-COMP. PROPRIA'!$B$28:$I$808,4,0),""))</f>
        <v>INTERRUPTOR SIMPLES (2 MÓDULOS), 10A/250V, INCLUINDO SUPORTE E PLACA - FORNECIMENTO E INSTALAÇÃO. AF_12/2015</v>
      </c>
      <c r="F1231" s="669"/>
      <c r="G1231" s="669"/>
      <c r="H1231" s="669"/>
      <c r="I1231" s="669"/>
      <c r="J1231" s="670"/>
      <c r="K1231" s="212">
        <v>1</v>
      </c>
      <c r="L1231" s="239" t="str">
        <f>IFERROR(VLOOKUP($C1231,'SINAPI MAIO 2020'!$1:$1048576,3,0),IFERROR(VLOOKUP($C1231,'6-COMP. PROPRIA'!$B$1:$I$808,5,0),""))</f>
        <v>UN</v>
      </c>
      <c r="M1231" s="104"/>
      <c r="N1231" s="105"/>
    </row>
    <row r="1232" spans="2:14" ht="27" customHeight="1">
      <c r="B1232" s="164"/>
      <c r="C1232" s="274">
        <v>91967</v>
      </c>
      <c r="D1232" s="275" t="s">
        <v>8</v>
      </c>
      <c r="E1232" s="668" t="str">
        <f>IFERROR(VLOOKUP($C1232,'SINAPI MAIO 2020'!$1:$1048576,2,0),IFERROR(VLOOKUP($C1232,'6-COMP. PROPRIA'!$B$28:$I$808,4,0),""))</f>
        <v>INTERRUPTOR SIMPLES (3 MÓDULOS), 10A/250V, INCLUINDO SUPORTE E PLACA - FORNECIMENTO E INSTALAÇÃO. AF_12/2015</v>
      </c>
      <c r="F1232" s="669"/>
      <c r="G1232" s="669"/>
      <c r="H1232" s="669"/>
      <c r="I1232" s="669"/>
      <c r="J1232" s="670"/>
      <c r="K1232" s="212">
        <v>8</v>
      </c>
      <c r="L1232" s="239" t="str">
        <f>IFERROR(VLOOKUP($C1232,'SINAPI MAIO 2020'!$1:$1048576,3,0),IFERROR(VLOOKUP($C1232,'6-COMP. PROPRIA'!$B$1:$I$808,5,0),""))</f>
        <v>UN</v>
      </c>
      <c r="M1232" s="104"/>
      <c r="N1232" s="105"/>
    </row>
    <row r="1233" spans="2:14" ht="27" customHeight="1">
      <c r="B1233" s="164"/>
      <c r="C1233" s="274">
        <v>91992</v>
      </c>
      <c r="D1233" s="275" t="s">
        <v>8</v>
      </c>
      <c r="E1233" s="668" t="str">
        <f>IFERROR(VLOOKUP($C1233,'SINAPI MAIO 2020'!$1:$1048576,2,0),IFERROR(VLOOKUP($C1233,'6-COMP. PROPRIA'!$B$28:$I$808,4,0),""))</f>
        <v>TOMADA ALTA DE EMBUTIR (1 MÓDULO), 2P+T 10 A, INCLUINDO SUPORTE E PLACA - FORNECIMENTO E INSTALAÇÃO. AF_12/2015</v>
      </c>
      <c r="F1233" s="669"/>
      <c r="G1233" s="669"/>
      <c r="H1233" s="669"/>
      <c r="I1233" s="669"/>
      <c r="J1233" s="670"/>
      <c r="K1233" s="212">
        <v>14</v>
      </c>
      <c r="L1233" s="239" t="str">
        <f>IFERROR(VLOOKUP($C1233,'SINAPI MAIO 2020'!$1:$1048576,3,0),IFERROR(VLOOKUP($C1233,'6-COMP. PROPRIA'!$B$1:$I$808,5,0),""))</f>
        <v>UN</v>
      </c>
      <c r="M1233" s="104"/>
      <c r="N1233" s="105"/>
    </row>
    <row r="1234" spans="2:14" ht="27" customHeight="1">
      <c r="B1234" s="164"/>
      <c r="C1234" s="274">
        <v>91996</v>
      </c>
      <c r="D1234" s="275" t="s">
        <v>8</v>
      </c>
      <c r="E1234" s="668" t="str">
        <f>IFERROR(VLOOKUP($C1234,'SINAPI MAIO 2020'!$1:$1048576,2,0),IFERROR(VLOOKUP($C1234,'6-COMP. PROPRIA'!$B$28:$I$808,4,0),""))</f>
        <v>TOMADA MÉDIA DE EMBUTIR (1 MÓDULO), 2P+T 10 A, INCLUINDO SUPORTE E PLACA - FORNECIMENTO E INSTALAÇÃO. AF_12/2015</v>
      </c>
      <c r="F1234" s="669"/>
      <c r="G1234" s="669"/>
      <c r="H1234" s="669"/>
      <c r="I1234" s="669"/>
      <c r="J1234" s="670"/>
      <c r="K1234" s="212">
        <v>6</v>
      </c>
      <c r="L1234" s="239" t="str">
        <f>IFERROR(VLOOKUP($C1234,'SINAPI MAIO 2020'!$1:$1048576,3,0),IFERROR(VLOOKUP($C1234,'6-COMP. PROPRIA'!$B$1:$I$808,5,0),""))</f>
        <v>UN</v>
      </c>
      <c r="M1234" s="104"/>
      <c r="N1234" s="105"/>
    </row>
    <row r="1235" spans="2:14" ht="27" customHeight="1">
      <c r="B1235" s="164"/>
      <c r="C1235" s="274">
        <v>91993</v>
      </c>
      <c r="D1235" s="275" t="s">
        <v>8</v>
      </c>
      <c r="E1235" s="668" t="str">
        <f>IFERROR(VLOOKUP($C1235,'SINAPI MAIO 2020'!$1:$1048576,2,0),IFERROR(VLOOKUP($C1235,'6-COMP. PROPRIA'!$B$28:$I$808,4,0),""))</f>
        <v>TOMADA ALTA DE EMBUTIR (1 MÓDULO), 2P+T 20 A, INCLUINDO SUPORTE E PLACA - FORNECIMENTO E INSTALAÇÃO. AF_12/2015</v>
      </c>
      <c r="F1235" s="669"/>
      <c r="G1235" s="669"/>
      <c r="H1235" s="669"/>
      <c r="I1235" s="669"/>
      <c r="J1235" s="670"/>
      <c r="K1235" s="212">
        <v>16</v>
      </c>
      <c r="L1235" s="239" t="str">
        <f>IFERROR(VLOOKUP($C1235,'SINAPI MAIO 2020'!$1:$1048576,3,0),IFERROR(VLOOKUP($C1235,'6-COMP. PROPRIA'!$B$1:$I$808,5,0),""))</f>
        <v>UN</v>
      </c>
      <c r="M1235" s="104"/>
      <c r="N1235" s="105"/>
    </row>
    <row r="1236" spans="2:14" ht="27" customHeight="1">
      <c r="B1236" s="164"/>
      <c r="C1236" s="274">
        <v>92008</v>
      </c>
      <c r="D1236" s="275" t="s">
        <v>8</v>
      </c>
      <c r="E1236" s="668" t="str">
        <f>IFERROR(VLOOKUP($C1236,'SINAPI MAIO 2020'!$1:$1048576,2,0),IFERROR(VLOOKUP($C1236,'6-COMP. PROPRIA'!$B$28:$I$808,4,0),""))</f>
        <v>TOMADA BAIXA DE EMBUTIR (2 MÓDULOS), 2P+T 10 A, INCLUINDO SUPORTE E PLACA - FORNECIMENTO E INSTALAÇÃO. AF_12/2015</v>
      </c>
      <c r="F1236" s="669"/>
      <c r="G1236" s="669"/>
      <c r="H1236" s="669"/>
      <c r="I1236" s="669"/>
      <c r="J1236" s="670"/>
      <c r="K1236" s="212">
        <v>22</v>
      </c>
      <c r="L1236" s="239" t="str">
        <f>IFERROR(VLOOKUP($C1236,'SINAPI MAIO 2020'!$1:$1048576,3,0),IFERROR(VLOOKUP($C1236,'6-COMP. PROPRIA'!$B$1:$I$808,5,0),""))</f>
        <v>UN</v>
      </c>
      <c r="M1236" s="104"/>
      <c r="N1236" s="105"/>
    </row>
    <row r="1237" spans="2:14" ht="27" customHeight="1">
      <c r="B1237" s="164"/>
      <c r="C1237" s="274">
        <v>92009</v>
      </c>
      <c r="D1237" s="275" t="s">
        <v>8</v>
      </c>
      <c r="E1237" s="668" t="str">
        <f>IFERROR(VLOOKUP($C1237,'SINAPI MAIO 2020'!$1:$1048576,2,0),IFERROR(VLOOKUP($C1237,'6-COMP. PROPRIA'!$B$28:$I$808,4,0),""))</f>
        <v>TOMADA BAIXA DE EMBUTIR (2 MÓDULOS), 2P+T 20 A, INCLUINDO SUPORTE E PLACA - FORNECIMENTO E INSTALAÇÃO. AF_12/2015</v>
      </c>
      <c r="F1237" s="669"/>
      <c r="G1237" s="669"/>
      <c r="H1237" s="669"/>
      <c r="I1237" s="669"/>
      <c r="J1237" s="670"/>
      <c r="K1237" s="212">
        <v>2</v>
      </c>
      <c r="L1237" s="239" t="str">
        <f>IFERROR(VLOOKUP($C1237,'SINAPI MAIO 2020'!$1:$1048576,3,0),IFERROR(VLOOKUP($C1237,'6-COMP. PROPRIA'!$B$1:$I$808,5,0),""))</f>
        <v>UN</v>
      </c>
      <c r="M1237" s="104"/>
      <c r="N1237" s="105"/>
    </row>
    <row r="1238" spans="2:14" ht="27" customHeight="1">
      <c r="B1238" s="164"/>
      <c r="C1238" s="274">
        <v>93653</v>
      </c>
      <c r="D1238" s="275" t="s">
        <v>8</v>
      </c>
      <c r="E1238" s="668" t="str">
        <f>IFERROR(VLOOKUP($C1238,'SINAPI MAIO 2020'!$1:$1048576,2,0),IFERROR(VLOOKUP($C1238,'6-COMP. PROPRIA'!$B$28:$I$808,4,0),""))</f>
        <v>DISJUNTOR MONOPOLAR TIPO DIN, CORRENTE NOMINAL DE 10A - FORNECIMENTO E INSTALAÇÃO. AF_04/2016</v>
      </c>
      <c r="F1238" s="669"/>
      <c r="G1238" s="669"/>
      <c r="H1238" s="669"/>
      <c r="I1238" s="669"/>
      <c r="J1238" s="670"/>
      <c r="K1238" s="212">
        <v>22</v>
      </c>
      <c r="L1238" s="239" t="str">
        <f>IFERROR(VLOOKUP($C1238,'SINAPI MAIO 2020'!$1:$1048576,3,0),IFERROR(VLOOKUP($C1238,'6-COMP. PROPRIA'!$B$1:$I$808,5,0),""))</f>
        <v>UN</v>
      </c>
      <c r="M1238" s="104"/>
      <c r="N1238" s="105"/>
    </row>
    <row r="1239" spans="2:14" ht="27" customHeight="1">
      <c r="B1239" s="164"/>
      <c r="C1239" s="274">
        <v>93654</v>
      </c>
      <c r="D1239" s="275" t="s">
        <v>8</v>
      </c>
      <c r="E1239" s="668" t="str">
        <f>IFERROR(VLOOKUP($C1239,'SINAPI MAIO 2020'!$1:$1048576,2,0),IFERROR(VLOOKUP($C1239,'6-COMP. PROPRIA'!$B$28:$I$808,4,0),""))</f>
        <v>DISJUNTOR MONOPOLAR TIPO DIN, CORRENTE NOMINAL DE 16A - FORNECIMENTO E INSTALAÇÃO. AF_04/2016</v>
      </c>
      <c r="F1239" s="669"/>
      <c r="G1239" s="669"/>
      <c r="H1239" s="669"/>
      <c r="I1239" s="669"/>
      <c r="J1239" s="670"/>
      <c r="K1239" s="212">
        <v>19</v>
      </c>
      <c r="L1239" s="239" t="str">
        <f>IFERROR(VLOOKUP($C1239,'SINAPI MAIO 2020'!$1:$1048576,3,0),IFERROR(VLOOKUP($C1239,'6-COMP. PROPRIA'!$B$1:$I$808,5,0),""))</f>
        <v>UN</v>
      </c>
      <c r="M1239" s="104"/>
      <c r="N1239" s="105"/>
    </row>
    <row r="1240" spans="2:14" ht="27" customHeight="1">
      <c r="B1240" s="164"/>
      <c r="C1240" s="274">
        <v>93657</v>
      </c>
      <c r="D1240" s="275" t="s">
        <v>8</v>
      </c>
      <c r="E1240" s="668" t="str">
        <f>IFERROR(VLOOKUP($C1240,'SINAPI MAIO 2020'!$1:$1048576,2,0),IFERROR(VLOOKUP($C1240,'6-COMP. PROPRIA'!$B$28:$I$808,4,0),""))</f>
        <v>DISJUNTOR MONOPOLAR TIPO DIN, CORRENTE NOMINAL DE 32A - FORNECIMENTO E INSTALAÇÃO. AF_04/2016</v>
      </c>
      <c r="F1240" s="669"/>
      <c r="G1240" s="669"/>
      <c r="H1240" s="669"/>
      <c r="I1240" s="669"/>
      <c r="J1240" s="670"/>
      <c r="K1240" s="212">
        <v>1</v>
      </c>
      <c r="L1240" s="239" t="str">
        <f>IFERROR(VLOOKUP($C1240,'SINAPI MAIO 2020'!$1:$1048576,3,0),IFERROR(VLOOKUP($C1240,'6-COMP. PROPRIA'!$B$1:$I$808,5,0),""))</f>
        <v>UN</v>
      </c>
      <c r="M1240" s="104"/>
      <c r="N1240" s="105"/>
    </row>
    <row r="1241" spans="2:14" ht="27" customHeight="1">
      <c r="B1241" s="164"/>
      <c r="C1241" s="274">
        <v>93664</v>
      </c>
      <c r="D1241" s="275" t="s">
        <v>8</v>
      </c>
      <c r="E1241" s="668" t="str">
        <f>IFERROR(VLOOKUP($C1241,'SINAPI MAIO 2020'!$1:$1048576,2,0),IFERROR(VLOOKUP($C1241,'6-COMP. PROPRIA'!$B$28:$I$808,4,0),""))</f>
        <v>DISJUNTOR BIPOLAR TIPO DIN, CORRENTE NOMINAL DE 32A - FORNECIMENTO E INSTALAÇÃO. AF_04/2016</v>
      </c>
      <c r="F1241" s="669"/>
      <c r="G1241" s="669"/>
      <c r="H1241" s="669"/>
      <c r="I1241" s="669"/>
      <c r="J1241" s="670"/>
      <c r="K1241" s="212">
        <v>14</v>
      </c>
      <c r="L1241" s="239" t="str">
        <f>IFERROR(VLOOKUP($C1241,'SINAPI MAIO 2020'!$1:$1048576,3,0),IFERROR(VLOOKUP($C1241,'6-COMP. PROPRIA'!$B$1:$I$808,5,0),""))</f>
        <v>UN</v>
      </c>
      <c r="M1241" s="104"/>
      <c r="N1241" s="105"/>
    </row>
    <row r="1242" spans="2:14" ht="27" customHeight="1">
      <c r="B1242" s="164"/>
      <c r="C1242" s="274">
        <v>93663</v>
      </c>
      <c r="D1242" s="275" t="s">
        <v>8</v>
      </c>
      <c r="E1242" s="668" t="str">
        <f>IFERROR(VLOOKUP($C1242,'SINAPI MAIO 2020'!$1:$1048576,2,0),IFERROR(VLOOKUP($C1242,'6-COMP. PROPRIA'!$B$28:$I$808,4,0),""))</f>
        <v>DISJUNTOR BIPOLAR TIPO DIN, CORRENTE NOMINAL DE 25A - FORNECIMENTO E INSTALAÇÃO. AF_04/2016</v>
      </c>
      <c r="F1242" s="669"/>
      <c r="G1242" s="669"/>
      <c r="H1242" s="669"/>
      <c r="I1242" s="669"/>
      <c r="J1242" s="670"/>
      <c r="K1242" s="212">
        <v>1</v>
      </c>
      <c r="L1242" s="239" t="str">
        <f>IFERROR(VLOOKUP($C1242,'SINAPI MAIO 2020'!$1:$1048576,3,0),IFERROR(VLOOKUP($C1242,'6-COMP. PROPRIA'!$B$1:$I$808,5,0),""))</f>
        <v>UN</v>
      </c>
      <c r="M1242" s="104"/>
      <c r="N1242" s="105"/>
    </row>
    <row r="1243" spans="2:14" ht="27" customHeight="1">
      <c r="B1243" s="164"/>
      <c r="C1243" s="274">
        <v>93670</v>
      </c>
      <c r="D1243" s="275" t="s">
        <v>8</v>
      </c>
      <c r="E1243" s="668" t="str">
        <f>IFERROR(VLOOKUP($C1243,'SINAPI MAIO 2020'!$1:$1048576,2,0),IFERROR(VLOOKUP($C1243,'6-COMP. PROPRIA'!$B$28:$I$808,4,0),""))</f>
        <v>DISJUNTOR TRIPOLAR TIPO DIN, CORRENTE NOMINAL DE 25A - FORNECIMENTO E INSTALAÇÃO. AF_04/2016</v>
      </c>
      <c r="F1243" s="669"/>
      <c r="G1243" s="669"/>
      <c r="H1243" s="669"/>
      <c r="I1243" s="669"/>
      <c r="J1243" s="670"/>
      <c r="K1243" s="212">
        <v>2</v>
      </c>
      <c r="L1243" s="239" t="str">
        <f>IFERROR(VLOOKUP($C1243,'SINAPI MAIO 2020'!$1:$1048576,3,0),IFERROR(VLOOKUP($C1243,'6-COMP. PROPRIA'!$B$1:$I$808,5,0),""))</f>
        <v>UN</v>
      </c>
      <c r="M1243" s="104"/>
      <c r="N1243" s="105"/>
    </row>
    <row r="1244" spans="2:14" ht="27" customHeight="1">
      <c r="B1244" s="164"/>
      <c r="C1244" s="274">
        <v>93672</v>
      </c>
      <c r="D1244" s="275" t="s">
        <v>8</v>
      </c>
      <c r="E1244" s="668" t="str">
        <f>IFERROR(VLOOKUP($C1244,'SINAPI MAIO 2020'!$1:$1048576,2,0),IFERROR(VLOOKUP($C1244,'6-COMP. PROPRIA'!$B$28:$I$808,4,0),""))</f>
        <v>DISJUNTOR TRIPOLAR TIPO DIN, CORRENTE NOMINAL DE 40A - FORNECIMENTO E INSTALAÇÃO. AF_04/2016</v>
      </c>
      <c r="F1244" s="669"/>
      <c r="G1244" s="669"/>
      <c r="H1244" s="669"/>
      <c r="I1244" s="669"/>
      <c r="J1244" s="670"/>
      <c r="K1244" s="212">
        <v>2</v>
      </c>
      <c r="L1244" s="239" t="str">
        <f>IFERROR(VLOOKUP($C1244,'SINAPI MAIO 2020'!$1:$1048576,3,0),IFERROR(VLOOKUP($C1244,'6-COMP. PROPRIA'!$B$1:$I$808,5,0),""))</f>
        <v>UN</v>
      </c>
      <c r="M1244" s="104"/>
      <c r="N1244" s="105"/>
    </row>
    <row r="1245" spans="2:14" ht="27" customHeight="1">
      <c r="B1245" s="164"/>
      <c r="C1245" s="274" t="str">
        <f>'6-COMP. PROPRIA'!B341</f>
        <v>CP-ELE-1</v>
      </c>
      <c r="D1245" s="275" t="s">
        <v>980</v>
      </c>
      <c r="E1245" s="668" t="str">
        <f>IFERROR(VLOOKUP($C1245,'SINAPI MAIO 2020'!$1:$1048576,2,0),IFERROR(VLOOKUP($C1245,'6-COMP. PROPRIA'!$B$28:$I$808,4,0),""))</f>
        <v>DISJUNTOR TIPO DIN/IEC, TRIPOLAR 80 A</v>
      </c>
      <c r="F1245" s="669"/>
      <c r="G1245" s="669"/>
      <c r="H1245" s="669"/>
      <c r="I1245" s="669"/>
      <c r="J1245" s="670"/>
      <c r="K1245" s="212">
        <v>1</v>
      </c>
      <c r="L1245" s="239" t="str">
        <f>IFERROR(VLOOKUP($C1245,'SINAPI MAIO 2020'!$1:$1048576,3,0),IFERROR(VLOOKUP($C1245,'6-COMP. PROPRIA'!$B$1:$I$808,5,0),""))</f>
        <v>UN</v>
      </c>
      <c r="M1245" s="104"/>
      <c r="N1245" s="105"/>
    </row>
    <row r="1246" spans="2:14" ht="27" customHeight="1">
      <c r="B1246" s="164"/>
      <c r="C1246" s="274" t="str">
        <f>'6-COMP. PROPRIA'!B347</f>
        <v>CP-ELE-2</v>
      </c>
      <c r="D1246" s="275" t="s">
        <v>980</v>
      </c>
      <c r="E1246" s="668" t="str">
        <f>IFERROR(VLOOKUP($C1246,'SINAPI MAIO 2020'!$1:$1048576,2,0),IFERROR(VLOOKUP($C1246,'6-COMP. PROPRIA'!$B$28:$I$808,4,0),""))</f>
        <v>DISPOSITIVO DPS CLASSE II, 1 POLO, TENSAO MAXIMA DE 175 V, CORRENTE MAXIMA DE *45* KA (TIPO AC) - FORNECIMENTO E INSTALAÇAO</v>
      </c>
      <c r="F1246" s="669"/>
      <c r="G1246" s="669"/>
      <c r="H1246" s="669"/>
      <c r="I1246" s="669"/>
      <c r="J1246" s="670"/>
      <c r="K1246" s="212">
        <v>24</v>
      </c>
      <c r="L1246" s="239" t="str">
        <f>IFERROR(VLOOKUP($C1246,'SINAPI MAIO 2020'!$1:$1048576,3,0),IFERROR(VLOOKUP($C1246,'6-COMP. PROPRIA'!$B$1:$I$808,5,0),""))</f>
        <v>UNI</v>
      </c>
      <c r="M1246" s="104"/>
      <c r="N1246" s="105"/>
    </row>
    <row r="1247" spans="2:14" ht="27" customHeight="1">
      <c r="B1247" s="164"/>
      <c r="C1247" s="274" t="str">
        <f>'6-COMP. PROPRIA'!B352</f>
        <v>CP-ELE-3</v>
      </c>
      <c r="D1247" s="275" t="s">
        <v>980</v>
      </c>
      <c r="E1247" s="677" t="str">
        <f>IFERROR(VLOOKUP($C1247,'SINAPI MAIO 2020'!$1:$1048576,2,0),IFERROR(VLOOKUP($C1247,'6-COMP. PROPRIA'!$B$28:$I$808,4,0),""))</f>
        <v>DISPOSITIVO DR, 2 POLOS, SENSIBILIDADE DE 30 MA, CORRENTE DE 25 A, TIPO AC</v>
      </c>
      <c r="F1247" s="678" t="str">
        <f>IFERROR(VLOOKUP($C1247,'SINAPI MAIO 2020'!$1:$1048576,2,0),IFERROR(VLOOKUP($C1247,'6-COMP. PROPRIA'!$B$28:$I$808,4,0),""))</f>
        <v>DISPOSITIVO DR, 2 POLOS, SENSIBILIDADE DE 30 MA, CORRENTE DE 25 A, TIPO AC</v>
      </c>
      <c r="G1247" s="678" t="str">
        <f>IFERROR(VLOOKUP($C1247,'SINAPI MAIO 2020'!$1:$1048576,2,0),IFERROR(VLOOKUP($C1247,'6-COMP. PROPRIA'!$B$28:$I$808,4,0),""))</f>
        <v>DISPOSITIVO DR, 2 POLOS, SENSIBILIDADE DE 30 MA, CORRENTE DE 25 A, TIPO AC</v>
      </c>
      <c r="H1247" s="678" t="str">
        <f>IFERROR(VLOOKUP($C1247,'SINAPI MAIO 2020'!$1:$1048576,2,0),IFERROR(VLOOKUP($C1247,'6-COMP. PROPRIA'!$B$28:$I$808,4,0),""))</f>
        <v>DISPOSITIVO DR, 2 POLOS, SENSIBILIDADE DE 30 MA, CORRENTE DE 25 A, TIPO AC</v>
      </c>
      <c r="I1247" s="678" t="str">
        <f>IFERROR(VLOOKUP($C1247,'SINAPI MAIO 2020'!$1:$1048576,2,0),IFERROR(VLOOKUP($C1247,'6-COMP. PROPRIA'!$B$28:$I$808,4,0),""))</f>
        <v>DISPOSITIVO DR, 2 POLOS, SENSIBILIDADE DE 30 MA, CORRENTE DE 25 A, TIPO AC</v>
      </c>
      <c r="J1247" s="679" t="str">
        <f>IFERROR(VLOOKUP($C1247,'SINAPI MAIO 2020'!$1:$1048576,2,0),IFERROR(VLOOKUP($C1247,'6-COMP. PROPRIA'!$B$28:$I$808,4,0),""))</f>
        <v>DISPOSITIVO DR, 2 POLOS, SENSIBILIDADE DE 30 MA, CORRENTE DE 25 A, TIPO AC</v>
      </c>
      <c r="K1247" s="212">
        <v>1</v>
      </c>
      <c r="L1247" s="239" t="str">
        <f>IFERROR(VLOOKUP($C1247,'SINAPI MAIO 2020'!$1:$1048576,3,0),IFERROR(VLOOKUP($C1247,'6-COMP. PROPRIA'!$B$1:$I$808,5,0),""))</f>
        <v>UN</v>
      </c>
      <c r="M1247" s="104"/>
      <c r="N1247" s="105"/>
    </row>
    <row r="1248" spans="2:14" ht="27" customHeight="1">
      <c r="B1248" s="164"/>
      <c r="C1248" s="274" t="str">
        <f>'6-COMP. PROPRIA'!B358</f>
        <v>CP-ELE-4</v>
      </c>
      <c r="D1248" s="275" t="s">
        <v>980</v>
      </c>
      <c r="E1248" s="677" t="str">
        <f>IFERROR(VLOOKUP($C1248,'SINAPI MAIO 2020'!$1:$1048576,2,0),IFERROR(VLOOKUP($C1248,'6-COMP. PROPRIA'!$B$28:$I$808,4,0),""))</f>
        <v>DISPOSITIVO DR, 2 POLOS, SENSIBILIDADE DE 30 MA, CORRENTE DE 40 A, TIPO AC</v>
      </c>
      <c r="F1248" s="678" t="str">
        <f>IFERROR(VLOOKUP($C1248,'SINAPI MAIO 2020'!$1:$1048576,2,0),IFERROR(VLOOKUP($C1248,'6-COMP. PROPRIA'!$B$28:$I$808,4,0),""))</f>
        <v>DISPOSITIVO DR, 2 POLOS, SENSIBILIDADE DE 30 MA, CORRENTE DE 40 A, TIPO AC</v>
      </c>
      <c r="G1248" s="678" t="str">
        <f>IFERROR(VLOOKUP($C1248,'SINAPI MAIO 2020'!$1:$1048576,2,0),IFERROR(VLOOKUP($C1248,'6-COMP. PROPRIA'!$B$28:$I$808,4,0),""))</f>
        <v>DISPOSITIVO DR, 2 POLOS, SENSIBILIDADE DE 30 MA, CORRENTE DE 40 A, TIPO AC</v>
      </c>
      <c r="H1248" s="678" t="str">
        <f>IFERROR(VLOOKUP($C1248,'SINAPI MAIO 2020'!$1:$1048576,2,0),IFERROR(VLOOKUP($C1248,'6-COMP. PROPRIA'!$B$28:$I$808,4,0),""))</f>
        <v>DISPOSITIVO DR, 2 POLOS, SENSIBILIDADE DE 30 MA, CORRENTE DE 40 A, TIPO AC</v>
      </c>
      <c r="I1248" s="678" t="str">
        <f>IFERROR(VLOOKUP($C1248,'SINAPI MAIO 2020'!$1:$1048576,2,0),IFERROR(VLOOKUP($C1248,'6-COMP. PROPRIA'!$B$28:$I$808,4,0),""))</f>
        <v>DISPOSITIVO DR, 2 POLOS, SENSIBILIDADE DE 30 MA, CORRENTE DE 40 A, TIPO AC</v>
      </c>
      <c r="J1248" s="679" t="str">
        <f>IFERROR(VLOOKUP($C1248,'SINAPI MAIO 2020'!$1:$1048576,2,0),IFERROR(VLOOKUP($C1248,'6-COMP. PROPRIA'!$B$28:$I$808,4,0),""))</f>
        <v>DISPOSITIVO DR, 2 POLOS, SENSIBILIDADE DE 30 MA, CORRENTE DE 40 A, TIPO AC</v>
      </c>
      <c r="K1248" s="212">
        <v>2</v>
      </c>
      <c r="L1248" s="239" t="str">
        <f>IFERROR(VLOOKUP($C1248,'SINAPI MAIO 2020'!$1:$1048576,3,0),IFERROR(VLOOKUP($C1248,'6-COMP. PROPRIA'!$B$1:$I$808,5,0),""))</f>
        <v>UN</v>
      </c>
      <c r="M1248" s="104"/>
      <c r="N1248" s="105"/>
    </row>
    <row r="1249" spans="2:14" ht="33" customHeight="1">
      <c r="B1249" s="164"/>
      <c r="C1249" s="274">
        <v>91836</v>
      </c>
      <c r="D1249" s="275" t="s">
        <v>8</v>
      </c>
      <c r="E1249" s="668" t="str">
        <f>IFERROR(VLOOKUP($C1249,'SINAPI MAIO 2020'!$1:$1048576,2,0),IFERROR(VLOOKUP($C1249,'6-COMP. PROPRIA'!$B$28:$I$808,4,0),""))</f>
        <v>ELETRODUTO FLEXÍVEL CORRUGADO, PVC, DN 32 MM (1"), PARA CIRCUITOS TERMINAIS, INSTALADO EM FORRO - FORNECIMENTO E INSTALAÇÃO. AF_12/2015</v>
      </c>
      <c r="F1249" s="669"/>
      <c r="G1249" s="669"/>
      <c r="H1249" s="669"/>
      <c r="I1249" s="669"/>
      <c r="J1249" s="670"/>
      <c r="K1249" s="212">
        <v>26.1</v>
      </c>
      <c r="L1249" s="239" t="str">
        <f>IFERROR(VLOOKUP($C1249,'SINAPI MAIO 2020'!$1:$1048576,3,0),IFERROR(VLOOKUP($C1249,'6-COMP. PROPRIA'!$B$1:$I$808,5,0),""))</f>
        <v>M</v>
      </c>
      <c r="M1249" s="104"/>
      <c r="N1249" s="105"/>
    </row>
    <row r="1250" spans="2:14" ht="29.25" customHeight="1">
      <c r="B1250" s="164"/>
      <c r="C1250" s="274">
        <v>91854</v>
      </c>
      <c r="D1250" s="275" t="s">
        <v>8</v>
      </c>
      <c r="E1250" s="668" t="str">
        <f>IFERROR(VLOOKUP($C1250,'SINAPI MAIO 2020'!$1:$1048576,2,0),IFERROR(VLOOKUP($C1250,'6-COMP. PROPRIA'!$B$28:$I$808,4,0),""))</f>
        <v>ELETRODUTO FLEXÍVEL CORRUGADO, PVC, DN 25 MM (3/4"), PARA CIRCUITOS TERMINAIS, INSTALADO EM PAREDE - FORNECIMENTO E INSTALAÇÃO. AF_12/2015</v>
      </c>
      <c r="F1250" s="669"/>
      <c r="G1250" s="669"/>
      <c r="H1250" s="669"/>
      <c r="I1250" s="669"/>
      <c r="J1250" s="670"/>
      <c r="K1250" s="212">
        <v>190</v>
      </c>
      <c r="L1250" s="239" t="str">
        <f>IFERROR(VLOOKUP($C1250,'SINAPI MAIO 2020'!$1:$1048576,3,0),IFERROR(VLOOKUP($C1250,'6-COMP. PROPRIA'!$B$1:$I$808,5,0),""))</f>
        <v>M</v>
      </c>
      <c r="M1250" s="104"/>
      <c r="N1250" s="105"/>
    </row>
    <row r="1251" spans="2:14" ht="29.25" customHeight="1">
      <c r="B1251" s="164"/>
      <c r="C1251" s="274">
        <v>91834</v>
      </c>
      <c r="D1251" s="275" t="s">
        <v>8</v>
      </c>
      <c r="E1251" s="668" t="str">
        <f>IFERROR(VLOOKUP($C1251,'SINAPI MAIO 2020'!$1:$1048576,2,0),IFERROR(VLOOKUP($C1251,'6-COMP. PROPRIA'!$B$28:$I$808,4,0),""))</f>
        <v>ELETRODUTO FLEXÍVEL CORRUGADO, PVC, DN 25 MM (3/4"), PARA CIRCUITOS TERMINAIS, INSTALADO EM FORRO - FORNECIMENTO E INSTALAÇÃO. AF_12/2015</v>
      </c>
      <c r="F1251" s="669"/>
      <c r="G1251" s="669"/>
      <c r="H1251" s="669"/>
      <c r="I1251" s="669"/>
      <c r="J1251" s="670"/>
      <c r="K1251" s="212">
        <f>684.1-190</f>
        <v>494.1</v>
      </c>
      <c r="L1251" s="239" t="str">
        <f>IFERROR(VLOOKUP($C1251,'SINAPI MAIO 2020'!$1:$1048576,3,0),IFERROR(VLOOKUP($C1251,'6-COMP. PROPRIA'!$B$1:$I$808,5,0),""))</f>
        <v>M</v>
      </c>
      <c r="M1251" s="104"/>
      <c r="N1251" s="105"/>
    </row>
    <row r="1252" spans="2:14" ht="29.25" customHeight="1">
      <c r="B1252" s="164"/>
      <c r="C1252" s="274">
        <v>93008</v>
      </c>
      <c r="D1252" s="275" t="s">
        <v>8</v>
      </c>
      <c r="E1252" s="668" t="str">
        <f>IFERROR(VLOOKUP($C1252,'SINAPI MAIO 2020'!$1:$1048576,2,0),IFERROR(VLOOKUP($C1252,'6-COMP. PROPRIA'!$B$28:$I$808,4,0),""))</f>
        <v>ELETRODUTO RÍGIDO ROSCÁVEL, PVC, DN 50 MM (1 1/2") - FORNECIMENTO E INSTALAÇÃO. AF_12/2015</v>
      </c>
      <c r="F1252" s="669"/>
      <c r="G1252" s="669"/>
      <c r="H1252" s="669"/>
      <c r="I1252" s="669"/>
      <c r="J1252" s="670"/>
      <c r="K1252" s="212">
        <v>59.96</v>
      </c>
      <c r="L1252" s="239" t="str">
        <f>IFERROR(VLOOKUP($C1252,'SINAPI MAIO 2020'!$1:$1048576,3,0),IFERROR(VLOOKUP($C1252,'6-COMP. PROPRIA'!$B$1:$I$808,5,0),""))</f>
        <v>M</v>
      </c>
      <c r="M1252" s="104"/>
      <c r="N1252" s="105"/>
    </row>
    <row r="1253" spans="2:14" ht="29.25" customHeight="1">
      <c r="B1253" s="164"/>
      <c r="C1253" s="274">
        <v>93009</v>
      </c>
      <c r="D1253" s="275" t="s">
        <v>8</v>
      </c>
      <c r="E1253" s="668" t="str">
        <f>IFERROR(VLOOKUP($C1253,'SINAPI MAIO 2020'!$1:$1048576,2,0),IFERROR(VLOOKUP($C1253,'6-COMP. PROPRIA'!$B$28:$I$808,4,0),""))</f>
        <v>ELETRODUTO RÍGIDO ROSCÁVEL, PVC, DN 60 MM (2") - FORNECIMENTO E INSTALAÇÃO. AF_12/2015</v>
      </c>
      <c r="F1253" s="669"/>
      <c r="G1253" s="669"/>
      <c r="H1253" s="669"/>
      <c r="I1253" s="669"/>
      <c r="J1253" s="670"/>
      <c r="K1253" s="212">
        <v>5.51</v>
      </c>
      <c r="L1253" s="239" t="str">
        <f>IFERROR(VLOOKUP($C1253,'SINAPI MAIO 2020'!$1:$1048576,3,0),IFERROR(VLOOKUP($C1253,'6-COMP. PROPRIA'!$B$1:$I$808,5,0),""))</f>
        <v>M</v>
      </c>
      <c r="M1253" s="104"/>
      <c r="N1253" s="105"/>
    </row>
    <row r="1254" spans="2:14" ht="29.25" customHeight="1">
      <c r="B1254" s="164"/>
      <c r="C1254" s="274">
        <v>93011</v>
      </c>
      <c r="D1254" s="275" t="s">
        <v>8</v>
      </c>
      <c r="E1254" s="668" t="str">
        <f>IFERROR(VLOOKUP($C1254,'SINAPI MAIO 2020'!$1:$1048576,2,0),IFERROR(VLOOKUP($C1254,'6-COMP. PROPRIA'!$B$28:$I$808,4,0),""))</f>
        <v>ELETRODUTO RÍGIDO ROSCÁVEL, PVC, DN 85 MM (3") - FORNECIMENTO E INSTALAÇÃO. AF_12/2015</v>
      </c>
      <c r="F1254" s="669"/>
      <c r="G1254" s="669"/>
      <c r="H1254" s="669"/>
      <c r="I1254" s="669"/>
      <c r="J1254" s="670"/>
      <c r="K1254" s="212">
        <v>17.57</v>
      </c>
      <c r="L1254" s="239" t="str">
        <f>IFERROR(VLOOKUP($C1254,'SINAPI MAIO 2020'!$1:$1048576,3,0),IFERROR(VLOOKUP($C1254,'6-COMP. PROPRIA'!$B$1:$I$808,5,0),""))</f>
        <v>M</v>
      </c>
      <c r="M1254" s="104"/>
      <c r="N1254" s="105"/>
    </row>
    <row r="1255" spans="2:14" s="391" customFormat="1" ht="51" customHeight="1">
      <c r="B1255" s="390"/>
      <c r="C1255" s="274" t="s">
        <v>4407</v>
      </c>
      <c r="D1255" s="275" t="s">
        <v>8</v>
      </c>
      <c r="E1255" s="668" t="str">
        <f>IFERROR(VLOOKUP($C1255,'SINAPI MAIO 2020'!$1:$1048576,2,0),IFERROR(VLOOKUP($C1255,'6-COMP. PROPRIA'!$B$28:$I$808,4,0),""))</f>
        <v>QUADRO DE DISTRIBUICAO DE ENERGIA DE EMBUTIR, EM CHAPA METALICA, PARA 18 DISJUNTORES TERMOMAGNETICOS MONOPOLARES, COM BARRAMENTO TRIFASICO E NEUTRO, FORNECIMENTO E INSTALACAO</v>
      </c>
      <c r="F1255" s="669"/>
      <c r="G1255" s="669"/>
      <c r="H1255" s="669"/>
      <c r="I1255" s="669"/>
      <c r="J1255" s="670"/>
      <c r="K1255" s="212">
        <v>2</v>
      </c>
      <c r="L1255" s="50" t="str">
        <f>IFERROR(VLOOKUP($C1255,'SINAPI MAIO 2020'!$1:$1048576,3,0),IFERROR(VLOOKUP($C1255,'6-COMP. PROPRIA'!$B$1:$I$808,5,0),""))</f>
        <v>UN</v>
      </c>
      <c r="M1255" s="262"/>
      <c r="N1255" s="245"/>
    </row>
    <row r="1256" spans="2:14" s="391" customFormat="1" ht="49.5" customHeight="1">
      <c r="B1256" s="390"/>
      <c r="C1256" s="274" t="s">
        <v>4408</v>
      </c>
      <c r="D1256" s="275" t="s">
        <v>8</v>
      </c>
      <c r="E1256" s="668" t="str">
        <f>IFERROR(VLOOKUP($C1256,'SINAPI MAIO 2020'!$1:$1048576,2,0),IFERROR(VLOOKUP($C1256,'6-COMP. PROPRIA'!$B$28:$I$808,4,0),""))</f>
        <v>QUADRO DE DISTRIBUICAO DE ENERGIA DE EMBUTIR, EM CHAPA METALICA, PARA 24 DISJUNTORES TERMOMAGNETICOS MONOPOLARES, COM BARRAMENTO TRIFASICO E NEUTRO, FORNECIMENTO E INSTALACAO</v>
      </c>
      <c r="F1256" s="669"/>
      <c r="G1256" s="669"/>
      <c r="H1256" s="669"/>
      <c r="I1256" s="669"/>
      <c r="J1256" s="670"/>
      <c r="K1256" s="212">
        <v>3</v>
      </c>
      <c r="L1256" s="50" t="str">
        <f>IFERROR(VLOOKUP($C1256,'SINAPI MAIO 2020'!$1:$1048576,3,0),IFERROR(VLOOKUP($C1256,'6-COMP. PROPRIA'!$B$1:$I$808,5,0),""))</f>
        <v>UN</v>
      </c>
      <c r="M1256" s="262"/>
      <c r="N1256" s="245"/>
    </row>
    <row r="1257" spans="2:14" ht="29.25" customHeight="1">
      <c r="B1257" s="164"/>
      <c r="C1257" s="274" t="str">
        <f>'6-COMP. PROPRIA'!B364</f>
        <v>CP-ELE-6</v>
      </c>
      <c r="D1257" s="275" t="s">
        <v>980</v>
      </c>
      <c r="E1257" s="668" t="str">
        <f>IFERROR(VLOOKUP($C1257,'SINAPI MAIO 2020'!$1:$1048576,2,0),IFERROR(VLOOKUP($C1257,'6-COMP. PROPRIA'!$B$28:$I$808,4,0),""))</f>
        <v>LUMINARIA DE TETO PLAFON/PLAFONIER EM PLASTICO COM BASE E27, POTENCIA MAXIMA 45 W (INCLUI LAMPADA) - FORNECIMENTO E INSTALAÇÃO</v>
      </c>
      <c r="F1257" s="669"/>
      <c r="G1257" s="669"/>
      <c r="H1257" s="669"/>
      <c r="I1257" s="669"/>
      <c r="J1257" s="670"/>
      <c r="K1257" s="212">
        <v>104</v>
      </c>
      <c r="L1257" s="239" t="str">
        <f>IFERROR(VLOOKUP($C1257,'SINAPI MAIO 2020'!$1:$1048576,3,0),IFERROR(VLOOKUP($C1257,'6-COMP. PROPRIA'!$B$1:$I$808,5,0),""))</f>
        <v>UNI</v>
      </c>
      <c r="M1257" s="104"/>
      <c r="N1257" s="105"/>
    </row>
    <row r="1258" spans="2:14" ht="29.25" customHeight="1">
      <c r="B1258" s="164"/>
      <c r="C1258" s="274" t="str">
        <f>'6-COMP. PROPRIA'!B370</f>
        <v>CP-ELE-7</v>
      </c>
      <c r="D1258" s="275" t="s">
        <v>980</v>
      </c>
      <c r="E1258" s="668" t="str">
        <f>IFERROR(VLOOKUP($C1258,'SINAPI MAIO 2020'!$1:$1048576,2,0),IFERROR(VLOOKUP($C1258,'6-COMP. PROPRIA'!$B$28:$I$808,4,0),""))</f>
        <v>VENTILADOR DE TETO SIMPLES - FORNECIMENTO E INSTALAÇÃO</v>
      </c>
      <c r="F1258" s="669"/>
      <c r="G1258" s="669"/>
      <c r="H1258" s="669"/>
      <c r="I1258" s="669"/>
      <c r="J1258" s="670"/>
      <c r="K1258" s="212">
        <v>32</v>
      </c>
      <c r="L1258" s="239" t="str">
        <f>IFERROR(VLOOKUP($C1258,'SINAPI MAIO 2020'!$1:$1048576,3,0),IFERROR(VLOOKUP($C1258,'6-COMP. PROPRIA'!$B$1:$I$808,5,0),""))</f>
        <v>UNI</v>
      </c>
      <c r="M1258" s="104"/>
      <c r="N1258" s="105"/>
    </row>
    <row r="1259" spans="2:14" ht="17.25" customHeight="1" thickBot="1">
      <c r="B1259" s="164"/>
      <c r="C1259" s="20"/>
      <c r="D1259" s="20"/>
      <c r="E1259" s="238"/>
      <c r="F1259" s="312"/>
      <c r="G1259" s="312"/>
      <c r="H1259" s="312"/>
      <c r="I1259" s="312"/>
      <c r="J1259" s="103"/>
      <c r="K1259" s="211"/>
      <c r="L1259" s="239" t="str">
        <f>IFERROR(VLOOKUP($C1259,'SINAPI MAIO 2020'!$1:$1048576,3,0),IFERROR(VLOOKUP($C1259,'6-COMP. PROPRIA'!$B$1:$I$808,5,0),""))</f>
        <v/>
      </c>
      <c r="M1259" s="104"/>
      <c r="N1259" s="105"/>
    </row>
    <row r="1260" spans="2:14" ht="17.25" customHeight="1" thickBot="1">
      <c r="B1260" s="168"/>
      <c r="C1260" s="91"/>
      <c r="D1260" s="91"/>
      <c r="E1260" s="674" t="s">
        <v>7153</v>
      </c>
      <c r="F1260" s="675"/>
      <c r="G1260" s="675"/>
      <c r="H1260" s="675"/>
      <c r="I1260" s="675"/>
      <c r="J1260" s="676"/>
      <c r="K1260" s="211"/>
      <c r="L1260" s="239" t="str">
        <f>IFERROR(VLOOKUP($C1260,'SINAPI MAIO 2020'!$1:$1048576,3,0),IFERROR(VLOOKUP($C1260,'6-COMP. PROPRIA'!$B$1:$I$808,5,0),""))</f>
        <v/>
      </c>
      <c r="M1260" s="104"/>
      <c r="N1260" s="105"/>
    </row>
    <row r="1261" spans="2:14" ht="17.25" customHeight="1">
      <c r="B1261" s="168"/>
      <c r="C1261" s="91"/>
      <c r="D1261" s="91"/>
      <c r="E1261" s="238"/>
      <c r="F1261" s="333"/>
      <c r="G1261" s="333"/>
      <c r="H1261" s="333"/>
      <c r="I1261" s="333"/>
      <c r="J1261" s="103"/>
      <c r="K1261" s="211"/>
      <c r="L1261" s="239"/>
      <c r="M1261" s="104"/>
      <c r="N1261" s="105"/>
    </row>
    <row r="1262" spans="2:14" ht="17.25" customHeight="1">
      <c r="B1262" s="164"/>
      <c r="C1262" s="20"/>
      <c r="D1262" s="20"/>
      <c r="E1262" s="671" t="s">
        <v>12927</v>
      </c>
      <c r="F1262" s="672"/>
      <c r="G1262" s="672"/>
      <c r="H1262" s="672"/>
      <c r="I1262" s="672"/>
      <c r="J1262" s="673"/>
      <c r="K1262" s="211"/>
      <c r="L1262" s="239" t="str">
        <f>IFERROR(VLOOKUP($C1262,'SINAPI MAIO 2020'!$1:$1048576,3,0),IFERROR(VLOOKUP($C1262,'6-COMP. PROPRIA'!$B$1:$I$808,5,0),""))</f>
        <v/>
      </c>
      <c r="M1262" s="104"/>
      <c r="N1262" s="105"/>
    </row>
    <row r="1263" spans="2:14" s="340" customFormat="1" ht="17.25" customHeight="1">
      <c r="B1263" s="339"/>
      <c r="C1263" s="274" t="str">
        <f>'6-COMP. PROPRIA'!B378</f>
        <v>CP-ELE-8</v>
      </c>
      <c r="D1263" s="275" t="s">
        <v>7152</v>
      </c>
      <c r="E1263" s="668" t="str">
        <f>IFERROR(VLOOKUP($C1263,'SINAPI MAIO 2020'!$1:$1048576,2,0),IFERROR(VLOOKUP($C1263,'6-COMP. PROPRIA'!$B$28:$I$808,4,0),""))</f>
        <v xml:space="preserve">DISPOSITIVO DE PROTEÇÃO CONTRA SURTO - 175V - 40KA </v>
      </c>
      <c r="F1263" s="669"/>
      <c r="G1263" s="669"/>
      <c r="H1263" s="669"/>
      <c r="I1263" s="669"/>
      <c r="J1263" s="670"/>
      <c r="K1263" s="212">
        <v>4</v>
      </c>
      <c r="L1263" s="239" t="str">
        <f>IFERROR(VLOOKUP($C1263,'SINAPI MAIO 2020'!$1:$1048576,3,0),IFERROR(VLOOKUP($C1263,'6-COMP. PROPRIA'!$B$1:$I$808,5,0),""))</f>
        <v>UNI</v>
      </c>
      <c r="M1263" s="145"/>
    </row>
    <row r="1264" spans="2:14" s="340" customFormat="1" ht="17.25" customHeight="1">
      <c r="B1264" s="339"/>
      <c r="C1264" s="274" t="str">
        <f>'6-COMP. PROPRIA'!B383</f>
        <v>CP-ELE-9</v>
      </c>
      <c r="D1264" s="275" t="s">
        <v>7152</v>
      </c>
      <c r="E1264" s="668" t="str">
        <f>IFERROR(VLOOKUP($C1264,'SINAPI MAIO 2020'!$1:$1048576,2,0),IFERROR(VLOOKUP($C1264,'6-COMP. PROPRIA'!$B$28:$I$808,4,0),""))</f>
        <v>DISJUNTOR TERMOMAGNETICO TRIPOLAR 125A</v>
      </c>
      <c r="F1264" s="669"/>
      <c r="G1264" s="669"/>
      <c r="H1264" s="669"/>
      <c r="I1264" s="669"/>
      <c r="J1264" s="670"/>
      <c r="K1264" s="212">
        <v>2</v>
      </c>
      <c r="L1264" s="239" t="str">
        <f>IFERROR(VLOOKUP($C1264,'SINAPI MAIO 2020'!$1:$1048576,3,0),IFERROR(VLOOKUP($C1264,'6-COMP. PROPRIA'!$B$1:$I$808,5,0),""))</f>
        <v>UN</v>
      </c>
      <c r="M1264" s="145"/>
    </row>
    <row r="1265" spans="2:13" s="340" customFormat="1" ht="17.25" customHeight="1">
      <c r="B1265" s="339"/>
      <c r="C1265" s="274" t="str">
        <f>'6-COMP. PROPRIA'!B388</f>
        <v>CP-ELE-11</v>
      </c>
      <c r="D1265" s="275" t="s">
        <v>7152</v>
      </c>
      <c r="E1265" s="668" t="str">
        <f>IFERROR(VLOOKUP($C1265,'SINAPI MAIO 2020'!$1:$1048576,2,0),IFERROR(VLOOKUP($C1265,'6-COMP. PROPRIA'!$B$28:$I$808,4,0),""))</f>
        <v>Quadro de distribuição geral tipo quadro de comando (QGBT) metálico de 600x1000x200</v>
      </c>
      <c r="F1265" s="669"/>
      <c r="G1265" s="669"/>
      <c r="H1265" s="669"/>
      <c r="I1265" s="669"/>
      <c r="J1265" s="670"/>
      <c r="K1265" s="212">
        <v>1</v>
      </c>
      <c r="L1265" s="239" t="str">
        <f>IFERROR(VLOOKUP($C1265,'SINAPI MAIO 2020'!$1:$1048576,3,0),IFERROR(VLOOKUP($C1265,'6-COMP. PROPRIA'!$B$1:$I$808,5,0),""))</f>
        <v>PÇ</v>
      </c>
      <c r="M1265" s="145"/>
    </row>
    <row r="1266" spans="2:13" s="340" customFormat="1" ht="28.5" customHeight="1">
      <c r="B1266" s="339"/>
      <c r="C1266" s="274" t="str">
        <f>'6-COMP. PROPRIA'!B393</f>
        <v>CP-ELE-12</v>
      </c>
      <c r="D1266" s="275" t="s">
        <v>7152</v>
      </c>
      <c r="E1266" s="668" t="str">
        <f>IFERROR(VLOOKUP($C1266,'SINAPI MAIO 2020'!$1:$1048576,2,0),IFERROR(VLOOKUP($C1266,'6-COMP. PROPRIA'!$B$28:$I$808,4,0),""))</f>
        <v>Barramento de cobre para 400A</v>
      </c>
      <c r="F1266" s="669"/>
      <c r="G1266" s="669"/>
      <c r="H1266" s="669"/>
      <c r="I1266" s="669"/>
      <c r="J1266" s="670"/>
      <c r="K1266" s="212">
        <v>3</v>
      </c>
      <c r="L1266" s="239" t="str">
        <f>IFERROR(VLOOKUP($C1266,'SINAPI MAIO 2020'!$1:$1048576,3,0),IFERROR(VLOOKUP($C1266,'6-COMP. PROPRIA'!$B$1:$I$808,5,0),""))</f>
        <v>M</v>
      </c>
      <c r="M1266" s="145"/>
    </row>
    <row r="1267" spans="2:13" s="340" customFormat="1" ht="28.5" customHeight="1">
      <c r="B1267" s="339"/>
      <c r="C1267" s="274">
        <v>93670</v>
      </c>
      <c r="D1267" s="275" t="s">
        <v>8</v>
      </c>
      <c r="E1267" s="668" t="str">
        <f>IFERROR(VLOOKUP($C1267,'SINAPI MAIO 2020'!$1:$1048576,2,0),IFERROR(VLOOKUP($C1267,'6-COMP. PROPRIA'!$B$28:$I$808,4,0),""))</f>
        <v>DISJUNTOR TRIPOLAR TIPO DIN, CORRENTE NOMINAL DE 25A - FORNECIMENTO E INSTALAÇÃO. AF_04/2016</v>
      </c>
      <c r="F1267" s="669"/>
      <c r="G1267" s="669"/>
      <c r="H1267" s="669"/>
      <c r="I1267" s="669"/>
      <c r="J1267" s="670"/>
      <c r="K1267" s="212">
        <v>1</v>
      </c>
      <c r="L1267" s="239" t="str">
        <f>IFERROR(VLOOKUP($C1267,'SINAPI MAIO 2020'!$1:$1048576,3,0),IFERROR(VLOOKUP($C1267,'6-COMP. PROPRIA'!$B$1:$I$808,5,0),""))</f>
        <v>UN</v>
      </c>
      <c r="M1267" s="145"/>
    </row>
    <row r="1268" spans="2:13" s="340" customFormat="1" ht="28.5" customHeight="1">
      <c r="B1268" s="339"/>
      <c r="C1268" s="274">
        <v>93672</v>
      </c>
      <c r="D1268" s="275" t="s">
        <v>8</v>
      </c>
      <c r="E1268" s="668" t="str">
        <f>IFERROR(VLOOKUP($C1268,'SINAPI MAIO 2020'!$1:$1048576,2,0),IFERROR(VLOOKUP($C1268,'6-COMP. PROPRIA'!$B$28:$I$808,4,0),""))</f>
        <v>DISJUNTOR TRIPOLAR TIPO DIN, CORRENTE NOMINAL DE 40A - FORNECIMENTO E INSTALAÇÃO. AF_04/2016</v>
      </c>
      <c r="F1268" s="669"/>
      <c r="G1268" s="669"/>
      <c r="H1268" s="669"/>
      <c r="I1268" s="669"/>
      <c r="J1268" s="670"/>
      <c r="K1268" s="212">
        <v>2</v>
      </c>
      <c r="L1268" s="239" t="str">
        <f>IFERROR(VLOOKUP($C1268,'SINAPI MAIO 2020'!$1:$1048576,3,0),IFERROR(VLOOKUP($C1268,'6-COMP. PROPRIA'!$B$1:$I$808,5,0),""))</f>
        <v>UN</v>
      </c>
      <c r="M1268" s="145"/>
    </row>
    <row r="1269" spans="2:13" s="340" customFormat="1" ht="17.25" customHeight="1">
      <c r="B1269" s="339"/>
      <c r="C1269" s="274" t="str">
        <f>'6-COMP. PROPRIA'!B594</f>
        <v>CP-ELE-51</v>
      </c>
      <c r="D1269" s="275" t="s">
        <v>7152</v>
      </c>
      <c r="E1269" s="668" t="str">
        <f>IFERROR(VLOOKUP($C1269,'SINAPI MAIO 2020'!$1:$1048576,2,0),IFERROR(VLOOKUP($C1269,'6-COMP. PROPRIA'!$B$28:$I$808,4,0),""))</f>
        <v>Mureta em alvenaria 1 vez dim 3,00x1,20metros para QGBT</v>
      </c>
      <c r="F1269" s="669"/>
      <c r="G1269" s="669"/>
      <c r="H1269" s="669"/>
      <c r="I1269" s="669"/>
      <c r="J1269" s="670"/>
      <c r="K1269" s="212">
        <v>1</v>
      </c>
      <c r="L1269" s="239" t="str">
        <f>IFERROR(VLOOKUP($C1269,'SINAPI MAIO 2020'!$1:$1048576,3,0),IFERROR(VLOOKUP($C1269,'6-COMP. PROPRIA'!$B$1:$I$808,5,0),""))</f>
        <v>UNI</v>
      </c>
      <c r="M1269" s="145"/>
    </row>
    <row r="1270" spans="2:13" s="340" customFormat="1" ht="17.25" customHeight="1">
      <c r="B1270" s="339"/>
      <c r="C1270" s="293"/>
      <c r="D1270" s="289"/>
      <c r="E1270" s="238"/>
      <c r="F1270" s="406"/>
      <c r="G1270" s="406"/>
      <c r="H1270" s="406"/>
      <c r="I1270" s="406"/>
      <c r="J1270" s="103"/>
      <c r="K1270" s="337"/>
      <c r="L1270" s="51"/>
      <c r="M1270" s="145"/>
    </row>
    <row r="1271" spans="2:13" s="340" customFormat="1" ht="17.25" customHeight="1">
      <c r="B1271" s="339"/>
      <c r="C1271" s="293"/>
      <c r="D1271" s="289"/>
      <c r="E1271" s="238"/>
      <c r="F1271" s="406"/>
      <c r="G1271" s="406"/>
      <c r="H1271" s="406"/>
      <c r="I1271" s="406"/>
      <c r="J1271" s="103"/>
      <c r="K1271" s="337"/>
      <c r="L1271" s="51"/>
      <c r="M1271" s="145"/>
    </row>
    <row r="1272" spans="2:13" s="340" customFormat="1" ht="19.5" customHeight="1">
      <c r="B1272" s="339"/>
      <c r="C1272" s="91"/>
      <c r="D1272" s="91"/>
      <c r="E1272" s="671" t="s">
        <v>12477</v>
      </c>
      <c r="F1272" s="672"/>
      <c r="G1272" s="672"/>
      <c r="H1272" s="672"/>
      <c r="I1272" s="672"/>
      <c r="J1272" s="673"/>
      <c r="K1272" s="336"/>
      <c r="L1272" s="51"/>
      <c r="M1272" s="145"/>
    </row>
    <row r="1273" spans="2:13" s="340" customFormat="1" ht="17.25" customHeight="1">
      <c r="B1273" s="339"/>
      <c r="C1273" s="91"/>
      <c r="D1273" s="91"/>
      <c r="E1273" s="238"/>
      <c r="F1273" s="333"/>
      <c r="G1273" s="333"/>
      <c r="H1273" s="333"/>
      <c r="I1273" s="333"/>
      <c r="J1273" s="103"/>
      <c r="K1273" s="336"/>
      <c r="L1273" s="51"/>
      <c r="M1273" s="145"/>
    </row>
    <row r="1274" spans="2:13" s="340" customFormat="1" ht="17.25" customHeight="1">
      <c r="B1274" s="339"/>
      <c r="C1274" s="274" t="str">
        <f>'6-COMP. PROPRIA'!B398</f>
        <v>CP-ELE-13</v>
      </c>
      <c r="D1274" s="275" t="s">
        <v>7152</v>
      </c>
      <c r="E1274" s="668" t="str">
        <f>IFERROR(VLOOKUP($C1274,'SINAPI MAIO 2020'!$1:$1048576,2,0),IFERROR(VLOOKUP($C1274,'6-COMP. PROPRIA'!$B$28:$I$808,4,0),""))</f>
        <v>Curva PVC roscável Ø4"</v>
      </c>
      <c r="F1274" s="669"/>
      <c r="G1274" s="669"/>
      <c r="H1274" s="669"/>
      <c r="I1274" s="669"/>
      <c r="J1274" s="670"/>
      <c r="K1274" s="212">
        <v>1</v>
      </c>
      <c r="L1274" s="239" t="str">
        <f>IFERROR(VLOOKUP($C1274,'SINAPI MAIO 2020'!$1:$1048576,3,0),IFERROR(VLOOKUP($C1274,'6-COMP. PROPRIA'!$B$1:$I$808,5,0),""))</f>
        <v>UNI</v>
      </c>
      <c r="M1274" s="145"/>
    </row>
    <row r="1275" spans="2:13" s="340" customFormat="1" ht="17.25" customHeight="1">
      <c r="B1275" s="341"/>
      <c r="C1275" s="274" t="str">
        <f>'6-COMP. PROPRIA'!B403</f>
        <v>CP-ELE-14</v>
      </c>
      <c r="D1275" s="275" t="s">
        <v>7152</v>
      </c>
      <c r="E1275" s="668" t="str">
        <f>IFERROR(VLOOKUP($C1275,'SINAPI MAIO 2020'!$1:$1048576,2,0),IFERROR(VLOOKUP($C1275,'6-COMP. PROPRIA'!$B$28:$I$808,4,0),""))</f>
        <v>Fita isolante adesiva anti-chama uso ate 750V, em rolo de 19mmx20m (AZUL)</v>
      </c>
      <c r="F1275" s="669"/>
      <c r="G1275" s="669"/>
      <c r="H1275" s="669"/>
      <c r="I1275" s="669"/>
      <c r="J1275" s="670"/>
      <c r="K1275" s="212">
        <v>1</v>
      </c>
      <c r="L1275" s="239" t="str">
        <f>IFERROR(VLOOKUP($C1275,'SINAPI MAIO 2020'!$1:$1048576,3,0),IFERROR(VLOOKUP($C1275,'6-COMP. PROPRIA'!$B$1:$I$808,5,0),""))</f>
        <v>UNI</v>
      </c>
      <c r="M1275" s="145"/>
    </row>
    <row r="1276" spans="2:13" s="340" customFormat="1" ht="17.25" customHeight="1">
      <c r="B1276" s="338"/>
      <c r="C1276" s="274" t="str">
        <f>'6-COMP. PROPRIA'!B408</f>
        <v>CP-ELE-15</v>
      </c>
      <c r="D1276" s="275" t="s">
        <v>7152</v>
      </c>
      <c r="E1276" s="668" t="str">
        <f>IFERROR(VLOOKUP($C1276,'SINAPI MAIO 2020'!$1:$1048576,2,0),IFERROR(VLOOKUP($C1276,'6-COMP. PROPRIA'!$B$28:$I$808,4,0),""))</f>
        <v>Fita isolante adesiva anti-chama uso ate 750V, em rolo de 19mmx20m (VERMELHO)</v>
      </c>
      <c r="F1276" s="669"/>
      <c r="G1276" s="669"/>
      <c r="H1276" s="669"/>
      <c r="I1276" s="669"/>
      <c r="J1276" s="670"/>
      <c r="K1276" s="212">
        <v>1</v>
      </c>
      <c r="L1276" s="239" t="str">
        <f>IFERROR(VLOOKUP($C1276,'SINAPI MAIO 2020'!$1:$1048576,3,0),IFERROR(VLOOKUP($C1276,'6-COMP. PROPRIA'!$B$1:$I$808,5,0),""))</f>
        <v>UNI</v>
      </c>
      <c r="M1276" s="145"/>
    </row>
    <row r="1277" spans="2:13" s="340" customFormat="1" ht="17.25" customHeight="1">
      <c r="B1277" s="338"/>
      <c r="C1277" s="274" t="str">
        <f>'6-COMP. PROPRIA'!B413</f>
        <v>CP-ELE-16</v>
      </c>
      <c r="D1277" s="275" t="s">
        <v>7152</v>
      </c>
      <c r="E1277" s="668" t="str">
        <f>IFERROR(VLOOKUP($C1277,'SINAPI MAIO 2020'!$1:$1048576,2,0),IFERROR(VLOOKUP($C1277,'6-COMP. PROPRIA'!$B$28:$I$808,4,0),""))</f>
        <v>Fita isolante adesiva anti-chama uso ate 750V, em rolo de 19mmx20m (VERDE)</v>
      </c>
      <c r="F1277" s="669"/>
      <c r="G1277" s="669"/>
      <c r="H1277" s="669"/>
      <c r="I1277" s="669"/>
      <c r="J1277" s="670"/>
      <c r="K1277" s="212">
        <v>1</v>
      </c>
      <c r="L1277" s="239" t="str">
        <f>IFERROR(VLOOKUP($C1277,'SINAPI MAIO 2020'!$1:$1048576,3,0),IFERROR(VLOOKUP($C1277,'6-COMP. PROPRIA'!$B$1:$I$808,5,0),""))</f>
        <v>UNI</v>
      </c>
      <c r="M1277" s="145"/>
    </row>
    <row r="1278" spans="2:13" s="340" customFormat="1" ht="17.25" customHeight="1">
      <c r="B1278" s="338"/>
      <c r="C1278" s="274" t="str">
        <f>'6-COMP. PROPRIA'!B418</f>
        <v>CP-ELE-17</v>
      </c>
      <c r="D1278" s="275" t="s">
        <v>7152</v>
      </c>
      <c r="E1278" s="668" t="str">
        <f>IFERROR(VLOOKUP($C1278,'SINAPI MAIO 2020'!$1:$1048576,2,0),IFERROR(VLOOKUP($C1278,'6-COMP. PROPRIA'!$B$28:$I$808,4,0),""))</f>
        <v>Bucha de aluminio Ø4"</v>
      </c>
      <c r="F1278" s="669"/>
      <c r="G1278" s="669"/>
      <c r="H1278" s="669"/>
      <c r="I1278" s="669"/>
      <c r="J1278" s="670"/>
      <c r="K1278" s="212">
        <v>1</v>
      </c>
      <c r="L1278" s="239" t="str">
        <f>IFERROR(VLOOKUP($C1278,'SINAPI MAIO 2020'!$1:$1048576,3,0),IFERROR(VLOOKUP($C1278,'6-COMP. PROPRIA'!$B$1:$I$808,5,0),""))</f>
        <v>UNI</v>
      </c>
      <c r="M1278" s="145"/>
    </row>
    <row r="1279" spans="2:13" s="340" customFormat="1" ht="17.25" customHeight="1">
      <c r="B1279" s="338"/>
      <c r="C1279" s="274" t="str">
        <f>'6-COMP. PROPRIA'!B423</f>
        <v>CP-ELE-18</v>
      </c>
      <c r="D1279" s="275" t="s">
        <v>7152</v>
      </c>
      <c r="E1279" s="668" t="str">
        <f>IFERROR(VLOOKUP($C1279,'SINAPI MAIO 2020'!$1:$1048576,2,0),IFERROR(VLOOKUP($C1279,'6-COMP. PROPRIA'!$B$28:$I$808,4,0),""))</f>
        <v>Isolador epoxi 3/4"</v>
      </c>
      <c r="F1279" s="669"/>
      <c r="G1279" s="669"/>
      <c r="H1279" s="669"/>
      <c r="I1279" s="669"/>
      <c r="J1279" s="670"/>
      <c r="K1279" s="212">
        <v>4</v>
      </c>
      <c r="L1279" s="239" t="str">
        <f>IFERROR(VLOOKUP($C1279,'SINAPI MAIO 2020'!$1:$1048576,3,0),IFERROR(VLOOKUP($C1279,'6-COMP. PROPRIA'!$B$1:$I$808,5,0),""))</f>
        <v>PÇ</v>
      </c>
      <c r="M1279" s="145"/>
    </row>
    <row r="1280" spans="2:13" s="340" customFormat="1" ht="17.25" customHeight="1">
      <c r="B1280" s="338"/>
      <c r="C1280" s="274" t="str">
        <f>'6-COMP. PROPRIA'!B428</f>
        <v>CP-ELE-19</v>
      </c>
      <c r="D1280" s="275" t="s">
        <v>7152</v>
      </c>
      <c r="E1280" s="668" t="str">
        <f>IFERROR(VLOOKUP($C1280,'SINAPI MAIO 2020'!$1:$1048576,2,0),IFERROR(VLOOKUP($C1280,'6-COMP. PROPRIA'!$B$28:$I$808,4,0),""))</f>
        <v>Chapa acrílica Transparente</v>
      </c>
      <c r="F1280" s="669"/>
      <c r="G1280" s="669"/>
      <c r="H1280" s="669"/>
      <c r="I1280" s="669"/>
      <c r="J1280" s="670"/>
      <c r="K1280" s="212">
        <v>1</v>
      </c>
      <c r="L1280" s="239" t="str">
        <f>IFERROR(VLOOKUP($C1280,'SINAPI MAIO 2020'!$1:$1048576,3,0),IFERROR(VLOOKUP($C1280,'6-COMP. PROPRIA'!$B$1:$I$808,5,0),""))</f>
        <v>UNI</v>
      </c>
      <c r="M1280" s="145"/>
    </row>
    <row r="1281" spans="2:13" s="340" customFormat="1" ht="17.25" customHeight="1">
      <c r="B1281" s="338"/>
      <c r="C1281" s="274" t="str">
        <f>'6-COMP. PROPRIA'!B433</f>
        <v>CP-ELE-20</v>
      </c>
      <c r="D1281" s="275" t="s">
        <v>7152</v>
      </c>
      <c r="E1281" s="668" t="str">
        <f>IFERROR(VLOOKUP($C1281,'SINAPI MAIO 2020'!$1:$1048576,2,0),IFERROR(VLOOKUP($C1281,'6-COMP. PROPRIA'!$B$28:$I$808,4,0),""))</f>
        <v>Parafuso sextavado inoxidável de Ø5/16"</v>
      </c>
      <c r="F1281" s="669"/>
      <c r="G1281" s="669"/>
      <c r="H1281" s="669"/>
      <c r="I1281" s="669"/>
      <c r="J1281" s="670"/>
      <c r="K1281" s="212">
        <v>15</v>
      </c>
      <c r="L1281" s="239" t="str">
        <f>IFERROR(VLOOKUP($C1281,'SINAPI MAIO 2020'!$1:$1048576,3,0),IFERROR(VLOOKUP($C1281,'6-COMP. PROPRIA'!$B$1:$I$808,5,0),""))</f>
        <v>PÇ</v>
      </c>
      <c r="M1281" s="145"/>
    </row>
    <row r="1282" spans="2:13" s="340" customFormat="1" ht="17.25" customHeight="1">
      <c r="B1282" s="338"/>
      <c r="C1282" s="274" t="str">
        <f>'6-COMP. PROPRIA'!B438</f>
        <v>CP-ELE-21</v>
      </c>
      <c r="D1282" s="275" t="s">
        <v>7152</v>
      </c>
      <c r="E1282" s="668" t="str">
        <f>IFERROR(VLOOKUP($C1282,'SINAPI MAIO 2020'!$1:$1048576,2,0),IFERROR(VLOOKUP($C1282,'6-COMP. PROPRIA'!$B$28:$I$808,4,0),""))</f>
        <v>Parafuso cobreado de Ø 3/8"</v>
      </c>
      <c r="F1282" s="669"/>
      <c r="G1282" s="669"/>
      <c r="H1282" s="669"/>
      <c r="I1282" s="669"/>
      <c r="J1282" s="670"/>
      <c r="K1282" s="212">
        <v>10</v>
      </c>
      <c r="L1282" s="239" t="str">
        <f>IFERROR(VLOOKUP($C1282,'SINAPI MAIO 2020'!$1:$1048576,3,0),IFERROR(VLOOKUP($C1282,'6-COMP. PROPRIA'!$B$1:$I$808,5,0),""))</f>
        <v>PÇ</v>
      </c>
      <c r="M1282" s="145"/>
    </row>
    <row r="1283" spans="2:13" s="340" customFormat="1" ht="17.25" customHeight="1">
      <c r="B1283" s="338"/>
      <c r="C1283" s="274" t="str">
        <f>'6-COMP. PROPRIA'!B443</f>
        <v>CP-ELE-22</v>
      </c>
      <c r="D1283" s="275" t="s">
        <v>7152</v>
      </c>
      <c r="E1283" s="668" t="str">
        <f>IFERROR(VLOOKUP($C1283,'SINAPI MAIO 2020'!$1:$1048576,2,0),IFERROR(VLOOKUP($C1283,'6-COMP. PROPRIA'!$B$28:$I$808,4,0),""))</f>
        <v>TERMINAL METALICO A PRESSAO PARA 1 CABO DE 185 MM2, COM 1 FURO DE FIXACAO</v>
      </c>
      <c r="F1283" s="669"/>
      <c r="G1283" s="669"/>
      <c r="H1283" s="669"/>
      <c r="I1283" s="669"/>
      <c r="J1283" s="670"/>
      <c r="K1283" s="212">
        <v>6</v>
      </c>
      <c r="L1283" s="239" t="str">
        <f>IFERROR(VLOOKUP($C1283,'SINAPI MAIO 2020'!$1:$1048576,3,0),IFERROR(VLOOKUP($C1283,'6-COMP. PROPRIA'!$B$1:$I$808,5,0),""))</f>
        <v>UNI</v>
      </c>
      <c r="M1283" s="145"/>
    </row>
    <row r="1284" spans="2:13" s="340" customFormat="1" ht="17.25" customHeight="1">
      <c r="B1284" s="338"/>
      <c r="C1284" s="274" t="str">
        <f>'6-COMP. PROPRIA'!B448</f>
        <v>CP-ELE-23</v>
      </c>
      <c r="D1284" s="275" t="s">
        <v>7152</v>
      </c>
      <c r="E1284" s="668" t="str">
        <f>IFERROR(VLOOKUP($C1284,'SINAPI MAIO 2020'!$1:$1048576,2,0),IFERROR(VLOOKUP($C1284,'6-COMP. PROPRIA'!$B$28:$I$808,4,0),""))</f>
        <v xml:space="preserve">TERMINAL METALICO A PRESSAO PARA 1 CABO DE 95 MM2, COM 1 FURO DE FIXACAO </v>
      </c>
      <c r="F1284" s="669"/>
      <c r="G1284" s="669"/>
      <c r="H1284" s="669"/>
      <c r="I1284" s="669"/>
      <c r="J1284" s="670"/>
      <c r="K1284" s="212">
        <v>2</v>
      </c>
      <c r="L1284" s="239" t="str">
        <f>IFERROR(VLOOKUP($C1284,'SINAPI MAIO 2020'!$1:$1048576,3,0),IFERROR(VLOOKUP($C1284,'6-COMP. PROPRIA'!$B$1:$I$808,5,0),""))</f>
        <v>UNI</v>
      </c>
      <c r="M1284" s="145"/>
    </row>
    <row r="1285" spans="2:13" s="340" customFormat="1" ht="17.25" customHeight="1">
      <c r="B1285" s="338"/>
      <c r="C1285" s="274" t="str">
        <f>'6-COMP. PROPRIA'!B453</f>
        <v>CP-ELE-24</v>
      </c>
      <c r="D1285" s="275" t="s">
        <v>7152</v>
      </c>
      <c r="E1285" s="668" t="str">
        <f>IFERROR(VLOOKUP($C1285,'SINAPI MAIO 2020'!$1:$1048576,2,0),IFERROR(VLOOKUP($C1285,'6-COMP. PROPRIA'!$B$28:$I$808,4,0),""))</f>
        <v xml:space="preserve">DISJUNTOR TERMOMAGNETICO TRIPOLAR 300 A / 600 V, TIPO JXD / ICC - 40 KA </v>
      </c>
      <c r="F1285" s="669"/>
      <c r="G1285" s="669"/>
      <c r="H1285" s="669"/>
      <c r="I1285" s="669"/>
      <c r="J1285" s="670"/>
      <c r="K1285" s="212">
        <v>1</v>
      </c>
      <c r="L1285" s="239" t="str">
        <f>IFERROR(VLOOKUP($C1285,'SINAPI MAIO 2020'!$1:$1048576,3,0),IFERROR(VLOOKUP($C1285,'6-COMP. PROPRIA'!$B$1:$I$808,5,0),""))</f>
        <v>UNI</v>
      </c>
      <c r="M1285" s="145"/>
    </row>
    <row r="1286" spans="2:13" s="340" customFormat="1" ht="32.25" customHeight="1">
      <c r="B1286" s="338"/>
      <c r="C1286" s="274">
        <v>93358</v>
      </c>
      <c r="D1286" s="275" t="s">
        <v>8</v>
      </c>
      <c r="E1286" s="668" t="str">
        <f>IFERROR(VLOOKUP($C1286,'SINAPI MAIO 2020'!$1:$1048576,2,0),IFERROR(VLOOKUP($C1286,'6-COMP. PROPRIA'!$B$28:$I$808,4,0),""))</f>
        <v>ESCAVAÇÃO MANUAL DE VALA COM PROFUNDIDADE MENOR OU IGUAL A 1,30 M. AF_03/2016</v>
      </c>
      <c r="F1286" s="669"/>
      <c r="G1286" s="669"/>
      <c r="H1286" s="669"/>
      <c r="I1286" s="669"/>
      <c r="J1286" s="670"/>
      <c r="K1286" s="212">
        <v>2</v>
      </c>
      <c r="L1286" s="239" t="str">
        <f>IFERROR(VLOOKUP($C1286,'SINAPI MAIO 2020'!$1:$1048576,3,0),IFERROR(VLOOKUP($C1286,'6-COMP. PROPRIA'!$B$1:$I$808,5,0),""))</f>
        <v>M3</v>
      </c>
      <c r="M1286" s="145"/>
    </row>
    <row r="1287" spans="2:13" s="340" customFormat="1" ht="32.25" customHeight="1">
      <c r="B1287" s="338"/>
      <c r="C1287" s="274">
        <v>96995</v>
      </c>
      <c r="D1287" s="275" t="s">
        <v>8</v>
      </c>
      <c r="E1287" s="668" t="str">
        <f>IFERROR(VLOOKUP($C1287,'SINAPI MAIO 2020'!$1:$1048576,2,0),IFERROR(VLOOKUP($C1287,'6-COMP. PROPRIA'!$B$28:$I$808,4,0),""))</f>
        <v>REATERRO MANUAL APILOADO COM SOQUETE. AF_10/2017</v>
      </c>
      <c r="F1287" s="669"/>
      <c r="G1287" s="669"/>
      <c r="H1287" s="669"/>
      <c r="I1287" s="669"/>
      <c r="J1287" s="670"/>
      <c r="K1287" s="212">
        <v>2</v>
      </c>
      <c r="L1287" s="239" t="str">
        <f>IFERROR(VLOOKUP($C1287,'SINAPI MAIO 2020'!$1:$1048576,3,0),IFERROR(VLOOKUP($C1287,'6-COMP. PROPRIA'!$B$1:$I$808,5,0),""))</f>
        <v>M3</v>
      </c>
      <c r="M1287" s="145"/>
    </row>
    <row r="1288" spans="2:13" s="340" customFormat="1" ht="32.25" customHeight="1">
      <c r="B1288" s="338"/>
      <c r="C1288" s="274">
        <v>92998</v>
      </c>
      <c r="D1288" s="275" t="s">
        <v>8</v>
      </c>
      <c r="E1288" s="668" t="str">
        <f>IFERROR(VLOOKUP($C1288,'SINAPI MAIO 2020'!$1:$1048576,2,0),IFERROR(VLOOKUP($C1288,'6-COMP. PROPRIA'!$B$28:$I$808,4,0),""))</f>
        <v>CABO DE COBRE FLEXÍVEL ISOLADO, 185 MM², ANTI-CHAMA 0,6/1,0 KV, PARA DISTRIBUIÇÃO - FORNECIMENTO E INSTALAÇÃO. AF_12/2015</v>
      </c>
      <c r="F1288" s="669"/>
      <c r="G1288" s="669"/>
      <c r="H1288" s="669"/>
      <c r="I1288" s="669"/>
      <c r="J1288" s="670"/>
      <c r="K1288" s="212">
        <v>132</v>
      </c>
      <c r="L1288" s="239" t="str">
        <f>IFERROR(VLOOKUP($C1288,'SINAPI MAIO 2020'!$1:$1048576,3,0),IFERROR(VLOOKUP($C1288,'6-COMP. PROPRIA'!$B$1:$I$808,5,0),""))</f>
        <v>M</v>
      </c>
      <c r="M1288" s="145"/>
    </row>
    <row r="1289" spans="2:13" s="340" customFormat="1" ht="32.25" customHeight="1">
      <c r="B1289" s="338"/>
      <c r="C1289" s="274">
        <v>92992</v>
      </c>
      <c r="D1289" s="275" t="s">
        <v>8</v>
      </c>
      <c r="E1289" s="668" t="str">
        <f>IFERROR(VLOOKUP($C1289,'SINAPI MAIO 2020'!$1:$1048576,2,0),IFERROR(VLOOKUP($C1289,'6-COMP. PROPRIA'!$B$28:$I$808,4,0),""))</f>
        <v>CABO DE COBRE FLEXÍVEL ISOLADO, 95 MM², ANTI-CHAMA 0,6/1,0 KV, PARA DISTRIBUIÇÃO - FORNECIMENTO E INSTALAÇÃO. AF_12/2015</v>
      </c>
      <c r="F1289" s="669"/>
      <c r="G1289" s="669"/>
      <c r="H1289" s="669"/>
      <c r="I1289" s="669"/>
      <c r="J1289" s="670"/>
      <c r="K1289" s="212">
        <v>33</v>
      </c>
      <c r="L1289" s="239" t="str">
        <f>IFERROR(VLOOKUP($C1289,'SINAPI MAIO 2020'!$1:$1048576,3,0),IFERROR(VLOOKUP($C1289,'6-COMP. PROPRIA'!$B$1:$I$808,5,0),""))</f>
        <v>M</v>
      </c>
      <c r="M1289" s="145"/>
    </row>
    <row r="1290" spans="2:13" s="340" customFormat="1" ht="32.25" customHeight="1">
      <c r="B1290" s="338"/>
      <c r="C1290" s="274">
        <v>97670</v>
      </c>
      <c r="D1290" s="275" t="s">
        <v>8</v>
      </c>
      <c r="E1290" s="668" t="str">
        <f>IFERROR(VLOOKUP($C1290,'SINAPI MAIO 2020'!$1:$1048576,2,0),IFERROR(VLOOKUP($C1290,'6-COMP. PROPRIA'!$B$28:$I$808,4,0),""))</f>
        <v>ELETRODUTO FLEXÍVEL CORRUGADO, PEAD, DN 100 (4) - FORNECIMENTO E INSTALAÇÃO. AF_04/2016</v>
      </c>
      <c r="F1290" s="669"/>
      <c r="G1290" s="669"/>
      <c r="H1290" s="669"/>
      <c r="I1290" s="669"/>
      <c r="J1290" s="670"/>
      <c r="K1290" s="212">
        <v>33</v>
      </c>
      <c r="L1290" s="239" t="str">
        <f>IFERROR(VLOOKUP($C1290,'SINAPI MAIO 2020'!$1:$1048576,3,0),IFERROR(VLOOKUP($C1290,'6-COMP. PROPRIA'!$B$1:$I$808,5,0),""))</f>
        <v>M</v>
      </c>
      <c r="M1290" s="145"/>
    </row>
    <row r="1291" spans="2:13" s="340" customFormat="1" ht="32.25" customHeight="1">
      <c r="B1291" s="338"/>
      <c r="C1291" s="274">
        <v>97892</v>
      </c>
      <c r="D1291" s="275" t="s">
        <v>8</v>
      </c>
      <c r="E1291" s="668" t="str">
        <f>IFERROR(VLOOKUP($C1291,'SINAPI MAIO 2020'!$1:$1048576,2,0),IFERROR(VLOOKUP($C1291,'6-COMP. PROPRIA'!$B$28:$I$808,4,0),""))</f>
        <v>CAIXA ENTERRADA ELÉTRICA RETANGULAR, EM ALVENARIA COM BLOCOS DE CONCRETO, FUNDO COM BRITA, DIMENSÕES INTERNAS: 0,6X0,6X0,6 M. AF_05/2018</v>
      </c>
      <c r="F1291" s="669"/>
      <c r="G1291" s="669"/>
      <c r="H1291" s="669"/>
      <c r="I1291" s="669"/>
      <c r="J1291" s="670"/>
      <c r="K1291" s="212">
        <v>4</v>
      </c>
      <c r="L1291" s="239" t="str">
        <f>IFERROR(VLOOKUP($C1291,'SINAPI MAIO 2020'!$1:$1048576,3,0),IFERROR(VLOOKUP($C1291,'6-COMP. PROPRIA'!$B$1:$I$808,5,0),""))</f>
        <v>UN</v>
      </c>
      <c r="M1291" s="145"/>
    </row>
    <row r="1292" spans="2:13" s="340" customFormat="1" ht="32.25" customHeight="1">
      <c r="B1292" s="338"/>
      <c r="C1292" s="274">
        <v>90446</v>
      </c>
      <c r="D1292" s="275" t="s">
        <v>8</v>
      </c>
      <c r="E1292" s="668" t="str">
        <f>IFERROR(VLOOKUP($C1292,'SINAPI MAIO 2020'!$1:$1048576,2,0),IFERROR(VLOOKUP($C1292,'6-COMP. PROPRIA'!$B$28:$I$808,4,0),""))</f>
        <v>RASGO EM CONTRAPISO PARA RAMAIS/ DISTRIBUIÇÃO COM DIÂMETROS MAIORES QUE 75 MM. AF_05/2015</v>
      </c>
      <c r="F1292" s="669"/>
      <c r="G1292" s="669"/>
      <c r="H1292" s="669"/>
      <c r="I1292" s="669"/>
      <c r="J1292" s="670"/>
      <c r="K1292" s="212">
        <v>24</v>
      </c>
      <c r="L1292" s="239" t="str">
        <f>IFERROR(VLOOKUP($C1292,'SINAPI MAIO 2020'!$1:$1048576,3,0),IFERROR(VLOOKUP($C1292,'6-COMP. PROPRIA'!$B$1:$I$808,5,0),""))</f>
        <v>M</v>
      </c>
      <c r="M1292" s="145"/>
    </row>
    <row r="1293" spans="2:13" s="340" customFormat="1" ht="17.25" customHeight="1">
      <c r="B1293" s="338"/>
      <c r="C1293" s="293"/>
      <c r="D1293" s="289"/>
      <c r="E1293" s="668" t="str">
        <f>IFERROR(VLOOKUP($C1293,'SINAPI MAIO 2020'!$1:$1048576,2,0),IFERROR(VLOOKUP($C1293,'6-COMP. PROPRIA'!$B$28:$I$808,4,0),""))</f>
        <v/>
      </c>
      <c r="F1293" s="669"/>
      <c r="G1293" s="669"/>
      <c r="H1293" s="669"/>
      <c r="I1293" s="669"/>
      <c r="J1293" s="670"/>
      <c r="K1293" s="212"/>
      <c r="L1293" s="239" t="str">
        <f>IFERROR(VLOOKUP($C1293,'SINAPI MAIO 2020'!$1:$1048576,3,0),IFERROR(VLOOKUP($C1293,'6-COMP. PROPRIA'!$B$1:$I$808,5,0),""))</f>
        <v/>
      </c>
      <c r="M1293" s="145"/>
    </row>
    <row r="1294" spans="2:13" s="340" customFormat="1" ht="17.25" customHeight="1">
      <c r="B1294" s="338"/>
      <c r="C1294" s="293"/>
      <c r="D1294" s="289"/>
      <c r="E1294" s="671" t="s">
        <v>12487</v>
      </c>
      <c r="F1294" s="672"/>
      <c r="G1294" s="672"/>
      <c r="H1294" s="672"/>
      <c r="I1294" s="672"/>
      <c r="J1294" s="673"/>
      <c r="K1294" s="212"/>
      <c r="L1294" s="239" t="str">
        <f>IFERROR(VLOOKUP($C1294,'SINAPI MAIO 2020'!$1:$1048576,3,0),IFERROR(VLOOKUP($C1294,'6-COMP. PROPRIA'!$B$1:$I$808,5,0),""))</f>
        <v/>
      </c>
      <c r="M1294" s="145"/>
    </row>
    <row r="1295" spans="2:13" s="340" customFormat="1" ht="17.25" customHeight="1">
      <c r="B1295" s="338"/>
      <c r="C1295" s="293"/>
      <c r="D1295" s="289"/>
      <c r="E1295" s="668" t="str">
        <f>IFERROR(VLOOKUP($C1295,'SINAPI MAIO 2020'!$1:$1048576,2,0),IFERROR(VLOOKUP($C1295,'6-COMP. PROPRIA'!$B$28:$I$808,4,0),""))</f>
        <v/>
      </c>
      <c r="F1295" s="669"/>
      <c r="G1295" s="669"/>
      <c r="H1295" s="669"/>
      <c r="I1295" s="669"/>
      <c r="J1295" s="670"/>
      <c r="K1295" s="212"/>
      <c r="L1295" s="239" t="str">
        <f>IFERROR(VLOOKUP($C1295,'SINAPI MAIO 2020'!$1:$1048576,3,0),IFERROR(VLOOKUP($C1295,'6-COMP. PROPRIA'!$B$1:$I$808,5,0),""))</f>
        <v/>
      </c>
      <c r="M1295" s="145"/>
    </row>
    <row r="1296" spans="2:13" s="340" customFormat="1" ht="17.25" customHeight="1">
      <c r="B1296" s="338"/>
      <c r="C1296" s="274" t="str">
        <f>'6-COMP. PROPRIA'!B459</f>
        <v>CP-ELE-25</v>
      </c>
      <c r="D1296" s="275" t="s">
        <v>980</v>
      </c>
      <c r="E1296" s="668" t="str">
        <f>IFERROR(VLOOKUP($C1296,'SINAPI MAIO 2020'!$1:$1048576,2,0),IFERROR(VLOOKUP($C1296,'6-COMP. PROPRIA'!$B$28:$I$808,4,0),""))</f>
        <v xml:space="preserve">Poste de concreto DT 12/600 </v>
      </c>
      <c r="F1296" s="669"/>
      <c r="G1296" s="669"/>
      <c r="H1296" s="669"/>
      <c r="I1296" s="669"/>
      <c r="J1296" s="670"/>
      <c r="K1296" s="212">
        <v>1</v>
      </c>
      <c r="L1296" s="239" t="str">
        <f>IFERROR(VLOOKUP($C1296,'SINAPI MAIO 2020'!$1:$1048576,3,0),IFERROR(VLOOKUP($C1296,'6-COMP. PROPRIA'!$B$1:$I$808,5,0),""))</f>
        <v>UNI</v>
      </c>
      <c r="M1296" s="145"/>
    </row>
    <row r="1297" spans="2:13" s="340" customFormat="1" ht="17.25" customHeight="1">
      <c r="B1297" s="338"/>
      <c r="C1297" s="274" t="str">
        <f>'6-COMP. PROPRIA'!B466</f>
        <v>CP-ELE-26</v>
      </c>
      <c r="D1297" s="275" t="s">
        <v>980</v>
      </c>
      <c r="E1297" s="668" t="str">
        <f>IFERROR(VLOOKUP($C1297,'SINAPI MAIO 2020'!$1:$1048576,2,0),IFERROR(VLOOKUP($C1297,'6-COMP. PROPRIA'!$B$28:$I$808,4,0),""))</f>
        <v xml:space="preserve">Alça pre-formada de estai para cabo aço galv. 9,5mm </v>
      </c>
      <c r="F1297" s="669"/>
      <c r="G1297" s="669"/>
      <c r="H1297" s="669"/>
      <c r="I1297" s="669"/>
      <c r="J1297" s="670"/>
      <c r="K1297" s="212">
        <v>1</v>
      </c>
      <c r="L1297" s="239" t="str">
        <f>IFERROR(VLOOKUP($C1297,'SINAPI MAIO 2020'!$1:$1048576,3,0),IFERROR(VLOOKUP($C1297,'6-COMP. PROPRIA'!$B$1:$I$808,5,0),""))</f>
        <v>UNI</v>
      </c>
      <c r="M1297" s="145"/>
    </row>
    <row r="1298" spans="2:13" s="340" customFormat="1" ht="17.25" customHeight="1">
      <c r="B1298" s="338"/>
      <c r="C1298" s="274" t="str">
        <f>'6-COMP. PROPRIA'!B471</f>
        <v>CP-ELE-27</v>
      </c>
      <c r="D1298" s="275" t="s">
        <v>980</v>
      </c>
      <c r="E1298" s="668" t="str">
        <f>IFERROR(VLOOKUP($C1298,'SINAPI MAIO 2020'!$1:$1048576,2,0),IFERROR(VLOOKUP($C1298,'6-COMP. PROPRIA'!$B$28:$I$808,4,0),""))</f>
        <v>Sapatilha</v>
      </c>
      <c r="F1298" s="669"/>
      <c r="G1298" s="669"/>
      <c r="H1298" s="669"/>
      <c r="I1298" s="669"/>
      <c r="J1298" s="670"/>
      <c r="K1298" s="212">
        <v>1</v>
      </c>
      <c r="L1298" s="239" t="str">
        <f>IFERROR(VLOOKUP($C1298,'SINAPI MAIO 2020'!$1:$1048576,3,0),IFERROR(VLOOKUP($C1298,'6-COMP. PROPRIA'!$B$1:$I$808,5,0),""))</f>
        <v>UNI</v>
      </c>
      <c r="M1298" s="145"/>
    </row>
    <row r="1299" spans="2:13" s="340" customFormat="1" ht="17.25" customHeight="1">
      <c r="B1299" s="338"/>
      <c r="C1299" s="274" t="str">
        <f>'6-COMP. PROPRIA'!B476</f>
        <v>CP-ELE-28</v>
      </c>
      <c r="D1299" s="275" t="s">
        <v>980</v>
      </c>
      <c r="E1299" s="668" t="str">
        <f>IFERROR(VLOOKUP($C1299,'SINAPI MAIO 2020'!$1:$1048576,2,0),IFERROR(VLOOKUP($C1299,'6-COMP. PROPRIA'!$B$28:$I$808,4,0),""))</f>
        <v>Olhal para parafuso</v>
      </c>
      <c r="F1299" s="669"/>
      <c r="G1299" s="669"/>
      <c r="H1299" s="669"/>
      <c r="I1299" s="669"/>
      <c r="J1299" s="670"/>
      <c r="K1299" s="212">
        <v>4</v>
      </c>
      <c r="L1299" s="239" t="str">
        <f>IFERROR(VLOOKUP($C1299,'SINAPI MAIO 2020'!$1:$1048576,3,0),IFERROR(VLOOKUP($C1299,'6-COMP. PROPRIA'!$B$1:$I$808,5,0),""))</f>
        <v>UNI</v>
      </c>
      <c r="M1299" s="145"/>
    </row>
    <row r="1300" spans="2:13" s="340" customFormat="1" ht="30" customHeight="1">
      <c r="B1300" s="338"/>
      <c r="C1300" s="274" t="str">
        <f>'6-COMP. PROPRIA'!B481</f>
        <v>CP-ELE-29</v>
      </c>
      <c r="D1300" s="275" t="s">
        <v>980</v>
      </c>
      <c r="E1300" s="668" t="str">
        <f>IFERROR(VLOOKUP($C1300,'SINAPI MAIO 2020'!$1:$1048576,2,0),IFERROR(VLOOKUP($C1300,'6-COMP. PROPRIA'!$B$28:$I$808,4,0),""))</f>
        <v xml:space="preserve">Isolador de ancoragem tipo bastão polimero 15KV </v>
      </c>
      <c r="F1300" s="669"/>
      <c r="G1300" s="669"/>
      <c r="H1300" s="669"/>
      <c r="I1300" s="669"/>
      <c r="J1300" s="670"/>
      <c r="K1300" s="212">
        <v>3</v>
      </c>
      <c r="L1300" s="239" t="str">
        <f>IFERROR(VLOOKUP($C1300,'SINAPI MAIO 2020'!$1:$1048576,3,0),IFERROR(VLOOKUP($C1300,'6-COMP. PROPRIA'!$B$1:$I$808,5,0),""))</f>
        <v>UNI</v>
      </c>
      <c r="M1300" s="145"/>
    </row>
    <row r="1301" spans="2:13" s="340" customFormat="1" ht="30" customHeight="1">
      <c r="B1301" s="338"/>
      <c r="C1301" s="274" t="str">
        <f>'6-COMP. PROPRIA'!B486</f>
        <v>CP-ELE-30</v>
      </c>
      <c r="D1301" s="275" t="s">
        <v>980</v>
      </c>
      <c r="E1301" s="668" t="str">
        <f>IFERROR(VLOOKUP($C1301,'SINAPI MAIO 2020'!$1:$1048576,2,0),IFERROR(VLOOKUP($C1301,'6-COMP. PROPRIA'!$B$28:$I$808,4,0),""))</f>
        <v>Manilha sapatilha</v>
      </c>
      <c r="F1301" s="669"/>
      <c r="G1301" s="669"/>
      <c r="H1301" s="669"/>
      <c r="I1301" s="669"/>
      <c r="J1301" s="670"/>
      <c r="K1301" s="212">
        <v>3</v>
      </c>
      <c r="L1301" s="239" t="str">
        <f>IFERROR(VLOOKUP($C1301,'SINAPI MAIO 2020'!$1:$1048576,3,0),IFERROR(VLOOKUP($C1301,'6-COMP. PROPRIA'!$B$1:$I$808,5,0),""))</f>
        <v>UNI</v>
      </c>
      <c r="M1301" s="145"/>
    </row>
    <row r="1302" spans="2:13" s="340" customFormat="1" ht="30" customHeight="1">
      <c r="B1302" s="338"/>
      <c r="C1302" s="274" t="str">
        <f>'6-COMP. PROPRIA'!B491</f>
        <v>CP-ELE-31</v>
      </c>
      <c r="D1302" s="275" t="s">
        <v>980</v>
      </c>
      <c r="E1302" s="668" t="str">
        <f>IFERROR(VLOOKUP($C1302,'SINAPI MAIO 2020'!$1:$1048576,2,0),IFERROR(VLOOKUP($C1302,'6-COMP. PROPRIA'!$B$28:$I$808,4,0),""))</f>
        <v>Gancho olhal</v>
      </c>
      <c r="F1302" s="669"/>
      <c r="G1302" s="669"/>
      <c r="H1302" s="669"/>
      <c r="I1302" s="669"/>
      <c r="J1302" s="670"/>
      <c r="K1302" s="212">
        <v>3</v>
      </c>
      <c r="L1302" s="239" t="str">
        <f>IFERROR(VLOOKUP($C1302,'SINAPI MAIO 2020'!$1:$1048576,3,0),IFERROR(VLOOKUP($C1302,'6-COMP. PROPRIA'!$B$1:$I$808,5,0),""))</f>
        <v>UNI</v>
      </c>
      <c r="M1302" s="145"/>
    </row>
    <row r="1303" spans="2:13" s="340" customFormat="1" ht="30" customHeight="1">
      <c r="B1303" s="338"/>
      <c r="C1303" s="274" t="str">
        <f>'6-COMP. PROPRIA'!B496</f>
        <v>CP-ELE-32</v>
      </c>
      <c r="D1303" s="275" t="s">
        <v>980</v>
      </c>
      <c r="E1303" s="668" t="str">
        <f>IFERROR(VLOOKUP($C1303,'SINAPI MAIO 2020'!$1:$1048576,2,0),IFERROR(VLOOKUP($C1303,'6-COMP. PROPRIA'!$B$28:$I$808,4,0),""))</f>
        <v>Perfil U</v>
      </c>
      <c r="F1303" s="669"/>
      <c r="G1303" s="669"/>
      <c r="H1303" s="669"/>
      <c r="I1303" s="669"/>
      <c r="J1303" s="670"/>
      <c r="K1303" s="212">
        <v>1</v>
      </c>
      <c r="L1303" s="239" t="str">
        <f>IFERROR(VLOOKUP($C1303,'SINAPI MAIO 2020'!$1:$1048576,3,0),IFERROR(VLOOKUP($C1303,'6-COMP. PROPRIA'!$B$1:$I$808,5,0),""))</f>
        <v>UNI</v>
      </c>
      <c r="M1303" s="145"/>
    </row>
    <row r="1304" spans="2:13" s="340" customFormat="1" ht="30" customHeight="1">
      <c r="B1304" s="338"/>
      <c r="C1304" s="274" t="str">
        <f>'6-COMP. PROPRIA'!B501</f>
        <v>CP-ELE-33</v>
      </c>
      <c r="D1304" s="275" t="s">
        <v>980</v>
      </c>
      <c r="E1304" s="668" t="str">
        <f>IFERROR(VLOOKUP($C1304,'SINAPI MAIO 2020'!$1:$1048576,2,0),IFERROR(VLOOKUP($C1304,'6-COMP. PROPRIA'!$B$28:$I$808,4,0),""))</f>
        <v>Fixador de perfil U</v>
      </c>
      <c r="F1304" s="669"/>
      <c r="G1304" s="669"/>
      <c r="H1304" s="669"/>
      <c r="I1304" s="669"/>
      <c r="J1304" s="670"/>
      <c r="K1304" s="212">
        <v>1</v>
      </c>
      <c r="L1304" s="239" t="str">
        <f>IFERROR(VLOOKUP($C1304,'SINAPI MAIO 2020'!$1:$1048576,3,0),IFERROR(VLOOKUP($C1304,'6-COMP. PROPRIA'!$B$1:$I$808,5,0),""))</f>
        <v>UNI</v>
      </c>
      <c r="M1304" s="145"/>
    </row>
    <row r="1305" spans="2:13" s="340" customFormat="1" ht="30" customHeight="1">
      <c r="B1305" s="338"/>
      <c r="C1305" s="274" t="str">
        <f>'6-COMP. PROPRIA'!B506</f>
        <v>CP-ELE-34</v>
      </c>
      <c r="D1305" s="275" t="s">
        <v>980</v>
      </c>
      <c r="E1305" s="668" t="str">
        <f>IFERROR(VLOOKUP($C1305,'SINAPI MAIO 2020'!$1:$1048576,2,0),IFERROR(VLOOKUP($C1305,'6-COMP. PROPRIA'!$B$28:$I$808,4,0),""))</f>
        <v>Mão francesa 619mm</v>
      </c>
      <c r="F1305" s="669"/>
      <c r="G1305" s="669"/>
      <c r="H1305" s="669"/>
      <c r="I1305" s="669"/>
      <c r="J1305" s="670"/>
      <c r="K1305" s="212">
        <v>2</v>
      </c>
      <c r="L1305" s="239" t="str">
        <f>IFERROR(VLOOKUP($C1305,'SINAPI MAIO 2020'!$1:$1048576,3,0),IFERROR(VLOOKUP($C1305,'6-COMP. PROPRIA'!$B$1:$I$808,5,0),""))</f>
        <v>UNI</v>
      </c>
      <c r="M1305" s="145"/>
    </row>
    <row r="1306" spans="2:13" s="340" customFormat="1" ht="30" customHeight="1">
      <c r="B1306" s="338"/>
      <c r="C1306" s="274" t="str">
        <f>'6-COMP. PROPRIA'!B512</f>
        <v>CP-ELE-35</v>
      </c>
      <c r="D1306" s="275" t="s">
        <v>980</v>
      </c>
      <c r="E1306" s="668" t="str">
        <f>IFERROR(VLOOKUP($C1306,'SINAPI MAIO 2020'!$1:$1048576,2,0),IFERROR(VLOOKUP($C1306,'6-COMP. PROPRIA'!$B$28:$I$808,4,0),""))</f>
        <v xml:space="preserve">Cruzeta de concreto 250 daN retangular </v>
      </c>
      <c r="F1306" s="669"/>
      <c r="G1306" s="669"/>
      <c r="H1306" s="669"/>
      <c r="I1306" s="669"/>
      <c r="J1306" s="670"/>
      <c r="K1306" s="212">
        <v>1</v>
      </c>
      <c r="L1306" s="239" t="str">
        <f>IFERROR(VLOOKUP($C1306,'SINAPI MAIO 2020'!$1:$1048576,3,0),IFERROR(VLOOKUP($C1306,'6-COMP. PROPRIA'!$B$1:$I$808,5,0),""))</f>
        <v>UNI</v>
      </c>
      <c r="M1306" s="145"/>
    </row>
    <row r="1307" spans="2:13" s="340" customFormat="1" ht="30" customHeight="1">
      <c r="B1307" s="338"/>
      <c r="C1307" s="274" t="str">
        <f>'6-COMP. PROPRIA'!B518</f>
        <v>CP-ELE-36</v>
      </c>
      <c r="D1307" s="275" t="s">
        <v>980</v>
      </c>
      <c r="E1307" s="668" t="str">
        <f>IFERROR(VLOOKUP($C1307,'SINAPI MAIO 2020'!$1:$1048576,2,0),IFERROR(VLOOKUP($C1307,'6-COMP. PROPRIA'!$B$28:$I$808,4,0),""))</f>
        <v xml:space="preserve">Para Raio de distribuição 12kv - polimerico - 10 KA </v>
      </c>
      <c r="F1307" s="669"/>
      <c r="G1307" s="669"/>
      <c r="H1307" s="669"/>
      <c r="I1307" s="669"/>
      <c r="J1307" s="670"/>
      <c r="K1307" s="212">
        <v>3</v>
      </c>
      <c r="L1307" s="239" t="str">
        <f>IFERROR(VLOOKUP($C1307,'SINAPI MAIO 2020'!$1:$1048576,3,0),IFERROR(VLOOKUP($C1307,'6-COMP. PROPRIA'!$B$1:$I$808,5,0),""))</f>
        <v>UNI</v>
      </c>
      <c r="M1307" s="145"/>
    </row>
    <row r="1308" spans="2:13" s="340" customFormat="1" ht="30" customHeight="1">
      <c r="B1308" s="338"/>
      <c r="C1308" s="274" t="str">
        <f>'6-COMP. PROPRIA'!B524</f>
        <v>CP-ELE-37</v>
      </c>
      <c r="D1308" s="275" t="s">
        <v>980</v>
      </c>
      <c r="E1308" s="668" t="str">
        <f>IFERROR(VLOOKUP($C1308,'SINAPI MAIO 2020'!$1:$1048576,2,0),IFERROR(VLOOKUP($C1308,'6-COMP. PROPRIA'!$B$28:$I$808,4,0),""))</f>
        <v>Suporte de transformador para poste Duplo "T"</v>
      </c>
      <c r="F1308" s="669"/>
      <c r="G1308" s="669"/>
      <c r="H1308" s="669"/>
      <c r="I1308" s="669"/>
      <c r="J1308" s="670"/>
      <c r="K1308" s="212">
        <v>2</v>
      </c>
      <c r="L1308" s="239" t="str">
        <f>IFERROR(VLOOKUP($C1308,'SINAPI MAIO 2020'!$1:$1048576,3,0),IFERROR(VLOOKUP($C1308,'6-COMP. PROPRIA'!$B$1:$I$808,5,0),""))</f>
        <v>UNI</v>
      </c>
      <c r="M1308" s="145"/>
    </row>
    <row r="1309" spans="2:13" s="340" customFormat="1" ht="30" customHeight="1">
      <c r="B1309" s="338"/>
      <c r="C1309" s="274" t="str">
        <f>'6-COMP. PROPRIA'!B529</f>
        <v>CP-ELE-38</v>
      </c>
      <c r="D1309" s="275" t="s">
        <v>980</v>
      </c>
      <c r="E1309" s="668" t="str">
        <f>IFERROR(VLOOKUP($C1309,'SINAPI MAIO 2020'!$1:$1048576,2,0),IFERROR(VLOOKUP($C1309,'6-COMP. PROPRIA'!$B$28:$I$808,4,0),""))</f>
        <v>Arruela quadrada</v>
      </c>
      <c r="F1309" s="669"/>
      <c r="G1309" s="669"/>
      <c r="H1309" s="669"/>
      <c r="I1309" s="669"/>
      <c r="J1309" s="670"/>
      <c r="K1309" s="212">
        <v>7</v>
      </c>
      <c r="L1309" s="239" t="str">
        <f>IFERROR(VLOOKUP($C1309,'SINAPI MAIO 2020'!$1:$1048576,3,0),IFERROR(VLOOKUP($C1309,'6-COMP. PROPRIA'!$B$1:$I$808,5,0),""))</f>
        <v>UNI</v>
      </c>
      <c r="M1309" s="145"/>
    </row>
    <row r="1310" spans="2:13" s="340" customFormat="1" ht="15.75">
      <c r="B1310" s="338"/>
      <c r="C1310" s="274" t="str">
        <f>'6-COMP. PROPRIA'!B534</f>
        <v>CP-ELE-39</v>
      </c>
      <c r="D1310" s="275" t="s">
        <v>980</v>
      </c>
      <c r="E1310" s="668" t="str">
        <f>IFERROR(VLOOKUP($C1310,'SINAPI MAIO 2020'!$1:$1048576,2,0),IFERROR(VLOOKUP($C1310,'6-COMP. PROPRIA'!$B$28:$I$808,4,0),""))</f>
        <v>Parafuso cabeça quadrada de 100mm</v>
      </c>
      <c r="F1310" s="669"/>
      <c r="G1310" s="669"/>
      <c r="H1310" s="669"/>
      <c r="I1310" s="669"/>
      <c r="J1310" s="670"/>
      <c r="K1310" s="212">
        <v>2</v>
      </c>
      <c r="L1310" s="239" t="str">
        <f>IFERROR(VLOOKUP($C1310,'SINAPI MAIO 2020'!$1:$1048576,3,0),IFERROR(VLOOKUP($C1310,'6-COMP. PROPRIA'!$B$1:$I$808,5,0),""))</f>
        <v>UNI</v>
      </c>
      <c r="M1310" s="145"/>
    </row>
    <row r="1311" spans="2:13" s="340" customFormat="1" ht="15.75">
      <c r="B1311" s="338"/>
      <c r="C1311" s="274" t="str">
        <f>'6-COMP. PROPRIA'!B539</f>
        <v>CP-ELE-40</v>
      </c>
      <c r="D1311" s="275" t="s">
        <v>980</v>
      </c>
      <c r="E1311" s="668" t="str">
        <f>IFERROR(VLOOKUP($C1311,'SINAPI MAIO 2020'!$1:$1048576,2,0),IFERROR(VLOOKUP($C1311,'6-COMP. PROPRIA'!$B$28:$I$808,4,0),""))</f>
        <v>Parafuso de cabeça quadrada de 125mm</v>
      </c>
      <c r="F1311" s="669"/>
      <c r="G1311" s="669"/>
      <c r="H1311" s="669"/>
      <c r="I1311" s="669"/>
      <c r="J1311" s="670"/>
      <c r="K1311" s="212">
        <v>1</v>
      </c>
      <c r="L1311" s="239" t="str">
        <f>IFERROR(VLOOKUP($C1311,'SINAPI MAIO 2020'!$1:$1048576,3,0),IFERROR(VLOOKUP($C1311,'6-COMP. PROPRIA'!$B$1:$I$808,5,0),""))</f>
        <v>UNI</v>
      </c>
      <c r="M1311" s="145"/>
    </row>
    <row r="1312" spans="2:13" s="340" customFormat="1" ht="17.25" customHeight="1">
      <c r="B1312" s="338"/>
      <c r="C1312" s="274" t="str">
        <f>'6-COMP. PROPRIA'!B544</f>
        <v>CP-ELE-41</v>
      </c>
      <c r="D1312" s="275" t="s">
        <v>980</v>
      </c>
      <c r="E1312" s="668" t="str">
        <f>IFERROR(VLOOKUP($C1312,'SINAPI MAIO 2020'!$1:$1048576,2,0),IFERROR(VLOOKUP($C1312,'6-COMP. PROPRIA'!$B$28:$I$808,4,0),""))</f>
        <v>Parafuso de cabeça quadrada de 200mm</v>
      </c>
      <c r="F1312" s="669"/>
      <c r="G1312" s="669"/>
      <c r="H1312" s="669"/>
      <c r="I1312" s="669"/>
      <c r="J1312" s="670"/>
      <c r="K1312" s="212">
        <v>4</v>
      </c>
      <c r="L1312" s="239" t="str">
        <f>IFERROR(VLOOKUP($C1312,'SINAPI MAIO 2020'!$1:$1048576,3,0),IFERROR(VLOOKUP($C1312,'6-COMP. PROPRIA'!$B$1:$I$808,5,0),""))</f>
        <v>UNI</v>
      </c>
      <c r="M1312" s="145"/>
    </row>
    <row r="1313" spans="2:13" s="340" customFormat="1" ht="17.25" customHeight="1">
      <c r="B1313" s="338"/>
      <c r="C1313" s="274" t="str">
        <f>'6-COMP. PROPRIA'!B549</f>
        <v>CP-ELE-42</v>
      </c>
      <c r="D1313" s="275" t="s">
        <v>980</v>
      </c>
      <c r="E1313" s="668" t="str">
        <f>IFERROR(VLOOKUP($C1313,'SINAPI MAIO 2020'!$1:$1048576,2,0),IFERROR(VLOOKUP($C1313,'6-COMP. PROPRIA'!$B$28:$I$808,4,0),""))</f>
        <v>Parafuso de cabeça quadrada de 250mm</v>
      </c>
      <c r="F1313" s="669"/>
      <c r="G1313" s="669"/>
      <c r="H1313" s="669"/>
      <c r="I1313" s="669"/>
      <c r="J1313" s="670"/>
      <c r="K1313" s="212">
        <v>3</v>
      </c>
      <c r="L1313" s="239" t="str">
        <f>IFERROR(VLOOKUP($C1313,'SINAPI MAIO 2020'!$1:$1048576,3,0),IFERROR(VLOOKUP($C1313,'6-COMP. PROPRIA'!$B$1:$I$808,5,0),""))</f>
        <v>UNI</v>
      </c>
      <c r="M1313" s="145"/>
    </row>
    <row r="1314" spans="2:13" s="340" customFormat="1" ht="17.25" customHeight="1">
      <c r="B1314" s="338"/>
      <c r="C1314" s="274" t="str">
        <f>'6-COMP. PROPRIA'!B554</f>
        <v>CP-ELE-43</v>
      </c>
      <c r="D1314" s="275" t="s">
        <v>980</v>
      </c>
      <c r="E1314" s="668" t="str">
        <f>IFERROR(VLOOKUP($C1314,'SINAPI MAIO 2020'!$1:$1048576,2,0),IFERROR(VLOOKUP($C1314,'6-COMP. PROPRIA'!$B$28:$I$808,4,0),""))</f>
        <v xml:space="preserve">Parafuso de cabeça quadrada de 300mm </v>
      </c>
      <c r="F1314" s="669"/>
      <c r="G1314" s="669"/>
      <c r="H1314" s="669"/>
      <c r="I1314" s="669"/>
      <c r="J1314" s="670"/>
      <c r="K1314" s="212">
        <v>1</v>
      </c>
      <c r="L1314" s="239" t="str">
        <f>IFERROR(VLOOKUP($C1314,'SINAPI MAIO 2020'!$1:$1048576,3,0),IFERROR(VLOOKUP($C1314,'6-COMP. PROPRIA'!$B$1:$I$808,5,0),""))</f>
        <v>UNI</v>
      </c>
      <c r="M1314" s="145"/>
    </row>
    <row r="1315" spans="2:13" s="340" customFormat="1" ht="17.25" customHeight="1">
      <c r="B1315" s="338"/>
      <c r="C1315" s="274" t="str">
        <f>'6-COMP. PROPRIA'!B559</f>
        <v>CP-ELE-44</v>
      </c>
      <c r="D1315" s="275" t="s">
        <v>980</v>
      </c>
      <c r="E1315" s="668" t="str">
        <f>IFERROR(VLOOKUP($C1315,'SINAPI MAIO 2020'!$1:$1048576,2,0),IFERROR(VLOOKUP($C1315,'6-COMP. PROPRIA'!$B$28:$I$808,4,0),""))</f>
        <v xml:space="preserve">Protetor de bucha AT de transformador 15KV </v>
      </c>
      <c r="F1315" s="669"/>
      <c r="G1315" s="669"/>
      <c r="H1315" s="669"/>
      <c r="I1315" s="669"/>
      <c r="J1315" s="670"/>
      <c r="K1315" s="212">
        <v>6</v>
      </c>
      <c r="L1315" s="239" t="str">
        <f>IFERROR(VLOOKUP($C1315,'SINAPI MAIO 2020'!$1:$1048576,3,0),IFERROR(VLOOKUP($C1315,'6-COMP. PROPRIA'!$B$1:$I$808,5,0),""))</f>
        <v>UNI</v>
      </c>
      <c r="M1315" s="145"/>
    </row>
    <row r="1316" spans="2:13" s="340" customFormat="1" ht="17.25" customHeight="1">
      <c r="B1316" s="338"/>
      <c r="C1316" s="274" t="str">
        <f>'6-COMP. PROPRIA'!B564</f>
        <v>CP-ELE-45</v>
      </c>
      <c r="D1316" s="275" t="s">
        <v>980</v>
      </c>
      <c r="E1316" s="668" t="str">
        <f>IFERROR(VLOOKUP($C1316,'SINAPI MAIO 2020'!$1:$1048576,2,0),IFERROR(VLOOKUP($C1316,'6-COMP. PROPRIA'!$B$28:$I$808,4,0),""))</f>
        <v xml:space="preserve">Transformador de distribuição de 112,5 KVA trifasico classe 15KV, 220/127V </v>
      </c>
      <c r="F1316" s="669"/>
      <c r="G1316" s="669"/>
      <c r="H1316" s="669"/>
      <c r="I1316" s="669"/>
      <c r="J1316" s="670"/>
      <c r="K1316" s="212">
        <v>1</v>
      </c>
      <c r="L1316" s="239" t="str">
        <f>IFERROR(VLOOKUP($C1316,'SINAPI MAIO 2020'!$1:$1048576,3,0),IFERROR(VLOOKUP($C1316,'6-COMP. PROPRIA'!$B$1:$I$808,5,0),""))</f>
        <v>UNI</v>
      </c>
      <c r="M1316" s="145"/>
    </row>
    <row r="1317" spans="2:13" s="340" customFormat="1" ht="17.25" customHeight="1">
      <c r="B1317" s="338"/>
      <c r="C1317" s="274" t="str">
        <f>'6-COMP. PROPRIA'!B569</f>
        <v>CP-ELE-46</v>
      </c>
      <c r="D1317" s="275" t="s">
        <v>980</v>
      </c>
      <c r="E1317" s="668" t="str">
        <f>IFERROR(VLOOKUP($C1317,'SINAPI MAIO 2020'!$1:$1048576,2,0),IFERROR(VLOOKUP($C1317,'6-COMP. PROPRIA'!$B$28:$I$808,4,0),""))</f>
        <v xml:space="preserve">Isolador pilar 110KV </v>
      </c>
      <c r="F1317" s="669"/>
      <c r="G1317" s="669"/>
      <c r="H1317" s="669"/>
      <c r="I1317" s="669"/>
      <c r="J1317" s="670"/>
      <c r="K1317" s="212">
        <v>3</v>
      </c>
      <c r="L1317" s="239" t="str">
        <f>IFERROR(VLOOKUP($C1317,'SINAPI MAIO 2020'!$1:$1048576,3,0),IFERROR(VLOOKUP($C1317,'6-COMP. PROPRIA'!$B$1:$I$808,5,0),""))</f>
        <v>UNI</v>
      </c>
      <c r="M1317" s="145"/>
    </row>
    <row r="1318" spans="2:13" s="340" customFormat="1" ht="17.25" customHeight="1">
      <c r="B1318" s="338"/>
      <c r="C1318" s="274" t="str">
        <f>'6-COMP. PROPRIA'!B574</f>
        <v>CP-ELE-47</v>
      </c>
      <c r="D1318" s="275" t="s">
        <v>980</v>
      </c>
      <c r="E1318" s="668" t="str">
        <f>IFERROR(VLOOKUP($C1318,'SINAPI MAIO 2020'!$1:$1048576,2,0),IFERROR(VLOOKUP($C1318,'6-COMP. PROPRIA'!$B$28:$I$808,4,0),""))</f>
        <v xml:space="preserve">Pino auto travante, 140mm para isolador pilar </v>
      </c>
      <c r="F1318" s="669"/>
      <c r="G1318" s="669"/>
      <c r="H1318" s="669"/>
      <c r="I1318" s="669"/>
      <c r="J1318" s="670"/>
      <c r="K1318" s="212">
        <v>3</v>
      </c>
      <c r="L1318" s="239" t="str">
        <f>IFERROR(VLOOKUP($C1318,'SINAPI MAIO 2020'!$1:$1048576,3,0),IFERROR(VLOOKUP($C1318,'6-COMP. PROPRIA'!$B$1:$I$808,5,0),""))</f>
        <v>UNI</v>
      </c>
      <c r="M1318" s="145"/>
    </row>
    <row r="1319" spans="2:13" s="340" customFormat="1" ht="39.75" customHeight="1">
      <c r="B1319" s="338"/>
      <c r="C1319" s="274" t="str">
        <f>'6-COMP. PROPRIA'!B579</f>
        <v>CP-ELE-48</v>
      </c>
      <c r="D1319" s="275" t="s">
        <v>980</v>
      </c>
      <c r="E1319" s="668" t="str">
        <f>IFERROR(VLOOKUP($C1319,'SINAPI MAIO 2020'!$1:$1048576,2,0),IFERROR(VLOOKUP($C1319,'6-COMP. PROPRIA'!$B$28:$I$808,4,0),""))</f>
        <v>Cabo de cobre XLPE-15KV 16mm²</v>
      </c>
      <c r="F1319" s="669"/>
      <c r="G1319" s="669"/>
      <c r="H1319" s="669"/>
      <c r="I1319" s="669"/>
      <c r="J1319" s="670"/>
      <c r="K1319" s="212">
        <v>2</v>
      </c>
      <c r="L1319" s="239" t="str">
        <f>IFERROR(VLOOKUP($C1319,'SINAPI MAIO 2020'!$1:$1048576,3,0),IFERROR(VLOOKUP($C1319,'6-COMP. PROPRIA'!$B$1:$I$808,5,0),""))</f>
        <v>UNI</v>
      </c>
      <c r="M1319" s="145"/>
    </row>
    <row r="1320" spans="2:13" s="340" customFormat="1" ht="39.75" customHeight="1">
      <c r="B1320" s="338"/>
      <c r="C1320" s="274" t="str">
        <f>'6-COMP. PROPRIA'!B584</f>
        <v>CP-ELE-49</v>
      </c>
      <c r="D1320" s="275" t="s">
        <v>980</v>
      </c>
      <c r="E1320" s="668" t="str">
        <f>IFERROR(VLOOKUP($C1320,'SINAPI MAIO 2020'!$1:$1048576,2,0),IFERROR(VLOOKUP($C1320,'6-COMP. PROPRIA'!$B$28:$I$808,4,0),""))</f>
        <v xml:space="preserve">Cabeçote para entrada de linha de alimentação para eletroduto de Ø4" com acabamento anti-corressivo </v>
      </c>
      <c r="F1320" s="669"/>
      <c r="G1320" s="669"/>
      <c r="H1320" s="669"/>
      <c r="I1320" s="669"/>
      <c r="J1320" s="670"/>
      <c r="K1320" s="212">
        <v>1</v>
      </c>
      <c r="L1320" s="239" t="str">
        <f>IFERROR(VLOOKUP($C1320,'SINAPI MAIO 2020'!$1:$1048576,3,0),IFERROR(VLOOKUP($C1320,'6-COMP. PROPRIA'!$B$1:$I$808,5,0),""))</f>
        <v>UNI</v>
      </c>
      <c r="M1320" s="145"/>
    </row>
    <row r="1321" spans="2:13" s="340" customFormat="1" ht="39.75" customHeight="1">
      <c r="B1321" s="338"/>
      <c r="C1321" s="274" t="str">
        <f>'6-COMP. PROPRIA'!B589</f>
        <v>CP-ELE-50</v>
      </c>
      <c r="D1321" s="275" t="s">
        <v>980</v>
      </c>
      <c r="E1321" s="668" t="str">
        <f>IFERROR(VLOOKUP($C1321,'SINAPI MAIO 2020'!$1:$1048576,2,0),IFERROR(VLOOKUP($C1321,'6-COMP. PROPRIA'!$B$28:$I$808,4,0),""))</f>
        <v xml:space="preserve">Massa calafeTadora </v>
      </c>
      <c r="F1321" s="669"/>
      <c r="G1321" s="669"/>
      <c r="H1321" s="669"/>
      <c r="I1321" s="669"/>
      <c r="J1321" s="670"/>
      <c r="K1321" s="212">
        <v>1</v>
      </c>
      <c r="L1321" s="239" t="str">
        <f>IFERROR(VLOOKUP($C1321,'SINAPI MAIO 2020'!$1:$1048576,3,0),IFERROR(VLOOKUP($C1321,'6-COMP. PROPRIA'!$B$1:$I$808,5,0),""))</f>
        <v>kg</v>
      </c>
      <c r="M1321" s="145"/>
    </row>
    <row r="1322" spans="2:13" s="340" customFormat="1" ht="39.75" customHeight="1">
      <c r="B1322" s="338"/>
      <c r="C1322" s="274" t="str">
        <f>'6-COMP. PROPRIA'!B398</f>
        <v>CP-ELE-13</v>
      </c>
      <c r="D1322" s="275" t="s">
        <v>980</v>
      </c>
      <c r="E1322" s="668" t="str">
        <f>IFERROR(VLOOKUP($C1322,'SINAPI MAIO 2020'!$1:$1048576,2,0),IFERROR(VLOOKUP($C1322,'6-COMP. PROPRIA'!$B$28:$I$808,4,0),""))</f>
        <v>Curva PVC roscável Ø4"</v>
      </c>
      <c r="F1322" s="669"/>
      <c r="G1322" s="669"/>
      <c r="H1322" s="669"/>
      <c r="I1322" s="669"/>
      <c r="J1322" s="670"/>
      <c r="K1322" s="212">
        <v>1</v>
      </c>
      <c r="L1322" s="239" t="str">
        <f>IFERROR(VLOOKUP($C1322,'SINAPI MAIO 2020'!$1:$1048576,3,0),IFERROR(VLOOKUP($C1322,'6-COMP. PROPRIA'!$B$1:$I$808,5,0),""))</f>
        <v>UNI</v>
      </c>
      <c r="M1322" s="145"/>
    </row>
    <row r="1323" spans="2:13" s="340" customFormat="1" ht="39.75" customHeight="1">
      <c r="B1323" s="338"/>
      <c r="C1323" s="274" t="str">
        <f>'6-COMP. PROPRIA'!B610</f>
        <v>CP-ELE-52</v>
      </c>
      <c r="D1323" s="275" t="s">
        <v>980</v>
      </c>
      <c r="E1323" s="668" t="str">
        <f>IFERROR(VLOOKUP($C1323,'SINAPI MAIO 2020'!$1:$1048576,2,0),IFERROR(VLOOKUP($C1323,'6-COMP. PROPRIA'!$B$28:$I$808,4,0),""))</f>
        <v>Mureta em alvenaria 1 vez dim 2,20x2,20metros com cobertura de 5% inclinação</v>
      </c>
      <c r="F1323" s="669"/>
      <c r="G1323" s="669"/>
      <c r="H1323" s="669"/>
      <c r="I1323" s="669"/>
      <c r="J1323" s="670"/>
      <c r="K1323" s="212">
        <v>1</v>
      </c>
      <c r="L1323" s="239" t="str">
        <f>IFERROR(VLOOKUP($C1323,'SINAPI MAIO 2020'!$1:$1048576,3,0),IFERROR(VLOOKUP($C1323,'6-COMP. PROPRIA'!$B$1:$I$808,5,0),""))</f>
        <v>UNI</v>
      </c>
      <c r="M1323" s="145"/>
    </row>
    <row r="1324" spans="2:13" s="340" customFormat="1" ht="39.75" customHeight="1">
      <c r="B1324" s="338"/>
      <c r="C1324" s="274" t="str">
        <f>'6-COMP. PROPRIA'!B628</f>
        <v>CP-ELE-53</v>
      </c>
      <c r="D1324" s="275" t="s">
        <v>980</v>
      </c>
      <c r="E1324" s="668" t="str">
        <f>IFERROR(VLOOKUP($C1324,'SINAPI MAIO 2020'!$1:$1048576,2,0),IFERROR(VLOOKUP($C1324,'6-COMP. PROPRIA'!$B$28:$I$808,4,0),""))</f>
        <v>Armario de medição direta 800A e proteção energisa - NDU 002</v>
      </c>
      <c r="F1324" s="669"/>
      <c r="G1324" s="669"/>
      <c r="H1324" s="669"/>
      <c r="I1324" s="669"/>
      <c r="J1324" s="670"/>
      <c r="K1324" s="212">
        <v>1</v>
      </c>
      <c r="L1324" s="239" t="str">
        <f>IFERROR(VLOOKUP($C1324,'SINAPI MAIO 2020'!$1:$1048576,3,0),IFERROR(VLOOKUP($C1324,'6-COMP. PROPRIA'!$B$1:$I$808,5,0),""))</f>
        <v>UNI</v>
      </c>
      <c r="M1324" s="145"/>
    </row>
    <row r="1325" spans="2:13" s="340" customFormat="1" ht="39.75" customHeight="1">
      <c r="B1325" s="338"/>
      <c r="C1325" s="274" t="str">
        <f>'6-COMP. PROPRIA'!B453</f>
        <v>CP-ELE-24</v>
      </c>
      <c r="D1325" s="275" t="s">
        <v>980</v>
      </c>
      <c r="E1325" s="668" t="str">
        <f>IFERROR(VLOOKUP($C1325,'SINAPI MAIO 2020'!$1:$1048576,2,0),IFERROR(VLOOKUP($C1325,'6-COMP. PROPRIA'!$B$28:$I$808,4,0),""))</f>
        <v xml:space="preserve">DISJUNTOR TERMOMAGNETICO TRIPOLAR 300 A / 600 V, TIPO JXD / ICC - 40 KA </v>
      </c>
      <c r="F1325" s="669"/>
      <c r="G1325" s="669"/>
      <c r="H1325" s="669"/>
      <c r="I1325" s="669"/>
      <c r="J1325" s="670"/>
      <c r="K1325" s="212">
        <v>1</v>
      </c>
      <c r="L1325" s="239" t="str">
        <f>IFERROR(VLOOKUP($C1325,'SINAPI MAIO 2020'!$1:$1048576,3,0),IFERROR(VLOOKUP($C1325,'6-COMP. PROPRIA'!$B$1:$I$808,5,0),""))</f>
        <v>UNI</v>
      </c>
      <c r="M1325" s="145"/>
    </row>
    <row r="1326" spans="2:13" s="340" customFormat="1" ht="39.75" customHeight="1">
      <c r="B1326" s="338"/>
      <c r="C1326" s="274" t="str">
        <f>'6-COMP. PROPRIA'!B633</f>
        <v>CP-ELE-54</v>
      </c>
      <c r="D1326" s="275" t="s">
        <v>980</v>
      </c>
      <c r="E1326" s="668" t="str">
        <f>IFERROR(VLOOKUP($C1326,'SINAPI MAIO 2020'!$1:$1048576,2,0),IFERROR(VLOOKUP($C1326,'6-COMP. PROPRIA'!$B$28:$I$808,4,0),""))</f>
        <v>Eletroduto aço carbono c/costura a galv a fogo Ø100mm</v>
      </c>
      <c r="F1326" s="669"/>
      <c r="G1326" s="669"/>
      <c r="H1326" s="669"/>
      <c r="I1326" s="669"/>
      <c r="J1326" s="670"/>
      <c r="K1326" s="212">
        <v>7</v>
      </c>
      <c r="L1326" s="239" t="str">
        <f>IFERROR(VLOOKUP($C1326,'SINAPI MAIO 2020'!$1:$1048576,3,0),IFERROR(VLOOKUP($C1326,'6-COMP. PROPRIA'!$B$1:$I$808,5,0),""))</f>
        <v>m</v>
      </c>
      <c r="M1326" s="145"/>
    </row>
    <row r="1327" spans="2:13" s="340" customFormat="1" ht="39.75" customHeight="1">
      <c r="B1327" s="338"/>
      <c r="C1327" s="274" t="str">
        <f>'6-COMP. PROPRIA'!B638</f>
        <v>CP-ELE-55</v>
      </c>
      <c r="D1327" s="275" t="s">
        <v>980</v>
      </c>
      <c r="E1327" s="668" t="str">
        <f>IFERROR(VLOOKUP($C1327,'SINAPI MAIO 2020'!$1:$1048576,2,0),IFERROR(VLOOKUP($C1327,'6-COMP. PROPRIA'!$B$28:$I$808,4,0),""))</f>
        <v>Grampo de ancoragem p/ cabo coberto 15KV de 50mm²</v>
      </c>
      <c r="F1327" s="669"/>
      <c r="G1327" s="669"/>
      <c r="H1327" s="669"/>
      <c r="I1327" s="669"/>
      <c r="J1327" s="670"/>
      <c r="K1327" s="212">
        <v>3</v>
      </c>
      <c r="L1327" s="239" t="str">
        <f>IFERROR(VLOOKUP($C1327,'SINAPI MAIO 2020'!$1:$1048576,3,0),IFERROR(VLOOKUP($C1327,'6-COMP. PROPRIA'!$B$1:$I$808,5,0),""))</f>
        <v>PÇ</v>
      </c>
      <c r="M1327" s="145"/>
    </row>
    <row r="1328" spans="2:13" s="340" customFormat="1" ht="39.75" customHeight="1">
      <c r="B1328" s="338"/>
      <c r="C1328" s="274">
        <v>92992</v>
      </c>
      <c r="D1328" s="275" t="s">
        <v>8</v>
      </c>
      <c r="E1328" s="668" t="str">
        <f>IFERROR(VLOOKUP($C1328,'SINAPI MAIO 2020'!$1:$1048576,2,0),IFERROR(VLOOKUP($C1328,'6-COMP. PROPRIA'!$B$28:$I$808,4,0),""))</f>
        <v>CABO DE COBRE FLEXÍVEL ISOLADO, 95 MM², ANTI-CHAMA 0,6/1,0 KV, PARA DISTRIBUIÇÃO - FORNECIMENTO E INSTALAÇÃO. AF_12/2015</v>
      </c>
      <c r="F1328" s="669"/>
      <c r="G1328" s="669"/>
      <c r="H1328" s="669"/>
      <c r="I1328" s="669"/>
      <c r="J1328" s="670"/>
      <c r="K1328" s="212">
        <v>9</v>
      </c>
      <c r="L1328" s="239" t="str">
        <f>IFERROR(VLOOKUP($C1328,'SINAPI MAIO 2020'!$1:$1048576,3,0),IFERROR(VLOOKUP($C1328,'6-COMP. PROPRIA'!$B$1:$I$808,5,0),""))</f>
        <v>M</v>
      </c>
      <c r="M1328" s="145"/>
    </row>
    <row r="1329" spans="2:13" s="340" customFormat="1" ht="39.75" customHeight="1">
      <c r="B1329" s="338"/>
      <c r="C1329" s="274">
        <v>92998</v>
      </c>
      <c r="D1329" s="275" t="s">
        <v>8</v>
      </c>
      <c r="E1329" s="668" t="str">
        <f>IFERROR(VLOOKUP($C1329,'SINAPI MAIO 2020'!$1:$1048576,2,0),IFERROR(VLOOKUP($C1329,'6-COMP. PROPRIA'!$B$28:$I$808,4,0),""))</f>
        <v>CABO DE COBRE FLEXÍVEL ISOLADO, 185 MM², ANTI-CHAMA 0,6/1,0 KV, PARA DISTRIBUIÇÃO - FORNECIMENTO E INSTALAÇÃO. AF_12/2015</v>
      </c>
      <c r="F1329" s="669"/>
      <c r="G1329" s="669"/>
      <c r="H1329" s="669"/>
      <c r="I1329" s="669"/>
      <c r="J1329" s="670"/>
      <c r="K1329" s="212">
        <v>27</v>
      </c>
      <c r="L1329" s="239" t="str">
        <f>IFERROR(VLOOKUP($C1329,'SINAPI MAIO 2020'!$1:$1048576,3,0),IFERROR(VLOOKUP($C1329,'6-COMP. PROPRIA'!$B$1:$I$808,5,0),""))</f>
        <v>M</v>
      </c>
      <c r="M1329" s="145"/>
    </row>
    <row r="1330" spans="2:13" s="340" customFormat="1" ht="39.75" customHeight="1">
      <c r="B1330" s="338"/>
      <c r="C1330" s="274">
        <v>91862</v>
      </c>
      <c r="D1330" s="275" t="s">
        <v>8</v>
      </c>
      <c r="E1330" s="668" t="str">
        <f>IFERROR(VLOOKUP($C1330,'SINAPI MAIO 2020'!$1:$1048576,2,0),IFERROR(VLOOKUP($C1330,'6-COMP. PROPRIA'!$B$28:$I$808,4,0),""))</f>
        <v>ELETRODUTO RÍGIDO ROSCÁVEL, PVC, DN 20 MM (1/2"), PARA CIRCUITOS TERMINAIS, INSTALADO EM FORRO - FORNECIMENTO E INSTALAÇÃO. AF_12/2015</v>
      </c>
      <c r="F1330" s="669"/>
      <c r="G1330" s="669"/>
      <c r="H1330" s="669"/>
      <c r="I1330" s="669"/>
      <c r="J1330" s="670"/>
      <c r="K1330" s="212">
        <v>3</v>
      </c>
      <c r="L1330" s="239" t="str">
        <f>IFERROR(VLOOKUP($C1330,'SINAPI MAIO 2020'!$1:$1048576,3,0),IFERROR(VLOOKUP($C1330,'6-COMP. PROPRIA'!$B$1:$I$808,5,0),""))</f>
        <v>M</v>
      </c>
      <c r="M1330" s="145"/>
    </row>
    <row r="1331" spans="2:13" s="340" customFormat="1" ht="39.75" customHeight="1">
      <c r="B1331" s="338"/>
      <c r="C1331" s="274">
        <v>97889</v>
      </c>
      <c r="D1331" s="275" t="s">
        <v>8</v>
      </c>
      <c r="E1331" s="668" t="str">
        <f>IFERROR(VLOOKUP($C1331,'SINAPI MAIO 2020'!$1:$1048576,2,0),IFERROR(VLOOKUP($C1331,'6-COMP. PROPRIA'!$B$28:$I$808,4,0),""))</f>
        <v>CAIXA ENTERRADA ELÉTRICA RETANGULAR, EM ALVENARIA COM TIJOLOS CERÂMICOS MACIÇOS, FUNDO COM BRITA, DIMENSÕES INTERNAS: 0,8X0,8X0,6 M. AF_05/2018</v>
      </c>
      <c r="F1331" s="669"/>
      <c r="G1331" s="669"/>
      <c r="H1331" s="669"/>
      <c r="I1331" s="669"/>
      <c r="J1331" s="670"/>
      <c r="K1331" s="212">
        <v>1</v>
      </c>
      <c r="L1331" s="239" t="str">
        <f>IFERROR(VLOOKUP($C1331,'SINAPI MAIO 2020'!$1:$1048576,3,0),IFERROR(VLOOKUP($C1331,'6-COMP. PROPRIA'!$B$1:$I$808,5,0),""))</f>
        <v>UN</v>
      </c>
      <c r="M1331" s="145"/>
    </row>
    <row r="1332" spans="2:13" s="340" customFormat="1" ht="15.75">
      <c r="B1332" s="338"/>
      <c r="C1332" s="342"/>
      <c r="D1332" s="289"/>
      <c r="E1332" s="238" t="str">
        <f>IFERROR(VLOOKUP($C1332,'SINAPI MAIO 2020'!$1:$1048576,2,0),IFERROR(VLOOKUP($C1332,'6-COMP. PROPRIA'!$B$28:$I$808,4,0),""))</f>
        <v/>
      </c>
      <c r="F1332" s="333"/>
      <c r="G1332" s="333"/>
      <c r="H1332" s="333"/>
      <c r="I1332" s="333"/>
      <c r="J1332" s="103"/>
      <c r="K1332" s="337"/>
      <c r="L1332" s="51" t="str">
        <f>IFERROR(VLOOKUP($C1332,'SINAPI MAIO 2020'!$1:$1048576,3,0),IFERROR(VLOOKUP($C1332,'6-COMP. PROPRIA'!$B$1:$I$808,5,0),""))</f>
        <v/>
      </c>
      <c r="M1332" s="145"/>
    </row>
    <row r="1333" spans="2:13" s="340" customFormat="1" ht="17.25" customHeight="1">
      <c r="B1333" s="338"/>
      <c r="C1333" s="342"/>
      <c r="D1333" s="289"/>
      <c r="E1333" s="671" t="s">
        <v>12491</v>
      </c>
      <c r="F1333" s="672"/>
      <c r="G1333" s="672"/>
      <c r="H1333" s="672"/>
      <c r="I1333" s="672"/>
      <c r="J1333" s="673"/>
      <c r="K1333" s="337"/>
      <c r="L1333" s="51" t="str">
        <f>IFERROR(VLOOKUP($C1333,'SINAPI MAIO 2020'!$1:$1048576,3,0),IFERROR(VLOOKUP($C1333,'6-COMP. PROPRIA'!$B$1:$I$808,5,0),""))</f>
        <v/>
      </c>
      <c r="M1333" s="145"/>
    </row>
    <row r="1334" spans="2:13" s="340" customFormat="1" ht="17.25" customHeight="1">
      <c r="B1334" s="338"/>
      <c r="C1334" s="342"/>
      <c r="D1334" s="289"/>
      <c r="E1334" s="238" t="str">
        <f>IFERROR(VLOOKUP($C1334,'SINAPI MAIO 2020'!$1:$1048576,2,0),IFERROR(VLOOKUP($C1334,'6-COMP. PROPRIA'!$B$28:$I$808,4,0),""))</f>
        <v/>
      </c>
      <c r="F1334" s="333"/>
      <c r="G1334" s="333"/>
      <c r="H1334" s="333"/>
      <c r="I1334" s="333"/>
      <c r="J1334" s="103"/>
      <c r="K1334" s="337"/>
      <c r="L1334" s="51" t="str">
        <f>IFERROR(VLOOKUP($C1334,'SINAPI MAIO 2020'!$1:$1048576,3,0),IFERROR(VLOOKUP($C1334,'6-COMP. PROPRIA'!$B$1:$I$808,5,0),""))</f>
        <v/>
      </c>
      <c r="M1334" s="145"/>
    </row>
    <row r="1335" spans="2:13" s="340" customFormat="1" ht="17.25" customHeight="1">
      <c r="B1335" s="338"/>
      <c r="C1335" s="274" t="str">
        <f>'6-COMP. PROPRIA'!B643</f>
        <v>CP-ELE-56</v>
      </c>
      <c r="D1335" s="275" t="s">
        <v>980</v>
      </c>
      <c r="E1335" s="668" t="str">
        <f>IFERROR(VLOOKUP($C1335,'SINAPI MAIO 2020'!$1:$1048576,2,0),IFERROR(VLOOKUP($C1335,'6-COMP. PROPRIA'!$B$28:$I$808,4,0),""))</f>
        <v xml:space="preserve">Cabo de aluminio protegido 50mm²-15KV - XLPE </v>
      </c>
      <c r="F1335" s="669"/>
      <c r="G1335" s="669"/>
      <c r="H1335" s="669"/>
      <c r="I1335" s="669"/>
      <c r="J1335" s="670"/>
      <c r="K1335" s="212">
        <v>60</v>
      </c>
      <c r="L1335" s="51" t="str">
        <f>IFERROR(VLOOKUP($C1335,'SINAPI MAIO 2020'!$1:$1048576,3,0),IFERROR(VLOOKUP($C1335,'6-COMP. PROPRIA'!$B$1:$I$808,5,0),""))</f>
        <v>m</v>
      </c>
      <c r="M1335" s="145"/>
    </row>
    <row r="1336" spans="2:13" s="340" customFormat="1" ht="17.25" customHeight="1">
      <c r="B1336" s="338"/>
      <c r="C1336" s="274" t="str">
        <f>'6-COMP. PROPRIA'!B648</f>
        <v>CP-ELE-57</v>
      </c>
      <c r="D1336" s="275" t="s">
        <v>980</v>
      </c>
      <c r="E1336" s="668" t="str">
        <f>IFERROR(VLOOKUP($C1336,'SINAPI MAIO 2020'!$1:$1048576,2,0),IFERROR(VLOOKUP($C1336,'6-COMP. PROPRIA'!$B$28:$I$808,4,0),""))</f>
        <v>Cabo de aço galvanizado 9,5m</v>
      </c>
      <c r="F1336" s="669"/>
      <c r="G1336" s="669"/>
      <c r="H1336" s="669"/>
      <c r="I1336" s="669"/>
      <c r="J1336" s="670"/>
      <c r="K1336" s="212">
        <v>20</v>
      </c>
      <c r="L1336" s="51" t="str">
        <f>IFERROR(VLOOKUP($C1336,'SINAPI MAIO 2020'!$1:$1048576,3,0),IFERROR(VLOOKUP($C1336,'6-COMP. PROPRIA'!$B$1:$I$808,5,0),""))</f>
        <v>m</v>
      </c>
      <c r="M1336" s="145"/>
    </row>
    <row r="1337" spans="2:13" s="340" customFormat="1" ht="17.25" customHeight="1">
      <c r="B1337" s="338"/>
      <c r="C1337" s="274" t="str">
        <f>'6-COMP. PROPRIA'!B653</f>
        <v>CP-ELE-58</v>
      </c>
      <c r="D1337" s="275" t="s">
        <v>980</v>
      </c>
      <c r="E1337" s="668" t="str">
        <f>IFERROR(VLOOKUP($C1337,'SINAPI MAIO 2020'!$1:$1048576,2,0),IFERROR(VLOOKUP($C1337,'6-COMP. PROPRIA'!$B$28:$I$808,4,0),""))</f>
        <v xml:space="preserve">Espaçador losangular  para cabo de aluminio - 15 KV </v>
      </c>
      <c r="F1337" s="669"/>
      <c r="G1337" s="669"/>
      <c r="H1337" s="669"/>
      <c r="I1337" s="669"/>
      <c r="J1337" s="670"/>
      <c r="K1337" s="212">
        <v>4</v>
      </c>
      <c r="L1337" s="51" t="str">
        <f>IFERROR(VLOOKUP($C1337,'SINAPI MAIO 2020'!$1:$1048576,3,0),IFERROR(VLOOKUP($C1337,'6-COMP. PROPRIA'!$B$1:$I$808,5,0),""))</f>
        <v>UNI</v>
      </c>
      <c r="M1337" s="145"/>
    </row>
    <row r="1338" spans="2:13" s="340" customFormat="1" ht="17.25" customHeight="1">
      <c r="B1338" s="338"/>
      <c r="C1338" s="274" t="str">
        <f>'6-COMP. PROPRIA'!B659</f>
        <v>CP-ELE-59</v>
      </c>
      <c r="D1338" s="275" t="s">
        <v>980</v>
      </c>
      <c r="E1338" s="668" t="str">
        <f>IFERROR(VLOOKUP($C1338,'SINAPI MAIO 2020'!$1:$1048576,2,0),IFERROR(VLOOKUP($C1338,'6-COMP. PROPRIA'!$B$28:$I$808,4,0),""))</f>
        <v>Serviço de caminhão linha viva para implantação de 1 poste e serviço de conexão</v>
      </c>
      <c r="F1338" s="669"/>
      <c r="G1338" s="669"/>
      <c r="H1338" s="669"/>
      <c r="I1338" s="669"/>
      <c r="J1338" s="670"/>
      <c r="K1338" s="212">
        <v>1</v>
      </c>
      <c r="L1338" s="51" t="str">
        <f>IFERROR(VLOOKUP($C1338,'SINAPI MAIO 2020'!$1:$1048576,3,0),IFERROR(VLOOKUP($C1338,'6-COMP. PROPRIA'!$B$1:$I$808,5,0),""))</f>
        <v>UNI</v>
      </c>
      <c r="M1338" s="145"/>
    </row>
    <row r="1339" spans="2:13" s="340" customFormat="1" ht="17.25" customHeight="1">
      <c r="B1339" s="338"/>
      <c r="C1339" s="342"/>
      <c r="D1339" s="289"/>
      <c r="E1339" s="238" t="str">
        <f>IFERROR(VLOOKUP($C1339,'SINAPI MAIO 2020'!$1:$1048576,2,0),IFERROR(VLOOKUP($C1339,'6-COMP. PROPRIA'!$B$28:$I$808,4,0),""))</f>
        <v/>
      </c>
      <c r="F1339" s="333"/>
      <c r="G1339" s="333"/>
      <c r="H1339" s="333"/>
      <c r="I1339" s="333"/>
      <c r="J1339" s="103"/>
      <c r="K1339" s="337"/>
      <c r="L1339" s="51" t="str">
        <f>IFERROR(VLOOKUP($C1339,'SINAPI MAIO 2020'!$1:$1048576,3,0),IFERROR(VLOOKUP($C1339,'6-COMP. PROPRIA'!$B$1:$I$808,5,0),""))</f>
        <v/>
      </c>
      <c r="M1339" s="145"/>
    </row>
    <row r="1340" spans="2:13" s="340" customFormat="1" ht="17.25" customHeight="1">
      <c r="B1340" s="338"/>
      <c r="C1340" s="342"/>
      <c r="D1340" s="289"/>
      <c r="E1340" s="671" t="s">
        <v>12492</v>
      </c>
      <c r="F1340" s="672"/>
      <c r="G1340" s="672"/>
      <c r="H1340" s="672"/>
      <c r="I1340" s="672"/>
      <c r="J1340" s="673"/>
      <c r="K1340" s="337"/>
      <c r="L1340" s="51" t="str">
        <f>IFERROR(VLOOKUP($C1340,'SINAPI MAIO 2020'!$1:$1048576,3,0),IFERROR(VLOOKUP($C1340,'6-COMP. PROPRIA'!$B$1:$I$808,5,0),""))</f>
        <v/>
      </c>
      <c r="M1340" s="145"/>
    </row>
    <row r="1341" spans="2:13" s="340" customFormat="1" ht="17.25" customHeight="1">
      <c r="B1341" s="338"/>
      <c r="C1341" s="342"/>
      <c r="D1341" s="289"/>
      <c r="E1341" s="238" t="str">
        <f>IFERROR(VLOOKUP($C1341,'SINAPI MAIO 2020'!$1:$1048576,2,0),IFERROR(VLOOKUP($C1341,'6-COMP. PROPRIA'!$B$28:$I$808,4,0),""))</f>
        <v/>
      </c>
      <c r="F1341" s="333"/>
      <c r="G1341" s="333"/>
      <c r="H1341" s="333"/>
      <c r="I1341" s="333"/>
      <c r="J1341" s="103"/>
      <c r="K1341" s="337"/>
      <c r="L1341" s="51" t="str">
        <f>IFERROR(VLOOKUP($C1341,'SINAPI MAIO 2020'!$1:$1048576,3,0),IFERROR(VLOOKUP($C1341,'6-COMP. PROPRIA'!$B$1:$I$808,5,0),""))</f>
        <v/>
      </c>
      <c r="M1341" s="145"/>
    </row>
    <row r="1342" spans="2:13" s="340" customFormat="1" ht="17.25" customHeight="1">
      <c r="B1342" s="338"/>
      <c r="C1342" s="274" t="str">
        <f>'6-COMP. PROPRIA'!B664</f>
        <v>CP-ELE-60</v>
      </c>
      <c r="D1342" s="275" t="s">
        <v>980</v>
      </c>
      <c r="E1342" s="668" t="str">
        <f>IFERROR(VLOOKUP($C1342,'SINAPI MAIO 2020'!$1:$1048576,2,0),IFERROR(VLOOKUP($C1342,'6-COMP. PROPRIA'!$B$28:$I$808,4,0),""))</f>
        <v xml:space="preserve">Arame de aço galvanizado - 14 BWG </v>
      </c>
      <c r="F1342" s="669"/>
      <c r="G1342" s="669"/>
      <c r="H1342" s="669"/>
      <c r="I1342" s="669"/>
      <c r="J1342" s="670"/>
      <c r="K1342" s="212">
        <v>1</v>
      </c>
      <c r="L1342" s="51" t="str">
        <f>IFERROR(VLOOKUP($C1342,'SINAPI MAIO 2020'!$1:$1048576,3,0),IFERROR(VLOOKUP($C1342,'6-COMP. PROPRIA'!$B$1:$I$808,5,0),""))</f>
        <v xml:space="preserve">M     </v>
      </c>
      <c r="M1342" s="145"/>
    </row>
    <row r="1343" spans="2:13" s="340" customFormat="1" ht="17.25" customHeight="1">
      <c r="B1343" s="338"/>
      <c r="C1343" s="274" t="str">
        <f>'6-COMP. PROPRIA'!B669</f>
        <v>CP-ELE-61</v>
      </c>
      <c r="D1343" s="275" t="s">
        <v>980</v>
      </c>
      <c r="E1343" s="668" t="str">
        <f>IFERROR(VLOOKUP($C1343,'SINAPI MAIO 2020'!$1:$1048576,2,0),IFERROR(VLOOKUP($C1343,'6-COMP. PROPRIA'!$B$28:$I$808,4,0),""))</f>
        <v xml:space="preserve">Caixa de aterramento 50x50cm </v>
      </c>
      <c r="F1343" s="669"/>
      <c r="G1343" s="669"/>
      <c r="H1343" s="669"/>
      <c r="I1343" s="669"/>
      <c r="J1343" s="670"/>
      <c r="K1343" s="212">
        <v>4</v>
      </c>
      <c r="L1343" s="51" t="str">
        <f>IFERROR(VLOOKUP($C1343,'SINAPI MAIO 2020'!$1:$1048576,3,0),IFERROR(VLOOKUP($C1343,'6-COMP. PROPRIA'!$B$1:$I$808,5,0),""))</f>
        <v>UNI</v>
      </c>
      <c r="M1343" s="145"/>
    </row>
    <row r="1344" spans="2:13" s="340" customFormat="1" ht="17.25" customHeight="1">
      <c r="B1344" s="338"/>
      <c r="C1344" s="274" t="str">
        <f>'6-COMP. PROPRIA'!B674</f>
        <v>CP-ELE-62</v>
      </c>
      <c r="D1344" s="275" t="s">
        <v>980</v>
      </c>
      <c r="E1344" s="668" t="str">
        <f>IFERROR(VLOOKUP($C1344,'SINAPI MAIO 2020'!$1:$1048576,2,0),IFERROR(VLOOKUP($C1344,'6-COMP. PROPRIA'!$B$28:$I$808,4,0),""))</f>
        <v xml:space="preserve">Conector derivação tipo cunha </v>
      </c>
      <c r="F1344" s="669"/>
      <c r="G1344" s="669"/>
      <c r="H1344" s="669"/>
      <c r="I1344" s="669"/>
      <c r="J1344" s="670"/>
      <c r="K1344" s="212">
        <v>2</v>
      </c>
      <c r="L1344" s="51" t="str">
        <f>IFERROR(VLOOKUP($C1344,'SINAPI MAIO 2020'!$1:$1048576,3,0),IFERROR(VLOOKUP($C1344,'6-COMP. PROPRIA'!$B$1:$I$808,5,0),""))</f>
        <v>UNI</v>
      </c>
      <c r="M1344" s="145"/>
    </row>
    <row r="1345" spans="2:13" s="340" customFormat="1" ht="17.25" customHeight="1">
      <c r="B1345" s="338"/>
      <c r="C1345" s="274" t="str">
        <f>'6-COMP. PROPRIA'!B679</f>
        <v>CP-ELE-63</v>
      </c>
      <c r="D1345" s="275" t="s">
        <v>980</v>
      </c>
      <c r="E1345" s="668" t="str">
        <f>IFERROR(VLOOKUP($C1345,'SINAPI MAIO 2020'!$1:$1048576,2,0),IFERROR(VLOOKUP($C1345,'6-COMP. PROPRIA'!$B$28:$I$808,4,0),""))</f>
        <v xml:space="preserve">Haste coperweld 3/8"x3,00 com conector </v>
      </c>
      <c r="F1345" s="669"/>
      <c r="G1345" s="669"/>
      <c r="H1345" s="669"/>
      <c r="I1345" s="669"/>
      <c r="J1345" s="670"/>
      <c r="K1345" s="212">
        <v>6</v>
      </c>
      <c r="L1345" s="51" t="str">
        <f>IFERROR(VLOOKUP($C1345,'SINAPI MAIO 2020'!$1:$1048576,3,0),IFERROR(VLOOKUP($C1345,'6-COMP. PROPRIA'!$B$1:$I$808,5,0),""))</f>
        <v>UNI</v>
      </c>
      <c r="M1345" s="145"/>
    </row>
    <row r="1346" spans="2:13" s="340" customFormat="1" ht="17.25" customHeight="1">
      <c r="B1346" s="338"/>
      <c r="C1346" s="274" t="str">
        <f>'6-COMP. PROPRIA'!B684</f>
        <v>CP-ELE-64</v>
      </c>
      <c r="D1346" s="275" t="s">
        <v>980</v>
      </c>
      <c r="E1346" s="668" t="str">
        <f>IFERROR(VLOOKUP($C1346,'SINAPI MAIO 2020'!$1:$1048576,2,0),IFERROR(VLOOKUP($C1346,'6-COMP. PROPRIA'!$B$28:$I$808,4,0),""))</f>
        <v>CABO DE COBRE NU 50 MM2 MEIO-DURO</v>
      </c>
      <c r="F1346" s="669"/>
      <c r="G1346" s="669"/>
      <c r="H1346" s="669"/>
      <c r="I1346" s="669"/>
      <c r="J1346" s="670"/>
      <c r="K1346" s="212">
        <v>27</v>
      </c>
      <c r="L1346" s="51" t="str">
        <f>IFERROR(VLOOKUP($C1346,'SINAPI MAIO 2020'!$1:$1048576,3,0),IFERROR(VLOOKUP($C1346,'6-COMP. PROPRIA'!$B$1:$I$808,5,0),""))</f>
        <v xml:space="preserve">M     </v>
      </c>
      <c r="M1346" s="145"/>
    </row>
    <row r="1347" spans="2:13" s="340" customFormat="1" ht="46.5" customHeight="1">
      <c r="B1347" s="338"/>
      <c r="C1347" s="274">
        <v>91933</v>
      </c>
      <c r="D1347" s="275" t="s">
        <v>8</v>
      </c>
      <c r="E1347" s="668" t="str">
        <f>IFERROR(VLOOKUP($C1347,'SINAPI MAIO 2020'!$1:$1048576,2,0),IFERROR(VLOOKUP($C1347,'6-COMP. PROPRIA'!$B$28:$I$808,4,0),""))</f>
        <v>CABO DE COBRE FLEXÍVEL ISOLADO, 10 MM², ANTI-CHAMA 0,6/1,0 KV, PARA CIRCUITOS TERMINAIS - FORNECIMENTO E INSTALAÇÃO. AF_12/2015</v>
      </c>
      <c r="F1347" s="669"/>
      <c r="G1347" s="669"/>
      <c r="H1347" s="669"/>
      <c r="I1347" s="669"/>
      <c r="J1347" s="670"/>
      <c r="K1347" s="212">
        <v>3</v>
      </c>
      <c r="L1347" s="51" t="str">
        <f>IFERROR(VLOOKUP($C1347,'SINAPI MAIO 2020'!$1:$1048576,3,0),IFERROR(VLOOKUP($C1347,'6-COMP. PROPRIA'!$B$1:$I$808,5,0),""))</f>
        <v>M</v>
      </c>
      <c r="M1347" s="145"/>
    </row>
    <row r="1348" spans="2:13" s="340" customFormat="1" ht="17.25" customHeight="1">
      <c r="B1348" s="338"/>
      <c r="C1348" s="342"/>
      <c r="D1348" s="289"/>
      <c r="E1348" s="238"/>
      <c r="F1348" s="333"/>
      <c r="G1348" s="333"/>
      <c r="H1348" s="333"/>
      <c r="I1348" s="333"/>
      <c r="J1348" s="103"/>
      <c r="K1348" s="337"/>
      <c r="L1348" s="51"/>
      <c r="M1348" s="145"/>
    </row>
    <row r="1349" spans="2:13" s="340" customFormat="1" ht="17.25" customHeight="1">
      <c r="B1349" s="338"/>
      <c r="C1349" s="342"/>
      <c r="D1349" s="289"/>
      <c r="E1349" s="671" t="s">
        <v>12493</v>
      </c>
      <c r="F1349" s="672"/>
      <c r="G1349" s="672"/>
      <c r="H1349" s="672"/>
      <c r="I1349" s="672"/>
      <c r="J1349" s="673"/>
      <c r="K1349" s="337"/>
      <c r="L1349" s="51"/>
      <c r="M1349" s="145"/>
    </row>
    <row r="1350" spans="2:13" s="340" customFormat="1" ht="17.25" customHeight="1">
      <c r="B1350" s="338"/>
      <c r="C1350" s="293"/>
      <c r="D1350" s="289"/>
      <c r="E1350" s="238"/>
      <c r="F1350" s="333"/>
      <c r="G1350" s="333"/>
      <c r="H1350" s="333"/>
      <c r="I1350" s="333"/>
      <c r="J1350" s="103"/>
      <c r="K1350" s="337"/>
      <c r="L1350" s="51"/>
      <c r="M1350" s="145"/>
    </row>
    <row r="1351" spans="2:13" s="340" customFormat="1" ht="17.25" customHeight="1">
      <c r="B1351" s="338"/>
      <c r="C1351" s="274" t="str">
        <f>'6-COMP. PROPRIA'!B689</f>
        <v>CP-ELE-65</v>
      </c>
      <c r="D1351" s="275" t="s">
        <v>980</v>
      </c>
      <c r="E1351" s="668" t="str">
        <f>IFERROR(VLOOKUP($C1351,'SINAPI MAIO 2020'!$1:$1048576,2,0),IFERROR(VLOOKUP($C1351,'6-COMP. PROPRIA'!$B$28:$I$808,4,0),""))</f>
        <v xml:space="preserve">Poste de concreto DT 11/600 </v>
      </c>
      <c r="F1351" s="669"/>
      <c r="G1351" s="669"/>
      <c r="H1351" s="669"/>
      <c r="I1351" s="669"/>
      <c r="J1351" s="670"/>
      <c r="K1351" s="212">
        <v>1</v>
      </c>
      <c r="L1351" s="51" t="str">
        <f>IFERROR(VLOOKUP($C1351,'SINAPI MAIO 2020'!$1:$1048576,3,0),IFERROR(VLOOKUP($C1351,'6-COMP. PROPRIA'!$B$1:$I$808,5,0),""))</f>
        <v>UNI</v>
      </c>
      <c r="M1351" s="145"/>
    </row>
    <row r="1352" spans="2:13" s="340" customFormat="1" ht="17.25" customHeight="1">
      <c r="B1352" s="338"/>
      <c r="C1352" s="274" t="str">
        <f>'6-COMP. PROPRIA'!B466</f>
        <v>CP-ELE-26</v>
      </c>
      <c r="D1352" s="275" t="s">
        <v>980</v>
      </c>
      <c r="E1352" s="668" t="str">
        <f>IFERROR(VLOOKUP($C1352,'SINAPI MAIO 2020'!$1:$1048576,2,0),IFERROR(VLOOKUP($C1352,'6-COMP. PROPRIA'!$B$28:$I$808,4,0),""))</f>
        <v xml:space="preserve">Alça pre-formada de estai para cabo aço galv. 9,5mm </v>
      </c>
      <c r="F1352" s="669"/>
      <c r="G1352" s="669"/>
      <c r="H1352" s="669"/>
      <c r="I1352" s="669"/>
      <c r="J1352" s="670"/>
      <c r="K1352" s="212">
        <v>1</v>
      </c>
      <c r="L1352" s="51" t="str">
        <f>IFERROR(VLOOKUP($C1352,'SINAPI MAIO 2020'!$1:$1048576,3,0),IFERROR(VLOOKUP($C1352,'6-COMP. PROPRIA'!$B$1:$I$808,5,0),""))</f>
        <v>UNI</v>
      </c>
      <c r="M1352" s="145"/>
    </row>
    <row r="1353" spans="2:13" s="340" customFormat="1" ht="17.25" customHeight="1">
      <c r="B1353" s="338"/>
      <c r="C1353" s="274" t="str">
        <f>'6-COMP. PROPRIA'!B471</f>
        <v>CP-ELE-27</v>
      </c>
      <c r="D1353" s="275" t="s">
        <v>980</v>
      </c>
      <c r="E1353" s="668" t="str">
        <f>IFERROR(VLOOKUP($C1353,'SINAPI MAIO 2020'!$1:$1048576,2,0),IFERROR(VLOOKUP($C1353,'6-COMP. PROPRIA'!$B$28:$I$808,4,0),""))</f>
        <v>Sapatilha</v>
      </c>
      <c r="F1353" s="669"/>
      <c r="G1353" s="669"/>
      <c r="H1353" s="669"/>
      <c r="I1353" s="669"/>
      <c r="J1353" s="670"/>
      <c r="K1353" s="212">
        <v>1</v>
      </c>
      <c r="L1353" s="51" t="str">
        <f>IFERROR(VLOOKUP($C1353,'SINAPI MAIO 2020'!$1:$1048576,3,0),IFERROR(VLOOKUP($C1353,'6-COMP. PROPRIA'!$B$1:$I$808,5,0),""))</f>
        <v>UNI</v>
      </c>
      <c r="M1353" s="145"/>
    </row>
    <row r="1354" spans="2:13" s="340" customFormat="1" ht="17.25" customHeight="1">
      <c r="B1354" s="338"/>
      <c r="C1354" s="274" t="str">
        <f>'6-COMP. PROPRIA'!B476</f>
        <v>CP-ELE-28</v>
      </c>
      <c r="D1354" s="275" t="s">
        <v>980</v>
      </c>
      <c r="E1354" s="668" t="str">
        <f>IFERROR(VLOOKUP($C1354,'SINAPI MAIO 2020'!$1:$1048576,2,0),IFERROR(VLOOKUP($C1354,'6-COMP. PROPRIA'!$B$28:$I$808,4,0),""))</f>
        <v>Olhal para parafuso</v>
      </c>
      <c r="F1354" s="669"/>
      <c r="G1354" s="669"/>
      <c r="H1354" s="669"/>
      <c r="I1354" s="669"/>
      <c r="J1354" s="670"/>
      <c r="K1354" s="212">
        <v>4</v>
      </c>
      <c r="L1354" s="51" t="str">
        <f>IFERROR(VLOOKUP($C1354,'SINAPI MAIO 2020'!$1:$1048576,3,0),IFERROR(VLOOKUP($C1354,'6-COMP. PROPRIA'!$B$1:$I$808,5,0),""))</f>
        <v>UNI</v>
      </c>
      <c r="M1354" s="145"/>
    </row>
    <row r="1355" spans="2:13" s="340" customFormat="1" ht="17.25" customHeight="1">
      <c r="B1355" s="338"/>
      <c r="C1355" s="274" t="str">
        <f>'6-COMP. PROPRIA'!B481</f>
        <v>CP-ELE-29</v>
      </c>
      <c r="D1355" s="275" t="s">
        <v>980</v>
      </c>
      <c r="E1355" s="668" t="str">
        <f>IFERROR(VLOOKUP($C1355,'SINAPI MAIO 2020'!$1:$1048576,2,0),IFERROR(VLOOKUP($C1355,'6-COMP. PROPRIA'!$B$28:$I$808,4,0),""))</f>
        <v xml:space="preserve">Isolador de ancoragem tipo bastão polimero 15KV </v>
      </c>
      <c r="F1355" s="669"/>
      <c r="G1355" s="669"/>
      <c r="H1355" s="669"/>
      <c r="I1355" s="669"/>
      <c r="J1355" s="670"/>
      <c r="K1355" s="212">
        <v>3</v>
      </c>
      <c r="L1355" s="51" t="str">
        <f>IFERROR(VLOOKUP($C1355,'SINAPI MAIO 2020'!$1:$1048576,3,0),IFERROR(VLOOKUP($C1355,'6-COMP. PROPRIA'!$B$1:$I$808,5,0),""))</f>
        <v>UNI</v>
      </c>
      <c r="M1355" s="145"/>
    </row>
    <row r="1356" spans="2:13" s="340" customFormat="1" ht="17.25" customHeight="1">
      <c r="B1356" s="338"/>
      <c r="C1356" s="274" t="str">
        <f>'6-COMP. PROPRIA'!B486</f>
        <v>CP-ELE-30</v>
      </c>
      <c r="D1356" s="275" t="s">
        <v>980</v>
      </c>
      <c r="E1356" s="668" t="str">
        <f>IFERROR(VLOOKUP($C1356,'SINAPI MAIO 2020'!$1:$1048576,2,0),IFERROR(VLOOKUP($C1356,'6-COMP. PROPRIA'!$B$28:$I$808,4,0),""))</f>
        <v>Manilha sapatilha</v>
      </c>
      <c r="F1356" s="669"/>
      <c r="G1356" s="669"/>
      <c r="H1356" s="669"/>
      <c r="I1356" s="669"/>
      <c r="J1356" s="670"/>
      <c r="K1356" s="212">
        <v>3</v>
      </c>
      <c r="L1356" s="51" t="str">
        <f>IFERROR(VLOOKUP($C1356,'SINAPI MAIO 2020'!$1:$1048576,3,0),IFERROR(VLOOKUP($C1356,'6-COMP. PROPRIA'!$B$1:$I$808,5,0),""))</f>
        <v>UNI</v>
      </c>
      <c r="M1356" s="145"/>
    </row>
    <row r="1357" spans="2:13" s="340" customFormat="1" ht="17.25" customHeight="1">
      <c r="B1357" s="338"/>
      <c r="C1357" s="274" t="str">
        <f>'6-COMP. PROPRIA'!B491</f>
        <v>CP-ELE-31</v>
      </c>
      <c r="D1357" s="275" t="s">
        <v>980</v>
      </c>
      <c r="E1357" s="668" t="str">
        <f>IFERROR(VLOOKUP($C1357,'SINAPI MAIO 2020'!$1:$1048576,2,0),IFERROR(VLOOKUP($C1357,'6-COMP. PROPRIA'!$B$28:$I$808,4,0),""))</f>
        <v>Gancho olhal</v>
      </c>
      <c r="F1357" s="669"/>
      <c r="G1357" s="669"/>
      <c r="H1357" s="669"/>
      <c r="I1357" s="669"/>
      <c r="J1357" s="670"/>
      <c r="K1357" s="212">
        <v>3</v>
      </c>
      <c r="L1357" s="51" t="str">
        <f>IFERROR(VLOOKUP($C1357,'SINAPI MAIO 2020'!$1:$1048576,3,0),IFERROR(VLOOKUP($C1357,'6-COMP. PROPRIA'!$B$1:$I$808,5,0),""))</f>
        <v>UNI</v>
      </c>
      <c r="M1357" s="145"/>
    </row>
    <row r="1358" spans="2:13" s="340" customFormat="1" ht="17.25" customHeight="1">
      <c r="B1358" s="338"/>
      <c r="C1358" s="274" t="str">
        <f>'6-COMP. PROPRIA'!B496</f>
        <v>CP-ELE-32</v>
      </c>
      <c r="D1358" s="275" t="s">
        <v>980</v>
      </c>
      <c r="E1358" s="668" t="str">
        <f>IFERROR(VLOOKUP($C1358,'SINAPI MAIO 2020'!$1:$1048576,2,0),IFERROR(VLOOKUP($C1358,'6-COMP. PROPRIA'!$B$28:$I$808,4,0),""))</f>
        <v>Perfil U</v>
      </c>
      <c r="F1358" s="669"/>
      <c r="G1358" s="669"/>
      <c r="H1358" s="669"/>
      <c r="I1358" s="669"/>
      <c r="J1358" s="670"/>
      <c r="K1358" s="212">
        <v>1</v>
      </c>
      <c r="L1358" s="51" t="str">
        <f>IFERROR(VLOOKUP($C1358,'SINAPI MAIO 2020'!$1:$1048576,3,0),IFERROR(VLOOKUP($C1358,'6-COMP. PROPRIA'!$B$1:$I$808,5,0),""))</f>
        <v>UNI</v>
      </c>
      <c r="M1358" s="145"/>
    </row>
    <row r="1359" spans="2:13" s="340" customFormat="1" ht="17.25" customHeight="1">
      <c r="B1359" s="339"/>
      <c r="C1359" s="274" t="str">
        <f>'6-COMP. PROPRIA'!B501</f>
        <v>CP-ELE-33</v>
      </c>
      <c r="D1359" s="275" t="s">
        <v>980</v>
      </c>
      <c r="E1359" s="668" t="str">
        <f>IFERROR(VLOOKUP($C1359,'SINAPI MAIO 2020'!$1:$1048576,2,0),IFERROR(VLOOKUP($C1359,'6-COMP. PROPRIA'!$B$28:$I$808,4,0),""))</f>
        <v>Fixador de perfil U</v>
      </c>
      <c r="F1359" s="669"/>
      <c r="G1359" s="669"/>
      <c r="H1359" s="669"/>
      <c r="I1359" s="669"/>
      <c r="J1359" s="670"/>
      <c r="K1359" s="212">
        <v>1</v>
      </c>
      <c r="L1359" s="51" t="str">
        <f>IFERROR(VLOOKUP($C1359,'SINAPI MAIO 2020'!$1:$1048576,3,0),IFERROR(VLOOKUP($C1359,'6-COMP. PROPRIA'!$B$1:$I$808,5,0),""))</f>
        <v>UNI</v>
      </c>
      <c r="M1359" s="145"/>
    </row>
    <row r="1360" spans="2:13" s="340" customFormat="1" ht="17.25" customHeight="1">
      <c r="B1360" s="339"/>
      <c r="C1360" s="274" t="str">
        <f>'6-COMP. PROPRIA'!B512</f>
        <v>CP-ELE-35</v>
      </c>
      <c r="D1360" s="275" t="s">
        <v>980</v>
      </c>
      <c r="E1360" s="668" t="str">
        <f>IFERROR(VLOOKUP($C1360,'SINAPI MAIO 2020'!$1:$1048576,2,0),IFERROR(VLOOKUP($C1360,'6-COMP. PROPRIA'!$B$28:$I$808,4,0),""))</f>
        <v xml:space="preserve">Cruzeta de concreto 250 daN retangular </v>
      </c>
      <c r="F1360" s="669"/>
      <c r="G1360" s="669"/>
      <c r="H1360" s="669"/>
      <c r="I1360" s="669"/>
      <c r="J1360" s="670"/>
      <c r="K1360" s="212">
        <v>2</v>
      </c>
      <c r="L1360" s="51" t="str">
        <f>IFERROR(VLOOKUP($C1360,'SINAPI MAIO 2020'!$1:$1048576,3,0),IFERROR(VLOOKUP($C1360,'6-COMP. PROPRIA'!$B$1:$I$808,5,0),""))</f>
        <v>UNI</v>
      </c>
      <c r="M1360" s="145"/>
    </row>
    <row r="1361" spans="2:13" s="340" customFormat="1" ht="17.25" customHeight="1">
      <c r="B1361" s="339"/>
      <c r="C1361" s="274" t="str">
        <f>'6-COMP. PROPRIA'!B506</f>
        <v>CP-ELE-34</v>
      </c>
      <c r="D1361" s="275" t="s">
        <v>980</v>
      </c>
      <c r="E1361" s="668" t="str">
        <f>IFERROR(VLOOKUP($C1361,'SINAPI MAIO 2020'!$1:$1048576,2,0),IFERROR(VLOOKUP($C1361,'6-COMP. PROPRIA'!$B$28:$I$808,4,0),""))</f>
        <v>Mão francesa 619mm</v>
      </c>
      <c r="F1361" s="669"/>
      <c r="G1361" s="669"/>
      <c r="H1361" s="669"/>
      <c r="I1361" s="669"/>
      <c r="J1361" s="670"/>
      <c r="K1361" s="212">
        <v>4</v>
      </c>
      <c r="L1361" s="51" t="str">
        <f>IFERROR(VLOOKUP($C1361,'SINAPI MAIO 2020'!$1:$1048576,3,0),IFERROR(VLOOKUP($C1361,'6-COMP. PROPRIA'!$B$1:$I$808,5,0),""))</f>
        <v>UNI</v>
      </c>
      <c r="M1361" s="145"/>
    </row>
    <row r="1362" spans="2:13" s="340" customFormat="1" ht="17.25" customHeight="1">
      <c r="B1362" s="339"/>
      <c r="C1362" s="274" t="str">
        <f>'6-COMP. PROPRIA'!B529</f>
        <v>CP-ELE-38</v>
      </c>
      <c r="D1362" s="275" t="s">
        <v>980</v>
      </c>
      <c r="E1362" s="668" t="str">
        <f>IFERROR(VLOOKUP($C1362,'SINAPI MAIO 2020'!$1:$1048576,2,0),IFERROR(VLOOKUP($C1362,'6-COMP. PROPRIA'!$B$28:$I$808,4,0),""))</f>
        <v>Arruela quadrada</v>
      </c>
      <c r="F1362" s="669"/>
      <c r="G1362" s="669"/>
      <c r="H1362" s="669"/>
      <c r="I1362" s="669"/>
      <c r="J1362" s="670"/>
      <c r="K1362" s="212">
        <v>10</v>
      </c>
      <c r="L1362" s="51" t="str">
        <f>IFERROR(VLOOKUP($C1362,'SINAPI MAIO 2020'!$1:$1048576,3,0),IFERROR(VLOOKUP($C1362,'6-COMP. PROPRIA'!$B$1:$I$808,5,0),""))</f>
        <v>UNI</v>
      </c>
      <c r="M1362" s="145"/>
    </row>
    <row r="1363" spans="2:13" s="340" customFormat="1" ht="17.25" customHeight="1">
      <c r="B1363" s="339"/>
      <c r="C1363" s="274" t="str">
        <f>'6-COMP. PROPRIA'!B539</f>
        <v>CP-ELE-40</v>
      </c>
      <c r="D1363" s="275" t="s">
        <v>980</v>
      </c>
      <c r="E1363" s="668" t="str">
        <f>IFERROR(VLOOKUP($C1363,'SINAPI MAIO 2020'!$1:$1048576,2,0),IFERROR(VLOOKUP($C1363,'6-COMP. PROPRIA'!$B$28:$I$808,4,0),""))</f>
        <v>Parafuso de cabeça quadrada de 125mm</v>
      </c>
      <c r="F1363" s="669"/>
      <c r="G1363" s="669"/>
      <c r="H1363" s="669"/>
      <c r="I1363" s="669"/>
      <c r="J1363" s="670"/>
      <c r="K1363" s="212">
        <v>1</v>
      </c>
      <c r="L1363" s="51" t="str">
        <f>IFERROR(VLOOKUP($C1363,'SINAPI MAIO 2020'!$1:$1048576,3,0),IFERROR(VLOOKUP($C1363,'6-COMP. PROPRIA'!$B$1:$I$808,5,0),""))</f>
        <v>UNI</v>
      </c>
      <c r="M1363" s="145"/>
    </row>
    <row r="1364" spans="2:13" s="340" customFormat="1" ht="17.25" customHeight="1">
      <c r="B1364" s="339"/>
      <c r="C1364" s="274" t="str">
        <f>'6-COMP. PROPRIA'!B544</f>
        <v>CP-ELE-41</v>
      </c>
      <c r="D1364" s="275" t="s">
        <v>980</v>
      </c>
      <c r="E1364" s="668" t="str">
        <f>IFERROR(VLOOKUP($C1364,'SINAPI MAIO 2020'!$1:$1048576,2,0),IFERROR(VLOOKUP($C1364,'6-COMP. PROPRIA'!$B$28:$I$808,4,0),""))</f>
        <v>Parafuso de cabeça quadrada de 200mm</v>
      </c>
      <c r="F1364" s="669"/>
      <c r="G1364" s="669"/>
      <c r="H1364" s="669"/>
      <c r="I1364" s="669"/>
      <c r="J1364" s="670"/>
      <c r="K1364" s="212">
        <v>1</v>
      </c>
      <c r="L1364" s="51" t="str">
        <f>IFERROR(VLOOKUP($C1364,'SINAPI MAIO 2020'!$1:$1048576,3,0),IFERROR(VLOOKUP($C1364,'6-COMP. PROPRIA'!$B$1:$I$808,5,0),""))</f>
        <v>UNI</v>
      </c>
      <c r="M1364" s="145"/>
    </row>
    <row r="1365" spans="2:13" s="340" customFormat="1" ht="17.25" customHeight="1">
      <c r="B1365" s="339"/>
      <c r="C1365" s="274" t="str">
        <f>'6-COMP. PROPRIA'!B549</f>
        <v>CP-ELE-42</v>
      </c>
      <c r="D1365" s="275" t="s">
        <v>980</v>
      </c>
      <c r="E1365" s="668" t="str">
        <f>IFERROR(VLOOKUP($C1365,'SINAPI MAIO 2020'!$1:$1048576,2,0),IFERROR(VLOOKUP($C1365,'6-COMP. PROPRIA'!$B$28:$I$808,4,0),""))</f>
        <v>Parafuso de cabeça quadrada de 250mm</v>
      </c>
      <c r="F1365" s="669"/>
      <c r="G1365" s="669"/>
      <c r="H1365" s="669"/>
      <c r="I1365" s="669"/>
      <c r="J1365" s="670"/>
      <c r="K1365" s="212">
        <v>2</v>
      </c>
      <c r="L1365" s="51" t="str">
        <f>IFERROR(VLOOKUP($C1365,'SINAPI MAIO 2020'!$1:$1048576,3,0),IFERROR(VLOOKUP($C1365,'6-COMP. PROPRIA'!$B$1:$I$808,5,0),""))</f>
        <v>UNI</v>
      </c>
      <c r="M1365" s="145"/>
    </row>
    <row r="1366" spans="2:13" s="340" customFormat="1" ht="17.25" customHeight="1">
      <c r="B1366" s="339"/>
      <c r="C1366" s="274" t="str">
        <f>'6-COMP. PROPRIA'!B569</f>
        <v>CP-ELE-46</v>
      </c>
      <c r="D1366" s="275" t="s">
        <v>980</v>
      </c>
      <c r="E1366" s="668" t="str">
        <f>IFERROR(VLOOKUP($C1366,'SINAPI MAIO 2020'!$1:$1048576,2,0),IFERROR(VLOOKUP($C1366,'6-COMP. PROPRIA'!$B$28:$I$808,4,0),""))</f>
        <v xml:space="preserve">Isolador pilar 110KV </v>
      </c>
      <c r="F1366" s="669"/>
      <c r="G1366" s="669"/>
      <c r="H1366" s="669"/>
      <c r="I1366" s="669"/>
      <c r="J1366" s="670"/>
      <c r="K1366" s="212">
        <v>4</v>
      </c>
      <c r="L1366" s="51" t="str">
        <f>IFERROR(VLOOKUP($C1366,'SINAPI MAIO 2020'!$1:$1048576,3,0),IFERROR(VLOOKUP($C1366,'6-COMP. PROPRIA'!$B$1:$I$808,5,0),""))</f>
        <v>UNI</v>
      </c>
      <c r="M1366" s="145"/>
    </row>
    <row r="1367" spans="2:13" s="340" customFormat="1" ht="17.25" customHeight="1">
      <c r="B1367" s="339"/>
      <c r="C1367" s="274" t="str">
        <f>'6-COMP. PROPRIA'!B574</f>
        <v>CP-ELE-47</v>
      </c>
      <c r="D1367" s="275" t="s">
        <v>980</v>
      </c>
      <c r="E1367" s="668" t="str">
        <f>IFERROR(VLOOKUP($C1367,'SINAPI MAIO 2020'!$1:$1048576,2,0),IFERROR(VLOOKUP($C1367,'6-COMP. PROPRIA'!$B$28:$I$808,4,0),""))</f>
        <v xml:space="preserve">Pino auto travante, 140mm para isolador pilar </v>
      </c>
      <c r="F1367" s="669"/>
      <c r="G1367" s="669"/>
      <c r="H1367" s="669"/>
      <c r="I1367" s="669"/>
      <c r="J1367" s="670"/>
      <c r="K1367" s="212">
        <v>4</v>
      </c>
      <c r="L1367" s="51" t="str">
        <f>IFERROR(VLOOKUP($C1367,'SINAPI MAIO 2020'!$1:$1048576,3,0),IFERROR(VLOOKUP($C1367,'6-COMP. PROPRIA'!$B$1:$I$808,5,0),""))</f>
        <v>UNI</v>
      </c>
      <c r="M1367" s="145"/>
    </row>
    <row r="1368" spans="2:13" s="340" customFormat="1" ht="17.25" customHeight="1">
      <c r="B1368" s="339"/>
      <c r="C1368" s="274" t="str">
        <f>'6-COMP. PROPRIA'!B696</f>
        <v>CP-ELE-66</v>
      </c>
      <c r="D1368" s="275" t="s">
        <v>980</v>
      </c>
      <c r="E1368" s="668" t="str">
        <f>IFERROR(VLOOKUP($C1368,'SINAPI MAIO 2020'!$1:$1048576,2,0),IFERROR(VLOOKUP($C1368,'6-COMP. PROPRIA'!$B$28:$I$808,4,0),""))</f>
        <v xml:space="preserve">Grampo de linha viva </v>
      </c>
      <c r="F1368" s="669"/>
      <c r="G1368" s="669"/>
      <c r="H1368" s="669"/>
      <c r="I1368" s="669"/>
      <c r="J1368" s="670"/>
      <c r="K1368" s="212">
        <v>3</v>
      </c>
      <c r="L1368" s="51" t="str">
        <f>IFERROR(VLOOKUP($C1368,'SINAPI MAIO 2020'!$1:$1048576,3,0),IFERROR(VLOOKUP($C1368,'6-COMP. PROPRIA'!$B$1:$I$808,5,0),""))</f>
        <v>UNI</v>
      </c>
      <c r="M1368" s="145"/>
    </row>
    <row r="1369" spans="2:13" s="340" customFormat="1" ht="17.25" customHeight="1">
      <c r="B1369" s="339"/>
      <c r="C1369" s="274" t="str">
        <f>'6-COMP. PROPRIA'!B664</f>
        <v>CP-ELE-60</v>
      </c>
      <c r="D1369" s="275" t="s">
        <v>980</v>
      </c>
      <c r="E1369" s="668" t="str">
        <f>IFERROR(VLOOKUP($C1369,'SINAPI MAIO 2020'!$1:$1048576,2,0),IFERROR(VLOOKUP($C1369,'6-COMP. PROPRIA'!$B$28:$I$808,4,0),""))</f>
        <v xml:space="preserve">Arame de aço galvanizado - 14 BWG </v>
      </c>
      <c r="F1369" s="669"/>
      <c r="G1369" s="669"/>
      <c r="H1369" s="669"/>
      <c r="I1369" s="669"/>
      <c r="J1369" s="670"/>
      <c r="K1369" s="212">
        <v>3</v>
      </c>
      <c r="L1369" s="51" t="str">
        <f>IFERROR(VLOOKUP($C1369,'SINAPI MAIO 2020'!$1:$1048576,3,0),IFERROR(VLOOKUP($C1369,'6-COMP. PROPRIA'!$B$1:$I$808,5,0),""))</f>
        <v xml:space="preserve">M     </v>
      </c>
      <c r="M1369" s="145"/>
    </row>
    <row r="1370" spans="2:13" s="340" customFormat="1" ht="17.25" customHeight="1">
      <c r="B1370" s="339"/>
      <c r="C1370" s="274" t="str">
        <f>'6-COMP. PROPRIA'!B701</f>
        <v>CP-ELE-67</v>
      </c>
      <c r="D1370" s="275" t="s">
        <v>980</v>
      </c>
      <c r="E1370" s="668" t="str">
        <f>IFERROR(VLOOKUP($C1370,'SINAPI MAIO 2020'!$1:$1048576,2,0),IFERROR(VLOOKUP($C1370,'6-COMP. PROPRIA'!$B$28:$I$808,4,0),""))</f>
        <v>CHAVE FUSIVEL PARA REDES DE DISTRIBUICAO, TENSAO DE 15,0 KV, CORRENTE NOMINAL DO PORTA FUSIVEL DE 100 A, CAPACIDADE DE INTERRUPCAO SIMETRICA DE 7,10 KA, CAPACIDADE DE INTERRUPCAO ASSIMETRICA 10,00 KA. COM ELO FUSÍVEL DE 5H</v>
      </c>
      <c r="F1370" s="669"/>
      <c r="G1370" s="669"/>
      <c r="H1370" s="669"/>
      <c r="I1370" s="669"/>
      <c r="J1370" s="670"/>
      <c r="K1370" s="212">
        <v>3</v>
      </c>
      <c r="L1370" s="51" t="str">
        <f>IFERROR(VLOOKUP($C1370,'SINAPI MAIO 2020'!$1:$1048576,3,0),IFERROR(VLOOKUP($C1370,'6-COMP. PROPRIA'!$B$1:$I$808,5,0),""))</f>
        <v>PÇ</v>
      </c>
      <c r="M1370" s="145"/>
    </row>
    <row r="1371" spans="2:13" s="340" customFormat="1" ht="17.25" customHeight="1">
      <c r="B1371" s="339"/>
      <c r="C1371" s="274" t="str">
        <f>'6-COMP. PROPRIA'!B707</f>
        <v>CP-ELE-68</v>
      </c>
      <c r="D1371" s="275" t="s">
        <v>980</v>
      </c>
      <c r="E1371" s="668" t="str">
        <f>IFERROR(VLOOKUP($C1371,'SINAPI MAIO 2020'!$1:$1048576,2,0),IFERROR(VLOOKUP($C1371,'6-COMP. PROPRIA'!$B$28:$I$808,4,0),""))</f>
        <v>PARAFUSO DE ROSCA TOTAL</v>
      </c>
      <c r="F1371" s="669"/>
      <c r="G1371" s="669"/>
      <c r="H1371" s="669"/>
      <c r="I1371" s="669"/>
      <c r="J1371" s="670"/>
      <c r="K1371" s="212">
        <v>3</v>
      </c>
      <c r="L1371" s="51" t="str">
        <f>IFERROR(VLOOKUP($C1371,'SINAPI MAIO 2020'!$1:$1048576,3,0),IFERROR(VLOOKUP($C1371,'6-COMP. PROPRIA'!$B$1:$I$808,5,0),""))</f>
        <v xml:space="preserve">M     </v>
      </c>
      <c r="M1371" s="145"/>
    </row>
    <row r="1372" spans="2:13" s="340" customFormat="1" ht="17.25" customHeight="1">
      <c r="B1372" s="339"/>
      <c r="C1372" s="274" t="str">
        <f>'6-COMP. PROPRIA'!B712</f>
        <v>CP-ELE-69</v>
      </c>
      <c r="D1372" s="275" t="s">
        <v>980</v>
      </c>
      <c r="E1372" s="668" t="str">
        <f>IFERROR(VLOOKUP($C1372,'SINAPI MAIO 2020'!$1:$1048576,2,0),IFERROR(VLOOKUP($C1372,'6-COMP. PROPRIA'!$B$28:$I$808,4,0),""))</f>
        <v>Suporte DE FIXAÇÃO DE CHAVE FUSIVEL TIPO  L</v>
      </c>
      <c r="F1372" s="669"/>
      <c r="G1372" s="669"/>
      <c r="H1372" s="669"/>
      <c r="I1372" s="669"/>
      <c r="J1372" s="670"/>
      <c r="K1372" s="212">
        <v>3</v>
      </c>
      <c r="L1372" s="51" t="str">
        <f>IFERROR(VLOOKUP($C1372,'SINAPI MAIO 2020'!$1:$1048576,3,0),IFERROR(VLOOKUP($C1372,'6-COMP. PROPRIA'!$B$1:$I$808,5,0),""))</f>
        <v>PÇ</v>
      </c>
      <c r="M1372" s="145"/>
    </row>
    <row r="1373" spans="2:13" s="340" customFormat="1" ht="17.25" customHeight="1">
      <c r="B1373" s="339"/>
      <c r="C1373" s="274" t="str">
        <f>'6-COMP. PROPRIA'!B638</f>
        <v>CP-ELE-55</v>
      </c>
      <c r="D1373" s="275" t="s">
        <v>980</v>
      </c>
      <c r="E1373" s="668" t="str">
        <f>IFERROR(VLOOKUP($C1373,'SINAPI MAIO 2020'!$1:$1048576,2,0),IFERROR(VLOOKUP($C1373,'6-COMP. PROPRIA'!$B$28:$I$808,4,0),""))</f>
        <v>Grampo de ancoragem p/ cabo coberto 15KV de 50mm²</v>
      </c>
      <c r="F1373" s="669"/>
      <c r="G1373" s="669"/>
      <c r="H1373" s="669"/>
      <c r="I1373" s="669"/>
      <c r="J1373" s="670"/>
      <c r="K1373" s="212">
        <v>3</v>
      </c>
      <c r="L1373" s="51" t="str">
        <f>IFERROR(VLOOKUP($C1373,'SINAPI MAIO 2020'!$1:$1048576,3,0),IFERROR(VLOOKUP($C1373,'6-COMP. PROPRIA'!$B$1:$I$808,5,0),""))</f>
        <v>PÇ</v>
      </c>
      <c r="M1373" s="145"/>
    </row>
    <row r="1374" spans="2:13" s="340" customFormat="1" ht="17.25" customHeight="1">
      <c r="B1374" s="339"/>
      <c r="C1374" s="274" t="str">
        <f>'6-COMP. PROPRIA'!B717</f>
        <v>CP-ELE-70</v>
      </c>
      <c r="D1374" s="275" t="s">
        <v>980</v>
      </c>
      <c r="E1374" s="668" t="str">
        <f>IFERROR(VLOOKUP($C1374,'SINAPI MAIO 2020'!$1:$1048576,2,0),IFERROR(VLOOKUP($C1374,'6-COMP. PROPRIA'!$B$28:$I$808,4,0),""))</f>
        <v>Conector derivação cunha tipo estribo normal - 50mm² x 2AWG</v>
      </c>
      <c r="F1374" s="669"/>
      <c r="G1374" s="669"/>
      <c r="H1374" s="669"/>
      <c r="I1374" s="669"/>
      <c r="J1374" s="670"/>
      <c r="K1374" s="212">
        <v>3</v>
      </c>
      <c r="L1374" s="51" t="str">
        <f>IFERROR(VLOOKUP($C1374,'SINAPI MAIO 2020'!$1:$1048576,3,0),IFERROR(VLOOKUP($C1374,'6-COMP. PROPRIA'!$B$1:$I$808,5,0),""))</f>
        <v>PÇ</v>
      </c>
      <c r="M1374" s="145"/>
    </row>
    <row r="1375" spans="2:13" s="340" customFormat="1" ht="17.25" customHeight="1">
      <c r="B1375" s="339"/>
      <c r="C1375" s="274" t="str">
        <f>'6-COMP. PROPRIA'!B722</f>
        <v>CP-ELE-71</v>
      </c>
      <c r="D1375" s="275" t="s">
        <v>980</v>
      </c>
      <c r="E1375" s="668" t="str">
        <f>IFERROR(VLOOKUP($C1375,'SINAPI MAIO 2020'!$1:$1048576,2,0),IFERROR(VLOOKUP($C1375,'6-COMP. PROPRIA'!$B$28:$I$808,4,0),""))</f>
        <v>LAÇO PRÉ-FORMADO DE TOPO PARA DISTRIBUIÇÃO</v>
      </c>
      <c r="F1375" s="669"/>
      <c r="G1375" s="669"/>
      <c r="H1375" s="669"/>
      <c r="I1375" s="669"/>
      <c r="J1375" s="670"/>
      <c r="K1375" s="212">
        <v>3</v>
      </c>
      <c r="L1375" s="51" t="str">
        <f>IFERROR(VLOOKUP($C1375,'SINAPI MAIO 2020'!$1:$1048576,3,0),IFERROR(VLOOKUP($C1375,'6-COMP. PROPRIA'!$B$1:$I$808,5,0),""))</f>
        <v>PÇ</v>
      </c>
      <c r="M1375" s="145"/>
    </row>
    <row r="1376" spans="2:13" s="340" customFormat="1" ht="17.25" customHeight="1">
      <c r="B1376" s="339"/>
      <c r="C1376" s="293"/>
      <c r="D1376" s="289"/>
      <c r="E1376" s="238"/>
      <c r="F1376" s="333"/>
      <c r="G1376" s="333"/>
      <c r="H1376" s="333"/>
      <c r="I1376" s="333"/>
      <c r="J1376" s="103"/>
      <c r="K1376" s="337"/>
      <c r="L1376" s="51"/>
      <c r="M1376" s="145"/>
    </row>
    <row r="1377" spans="2:14" s="340" customFormat="1" ht="17.25" customHeight="1">
      <c r="B1377" s="339"/>
      <c r="C1377" s="293"/>
      <c r="D1377" s="289"/>
      <c r="E1377" s="671" t="s">
        <v>12494</v>
      </c>
      <c r="F1377" s="672"/>
      <c r="G1377" s="672"/>
      <c r="H1377" s="672"/>
      <c r="I1377" s="672"/>
      <c r="J1377" s="673"/>
      <c r="K1377" s="337"/>
      <c r="L1377" s="51"/>
      <c r="M1377" s="145"/>
    </row>
    <row r="1378" spans="2:14" s="340" customFormat="1" ht="17.25" customHeight="1">
      <c r="B1378" s="339"/>
      <c r="C1378" s="293"/>
      <c r="D1378" s="289"/>
      <c r="E1378" s="238"/>
      <c r="F1378" s="333"/>
      <c r="G1378" s="333"/>
      <c r="H1378" s="333"/>
      <c r="I1378" s="333"/>
      <c r="J1378" s="103"/>
      <c r="K1378" s="337"/>
      <c r="L1378" s="51"/>
      <c r="M1378" s="145"/>
    </row>
    <row r="1379" spans="2:14" ht="17.25" customHeight="1">
      <c r="B1379" s="164"/>
      <c r="C1379" s="274" t="str">
        <f>'6-COMP. PROPRIA'!B529</f>
        <v>CP-ELE-38</v>
      </c>
      <c r="D1379" s="275" t="s">
        <v>980</v>
      </c>
      <c r="E1379" s="668" t="str">
        <f>IFERROR(VLOOKUP($C1379,'SINAPI MAIO 2020'!$1:$1048576,2,0),IFERROR(VLOOKUP($C1379,'6-COMP. PROPRIA'!$B$28:$I$808,4,0),""))</f>
        <v>Arruela quadrada</v>
      </c>
      <c r="F1379" s="669"/>
      <c r="G1379" s="669"/>
      <c r="H1379" s="669"/>
      <c r="I1379" s="669"/>
      <c r="J1379" s="670"/>
      <c r="K1379" s="212">
        <v>1</v>
      </c>
      <c r="L1379" s="51" t="str">
        <f>IFERROR(VLOOKUP($C1379,'SINAPI MAIO 2020'!$1:$1048576,3,0),IFERROR(VLOOKUP($C1379,'6-COMP. PROPRIA'!$B$1:$I$808,5,0),""))</f>
        <v>UNI</v>
      </c>
      <c r="M1379" s="104"/>
      <c r="N1379" s="105"/>
    </row>
    <row r="1380" spans="2:14" ht="34.5" customHeight="1">
      <c r="B1380" s="164"/>
      <c r="C1380" s="274" t="str">
        <f>'6-COMP. PROPRIA'!B544</f>
        <v>CP-ELE-41</v>
      </c>
      <c r="D1380" s="275" t="s">
        <v>980</v>
      </c>
      <c r="E1380" s="668" t="str">
        <f>IFERROR(VLOOKUP($C1380,'SINAPI MAIO 2020'!$1:$1048576,2,0),IFERROR(VLOOKUP($C1380,'6-COMP. PROPRIA'!$B$28:$I$808,4,0),""))</f>
        <v>Parafuso de cabeça quadrada de 200mm</v>
      </c>
      <c r="F1380" s="669"/>
      <c r="G1380" s="669"/>
      <c r="H1380" s="669"/>
      <c r="I1380" s="669"/>
      <c r="J1380" s="670"/>
      <c r="K1380" s="212">
        <v>2</v>
      </c>
      <c r="L1380" s="51" t="str">
        <f>IFERROR(VLOOKUP($C1380,'SINAPI MAIO 2020'!$1:$1048576,3,0),IFERROR(VLOOKUP($C1380,'6-COMP. PROPRIA'!$B$1:$I$808,5,0),""))</f>
        <v>UNI</v>
      </c>
      <c r="M1380" s="104"/>
      <c r="N1380" s="105"/>
    </row>
    <row r="1381" spans="2:14" ht="34.5" customHeight="1">
      <c r="B1381" s="164"/>
      <c r="C1381" s="274">
        <v>88544</v>
      </c>
      <c r="D1381" s="275" t="s">
        <v>8</v>
      </c>
      <c r="E1381" s="668" t="str">
        <f>IFERROR(VLOOKUP($C1381,'SINAPI MAIO 2020'!$1:$1048576,2,0),IFERROR(VLOOKUP($C1381,'6-COMP. PROPRIA'!$B$28:$I$808,4,0),""))</f>
        <v>ARMACAO SECUNDARIA OU REX COMPLETA PARA DUAS LINHAS-FORNECIMENTO E INSTALACAO.</v>
      </c>
      <c r="F1381" s="669"/>
      <c r="G1381" s="669"/>
      <c r="H1381" s="669"/>
      <c r="I1381" s="669"/>
      <c r="J1381" s="670"/>
      <c r="K1381" s="212">
        <v>2</v>
      </c>
      <c r="L1381" s="51" t="str">
        <f>IFERROR(VLOOKUP($C1381,'SINAPI MAIO 2020'!$1:$1048576,3,0),IFERROR(VLOOKUP($C1381,'6-COMP. PROPRIA'!$B$1:$I$808,5,0),""))</f>
        <v>UN</v>
      </c>
      <c r="M1381" s="104"/>
      <c r="N1381" s="105"/>
    </row>
    <row r="1382" spans="2:14" ht="34.5" customHeight="1">
      <c r="B1382" s="164"/>
      <c r="C1382" s="274" t="str">
        <f>'6-COMP. PROPRIA'!B728</f>
        <v>CP-ELE-72</v>
      </c>
      <c r="D1382" s="275" t="s">
        <v>980</v>
      </c>
      <c r="E1382" s="668" t="str">
        <f>IFERROR(VLOOKUP($C1382,'SINAPI MAIO 2020'!$1:$1048576,2,0),IFERROR(VLOOKUP($C1382,'6-COMP. PROPRIA'!$B$28:$I$808,4,0),""))</f>
        <v>Abraçadeira Plástica Serrilhada 390mm</v>
      </c>
      <c r="F1382" s="669"/>
      <c r="G1382" s="669"/>
      <c r="H1382" s="669"/>
      <c r="I1382" s="669"/>
      <c r="J1382" s="670"/>
      <c r="K1382" s="212">
        <v>1</v>
      </c>
      <c r="L1382" s="51" t="str">
        <f>IFERROR(VLOOKUP($C1382,'SINAPI MAIO 2020'!$1:$1048576,3,0),IFERROR(VLOOKUP($C1382,'6-COMP. PROPRIA'!$B$1:$I$808,5,0),""))</f>
        <v>PÇ</v>
      </c>
      <c r="M1382" s="104"/>
      <c r="N1382" s="105"/>
    </row>
    <row r="1383" spans="2:14" ht="34.5" customHeight="1">
      <c r="B1383" s="164"/>
      <c r="C1383" s="274" t="str">
        <f>'6-COMP. PROPRIA'!B734</f>
        <v>CP-ELE-73</v>
      </c>
      <c r="D1383" s="275" t="s">
        <v>980</v>
      </c>
      <c r="E1383" s="668" t="str">
        <f>IFERROR(VLOOKUP($C1383,'SINAPI MAIO 2020'!$1:$1048576,2,0),IFERROR(VLOOKUP($C1383,'6-COMP. PROPRIA'!$B$28:$I$808,4,0),""))</f>
        <v>ISOLADOR DE PORCELANA, TIPO ROLDANA, DIMENSOES DE *72* X *72* MM, PARA USO EM BAIXA TENSAO</v>
      </c>
      <c r="F1383" s="669"/>
      <c r="G1383" s="669"/>
      <c r="H1383" s="669"/>
      <c r="I1383" s="669"/>
      <c r="J1383" s="670"/>
      <c r="K1383" s="212">
        <v>2</v>
      </c>
      <c r="L1383" s="51" t="str">
        <f>IFERROR(VLOOKUP($C1383,'SINAPI MAIO 2020'!$1:$1048576,3,0),IFERROR(VLOOKUP($C1383,'6-COMP. PROPRIA'!$B$1:$I$808,5,0),""))</f>
        <v>PÇ</v>
      </c>
      <c r="M1383" s="104"/>
      <c r="N1383" s="105"/>
    </row>
    <row r="1384" spans="2:14" ht="17.25" customHeight="1" thickBot="1">
      <c r="B1384" s="164"/>
      <c r="C1384" s="20"/>
      <c r="D1384" s="20"/>
      <c r="E1384" s="238"/>
      <c r="F1384" s="333"/>
      <c r="G1384" s="333"/>
      <c r="H1384" s="333"/>
      <c r="I1384" s="333"/>
      <c r="J1384" s="103"/>
      <c r="K1384" s="211"/>
      <c r="L1384" s="239"/>
      <c r="M1384" s="104"/>
      <c r="N1384" s="105"/>
    </row>
    <row r="1385" spans="2:14" ht="17.25" customHeight="1" thickBot="1">
      <c r="B1385" s="164"/>
      <c r="C1385" s="20"/>
      <c r="D1385" s="277"/>
      <c r="E1385" s="674" t="s">
        <v>6212</v>
      </c>
      <c r="F1385" s="675"/>
      <c r="G1385" s="675"/>
      <c r="H1385" s="675"/>
      <c r="I1385" s="675"/>
      <c r="J1385" s="676"/>
      <c r="K1385" s="211"/>
      <c r="L1385" s="239" t="str">
        <f>IFERROR(VLOOKUP($C1385,'SINAPI MAIO 2020'!$1:$1048576,3,0),IFERROR(VLOOKUP($C1385,'6-COMP. PROPRIA'!$B$1:$I$808,5,0),""))</f>
        <v/>
      </c>
      <c r="M1385" s="104"/>
      <c r="N1385" s="105"/>
    </row>
    <row r="1386" spans="2:14" ht="17.25" customHeight="1">
      <c r="B1386" s="164"/>
      <c r="C1386" s="20"/>
      <c r="D1386" s="20"/>
      <c r="E1386" s="238"/>
      <c r="F1386" s="312"/>
      <c r="G1386" s="312"/>
      <c r="H1386" s="312"/>
      <c r="I1386" s="312"/>
      <c r="J1386" s="103"/>
      <c r="K1386" s="211"/>
      <c r="L1386" s="239" t="str">
        <f>IFERROR(VLOOKUP($C1386,'SINAPI MAIO 2020'!$1:$1048576,3,0),IFERROR(VLOOKUP($C1386,'6-COMP. PROPRIA'!$B$1:$I$808,5,0),""))</f>
        <v/>
      </c>
      <c r="M1386" s="104"/>
      <c r="N1386" s="105"/>
    </row>
    <row r="1387" spans="2:14" ht="39.75" customHeight="1">
      <c r="B1387" s="164"/>
      <c r="C1387" s="343">
        <v>94228</v>
      </c>
      <c r="D1387" s="275" t="s">
        <v>8</v>
      </c>
      <c r="E1387" s="668" t="str">
        <f>IFERROR(VLOOKUP($C1387,'SINAPI MAIO 2020'!$1:$1048576,2,0),IFERROR(VLOOKUP($C1387,'6-COMP. PROPRIA'!$B$28:$I$808,4,0),""))</f>
        <v>CALHA EM CHAPA DE AÇO GALVANIZADO NÚMERO 24, DESENVOLVIMENTO DE 50 CM, INCLUSO TRANSPORTE VERTICAL. AF_07/2019</v>
      </c>
      <c r="F1387" s="669"/>
      <c r="G1387" s="669"/>
      <c r="H1387" s="669"/>
      <c r="I1387" s="669"/>
      <c r="J1387" s="670"/>
      <c r="K1387" s="215">
        <f>SUM(K1389:K1392)*1.1</f>
        <v>106.48</v>
      </c>
      <c r="L1387" s="239" t="str">
        <f>IFERROR(VLOOKUP($C1387,'SINAPI MAIO 2020'!$1:$1048576,3,0),IFERROR(VLOOKUP($C1387,'6-COMP. PROPRIA'!$B$1:$I$808,5,0),""))</f>
        <v>M</v>
      </c>
      <c r="M1387" s="104"/>
      <c r="N1387" s="105"/>
    </row>
    <row r="1388" spans="2:14" ht="17.25" customHeight="1">
      <c r="B1388" s="164"/>
      <c r="C1388" s="20"/>
      <c r="D1388" s="20"/>
      <c r="E1388" s="285" t="s">
        <v>158</v>
      </c>
      <c r="F1388" s="307"/>
      <c r="G1388" s="307"/>
      <c r="H1388" s="307"/>
      <c r="I1388" s="307"/>
      <c r="J1388" s="308"/>
      <c r="K1388" s="215"/>
      <c r="L1388" s="239" t="str">
        <f>IFERROR(VLOOKUP($C1388,'SINAPI MAIO 2020'!$1:$1048576,3,0),IFERROR(VLOOKUP($C1388,'6-COMP. PROPRIA'!$B$1:$I$808,5,0),""))</f>
        <v/>
      </c>
      <c r="M1388" s="104"/>
      <c r="N1388" s="105"/>
    </row>
    <row r="1389" spans="2:14" ht="17.25" customHeight="1">
      <c r="B1389" s="164" t="s">
        <v>6210</v>
      </c>
      <c r="C1389" s="20"/>
      <c r="D1389" s="20"/>
      <c r="E1389" s="102">
        <v>27.1</v>
      </c>
      <c r="F1389" s="312"/>
      <c r="G1389" s="312"/>
      <c r="H1389" s="312"/>
      <c r="I1389" s="312"/>
      <c r="J1389" s="103"/>
      <c r="K1389" s="211">
        <f>E1389</f>
        <v>27.1</v>
      </c>
      <c r="L1389" s="239" t="str">
        <f>IFERROR(VLOOKUP($C1389,'SINAPI MAIO 2020'!$1:$1048576,3,0),IFERROR(VLOOKUP($C1389,'6-COMP. PROPRIA'!$B$1:$I$808,5,0),""))</f>
        <v/>
      </c>
      <c r="M1389" s="104"/>
      <c r="N1389" s="105"/>
    </row>
    <row r="1390" spans="2:14" ht="17.25" customHeight="1">
      <c r="B1390" s="164" t="s">
        <v>6213</v>
      </c>
      <c r="C1390" s="20"/>
      <c r="D1390" s="20"/>
      <c r="E1390" s="102">
        <v>27.1</v>
      </c>
      <c r="F1390" s="312"/>
      <c r="G1390" s="312"/>
      <c r="H1390" s="312"/>
      <c r="I1390" s="312"/>
      <c r="J1390" s="103"/>
      <c r="K1390" s="211">
        <f t="shared" ref="K1390:K1392" si="76">E1390</f>
        <v>27.1</v>
      </c>
      <c r="L1390" s="239" t="str">
        <f>IFERROR(VLOOKUP($C1390,'SINAPI MAIO 2020'!$1:$1048576,3,0),IFERROR(VLOOKUP($C1390,'6-COMP. PROPRIA'!$B$1:$I$808,5,0),""))</f>
        <v/>
      </c>
      <c r="M1390" s="104"/>
      <c r="N1390" s="105"/>
    </row>
    <row r="1391" spans="2:14" ht="17.25" customHeight="1">
      <c r="B1391" s="164" t="s">
        <v>6214</v>
      </c>
      <c r="C1391" s="20"/>
      <c r="D1391" s="20"/>
      <c r="E1391" s="102">
        <v>21.3</v>
      </c>
      <c r="F1391" s="312"/>
      <c r="G1391" s="312"/>
      <c r="H1391" s="312"/>
      <c r="I1391" s="312"/>
      <c r="J1391" s="103"/>
      <c r="K1391" s="211">
        <f t="shared" si="76"/>
        <v>21.3</v>
      </c>
      <c r="L1391" s="239" t="str">
        <f>IFERROR(VLOOKUP($C1391,'SINAPI MAIO 2020'!$1:$1048576,3,0),IFERROR(VLOOKUP($C1391,'6-COMP. PROPRIA'!$B$1:$I$808,5,0),""))</f>
        <v/>
      </c>
      <c r="M1391" s="104"/>
      <c r="N1391" s="105"/>
    </row>
    <row r="1392" spans="2:14" ht="17.25" customHeight="1">
      <c r="B1392" s="164" t="s">
        <v>6171</v>
      </c>
      <c r="C1392" s="20"/>
      <c r="D1392" s="20"/>
      <c r="E1392" s="102">
        <v>21.3</v>
      </c>
      <c r="F1392" s="312"/>
      <c r="G1392" s="312"/>
      <c r="H1392" s="312"/>
      <c r="I1392" s="312"/>
      <c r="J1392" s="103"/>
      <c r="K1392" s="211">
        <f t="shared" si="76"/>
        <v>21.3</v>
      </c>
      <c r="L1392" s="239" t="str">
        <f>IFERROR(VLOOKUP($C1392,'SINAPI MAIO 2020'!$1:$1048576,3,0),IFERROR(VLOOKUP($C1392,'6-COMP. PROPRIA'!$B$1:$I$808,5,0),""))</f>
        <v/>
      </c>
      <c r="M1392" s="104"/>
      <c r="N1392" s="105"/>
    </row>
    <row r="1393" spans="2:14" ht="17.25" customHeight="1">
      <c r="B1393" s="164"/>
      <c r="C1393" s="20"/>
      <c r="D1393" s="20"/>
      <c r="E1393" s="238"/>
      <c r="F1393" s="312"/>
      <c r="G1393" s="312"/>
      <c r="H1393" s="312"/>
      <c r="I1393" s="312"/>
      <c r="J1393" s="103"/>
      <c r="K1393" s="211"/>
      <c r="L1393" s="239" t="str">
        <f>IFERROR(VLOOKUP($C1393,'SINAPI MAIO 2020'!$1:$1048576,3,0),IFERROR(VLOOKUP($C1393,'6-COMP. PROPRIA'!$B$1:$I$808,5,0),""))</f>
        <v/>
      </c>
      <c r="M1393" s="104"/>
      <c r="N1393" s="105"/>
    </row>
    <row r="1394" spans="2:14" ht="17.25" customHeight="1">
      <c r="B1394" s="164"/>
      <c r="C1394" s="20"/>
      <c r="D1394" s="20"/>
      <c r="E1394" s="238"/>
      <c r="F1394" s="312"/>
      <c r="G1394" s="312"/>
      <c r="H1394" s="312"/>
      <c r="I1394" s="312"/>
      <c r="J1394" s="103"/>
      <c r="K1394" s="211"/>
      <c r="L1394" s="239" t="str">
        <f>IFERROR(VLOOKUP($C1394,'SINAPI MAIO 2020'!$1:$1048576,3,0),IFERROR(VLOOKUP($C1394,'6-COMP. PROPRIA'!$B$1:$I$808,5,0),""))</f>
        <v/>
      </c>
      <c r="M1394" s="104"/>
      <c r="N1394" s="105"/>
    </row>
    <row r="1395" spans="2:14" ht="17.25" customHeight="1">
      <c r="B1395" s="164"/>
      <c r="C1395" s="275">
        <v>93358</v>
      </c>
      <c r="D1395" s="275" t="s">
        <v>8</v>
      </c>
      <c r="E1395" s="668" t="str">
        <f>IFERROR(VLOOKUP($C1395,'SINAPI MAIO 2020'!$1:$1048576,2,0),IFERROR(VLOOKUP($C1395,'6-COMP. PROPRIA'!$B$28:$I$808,4,0),""))</f>
        <v>ESCAVAÇÃO MANUAL DE VALA COM PROFUNDIDADE MENOR OU IGUAL A 1,30 M. AF_03/2016</v>
      </c>
      <c r="F1395" s="669"/>
      <c r="G1395" s="669"/>
      <c r="H1395" s="669"/>
      <c r="I1395" s="669"/>
      <c r="J1395" s="670"/>
      <c r="K1395" s="215">
        <f>SUM(K1397:K1401)*1.1</f>
        <v>6.3140000000000018</v>
      </c>
      <c r="L1395" s="239" t="str">
        <f>IFERROR(VLOOKUP($C1395,'SINAPI MAIO 2020'!$1:$1048576,3,0),IFERROR(VLOOKUP($C1395,'6-COMP. PROPRIA'!$B$1:$I$808,5,0),""))</f>
        <v>M3</v>
      </c>
      <c r="M1395" s="104"/>
      <c r="N1395" s="105"/>
    </row>
    <row r="1396" spans="2:14" ht="17.25" customHeight="1">
      <c r="B1396" s="164"/>
      <c r="C1396" s="20"/>
      <c r="D1396" s="20"/>
      <c r="E1396" s="86" t="s">
        <v>5322</v>
      </c>
      <c r="F1396" s="49" t="s">
        <v>5321</v>
      </c>
      <c r="G1396" s="49" t="s">
        <v>6215</v>
      </c>
      <c r="H1396" s="312"/>
      <c r="I1396" s="312"/>
      <c r="J1396" s="103"/>
      <c r="K1396" s="211"/>
      <c r="L1396" s="239" t="str">
        <f>IFERROR(VLOOKUP($C1396,'SINAPI MAIO 2020'!$1:$1048576,3,0),IFERROR(VLOOKUP($C1396,'6-COMP. PROPRIA'!$B$1:$I$808,5,0),""))</f>
        <v/>
      </c>
      <c r="M1396" s="104"/>
      <c r="N1396" s="105"/>
    </row>
    <row r="1397" spans="2:14" ht="17.25" customHeight="1">
      <c r="B1397" s="164" t="s">
        <v>6210</v>
      </c>
      <c r="C1397" s="20"/>
      <c r="D1397" s="20"/>
      <c r="E1397" s="102">
        <v>0.4</v>
      </c>
      <c r="F1397" s="63">
        <v>7.4</v>
      </c>
      <c r="G1397" s="63">
        <v>0.5</v>
      </c>
      <c r="H1397" s="312"/>
      <c r="I1397" s="312"/>
      <c r="J1397" s="103"/>
      <c r="K1397" s="211">
        <f>G1397*F1397*E1397</f>
        <v>1.4800000000000002</v>
      </c>
      <c r="L1397" s="239" t="str">
        <f>IFERROR(VLOOKUP($C1397,'SINAPI MAIO 2020'!$1:$1048576,3,0),IFERROR(VLOOKUP($C1397,'6-COMP. PROPRIA'!$B$1:$I$808,5,0),""))</f>
        <v/>
      </c>
      <c r="M1397" s="104"/>
      <c r="N1397" s="105"/>
    </row>
    <row r="1398" spans="2:14" ht="17.25" customHeight="1">
      <c r="B1398" s="164" t="s">
        <v>6213</v>
      </c>
      <c r="C1398" s="20"/>
      <c r="D1398" s="20"/>
      <c r="E1398" s="102">
        <v>0.4</v>
      </c>
      <c r="F1398" s="63">
        <v>6.2</v>
      </c>
      <c r="G1398" s="63">
        <v>0.5</v>
      </c>
      <c r="H1398" s="312"/>
      <c r="I1398" s="312"/>
      <c r="J1398" s="103"/>
      <c r="K1398" s="211">
        <f t="shared" ref="K1398:K1401" si="77">G1398*F1398*E1398</f>
        <v>1.2400000000000002</v>
      </c>
      <c r="L1398" s="239" t="str">
        <f>IFERROR(VLOOKUP($C1398,'SINAPI MAIO 2020'!$1:$1048576,3,0),IFERROR(VLOOKUP($C1398,'6-COMP. PROPRIA'!$B$1:$I$808,5,0),""))</f>
        <v/>
      </c>
      <c r="M1398" s="104"/>
      <c r="N1398" s="105"/>
    </row>
    <row r="1399" spans="2:14" ht="17.25" customHeight="1">
      <c r="B1399" s="164" t="s">
        <v>6214</v>
      </c>
      <c r="C1399" s="20"/>
      <c r="D1399" s="20"/>
      <c r="E1399" s="102">
        <v>0.4</v>
      </c>
      <c r="F1399" s="63">
        <v>5.5</v>
      </c>
      <c r="G1399" s="63">
        <v>0.5</v>
      </c>
      <c r="H1399" s="312"/>
      <c r="I1399" s="312"/>
      <c r="J1399" s="103"/>
      <c r="K1399" s="211">
        <f t="shared" si="77"/>
        <v>1.1000000000000001</v>
      </c>
      <c r="L1399" s="239" t="str">
        <f>IFERROR(VLOOKUP($C1399,'SINAPI MAIO 2020'!$1:$1048576,3,0),IFERROR(VLOOKUP($C1399,'6-COMP. PROPRIA'!$B$1:$I$808,5,0),""))</f>
        <v/>
      </c>
      <c r="M1399" s="104"/>
      <c r="N1399" s="105"/>
    </row>
    <row r="1400" spans="2:14" ht="17.25" customHeight="1">
      <c r="B1400" s="164" t="s">
        <v>6171</v>
      </c>
      <c r="C1400" s="20"/>
      <c r="D1400" s="20"/>
      <c r="E1400" s="102">
        <v>0.4</v>
      </c>
      <c r="F1400" s="63">
        <v>4.9000000000000004</v>
      </c>
      <c r="G1400" s="63">
        <v>0.5</v>
      </c>
      <c r="H1400" s="312"/>
      <c r="I1400" s="312"/>
      <c r="J1400" s="103"/>
      <c r="K1400" s="211">
        <f t="shared" si="77"/>
        <v>0.98000000000000009</v>
      </c>
      <c r="L1400" s="239" t="str">
        <f>IFERROR(VLOOKUP($C1400,'SINAPI MAIO 2020'!$1:$1048576,3,0),IFERROR(VLOOKUP($C1400,'6-COMP. PROPRIA'!$B$1:$I$808,5,0),""))</f>
        <v/>
      </c>
      <c r="M1400" s="104"/>
      <c r="N1400" s="105"/>
    </row>
    <row r="1401" spans="2:14" ht="17.25" customHeight="1">
      <c r="B1401" s="164" t="s">
        <v>6216</v>
      </c>
      <c r="C1401" s="20"/>
      <c r="D1401" s="20"/>
      <c r="E1401" s="102">
        <v>0.4</v>
      </c>
      <c r="F1401" s="63">
        <v>4.7</v>
      </c>
      <c r="G1401" s="63">
        <v>0.5</v>
      </c>
      <c r="H1401" s="312"/>
      <c r="I1401" s="312"/>
      <c r="J1401" s="103"/>
      <c r="K1401" s="211">
        <f t="shared" si="77"/>
        <v>0.94000000000000006</v>
      </c>
      <c r="L1401" s="239" t="str">
        <f>IFERROR(VLOOKUP($C1401,'SINAPI MAIO 2020'!$1:$1048576,3,0),IFERROR(VLOOKUP($C1401,'6-COMP. PROPRIA'!$B$1:$I$808,5,0),""))</f>
        <v/>
      </c>
      <c r="M1401" s="104"/>
      <c r="N1401" s="105"/>
    </row>
    <row r="1402" spans="2:14" ht="17.25" customHeight="1">
      <c r="B1402" s="164"/>
      <c r="C1402" s="20"/>
      <c r="D1402" s="20"/>
      <c r="E1402" s="238"/>
      <c r="F1402" s="312"/>
      <c r="G1402" s="312"/>
      <c r="H1402" s="312"/>
      <c r="I1402" s="312"/>
      <c r="J1402" s="103"/>
      <c r="K1402" s="211"/>
      <c r="L1402" s="239" t="str">
        <f>IFERROR(VLOOKUP($C1402,'SINAPI MAIO 2020'!$1:$1048576,3,0),IFERROR(VLOOKUP($C1402,'6-COMP. PROPRIA'!$B$1:$I$808,5,0),""))</f>
        <v/>
      </c>
      <c r="M1402" s="104"/>
      <c r="N1402" s="105"/>
    </row>
    <row r="1403" spans="2:14" ht="37.5" customHeight="1">
      <c r="B1403" s="164"/>
      <c r="C1403" s="275">
        <v>94106</v>
      </c>
      <c r="D1403" s="275" t="s">
        <v>8</v>
      </c>
      <c r="E1403" s="668" t="str">
        <f>IFERROR(VLOOKUP($C1403,'SINAPI MAIO 2020'!$1:$1048576,2,0),IFERROR(VLOOKUP($C1403,'6-COMP. PROPRIA'!$B$28:$I$808,4,0),""))</f>
        <v>LASTRO COM PREPARO DE FUNDO, LARGURA MAIOR OU IGUAL A 1,5 M, COM CAMADA DE AREIA, LANÇAMENTO MANUAL, EM LOCAL COM NÍVEL BAIXO DE INTERFERÊNCIA. AF_06/2016</v>
      </c>
      <c r="F1403" s="669"/>
      <c r="G1403" s="669"/>
      <c r="H1403" s="669"/>
      <c r="I1403" s="669"/>
      <c r="J1403" s="670"/>
      <c r="K1403" s="215">
        <f>SUM(K1405:K1409)*1.1</f>
        <v>0.37884000000000007</v>
      </c>
      <c r="L1403" s="239" t="str">
        <f>IFERROR(VLOOKUP($C1403,'SINAPI MAIO 2020'!$1:$1048576,3,0),IFERROR(VLOOKUP($C1403,'6-COMP. PROPRIA'!$B$1:$I$808,5,0),""))</f>
        <v>M3</v>
      </c>
      <c r="M1403" s="104"/>
      <c r="N1403" s="105"/>
    </row>
    <row r="1404" spans="2:14" ht="17.25" customHeight="1">
      <c r="B1404" s="164"/>
      <c r="C1404" s="20"/>
      <c r="D1404" s="20"/>
      <c r="E1404" s="238" t="s">
        <v>5322</v>
      </c>
      <c r="F1404" s="312" t="s">
        <v>5321</v>
      </c>
      <c r="G1404" s="312" t="s">
        <v>6220</v>
      </c>
      <c r="H1404" s="312"/>
      <c r="I1404" s="312"/>
      <c r="J1404" s="103"/>
      <c r="K1404" s="211"/>
      <c r="L1404" s="239" t="str">
        <f>IFERROR(VLOOKUP($C1404,'SINAPI MAIO 2020'!$1:$1048576,3,0),IFERROR(VLOOKUP($C1404,'6-COMP. PROPRIA'!$B$1:$I$808,5,0),""))</f>
        <v/>
      </c>
      <c r="M1404" s="104"/>
      <c r="N1404" s="105"/>
    </row>
    <row r="1405" spans="2:14" ht="17.25" customHeight="1">
      <c r="B1405" s="164" t="s">
        <v>6210</v>
      </c>
      <c r="C1405" s="20"/>
      <c r="D1405" s="20"/>
      <c r="E1405" s="102">
        <v>0.4</v>
      </c>
      <c r="F1405" s="63">
        <v>7.4</v>
      </c>
      <c r="G1405" s="63">
        <v>0.03</v>
      </c>
      <c r="H1405" s="312"/>
      <c r="I1405" s="312"/>
      <c r="J1405" s="103"/>
      <c r="K1405" s="211">
        <f>E1405*F1405*G1405</f>
        <v>8.8800000000000004E-2</v>
      </c>
      <c r="L1405" s="239" t="str">
        <f>IFERROR(VLOOKUP($C1405,'SINAPI MAIO 2020'!$1:$1048576,3,0),IFERROR(VLOOKUP($C1405,'6-COMP. PROPRIA'!$B$1:$I$808,5,0),""))</f>
        <v/>
      </c>
      <c r="M1405" s="104"/>
      <c r="N1405" s="105"/>
    </row>
    <row r="1406" spans="2:14" ht="17.25" customHeight="1">
      <c r="B1406" s="164" t="s">
        <v>6213</v>
      </c>
      <c r="C1406" s="20"/>
      <c r="D1406" s="20"/>
      <c r="E1406" s="102">
        <v>0.4</v>
      </c>
      <c r="F1406" s="63">
        <v>6.2</v>
      </c>
      <c r="G1406" s="63">
        <v>0.03</v>
      </c>
      <c r="H1406" s="312"/>
      <c r="I1406" s="312"/>
      <c r="J1406" s="103"/>
      <c r="K1406" s="211">
        <f t="shared" ref="K1406:K1409" si="78">E1406*F1406*G1406</f>
        <v>7.4400000000000008E-2</v>
      </c>
      <c r="L1406" s="239" t="str">
        <f>IFERROR(VLOOKUP($C1406,'SINAPI MAIO 2020'!$1:$1048576,3,0),IFERROR(VLOOKUP($C1406,'6-COMP. PROPRIA'!$B$1:$I$808,5,0),""))</f>
        <v/>
      </c>
      <c r="M1406" s="104"/>
      <c r="N1406" s="105"/>
    </row>
    <row r="1407" spans="2:14" ht="17.25" customHeight="1">
      <c r="B1407" s="164" t="s">
        <v>6214</v>
      </c>
      <c r="C1407" s="20"/>
      <c r="D1407" s="20"/>
      <c r="E1407" s="102">
        <v>0.4</v>
      </c>
      <c r="F1407" s="63">
        <v>5.5</v>
      </c>
      <c r="G1407" s="63">
        <v>0.03</v>
      </c>
      <c r="H1407" s="312"/>
      <c r="I1407" s="312"/>
      <c r="J1407" s="103"/>
      <c r="K1407" s="211">
        <f t="shared" si="78"/>
        <v>6.6000000000000003E-2</v>
      </c>
      <c r="L1407" s="239" t="str">
        <f>IFERROR(VLOOKUP($C1407,'SINAPI MAIO 2020'!$1:$1048576,3,0),IFERROR(VLOOKUP($C1407,'6-COMP. PROPRIA'!$B$1:$I$808,5,0),""))</f>
        <v/>
      </c>
      <c r="M1407" s="104"/>
      <c r="N1407" s="105"/>
    </row>
    <row r="1408" spans="2:14" ht="17.25" customHeight="1">
      <c r="B1408" s="164" t="s">
        <v>6171</v>
      </c>
      <c r="C1408" s="20"/>
      <c r="D1408" s="20"/>
      <c r="E1408" s="102">
        <v>0.4</v>
      </c>
      <c r="F1408" s="63">
        <v>4.9000000000000004</v>
      </c>
      <c r="G1408" s="63">
        <v>0.03</v>
      </c>
      <c r="H1408" s="312"/>
      <c r="I1408" s="312"/>
      <c r="J1408" s="103"/>
      <c r="K1408" s="211">
        <f t="shared" si="78"/>
        <v>5.8800000000000005E-2</v>
      </c>
      <c r="L1408" s="239" t="str">
        <f>IFERROR(VLOOKUP($C1408,'SINAPI MAIO 2020'!$1:$1048576,3,0),IFERROR(VLOOKUP($C1408,'6-COMP. PROPRIA'!$B$1:$I$808,5,0),""))</f>
        <v/>
      </c>
      <c r="M1408" s="104"/>
      <c r="N1408" s="105"/>
    </row>
    <row r="1409" spans="2:14" ht="17.25" customHeight="1">
      <c r="B1409" s="164" t="s">
        <v>6216</v>
      </c>
      <c r="C1409" s="20"/>
      <c r="D1409" s="20"/>
      <c r="E1409" s="102">
        <v>0.4</v>
      </c>
      <c r="F1409" s="63">
        <v>4.7</v>
      </c>
      <c r="G1409" s="63">
        <v>0.03</v>
      </c>
      <c r="H1409" s="312"/>
      <c r="I1409" s="312"/>
      <c r="J1409" s="103"/>
      <c r="K1409" s="211">
        <f t="shared" si="78"/>
        <v>5.6399999999999999E-2</v>
      </c>
      <c r="L1409" s="239" t="str">
        <f>IFERROR(VLOOKUP($C1409,'SINAPI MAIO 2020'!$1:$1048576,3,0),IFERROR(VLOOKUP($C1409,'6-COMP. PROPRIA'!$B$1:$I$808,5,0),""))</f>
        <v/>
      </c>
      <c r="M1409" s="104"/>
      <c r="N1409" s="105"/>
    </row>
    <row r="1410" spans="2:14" ht="17.25" customHeight="1">
      <c r="B1410" s="164"/>
      <c r="C1410" s="20"/>
      <c r="D1410" s="20"/>
      <c r="E1410" s="238"/>
      <c r="F1410" s="312"/>
      <c r="G1410" s="312"/>
      <c r="H1410" s="312"/>
      <c r="I1410" s="312"/>
      <c r="J1410" s="103"/>
      <c r="K1410" s="211"/>
      <c r="L1410" s="239" t="str">
        <f>IFERROR(VLOOKUP($C1410,'SINAPI MAIO 2020'!$1:$1048576,3,0),IFERROR(VLOOKUP($C1410,'6-COMP. PROPRIA'!$B$1:$I$808,5,0),""))</f>
        <v/>
      </c>
      <c r="M1410" s="104"/>
      <c r="N1410" s="105"/>
    </row>
    <row r="1411" spans="2:14" ht="32.25" customHeight="1">
      <c r="B1411" s="164"/>
      <c r="C1411" s="275">
        <v>96536</v>
      </c>
      <c r="D1411" s="275" t="s">
        <v>8</v>
      </c>
      <c r="E1411" s="668" t="str">
        <f>IFERROR(VLOOKUP($C1411,'SINAPI MAIO 2020'!$1:$1048576,2,0),IFERROR(VLOOKUP($C1411,'6-COMP. PROPRIA'!$B$28:$I$808,4,0),""))</f>
        <v>FABRICAÇÃO, MONTAGEM E DESMONTAGEM DE FÔRMA PARA VIGA BALDRAME, EM MADEIRA SERRADA, E=25 MM, 4 UTILIZAÇÕES. AF_06/2017</v>
      </c>
      <c r="F1411" s="669"/>
      <c r="G1411" s="669"/>
      <c r="H1411" s="669"/>
      <c r="I1411" s="669"/>
      <c r="J1411" s="670"/>
      <c r="K1411" s="212">
        <f>SUM(K1414:K1417)</f>
        <v>6.39</v>
      </c>
      <c r="L1411" s="239" t="str">
        <f>IFERROR(VLOOKUP($C1411,'SINAPI MAIO 2020'!$1:$1048576,3,0),IFERROR(VLOOKUP($C1411,'6-COMP. PROPRIA'!$B$1:$I$808,5,0),""))</f>
        <v>M2</v>
      </c>
      <c r="M1411" s="104"/>
      <c r="N1411" s="105"/>
    </row>
    <row r="1412" spans="2:14" ht="17.25" customHeight="1">
      <c r="B1412" s="164"/>
      <c r="C1412" s="20"/>
      <c r="D1412" s="20"/>
      <c r="E1412" s="306" t="s">
        <v>6222</v>
      </c>
      <c r="F1412" s="307" t="s">
        <v>6221</v>
      </c>
      <c r="G1412" s="307" t="s">
        <v>6219</v>
      </c>
      <c r="H1412" s="307"/>
      <c r="I1412" s="307"/>
      <c r="J1412" s="308"/>
      <c r="K1412" s="212"/>
      <c r="L1412" s="239" t="str">
        <f>IFERROR(VLOOKUP($C1412,'SINAPI MAIO 2020'!$1:$1048576,3,0),IFERROR(VLOOKUP($C1412,'6-COMP. PROPRIA'!$B$1:$I$808,5,0),""))</f>
        <v/>
      </c>
      <c r="M1412" s="104"/>
      <c r="N1412" s="105"/>
    </row>
    <row r="1413" spans="2:14" ht="17.25" customHeight="1">
      <c r="B1413" s="164" t="s">
        <v>6210</v>
      </c>
      <c r="C1413" s="20"/>
      <c r="D1413" s="20"/>
      <c r="E1413" s="102">
        <v>0.3</v>
      </c>
      <c r="F1413" s="63">
        <v>7.4</v>
      </c>
      <c r="G1413" s="63">
        <v>1</v>
      </c>
      <c r="H1413" s="312"/>
      <c r="I1413" s="312"/>
      <c r="J1413" s="103"/>
      <c r="K1413" s="211">
        <f>E1413*F1413*G1413</f>
        <v>2.2200000000000002</v>
      </c>
      <c r="L1413" s="239" t="str">
        <f>IFERROR(VLOOKUP($C1413,'SINAPI MAIO 2020'!$1:$1048576,3,0),IFERROR(VLOOKUP($C1413,'6-COMP. PROPRIA'!$B$1:$I$808,5,0),""))</f>
        <v/>
      </c>
      <c r="M1413" s="104"/>
      <c r="N1413" s="105"/>
    </row>
    <row r="1414" spans="2:14" ht="17.25" customHeight="1">
      <c r="B1414" s="164" t="s">
        <v>6213</v>
      </c>
      <c r="C1414" s="20"/>
      <c r="D1414" s="20"/>
      <c r="E1414" s="102">
        <v>0.3</v>
      </c>
      <c r="F1414" s="63">
        <v>6.2</v>
      </c>
      <c r="G1414" s="63">
        <v>1</v>
      </c>
      <c r="H1414" s="312"/>
      <c r="I1414" s="312"/>
      <c r="J1414" s="103"/>
      <c r="K1414" s="211">
        <f t="shared" ref="K1414:K1417" si="79">E1414*F1414*G1414</f>
        <v>1.8599999999999999</v>
      </c>
      <c r="L1414" s="239" t="str">
        <f>IFERROR(VLOOKUP($C1414,'SINAPI MAIO 2020'!$1:$1048576,3,0),IFERROR(VLOOKUP($C1414,'6-COMP. PROPRIA'!$B$1:$I$808,5,0),""))</f>
        <v/>
      </c>
      <c r="M1414" s="104"/>
      <c r="N1414" s="105"/>
    </row>
    <row r="1415" spans="2:14" ht="17.25" customHeight="1">
      <c r="B1415" s="164" t="s">
        <v>6214</v>
      </c>
      <c r="C1415" s="20"/>
      <c r="D1415" s="20"/>
      <c r="E1415" s="102">
        <v>0.3</v>
      </c>
      <c r="F1415" s="63">
        <v>5.5</v>
      </c>
      <c r="G1415" s="63">
        <v>1</v>
      </c>
      <c r="H1415" s="312"/>
      <c r="I1415" s="312"/>
      <c r="J1415" s="103"/>
      <c r="K1415" s="211">
        <f t="shared" si="79"/>
        <v>1.65</v>
      </c>
      <c r="L1415" s="239" t="str">
        <f>IFERROR(VLOOKUP($C1415,'SINAPI MAIO 2020'!$1:$1048576,3,0),IFERROR(VLOOKUP($C1415,'6-COMP. PROPRIA'!$B$1:$I$808,5,0),""))</f>
        <v/>
      </c>
      <c r="M1415" s="104"/>
      <c r="N1415" s="105"/>
    </row>
    <row r="1416" spans="2:14" ht="17.25" customHeight="1">
      <c r="B1416" s="164" t="s">
        <v>6171</v>
      </c>
      <c r="C1416" s="20"/>
      <c r="D1416" s="20"/>
      <c r="E1416" s="102">
        <v>0.3</v>
      </c>
      <c r="F1416" s="63">
        <v>4.9000000000000004</v>
      </c>
      <c r="G1416" s="63">
        <v>1</v>
      </c>
      <c r="H1416" s="312"/>
      <c r="I1416" s="312"/>
      <c r="J1416" s="103"/>
      <c r="K1416" s="211">
        <f t="shared" si="79"/>
        <v>1.47</v>
      </c>
      <c r="L1416" s="239" t="str">
        <f>IFERROR(VLOOKUP($C1416,'SINAPI MAIO 2020'!$1:$1048576,3,0),IFERROR(VLOOKUP($C1416,'6-COMP. PROPRIA'!$B$1:$I$808,5,0),""))</f>
        <v/>
      </c>
      <c r="M1416" s="104"/>
      <c r="N1416" s="105"/>
    </row>
    <row r="1417" spans="2:14" ht="17.25" customHeight="1">
      <c r="B1417" s="164" t="s">
        <v>6216</v>
      </c>
      <c r="C1417" s="20"/>
      <c r="D1417" s="20"/>
      <c r="E1417" s="102">
        <v>0.3</v>
      </c>
      <c r="F1417" s="63">
        <v>4.7</v>
      </c>
      <c r="G1417" s="63">
        <v>1</v>
      </c>
      <c r="H1417" s="312"/>
      <c r="I1417" s="312"/>
      <c r="J1417" s="103"/>
      <c r="K1417" s="211">
        <f t="shared" si="79"/>
        <v>1.41</v>
      </c>
      <c r="L1417" s="239" t="str">
        <f>IFERROR(VLOOKUP($C1417,'SINAPI MAIO 2020'!$1:$1048576,3,0),IFERROR(VLOOKUP($C1417,'6-COMP. PROPRIA'!$B$1:$I$808,5,0),""))</f>
        <v/>
      </c>
      <c r="M1417" s="104"/>
      <c r="N1417" s="105"/>
    </row>
    <row r="1418" spans="2:14" ht="17.25" customHeight="1">
      <c r="B1418" s="164"/>
      <c r="C1418" s="20"/>
      <c r="D1418" s="20"/>
      <c r="E1418" s="238"/>
      <c r="F1418" s="312"/>
      <c r="G1418" s="312"/>
      <c r="H1418" s="312"/>
      <c r="I1418" s="312"/>
      <c r="J1418" s="103"/>
      <c r="K1418" s="211"/>
      <c r="L1418" s="239" t="str">
        <f>IFERROR(VLOOKUP($C1418,'SINAPI MAIO 2020'!$1:$1048576,3,0),IFERROR(VLOOKUP($C1418,'6-COMP. PROPRIA'!$B$1:$I$808,5,0),""))</f>
        <v/>
      </c>
      <c r="M1418" s="104"/>
      <c r="N1418" s="105"/>
    </row>
    <row r="1419" spans="2:14" ht="30.75" customHeight="1">
      <c r="B1419" s="164"/>
      <c r="C1419" s="283">
        <v>94975</v>
      </c>
      <c r="D1419" s="275" t="s">
        <v>8</v>
      </c>
      <c r="E1419" s="668" t="str">
        <f>IFERROR(VLOOKUP($C1419,'SINAPI MAIO 2020'!$1:$1048576,2,0),IFERROR(VLOOKUP($C1419,'6-COMP. PROPRIA'!$B$28:$I$808,4,0),""))</f>
        <v>CONCRETO FCK = 15MPA, TRAÇO 1:3,4:3,5 (CIMENTO/ AREIA MÉDIA/ BRITA 1)  - PREPARO MANUAL. AF_07/2016</v>
      </c>
      <c r="F1419" s="669"/>
      <c r="G1419" s="669"/>
      <c r="H1419" s="669"/>
      <c r="I1419" s="669"/>
      <c r="J1419" s="670"/>
      <c r="K1419" s="212">
        <f>SUM(K1421:K1425)</f>
        <v>0.25829999999999997</v>
      </c>
      <c r="L1419" s="239" t="str">
        <f>IFERROR(VLOOKUP($C1419,'SINAPI MAIO 2020'!$1:$1048576,3,0),IFERROR(VLOOKUP($C1419,'6-COMP. PROPRIA'!$B$1:$I$808,5,0),""))</f>
        <v>M3</v>
      </c>
      <c r="M1419" s="104"/>
      <c r="N1419" s="105"/>
    </row>
    <row r="1420" spans="2:14" ht="17.25" customHeight="1">
      <c r="B1420" s="164"/>
      <c r="C1420" s="20"/>
      <c r="D1420" s="20"/>
      <c r="E1420" s="306" t="s">
        <v>6222</v>
      </c>
      <c r="F1420" s="307" t="s">
        <v>6221</v>
      </c>
      <c r="G1420" s="307" t="s">
        <v>6220</v>
      </c>
      <c r="H1420" s="307"/>
      <c r="I1420" s="307"/>
      <c r="J1420" s="308"/>
      <c r="K1420" s="212"/>
      <c r="L1420" s="239" t="str">
        <f>IFERROR(VLOOKUP($C1420,'SINAPI MAIO 2020'!$1:$1048576,3,0),IFERROR(VLOOKUP($C1420,'6-COMP. PROPRIA'!$B$1:$I$808,5,0),""))</f>
        <v/>
      </c>
      <c r="M1420" s="104"/>
      <c r="N1420" s="105"/>
    </row>
    <row r="1421" spans="2:14" ht="17.25" customHeight="1">
      <c r="B1421" s="164" t="s">
        <v>6210</v>
      </c>
      <c r="C1421" s="20"/>
      <c r="D1421" s="20"/>
      <c r="E1421" s="102">
        <v>0.3</v>
      </c>
      <c r="F1421" s="63">
        <v>7.4</v>
      </c>
      <c r="G1421" s="63">
        <v>0.03</v>
      </c>
      <c r="H1421" s="312"/>
      <c r="I1421" s="312"/>
      <c r="J1421" s="103"/>
      <c r="K1421" s="211">
        <f>E1421*F1421*G1421</f>
        <v>6.6600000000000006E-2</v>
      </c>
      <c r="L1421" s="239" t="str">
        <f>IFERROR(VLOOKUP($C1421,'SINAPI MAIO 2020'!$1:$1048576,3,0),IFERROR(VLOOKUP($C1421,'6-COMP. PROPRIA'!$B$1:$I$808,5,0),""))</f>
        <v/>
      </c>
      <c r="M1421" s="104"/>
      <c r="N1421" s="105"/>
    </row>
    <row r="1422" spans="2:14" ht="17.25" customHeight="1">
      <c r="B1422" s="164" t="s">
        <v>6213</v>
      </c>
      <c r="C1422" s="20"/>
      <c r="D1422" s="20"/>
      <c r="E1422" s="102">
        <v>0.3</v>
      </c>
      <c r="F1422" s="63">
        <v>6.2</v>
      </c>
      <c r="G1422" s="63">
        <v>0.03</v>
      </c>
      <c r="H1422" s="312"/>
      <c r="I1422" s="312"/>
      <c r="J1422" s="103"/>
      <c r="K1422" s="211">
        <f t="shared" ref="K1422:K1425" si="80">E1422*F1422*G1422</f>
        <v>5.5799999999999995E-2</v>
      </c>
      <c r="L1422" s="239" t="str">
        <f>IFERROR(VLOOKUP($C1422,'SINAPI MAIO 2020'!$1:$1048576,3,0),IFERROR(VLOOKUP($C1422,'6-COMP. PROPRIA'!$B$1:$I$808,5,0),""))</f>
        <v/>
      </c>
      <c r="M1422" s="104"/>
      <c r="N1422" s="105"/>
    </row>
    <row r="1423" spans="2:14" ht="17.25" customHeight="1">
      <c r="B1423" s="164" t="s">
        <v>6214</v>
      </c>
      <c r="C1423" s="20"/>
      <c r="D1423" s="20"/>
      <c r="E1423" s="102">
        <v>0.3</v>
      </c>
      <c r="F1423" s="63">
        <v>5.5</v>
      </c>
      <c r="G1423" s="63">
        <v>0.03</v>
      </c>
      <c r="H1423" s="312"/>
      <c r="I1423" s="312"/>
      <c r="J1423" s="103"/>
      <c r="K1423" s="211">
        <f t="shared" si="80"/>
        <v>4.9499999999999995E-2</v>
      </c>
      <c r="L1423" s="239" t="str">
        <f>IFERROR(VLOOKUP($C1423,'SINAPI MAIO 2020'!$1:$1048576,3,0),IFERROR(VLOOKUP($C1423,'6-COMP. PROPRIA'!$B$1:$I$808,5,0),""))</f>
        <v/>
      </c>
      <c r="M1423" s="104"/>
      <c r="N1423" s="105"/>
    </row>
    <row r="1424" spans="2:14" ht="17.25" customHeight="1">
      <c r="B1424" s="164" t="s">
        <v>6171</v>
      </c>
      <c r="C1424" s="20"/>
      <c r="D1424" s="20"/>
      <c r="E1424" s="102">
        <v>0.3</v>
      </c>
      <c r="F1424" s="63">
        <v>4.9000000000000004</v>
      </c>
      <c r="G1424" s="63">
        <v>0.03</v>
      </c>
      <c r="H1424" s="312"/>
      <c r="I1424" s="312"/>
      <c r="J1424" s="103"/>
      <c r="K1424" s="211">
        <f t="shared" si="80"/>
        <v>4.41E-2</v>
      </c>
      <c r="L1424" s="239" t="str">
        <f>IFERROR(VLOOKUP($C1424,'SINAPI MAIO 2020'!$1:$1048576,3,0),IFERROR(VLOOKUP($C1424,'6-COMP. PROPRIA'!$B$1:$I$808,5,0),""))</f>
        <v/>
      </c>
      <c r="M1424" s="104"/>
      <c r="N1424" s="105"/>
    </row>
    <row r="1425" spans="2:14" ht="17.25" customHeight="1">
      <c r="B1425" s="164" t="s">
        <v>6216</v>
      </c>
      <c r="C1425" s="20"/>
      <c r="D1425" s="20"/>
      <c r="E1425" s="102">
        <v>0.3</v>
      </c>
      <c r="F1425" s="63">
        <v>4.7</v>
      </c>
      <c r="G1425" s="63">
        <v>0.03</v>
      </c>
      <c r="H1425" s="312"/>
      <c r="I1425" s="312"/>
      <c r="J1425" s="103"/>
      <c r="K1425" s="211">
        <f t="shared" si="80"/>
        <v>4.2299999999999997E-2</v>
      </c>
      <c r="L1425" s="239" t="str">
        <f>IFERROR(VLOOKUP($C1425,'SINAPI MAIO 2020'!$1:$1048576,3,0),IFERROR(VLOOKUP($C1425,'6-COMP. PROPRIA'!$B$1:$I$808,5,0),""))</f>
        <v/>
      </c>
      <c r="M1425" s="104"/>
      <c r="N1425" s="105"/>
    </row>
    <row r="1426" spans="2:14" ht="17.25" customHeight="1">
      <c r="B1426" s="164"/>
      <c r="C1426" s="20"/>
      <c r="D1426" s="20"/>
      <c r="E1426" s="238"/>
      <c r="F1426" s="312"/>
      <c r="G1426" s="312"/>
      <c r="H1426" s="312"/>
      <c r="I1426" s="312"/>
      <c r="J1426" s="103"/>
      <c r="K1426" s="211"/>
      <c r="L1426" s="239" t="str">
        <f>IFERROR(VLOOKUP($C1426,'SINAPI MAIO 2020'!$1:$1048576,3,0),IFERROR(VLOOKUP($C1426,'6-COMP. PROPRIA'!$B$1:$I$808,5,0),""))</f>
        <v/>
      </c>
      <c r="M1426" s="104"/>
      <c r="N1426" s="105"/>
    </row>
    <row r="1427" spans="2:14" ht="17.25" customHeight="1">
      <c r="B1427" s="164"/>
      <c r="C1427" s="20"/>
      <c r="D1427" s="20"/>
      <c r="E1427" s="238"/>
      <c r="F1427" s="312"/>
      <c r="G1427" s="312"/>
      <c r="H1427" s="312"/>
      <c r="I1427" s="312"/>
      <c r="J1427" s="103"/>
      <c r="K1427" s="211"/>
      <c r="L1427" s="239" t="str">
        <f>IFERROR(VLOOKUP($C1427,'SINAPI MAIO 2020'!$1:$1048576,3,0),IFERROR(VLOOKUP($C1427,'6-COMP. PROPRIA'!$B$1:$I$808,5,0),""))</f>
        <v/>
      </c>
      <c r="M1427" s="104"/>
      <c r="N1427" s="105"/>
    </row>
    <row r="1428" spans="2:14" ht="36.75" customHeight="1">
      <c r="B1428" s="164"/>
      <c r="C1428" s="275">
        <v>92873</v>
      </c>
      <c r="D1428" s="275" t="s">
        <v>8</v>
      </c>
      <c r="E1428" s="668" t="str">
        <f>IFERROR(VLOOKUP($C1428,'SINAPI MAIO 2020'!$1:$1048576,2,0),IFERROR(VLOOKUP($C1428,'6-COMP. PROPRIA'!$B$28:$I$808,4,0),""))</f>
        <v>LANÇAMENTO COM USO DE BALDES, ADENSAMENTO E ACABAMENTO DE CONCRETO EM ESTRUTURAS. AF_12/2015</v>
      </c>
      <c r="F1428" s="669"/>
      <c r="G1428" s="669"/>
      <c r="H1428" s="669"/>
      <c r="I1428" s="669"/>
      <c r="J1428" s="670"/>
      <c r="K1428" s="212">
        <f>K1419</f>
        <v>0.25829999999999997</v>
      </c>
      <c r="L1428" s="239" t="str">
        <f>IFERROR(VLOOKUP($C1428,'SINAPI MAIO 2020'!$1:$1048576,3,0),IFERROR(VLOOKUP($C1428,'6-COMP. PROPRIA'!$B$1:$I$808,5,0),""))</f>
        <v>M3</v>
      </c>
      <c r="M1428" s="104"/>
      <c r="N1428" s="105"/>
    </row>
    <row r="1429" spans="2:14" ht="12.75">
      <c r="B1429" s="164"/>
      <c r="C1429" s="20"/>
      <c r="D1429" s="20"/>
      <c r="E1429" s="238"/>
      <c r="F1429" s="312"/>
      <c r="G1429" s="312"/>
      <c r="H1429" s="312"/>
      <c r="I1429" s="312"/>
      <c r="J1429" s="103"/>
      <c r="K1429" s="211"/>
      <c r="L1429" s="239" t="str">
        <f>IFERROR(VLOOKUP($C1429,'SINAPI MAIO 2020'!$1:$1048576,3,0),IFERROR(VLOOKUP($C1429,'6-COMP. PROPRIA'!$B$1:$I$808,5,0),""))</f>
        <v/>
      </c>
      <c r="M1429" s="104"/>
      <c r="N1429" s="105"/>
    </row>
    <row r="1430" spans="2:14" ht="17.25" customHeight="1">
      <c r="B1430" s="164"/>
      <c r="C1430" s="274" t="str">
        <f>'6-COMP. PROPRIA'!B741</f>
        <v>CP-DRE-1</v>
      </c>
      <c r="D1430" s="275" t="s">
        <v>980</v>
      </c>
      <c r="E1430" s="668" t="str">
        <f>IFERROR(VLOOKUP($C1430,'SINAPI MAIO 2020'!$1:$1048576,2,0),IFERROR(VLOOKUP($C1430,'6-COMP. PROPRIA'!$B$28:$I$808,4,0),""))</f>
        <v xml:space="preserve">GRELHA DE FERRO FUNDIDO PARA CANALETA LARG = 30CM, FORNECIMENTO E ASSENTAMENTO </v>
      </c>
      <c r="F1430" s="669"/>
      <c r="G1430" s="669"/>
      <c r="H1430" s="669"/>
      <c r="I1430" s="669"/>
      <c r="J1430" s="670"/>
      <c r="K1430" s="212">
        <f>SUM(K1433:K1438)</f>
        <v>29.172410000000003</v>
      </c>
      <c r="L1430" s="239" t="str">
        <f>IFERROR(VLOOKUP($C1430,'SINAPI MAIO 2020'!$1:$1048576,3,0),IFERROR(VLOOKUP($C1430,'6-COMP. PROPRIA'!$B$1:$I$808,5,0),""))</f>
        <v>PÇ</v>
      </c>
      <c r="M1430" s="104"/>
      <c r="N1430" s="105"/>
    </row>
    <row r="1431" spans="2:14" ht="17.25" customHeight="1">
      <c r="B1431" s="164"/>
      <c r="C1431" s="20"/>
      <c r="D1431" s="20"/>
      <c r="E1431" s="306" t="s">
        <v>6084</v>
      </c>
      <c r="F1431" s="307"/>
      <c r="G1431" s="307"/>
      <c r="H1431" s="307"/>
      <c r="I1431" s="307"/>
      <c r="J1431" s="308"/>
      <c r="K1431" s="212"/>
      <c r="L1431" s="239" t="str">
        <f>IFERROR(VLOOKUP($C1431,'SINAPI MAIO 2020'!$1:$1048576,3,0),IFERROR(VLOOKUP($C1431,'6-COMP. PROPRIA'!$B$1:$I$808,5,0),""))</f>
        <v/>
      </c>
      <c r="M1431" s="104"/>
      <c r="N1431" s="105"/>
    </row>
    <row r="1432" spans="2:14" ht="17.25" customHeight="1">
      <c r="B1432" s="164"/>
      <c r="C1432" s="20"/>
      <c r="D1432" s="20"/>
      <c r="E1432" s="102">
        <v>7.4</v>
      </c>
      <c r="F1432" s="312"/>
      <c r="G1432" s="312"/>
      <c r="H1432" s="312"/>
      <c r="I1432" s="312"/>
      <c r="J1432" s="103"/>
      <c r="K1432" s="211">
        <f>E1432</f>
        <v>7.4</v>
      </c>
      <c r="L1432" s="239" t="str">
        <f>IFERROR(VLOOKUP($C1432,'SINAPI MAIO 2020'!$1:$1048576,3,0),IFERROR(VLOOKUP($C1432,'6-COMP. PROPRIA'!$B$1:$I$808,5,0),""))</f>
        <v/>
      </c>
      <c r="M1432" s="104"/>
      <c r="N1432" s="105"/>
    </row>
    <row r="1433" spans="2:14" ht="17.25" customHeight="1">
      <c r="B1433" s="164"/>
      <c r="C1433" s="20"/>
      <c r="D1433" s="20"/>
      <c r="E1433" s="102">
        <v>6.2</v>
      </c>
      <c r="F1433" s="312"/>
      <c r="G1433" s="312"/>
      <c r="H1433" s="312"/>
      <c r="I1433" s="312"/>
      <c r="J1433" s="103"/>
      <c r="K1433" s="211">
        <f t="shared" ref="K1433:K1436" si="81">E1433</f>
        <v>6.2</v>
      </c>
      <c r="L1433" s="239" t="str">
        <f>IFERROR(VLOOKUP($C1433,'SINAPI MAIO 2020'!$1:$1048576,3,0),IFERROR(VLOOKUP($C1433,'6-COMP. PROPRIA'!$B$1:$I$808,5,0),""))</f>
        <v/>
      </c>
      <c r="M1433" s="104"/>
      <c r="N1433" s="105"/>
    </row>
    <row r="1434" spans="2:14" ht="17.25" customHeight="1">
      <c r="B1434" s="164"/>
      <c r="C1434" s="20"/>
      <c r="D1434" s="20"/>
      <c r="E1434" s="102">
        <v>5.5</v>
      </c>
      <c r="F1434" s="312"/>
      <c r="G1434" s="312"/>
      <c r="H1434" s="312"/>
      <c r="I1434" s="312"/>
      <c r="J1434" s="103"/>
      <c r="K1434" s="211">
        <f t="shared" si="81"/>
        <v>5.5</v>
      </c>
      <c r="L1434" s="239" t="str">
        <f>IFERROR(VLOOKUP($C1434,'SINAPI MAIO 2020'!$1:$1048576,3,0),IFERROR(VLOOKUP($C1434,'6-COMP. PROPRIA'!$B$1:$I$808,5,0),""))</f>
        <v/>
      </c>
      <c r="M1434" s="104"/>
      <c r="N1434" s="105"/>
    </row>
    <row r="1435" spans="2:14" ht="17.25" customHeight="1">
      <c r="B1435" s="164"/>
      <c r="C1435" s="20"/>
      <c r="D1435" s="20"/>
      <c r="E1435" s="102">
        <v>4.9000000000000004</v>
      </c>
      <c r="F1435" s="312"/>
      <c r="G1435" s="312"/>
      <c r="H1435" s="312"/>
      <c r="I1435" s="312"/>
      <c r="J1435" s="103"/>
      <c r="K1435" s="211">
        <f t="shared" si="81"/>
        <v>4.9000000000000004</v>
      </c>
      <c r="L1435" s="239" t="str">
        <f>IFERROR(VLOOKUP($C1435,'SINAPI MAIO 2020'!$1:$1048576,3,0),IFERROR(VLOOKUP($C1435,'6-COMP. PROPRIA'!$B$1:$I$808,5,0),""))</f>
        <v/>
      </c>
      <c r="M1435" s="104"/>
      <c r="N1435" s="105"/>
    </row>
    <row r="1436" spans="2:14" ht="17.25" customHeight="1">
      <c r="B1436" s="164"/>
      <c r="C1436" s="20"/>
      <c r="D1436" s="20"/>
      <c r="E1436" s="102">
        <v>4.7</v>
      </c>
      <c r="F1436" s="312"/>
      <c r="G1436" s="312"/>
      <c r="H1436" s="312"/>
      <c r="I1436" s="312"/>
      <c r="J1436" s="103"/>
      <c r="K1436" s="211">
        <f t="shared" si="81"/>
        <v>4.7</v>
      </c>
      <c r="L1436" s="239" t="str">
        <f>IFERROR(VLOOKUP($C1436,'SINAPI MAIO 2020'!$1:$1048576,3,0),IFERROR(VLOOKUP($C1436,'6-COMP. PROPRIA'!$B$1:$I$808,5,0),""))</f>
        <v/>
      </c>
      <c r="M1436" s="104"/>
      <c r="N1436" s="105"/>
    </row>
    <row r="1437" spans="2:14" ht="17.25" customHeight="1">
      <c r="B1437" s="164"/>
      <c r="C1437" s="20"/>
      <c r="D1437" s="20"/>
      <c r="E1437" s="238"/>
      <c r="F1437" s="312"/>
      <c r="G1437" s="312"/>
      <c r="H1437" s="312"/>
      <c r="I1437" s="312"/>
      <c r="J1437" s="103"/>
      <c r="K1437" s="211"/>
      <c r="L1437" s="239" t="str">
        <f>IFERROR(VLOOKUP($C1437,'SINAPI MAIO 2020'!$1:$1048576,3,0),IFERROR(VLOOKUP($C1437,'6-COMP. PROPRIA'!$B$1:$I$808,5,0),""))</f>
        <v/>
      </c>
      <c r="M1437" s="104"/>
      <c r="N1437" s="105"/>
    </row>
    <row r="1438" spans="2:14" ht="17.25" customHeight="1">
      <c r="B1438" s="164"/>
      <c r="C1438" s="275">
        <v>72897</v>
      </c>
      <c r="D1438" s="275" t="s">
        <v>8</v>
      </c>
      <c r="E1438" s="668" t="str">
        <f>IFERROR(VLOOKUP($C1438,'SINAPI MAIO 2020'!$1:$1048576,2,0),IFERROR(VLOOKUP($C1438,'6-COMP. PROPRIA'!$B$28:$I$808,4,0),""))</f>
        <v>CARGA MANUAL DE ENTULHO EM CAMINHAO BASCULANTE 6 M3</v>
      </c>
      <c r="F1438" s="669"/>
      <c r="G1438" s="669"/>
      <c r="H1438" s="669"/>
      <c r="I1438" s="669"/>
      <c r="J1438" s="670"/>
      <c r="K1438" s="212">
        <f>SUM(K1440:K1440)</f>
        <v>7.8724100000000021</v>
      </c>
      <c r="L1438" s="239" t="str">
        <f>IFERROR(VLOOKUP($C1438,'SINAPI MAIO 2020'!$1:$1048576,3,0),IFERROR(VLOOKUP($C1438,'6-COMP. PROPRIA'!$B$1:$I$808,5,0),""))</f>
        <v>M3</v>
      </c>
      <c r="M1438" s="104"/>
      <c r="N1438" s="105"/>
    </row>
    <row r="1439" spans="2:14" ht="17.25" customHeight="1">
      <c r="B1439" s="164"/>
      <c r="C1439" s="20"/>
      <c r="D1439" s="20"/>
      <c r="E1439" s="75" t="s">
        <v>6223</v>
      </c>
      <c r="F1439" s="309" t="s">
        <v>6224</v>
      </c>
      <c r="G1439" s="311"/>
      <c r="H1439" s="309" t="s">
        <v>932</v>
      </c>
      <c r="I1439" s="312"/>
      <c r="J1439" s="310"/>
      <c r="K1439" s="62"/>
      <c r="L1439" s="239" t="str">
        <f>IFERROR(VLOOKUP($C1439,'SINAPI MAIO 2020'!$1:$1048576,3,0),IFERROR(VLOOKUP($C1439,'6-COMP. PROPRIA'!$B$1:$I$808,5,0),""))</f>
        <v/>
      </c>
      <c r="M1439" s="104"/>
      <c r="N1439" s="105"/>
    </row>
    <row r="1440" spans="2:14" ht="17.25" customHeight="1">
      <c r="B1440" s="164"/>
      <c r="C1440" s="20"/>
      <c r="D1440" s="20"/>
      <c r="E1440" s="238">
        <f>K1395</f>
        <v>6.3140000000000018</v>
      </c>
      <c r="F1440" s="311">
        <f>K1419</f>
        <v>0.25829999999999997</v>
      </c>
      <c r="G1440" s="311"/>
      <c r="H1440" s="311">
        <v>1.3</v>
      </c>
      <c r="I1440" s="312"/>
      <c r="J1440" s="59"/>
      <c r="K1440" s="62">
        <f>(E1440-F1440)*H1440</f>
        <v>7.8724100000000021</v>
      </c>
      <c r="L1440" s="239" t="str">
        <f>IFERROR(VLOOKUP($C1440,'SINAPI MAIO 2020'!$1:$1048576,3,0),IFERROR(VLOOKUP($C1440,'6-COMP. PROPRIA'!$B$1:$I$808,5,0),""))</f>
        <v/>
      </c>
      <c r="M1440" s="104"/>
      <c r="N1440" s="105"/>
    </row>
    <row r="1441" spans="2:14" ht="17.25" customHeight="1">
      <c r="B1441" s="164"/>
      <c r="C1441" s="20"/>
      <c r="D1441" s="20"/>
      <c r="E1441" s="238"/>
      <c r="F1441" s="311"/>
      <c r="G1441" s="311"/>
      <c r="H1441" s="312"/>
      <c r="I1441" s="311"/>
      <c r="J1441" s="59"/>
      <c r="K1441" s="62"/>
      <c r="L1441" s="239" t="str">
        <f>IFERROR(VLOOKUP($C1441,'SINAPI MAIO 2020'!$1:$1048576,3,0),IFERROR(VLOOKUP($C1441,'6-COMP. PROPRIA'!$B$1:$I$808,5,0),""))</f>
        <v/>
      </c>
      <c r="M1441" s="104"/>
      <c r="N1441" s="105"/>
    </row>
    <row r="1442" spans="2:14" ht="17.25" customHeight="1">
      <c r="B1442" s="164"/>
      <c r="C1442" s="20"/>
      <c r="D1442" s="20"/>
      <c r="E1442" s="238"/>
      <c r="F1442" s="311"/>
      <c r="G1442" s="311"/>
      <c r="H1442" s="312"/>
      <c r="I1442" s="311"/>
      <c r="J1442" s="59"/>
      <c r="K1442" s="62"/>
      <c r="L1442" s="239" t="str">
        <f>IFERROR(VLOOKUP($C1442,'SINAPI MAIO 2020'!$1:$1048576,3,0),IFERROR(VLOOKUP($C1442,'6-COMP. PROPRIA'!$B$1:$I$808,5,0),""))</f>
        <v/>
      </c>
      <c r="M1442" s="104"/>
      <c r="N1442" s="105"/>
    </row>
    <row r="1443" spans="2:14" ht="36.75" customHeight="1">
      <c r="B1443" s="164"/>
      <c r="C1443" s="274">
        <v>97914</v>
      </c>
      <c r="D1443" s="275" t="s">
        <v>8</v>
      </c>
      <c r="E1443" s="668" t="str">
        <f>IFERROR(VLOOKUP($C1443,'SINAPI MAIO 2020'!$1:$1048576,2,0),IFERROR(VLOOKUP($C1443,'6-COMP. PROPRIA'!$B$28:$I$808,4,0),""))</f>
        <v>TRANSPORTE COM CAMINHÃO BASCULANTE DE 6 M3, EM VIA URBANA PAVIMENTADA, DMT ATÉ 30 KM (UNIDADE: M3XKM). AF_01/2018</v>
      </c>
      <c r="F1443" s="669"/>
      <c r="G1443" s="669"/>
      <c r="H1443" s="669"/>
      <c r="I1443" s="669"/>
      <c r="J1443" s="670"/>
      <c r="K1443" s="212">
        <f>SUM(K1445:K1446)</f>
        <v>196.81025000000005</v>
      </c>
      <c r="L1443" s="239" t="str">
        <f>IFERROR(VLOOKUP($C1443,'SINAPI MAIO 2020'!$1:$1048576,3,0),IFERROR(VLOOKUP($C1443,'6-COMP. PROPRIA'!$B$1:$I$808,5,0),""))</f>
        <v>M3XKM</v>
      </c>
      <c r="M1443" s="104"/>
      <c r="N1443" s="105"/>
    </row>
    <row r="1444" spans="2:14" ht="25.5" customHeight="1">
      <c r="B1444" s="164"/>
      <c r="C1444" s="20"/>
      <c r="D1444" s="20"/>
      <c r="E1444" s="75" t="s">
        <v>925</v>
      </c>
      <c r="F1444" s="312"/>
      <c r="G1444" s="312"/>
      <c r="H1444" s="309" t="s">
        <v>926</v>
      </c>
      <c r="I1444" s="312"/>
      <c r="J1444" s="103"/>
      <c r="K1444" s="211"/>
      <c r="L1444" s="239" t="str">
        <f>IFERROR(VLOOKUP($C1444,'SINAPI MAIO 2020'!$1:$1048576,3,0),IFERROR(VLOOKUP($C1444,'6-COMP. PROPRIA'!$B$1:$I$808,5,0),""))</f>
        <v/>
      </c>
      <c r="M1444" s="104"/>
      <c r="N1444" s="105"/>
    </row>
    <row r="1445" spans="2:14" ht="17.25" customHeight="1">
      <c r="B1445" s="164"/>
      <c r="C1445" s="20"/>
      <c r="D1445" s="20"/>
      <c r="E1445" s="114">
        <f>K1438</f>
        <v>7.8724100000000021</v>
      </c>
      <c r="F1445" s="50"/>
      <c r="G1445" s="50"/>
      <c r="H1445" s="106">
        <v>25</v>
      </c>
      <c r="I1445" s="312"/>
      <c r="J1445" s="59"/>
      <c r="K1445" s="62">
        <f>H1445*E1445</f>
        <v>196.81025000000005</v>
      </c>
      <c r="L1445" s="239" t="str">
        <f>IFERROR(VLOOKUP($C1445,'SINAPI MAIO 2020'!$1:$1048576,3,0),IFERROR(VLOOKUP($C1445,'6-COMP. PROPRIA'!$B$1:$I$808,5,0),""))</f>
        <v/>
      </c>
      <c r="M1445" s="104"/>
      <c r="N1445" s="105"/>
    </row>
    <row r="1446" spans="2:14" ht="17.25" customHeight="1">
      <c r="B1446" s="164"/>
      <c r="C1446" s="20"/>
      <c r="D1446" s="20"/>
      <c r="E1446" s="238"/>
      <c r="F1446" s="312"/>
      <c r="G1446" s="312"/>
      <c r="H1446" s="312"/>
      <c r="I1446" s="312"/>
      <c r="J1446" s="103"/>
      <c r="K1446" s="211"/>
      <c r="L1446" s="239" t="str">
        <f>IFERROR(VLOOKUP($C1446,'SINAPI MAIO 2020'!$1:$1048576,3,0),IFERROR(VLOOKUP($C1446,'6-COMP. PROPRIA'!$B$1:$I$808,5,0),""))</f>
        <v/>
      </c>
      <c r="M1446" s="104"/>
      <c r="N1446" s="105"/>
    </row>
    <row r="1447" spans="2:14" ht="17.25" customHeight="1" thickBot="1">
      <c r="B1447" s="164"/>
      <c r="C1447" s="20"/>
      <c r="D1447" s="20"/>
      <c r="E1447" s="238"/>
      <c r="F1447" s="312"/>
      <c r="G1447" s="312"/>
      <c r="H1447" s="312"/>
      <c r="I1447" s="312"/>
      <c r="J1447" s="103"/>
      <c r="K1447" s="211"/>
      <c r="L1447" s="239" t="str">
        <f>IFERROR(VLOOKUP($C1447,'SINAPI MAIO 2020'!$1:$1048576,3,0),IFERROR(VLOOKUP($C1447,'6-COMP. PROPRIA'!$B$1:$I$808,5,0),""))</f>
        <v/>
      </c>
      <c r="M1447" s="104"/>
      <c r="N1447" s="105"/>
    </row>
    <row r="1448" spans="2:14" ht="31.5" customHeight="1" thickBot="1">
      <c r="B1448" s="164"/>
      <c r="C1448" s="20"/>
      <c r="D1448" s="20"/>
      <c r="E1448" s="674" t="s">
        <v>6549</v>
      </c>
      <c r="F1448" s="675"/>
      <c r="G1448" s="675"/>
      <c r="H1448" s="675"/>
      <c r="I1448" s="675"/>
      <c r="J1448" s="676"/>
      <c r="K1448" s="211"/>
      <c r="L1448" s="239" t="str">
        <f>IFERROR(VLOOKUP($C1448,'SINAPI MAIO 2020'!$1:$1048576,3,0),IFERROR(VLOOKUP($C1448,'6-COMP. PROPRIA'!$B$1:$I$808,5,0),""))</f>
        <v/>
      </c>
      <c r="M1448" s="104"/>
      <c r="N1448" s="105"/>
    </row>
    <row r="1449" spans="2:14" ht="52.5" customHeight="1">
      <c r="B1449" s="164"/>
      <c r="C1449" s="275" t="s">
        <v>4267</v>
      </c>
      <c r="D1449" s="275" t="s">
        <v>8</v>
      </c>
      <c r="E1449" s="668" t="str">
        <f>IFERROR(VLOOKUP($C1449,'SINAPI MAIO 2020'!$1:$1048576,2,0),IFERROR(VLOOKUP($C1449,'6-COMP. PROPRIA'!$B$28:$I$808,4,0),""))</f>
        <v>EXTINTOR INCENDIO AGUA-PRESSURIZADA 10L INCL SUPORTE PAREDE CARGA     COMPLETA FORNECIMENTO E COLOCACAO</v>
      </c>
      <c r="F1449" s="669"/>
      <c r="G1449" s="669"/>
      <c r="H1449" s="669"/>
      <c r="I1449" s="669"/>
      <c r="J1449" s="670"/>
      <c r="K1449" s="212">
        <v>2</v>
      </c>
      <c r="L1449" s="239" t="str">
        <f>IFERROR(VLOOKUP($C1449,'SINAPI MAIO 2020'!$1:$1048576,3,0),IFERROR(VLOOKUP($C1449,'6-COMP. PROPRIA'!$B$1:$I$808,5,0),""))</f>
        <v>UN</v>
      </c>
      <c r="M1449" s="104"/>
      <c r="N1449" s="105"/>
    </row>
    <row r="1450" spans="2:14" ht="52.5" customHeight="1">
      <c r="B1450" s="164"/>
      <c r="C1450" s="275">
        <v>83635</v>
      </c>
      <c r="D1450" s="275" t="s">
        <v>8</v>
      </c>
      <c r="E1450" s="668" t="str">
        <f>IFERROR(VLOOKUP($C1450,'SINAPI MAIO 2020'!$1:$1048576,2,0),IFERROR(VLOOKUP($C1450,'6-COMP. PROPRIA'!$B$28:$I$808,4,0),""))</f>
        <v>EXTINTOR INCENDIO TP PO QUIMICO 6KG - FORNECIMENTO E INSTALACAO</v>
      </c>
      <c r="F1450" s="669"/>
      <c r="G1450" s="669"/>
      <c r="H1450" s="669"/>
      <c r="I1450" s="669"/>
      <c r="J1450" s="670"/>
      <c r="K1450" s="212">
        <v>1</v>
      </c>
      <c r="L1450" s="239" t="str">
        <f>IFERROR(VLOOKUP($C1450,'SINAPI MAIO 2020'!$1:$1048576,3,0),IFERROR(VLOOKUP($C1450,'6-COMP. PROPRIA'!$B$1:$I$808,5,0),""))</f>
        <v>UN</v>
      </c>
      <c r="M1450" s="104"/>
      <c r="N1450" s="105"/>
    </row>
    <row r="1451" spans="2:14" ht="52.5" customHeight="1">
      <c r="B1451" s="164"/>
      <c r="C1451" s="275">
        <v>72554</v>
      </c>
      <c r="D1451" s="275" t="s">
        <v>8</v>
      </c>
      <c r="E1451" s="668" t="str">
        <f>IFERROR(VLOOKUP($C1451,'SINAPI MAIO 2020'!$1:$1048576,2,0),IFERROR(VLOOKUP($C1451,'6-COMP. PROPRIA'!$B$28:$I$808,4,0),""))</f>
        <v>EXTINTOR DE CO2 6KG - FORNECIMENTO E INSTALACAO</v>
      </c>
      <c r="F1451" s="669"/>
      <c r="G1451" s="669"/>
      <c r="H1451" s="669"/>
      <c r="I1451" s="669"/>
      <c r="J1451" s="670"/>
      <c r="K1451" s="212">
        <v>1</v>
      </c>
      <c r="L1451" s="239" t="str">
        <f>IFERROR(VLOOKUP($C1451,'SINAPI MAIO 2020'!$1:$1048576,3,0),IFERROR(VLOOKUP($C1451,'6-COMP. PROPRIA'!$B$1:$I$808,5,0),""))</f>
        <v>UN</v>
      </c>
      <c r="M1451" s="104"/>
      <c r="N1451" s="105"/>
    </row>
    <row r="1452" spans="2:14" ht="52.5" customHeight="1">
      <c r="B1452" s="164"/>
      <c r="C1452" s="274" t="str">
        <f>'6-COMP. PROPRIA'!B748</f>
        <v>CP-CBI-01</v>
      </c>
      <c r="D1452" s="275" t="s">
        <v>980</v>
      </c>
      <c r="E1452" s="668" t="str">
        <f>IFERROR(VLOOKUP($C1452,'SINAPI MAIO 2020'!$1:$1048576,2,0),IFERROR(VLOOKUP($C1452,'6-COMP. PROPRIA'!$B$28:$I$808,4,0),""))</f>
        <v>PLACA DE SINALIZACAO DE SEGURANCA CONTRA INCENDIO, FOTOLUMINESCENTE, RETANGULAR, *13 X 26* CM, EM PVC *2* MM ANTI-CHAMAS (SIMBOLOS, CORES E PICTOGRAMAS CONFORME NBR 13434) - FORNECIMENTO E INSTALAÇÃO</v>
      </c>
      <c r="F1452" s="669"/>
      <c r="G1452" s="669"/>
      <c r="H1452" s="669"/>
      <c r="I1452" s="669"/>
      <c r="J1452" s="670"/>
      <c r="K1452" s="212">
        <v>24</v>
      </c>
      <c r="L1452" s="239" t="str">
        <f>IFERROR(VLOOKUP($C1452,'SINAPI MAIO 2020'!$1:$1048576,3,0),IFERROR(VLOOKUP($C1452,'6-COMP. PROPRIA'!$B$1:$I$808,5,0),""))</f>
        <v>UN</v>
      </c>
      <c r="M1452" s="104"/>
      <c r="N1452" s="105"/>
    </row>
    <row r="1453" spans="2:14" ht="52.5" customHeight="1">
      <c r="B1453" s="164"/>
      <c r="C1453" s="275">
        <v>84665</v>
      </c>
      <c r="D1453" s="275" t="s">
        <v>8</v>
      </c>
      <c r="E1453" s="668" t="str">
        <f>IFERROR(VLOOKUP($C1453,'SINAPI MAIO 2020'!$1:$1048576,2,0),IFERROR(VLOOKUP($C1453,'6-COMP. PROPRIA'!$B$28:$I$808,4,0),""))</f>
        <v>PINTURA ACRILICA PARA SINALIZAÇÃO HORIZONTAL EM PISO CIMENTADO</v>
      </c>
      <c r="F1453" s="669"/>
      <c r="G1453" s="669"/>
      <c r="H1453" s="669"/>
      <c r="I1453" s="669"/>
      <c r="J1453" s="670"/>
      <c r="K1453" s="212">
        <v>4</v>
      </c>
      <c r="L1453" s="239" t="str">
        <f>IFERROR(VLOOKUP($C1453,'SINAPI MAIO 2020'!$1:$1048576,3,0),IFERROR(VLOOKUP($C1453,'6-COMP. PROPRIA'!$B$1:$I$808,5,0),""))</f>
        <v>M2</v>
      </c>
      <c r="M1453" s="104"/>
      <c r="N1453" s="105"/>
    </row>
    <row r="1454" spans="2:14" ht="52.5" customHeight="1">
      <c r="B1454" s="164"/>
      <c r="C1454" s="275">
        <v>72283</v>
      </c>
      <c r="D1454" s="275" t="s">
        <v>8</v>
      </c>
      <c r="E1454" s="668" t="str">
        <f>IFERROR(VLOOKUP($C1454,'SINAPI MAIO 2020'!$1:$1048576,2,0),IFERROR(VLOOKUP($C1454,'6-COMP. PROPRIA'!$B$28:$I$808,4,0),""))</f>
        <v>ABRIGO PARA HIDRANTE, 75X45X17CM, COM REGISTRO GLOBO ANGULAR 45º 2.1/2", ADAPTADOR STORZ 2.1/2", MANGUEIRA DE INCÊNDIO 15M, REDUÇÃO 2.1/2X1.1/2" E ESGUICHO EM LATÃO 1.1/2" - FORNECIMENTO E INSTALAÇÃO</v>
      </c>
      <c r="F1454" s="669"/>
      <c r="G1454" s="669"/>
      <c r="H1454" s="669"/>
      <c r="I1454" s="669"/>
      <c r="J1454" s="670"/>
      <c r="K1454" s="212">
        <v>1</v>
      </c>
      <c r="L1454" s="239" t="str">
        <f>IFERROR(VLOOKUP($C1454,'SINAPI MAIO 2020'!$1:$1048576,3,0),IFERROR(VLOOKUP($C1454,'6-COMP. PROPRIA'!$B$1:$I$808,5,0),""))</f>
        <v>UN</v>
      </c>
      <c r="M1454" s="104"/>
      <c r="N1454" s="105"/>
    </row>
    <row r="1455" spans="2:14" ht="52.5" customHeight="1">
      <c r="B1455" s="164"/>
      <c r="C1455" s="274" t="str">
        <f>'6-COMP. PROPRIA'!B753</f>
        <v>CP-CBI-02</v>
      </c>
      <c r="D1455" s="275" t="s">
        <v>980</v>
      </c>
      <c r="E1455" s="668" t="str">
        <f>IFERROR(VLOOKUP($C1455,'SINAPI MAIO 2020'!$1:$1048576,2,0),IFERROR(VLOOKUP($C1455,'6-COMP. PROPRIA'!$B$28:$I$808,4,0),""))</f>
        <v>CONJUNTO MOTOBOMBA  BC- 21 R 1 1/2 3 CV COM CENTRAL DE COMANDO PARA  HIDRANTE, FORNECIMENTO E INSTALAÇÃO</v>
      </c>
      <c r="F1455" s="669"/>
      <c r="G1455" s="669"/>
      <c r="H1455" s="669"/>
      <c r="I1455" s="669"/>
      <c r="J1455" s="670"/>
      <c r="K1455" s="212">
        <v>1</v>
      </c>
      <c r="L1455" s="239" t="str">
        <f>IFERROR(VLOOKUP($C1455,'SINAPI MAIO 2020'!$1:$1048576,3,0),IFERROR(VLOOKUP($C1455,'6-COMP. PROPRIA'!$B$1:$I$808,5,0),""))</f>
        <v>UN</v>
      </c>
      <c r="M1455" s="104"/>
      <c r="N1455" s="105"/>
    </row>
    <row r="1456" spans="2:14" ht="52.5" customHeight="1">
      <c r="B1456" s="164"/>
      <c r="C1456" s="274" t="str">
        <f>'6-COMP. PROPRIA'!B759</f>
        <v>CP-CBI-03</v>
      </c>
      <c r="D1456" s="275" t="s">
        <v>980</v>
      </c>
      <c r="E1456" s="668" t="str">
        <f>IFERROR(VLOOKUP($C1456,'SINAPI MAIO 2020'!$1:$1048576,2,0),IFERROR(VLOOKUP($C1456,'6-COMP. PROPRIA'!$B$28:$I$808,4,0),""))</f>
        <v>FORNECIMENTO E INSTALAÇÃO DE ABRIGO DE 2,00X1,00 PARA BOMBA DE INCENDIO E BOMBA DE ABASTECIMENTO DA CISTERNA PARA CAIXA D'ÁGUA</v>
      </c>
      <c r="F1456" s="669"/>
      <c r="G1456" s="669"/>
      <c r="H1456" s="669"/>
      <c r="I1456" s="669"/>
      <c r="J1456" s="670"/>
      <c r="K1456" s="212">
        <v>1</v>
      </c>
      <c r="L1456" s="239" t="str">
        <f>IFERROR(VLOOKUP($C1456,'SINAPI MAIO 2020'!$1:$1048576,3,0),IFERROR(VLOOKUP($C1456,'6-COMP. PROPRIA'!$B$1:$I$808,5,0),""))</f>
        <v>UNI</v>
      </c>
      <c r="M1456" s="104"/>
      <c r="N1456" s="105"/>
    </row>
    <row r="1457" spans="2:20" ht="17.25" customHeight="1" thickBot="1">
      <c r="B1457" s="164"/>
      <c r="C1457" s="20"/>
      <c r="D1457" s="20"/>
      <c r="E1457" s="238"/>
      <c r="F1457" s="328"/>
      <c r="G1457" s="328"/>
      <c r="H1457" s="328"/>
      <c r="I1457" s="328"/>
      <c r="J1457" s="103"/>
      <c r="K1457" s="211"/>
      <c r="L1457" s="239" t="str">
        <f>IFERROR(VLOOKUP($C1457,'SINAPI MAIO 2020'!$1:$1048576,3,0),IFERROR(VLOOKUP($C1457,'6-COMP. PROPRIA'!$B$1:$I$808,5,0),""))</f>
        <v/>
      </c>
      <c r="M1457" s="104"/>
      <c r="N1457" s="105"/>
    </row>
    <row r="1458" spans="2:20" ht="17.25" customHeight="1" thickBot="1">
      <c r="B1458" s="164"/>
      <c r="C1458" s="20"/>
      <c r="D1458" s="20"/>
      <c r="E1458" s="674" t="s">
        <v>43</v>
      </c>
      <c r="F1458" s="675"/>
      <c r="G1458" s="675"/>
      <c r="H1458" s="675"/>
      <c r="I1458" s="675"/>
      <c r="J1458" s="676"/>
      <c r="K1458" s="211"/>
      <c r="L1458" s="239" t="str">
        <f>IFERROR(VLOOKUP($C1458,'SINAPI MAIO 2020'!$1:$1048576,3,0),IFERROR(VLOOKUP($C1458,'6-COMP. PROPRIA'!$B$1:$I$808,5,0),""))</f>
        <v/>
      </c>
      <c r="M1458" s="104"/>
      <c r="N1458" s="105"/>
      <c r="T1458" s="142"/>
    </row>
    <row r="1459" spans="2:20" s="142" customFormat="1" ht="34.5">
      <c r="B1459" s="168"/>
      <c r="C1459" s="91"/>
      <c r="D1459" s="91"/>
      <c r="E1459" s="704" t="s">
        <v>43</v>
      </c>
      <c r="F1459" s="705"/>
      <c r="G1459" s="705"/>
      <c r="H1459" s="705"/>
      <c r="I1459" s="705"/>
      <c r="J1459" s="706"/>
      <c r="K1459" s="215"/>
      <c r="L1459" s="239" t="str">
        <f>IFERROR(VLOOKUP($C1459,'SINAPI MAIO 2020'!$1:$1048576,3,0),IFERROR(VLOOKUP($C1459,'6-COMP. PROPRIA'!$B$1:$I$808,5,0),""))</f>
        <v/>
      </c>
      <c r="M1459" s="145"/>
      <c r="N1459" s="146"/>
    </row>
    <row r="1460" spans="2:20" s="142" customFormat="1" ht="17.25" customHeight="1">
      <c r="B1460" s="168"/>
      <c r="C1460" s="91"/>
      <c r="D1460" s="91"/>
      <c r="E1460" s="114"/>
      <c r="F1460" s="312"/>
      <c r="G1460" s="312"/>
      <c r="H1460" s="312"/>
      <c r="I1460" s="312"/>
      <c r="J1460" s="103"/>
      <c r="K1460" s="215"/>
      <c r="L1460" s="239" t="str">
        <f>IFERROR(VLOOKUP($C1460,'SINAPI MAIO 2020'!$1:$1048576,3,0),IFERROR(VLOOKUP($C1460,'6-COMP. PROPRIA'!$B$1:$I$808,5,0),""))</f>
        <v/>
      </c>
      <c r="M1460" s="145"/>
      <c r="N1460" s="146"/>
    </row>
    <row r="1461" spans="2:20" s="142" customFormat="1" ht="17.25" customHeight="1">
      <c r="B1461" s="168"/>
      <c r="C1461" s="274" t="str">
        <f>'6-COMP. PROPRIA'!B782</f>
        <v>CP-SD-1</v>
      </c>
      <c r="D1461" s="275" t="s">
        <v>980</v>
      </c>
      <c r="E1461" s="668" t="str">
        <f>IFERROR(VLOOKUP($C1461,'SINAPI MAIO 2020'!$1:$1048576,2,0),IFERROR(VLOOKUP($C1461,'6-COMP. PROPRIA'!$B$28:$I$808,4,0),""))</f>
        <v>FORNECIMENTO E INSTALAÇÃO DE ACABAMENTO PARA VALVULA DE DESCARGA</v>
      </c>
      <c r="F1461" s="669"/>
      <c r="G1461" s="669"/>
      <c r="H1461" s="669"/>
      <c r="I1461" s="669"/>
      <c r="J1461" s="670"/>
      <c r="K1461" s="215">
        <v>8</v>
      </c>
      <c r="L1461" s="239" t="str">
        <f>IFERROR(VLOOKUP($C1461,'SINAPI MAIO 2020'!$1:$1048576,3,0),IFERROR(VLOOKUP($C1461,'6-COMP. PROPRIA'!$B$1:$I$808,5,0),""))</f>
        <v xml:space="preserve">UN    </v>
      </c>
      <c r="M1461" s="145"/>
      <c r="N1461" s="146"/>
    </row>
    <row r="1462" spans="2:20" s="142" customFormat="1" ht="17.25" customHeight="1">
      <c r="B1462" s="168"/>
      <c r="C1462" s="91"/>
      <c r="D1462" s="91"/>
      <c r="E1462" s="114" t="s">
        <v>6048</v>
      </c>
      <c r="F1462" s="312"/>
      <c r="G1462" s="312"/>
      <c r="H1462" s="312"/>
      <c r="I1462" s="312"/>
      <c r="J1462" s="103"/>
      <c r="K1462" s="215"/>
      <c r="L1462" s="239" t="str">
        <f>IFERROR(VLOOKUP($C1462,'SINAPI MAIO 2020'!$1:$1048576,3,0),IFERROR(VLOOKUP($C1462,'6-COMP. PROPRIA'!$B$1:$I$808,5,0),""))</f>
        <v/>
      </c>
      <c r="M1462" s="145"/>
      <c r="N1462" s="146"/>
    </row>
    <row r="1463" spans="2:20" s="142" customFormat="1" ht="17.25" customHeight="1">
      <c r="B1463" s="168"/>
      <c r="C1463" s="91"/>
      <c r="D1463" s="91"/>
      <c r="E1463" s="113">
        <v>8</v>
      </c>
      <c r="F1463" s="312"/>
      <c r="G1463" s="312"/>
      <c r="H1463" s="312"/>
      <c r="I1463" s="312"/>
      <c r="J1463" s="103"/>
      <c r="K1463" s="215">
        <v>8</v>
      </c>
      <c r="L1463" s="239" t="str">
        <f>IFERROR(VLOOKUP($C1463,'SINAPI MAIO 2020'!$1:$1048576,3,0),IFERROR(VLOOKUP($C1463,'6-COMP. PROPRIA'!$B$1:$I$808,5,0),""))</f>
        <v/>
      </c>
      <c r="M1463" s="145"/>
      <c r="N1463" s="146"/>
    </row>
    <row r="1464" spans="2:20" s="142" customFormat="1" ht="17.25" customHeight="1">
      <c r="B1464" s="168"/>
      <c r="C1464" s="91"/>
      <c r="D1464" s="91"/>
      <c r="E1464" s="114"/>
      <c r="F1464" s="312"/>
      <c r="G1464" s="312"/>
      <c r="H1464" s="312"/>
      <c r="I1464" s="312"/>
      <c r="J1464" s="103"/>
      <c r="K1464" s="215"/>
      <c r="L1464" s="239" t="str">
        <f>IFERROR(VLOOKUP($C1464,'SINAPI MAIO 2020'!$1:$1048576,3,0),IFERROR(VLOOKUP($C1464,'6-COMP. PROPRIA'!$B$1:$I$808,5,0),""))</f>
        <v/>
      </c>
      <c r="M1464" s="145"/>
      <c r="N1464" s="146"/>
    </row>
    <row r="1465" spans="2:20" s="142" customFormat="1" ht="17.25" customHeight="1">
      <c r="B1465" s="168"/>
      <c r="C1465" s="91"/>
      <c r="D1465" s="91"/>
      <c r="E1465" s="114"/>
      <c r="F1465" s="312"/>
      <c r="G1465" s="312"/>
      <c r="H1465" s="312"/>
      <c r="I1465" s="312"/>
      <c r="J1465" s="103"/>
      <c r="K1465" s="215"/>
      <c r="L1465" s="239" t="str">
        <f>IFERROR(VLOOKUP($C1465,'SINAPI MAIO 2020'!$1:$1048576,3,0),IFERROR(VLOOKUP($C1465,'6-COMP. PROPRIA'!$B$1:$I$808,5,0),""))</f>
        <v/>
      </c>
      <c r="M1465" s="145"/>
      <c r="N1465" s="146"/>
    </row>
    <row r="1466" spans="2:20" s="142" customFormat="1" ht="17.25" customHeight="1">
      <c r="B1466" s="168"/>
      <c r="C1466" s="274" t="str">
        <f>'6-COMP. PROPRIA'!B786</f>
        <v>CP-SD-2</v>
      </c>
      <c r="D1466" s="275" t="s">
        <v>980</v>
      </c>
      <c r="E1466" s="668" t="str">
        <f>IFERROR(VLOOKUP($C1466,'SINAPI MAIO 2020'!$1:$1048576,2,0),IFERROR(VLOOKUP($C1466,'6-COMP. PROPRIA'!$B$28:$I$808,4,0),""))</f>
        <v>REQUADRO EM MADEIRA DE QUADRO ESCOLAR</v>
      </c>
      <c r="F1466" s="669"/>
      <c r="G1466" s="669"/>
      <c r="H1466" s="669"/>
      <c r="I1466" s="669"/>
      <c r="J1466" s="670"/>
      <c r="K1466" s="215">
        <f>K1468</f>
        <v>28.799999999999997</v>
      </c>
      <c r="L1466" s="239" t="str">
        <f>IFERROR(VLOOKUP($C1466,'SINAPI MAIO 2020'!$1:$1048576,3,0),IFERROR(VLOOKUP($C1466,'6-COMP. PROPRIA'!$B$1:$I$808,5,0),""))</f>
        <v>M2</v>
      </c>
      <c r="M1466" s="145"/>
      <c r="N1466" s="146"/>
    </row>
    <row r="1467" spans="2:20" s="142" customFormat="1" ht="17.25" customHeight="1">
      <c r="B1467" s="168"/>
      <c r="C1467" s="237"/>
      <c r="D1467" s="295"/>
      <c r="E1467" s="72" t="s">
        <v>919</v>
      </c>
      <c r="F1467" s="311" t="s">
        <v>918</v>
      </c>
      <c r="G1467" s="311" t="s">
        <v>921</v>
      </c>
      <c r="H1467" s="309" t="s">
        <v>922</v>
      </c>
      <c r="I1467" s="307"/>
      <c r="J1467" s="308"/>
      <c r="K1467" s="215"/>
      <c r="L1467" s="239" t="str">
        <f>IFERROR(VLOOKUP($C1467,'SINAPI MAIO 2020'!$1:$1048576,3,0),IFERROR(VLOOKUP($C1467,'6-COMP. PROPRIA'!$B$1:$I$808,5,0),""))</f>
        <v/>
      </c>
      <c r="M1467" s="145"/>
      <c r="N1467" s="146"/>
    </row>
    <row r="1468" spans="2:20" s="142" customFormat="1" ht="17.25" customHeight="1">
      <c r="B1468" s="168"/>
      <c r="C1468" s="91"/>
      <c r="D1468" s="91"/>
      <c r="E1468" s="113">
        <v>1.2</v>
      </c>
      <c r="F1468" s="63">
        <v>4</v>
      </c>
      <c r="G1468" s="63"/>
      <c r="H1468" s="63">
        <v>6</v>
      </c>
      <c r="I1468" s="312"/>
      <c r="J1468" s="103"/>
      <c r="K1468" s="215">
        <f>E1468*F1468*H1468</f>
        <v>28.799999999999997</v>
      </c>
      <c r="L1468" s="239" t="str">
        <f>IFERROR(VLOOKUP($C1468,'SINAPI MAIO 2020'!$1:$1048576,3,0),IFERROR(VLOOKUP($C1468,'6-COMP. PROPRIA'!$B$1:$I$808,5,0),""))</f>
        <v/>
      </c>
      <c r="M1468" s="145"/>
      <c r="N1468" s="146"/>
    </row>
    <row r="1469" spans="2:20" s="142" customFormat="1" ht="17.25" customHeight="1">
      <c r="B1469" s="168"/>
      <c r="C1469" s="91"/>
      <c r="D1469" s="91"/>
      <c r="E1469" s="114"/>
      <c r="F1469" s="312"/>
      <c r="G1469" s="312"/>
      <c r="H1469" s="312"/>
      <c r="I1469" s="312"/>
      <c r="J1469" s="103"/>
      <c r="K1469" s="215"/>
      <c r="L1469" s="239" t="str">
        <f>IFERROR(VLOOKUP($C1469,'SINAPI MAIO 2020'!$1:$1048576,3,0),IFERROR(VLOOKUP($C1469,'6-COMP. PROPRIA'!$B$1:$I$808,5,0),""))</f>
        <v/>
      </c>
      <c r="M1469" s="145"/>
      <c r="N1469" s="146"/>
    </row>
    <row r="1470" spans="2:20" s="142" customFormat="1" ht="17.25" customHeight="1">
      <c r="B1470" s="164"/>
      <c r="C1470" s="274" t="str">
        <f>'6-COMP. PROPRIA'!B793</f>
        <v>CP-SD-3</v>
      </c>
      <c r="D1470" s="275" t="s">
        <v>980</v>
      </c>
      <c r="E1470" s="668" t="str">
        <f>IFERROR(VLOOKUP($C1470,'SINAPI MAIO 2020'!$1:$1048576,2,0),IFERROR(VLOOKUP($C1470,'6-COMP. PROPRIA'!$B$28:$I$808,4,0),""))</f>
        <v xml:space="preserve">CAMADA VERTICAL DRENANTE C/ PEDRA BRITA NUMS 1 E 2 </v>
      </c>
      <c r="F1470" s="669"/>
      <c r="G1470" s="669"/>
      <c r="H1470" s="669"/>
      <c r="I1470" s="669"/>
      <c r="J1470" s="670"/>
      <c r="K1470" s="212">
        <f>SUM(K1472:K1474)</f>
        <v>12.852</v>
      </c>
      <c r="L1470" s="239" t="str">
        <f>IFERROR(VLOOKUP($C1470,'SINAPI MAIO 2020'!$1:$1048576,3,0),IFERROR(VLOOKUP($C1470,'6-COMP. PROPRIA'!$B$1:$I$808,5,0),""))</f>
        <v xml:space="preserve">M3    </v>
      </c>
      <c r="M1470" s="212">
        <f>SUM(M1472:M1473)</f>
        <v>0</v>
      </c>
      <c r="N1470" s="266" t="s">
        <v>21</v>
      </c>
    </row>
    <row r="1471" spans="2:20" s="142" customFormat="1" ht="17.25" customHeight="1">
      <c r="B1471" s="164"/>
      <c r="C1471" s="70"/>
      <c r="D1471" s="70"/>
      <c r="E1471" s="114" t="s">
        <v>4708</v>
      </c>
      <c r="F1471" s="311" t="s">
        <v>4709</v>
      </c>
      <c r="G1471" s="326"/>
      <c r="H1471" s="311"/>
      <c r="I1471" s="311"/>
      <c r="J1471" s="319"/>
      <c r="K1471" s="267"/>
      <c r="L1471" s="239" t="str">
        <f>IFERROR(VLOOKUP($C1471,'SINAPI MAIO 2020'!$1:$1048576,3,0),IFERROR(VLOOKUP($C1471,'6-COMP. PROPRIA'!$B$1:$I$808,5,0),""))</f>
        <v/>
      </c>
      <c r="M1471" s="249"/>
      <c r="N1471" s="112"/>
    </row>
    <row r="1472" spans="2:20" s="142" customFormat="1" ht="17.25" customHeight="1">
      <c r="B1472" s="164" t="s">
        <v>6576</v>
      </c>
      <c r="C1472" s="70"/>
      <c r="D1472" s="70"/>
      <c r="E1472" s="113">
        <v>49.9</v>
      </c>
      <c r="F1472" s="106">
        <v>0.04</v>
      </c>
      <c r="G1472" s="56"/>
      <c r="H1472" s="56"/>
      <c r="I1472" s="296"/>
      <c r="J1472" s="319"/>
      <c r="K1472" s="62">
        <f>E1472*F1472</f>
        <v>1.996</v>
      </c>
      <c r="L1472" s="239" t="str">
        <f>IFERROR(VLOOKUP($C1472,'SINAPI MAIO 2020'!$1:$1048576,3,0),IFERROR(VLOOKUP($C1472,'6-COMP. PROPRIA'!$B$1:$I$808,5,0),""))</f>
        <v/>
      </c>
      <c r="M1472" s="104"/>
      <c r="N1472" s="112"/>
    </row>
    <row r="1473" spans="2:14" s="142" customFormat="1" ht="17.25" customHeight="1">
      <c r="B1473" s="164" t="s">
        <v>6577</v>
      </c>
      <c r="C1473" s="70"/>
      <c r="D1473" s="70"/>
      <c r="E1473" s="113">
        <f>13.6+53.53+52.68+34.33</f>
        <v>154.13999999999999</v>
      </c>
      <c r="F1473" s="106">
        <v>0.04</v>
      </c>
      <c r="G1473" s="56"/>
      <c r="H1473" s="296"/>
      <c r="I1473" s="296"/>
      <c r="J1473" s="319"/>
      <c r="K1473" s="62">
        <f t="shared" ref="K1473:K1474" si="82">E1473*F1473</f>
        <v>6.1655999999999995</v>
      </c>
      <c r="L1473" s="239" t="str">
        <f>IFERROR(VLOOKUP($C1473,'SINAPI MAIO 2020'!$1:$1048576,3,0),IFERROR(VLOOKUP($C1473,'6-COMP. PROPRIA'!$B$1:$I$808,5,0),""))</f>
        <v/>
      </c>
      <c r="M1473" s="104"/>
      <c r="N1473" s="112"/>
    </row>
    <row r="1474" spans="2:14" s="142" customFormat="1" ht="17.25" customHeight="1">
      <c r="B1474" s="164" t="s">
        <v>6578</v>
      </c>
      <c r="C1474" s="70"/>
      <c r="D1474" s="70"/>
      <c r="E1474" s="113">
        <v>117.26</v>
      </c>
      <c r="F1474" s="106">
        <v>0.04</v>
      </c>
      <c r="G1474" s="311"/>
      <c r="H1474" s="311"/>
      <c r="I1474" s="311"/>
      <c r="J1474" s="319"/>
      <c r="K1474" s="62">
        <f t="shared" si="82"/>
        <v>4.6904000000000003</v>
      </c>
      <c r="L1474" s="239" t="str">
        <f>IFERROR(VLOOKUP($C1474,'SINAPI MAIO 2020'!$1:$1048576,3,0),IFERROR(VLOOKUP($C1474,'6-COMP. PROPRIA'!$B$1:$I$808,5,0),""))</f>
        <v/>
      </c>
      <c r="M1474" s="104"/>
      <c r="N1474" s="112"/>
    </row>
    <row r="1475" spans="2:14" s="142" customFormat="1" ht="17.25" customHeight="1">
      <c r="B1475" s="164"/>
      <c r="C1475" s="70"/>
      <c r="D1475" s="70"/>
      <c r="E1475" s="306"/>
      <c r="F1475" s="307"/>
      <c r="G1475" s="307"/>
      <c r="H1475" s="307"/>
      <c r="I1475" s="307"/>
      <c r="J1475" s="308"/>
      <c r="K1475" s="212"/>
      <c r="L1475" s="239" t="str">
        <f>IFERROR(VLOOKUP($C1475,'SINAPI MAIO 2020'!$1:$1048576,3,0),IFERROR(VLOOKUP($C1475,'6-COMP. PROPRIA'!$B$1:$I$808,5,0),""))</f>
        <v/>
      </c>
      <c r="M1475" s="104"/>
      <c r="N1475" s="112"/>
    </row>
    <row r="1476" spans="2:14" s="142" customFormat="1" ht="60" customHeight="1">
      <c r="B1476" s="168" t="s">
        <v>4490</v>
      </c>
      <c r="C1476" s="275">
        <v>99837</v>
      </c>
      <c r="D1476" s="275" t="s">
        <v>8</v>
      </c>
      <c r="E1476" s="668" t="str">
        <f>IFERROR(VLOOKUP($C1476,'SINAPI MAIO 2020'!$1:$1048576,2,0),IFERROR(VLOOKUP($C1476,'6-COMP. PROPRIA'!$B$28:$I$808,4,0),""))</f>
        <v>GUARDA-CORPO DE AÇO GALVANIZADO DE 1,10M, MONTANTES TUBULARES DE 1.1/4" ESPAÇADOS DE 1,20M, TRAVESSA SUPERIOR DE 1.1/2", GRADIL FORMADO POR TUBOS HORIZONTAIS DE 1" E VERTICAIS DE 3/4", FIXADO COM CHUMBADOR MECÂNICO. AF_04/2019_P</v>
      </c>
      <c r="F1476" s="669"/>
      <c r="G1476" s="669"/>
      <c r="H1476" s="669"/>
      <c r="I1476" s="669"/>
      <c r="J1476" s="670"/>
      <c r="K1476" s="212">
        <f>SUM(E1477:E1478)</f>
        <v>22</v>
      </c>
      <c r="L1476" s="239" t="str">
        <f>IFERROR(VLOOKUP($C1476,'SINAPI MAIO 2020'!$1:$1048576,3,0),IFERROR(VLOOKUP($C1476,'6-COMP. PROPRIA'!$B$1:$I$808,5,0),""))</f>
        <v>M</v>
      </c>
      <c r="M1476" s="145"/>
      <c r="N1476" s="266"/>
    </row>
    <row r="1477" spans="2:14" s="142" customFormat="1" ht="17.25" customHeight="1">
      <c r="B1477" s="168"/>
      <c r="C1477" s="295"/>
      <c r="D1477" s="295"/>
      <c r="E1477" s="114">
        <f>4.8+4.8+1.3+1.5</f>
        <v>12.4</v>
      </c>
      <c r="F1477" s="311"/>
      <c r="G1477" s="311"/>
      <c r="H1477" s="311"/>
      <c r="I1477" s="311"/>
      <c r="J1477" s="319"/>
      <c r="K1477" s="215"/>
      <c r="L1477" s="239" t="str">
        <f>IFERROR(VLOOKUP($C1477,'SINAPI MAIO 2020'!$1:$1048576,3,0),IFERROR(VLOOKUP($C1477,'6-COMP. PROPRIA'!$B$1:$I$808,5,0),""))</f>
        <v/>
      </c>
      <c r="M1477" s="145"/>
      <c r="N1477" s="266"/>
    </row>
    <row r="1478" spans="2:14" s="142" customFormat="1" ht="17.25" customHeight="1">
      <c r="B1478" s="168"/>
      <c r="C1478" s="295"/>
      <c r="D1478" s="295"/>
      <c r="E1478" s="114">
        <f>4.8+4.8</f>
        <v>9.6</v>
      </c>
      <c r="F1478" s="311"/>
      <c r="G1478" s="311"/>
      <c r="H1478" s="311"/>
      <c r="I1478" s="311"/>
      <c r="J1478" s="319"/>
      <c r="K1478" s="215"/>
      <c r="L1478" s="239" t="str">
        <f>IFERROR(VLOOKUP($C1478,'SINAPI MAIO 2020'!$1:$1048576,3,0),IFERROR(VLOOKUP($C1478,'6-COMP. PROPRIA'!$B$1:$I$808,5,0),""))</f>
        <v/>
      </c>
      <c r="M1478" s="145"/>
      <c r="N1478" s="266"/>
    </row>
    <row r="1479" spans="2:14" s="142" customFormat="1" ht="17.25" customHeight="1">
      <c r="B1479" s="168"/>
      <c r="C1479" s="295"/>
      <c r="D1479" s="295"/>
      <c r="E1479" s="114"/>
      <c r="F1479" s="311"/>
      <c r="G1479" s="311"/>
      <c r="H1479" s="311"/>
      <c r="I1479" s="311"/>
      <c r="J1479" s="319"/>
      <c r="K1479" s="215"/>
      <c r="L1479" s="239" t="str">
        <f>IFERROR(VLOOKUP($C1479,'SINAPI MAIO 2020'!$1:$1048576,3,0),IFERROR(VLOOKUP($C1479,'6-COMP. PROPRIA'!$B$1:$I$808,5,0),""))</f>
        <v/>
      </c>
      <c r="M1479" s="145"/>
      <c r="N1479" s="266"/>
    </row>
    <row r="1480" spans="2:14" s="142" customFormat="1" ht="17.25" customHeight="1">
      <c r="B1480" s="168"/>
      <c r="C1480" s="274" t="str">
        <f>'6-COMP. PROPRIA'!B798</f>
        <v>CP-SD-4</v>
      </c>
      <c r="D1480" s="275" t="s">
        <v>980</v>
      </c>
      <c r="E1480" s="668" t="str">
        <f>IFERROR(VLOOKUP($C1480,'SINAPI MAIO 2020'!$1:$1048576,2,0),IFERROR(VLOOKUP($C1480,'6-COMP. PROPRIA'!$B$28:$I$808,4,0),""))</f>
        <v>FORNECIMENTO E INSTALAÇÃO DE PLACA DE INAUGURAÇÃO DE 40X60CM</v>
      </c>
      <c r="F1480" s="669"/>
      <c r="G1480" s="669"/>
      <c r="H1480" s="669"/>
      <c r="I1480" s="669"/>
      <c r="J1480" s="670"/>
      <c r="K1480" s="212">
        <v>1</v>
      </c>
      <c r="L1480" s="239" t="str">
        <f>IFERROR(VLOOKUP($C1480,'SINAPI MAIO 2020'!$1:$1048576,3,0),IFERROR(VLOOKUP($C1480,'6-COMP. PROPRIA'!$B$1:$I$808,5,0),""))</f>
        <v>UNI</v>
      </c>
      <c r="M1480" s="145"/>
      <c r="N1480" s="146"/>
    </row>
    <row r="1481" spans="2:14" ht="17.25" customHeight="1" thickBot="1">
      <c r="B1481" s="164"/>
      <c r="C1481" s="20"/>
      <c r="D1481" s="20"/>
      <c r="E1481" s="238"/>
      <c r="F1481" s="312"/>
      <c r="G1481" s="312"/>
      <c r="H1481" s="312"/>
      <c r="I1481" s="312"/>
      <c r="J1481" s="103"/>
      <c r="K1481" s="211"/>
      <c r="L1481" s="239" t="str">
        <f>IFERROR(VLOOKUP($C1481,'SINAPI MAIO 2020'!$1:$1048576,3,0),IFERROR(VLOOKUP($C1481,'6-COMP. PROPRIA'!$B$1:$I$808,5,0),""))</f>
        <v/>
      </c>
      <c r="M1481" s="104"/>
      <c r="N1481" s="105"/>
    </row>
    <row r="1482" spans="2:14" ht="17.25" customHeight="1" thickBot="1">
      <c r="B1482" s="165"/>
      <c r="C1482" s="90"/>
      <c r="D1482" s="279"/>
      <c r="E1482" s="674" t="s">
        <v>953</v>
      </c>
      <c r="F1482" s="675"/>
      <c r="G1482" s="675"/>
      <c r="H1482" s="675"/>
      <c r="I1482" s="675"/>
      <c r="J1482" s="676"/>
      <c r="K1482" s="210"/>
      <c r="L1482" s="239" t="str">
        <f>IFERROR(VLOOKUP($C1482,'SINAPI MAIO 2020'!$1:$1048576,3,0),IFERROR(VLOOKUP($C1482,'6-COMP. PROPRIA'!$B$1:$I$808,5,0),""))</f>
        <v/>
      </c>
      <c r="M1482" s="94"/>
      <c r="N1482" s="109"/>
    </row>
    <row r="1483" spans="2:14" ht="17.25" customHeight="1">
      <c r="B1483" s="165"/>
      <c r="C1483" s="90"/>
      <c r="D1483" s="90"/>
      <c r="E1483" s="114"/>
      <c r="F1483" s="311"/>
      <c r="G1483" s="311"/>
      <c r="H1483" s="311"/>
      <c r="I1483" s="311"/>
      <c r="J1483" s="319"/>
      <c r="K1483" s="215"/>
      <c r="L1483" s="239" t="str">
        <f>IFERROR(VLOOKUP($C1483,'SINAPI MAIO 2020'!$1:$1048576,3,0),IFERROR(VLOOKUP($C1483,'6-COMP. PROPRIA'!$B$1:$I$808,5,0),""))</f>
        <v/>
      </c>
      <c r="M1483" s="94"/>
      <c r="N1483" s="109"/>
    </row>
    <row r="1484" spans="2:14" ht="17.25" customHeight="1">
      <c r="B1484" s="164"/>
      <c r="C1484" s="274" t="s">
        <v>6040</v>
      </c>
      <c r="D1484" s="275" t="s">
        <v>980</v>
      </c>
      <c r="E1484" s="668" t="str">
        <f>IFERROR(VLOOKUP($C1484,'SINAPI MAIO 2020'!$1:$1048576,2,0),IFERROR(VLOOKUP($C1484,'6-COMP. PROPRIA'!$B$28:$I$808,4,0),""))</f>
        <v>LIMPEZA FINAL DA OBRA</v>
      </c>
      <c r="F1484" s="669"/>
      <c r="G1484" s="669"/>
      <c r="H1484" s="669"/>
      <c r="I1484" s="669"/>
      <c r="J1484" s="670"/>
      <c r="K1484" s="212">
        <f>1122</f>
        <v>1122</v>
      </c>
      <c r="L1484" s="239" t="str">
        <f>IFERROR(VLOOKUP($C1484,'SINAPI MAIO 2020'!$1:$1048576,3,0),IFERROR(VLOOKUP($C1484,'6-COMP. PROPRIA'!$B$1:$I$808,5,0),""))</f>
        <v>M2</v>
      </c>
      <c r="M1484" s="104"/>
      <c r="N1484" s="105"/>
    </row>
    <row r="1485" spans="2:14" ht="17.25" customHeight="1">
      <c r="B1485" s="164"/>
      <c r="C1485" s="20"/>
      <c r="D1485" s="70"/>
      <c r="E1485" s="306"/>
      <c r="F1485" s="307"/>
      <c r="G1485" s="307"/>
      <c r="H1485" s="307"/>
      <c r="I1485" s="307"/>
      <c r="J1485" s="308"/>
      <c r="K1485" s="215"/>
      <c r="L1485" s="50"/>
      <c r="M1485" s="104"/>
      <c r="N1485" s="105"/>
    </row>
    <row r="1486" spans="2:14" ht="17.25" customHeight="1" thickBot="1">
      <c r="B1486" s="176"/>
      <c r="C1486" s="21"/>
      <c r="D1486" s="21"/>
      <c r="E1486" s="147"/>
      <c r="F1486" s="58"/>
      <c r="G1486" s="58"/>
      <c r="H1486" s="58"/>
      <c r="I1486" s="58"/>
      <c r="J1486" s="148"/>
      <c r="K1486" s="219"/>
      <c r="L1486" s="101"/>
      <c r="M1486" s="149"/>
      <c r="N1486" s="150"/>
    </row>
    <row r="1489" spans="3:3" ht="17.25" customHeight="1">
      <c r="C1489" s="293"/>
    </row>
    <row r="1490" spans="3:3" ht="17.25" customHeight="1">
      <c r="C1490" s="293"/>
    </row>
    <row r="1491" spans="3:3" ht="17.25" customHeight="1">
      <c r="C1491" s="293"/>
    </row>
    <row r="1492" spans="3:3" ht="17.25" customHeight="1">
      <c r="C1492" s="293"/>
    </row>
    <row r="1493" spans="3:3" ht="17.25" customHeight="1">
      <c r="C1493" s="294"/>
    </row>
  </sheetData>
  <mergeCells count="524">
    <mergeCell ref="E1284:J1284"/>
    <mergeCell ref="E1285:J1285"/>
    <mergeCell ref="E1286:J1286"/>
    <mergeCell ref="E1265:J1265"/>
    <mergeCell ref="E1275:J1275"/>
    <mergeCell ref="E1276:J1276"/>
    <mergeCell ref="E1277:J1277"/>
    <mergeCell ref="E1278:J1278"/>
    <mergeCell ref="E1279:J1279"/>
    <mergeCell ref="E1280:J1280"/>
    <mergeCell ref="E1281:J1281"/>
    <mergeCell ref="E1282:J1282"/>
    <mergeCell ref="E1283:J1283"/>
    <mergeCell ref="E1266:J1266"/>
    <mergeCell ref="E1269:J1269"/>
    <mergeCell ref="E1353:J1353"/>
    <mergeCell ref="E1354:J1354"/>
    <mergeCell ref="E1355:J1355"/>
    <mergeCell ref="E1328:J1328"/>
    <mergeCell ref="E1329:J1329"/>
    <mergeCell ref="E1292:J1292"/>
    <mergeCell ref="E1360:J1360"/>
    <mergeCell ref="E1361:J1361"/>
    <mergeCell ref="E1362:J1362"/>
    <mergeCell ref="E1293:J1293"/>
    <mergeCell ref="E1294:J1294"/>
    <mergeCell ref="E1308:J1308"/>
    <mergeCell ref="E1299:J1299"/>
    <mergeCell ref="E1300:J1300"/>
    <mergeCell ref="E1301:J1301"/>
    <mergeCell ref="E1302:J1302"/>
    <mergeCell ref="E1303:J1303"/>
    <mergeCell ref="E1304:J1304"/>
    <mergeCell ref="E1305:J1305"/>
    <mergeCell ref="E1306:J1306"/>
    <mergeCell ref="E1307:J1307"/>
    <mergeCell ref="E1438:J1438"/>
    <mergeCell ref="E1331:J1331"/>
    <mergeCell ref="E1333:J1333"/>
    <mergeCell ref="E1335:J1335"/>
    <mergeCell ref="E1336:J1336"/>
    <mergeCell ref="E1337:J1337"/>
    <mergeCell ref="E1338:J1338"/>
    <mergeCell ref="E1322:J1322"/>
    <mergeCell ref="E1323:J1323"/>
    <mergeCell ref="E1326:J1326"/>
    <mergeCell ref="E1327:J1327"/>
    <mergeCell ref="E1330:J1330"/>
    <mergeCell ref="E1366:J1366"/>
    <mergeCell ref="E1367:J1367"/>
    <mergeCell ref="E1382:J1382"/>
    <mergeCell ref="E1365:J1365"/>
    <mergeCell ref="E1340:J1340"/>
    <mergeCell ref="E1342:J1342"/>
    <mergeCell ref="E1343:J1343"/>
    <mergeCell ref="E1344:J1344"/>
    <mergeCell ref="E1345:J1345"/>
    <mergeCell ref="E1346:J1346"/>
    <mergeCell ref="E1347:J1347"/>
    <mergeCell ref="E1380:J1380"/>
    <mergeCell ref="E1289:J1289"/>
    <mergeCell ref="E1290:J1290"/>
    <mergeCell ref="E1291:J1291"/>
    <mergeCell ref="E1456:J1456"/>
    <mergeCell ref="E1454:J1454"/>
    <mergeCell ref="E1455:J1455"/>
    <mergeCell ref="E1448:J1448"/>
    <mergeCell ref="E1449:J1449"/>
    <mergeCell ref="E1450:J1450"/>
    <mergeCell ref="E1451:J1451"/>
    <mergeCell ref="E1452:J1452"/>
    <mergeCell ref="E1453:J1453"/>
    <mergeCell ref="E1443:J1443"/>
    <mergeCell ref="E1387:J1387"/>
    <mergeCell ref="E1395:J1395"/>
    <mergeCell ref="E1403:J1403"/>
    <mergeCell ref="E1411:J1411"/>
    <mergeCell ref="E1430:J1430"/>
    <mergeCell ref="E1419:J1419"/>
    <mergeCell ref="E1428:J1428"/>
    <mergeCell ref="E1349:J1349"/>
    <mergeCell ref="E1359:J1359"/>
    <mergeCell ref="E1351:J1351"/>
    <mergeCell ref="E1352:J1352"/>
    <mergeCell ref="G891:J891"/>
    <mergeCell ref="E946:J946"/>
    <mergeCell ref="E1032:J1032"/>
    <mergeCell ref="E1383:J1383"/>
    <mergeCell ref="E1381:J1381"/>
    <mergeCell ref="E1385:J1385"/>
    <mergeCell ref="E1263:J1263"/>
    <mergeCell ref="E1316:J1316"/>
    <mergeCell ref="E1317:J1317"/>
    <mergeCell ref="E1318:J1318"/>
    <mergeCell ref="E1324:J1324"/>
    <mergeCell ref="E1325:J1325"/>
    <mergeCell ref="E1309:J1309"/>
    <mergeCell ref="E1312:J1312"/>
    <mergeCell ref="E1313:J1313"/>
    <mergeCell ref="E1314:J1314"/>
    <mergeCell ref="E1315:J1315"/>
    <mergeCell ref="E1319:J1319"/>
    <mergeCell ref="E1320:J1320"/>
    <mergeCell ref="E1321:J1321"/>
    <mergeCell ref="E1267:J1267"/>
    <mergeCell ref="E1268:J1268"/>
    <mergeCell ref="E1287:J1287"/>
    <mergeCell ref="E1288:J1288"/>
    <mergeCell ref="E1064:J1064"/>
    <mergeCell ref="E1065:J1065"/>
    <mergeCell ref="E1066:J1066"/>
    <mergeCell ref="E974:J974"/>
    <mergeCell ref="E975:J975"/>
    <mergeCell ref="E976:J976"/>
    <mergeCell ref="E1057:J1057"/>
    <mergeCell ref="E899:J899"/>
    <mergeCell ref="E966:J966"/>
    <mergeCell ref="E968:J968"/>
    <mergeCell ref="E969:J969"/>
    <mergeCell ref="E970:J970"/>
    <mergeCell ref="E992:J992"/>
    <mergeCell ref="E993:J993"/>
    <mergeCell ref="E994:J994"/>
    <mergeCell ref="E1054:J1054"/>
    <mergeCell ref="E1055:J1055"/>
    <mergeCell ref="E1056:J1056"/>
    <mergeCell ref="E995:J995"/>
    <mergeCell ref="E1059:J1059"/>
    <mergeCell ref="E1060:J1060"/>
    <mergeCell ref="E1061:J1061"/>
    <mergeCell ref="E1046:J1046"/>
    <mergeCell ref="E996:J996"/>
    <mergeCell ref="E1075:J1075"/>
    <mergeCell ref="E1217:J1217"/>
    <mergeCell ref="E1141:J1141"/>
    <mergeCell ref="E1125:J1125"/>
    <mergeCell ref="E1127:J1127"/>
    <mergeCell ref="E1052:J1052"/>
    <mergeCell ref="E1255:J1255"/>
    <mergeCell ref="E1250:J1250"/>
    <mergeCell ref="E1245:J1245"/>
    <mergeCell ref="E1246:J1246"/>
    <mergeCell ref="E1140:J1140"/>
    <mergeCell ref="E1135:J1135"/>
    <mergeCell ref="E1110:J1110"/>
    <mergeCell ref="E1115:J1115"/>
    <mergeCell ref="E1117:J1117"/>
    <mergeCell ref="E1241:J1241"/>
    <mergeCell ref="E1243:J1243"/>
    <mergeCell ref="E1237:J1237"/>
    <mergeCell ref="E1242:J1242"/>
    <mergeCell ref="E1234:J1234"/>
    <mergeCell ref="E1236:J1236"/>
    <mergeCell ref="E1238:J1238"/>
    <mergeCell ref="E1235:J1235"/>
    <mergeCell ref="E1068:J1068"/>
    <mergeCell ref="E1111:J1111"/>
    <mergeCell ref="E1220:J1220"/>
    <mergeCell ref="E1149:J1149"/>
    <mergeCell ref="E1150:J1150"/>
    <mergeCell ref="E1151:J1151"/>
    <mergeCell ref="E1109:J1109"/>
    <mergeCell ref="E1119:J1119"/>
    <mergeCell ref="E1121:J1121"/>
    <mergeCell ref="E1123:J1123"/>
    <mergeCell ref="E1173:J1173"/>
    <mergeCell ref="E1197:J1197"/>
    <mergeCell ref="E1189:J1189"/>
    <mergeCell ref="E1137:J1137"/>
    <mergeCell ref="E1148:J1148"/>
    <mergeCell ref="E1138:J1138"/>
    <mergeCell ref="E1139:J1139"/>
    <mergeCell ref="G878:J878"/>
    <mergeCell ref="E773:J773"/>
    <mergeCell ref="E683:J683"/>
    <mergeCell ref="E685:J685"/>
    <mergeCell ref="E890:J890"/>
    <mergeCell ref="E819:J819"/>
    <mergeCell ref="G873:J873"/>
    <mergeCell ref="E888:J888"/>
    <mergeCell ref="E681:J681"/>
    <mergeCell ref="E712:J712"/>
    <mergeCell ref="E720:J720"/>
    <mergeCell ref="E727:J727"/>
    <mergeCell ref="E733:J733"/>
    <mergeCell ref="E737:J737"/>
    <mergeCell ref="E743:J743"/>
    <mergeCell ref="E747:J747"/>
    <mergeCell ref="E751:J751"/>
    <mergeCell ref="E808:J808"/>
    <mergeCell ref="E845:J845"/>
    <mergeCell ref="G846:J846"/>
    <mergeCell ref="E764:J764"/>
    <mergeCell ref="E997:J997"/>
    <mergeCell ref="E1007:J1007"/>
    <mergeCell ref="E999:J999"/>
    <mergeCell ref="E1000:J1000"/>
    <mergeCell ref="E1005:J1005"/>
    <mergeCell ref="E998:J998"/>
    <mergeCell ref="E1038:J1038"/>
    <mergeCell ref="E1001:J1001"/>
    <mergeCell ref="E1024:J1024"/>
    <mergeCell ref="E1003:J1003"/>
    <mergeCell ref="E1484:J1484"/>
    <mergeCell ref="E1476:J1476"/>
    <mergeCell ref="E1482:J1482"/>
    <mergeCell ref="E1142:J1142"/>
    <mergeCell ref="E1143:J1143"/>
    <mergeCell ref="E1144:J1144"/>
    <mergeCell ref="E1145:J1145"/>
    <mergeCell ref="E1146:J1146"/>
    <mergeCell ref="E1466:J1466"/>
    <mergeCell ref="E1147:J1147"/>
    <mergeCell ref="E1156:J1156"/>
    <mergeCell ref="E1164:J1164"/>
    <mergeCell ref="E1202:J1202"/>
    <mergeCell ref="E1206:J1206"/>
    <mergeCell ref="E1155:J1155"/>
    <mergeCell ref="E1480:J1480"/>
    <mergeCell ref="E1459:J1459"/>
    <mergeCell ref="E1233:J1233"/>
    <mergeCell ref="E1230:J1230"/>
    <mergeCell ref="E1231:J1231"/>
    <mergeCell ref="E1232:J1232"/>
    <mergeCell ref="E1240:J1240"/>
    <mergeCell ref="E1228:J1228"/>
    <mergeCell ref="E1229:J1229"/>
    <mergeCell ref="E1073:J1073"/>
    <mergeCell ref="E1015:J1015"/>
    <mergeCell ref="E942:J942"/>
    <mergeCell ref="E971:J971"/>
    <mergeCell ref="E1252:J1252"/>
    <mergeCell ref="E1253:J1253"/>
    <mergeCell ref="E1247:J1247"/>
    <mergeCell ref="E1132:J1132"/>
    <mergeCell ref="E1256:J1256"/>
    <mergeCell ref="E1099:J1099"/>
    <mergeCell ref="E1105:J1105"/>
    <mergeCell ref="E1070:J1070"/>
    <mergeCell ref="E1071:J1071"/>
    <mergeCell ref="E1062:J1062"/>
    <mergeCell ref="E1008:J1008"/>
    <mergeCell ref="E1072:J1072"/>
    <mergeCell ref="E1042:J1042"/>
    <mergeCell ref="E1063:J1063"/>
    <mergeCell ref="E983:J983"/>
    <mergeCell ref="E984:J984"/>
    <mergeCell ref="E1058:J1058"/>
    <mergeCell ref="E1048:J1048"/>
    <mergeCell ref="E1051:J1051"/>
    <mergeCell ref="E1053:J1053"/>
    <mergeCell ref="E1257:J1257"/>
    <mergeCell ref="E1258:J1258"/>
    <mergeCell ref="E1211:J1211"/>
    <mergeCell ref="E1213:J1213"/>
    <mergeCell ref="E1214:J1214"/>
    <mergeCell ref="E1215:J1215"/>
    <mergeCell ref="E1216:J1216"/>
    <mergeCell ref="E1221:J1221"/>
    <mergeCell ref="E1222:J1222"/>
    <mergeCell ref="E1223:J1223"/>
    <mergeCell ref="E1239:J1239"/>
    <mergeCell ref="E1225:J1225"/>
    <mergeCell ref="E1227:J1227"/>
    <mergeCell ref="E1226:J1226"/>
    <mergeCell ref="E1254:J1254"/>
    <mergeCell ref="E1249:J1249"/>
    <mergeCell ref="E1244:J1244"/>
    <mergeCell ref="E1251:J1251"/>
    <mergeCell ref="E1224:J1224"/>
    <mergeCell ref="E1470:J1470"/>
    <mergeCell ref="E76:J76"/>
    <mergeCell ref="E81:J81"/>
    <mergeCell ref="G572:I572"/>
    <mergeCell ref="E594:J594"/>
    <mergeCell ref="E561:J561"/>
    <mergeCell ref="E582:J582"/>
    <mergeCell ref="E592:J592"/>
    <mergeCell ref="E571:J571"/>
    <mergeCell ref="E178:J178"/>
    <mergeCell ref="E213:J213"/>
    <mergeCell ref="E191:J191"/>
    <mergeCell ref="E198:J198"/>
    <mergeCell ref="E205:J205"/>
    <mergeCell ref="E241:J241"/>
    <mergeCell ref="E245:J245"/>
    <mergeCell ref="E446:J446"/>
    <mergeCell ref="E389:J389"/>
    <mergeCell ref="E1461:J1461"/>
    <mergeCell ref="E114:J114"/>
    <mergeCell ref="E1458:J1458"/>
    <mergeCell ref="E1153:J1153"/>
    <mergeCell ref="E1248:J1248"/>
    <mergeCell ref="E1130:J1130"/>
    <mergeCell ref="E1260:J1260"/>
    <mergeCell ref="B2:N2"/>
    <mergeCell ref="E25:J25"/>
    <mergeCell ref="B3:N3"/>
    <mergeCell ref="E43:J43"/>
    <mergeCell ref="E4:J4"/>
    <mergeCell ref="E23:J23"/>
    <mergeCell ref="E6:J6"/>
    <mergeCell ref="E49:J49"/>
    <mergeCell ref="E8:J8"/>
    <mergeCell ref="E12:J12"/>
    <mergeCell ref="E17:J17"/>
    <mergeCell ref="E38:J38"/>
    <mergeCell ref="E32:J32"/>
    <mergeCell ref="E145:J145"/>
    <mergeCell ref="E127:J127"/>
    <mergeCell ref="E135:J135"/>
    <mergeCell ref="E216:J216"/>
    <mergeCell ref="E218:J218"/>
    <mergeCell ref="E230:J230"/>
    <mergeCell ref="E236:J236"/>
    <mergeCell ref="E141:J141"/>
    <mergeCell ref="E463:J463"/>
    <mergeCell ref="E293:J293"/>
    <mergeCell ref="E268:J268"/>
    <mergeCell ref="E285:J285"/>
    <mergeCell ref="E291:J291"/>
    <mergeCell ref="E330:J330"/>
    <mergeCell ref="E339:J339"/>
    <mergeCell ref="E341:G341"/>
    <mergeCell ref="E343:J343"/>
    <mergeCell ref="E323:G323"/>
    <mergeCell ref="E335:J335"/>
    <mergeCell ref="E303:J303"/>
    <mergeCell ref="E310:J310"/>
    <mergeCell ref="E314:J314"/>
    <mergeCell ref="E297:J297"/>
    <mergeCell ref="E299:J299"/>
    <mergeCell ref="E337:J337"/>
    <mergeCell ref="E307:J307"/>
    <mergeCell ref="E321:J321"/>
    <mergeCell ref="E151:J151"/>
    <mergeCell ref="E157:J157"/>
    <mergeCell ref="E161:J161"/>
    <mergeCell ref="E220:J220"/>
    <mergeCell ref="E222:J222"/>
    <mergeCell ref="E224:J224"/>
    <mergeCell ref="E187:J187"/>
    <mergeCell ref="E189:G189"/>
    <mergeCell ref="E251:J251"/>
    <mergeCell ref="E250:G250"/>
    <mergeCell ref="E227:J227"/>
    <mergeCell ref="E55:J55"/>
    <mergeCell ref="E440:J440"/>
    <mergeCell ref="E442:J442"/>
    <mergeCell ref="E452:J452"/>
    <mergeCell ref="E476:J476"/>
    <mergeCell ref="E484:J484"/>
    <mergeCell ref="E500:J500"/>
    <mergeCell ref="E474:J474"/>
    <mergeCell ref="E456:J456"/>
    <mergeCell ref="E397:J397"/>
    <mergeCell ref="E351:J351"/>
    <mergeCell ref="E410:J410"/>
    <mergeCell ref="E391:J391"/>
    <mergeCell ref="E358:J358"/>
    <mergeCell ref="E71:J71"/>
    <mergeCell ref="E86:J86"/>
    <mergeCell ref="E96:J96"/>
    <mergeCell ref="E58:J58"/>
    <mergeCell ref="E65:J65"/>
    <mergeCell ref="E494:J494"/>
    <mergeCell ref="E185:J185"/>
    <mergeCell ref="E301:J301"/>
    <mergeCell ref="E349:J349"/>
    <mergeCell ref="E91:J91"/>
    <mergeCell ref="E101:J101"/>
    <mergeCell ref="E169:J169"/>
    <mergeCell ref="E173:J173"/>
    <mergeCell ref="E180:J180"/>
    <mergeCell ref="E962:J962"/>
    <mergeCell ref="E332:J332"/>
    <mergeCell ref="E530:J530"/>
    <mergeCell ref="G533:J533"/>
    <mergeCell ref="G551:I551"/>
    <mergeCell ref="G616:J616"/>
    <mergeCell ref="G623:J623"/>
    <mergeCell ref="E622:J622"/>
    <mergeCell ref="E584:J584"/>
    <mergeCell ref="E596:J596"/>
    <mergeCell ref="E604:J604"/>
    <mergeCell ref="G608:J608"/>
    <mergeCell ref="E615:J615"/>
    <mergeCell ref="G562:I562"/>
    <mergeCell ref="E605:J605"/>
    <mergeCell ref="E360:J360"/>
    <mergeCell ref="E370:J370"/>
    <mergeCell ref="E877:J877"/>
    <mergeCell ref="E295:J295"/>
    <mergeCell ref="E325:J325"/>
    <mergeCell ref="G883:J883"/>
    <mergeCell ref="E356:J356"/>
    <mergeCell ref="E347:J347"/>
    <mergeCell ref="E524:J524"/>
    <mergeCell ref="E670:J670"/>
    <mergeCell ref="G671:J671"/>
    <mergeCell ref="G653:J653"/>
    <mergeCell ref="G662:J662"/>
    <mergeCell ref="E607:J607"/>
    <mergeCell ref="E630:J630"/>
    <mergeCell ref="E532:J532"/>
    <mergeCell ref="E661:J661"/>
    <mergeCell ref="E468:J468"/>
    <mergeCell ref="E412:J412"/>
    <mergeCell ref="E353:J353"/>
    <mergeCell ref="E510:J510"/>
    <mergeCell ref="E519:J519"/>
    <mergeCell ref="E634:J634"/>
    <mergeCell ref="E641:J641"/>
    <mergeCell ref="E643:J643"/>
    <mergeCell ref="E420:J420"/>
    <mergeCell ref="E393:J393"/>
    <mergeCell ref="E882:J882"/>
    <mergeCell ref="E652:J652"/>
    <mergeCell ref="E378:J378"/>
    <mergeCell ref="G379:J379"/>
    <mergeCell ref="E679:J679"/>
    <mergeCell ref="E542:J542"/>
    <mergeCell ref="E872:J872"/>
    <mergeCell ref="E395:J395"/>
    <mergeCell ref="E427:J427"/>
    <mergeCell ref="E403:J403"/>
    <mergeCell ref="E866:J866"/>
    <mergeCell ref="E784:J784"/>
    <mergeCell ref="E789:J789"/>
    <mergeCell ref="E796:J796"/>
    <mergeCell ref="E801:J801"/>
    <mergeCell ref="E805:J805"/>
    <mergeCell ref="E434:J434"/>
    <mergeCell ref="G543:I543"/>
    <mergeCell ref="E550:J550"/>
    <mergeCell ref="E753:J753"/>
    <mergeCell ref="E843:J843"/>
    <mergeCell ref="E852:J852"/>
    <mergeCell ref="G853:J853"/>
    <mergeCell ref="E860:J860"/>
    <mergeCell ref="E813:J813"/>
    <mergeCell ref="G644:J644"/>
    <mergeCell ref="E897:J897"/>
    <mergeCell ref="E690:J690"/>
    <mergeCell ref="E695:J695"/>
    <mergeCell ref="E701:J701"/>
    <mergeCell ref="E703:J703"/>
    <mergeCell ref="E963:J963"/>
    <mergeCell ref="E964:J964"/>
    <mergeCell ref="G861:J861"/>
    <mergeCell ref="E818:J818"/>
    <mergeCell ref="E820:J820"/>
    <mergeCell ref="E825:J825"/>
    <mergeCell ref="E827:J827"/>
    <mergeCell ref="E832:J832"/>
    <mergeCell ref="E837:J837"/>
    <mergeCell ref="E904:J904"/>
    <mergeCell ref="E905:J905"/>
    <mergeCell ref="E907:J907"/>
    <mergeCell ref="E924:J924"/>
    <mergeCell ref="E953:J953"/>
    <mergeCell ref="E955:J955"/>
    <mergeCell ref="E956:J956"/>
    <mergeCell ref="G867:J867"/>
    <mergeCell ref="E782:J782"/>
    <mergeCell ref="G900:J900"/>
    <mergeCell ref="E991:J991"/>
    <mergeCell ref="E987:J987"/>
    <mergeCell ref="E988:J988"/>
    <mergeCell ref="E989:J989"/>
    <mergeCell ref="E990:J990"/>
    <mergeCell ref="E957:J957"/>
    <mergeCell ref="E958:J958"/>
    <mergeCell ref="E960:J960"/>
    <mergeCell ref="E959:J959"/>
    <mergeCell ref="E986:J986"/>
    <mergeCell ref="E981:J981"/>
    <mergeCell ref="E977:J977"/>
    <mergeCell ref="E978:J978"/>
    <mergeCell ref="E979:J979"/>
    <mergeCell ref="E980:J980"/>
    <mergeCell ref="E982:J982"/>
    <mergeCell ref="E961:J961"/>
    <mergeCell ref="E967:J967"/>
    <mergeCell ref="E973:J973"/>
    <mergeCell ref="E985:J985"/>
    <mergeCell ref="E972:J972"/>
    <mergeCell ref="E965:J965"/>
    <mergeCell ref="E1370:J1370"/>
    <mergeCell ref="E1371:J1371"/>
    <mergeCell ref="E1372:J1372"/>
    <mergeCell ref="E1373:J1373"/>
    <mergeCell ref="E1374:J1374"/>
    <mergeCell ref="E1356:J1356"/>
    <mergeCell ref="E1357:J1357"/>
    <mergeCell ref="E1358:J1358"/>
    <mergeCell ref="E1368:J1368"/>
    <mergeCell ref="E1369:J1369"/>
    <mergeCell ref="E1363:J1363"/>
    <mergeCell ref="E1364:J1364"/>
    <mergeCell ref="C1049:D1049"/>
    <mergeCell ref="C1050:D1050"/>
    <mergeCell ref="E1049:F1049"/>
    <mergeCell ref="E1050:F1050"/>
    <mergeCell ref="E1113:J1113"/>
    <mergeCell ref="E1262:J1262"/>
    <mergeCell ref="E1375:J1375"/>
    <mergeCell ref="E1377:J1377"/>
    <mergeCell ref="E1379:J1379"/>
    <mergeCell ref="E1264:J1264"/>
    <mergeCell ref="E1272:J1272"/>
    <mergeCell ref="E1274:J1274"/>
    <mergeCell ref="E1310:J1310"/>
    <mergeCell ref="E1311:J1311"/>
    <mergeCell ref="E1295:J1295"/>
    <mergeCell ref="E1296:J1296"/>
    <mergeCell ref="E1297:J1297"/>
    <mergeCell ref="E1298:J1298"/>
    <mergeCell ref="E1078:J1078"/>
    <mergeCell ref="E1087:J1087"/>
    <mergeCell ref="E1077:J1077"/>
    <mergeCell ref="E1095:J1095"/>
    <mergeCell ref="E1096:J1096"/>
    <mergeCell ref="E1097:J1097"/>
  </mergeCells>
  <phoneticPr fontId="29" type="noConversion"/>
  <pageMargins left="0.51181102362204722" right="0.51181102362204722" top="0.78740157480314965" bottom="0.78740157480314965" header="0.31496062992125984" footer="0.31496062992125984"/>
  <pageSetup paperSize="9" scale="54" orientation="landscape" cellComments="asDisplayed" horizontalDpi="360" verticalDpi="360" r:id="rId1"/>
  <ignoredErrors>
    <ignoredError sqref="E165 F194 E364 E1102" formula="1"/>
  </ignoredErrors>
  <drawing r:id="rId2"/>
  <legacyDrawing r:id="rId3"/>
</worksheet>
</file>

<file path=xl/worksheets/sheet3.xml><?xml version="1.0" encoding="utf-8"?>
<worksheet xmlns="http://schemas.openxmlformats.org/spreadsheetml/2006/main" xmlns:r="http://schemas.openxmlformats.org/officeDocument/2006/relationships">
  <sheetPr>
    <pageSetUpPr fitToPage="1"/>
  </sheetPr>
  <dimension ref="B1:G81"/>
  <sheetViews>
    <sheetView view="pageBreakPreview" zoomScale="60" zoomScaleNormal="60" workbookViewId="0">
      <selection activeCell="A6" sqref="A6:XFD7"/>
    </sheetView>
  </sheetViews>
  <sheetFormatPr defaultRowHeight="12.75"/>
  <cols>
    <col min="2" max="2" width="10.85546875" customWidth="1"/>
    <col min="3" max="3" width="62.42578125" customWidth="1"/>
    <col min="4" max="4" width="23.42578125" style="9" bestFit="1" customWidth="1"/>
    <col min="5" max="5" width="27.28515625" customWidth="1"/>
    <col min="6" max="6" width="18.5703125" customWidth="1"/>
    <col min="7" max="7" width="10.140625" bestFit="1" customWidth="1"/>
  </cols>
  <sheetData>
    <row r="1" spans="2:6" ht="13.5" thickBot="1"/>
    <row r="2" spans="2:6" ht="71.25" customHeight="1" thickBot="1">
      <c r="B2" s="728"/>
      <c r="C2" s="729"/>
      <c r="D2" s="729"/>
      <c r="E2" s="730"/>
    </row>
    <row r="3" spans="2:6" ht="21" customHeight="1">
      <c r="B3" s="731" t="str">
        <f>'2-ORÇAMENTO'!B3:G3</f>
        <v xml:space="preserve">OBRA: REFORMA E AMPLIAÇÃO DA UNIDADE ESCOLAR </v>
      </c>
      <c r="C3" s="732"/>
      <c r="D3" s="732"/>
      <c r="E3" s="733"/>
    </row>
    <row r="4" spans="2:6" ht="18.75" customHeight="1">
      <c r="B4" s="725" t="str">
        <f>'2-ORÇAMENTO'!B4:G4</f>
        <v xml:space="preserve">LOCAL: EMEB "PROFESSORA JUVENÍLIA MONTEIRO DE OLIVEIRA </v>
      </c>
      <c r="C4" s="726"/>
      <c r="D4" s="726"/>
      <c r="E4" s="727"/>
    </row>
    <row r="5" spans="2:6" ht="21" customHeight="1">
      <c r="B5" s="725" t="str">
        <f>'2-ORÇAMENTO'!B5:G5</f>
        <v>ENDEREÇO: RUA PRINCIPAL, BAIRRO: ENGORDADOR</v>
      </c>
      <c r="C5" s="726"/>
      <c r="D5" s="726"/>
      <c r="E5" s="727"/>
    </row>
    <row r="6" spans="2:6" ht="15">
      <c r="B6" s="725" t="str">
        <f>'2-ORÇAMENTO'!B6:G6</f>
        <v>MUNICÍPIO: VÁRZEA GRANDE - MT</v>
      </c>
      <c r="C6" s="726"/>
      <c r="D6" s="726"/>
      <c r="E6" s="727"/>
    </row>
    <row r="7" spans="2:6" ht="15.75" thickBot="1">
      <c r="B7" s="725" t="str">
        <f>'2-ORÇAMENTO'!B7:G7</f>
        <v>DATA BASE: SINAPI MAIO - COM DESONERAÇÃO / 2020 - BDI - 28,24%</v>
      </c>
      <c r="C7" s="726"/>
      <c r="D7" s="726"/>
      <c r="E7" s="727"/>
    </row>
    <row r="8" spans="2:6" ht="17.25" thickBot="1">
      <c r="B8" s="734" t="s">
        <v>5338</v>
      </c>
      <c r="C8" s="735"/>
      <c r="D8" s="735"/>
      <c r="E8" s="736"/>
    </row>
    <row r="9" spans="2:6" ht="17.25" customHeight="1" thickBot="1">
      <c r="B9" s="737" t="s">
        <v>2</v>
      </c>
      <c r="C9" s="739" t="s">
        <v>11</v>
      </c>
      <c r="D9" s="741" t="s">
        <v>9</v>
      </c>
      <c r="E9" s="742"/>
    </row>
    <row r="10" spans="2:6" ht="16.5" thickBot="1">
      <c r="B10" s="738"/>
      <c r="C10" s="740"/>
      <c r="D10" s="412" t="s">
        <v>13</v>
      </c>
      <c r="E10" s="413" t="s">
        <v>14</v>
      </c>
    </row>
    <row r="11" spans="2:6">
      <c r="B11" s="708" t="str">
        <f>'2-ORÇAMENTO'!B10</f>
        <v>1.0</v>
      </c>
      <c r="C11" s="710" t="str">
        <f>'2-ORÇAMENTO'!E10</f>
        <v xml:space="preserve">ADMINISTRAÇÃO DE OBRA </v>
      </c>
      <c r="D11" s="723">
        <f>'2-ORÇAMENTO'!K14</f>
        <v>102394.68</v>
      </c>
      <c r="E11" s="713">
        <f>D11/$D$67</f>
        <v>8.9162957707080479E-2</v>
      </c>
    </row>
    <row r="12" spans="2:6">
      <c r="B12" s="708"/>
      <c r="C12" s="718"/>
      <c r="D12" s="719"/>
      <c r="E12" s="714"/>
      <c r="F12" s="4"/>
    </row>
    <row r="13" spans="2:6">
      <c r="B13" s="708" t="str">
        <f>'2-ORÇAMENTO'!B15</f>
        <v>2.0</v>
      </c>
      <c r="C13" s="709" t="str">
        <f>'2-ORÇAMENTO'!E15</f>
        <v>INSTALAÇÕES DE CANTEIRO E SERVIÇOS PRELIMINARES</v>
      </c>
      <c r="D13" s="722">
        <f>'2-ORÇAMENTO'!K21</f>
        <v>20479.650000000001</v>
      </c>
      <c r="E13" s="713">
        <f>D13/$D$67</f>
        <v>1.7833213276371499E-2</v>
      </c>
      <c r="F13" s="4"/>
    </row>
    <row r="14" spans="2:6" ht="29.25" customHeight="1">
      <c r="B14" s="708"/>
      <c r="C14" s="710"/>
      <c r="D14" s="723"/>
      <c r="E14" s="714"/>
      <c r="F14" s="4"/>
    </row>
    <row r="15" spans="2:6">
      <c r="B15" s="708" t="str">
        <f>'2-ORÇAMENTO'!B22</f>
        <v>3.0</v>
      </c>
      <c r="C15" s="709" t="str">
        <f>'2-ORÇAMENTO'!E22</f>
        <v>DEMOLIÇÕES E RETIRADAS</v>
      </c>
      <c r="D15" s="722">
        <f>'2-ORÇAMENTO'!K42</f>
        <v>64201.56</v>
      </c>
      <c r="E15" s="713">
        <f>D15/$D$67</f>
        <v>5.5905257763475505E-2</v>
      </c>
      <c r="F15" s="4"/>
    </row>
    <row r="16" spans="2:6">
      <c r="B16" s="708"/>
      <c r="C16" s="710"/>
      <c r="D16" s="723"/>
      <c r="E16" s="714"/>
      <c r="F16" s="4"/>
    </row>
    <row r="17" spans="2:6">
      <c r="B17" s="743" t="str">
        <f>'2-ORÇAMENTO'!B43</f>
        <v>4.0</v>
      </c>
      <c r="C17" s="744" t="str">
        <f>'2-ORÇAMENTO'!E43</f>
        <v xml:space="preserve">TERRAPLENAGEM </v>
      </c>
      <c r="D17" s="722">
        <f>'2-ORÇAMENTO'!K46</f>
        <v>17262.080000000002</v>
      </c>
      <c r="E17" s="713">
        <f>D17/$D$67</f>
        <v>1.503142652505228E-2</v>
      </c>
      <c r="F17" s="4"/>
    </row>
    <row r="18" spans="2:6">
      <c r="B18" s="743"/>
      <c r="C18" s="745"/>
      <c r="D18" s="723"/>
      <c r="E18" s="714"/>
      <c r="F18" s="4"/>
    </row>
    <row r="19" spans="2:6">
      <c r="B19" s="708" t="str">
        <f>'2-ORÇAMENTO'!B47</f>
        <v>5.0</v>
      </c>
      <c r="C19" s="718" t="str">
        <f>'2-ORÇAMENTO'!E47</f>
        <v xml:space="preserve">FUNDAÇÕES </v>
      </c>
      <c r="D19" s="719">
        <f>'2-ORÇAMENTO'!K79</f>
        <v>36456.78</v>
      </c>
      <c r="E19" s="713">
        <f>D19/$D$67</f>
        <v>3.1745734576018383E-2</v>
      </c>
      <c r="F19" s="1"/>
    </row>
    <row r="20" spans="2:6">
      <c r="B20" s="708"/>
      <c r="C20" s="718"/>
      <c r="D20" s="719"/>
      <c r="E20" s="714"/>
      <c r="F20" s="4"/>
    </row>
    <row r="21" spans="2:6">
      <c r="B21" s="708" t="str">
        <f>'2-ORÇAMENTO'!B80</f>
        <v>6.0</v>
      </c>
      <c r="C21" s="718" t="str">
        <f>'2-ORÇAMENTO'!E80</f>
        <v xml:space="preserve">SUPERESTRUTURA </v>
      </c>
      <c r="D21" s="719">
        <f>'2-ORÇAMENTO'!K97</f>
        <v>34124.39</v>
      </c>
      <c r="E21" s="713">
        <f>D21/$D$67</f>
        <v>2.9714742429488725E-2</v>
      </c>
    </row>
    <row r="22" spans="2:6">
      <c r="B22" s="708"/>
      <c r="C22" s="718"/>
      <c r="D22" s="719"/>
      <c r="E22" s="714"/>
      <c r="F22" s="4"/>
    </row>
    <row r="23" spans="2:6">
      <c r="B23" s="720" t="str">
        <f>'2-ORÇAMENTO'!B98</f>
        <v>7.0</v>
      </c>
      <c r="C23" s="709" t="str">
        <f>'2-ORÇAMENTO'!E98</f>
        <v xml:space="preserve">FECHAMENTO EM ALVENARIA </v>
      </c>
      <c r="D23" s="722">
        <f>'2-ORÇAMENTO'!K102</f>
        <v>20340.23</v>
      </c>
      <c r="E23" s="713">
        <f>D23/$D$67</f>
        <v>1.7711809512391558E-2</v>
      </c>
      <c r="F23" s="4"/>
    </row>
    <row r="24" spans="2:6">
      <c r="B24" s="721"/>
      <c r="C24" s="710"/>
      <c r="D24" s="723"/>
      <c r="E24" s="714"/>
      <c r="F24" s="4"/>
    </row>
    <row r="25" spans="2:6">
      <c r="B25" s="708" t="str">
        <f>'2-ORÇAMENTO'!B103</f>
        <v>8.0</v>
      </c>
      <c r="C25" s="724" t="str">
        <f>'2-ORÇAMENTO'!E103</f>
        <v xml:space="preserve">ESTRUTURA COBERTURA </v>
      </c>
      <c r="D25" s="719">
        <f>'2-ORÇAMENTO'!K109</f>
        <v>84029.26</v>
      </c>
      <c r="E25" s="713">
        <f>D25/$D$67</f>
        <v>7.3170767812715171E-2</v>
      </c>
      <c r="F25" s="4"/>
    </row>
    <row r="26" spans="2:6">
      <c r="B26" s="708"/>
      <c r="C26" s="710"/>
      <c r="D26" s="719"/>
      <c r="E26" s="714"/>
      <c r="F26" s="4"/>
    </row>
    <row r="27" spans="2:6">
      <c r="B27" s="708" t="str">
        <f>'2-ORÇAMENTO'!B110</f>
        <v>9.0</v>
      </c>
      <c r="C27" s="718" t="str">
        <f>'2-ORÇAMENTO'!E110</f>
        <v xml:space="preserve">COBERTURA </v>
      </c>
      <c r="D27" s="719">
        <f>'2-ORÇAMENTO'!K115</f>
        <v>151840.26999999999</v>
      </c>
      <c r="E27" s="713">
        <f>D27/$D$67</f>
        <v>0.1322190525156354</v>
      </c>
      <c r="F27" s="4"/>
    </row>
    <row r="28" spans="2:6">
      <c r="B28" s="708"/>
      <c r="C28" s="718"/>
      <c r="D28" s="719"/>
      <c r="E28" s="714"/>
      <c r="F28" s="4"/>
    </row>
    <row r="29" spans="2:6">
      <c r="B29" s="708" t="str">
        <f>'2-ORÇAMENTO'!B116</f>
        <v>10.0</v>
      </c>
      <c r="C29" s="717" t="str">
        <f>'2-ORÇAMENTO'!E116</f>
        <v xml:space="preserve">ESQUADRIAS </v>
      </c>
      <c r="D29" s="719">
        <f>'2-ORÇAMENTO'!K123</f>
        <v>47854.76</v>
      </c>
      <c r="E29" s="713">
        <f>D29/$D$67</f>
        <v>4.1670836238391365E-2</v>
      </c>
    </row>
    <row r="30" spans="2:6">
      <c r="B30" s="708"/>
      <c r="C30" s="718"/>
      <c r="D30" s="719"/>
      <c r="E30" s="714"/>
      <c r="F30" s="4"/>
    </row>
    <row r="31" spans="2:6" ht="14.25" customHeight="1">
      <c r="B31" s="708" t="str">
        <f>'2-ORÇAMENTO'!B124</f>
        <v>11.0</v>
      </c>
      <c r="C31" s="718" t="str">
        <f>'2-ORÇAMENTO'!E124</f>
        <v>PISOS INTERNOS, EXTERNOS E CALÇAMENTOS</v>
      </c>
      <c r="D31" s="719">
        <f>'2-ORÇAMENTO'!K132</f>
        <v>82520.740000000005</v>
      </c>
      <c r="E31" s="713">
        <f>D31/$D$67</f>
        <v>7.1857182917872159E-2</v>
      </c>
    </row>
    <row r="32" spans="2:6">
      <c r="B32" s="708"/>
      <c r="C32" s="718"/>
      <c r="D32" s="719"/>
      <c r="E32" s="714"/>
      <c r="F32" s="4"/>
    </row>
    <row r="33" spans="2:6" ht="18" customHeight="1">
      <c r="B33" s="708" t="str">
        <f>'2-ORÇAMENTO'!B133</f>
        <v>12.0</v>
      </c>
      <c r="C33" s="709" t="str">
        <f>'2-ORÇAMENTO'!E133</f>
        <v xml:space="preserve">REVESTIMENTOS INTERNOS E EXTERNOS </v>
      </c>
      <c r="D33" s="719">
        <f>'2-ORÇAMENTO'!K139</f>
        <v>36573.879999999997</v>
      </c>
      <c r="E33" s="713">
        <f>D33/$D$67</f>
        <v>3.1847702591812743E-2</v>
      </c>
      <c r="F33" s="4"/>
    </row>
    <row r="34" spans="2:6" ht="18" customHeight="1">
      <c r="B34" s="708"/>
      <c r="C34" s="710"/>
      <c r="D34" s="719"/>
      <c r="E34" s="714"/>
      <c r="F34" s="4"/>
    </row>
    <row r="35" spans="2:6">
      <c r="B35" s="708" t="str">
        <f>'2-ORÇAMENTO'!B140</f>
        <v>13.0</v>
      </c>
      <c r="C35" s="709" t="str">
        <f>'2-ORÇAMENTO'!E140</f>
        <v xml:space="preserve">GRANITOS PARA PEITORIS, SOLEIRAS, DIVISÓRIAS E BANCADAS </v>
      </c>
      <c r="D35" s="711">
        <f>'2-ORÇAMENTO'!K143</f>
        <v>8429.16</v>
      </c>
      <c r="E35" s="713">
        <f>D35/$D$67</f>
        <v>7.3399207516075503E-3</v>
      </c>
      <c r="F35" s="4"/>
    </row>
    <row r="36" spans="2:6" ht="26.25" customHeight="1">
      <c r="B36" s="708"/>
      <c r="C36" s="710"/>
      <c r="D36" s="712"/>
      <c r="E36" s="714"/>
      <c r="F36" s="4"/>
    </row>
    <row r="37" spans="2:6">
      <c r="B37" s="708" t="str">
        <f>'2-ORÇAMENTO'!B144</f>
        <v>14.0</v>
      </c>
      <c r="C37" s="709" t="str">
        <f>'2-ORÇAMENTO'!E144</f>
        <v xml:space="preserve">FORROS </v>
      </c>
      <c r="D37" s="711">
        <f>'2-ORÇAMENTO'!K146</f>
        <v>39772.589999999997</v>
      </c>
      <c r="E37" s="713">
        <f>D37/$D$67</f>
        <v>3.4633066484226059E-2</v>
      </c>
      <c r="F37" s="4"/>
    </row>
    <row r="38" spans="2:6">
      <c r="B38" s="708"/>
      <c r="C38" s="710"/>
      <c r="D38" s="712"/>
      <c r="E38" s="714"/>
      <c r="F38" s="4"/>
    </row>
    <row r="39" spans="2:6">
      <c r="B39" s="708" t="str">
        <f>'2-ORÇAMENTO'!B147</f>
        <v>15.0</v>
      </c>
      <c r="C39" s="709" t="str">
        <f>'2-ORÇAMENTO'!E147</f>
        <v xml:space="preserve">PINTURA INTERNA E EXTERNA </v>
      </c>
      <c r="D39" s="711">
        <f>'2-ORÇAMENTO'!K161</f>
        <v>22393.02</v>
      </c>
      <c r="E39" s="713">
        <f>D39/$D$67</f>
        <v>1.9499332340252518E-2</v>
      </c>
      <c r="F39" s="4"/>
    </row>
    <row r="40" spans="2:6">
      <c r="B40" s="708"/>
      <c r="C40" s="710"/>
      <c r="D40" s="712"/>
      <c r="E40" s="714"/>
      <c r="F40" s="4"/>
    </row>
    <row r="41" spans="2:6">
      <c r="B41" s="708" t="str">
        <f>'2-ORÇAMENTO'!B162</f>
        <v>16.0</v>
      </c>
      <c r="C41" s="709" t="str">
        <f>'2-ORÇAMENTO'!E162</f>
        <v>MURO</v>
      </c>
      <c r="D41" s="711">
        <f>'2-ORÇAMENTO'!K208</f>
        <v>63886.61</v>
      </c>
      <c r="E41" s="713">
        <f>D41/$D$67</f>
        <v>5.5631006469073839E-2</v>
      </c>
      <c r="F41" s="4"/>
    </row>
    <row r="42" spans="2:6">
      <c r="B42" s="708"/>
      <c r="C42" s="710"/>
      <c r="D42" s="712"/>
      <c r="E42" s="714"/>
      <c r="F42" s="4"/>
    </row>
    <row r="43" spans="2:6">
      <c r="B43" s="708" t="str">
        <f>'2-ORÇAMENTO'!B209</f>
        <v>17.0</v>
      </c>
      <c r="C43" s="709" t="str">
        <f>'2-ORÇAMENTO'!E209</f>
        <v>PINTURA DAS ESQUADRIAS</v>
      </c>
      <c r="D43" s="711">
        <f>'2-ORÇAMENTO'!K211</f>
        <v>8739.75</v>
      </c>
      <c r="E43" s="713">
        <f>D43/$D$67</f>
        <v>7.6103754572059475E-3</v>
      </c>
      <c r="F43" s="4"/>
    </row>
    <row r="44" spans="2:6">
      <c r="B44" s="708"/>
      <c r="C44" s="710"/>
      <c r="D44" s="712"/>
      <c r="E44" s="714"/>
      <c r="F44" s="4"/>
    </row>
    <row r="45" spans="2:6">
      <c r="B45" s="708" t="str">
        <f>'2-ORÇAMENTO'!B212</f>
        <v>18.0</v>
      </c>
      <c r="C45" s="709" t="str">
        <f>'2-ORÇAMENTO'!E212</f>
        <v xml:space="preserve">PASSEIO </v>
      </c>
      <c r="D45" s="711">
        <f>'2-ORÇAMENTO'!K214</f>
        <v>2635.08</v>
      </c>
      <c r="E45" s="713">
        <f>D45/$D$67</f>
        <v>2.2945677118652421E-3</v>
      </c>
      <c r="F45" s="4"/>
    </row>
    <row r="46" spans="2:6">
      <c r="B46" s="708"/>
      <c r="C46" s="710"/>
      <c r="D46" s="712"/>
      <c r="E46" s="714"/>
      <c r="F46" s="4"/>
    </row>
    <row r="47" spans="2:6">
      <c r="B47" s="708" t="str">
        <f>'2-ORÇAMENTO'!B215</f>
        <v>19.0</v>
      </c>
      <c r="C47" s="709" t="str">
        <f>'2-ORÇAMENTO'!E215</f>
        <v>INSTALAÇÕES DE AGUA FRIA</v>
      </c>
      <c r="D47" s="711">
        <f>'2-ORÇAMENTO'!K271</f>
        <v>65566.45</v>
      </c>
      <c r="E47" s="713">
        <f>D47/$D$67</f>
        <v>5.7093772922122588E-2</v>
      </c>
      <c r="F47" s="4"/>
    </row>
    <row r="48" spans="2:6">
      <c r="B48" s="708"/>
      <c r="C48" s="710"/>
      <c r="D48" s="712"/>
      <c r="E48" s="714"/>
      <c r="F48" s="4"/>
    </row>
    <row r="49" spans="2:6">
      <c r="B49" s="708" t="str">
        <f>'2-ORÇAMENTO'!B272</f>
        <v>20.0</v>
      </c>
      <c r="C49" s="709" t="str">
        <f>'2-ORÇAMENTO'!E272</f>
        <v>INSTALAÇÕES SANITÁRIAS</v>
      </c>
      <c r="D49" s="711">
        <f>'2-ORÇAMENTO'!K315</f>
        <v>26843.88</v>
      </c>
      <c r="E49" s="713">
        <f>D49/$D$67</f>
        <v>2.3375039964321817E-2</v>
      </c>
      <c r="F49" s="4"/>
    </row>
    <row r="50" spans="2:6">
      <c r="B50" s="708"/>
      <c r="C50" s="710"/>
      <c r="D50" s="712"/>
      <c r="E50" s="714"/>
      <c r="F50" s="4"/>
    </row>
    <row r="51" spans="2:6">
      <c r="B51" s="708" t="str">
        <f>'2-ORÇAMENTO'!B316</f>
        <v>21.0</v>
      </c>
      <c r="C51" s="709" t="str">
        <f>'2-ORÇAMENTO'!E316</f>
        <v>LOUÇAS E METAIS</v>
      </c>
      <c r="D51" s="711">
        <f>'2-ORÇAMENTO'!K331</f>
        <v>10098.31</v>
      </c>
      <c r="E51" s="713">
        <f>D51/$D$67</f>
        <v>8.7933785958702933E-3</v>
      </c>
      <c r="F51" s="4"/>
    </row>
    <row r="52" spans="2:6">
      <c r="B52" s="708"/>
      <c r="C52" s="710"/>
      <c r="D52" s="712"/>
      <c r="E52" s="714"/>
      <c r="F52" s="4"/>
    </row>
    <row r="53" spans="2:6">
      <c r="B53" s="708" t="str">
        <f>'2-ORÇAMENTO'!B332</f>
        <v>22.0</v>
      </c>
      <c r="C53" s="709" t="str">
        <f>'2-ORÇAMENTO'!E332</f>
        <v>INSTALAÇÕES DE GÁS</v>
      </c>
      <c r="D53" s="711">
        <f>'2-ORÇAMENTO'!K348</f>
        <v>4822.87</v>
      </c>
      <c r="E53" s="713">
        <f>D53/$D$67</f>
        <v>4.199645468267954E-3</v>
      </c>
      <c r="F53" s="4"/>
    </row>
    <row r="54" spans="2:6">
      <c r="B54" s="708"/>
      <c r="C54" s="710"/>
      <c r="D54" s="712"/>
      <c r="E54" s="714"/>
      <c r="F54" s="4"/>
    </row>
    <row r="55" spans="2:6">
      <c r="B55" s="708" t="str">
        <f>'2-ORÇAMENTO'!B349</f>
        <v>23.0</v>
      </c>
      <c r="C55" s="709" t="str">
        <f>'2-ORÇAMENTO'!E349</f>
        <v xml:space="preserve">INSTALAÇÕES ELÉTRICAS </v>
      </c>
      <c r="D55" s="711">
        <f>'2-ORÇAMENTO'!K406</f>
        <v>65636.399999999994</v>
      </c>
      <c r="E55" s="713">
        <f>D55/$D$67</f>
        <v>5.7154683790652187E-2</v>
      </c>
      <c r="F55" s="4"/>
    </row>
    <row r="56" spans="2:6">
      <c r="B56" s="708"/>
      <c r="C56" s="710"/>
      <c r="D56" s="712"/>
      <c r="E56" s="714"/>
      <c r="F56" s="4"/>
    </row>
    <row r="57" spans="2:6">
      <c r="B57" s="708" t="str">
        <f>'2-ORÇAMENTO'!B407</f>
        <v>24.0</v>
      </c>
      <c r="C57" s="709" t="str">
        <f>'2-ORÇAMENTO'!E407</f>
        <v xml:space="preserve">POSTO DE TRANSFORMAÇÃO </v>
      </c>
      <c r="D57" s="711">
        <f>'2-ORÇAMENTO'!K524</f>
        <v>77195.37</v>
      </c>
      <c r="E57" s="713">
        <f>D57/$D$67</f>
        <v>6.7219971882254329E-2</v>
      </c>
      <c r="F57" s="4"/>
    </row>
    <row r="58" spans="2:6">
      <c r="B58" s="708"/>
      <c r="C58" s="710"/>
      <c r="D58" s="712"/>
      <c r="E58" s="714"/>
      <c r="F58" s="4"/>
    </row>
    <row r="59" spans="2:6">
      <c r="B59" s="708" t="str">
        <f>'2-ORÇAMENTO'!B525</f>
        <v>25.0</v>
      </c>
      <c r="C59" s="709" t="str">
        <f>'2-ORÇAMENTO'!E525</f>
        <v>DRENAGEM</v>
      </c>
      <c r="D59" s="711">
        <f>'2-ORÇAMENTO'!K535</f>
        <v>19062.88</v>
      </c>
      <c r="E59" s="713">
        <f>D59/$D$67</f>
        <v>1.6599522194074446E-2</v>
      </c>
      <c r="F59" s="4"/>
    </row>
    <row r="60" spans="2:6">
      <c r="B60" s="708"/>
      <c r="C60" s="710"/>
      <c r="D60" s="712"/>
      <c r="E60" s="714"/>
      <c r="F60" s="4"/>
    </row>
    <row r="61" spans="2:6">
      <c r="B61" s="708" t="str">
        <f>'2-ORÇAMENTO'!B536</f>
        <v>26.0</v>
      </c>
      <c r="C61" s="709" t="str">
        <f>'2-ORÇAMENTO'!E536</f>
        <v>COMBATE AO INCÊNDIO</v>
      </c>
      <c r="D61" s="711">
        <f>'2-ORÇAMENTO'!K545</f>
        <v>17009.099999999999</v>
      </c>
      <c r="E61" s="713">
        <f>D61/$D$67</f>
        <v>1.4811137296737513E-2</v>
      </c>
      <c r="F61" s="4"/>
    </row>
    <row r="62" spans="2:6">
      <c r="B62" s="708"/>
      <c r="C62" s="710"/>
      <c r="D62" s="712"/>
      <c r="E62" s="714"/>
      <c r="F62" s="4"/>
    </row>
    <row r="63" spans="2:6">
      <c r="B63" s="708" t="str">
        <f>'2-ORÇAMENTO'!B546</f>
        <v>27.0</v>
      </c>
      <c r="C63" s="709" t="str">
        <f>'2-ORÇAMENTO'!E546</f>
        <v>SERVIÇOS DIVERSOS</v>
      </c>
      <c r="D63" s="711">
        <f>'2-ORÇAMENTO'!K552</f>
        <v>14998.21</v>
      </c>
      <c r="E63" s="713">
        <f>D63/$D$67</f>
        <v>1.3060100035586924E-2</v>
      </c>
      <c r="F63" s="4"/>
    </row>
    <row r="64" spans="2:6">
      <c r="B64" s="708"/>
      <c r="C64" s="710"/>
      <c r="D64" s="712"/>
      <c r="E64" s="714"/>
      <c r="F64" s="4"/>
    </row>
    <row r="65" spans="2:7">
      <c r="B65" s="708" t="str">
        <f>'2-ORÇAMENTO'!B553</f>
        <v>28.0</v>
      </c>
      <c r="C65" s="709" t="str">
        <f>'2-ORÇAMENTO'!E553</f>
        <v xml:space="preserve">LIMPEZA DE OBRA </v>
      </c>
      <c r="D65" s="711">
        <f>'2-ORÇAMENTO'!K555</f>
        <v>3231.36</v>
      </c>
      <c r="E65" s="713">
        <f>D65/$D$67</f>
        <v>2.8137947695754469E-3</v>
      </c>
      <c r="F65" s="4"/>
    </row>
    <row r="66" spans="2:7" ht="13.5" thickBot="1">
      <c r="B66" s="708"/>
      <c r="C66" s="710"/>
      <c r="D66" s="712"/>
      <c r="E66" s="714"/>
      <c r="F66" s="4"/>
    </row>
    <row r="67" spans="2:7" ht="18.75" thickBot="1">
      <c r="B67" s="715" t="s">
        <v>14803</v>
      </c>
      <c r="C67" s="716"/>
      <c r="D67" s="414">
        <f>TRUNC(SUM(D11:D66),2)</f>
        <v>1148399.32</v>
      </c>
      <c r="E67" s="415">
        <f>SUM(E11:E66)</f>
        <v>0.99999999999999967</v>
      </c>
      <c r="G67" s="2"/>
    </row>
    <row r="68" spans="2:7">
      <c r="D68"/>
      <c r="G68" s="2"/>
    </row>
    <row r="69" spans="2:7">
      <c r="D69"/>
      <c r="G69" s="2"/>
    </row>
    <row r="70" spans="2:7">
      <c r="D70"/>
      <c r="G70" s="2"/>
    </row>
    <row r="71" spans="2:7">
      <c r="D71"/>
      <c r="G71" s="2"/>
    </row>
    <row r="72" spans="2:7">
      <c r="D72"/>
      <c r="G72" s="2"/>
    </row>
    <row r="73" spans="2:7">
      <c r="D73"/>
      <c r="G73" s="2"/>
    </row>
    <row r="74" spans="2:7">
      <c r="D74"/>
      <c r="G74" s="2"/>
    </row>
    <row r="75" spans="2:7">
      <c r="D75"/>
      <c r="G75" s="2"/>
    </row>
    <row r="76" spans="2:7">
      <c r="D76"/>
      <c r="G76" s="2"/>
    </row>
    <row r="77" spans="2:7">
      <c r="C77" s="206"/>
      <c r="D77" s="206"/>
      <c r="E77" s="206"/>
      <c r="G77" s="2"/>
    </row>
    <row r="78" spans="2:7" ht="15" customHeight="1">
      <c r="C78" s="410" t="s">
        <v>12935</v>
      </c>
      <c r="D78" s="707" t="s">
        <v>12937</v>
      </c>
      <c r="E78" s="707"/>
      <c r="F78" s="206"/>
      <c r="G78" s="2"/>
    </row>
    <row r="79" spans="2:7" ht="15" customHeight="1">
      <c r="C79" s="393" t="s">
        <v>12936</v>
      </c>
      <c r="D79" s="707" t="s">
        <v>12938</v>
      </c>
      <c r="E79" s="707"/>
      <c r="F79" s="206"/>
      <c r="G79" s="2"/>
    </row>
    <row r="80" spans="2:7" ht="15" customHeight="1">
      <c r="D80"/>
      <c r="G80" s="2"/>
    </row>
    <row r="81" spans="3:5" ht="15" customHeight="1">
      <c r="C81" s="206"/>
      <c r="D81" s="15"/>
      <c r="E81" s="206"/>
    </row>
  </sheetData>
  <mergeCells count="125">
    <mergeCell ref="B65:B66"/>
    <mergeCell ref="C65:C66"/>
    <mergeCell ref="D65:D66"/>
    <mergeCell ref="E65:E66"/>
    <mergeCell ref="B39:B40"/>
    <mergeCell ref="C39:C40"/>
    <mergeCell ref="D39:D40"/>
    <mergeCell ref="E39:E40"/>
    <mergeCell ref="B61:B62"/>
    <mergeCell ref="C61:C62"/>
    <mergeCell ref="D61:D62"/>
    <mergeCell ref="E61:E62"/>
    <mergeCell ref="B63:B64"/>
    <mergeCell ref="C63:C64"/>
    <mergeCell ref="D63:D64"/>
    <mergeCell ref="E63:E64"/>
    <mergeCell ref="B57:B58"/>
    <mergeCell ref="C57:C58"/>
    <mergeCell ref="D57:D58"/>
    <mergeCell ref="E57:E58"/>
    <mergeCell ref="B59:B60"/>
    <mergeCell ref="C59:C60"/>
    <mergeCell ref="D59:D60"/>
    <mergeCell ref="E59:E60"/>
    <mergeCell ref="B53:B54"/>
    <mergeCell ref="C53:C54"/>
    <mergeCell ref="D53:D54"/>
    <mergeCell ref="E53:E54"/>
    <mergeCell ref="B55:B56"/>
    <mergeCell ref="C55:C56"/>
    <mergeCell ref="D55:D56"/>
    <mergeCell ref="E55:E56"/>
    <mergeCell ref="B49:B50"/>
    <mergeCell ref="C49:C50"/>
    <mergeCell ref="D49:D50"/>
    <mergeCell ref="E49:E50"/>
    <mergeCell ref="B51:B52"/>
    <mergeCell ref="C51:C52"/>
    <mergeCell ref="D51:D52"/>
    <mergeCell ref="E51:E52"/>
    <mergeCell ref="C47:C48"/>
    <mergeCell ref="D47:D48"/>
    <mergeCell ref="E47:E48"/>
    <mergeCell ref="B7:E7"/>
    <mergeCell ref="B2:E2"/>
    <mergeCell ref="B3:E3"/>
    <mergeCell ref="B4:E4"/>
    <mergeCell ref="B5:E5"/>
    <mergeCell ref="B6:E6"/>
    <mergeCell ref="B8:E8"/>
    <mergeCell ref="B9:B10"/>
    <mergeCell ref="C9:C10"/>
    <mergeCell ref="D9:E9"/>
    <mergeCell ref="B11:B12"/>
    <mergeCell ref="C11:C12"/>
    <mergeCell ref="D11:D12"/>
    <mergeCell ref="E11:E12"/>
    <mergeCell ref="B17:B18"/>
    <mergeCell ref="C17:C18"/>
    <mergeCell ref="D17:D18"/>
    <mergeCell ref="E17:E18"/>
    <mergeCell ref="B13:B14"/>
    <mergeCell ref="C13:C14"/>
    <mergeCell ref="D13:D14"/>
    <mergeCell ref="E13:E14"/>
    <mergeCell ref="B15:B16"/>
    <mergeCell ref="C15:C16"/>
    <mergeCell ref="D15:D16"/>
    <mergeCell ref="E15:E16"/>
    <mergeCell ref="B19:B20"/>
    <mergeCell ref="C19:C20"/>
    <mergeCell ref="D19:D20"/>
    <mergeCell ref="E19:E20"/>
    <mergeCell ref="B21:B22"/>
    <mergeCell ref="C21:C22"/>
    <mergeCell ref="D21:D22"/>
    <mergeCell ref="E21:E22"/>
    <mergeCell ref="B27:B28"/>
    <mergeCell ref="C27:C28"/>
    <mergeCell ref="D27:D28"/>
    <mergeCell ref="E27:E28"/>
    <mergeCell ref="B23:B24"/>
    <mergeCell ref="C23:C24"/>
    <mergeCell ref="D23:D24"/>
    <mergeCell ref="E23:E24"/>
    <mergeCell ref="B25:B26"/>
    <mergeCell ref="C25:C26"/>
    <mergeCell ref="D25:D26"/>
    <mergeCell ref="E25:E26"/>
    <mergeCell ref="B29:B30"/>
    <mergeCell ref="C29:C30"/>
    <mergeCell ref="D29:D30"/>
    <mergeCell ref="E29:E30"/>
    <mergeCell ref="B31:B32"/>
    <mergeCell ref="C31:C32"/>
    <mergeCell ref="D31:D32"/>
    <mergeCell ref="E31:E32"/>
    <mergeCell ref="B33:B34"/>
    <mergeCell ref="C33:C34"/>
    <mergeCell ref="D33:D34"/>
    <mergeCell ref="E33:E34"/>
    <mergeCell ref="D78:E78"/>
    <mergeCell ref="D79:E79"/>
    <mergeCell ref="B35:B36"/>
    <mergeCell ref="C35:C36"/>
    <mergeCell ref="D35:D36"/>
    <mergeCell ref="E35:E36"/>
    <mergeCell ref="B67:C67"/>
    <mergeCell ref="B37:B38"/>
    <mergeCell ref="C37:C38"/>
    <mergeCell ref="D37:D38"/>
    <mergeCell ref="E37:E38"/>
    <mergeCell ref="B41:B42"/>
    <mergeCell ref="C41:C42"/>
    <mergeCell ref="D41:D42"/>
    <mergeCell ref="E41:E42"/>
    <mergeCell ref="B43:B44"/>
    <mergeCell ref="C43:C44"/>
    <mergeCell ref="D43:D44"/>
    <mergeCell ref="E43:E44"/>
    <mergeCell ref="B45:B46"/>
    <mergeCell ref="C45:C46"/>
    <mergeCell ref="D45:D46"/>
    <mergeCell ref="E45:E46"/>
    <mergeCell ref="B47:B48"/>
  </mergeCells>
  <phoneticPr fontId="123" type="noConversion"/>
  <printOptions horizontalCentered="1"/>
  <pageMargins left="0.78740157480314965" right="0.51181102362204722" top="0.78740157480314965" bottom="0.78740157480314965" header="0.31496062992125984" footer="0.31496062992125984"/>
  <pageSetup paperSize="9" scale="64" orientation="portrait" r:id="rId1"/>
  <drawing r:id="rId2"/>
</worksheet>
</file>

<file path=xl/worksheets/sheet4.xml><?xml version="1.0" encoding="utf-8"?>
<worksheet xmlns="http://schemas.openxmlformats.org/spreadsheetml/2006/main" xmlns:r="http://schemas.openxmlformats.org/officeDocument/2006/relationships">
  <dimension ref="B1:S577"/>
  <sheetViews>
    <sheetView tabSelected="1" view="pageBreakPreview" zoomScale="55" zoomScaleSheetLayoutView="55" workbookViewId="0">
      <selection activeCell="G570" sqref="G570"/>
    </sheetView>
  </sheetViews>
  <sheetFormatPr defaultColWidth="33" defaultRowHeight="14.25"/>
  <cols>
    <col min="1" max="1" width="19" style="193" customWidth="1"/>
    <col min="2" max="2" width="10.5703125" style="185" bestFit="1" customWidth="1"/>
    <col min="3" max="3" width="18.28515625" style="186" customWidth="1"/>
    <col min="4" max="4" width="15" style="187" customWidth="1"/>
    <col min="5" max="5" width="83.7109375" style="188" customWidth="1"/>
    <col min="6" max="6" width="9.7109375" style="189" bestFit="1" customWidth="1"/>
    <col min="7" max="7" width="12.85546875" style="190" bestFit="1" customWidth="1"/>
    <col min="8" max="8" width="20.42578125" style="191" customWidth="1"/>
    <col min="9" max="9" width="18" style="191" customWidth="1"/>
    <col min="10" max="10" width="21.7109375" style="192" customWidth="1"/>
    <col min="11" max="11" width="25.42578125" style="192" customWidth="1"/>
    <col min="12" max="16384" width="33" style="193"/>
  </cols>
  <sheetData>
    <row r="1" spans="2:13" ht="15" thickBot="1">
      <c r="B1" s="641"/>
      <c r="C1" s="642"/>
      <c r="D1" s="643"/>
      <c r="E1" s="644"/>
      <c r="F1" s="645"/>
      <c r="G1" s="646"/>
      <c r="H1" s="647"/>
      <c r="I1" s="647"/>
      <c r="J1" s="648"/>
      <c r="K1" s="649"/>
    </row>
    <row r="2" spans="2:13" ht="109.5" customHeight="1" thickBot="1">
      <c r="B2" s="748"/>
      <c r="C2" s="749"/>
      <c r="D2" s="749"/>
      <c r="E2" s="749"/>
      <c r="F2" s="749"/>
      <c r="G2" s="749"/>
      <c r="H2" s="749"/>
      <c r="I2" s="749"/>
      <c r="J2" s="749"/>
      <c r="K2" s="750"/>
    </row>
    <row r="3" spans="2:13" ht="18.75" customHeight="1">
      <c r="B3" s="754" t="s">
        <v>12934</v>
      </c>
      <c r="C3" s="755"/>
      <c r="D3" s="755"/>
      <c r="E3" s="755"/>
      <c r="F3" s="755"/>
      <c r="G3" s="755"/>
      <c r="H3" s="755"/>
      <c r="I3" s="755"/>
      <c r="J3" s="755"/>
      <c r="K3" s="756"/>
    </row>
    <row r="4" spans="2:13" ht="24" customHeight="1">
      <c r="B4" s="757" t="s">
        <v>15731</v>
      </c>
      <c r="C4" s="758"/>
      <c r="D4" s="758"/>
      <c r="E4" s="758"/>
      <c r="F4" s="758"/>
      <c r="G4" s="758"/>
      <c r="H4" s="758"/>
      <c r="I4" s="758"/>
      <c r="J4" s="758"/>
      <c r="K4" s="759"/>
    </row>
    <row r="5" spans="2:13" ht="19.5" customHeight="1">
      <c r="B5" s="757" t="s">
        <v>12933</v>
      </c>
      <c r="C5" s="758"/>
      <c r="D5" s="758"/>
      <c r="E5" s="758"/>
      <c r="F5" s="758"/>
      <c r="G5" s="758"/>
      <c r="H5" s="758"/>
      <c r="I5" s="758"/>
      <c r="J5" s="758"/>
      <c r="K5" s="759"/>
    </row>
    <row r="6" spans="2:13" ht="20.25" customHeight="1">
      <c r="B6" s="757" t="s">
        <v>14824</v>
      </c>
      <c r="C6" s="758"/>
      <c r="D6" s="758"/>
      <c r="E6" s="758"/>
      <c r="F6" s="758"/>
      <c r="G6" s="758"/>
      <c r="H6" s="758"/>
      <c r="I6" s="758"/>
      <c r="J6" s="758"/>
      <c r="K6" s="759"/>
    </row>
    <row r="7" spans="2:13" ht="23.25" customHeight="1" thickBot="1">
      <c r="B7" s="760" t="s">
        <v>14825</v>
      </c>
      <c r="C7" s="761"/>
      <c r="D7" s="761"/>
      <c r="E7" s="761"/>
      <c r="F7" s="761"/>
      <c r="G7" s="761"/>
      <c r="H7" s="761"/>
      <c r="I7" s="761"/>
      <c r="J7" s="761"/>
      <c r="K7" s="762"/>
    </row>
    <row r="8" spans="2:13" ht="21.75" customHeight="1" thickBot="1">
      <c r="B8" s="751" t="s">
        <v>4686</v>
      </c>
      <c r="C8" s="752"/>
      <c r="D8" s="752"/>
      <c r="E8" s="752"/>
      <c r="F8" s="752"/>
      <c r="G8" s="752"/>
      <c r="H8" s="752"/>
      <c r="I8" s="752"/>
      <c r="J8" s="752"/>
      <c r="K8" s="753"/>
    </row>
    <row r="9" spans="2:13" s="200" customFormat="1" ht="33" customHeight="1">
      <c r="B9" s="433" t="s">
        <v>2</v>
      </c>
      <c r="C9" s="434" t="s">
        <v>3</v>
      </c>
      <c r="D9" s="434" t="s">
        <v>1</v>
      </c>
      <c r="E9" s="435" t="s">
        <v>4</v>
      </c>
      <c r="F9" s="436" t="s">
        <v>5</v>
      </c>
      <c r="G9" s="437" t="s">
        <v>6</v>
      </c>
      <c r="H9" s="438" t="s">
        <v>839</v>
      </c>
      <c r="I9" s="438" t="s">
        <v>892</v>
      </c>
      <c r="J9" s="438" t="s">
        <v>840</v>
      </c>
      <c r="K9" s="439" t="s">
        <v>893</v>
      </c>
    </row>
    <row r="10" spans="2:13" s="187" customFormat="1" ht="19.5" customHeight="1">
      <c r="B10" s="440" t="s">
        <v>854</v>
      </c>
      <c r="C10" s="441"/>
      <c r="D10" s="442"/>
      <c r="E10" s="443" t="str">
        <f>QUANT!E6:J6</f>
        <v xml:space="preserve">ADMINISTRAÇÃO DE OBRA </v>
      </c>
      <c r="F10" s="444"/>
      <c r="G10" s="445"/>
      <c r="H10" s="446"/>
      <c r="I10" s="446"/>
      <c r="J10" s="447"/>
      <c r="K10" s="448"/>
    </row>
    <row r="11" spans="2:13" s="187" customFormat="1" ht="36.75" customHeight="1">
      <c r="B11" s="449" t="s">
        <v>7</v>
      </c>
      <c r="C11" s="450">
        <f>QUANT!C8</f>
        <v>90777</v>
      </c>
      <c r="D11" s="451" t="str">
        <f>QUANT!D8</f>
        <v>SINAPI</v>
      </c>
      <c r="E11" s="639" t="str">
        <f>IFERROR(VLOOKUP($C11,'SINAPI MAIO 2020'!$1:$1048576,2,0),IFERROR(VLOOKUP($C11,'6-COMP. PROPRIA'!$B$1:$I$808,4,0),""))</f>
        <v>ENGENHEIRO CIVIL DE OBRA JUNIOR COM ENCARGOS COMPLEMENTARES</v>
      </c>
      <c r="F11" s="638" t="str">
        <f>IFERROR(VLOOKUP($C11,'SINAPI MAIO 2020'!$1:$1048576,3,0),IFERROR(VLOOKUP($C11,'6-COMP. PROPRIA'!$B$1:$I$808,5,0),""))</f>
        <v>H</v>
      </c>
      <c r="G11" s="452">
        <f>QUANT!K8</f>
        <v>288</v>
      </c>
      <c r="H11" s="452">
        <f>IFERROR(VLOOKUP($C11,'SINAPI MAIO 2020'!$1:$1048576,4,0),IFERROR(VLOOKUP($C11,'6-COMP. PROPRIA'!$B$1:$I$808,8,0),""))</f>
        <v>79.17</v>
      </c>
      <c r="I11" s="452">
        <f>TRUNC(($H11*'4-BDI'!$E$29),2)</f>
        <v>101.52</v>
      </c>
      <c r="J11" s="453">
        <f>TRUNC((G11*H11),2)</f>
        <v>22800.959999999999</v>
      </c>
      <c r="K11" s="454">
        <f>TRUNC((I11*G11),2)</f>
        <v>29237.759999999998</v>
      </c>
    </row>
    <row r="12" spans="2:13" s="187" customFormat="1" ht="33" customHeight="1">
      <c r="B12" s="449" t="s">
        <v>5340</v>
      </c>
      <c r="C12" s="450">
        <f>QUANT!C12</f>
        <v>93572</v>
      </c>
      <c r="D12" s="450" t="str">
        <f>QUANT!D12</f>
        <v>SINAPI</v>
      </c>
      <c r="E12" s="639" t="str">
        <f>IFERROR(VLOOKUP($C12,'SINAPI MAIO 2020'!$1:$1048576,2,0),IFERROR(VLOOKUP($C12,'6-COMP. PROPRIA'!$B$1:$I$808,4,0),""))</f>
        <v>ENCARREGADO GERAL DE OBRAS COM ENCARGOS COMPLEMENTARES</v>
      </c>
      <c r="F12" s="638" t="str">
        <f>IFERROR(VLOOKUP($C12,'SINAPI MAIO 2020'!$1:$1048576,3,0),IFERROR(VLOOKUP($C12,'6-COMP. PROPRIA'!$B$1:$I$808,5,0),""))</f>
        <v>MES</v>
      </c>
      <c r="G12" s="455">
        <f>QUANT!K12</f>
        <v>6</v>
      </c>
      <c r="H12" s="452">
        <f>IFERROR(VLOOKUP($C12,'SINAPI MAIO 2020'!$1:$1048576,4,0),IFERROR(VLOOKUP($C12,'6-COMP. PROPRIA'!$B$1:$I$808,8,0),""))</f>
        <v>3342.75</v>
      </c>
      <c r="I12" s="452">
        <f>TRUNC(($H12*'4-BDI'!$E$29),2)</f>
        <v>4286.74</v>
      </c>
      <c r="J12" s="453">
        <f t="shared" ref="J12:J13" si="0">TRUNC((G12*H12),2)</f>
        <v>20056.5</v>
      </c>
      <c r="K12" s="454">
        <f t="shared" ref="K12:K13" si="1">TRUNC((I12*G12),2)</f>
        <v>25720.44</v>
      </c>
    </row>
    <row r="13" spans="2:13" s="187" customFormat="1" ht="20.25" customHeight="1">
      <c r="B13" s="449" t="s">
        <v>7052</v>
      </c>
      <c r="C13" s="450">
        <f>QUANT!C17</f>
        <v>88326</v>
      </c>
      <c r="D13" s="450" t="str">
        <f>QUANT!D17</f>
        <v>SINAPI</v>
      </c>
      <c r="E13" s="639" t="str">
        <f>IFERROR(VLOOKUP($C13,'SINAPI MAIO 2020'!$1:$1048576,2,0),IFERROR(VLOOKUP($C13,'6-COMP. PROPRIA'!$B$1:$I$808,4,0),""))</f>
        <v>VIGIA NOTURNO COM ENCARGOS COMPLEMENTARES</v>
      </c>
      <c r="F13" s="638" t="str">
        <f>IFERROR(VLOOKUP($C13,'SINAPI MAIO 2020'!$1:$1048576,3,0),IFERROR(VLOOKUP($C13,'6-COMP. PROPRIA'!$B$1:$I$808,5,0),""))</f>
        <v>H</v>
      </c>
      <c r="G13" s="455">
        <f>QUANT!K17</f>
        <v>2016</v>
      </c>
      <c r="H13" s="452">
        <f>IFERROR(VLOOKUP($C13,'SINAPI MAIO 2020'!$1:$1048576,4,0),IFERROR(VLOOKUP($C13,'6-COMP. PROPRIA'!$B$1:$I$808,8,0),""))</f>
        <v>18.350000000000001</v>
      </c>
      <c r="I13" s="452">
        <f>TRUNC(($H13*'4-BDI'!$E$29),2)</f>
        <v>23.53</v>
      </c>
      <c r="J13" s="453">
        <f t="shared" si="0"/>
        <v>36993.599999999999</v>
      </c>
      <c r="K13" s="454">
        <f t="shared" si="1"/>
        <v>47436.480000000003</v>
      </c>
    </row>
    <row r="14" spans="2:13" s="187" customFormat="1" ht="15.75">
      <c r="B14" s="746" t="s">
        <v>4710</v>
      </c>
      <c r="C14" s="747"/>
      <c r="D14" s="747"/>
      <c r="E14" s="747"/>
      <c r="F14" s="747"/>
      <c r="G14" s="747"/>
      <c r="H14" s="747"/>
      <c r="I14" s="456"/>
      <c r="J14" s="457">
        <f>TRUNC(SUM(J11:J13),2)</f>
        <v>79851.06</v>
      </c>
      <c r="K14" s="457">
        <f>TRUNC(SUM(K11:K13),2)</f>
        <v>102394.68</v>
      </c>
      <c r="M14" s="661"/>
    </row>
    <row r="15" spans="2:13" s="187" customFormat="1" ht="15.75">
      <c r="B15" s="440" t="s">
        <v>855</v>
      </c>
      <c r="C15" s="441"/>
      <c r="D15" s="442"/>
      <c r="E15" s="443" t="str">
        <f>QUANT!E23</f>
        <v>INSTALAÇÕES DE CANTEIRO E SERVIÇOS PRELIMINARES</v>
      </c>
      <c r="F15" s="444"/>
      <c r="G15" s="445"/>
      <c r="H15" s="446"/>
      <c r="I15" s="446"/>
      <c r="J15" s="447"/>
      <c r="K15" s="448"/>
      <c r="M15" s="195"/>
    </row>
    <row r="16" spans="2:13" s="187" customFormat="1" ht="45">
      <c r="B16" s="449" t="s">
        <v>818</v>
      </c>
      <c r="C16" s="450">
        <f>QUANT!C25</f>
        <v>98525</v>
      </c>
      <c r="D16" s="450" t="str">
        <f>QUANT!D25</f>
        <v>SINAPI</v>
      </c>
      <c r="E16" s="639" t="str">
        <f>IFERROR(VLOOKUP($C16,'SINAPI MAIO 2020'!$1:$1048576,2,0),IFERROR(VLOOKUP($C16,'6-COMP. PROPRIA'!$B$1:$I$808,4,0),""))</f>
        <v>LIMPEZA MECANIZADA DE CAMADA VEGETAL, VEGETAÇÃO E PEQUENAS ÁRVORES (DIÂMETRO DE TRONCO MENOR QUE 0,20 M), COM TRATOR DE ESTEIRAS.AF_05/2018</v>
      </c>
      <c r="F16" s="638" t="str">
        <f>IFERROR(VLOOKUP($C16,'SINAPI MAIO 2020'!$1:$1048576,3,0),IFERROR(VLOOKUP($C16,'6-COMP. PROPRIA'!$B$1:$I$808,5,0),""))</f>
        <v>M2</v>
      </c>
      <c r="G16" s="452">
        <f>QUANT!K25</f>
        <v>129.06</v>
      </c>
      <c r="H16" s="452">
        <f>IFERROR(VLOOKUP($C16,'SINAPI MAIO 2020'!$1:$1048576,4,0),IFERROR(VLOOKUP($C16,'6-COMP. PROPRIA'!$B$1:$I$808,8,0),""))</f>
        <v>0.22</v>
      </c>
      <c r="I16" s="452">
        <f>TRUNC(($H16*'4-BDI'!$E$29),2)</f>
        <v>0.28000000000000003</v>
      </c>
      <c r="J16" s="453">
        <f>TRUNC((G16*H16),2)</f>
        <v>28.39</v>
      </c>
      <c r="K16" s="454">
        <f>TRUNC((I16*G16),2)</f>
        <v>36.130000000000003</v>
      </c>
      <c r="M16" s="195"/>
    </row>
    <row r="17" spans="2:19" s="187" customFormat="1" ht="30">
      <c r="B17" s="449" t="s">
        <v>37</v>
      </c>
      <c r="C17" s="450">
        <f>QUANT!C32</f>
        <v>72898</v>
      </c>
      <c r="D17" s="450" t="str">
        <f>QUANT!D32</f>
        <v>SINAPI</v>
      </c>
      <c r="E17" s="639" t="str">
        <f>IFERROR(VLOOKUP($C17,'SINAPI MAIO 2020'!$1:$1048576,2,0),IFERROR(VLOOKUP($C17,'6-COMP. PROPRIA'!$B$1:$I$808,4,0),""))</f>
        <v>CARGA E DESCARGA MECANIZADAS DE ENTULHO EM CAMINHAO BASCULANTE 6 M3</v>
      </c>
      <c r="F17" s="638" t="str">
        <f>IFERROR(VLOOKUP($C17,'SINAPI MAIO 2020'!$1:$1048576,3,0),IFERROR(VLOOKUP($C17,'6-COMP. PROPRIA'!$B$1:$I$808,5,0),""))</f>
        <v>M3</v>
      </c>
      <c r="G17" s="452">
        <f>QUANT!K32</f>
        <v>180.684</v>
      </c>
      <c r="H17" s="452">
        <f>IFERROR(VLOOKUP($C17,'SINAPI MAIO 2020'!$1:$1048576,4,0),IFERROR(VLOOKUP($C17,'6-COMP. PROPRIA'!$B$1:$I$808,8,0),""))</f>
        <v>2.97</v>
      </c>
      <c r="I17" s="452">
        <f>TRUNC(($H17*'4-BDI'!$E$29),2)</f>
        <v>3.8</v>
      </c>
      <c r="J17" s="453">
        <f t="shared" ref="J17:J19" si="2">TRUNC((G17*H17),2)</f>
        <v>536.63</v>
      </c>
      <c r="K17" s="454">
        <f t="shared" ref="K17:K19" si="3">TRUNC((I17*G17),2)</f>
        <v>686.59</v>
      </c>
      <c r="M17" s="195"/>
      <c r="N17" s="195"/>
      <c r="O17" s="195"/>
      <c r="P17" s="195"/>
      <c r="Q17" s="195"/>
      <c r="R17" s="195"/>
      <c r="S17" s="195"/>
    </row>
    <row r="18" spans="2:19" s="187" customFormat="1" ht="30">
      <c r="B18" s="449" t="s">
        <v>0</v>
      </c>
      <c r="C18" s="450">
        <f>QUANT!C38</f>
        <v>97914</v>
      </c>
      <c r="D18" s="450" t="str">
        <f>QUANT!D38</f>
        <v>SINAPI</v>
      </c>
      <c r="E18" s="639" t="str">
        <f>IFERROR(VLOOKUP($C18,'SINAPI MAIO 2020'!$1:$1048576,2,0),IFERROR(VLOOKUP($C18,'6-COMP. PROPRIA'!$B$1:$I$808,4,0),""))</f>
        <v>TRANSPORTE COM CAMINHÃO BASCULANTE DE 6 M3, EM VIA URBANA PAVIMENTADA, DMT ATÉ 30 KM (UNIDADE: M3XKM). AF_01/2018</v>
      </c>
      <c r="F18" s="638" t="str">
        <f>IFERROR(VLOOKUP($C18,'SINAPI MAIO 2020'!$1:$1048576,3,0),IFERROR(VLOOKUP($C18,'6-COMP. PROPRIA'!$B$1:$I$808,5,0),""))</f>
        <v>M3XKM</v>
      </c>
      <c r="G18" s="452">
        <f>QUANT!K38</f>
        <v>4517.1000000000004</v>
      </c>
      <c r="H18" s="452">
        <f>IFERROR(VLOOKUP($C18,'SINAPI MAIO 2020'!$1:$1048576,4,0),IFERROR(VLOOKUP($C18,'6-COMP. PROPRIA'!$B$1:$I$808,8,0),""))</f>
        <v>1.07</v>
      </c>
      <c r="I18" s="452">
        <f>TRUNC(($H18*'4-BDI'!$E$29),2)</f>
        <v>1.37</v>
      </c>
      <c r="J18" s="453">
        <f t="shared" si="2"/>
        <v>4833.29</v>
      </c>
      <c r="K18" s="454">
        <f t="shared" si="3"/>
        <v>6188.42</v>
      </c>
      <c r="M18" s="662"/>
      <c r="N18" s="195"/>
      <c r="O18" s="195"/>
      <c r="P18" s="195"/>
      <c r="Q18" s="195"/>
      <c r="R18" s="195"/>
      <c r="S18" s="195"/>
    </row>
    <row r="19" spans="2:19" s="187" customFormat="1" ht="15">
      <c r="B19" s="449" t="s">
        <v>6226</v>
      </c>
      <c r="C19" s="450">
        <f>QUANT!C43</f>
        <v>98459</v>
      </c>
      <c r="D19" s="450" t="str">
        <f>QUANT!D43</f>
        <v>SINAPI</v>
      </c>
      <c r="E19" s="639" t="str">
        <f>IFERROR(VLOOKUP($C19,'SINAPI MAIO 2020'!$1:$1048576,2,0),IFERROR(VLOOKUP($C19,'6-COMP. PROPRIA'!$B$1:$I$808,4,0),""))</f>
        <v>TAPUME COM TELHA METÁLICA. AF_05/2018</v>
      </c>
      <c r="F19" s="638" t="str">
        <f>IFERROR(VLOOKUP($C19,'SINAPI MAIO 2020'!$1:$1048576,3,0),IFERROR(VLOOKUP($C19,'6-COMP. PROPRIA'!$B$1:$I$808,5,0),""))</f>
        <v>M2</v>
      </c>
      <c r="G19" s="452">
        <f>QUANT!K43</f>
        <v>168</v>
      </c>
      <c r="H19" s="452">
        <f>IFERROR(VLOOKUP($C19,'SINAPI MAIO 2020'!$1:$1048576,4,0),IFERROR(VLOOKUP($C19,'6-COMP. PROPRIA'!$B$1:$I$808,8,0),""))</f>
        <v>56</v>
      </c>
      <c r="I19" s="452">
        <f>TRUNC(($H19*'4-BDI'!$E$29),2)</f>
        <v>71.81</v>
      </c>
      <c r="J19" s="453">
        <f t="shared" si="2"/>
        <v>9408</v>
      </c>
      <c r="K19" s="454">
        <f t="shared" si="3"/>
        <v>12064.08</v>
      </c>
      <c r="M19" s="195"/>
      <c r="N19" s="195"/>
      <c r="O19" s="195"/>
      <c r="P19" s="195"/>
      <c r="Q19" s="195"/>
      <c r="R19" s="195"/>
      <c r="S19" s="195"/>
    </row>
    <row r="20" spans="2:19" s="187" customFormat="1" ht="15">
      <c r="B20" s="449" t="s">
        <v>6227</v>
      </c>
      <c r="C20" s="450" t="str">
        <f>QUANT!C49</f>
        <v>CP-IP-01</v>
      </c>
      <c r="D20" s="450" t="str">
        <f>QUANT!D49</f>
        <v>PROPRIA</v>
      </c>
      <c r="E20" s="639" t="str">
        <f>IFERROR(VLOOKUP($C20,'SINAPI MAIO 2020'!$1:$1048576,2,0),IFERROR(VLOOKUP($C20,'6-COMP. PROPRIA'!$B$1:$I$808,4,0),""))</f>
        <v>PLACA DE OBRA EM CHAPA DE AÇO GALVANIZADO</v>
      </c>
      <c r="F20" s="638" t="str">
        <f>IFERROR(VLOOKUP($C20,'SINAPI MAIO 2020'!$1:$1048576,3,0),IFERROR(VLOOKUP($C20,'6-COMP. PROPRIA'!$B$1:$I$808,5,0),""))</f>
        <v xml:space="preserve">M2    </v>
      </c>
      <c r="G20" s="452">
        <f>QUANT!K49</f>
        <v>3.125</v>
      </c>
      <c r="H20" s="452">
        <f>IFERROR(VLOOKUP($C20,'SINAPI MAIO 2020'!$1:$1048576,4,0),IFERROR(VLOOKUP($C20,'6-COMP. PROPRIA'!$B$1:$I$808,8,0),""))</f>
        <v>375.41</v>
      </c>
      <c r="I20" s="452">
        <f>TRUNC(($H20*'4-BDI'!$E$29),2)</f>
        <v>481.42</v>
      </c>
      <c r="J20" s="453">
        <f t="shared" ref="J20" si="4">TRUNC((G20*H20),2)</f>
        <v>1173.1500000000001</v>
      </c>
      <c r="K20" s="454">
        <f t="shared" ref="K20" si="5">TRUNC((I20*G20),2)</f>
        <v>1504.43</v>
      </c>
      <c r="M20" s="195"/>
      <c r="N20" s="195"/>
      <c r="O20" s="195"/>
      <c r="P20" s="195"/>
      <c r="Q20" s="195"/>
      <c r="R20" s="195"/>
      <c r="S20" s="195"/>
    </row>
    <row r="21" spans="2:19" s="187" customFormat="1" ht="15.75">
      <c r="B21" s="746" t="s">
        <v>4710</v>
      </c>
      <c r="C21" s="747"/>
      <c r="D21" s="747"/>
      <c r="E21" s="747"/>
      <c r="F21" s="747"/>
      <c r="G21" s="747"/>
      <c r="H21" s="747"/>
      <c r="I21" s="456"/>
      <c r="J21" s="457">
        <f>TRUNC(SUM(J16:J20),2)</f>
        <v>15979.46</v>
      </c>
      <c r="K21" s="457">
        <f>TRUNC(SUM(K16:K20),2)</f>
        <v>20479.650000000001</v>
      </c>
      <c r="M21" s="195"/>
      <c r="N21" s="195"/>
      <c r="O21" s="195"/>
      <c r="P21" s="195"/>
      <c r="Q21" s="195"/>
      <c r="R21" s="195"/>
      <c r="S21" s="195"/>
    </row>
    <row r="22" spans="2:19" s="187" customFormat="1" ht="15.75">
      <c r="B22" s="440" t="s">
        <v>993</v>
      </c>
      <c r="C22" s="441"/>
      <c r="D22" s="442"/>
      <c r="E22" s="443" t="str">
        <f>QUANT!E55:J55</f>
        <v>DEMOLIÇÕES E RETIRADAS</v>
      </c>
      <c r="F22" s="444"/>
      <c r="G22" s="445"/>
      <c r="H22" s="446"/>
      <c r="I22" s="446"/>
      <c r="J22" s="447"/>
      <c r="K22" s="448"/>
      <c r="N22" s="195"/>
      <c r="O22" s="195"/>
      <c r="P22" s="195"/>
      <c r="Q22" s="195"/>
      <c r="R22" s="195"/>
      <c r="S22" s="195"/>
    </row>
    <row r="23" spans="2:19" s="187" customFormat="1" ht="30">
      <c r="B23" s="458" t="s">
        <v>27</v>
      </c>
      <c r="C23" s="450">
        <f>QUANT!C58</f>
        <v>97647</v>
      </c>
      <c r="D23" s="450" t="str">
        <f>QUANT!D58</f>
        <v>SINAPI</v>
      </c>
      <c r="E23" s="639" t="str">
        <f>IFERROR(VLOOKUP($C23,'SINAPI MAIO 2020'!$1:$1048576,2,0),IFERROR(VLOOKUP($C23,'6-COMP. PROPRIA'!$B$1:$I$808,4,0),""))</f>
        <v>REMOÇÃO DE TELHAS, DE FIBROCIMENTO, METÁLICA E CERÂMICA, DE FORMA MANUAL, SEM REAPROVEITAMENTO. AF_12/2017</v>
      </c>
      <c r="F23" s="638" t="str">
        <f>IFERROR(VLOOKUP($C23,'SINAPI MAIO 2020'!$1:$1048576,3,0),IFERROR(VLOOKUP($C23,'6-COMP. PROPRIA'!$B$1:$I$808,5,0),""))</f>
        <v>M2</v>
      </c>
      <c r="G23" s="452">
        <f>QUANT!K58</f>
        <v>383.21064000000001</v>
      </c>
      <c r="H23" s="452">
        <f>IFERROR(VLOOKUP($C23,'SINAPI MAIO 2020'!$1:$1048576,4,0),IFERROR(VLOOKUP($C23,'6-COMP. PROPRIA'!$B$1:$I$808,8,0),""))</f>
        <v>2.31</v>
      </c>
      <c r="I23" s="452">
        <f>TRUNC(($H23*'4-BDI'!$E$29),2)</f>
        <v>2.96</v>
      </c>
      <c r="J23" s="453">
        <f t="shared" ref="J23" si="6">TRUNC((G23*H23),2)</f>
        <v>885.21</v>
      </c>
      <c r="K23" s="454">
        <f t="shared" ref="K23" si="7">TRUNC((I23*G23),2)</f>
        <v>1134.3</v>
      </c>
      <c r="N23" s="195"/>
      <c r="O23" s="195"/>
      <c r="P23" s="195"/>
      <c r="Q23" s="195"/>
      <c r="R23" s="195"/>
      <c r="S23" s="195"/>
    </row>
    <row r="24" spans="2:19" s="187" customFormat="1" ht="15">
      <c r="B24" s="458" t="s">
        <v>29</v>
      </c>
      <c r="C24" s="450" t="str">
        <f>QUANT!C65</f>
        <v>CP-DEM-1</v>
      </c>
      <c r="D24" s="450" t="str">
        <f>QUANT!D65</f>
        <v>PROPRIA</v>
      </c>
      <c r="E24" s="639" t="str">
        <f>IFERROR(VLOOKUP($C24,'SINAPI MAIO 2020'!$1:$1048576,2,0),IFERROR(VLOOKUP($C24,'6-COMP. PROPRIA'!$B$1:$I$808,4,0),""))</f>
        <v xml:space="preserve">REMOÇÃO DE FORRO EM MADEIRA OU PVC </v>
      </c>
      <c r="F24" s="638" t="str">
        <f>IFERROR(VLOOKUP($C24,'SINAPI MAIO 2020'!$1:$1048576,3,0),IFERROR(VLOOKUP($C24,'6-COMP. PROPRIA'!$B$1:$I$808,5,0),""))</f>
        <v>M2</v>
      </c>
      <c r="G24" s="452">
        <f>QUANT!K65</f>
        <v>475.97999999999996</v>
      </c>
      <c r="H24" s="452">
        <f>IFERROR(VLOOKUP($C24,'SINAPI MAIO 2020'!$1:$1048576,4,0),IFERROR(VLOOKUP($C24,'6-COMP. PROPRIA'!$B$1:$I$808,8,0),""))</f>
        <v>7.35</v>
      </c>
      <c r="I24" s="452">
        <f>TRUNC(($H24*'4-BDI'!$E$29),2)</f>
        <v>9.42</v>
      </c>
      <c r="J24" s="453">
        <f t="shared" ref="J24:J41" si="8">TRUNC((G24*H24),2)</f>
        <v>3498.45</v>
      </c>
      <c r="K24" s="454">
        <f t="shared" ref="K24:K41" si="9">TRUNC((I24*G24),2)</f>
        <v>4483.7299999999996</v>
      </c>
      <c r="N24" s="195"/>
      <c r="O24" s="195"/>
      <c r="P24" s="195"/>
      <c r="Q24" s="195"/>
      <c r="R24" s="195"/>
      <c r="S24" s="195"/>
    </row>
    <row r="25" spans="2:19" s="187" customFormat="1" ht="30">
      <c r="B25" s="458" t="s">
        <v>30</v>
      </c>
      <c r="C25" s="450">
        <f>QUANT!C71</f>
        <v>97661</v>
      </c>
      <c r="D25" s="450" t="str">
        <f>QUANT!D71</f>
        <v>SINAPI</v>
      </c>
      <c r="E25" s="639" t="str">
        <f>IFERROR(VLOOKUP($C25,'SINAPI MAIO 2020'!$1:$1048576,2,0),IFERROR(VLOOKUP($C25,'6-COMP. PROPRIA'!$B$1:$I$808,4,0),""))</f>
        <v>REMOÇÃO DE CABOS ELÉTRICOS, DE FORMA MANUAL, SEM REAPROVEITAMENTO. AF_12/2017</v>
      </c>
      <c r="F25" s="638" t="str">
        <f>IFERROR(VLOOKUP($C25,'SINAPI MAIO 2020'!$1:$1048576,3,0),IFERROR(VLOOKUP($C25,'6-COMP. PROPRIA'!$B$1:$I$808,5,0),""))</f>
        <v>M</v>
      </c>
      <c r="G25" s="452">
        <f>QUANT!K71</f>
        <v>700</v>
      </c>
      <c r="H25" s="452">
        <f>IFERROR(VLOOKUP($C25,'SINAPI MAIO 2020'!$1:$1048576,4,0),IFERROR(VLOOKUP($C25,'6-COMP. PROPRIA'!$B$1:$I$808,8,0),""))</f>
        <v>0.44</v>
      </c>
      <c r="I25" s="452">
        <f>TRUNC(($H25*'4-BDI'!$E$29),2)</f>
        <v>0.56000000000000005</v>
      </c>
      <c r="J25" s="453">
        <f t="shared" si="8"/>
        <v>308</v>
      </c>
      <c r="K25" s="454">
        <f t="shared" si="9"/>
        <v>392</v>
      </c>
      <c r="N25" s="195"/>
      <c r="O25" s="195"/>
      <c r="P25" s="195"/>
      <c r="Q25" s="195"/>
      <c r="R25" s="195"/>
      <c r="S25" s="195"/>
    </row>
    <row r="26" spans="2:19" s="187" customFormat="1" ht="30">
      <c r="B26" s="458" t="s">
        <v>39</v>
      </c>
      <c r="C26" s="450">
        <f>QUANT!C76</f>
        <v>97662</v>
      </c>
      <c r="D26" s="450" t="str">
        <f>QUANT!D76</f>
        <v>SINAPI</v>
      </c>
      <c r="E26" s="639" t="str">
        <f>IFERROR(VLOOKUP($C26,'SINAPI MAIO 2020'!$1:$1048576,2,0),IFERROR(VLOOKUP($C26,'6-COMP. PROPRIA'!$B$1:$I$808,4,0),""))</f>
        <v>REMOÇÃO DE TUBULAÇÕES (TUBOS E CONEXÕES) DE ÁGUA FRIA, DE FORMA MANUAL, SEM REAPROVEITAMENTO. AF_12/2017</v>
      </c>
      <c r="F26" s="638" t="str">
        <f>IFERROR(VLOOKUP($C26,'SINAPI MAIO 2020'!$1:$1048576,3,0),IFERROR(VLOOKUP($C26,'6-COMP. PROPRIA'!$B$1:$I$808,5,0),""))</f>
        <v>M</v>
      </c>
      <c r="G26" s="452">
        <f>QUANT!K76</f>
        <v>78.782000000000011</v>
      </c>
      <c r="H26" s="452">
        <f>IFERROR(VLOOKUP($C26,'SINAPI MAIO 2020'!$1:$1048576,4,0),IFERROR(VLOOKUP($C26,'6-COMP. PROPRIA'!$B$1:$I$808,8,0),""))</f>
        <v>0.32</v>
      </c>
      <c r="I26" s="452">
        <f>TRUNC(($H26*'4-BDI'!$E$29),2)</f>
        <v>0.41</v>
      </c>
      <c r="J26" s="453">
        <f t="shared" si="8"/>
        <v>25.21</v>
      </c>
      <c r="K26" s="454">
        <f t="shared" si="9"/>
        <v>32.299999999999997</v>
      </c>
      <c r="N26" s="195"/>
      <c r="O26" s="195"/>
      <c r="P26" s="195"/>
      <c r="Q26" s="195"/>
      <c r="R26" s="195"/>
      <c r="S26" s="195"/>
    </row>
    <row r="27" spans="2:19" s="187" customFormat="1" ht="30">
      <c r="B27" s="458" t="s">
        <v>5323</v>
      </c>
      <c r="C27" s="450">
        <f>QUANT!C81</f>
        <v>97655</v>
      </c>
      <c r="D27" s="450" t="str">
        <f>QUANT!D81</f>
        <v>SINAPI</v>
      </c>
      <c r="E27" s="639" t="str">
        <f>IFERROR(VLOOKUP($C27,'SINAPI MAIO 2020'!$1:$1048576,2,0),IFERROR(VLOOKUP($C27,'6-COMP. PROPRIA'!$B$1:$I$808,4,0),""))</f>
        <v>REMOÇÃO DE TRAMA METÁLICA PARA COBERTURA, DE FORMA MANUAL, SEM REAPROVEITAMENTO. AF_12/2017</v>
      </c>
      <c r="F27" s="638" t="str">
        <f>IFERROR(VLOOKUP($C27,'SINAPI MAIO 2020'!$1:$1048576,3,0),IFERROR(VLOOKUP($C27,'6-COMP. PROPRIA'!$B$1:$I$808,5,0),""))</f>
        <v>M2</v>
      </c>
      <c r="G27" s="452">
        <f>QUANT!K81</f>
        <v>549.37040000000002</v>
      </c>
      <c r="H27" s="452">
        <f>IFERROR(VLOOKUP($C27,'SINAPI MAIO 2020'!$1:$1048576,4,0),IFERROR(VLOOKUP($C27,'6-COMP. PROPRIA'!$B$1:$I$808,8,0),""))</f>
        <v>16.28</v>
      </c>
      <c r="I27" s="452">
        <f>TRUNC(($H27*'4-BDI'!$E$29),2)</f>
        <v>20.87</v>
      </c>
      <c r="J27" s="453">
        <f t="shared" si="8"/>
        <v>8943.75</v>
      </c>
      <c r="K27" s="454">
        <f t="shared" si="9"/>
        <v>11465.36</v>
      </c>
      <c r="N27" s="195"/>
      <c r="O27" s="195"/>
      <c r="P27" s="195"/>
      <c r="Q27" s="195"/>
      <c r="R27" s="195"/>
      <c r="S27" s="195"/>
    </row>
    <row r="28" spans="2:19" s="187" customFormat="1" ht="30">
      <c r="B28" s="458" t="s">
        <v>5324</v>
      </c>
      <c r="C28" s="450">
        <f>QUANT!C86</f>
        <v>97650</v>
      </c>
      <c r="D28" s="450" t="str">
        <f>QUANT!D86</f>
        <v>SINAPI</v>
      </c>
      <c r="E28" s="639" t="str">
        <f>IFERROR(VLOOKUP($C28,'SINAPI MAIO 2020'!$1:$1048576,2,0),IFERROR(VLOOKUP($C28,'6-COMP. PROPRIA'!$B$1:$I$808,4,0),""))</f>
        <v>REMOÇÃO DE TRAMA DE MADEIRA PARA COBERTURA, DE FORMA MANUAL, SEM REAPROVEITAMENTO. AF_12/2017</v>
      </c>
      <c r="F28" s="638" t="str">
        <f>IFERROR(VLOOKUP($C28,'SINAPI MAIO 2020'!$1:$1048576,3,0),IFERROR(VLOOKUP($C28,'6-COMP. PROPRIA'!$B$1:$I$808,5,0),""))</f>
        <v>M2</v>
      </c>
      <c r="G28" s="452">
        <f>QUANT!K86</f>
        <v>184.85064</v>
      </c>
      <c r="H28" s="452">
        <f>IFERROR(VLOOKUP($C28,'SINAPI MAIO 2020'!$1:$1048576,4,0),IFERROR(VLOOKUP($C28,'6-COMP. PROPRIA'!$B$1:$I$808,8,0),""))</f>
        <v>4.9800000000000004</v>
      </c>
      <c r="I28" s="452">
        <f>TRUNC(($H28*'4-BDI'!$E$29),2)</f>
        <v>6.38</v>
      </c>
      <c r="J28" s="453">
        <f t="shared" si="8"/>
        <v>920.55</v>
      </c>
      <c r="K28" s="454">
        <f t="shared" si="9"/>
        <v>1179.3399999999999</v>
      </c>
      <c r="N28" s="195"/>
      <c r="O28" s="195"/>
      <c r="P28" s="195"/>
      <c r="Q28" s="195"/>
      <c r="R28" s="195"/>
      <c r="S28" s="195"/>
    </row>
    <row r="29" spans="2:19" s="187" customFormat="1" ht="30">
      <c r="B29" s="458" t="s">
        <v>6044</v>
      </c>
      <c r="C29" s="450">
        <f>QUANT!C91</f>
        <v>97656</v>
      </c>
      <c r="D29" s="450" t="str">
        <f>QUANT!D91</f>
        <v>SINAPI</v>
      </c>
      <c r="E29" s="639" t="str">
        <f>IFERROR(VLOOKUP($C29,'SINAPI MAIO 2020'!$1:$1048576,2,0),IFERROR(VLOOKUP($C29,'6-COMP. PROPRIA'!$B$1:$I$808,4,0),""))</f>
        <v>REMOÇÃO DE TESOURAS METÁLICAS, COM VÃO MENOR QUE 8M, DE FORMA MANUAL, SEM REAPROVEITAMENTO. AF_12/2017</v>
      </c>
      <c r="F29" s="638" t="str">
        <f>IFERROR(VLOOKUP($C29,'SINAPI MAIO 2020'!$1:$1048576,3,0),IFERROR(VLOOKUP($C29,'6-COMP. PROPRIA'!$B$1:$I$808,5,0),""))</f>
        <v>UN</v>
      </c>
      <c r="G29" s="452">
        <f>QUANT!K91</f>
        <v>11</v>
      </c>
      <c r="H29" s="452">
        <f>IFERROR(VLOOKUP($C29,'SINAPI MAIO 2020'!$1:$1048576,4,0),IFERROR(VLOOKUP($C29,'6-COMP. PROPRIA'!$B$1:$I$808,8,0),""))</f>
        <v>159.13999999999999</v>
      </c>
      <c r="I29" s="452">
        <f>TRUNC(($H29*'4-BDI'!$E$29),2)</f>
        <v>204.08</v>
      </c>
      <c r="J29" s="453">
        <f t="shared" si="8"/>
        <v>1750.54</v>
      </c>
      <c r="K29" s="454">
        <f t="shared" si="9"/>
        <v>2244.88</v>
      </c>
      <c r="N29" s="195"/>
      <c r="O29" s="195"/>
      <c r="P29" s="195"/>
      <c r="Q29" s="195"/>
      <c r="R29" s="195"/>
      <c r="S29" s="195"/>
    </row>
    <row r="30" spans="2:19" s="187" customFormat="1" ht="30">
      <c r="B30" s="458" t="s">
        <v>6228</v>
      </c>
      <c r="C30" s="450">
        <f>QUANT!C96</f>
        <v>97652</v>
      </c>
      <c r="D30" s="450" t="str">
        <f>QUANT!D96</f>
        <v>SINAPI</v>
      </c>
      <c r="E30" s="639" t="str">
        <f>IFERROR(VLOOKUP($C30,'SINAPI MAIO 2020'!$1:$1048576,2,0),IFERROR(VLOOKUP($C30,'6-COMP. PROPRIA'!$B$1:$I$808,4,0),""))</f>
        <v>REMOÇÃO DE TESOURAS DE MADEIRA, COM VÃO MAIOR OU IGUAL A 8M, DE FORMA MANUAL, SEM REAPROVEITAMENTO. AF_12/2017</v>
      </c>
      <c r="F30" s="638" t="str">
        <f>IFERROR(VLOOKUP($C30,'SINAPI MAIO 2020'!$1:$1048576,3,0),IFERROR(VLOOKUP($C30,'6-COMP. PROPRIA'!$B$1:$I$808,5,0),""))</f>
        <v>UN</v>
      </c>
      <c r="G30" s="452">
        <f>QUANT!K96</f>
        <v>4</v>
      </c>
      <c r="H30" s="452">
        <f>IFERROR(VLOOKUP($C30,'SINAPI MAIO 2020'!$1:$1048576,4,0),IFERROR(VLOOKUP($C30,'6-COMP. PROPRIA'!$B$1:$I$808,8,0),""))</f>
        <v>125.22</v>
      </c>
      <c r="I30" s="452">
        <f>TRUNC(($H30*'4-BDI'!$E$29),2)</f>
        <v>160.58000000000001</v>
      </c>
      <c r="J30" s="453">
        <f t="shared" si="8"/>
        <v>500.88</v>
      </c>
      <c r="K30" s="454">
        <f t="shared" si="9"/>
        <v>642.32000000000005</v>
      </c>
      <c r="N30" s="195"/>
      <c r="O30" s="195"/>
      <c r="P30" s="195"/>
      <c r="Q30" s="195"/>
      <c r="R30" s="195"/>
      <c r="S30" s="195"/>
    </row>
    <row r="31" spans="2:19" s="187" customFormat="1" ht="15">
      <c r="B31" s="458" t="s">
        <v>6229</v>
      </c>
      <c r="C31" s="450" t="str">
        <f>QUANT!C101</f>
        <v>CP-DEM-2</v>
      </c>
      <c r="D31" s="450" t="str">
        <f>QUANT!D101</f>
        <v>PROPRIA</v>
      </c>
      <c r="E31" s="639" t="str">
        <f>IFERROR(VLOOKUP($C31,'SINAPI MAIO 2020'!$1:$1048576,2,0),IFERROR(VLOOKUP($C31,'6-COMP. PROPRIA'!$B$1:$I$808,4,0),""))</f>
        <v>DEMOLIÇÃO DE CONCRETO SIMPLES</v>
      </c>
      <c r="F31" s="638" t="str">
        <f>IFERROR(VLOOKUP($C31,'SINAPI MAIO 2020'!$1:$1048576,3,0),IFERROR(VLOOKUP($C31,'6-COMP. PROPRIA'!$B$1:$I$808,5,0),""))</f>
        <v>M3</v>
      </c>
      <c r="G31" s="452">
        <f>QUANT!K101</f>
        <v>23.425000000000001</v>
      </c>
      <c r="H31" s="452">
        <f>IFERROR(VLOOKUP($C31,'SINAPI MAIO 2020'!$1:$1048576,4,0),IFERROR(VLOOKUP($C31,'6-COMP. PROPRIA'!$B$1:$I$808,8,0),""))</f>
        <v>209.89</v>
      </c>
      <c r="I31" s="452">
        <f>TRUNC(($H31*'4-BDI'!$E$29),2)</f>
        <v>269.16000000000003</v>
      </c>
      <c r="J31" s="453">
        <f t="shared" si="8"/>
        <v>4916.67</v>
      </c>
      <c r="K31" s="454">
        <f t="shared" si="9"/>
        <v>6305.07</v>
      </c>
      <c r="N31" s="195"/>
      <c r="O31" s="195"/>
      <c r="P31" s="195"/>
      <c r="Q31" s="195"/>
      <c r="R31" s="195"/>
      <c r="S31" s="195"/>
    </row>
    <row r="32" spans="2:19" s="187" customFormat="1" ht="30">
      <c r="B32" s="458" t="s">
        <v>6230</v>
      </c>
      <c r="C32" s="450">
        <f>QUANT!C114</f>
        <v>97633</v>
      </c>
      <c r="D32" s="450" t="str">
        <f>QUANT!D114</f>
        <v>SINAPI</v>
      </c>
      <c r="E32" s="639" t="str">
        <f>IFERROR(VLOOKUP($C32,'SINAPI MAIO 2020'!$1:$1048576,2,0),IFERROR(VLOOKUP($C32,'6-COMP. PROPRIA'!$B$1:$I$808,4,0),""))</f>
        <v>DEMOLIÇÃO DE REVESTIMENTO CERÂMICO, DE FORMA MANUAL, SEM REAPROVEITAMENTO. AF_12/2017</v>
      </c>
      <c r="F32" s="638" t="str">
        <f>IFERROR(VLOOKUP($C32,'SINAPI MAIO 2020'!$1:$1048576,3,0),IFERROR(VLOOKUP($C32,'6-COMP. PROPRIA'!$B$1:$I$808,5,0),""))</f>
        <v>M2</v>
      </c>
      <c r="G32" s="452">
        <f>QUANT!K114</f>
        <v>166.78</v>
      </c>
      <c r="H32" s="452">
        <f>IFERROR(VLOOKUP($C32,'SINAPI MAIO 2020'!$1:$1048576,4,0),IFERROR(VLOOKUP($C32,'6-COMP. PROPRIA'!$B$1:$I$808,8,0),""))</f>
        <v>14.85</v>
      </c>
      <c r="I32" s="452">
        <f>TRUNC(($H32*'4-BDI'!$E$29),2)</f>
        <v>19.04</v>
      </c>
      <c r="J32" s="453">
        <f t="shared" si="8"/>
        <v>2476.6799999999998</v>
      </c>
      <c r="K32" s="454">
        <f t="shared" si="9"/>
        <v>3175.49</v>
      </c>
      <c r="N32" s="195"/>
      <c r="O32" s="195"/>
      <c r="P32" s="195"/>
      <c r="Q32" s="195"/>
      <c r="R32" s="195"/>
      <c r="S32" s="195"/>
    </row>
    <row r="33" spans="2:19" s="187" customFormat="1" ht="30">
      <c r="B33" s="458" t="s">
        <v>6231</v>
      </c>
      <c r="C33" s="450">
        <f>QUANT!C127</f>
        <v>97645</v>
      </c>
      <c r="D33" s="450" t="str">
        <f>QUANT!D127</f>
        <v>SINAPI</v>
      </c>
      <c r="E33" s="639" t="str">
        <f>IFERROR(VLOOKUP($C33,'SINAPI MAIO 2020'!$1:$1048576,2,0),IFERROR(VLOOKUP($C33,'6-COMP. PROPRIA'!$B$1:$I$808,4,0),""))</f>
        <v>REMOÇÃO DE JANELAS, DE FORMA MANUAL, SEM REAPROVEITAMENTO. AF_12/2017</v>
      </c>
      <c r="F33" s="638" t="str">
        <f>IFERROR(VLOOKUP($C33,'SINAPI MAIO 2020'!$1:$1048576,3,0),IFERROR(VLOOKUP($C33,'6-COMP. PROPRIA'!$B$1:$I$808,5,0),""))</f>
        <v>M2</v>
      </c>
      <c r="G33" s="452">
        <f>QUANT!K127</f>
        <v>28.94</v>
      </c>
      <c r="H33" s="452">
        <f>IFERROR(VLOOKUP($C33,'SINAPI MAIO 2020'!$1:$1048576,4,0),IFERROR(VLOOKUP($C33,'6-COMP. PROPRIA'!$B$1:$I$808,8,0),""))</f>
        <v>20.97</v>
      </c>
      <c r="I33" s="452">
        <f>TRUNC(($H33*'4-BDI'!$E$29),2)</f>
        <v>26.89</v>
      </c>
      <c r="J33" s="453">
        <f t="shared" si="8"/>
        <v>606.87</v>
      </c>
      <c r="K33" s="454">
        <f t="shared" si="9"/>
        <v>778.19</v>
      </c>
      <c r="N33" s="195"/>
      <c r="O33" s="195"/>
      <c r="P33" s="195"/>
      <c r="Q33" s="195"/>
      <c r="R33" s="195"/>
      <c r="S33" s="195"/>
    </row>
    <row r="34" spans="2:19" s="187" customFormat="1" ht="30">
      <c r="B34" s="458" t="s">
        <v>6232</v>
      </c>
      <c r="C34" s="450">
        <f>QUANT!C135</f>
        <v>97644</v>
      </c>
      <c r="D34" s="450" t="str">
        <f>QUANT!D135</f>
        <v>SINAPI</v>
      </c>
      <c r="E34" s="639" t="str">
        <f>IFERROR(VLOOKUP($C34,'SINAPI MAIO 2020'!$1:$1048576,2,0),IFERROR(VLOOKUP($C34,'6-COMP. PROPRIA'!$B$1:$I$808,4,0),""))</f>
        <v>REMOÇÃO DE PORTAS, DE FORMA MANUAL, SEM REAPROVEITAMENTO. AF_12/2017</v>
      </c>
      <c r="F34" s="638" t="str">
        <f>IFERROR(VLOOKUP($C34,'SINAPI MAIO 2020'!$1:$1048576,3,0),IFERROR(VLOOKUP($C34,'6-COMP. PROPRIA'!$B$1:$I$808,5,0),""))</f>
        <v>M2</v>
      </c>
      <c r="G34" s="452">
        <f>QUANT!K135</f>
        <v>27.060000000000002</v>
      </c>
      <c r="H34" s="452">
        <f>IFERROR(VLOOKUP($C34,'SINAPI MAIO 2020'!$1:$1048576,4,0),IFERROR(VLOOKUP($C34,'6-COMP. PROPRIA'!$B$1:$I$808,8,0),""))</f>
        <v>6.04</v>
      </c>
      <c r="I34" s="452">
        <f>TRUNC(($H34*'4-BDI'!$E$29),2)</f>
        <v>7.74</v>
      </c>
      <c r="J34" s="453">
        <f t="shared" si="8"/>
        <v>163.44</v>
      </c>
      <c r="K34" s="454">
        <f t="shared" si="9"/>
        <v>209.44</v>
      </c>
      <c r="N34" s="195"/>
      <c r="O34" s="195"/>
      <c r="P34" s="195"/>
      <c r="Q34" s="195"/>
      <c r="R34" s="195"/>
      <c r="S34" s="195"/>
    </row>
    <row r="35" spans="2:19" s="187" customFormat="1" ht="15">
      <c r="B35" s="458" t="s">
        <v>6233</v>
      </c>
      <c r="C35" s="450" t="str">
        <f>QUANT!C141</f>
        <v>CP-DEM-3</v>
      </c>
      <c r="D35" s="450" t="str">
        <f>QUANT!D141</f>
        <v>PROPRIA</v>
      </c>
      <c r="E35" s="639" t="str">
        <f>IFERROR(VLOOKUP($C35,'SINAPI MAIO 2020'!$1:$1048576,2,0),IFERROR(VLOOKUP($C35,'6-COMP. PROPRIA'!$B$1:$I$808,4,0),""))</f>
        <v xml:space="preserve">REMOÇÃO DE PEÇAS DE SANITÁRIAS </v>
      </c>
      <c r="F35" s="638" t="str">
        <f>IFERROR(VLOOKUP($C35,'SINAPI MAIO 2020'!$1:$1048576,3,0),IFERROR(VLOOKUP($C35,'6-COMP. PROPRIA'!$B$1:$I$808,5,0),""))</f>
        <v>UNI</v>
      </c>
      <c r="G35" s="452">
        <f>QUANT!K141</f>
        <v>12</v>
      </c>
      <c r="H35" s="452">
        <f>IFERROR(VLOOKUP($C35,'SINAPI MAIO 2020'!$1:$1048576,4,0),IFERROR(VLOOKUP($C35,'6-COMP. PROPRIA'!$B$1:$I$808,8,0),""))</f>
        <v>16.07</v>
      </c>
      <c r="I35" s="452">
        <f>TRUNC(($H35*'4-BDI'!$E$29),2)</f>
        <v>20.6</v>
      </c>
      <c r="J35" s="453">
        <f t="shared" si="8"/>
        <v>192.84</v>
      </c>
      <c r="K35" s="454">
        <f t="shared" si="9"/>
        <v>247.2</v>
      </c>
      <c r="N35" s="195"/>
      <c r="O35" s="195"/>
      <c r="P35" s="195"/>
      <c r="Q35" s="195"/>
      <c r="R35" s="195"/>
      <c r="S35" s="195"/>
    </row>
    <row r="36" spans="2:19" s="187" customFormat="1" ht="30">
      <c r="B36" s="458" t="s">
        <v>6234</v>
      </c>
      <c r="C36" s="450">
        <f>QUANT!C145</f>
        <v>97622</v>
      </c>
      <c r="D36" s="450" t="str">
        <f>QUANT!D145</f>
        <v>SINAPI</v>
      </c>
      <c r="E36" s="639" t="str">
        <f>IFERROR(VLOOKUP($C36,'SINAPI MAIO 2020'!$1:$1048576,2,0),IFERROR(VLOOKUP($C36,'6-COMP. PROPRIA'!$B$1:$I$808,4,0),""))</f>
        <v>DEMOLIÇÃO DE ALVENARIA DE BLOCO FURADO, DE FORMA MANUAL, SEM REAPROVEITAMENTO. AF_12/2017</v>
      </c>
      <c r="F36" s="638" t="str">
        <f>IFERROR(VLOOKUP($C36,'SINAPI MAIO 2020'!$1:$1048576,3,0),IFERROR(VLOOKUP($C36,'6-COMP. PROPRIA'!$B$1:$I$808,5,0),""))</f>
        <v>M3</v>
      </c>
      <c r="G36" s="452">
        <f>QUANT!K145</f>
        <v>2.1869999999999998</v>
      </c>
      <c r="H36" s="452">
        <f>IFERROR(VLOOKUP($C36,'SINAPI MAIO 2020'!$1:$1048576,4,0),IFERROR(VLOOKUP($C36,'6-COMP. PROPRIA'!$B$1:$I$808,8,0),""))</f>
        <v>37.39</v>
      </c>
      <c r="I36" s="452">
        <f>TRUNC(($H36*'4-BDI'!$E$29),2)</f>
        <v>47.94</v>
      </c>
      <c r="J36" s="453">
        <f t="shared" si="8"/>
        <v>81.77</v>
      </c>
      <c r="K36" s="454">
        <f t="shared" si="9"/>
        <v>104.84</v>
      </c>
      <c r="N36" s="195"/>
      <c r="O36" s="195"/>
      <c r="P36" s="195"/>
      <c r="Q36" s="195"/>
      <c r="R36" s="195"/>
      <c r="S36" s="195"/>
    </row>
    <row r="37" spans="2:19" s="187" customFormat="1" ht="30">
      <c r="B37" s="458" t="s">
        <v>6235</v>
      </c>
      <c r="C37" s="450">
        <f>QUANT!C151</f>
        <v>97625</v>
      </c>
      <c r="D37" s="450" t="str">
        <f>QUANT!D151</f>
        <v>SINAPI</v>
      </c>
      <c r="E37" s="639" t="str">
        <f>IFERROR(VLOOKUP($C37,'SINAPI MAIO 2020'!$1:$1048576,2,0),IFERROR(VLOOKUP($C37,'6-COMP. PROPRIA'!$B$1:$I$808,4,0),""))</f>
        <v>DEMOLIÇÃO DE ALVENARIA PARA QUALQUER TIPO DE BLOCO, DE FORMA MECANIZADA, SEM REAPROVEITAMENTO. AF_12/2017</v>
      </c>
      <c r="F37" s="638" t="str">
        <f>IFERROR(VLOOKUP($C37,'SINAPI MAIO 2020'!$1:$1048576,3,0),IFERROR(VLOOKUP($C37,'6-COMP. PROPRIA'!$B$1:$I$808,5,0),""))</f>
        <v>M3</v>
      </c>
      <c r="G37" s="452">
        <f>QUANT!K151</f>
        <v>70.902000000000001</v>
      </c>
      <c r="H37" s="452">
        <f>IFERROR(VLOOKUP($C37,'SINAPI MAIO 2020'!$1:$1048576,4,0),IFERROR(VLOOKUP($C37,'6-COMP. PROPRIA'!$B$1:$I$808,8,0),""))</f>
        <v>31.56</v>
      </c>
      <c r="I37" s="452">
        <f>TRUNC(($H37*'4-BDI'!$E$29),2)</f>
        <v>40.47</v>
      </c>
      <c r="J37" s="453">
        <f t="shared" si="8"/>
        <v>2237.66</v>
      </c>
      <c r="K37" s="454">
        <f t="shared" si="9"/>
        <v>2869.4</v>
      </c>
      <c r="N37" s="195"/>
      <c r="O37" s="195"/>
      <c r="P37" s="195"/>
      <c r="Q37" s="195"/>
      <c r="R37" s="195"/>
      <c r="S37" s="195"/>
    </row>
    <row r="38" spans="2:19" s="187" customFormat="1" ht="30">
      <c r="B38" s="458" t="s">
        <v>6236</v>
      </c>
      <c r="C38" s="450">
        <f>QUANT!C157</f>
        <v>98526</v>
      </c>
      <c r="D38" s="450" t="str">
        <f>QUANT!D157</f>
        <v>SINAPI</v>
      </c>
      <c r="E38" s="639" t="str">
        <f>IFERROR(VLOOKUP($C38,'SINAPI MAIO 2020'!$1:$1048576,2,0),IFERROR(VLOOKUP($C38,'6-COMP. PROPRIA'!$B$1:$I$808,4,0),""))</f>
        <v>REMOÇÃO DE RAÍZES REMANESCENTES DE TRONCO DE ÁRVORE COM DIÂMETRO MAIOR OU IGUAL A 0,20 M E MENOR QUE 0,40 M.AF_05/2018</v>
      </c>
      <c r="F38" s="638" t="str">
        <f>IFERROR(VLOOKUP($C38,'SINAPI MAIO 2020'!$1:$1048576,3,0),IFERROR(VLOOKUP($C38,'6-COMP. PROPRIA'!$B$1:$I$808,5,0),""))</f>
        <v>UN</v>
      </c>
      <c r="G38" s="452">
        <f>QUANT!K157</f>
        <v>1</v>
      </c>
      <c r="H38" s="452">
        <f>IFERROR(VLOOKUP($C38,'SINAPI MAIO 2020'!$1:$1048576,4,0),IFERROR(VLOOKUP($C38,'6-COMP. PROPRIA'!$B$1:$I$808,8,0),""))</f>
        <v>48.51</v>
      </c>
      <c r="I38" s="452">
        <f>TRUNC(($H38*'4-BDI'!$E$29),2)</f>
        <v>62.2</v>
      </c>
      <c r="J38" s="453">
        <f t="shared" si="8"/>
        <v>48.51</v>
      </c>
      <c r="K38" s="454">
        <f t="shared" si="9"/>
        <v>62.2</v>
      </c>
      <c r="N38" s="195"/>
      <c r="O38" s="195"/>
      <c r="P38" s="195"/>
      <c r="Q38" s="195"/>
      <c r="R38" s="195"/>
      <c r="S38" s="195"/>
    </row>
    <row r="39" spans="2:19" s="187" customFormat="1" ht="15">
      <c r="B39" s="458" t="s">
        <v>12562</v>
      </c>
      <c r="C39" s="450" t="str">
        <f>QUANT!C161</f>
        <v>CP-DEM-4</v>
      </c>
      <c r="D39" s="450" t="str">
        <f>QUANT!D161</f>
        <v>PROPRIA</v>
      </c>
      <c r="E39" s="639" t="str">
        <f>IFERROR(VLOOKUP($C39,'SINAPI MAIO 2020'!$1:$1048576,2,0),IFERROR(VLOOKUP($C39,'6-COMP. PROPRIA'!$B$1:$I$808,4,0),""))</f>
        <v>REMOÇÃO DE DIVISÓRIA DE GRANITO</v>
      </c>
      <c r="F39" s="638" t="str">
        <f>IFERROR(VLOOKUP($C39,'SINAPI MAIO 2020'!$1:$1048576,3,0),IFERROR(VLOOKUP($C39,'6-COMP. PROPRIA'!$B$1:$I$808,5,0),""))</f>
        <v>M</v>
      </c>
      <c r="G39" s="452">
        <f>QUANT!K161</f>
        <v>11.844000000000001</v>
      </c>
      <c r="H39" s="452">
        <f>IFERROR(VLOOKUP($C39,'SINAPI MAIO 2020'!$1:$1048576,4,0),IFERROR(VLOOKUP($C39,'6-COMP. PROPRIA'!$B$1:$I$808,8,0),""))</f>
        <v>22.6</v>
      </c>
      <c r="I39" s="452">
        <f>TRUNC(($H39*'4-BDI'!$E$29),2)</f>
        <v>28.98</v>
      </c>
      <c r="J39" s="453">
        <f t="shared" si="8"/>
        <v>267.67</v>
      </c>
      <c r="K39" s="454">
        <f t="shared" si="9"/>
        <v>343.23</v>
      </c>
      <c r="N39" s="195"/>
      <c r="O39" s="195"/>
      <c r="P39" s="195"/>
      <c r="Q39" s="195"/>
      <c r="R39" s="195"/>
      <c r="S39" s="195"/>
    </row>
    <row r="40" spans="2:19" s="187" customFormat="1" ht="15">
      <c r="B40" s="458" t="s">
        <v>6237</v>
      </c>
      <c r="C40" s="450">
        <f>QUANT!C169</f>
        <v>72897</v>
      </c>
      <c r="D40" s="450" t="str">
        <f>QUANT!D169</f>
        <v>SINAPI</v>
      </c>
      <c r="E40" s="639" t="str">
        <f>IFERROR(VLOOKUP($C40,'SINAPI MAIO 2020'!$1:$1048576,2,0),IFERROR(VLOOKUP($C40,'6-COMP. PROPRIA'!$B$1:$I$808,4,0),""))</f>
        <v>CARGA MANUAL DE ENTULHO EM CAMINHAO BASCULANTE 6 M3</v>
      </c>
      <c r="F40" s="638" t="str">
        <f>IFERROR(VLOOKUP($C40,'SINAPI MAIO 2020'!$1:$1048576,3,0),IFERROR(VLOOKUP($C40,'6-COMP. PROPRIA'!$B$1:$I$808,5,0),""))</f>
        <v>M3</v>
      </c>
      <c r="G40" s="452">
        <f>QUANT!K169</f>
        <v>503.21485655999999</v>
      </c>
      <c r="H40" s="452">
        <f>IFERROR(VLOOKUP($C40,'SINAPI MAIO 2020'!$1:$1048576,4,0),IFERROR(VLOOKUP($C40,'6-COMP. PROPRIA'!$B$1:$I$808,8,0),""))</f>
        <v>17.510000000000002</v>
      </c>
      <c r="I40" s="452">
        <f>TRUNC(($H40*'4-BDI'!$E$29),2)</f>
        <v>22.45</v>
      </c>
      <c r="J40" s="453">
        <f t="shared" si="8"/>
        <v>8811.2900000000009</v>
      </c>
      <c r="K40" s="454">
        <f t="shared" si="9"/>
        <v>11297.17</v>
      </c>
      <c r="N40" s="195"/>
      <c r="O40" s="195"/>
      <c r="P40" s="195"/>
      <c r="Q40" s="195"/>
      <c r="R40" s="195"/>
      <c r="S40" s="195"/>
    </row>
    <row r="41" spans="2:19" s="187" customFormat="1" ht="30">
      <c r="B41" s="458" t="s">
        <v>6238</v>
      </c>
      <c r="C41" s="450">
        <f>QUANT!C173</f>
        <v>97914</v>
      </c>
      <c r="D41" s="450" t="str">
        <f>QUANT!D173</f>
        <v>SINAPI</v>
      </c>
      <c r="E41" s="639" t="str">
        <f>IFERROR(VLOOKUP($C41,'SINAPI MAIO 2020'!$1:$1048576,2,0),IFERROR(VLOOKUP($C41,'6-COMP. PROPRIA'!$B$1:$I$808,4,0),""))</f>
        <v>TRANSPORTE COM CAMINHÃO BASCULANTE DE 6 M3, EM VIA URBANA PAVIMENTADA, DMT ATÉ 30 KM (UNIDADE: M3XKM). AF_01/2018</v>
      </c>
      <c r="F41" s="638" t="str">
        <f>IFERROR(VLOOKUP($C41,'SINAPI MAIO 2020'!$1:$1048576,3,0),IFERROR(VLOOKUP($C41,'6-COMP. PROPRIA'!$B$1:$I$808,5,0),""))</f>
        <v>M3XKM</v>
      </c>
      <c r="G41" s="452">
        <f>QUANT!K173</f>
        <v>12580.371413999999</v>
      </c>
      <c r="H41" s="452">
        <f>IFERROR(VLOOKUP($C41,'SINAPI MAIO 2020'!$1:$1048576,4,0),IFERROR(VLOOKUP($C41,'6-COMP. PROPRIA'!$B$1:$I$808,8,0),""))</f>
        <v>1.07</v>
      </c>
      <c r="I41" s="452">
        <f>TRUNC(($H41*'4-BDI'!$E$29),2)</f>
        <v>1.37</v>
      </c>
      <c r="J41" s="453">
        <f t="shared" si="8"/>
        <v>13460.99</v>
      </c>
      <c r="K41" s="454">
        <f t="shared" si="9"/>
        <v>17235.099999999999</v>
      </c>
      <c r="N41" s="195"/>
      <c r="O41" s="195"/>
      <c r="P41" s="195"/>
      <c r="Q41" s="195"/>
      <c r="R41" s="195"/>
      <c r="S41" s="195"/>
    </row>
    <row r="42" spans="2:19" ht="15.75">
      <c r="B42" s="746" t="s">
        <v>4710</v>
      </c>
      <c r="C42" s="747"/>
      <c r="D42" s="747"/>
      <c r="E42" s="747"/>
      <c r="F42" s="747"/>
      <c r="G42" s="747"/>
      <c r="H42" s="747"/>
      <c r="I42" s="456"/>
      <c r="J42" s="457">
        <f>TRUNC(SUM(J23:J41),2)</f>
        <v>50096.98</v>
      </c>
      <c r="K42" s="457">
        <f>TRUNC(SUM(K23:K41),2)</f>
        <v>64201.56</v>
      </c>
      <c r="L42" s="187"/>
      <c r="N42" s="260"/>
      <c r="O42" s="260"/>
      <c r="P42" s="260"/>
      <c r="Q42" s="260"/>
      <c r="R42" s="260"/>
      <c r="S42" s="260"/>
    </row>
    <row r="43" spans="2:19" s="201" customFormat="1" ht="15.75">
      <c r="B43" s="440" t="s">
        <v>5309</v>
      </c>
      <c r="C43" s="441"/>
      <c r="D43" s="442"/>
      <c r="E43" s="443" t="str">
        <f>QUANT!E178</f>
        <v xml:space="preserve">TERRAPLENAGEM </v>
      </c>
      <c r="F43" s="444"/>
      <c r="G43" s="445"/>
      <c r="H43" s="446"/>
      <c r="I43" s="446"/>
      <c r="J43" s="447"/>
      <c r="K43" s="448"/>
      <c r="L43" s="187"/>
    </row>
    <row r="44" spans="2:19" ht="30">
      <c r="B44" s="459" t="s">
        <v>5310</v>
      </c>
      <c r="C44" s="450">
        <f>QUANT!C180</f>
        <v>94319</v>
      </c>
      <c r="D44" s="450" t="str">
        <f>QUANT!D180</f>
        <v>SINAPI</v>
      </c>
      <c r="E44" s="639" t="str">
        <f>IFERROR(VLOOKUP($C44,'SINAPI MAIO 2020'!$1:$1048576,2,0),IFERROR(VLOOKUP($C44,'6-COMP. PROPRIA'!$B$1:$I$808,4,0),""))</f>
        <v>ATERRO MANUAL DE VALAS COM SOLO ARGILO-ARENOSO E COMPACTAÇÃO MECANIZADA. AF_05/2016</v>
      </c>
      <c r="F44" s="638" t="str">
        <f>IFERROR(VLOOKUP($C44,'SINAPI MAIO 2020'!$1:$1048576,3,0),IFERROR(VLOOKUP($C44,'6-COMP. PROPRIA'!$B$1:$I$808,5,0),""))</f>
        <v>M3</v>
      </c>
      <c r="G44" s="452">
        <f>QUANT!K180</f>
        <v>419.9</v>
      </c>
      <c r="H44" s="452">
        <f>IFERROR(VLOOKUP($C44,'SINAPI MAIO 2020'!$1:$1048576,4,0),IFERROR(VLOOKUP($C44,'6-COMP. PROPRIA'!$B$1:$I$808,8,0),""))</f>
        <v>30.77</v>
      </c>
      <c r="I44" s="452">
        <f>TRUNC(($H44*'4-BDI'!$E$29),2)</f>
        <v>39.450000000000003</v>
      </c>
      <c r="J44" s="453">
        <f t="shared" ref="J44" si="10">TRUNC((G44*H44),2)</f>
        <v>12920.32</v>
      </c>
      <c r="K44" s="454">
        <f t="shared" ref="K44" si="11">TRUNC((I44*G44),2)</f>
        <v>16565.05</v>
      </c>
      <c r="L44" s="187"/>
    </row>
    <row r="45" spans="2:19" ht="45">
      <c r="B45" s="459" t="s">
        <v>6050</v>
      </c>
      <c r="C45" s="450" t="str">
        <f>QUANT!C185</f>
        <v>74010/1</v>
      </c>
      <c r="D45" s="450" t="str">
        <f>QUANT!D185</f>
        <v>SINAPI</v>
      </c>
      <c r="E45" s="639" t="str">
        <f>IFERROR(VLOOKUP($C45,'SINAPI MAIO 2020'!$1:$1048576,2,0),IFERROR(VLOOKUP($C45,'6-COMP. PROPRIA'!$B$1:$I$808,4,0),""))</f>
        <v>CARGA E DESCARGA MECANICA DE SOLO UTILIZANDO CAMINHAO BASCULANTE 6,0M3/16T E PA CARREGADEIRA SOBRE PNEUS 128 HP, CAPACIDADE DA CAÇAMBA 1,7 A 2,8 M3, PESO OPERACIONAL 11632 KG</v>
      </c>
      <c r="F45" s="638" t="str">
        <f>IFERROR(VLOOKUP($C45,'SINAPI MAIO 2020'!$1:$1048576,3,0),IFERROR(VLOOKUP($C45,'6-COMP. PROPRIA'!$B$1:$I$808,5,0),""))</f>
        <v>M3</v>
      </c>
      <c r="G45" s="452">
        <f>QUANT!K185</f>
        <v>419.9</v>
      </c>
      <c r="H45" s="452">
        <f>IFERROR(VLOOKUP($C45,'SINAPI MAIO 2020'!$1:$1048576,4,0),IFERROR(VLOOKUP($C45,'6-COMP. PROPRIA'!$B$1:$I$808,8,0),""))</f>
        <v>1.3</v>
      </c>
      <c r="I45" s="452">
        <f>TRUNC(($H45*'4-BDI'!$E$29),2)</f>
        <v>1.66</v>
      </c>
      <c r="J45" s="453">
        <f t="shared" ref="J45" si="12">TRUNC((G45*H45),2)</f>
        <v>545.87</v>
      </c>
      <c r="K45" s="454">
        <f t="shared" ref="K45" si="13">TRUNC((I45*G45),2)</f>
        <v>697.03</v>
      </c>
      <c r="L45" s="187"/>
    </row>
    <row r="46" spans="2:19" ht="15.75">
      <c r="B46" s="746" t="s">
        <v>4710</v>
      </c>
      <c r="C46" s="747"/>
      <c r="D46" s="747"/>
      <c r="E46" s="747"/>
      <c r="F46" s="747"/>
      <c r="G46" s="747"/>
      <c r="H46" s="747"/>
      <c r="I46" s="456"/>
      <c r="J46" s="457">
        <f>TRUNC(SUM(J44:J44),2)</f>
        <v>12920.32</v>
      </c>
      <c r="K46" s="457">
        <f>TRUNC(SUM(K44:K45),2)</f>
        <v>17262.080000000002</v>
      </c>
      <c r="L46" s="187"/>
      <c r="M46" s="202"/>
    </row>
    <row r="47" spans="2:19" s="187" customFormat="1" ht="15.75">
      <c r="B47" s="440" t="s">
        <v>5311</v>
      </c>
      <c r="C47" s="441"/>
      <c r="D47" s="442"/>
      <c r="E47" s="443" t="str">
        <f>QUANT!E187</f>
        <v xml:space="preserve">FUNDAÇÕES </v>
      </c>
      <c r="F47" s="444"/>
      <c r="G47" s="445"/>
      <c r="H47" s="446"/>
      <c r="I47" s="446"/>
      <c r="J47" s="447"/>
      <c r="K47" s="448"/>
    </row>
    <row r="48" spans="2:19" ht="15.75">
      <c r="B48" s="460" t="s">
        <v>5312</v>
      </c>
      <c r="C48" s="461"/>
      <c r="D48" s="461"/>
      <c r="E48" s="462" t="str">
        <f>QUANT!E189</f>
        <v xml:space="preserve">SAPATAS </v>
      </c>
      <c r="F48" s="463"/>
      <c r="G48" s="464"/>
      <c r="H48" s="465"/>
      <c r="I48" s="465"/>
      <c r="J48" s="466"/>
      <c r="K48" s="467"/>
      <c r="L48" s="187"/>
    </row>
    <row r="49" spans="2:13" s="187" customFormat="1" ht="30">
      <c r="B49" s="458" t="s">
        <v>6280</v>
      </c>
      <c r="C49" s="450">
        <f>QUANT!C191</f>
        <v>96523</v>
      </c>
      <c r="D49" s="450" t="str">
        <f>QUANT!D191</f>
        <v>SINAPI</v>
      </c>
      <c r="E49" s="639" t="str">
        <f>IFERROR(VLOOKUP($C49,'SINAPI MAIO 2020'!$1:$1048576,2,0),IFERROR(VLOOKUP($C49,'6-COMP. PROPRIA'!$B$1:$I$808,4,0),""))</f>
        <v>ESCAVAÇÃO MANUAL PARA BLOCO DE COROAMENTO OU SAPATA, COM PREVISÃO DE FÔRMA. AF_06/2017</v>
      </c>
      <c r="F49" s="638" t="str">
        <f>IFERROR(VLOOKUP($C49,'SINAPI MAIO 2020'!$1:$1048576,3,0),IFERROR(VLOOKUP($C49,'6-COMP. PROPRIA'!$B$1:$I$808,5,0),""))</f>
        <v>M3</v>
      </c>
      <c r="G49" s="452">
        <f>QUANT!K191</f>
        <v>28.473499999999994</v>
      </c>
      <c r="H49" s="452">
        <f>IFERROR(VLOOKUP($C49,'SINAPI MAIO 2020'!$1:$1048576,4,0),IFERROR(VLOOKUP($C49,'6-COMP. PROPRIA'!$B$1:$I$808,8,0),""))</f>
        <v>64.98</v>
      </c>
      <c r="I49" s="452">
        <f>TRUNC(($H49*'4-BDI'!$E$29),2)</f>
        <v>83.33</v>
      </c>
      <c r="J49" s="453">
        <f t="shared" ref="J49" si="14">TRUNC((G49*H49),2)</f>
        <v>1850.2</v>
      </c>
      <c r="K49" s="454">
        <f t="shared" ref="K49" si="15">TRUNC((I49*G49),2)</f>
        <v>2372.69</v>
      </c>
    </row>
    <row r="50" spans="2:13" s="187" customFormat="1" ht="30">
      <c r="B50" s="458" t="s">
        <v>6281</v>
      </c>
      <c r="C50" s="450">
        <f>QUANT!C198</f>
        <v>96617</v>
      </c>
      <c r="D50" s="450" t="str">
        <f>QUANT!D198</f>
        <v>SINAPI</v>
      </c>
      <c r="E50" s="639" t="str">
        <f>IFERROR(VLOOKUP($C50,'SINAPI MAIO 2020'!$1:$1048576,2,0),IFERROR(VLOOKUP($C50,'6-COMP. PROPRIA'!$B$1:$I$808,4,0),""))</f>
        <v>LASTRO DE CONCRETO MAGRO, APLICADO EM BLOCOS DE COROAMENTO OU SAPATAS, ESPESSURA DE 3 CM. AF_08/2017</v>
      </c>
      <c r="F50" s="638" t="str">
        <f>IFERROR(VLOOKUP($C50,'SINAPI MAIO 2020'!$1:$1048576,3,0),IFERROR(VLOOKUP($C50,'6-COMP. PROPRIA'!$B$1:$I$808,5,0),""))</f>
        <v>M2</v>
      </c>
      <c r="G50" s="452">
        <f>QUANT!K198</f>
        <v>13.829999999999998</v>
      </c>
      <c r="H50" s="452">
        <f>IFERROR(VLOOKUP($C50,'SINAPI MAIO 2020'!$1:$1048576,4,0),IFERROR(VLOOKUP($C50,'6-COMP. PROPRIA'!$B$1:$I$808,8,0),""))</f>
        <v>12.63</v>
      </c>
      <c r="I50" s="452">
        <f>TRUNC(($H50*'4-BDI'!$E$29),2)</f>
        <v>16.190000000000001</v>
      </c>
      <c r="J50" s="453">
        <f t="shared" ref="J50:J54" si="16">TRUNC((G50*H50),2)</f>
        <v>174.67</v>
      </c>
      <c r="K50" s="454">
        <f t="shared" ref="K50:K54" si="17">TRUNC((I50*G50),2)</f>
        <v>223.9</v>
      </c>
    </row>
    <row r="51" spans="2:13" s="187" customFormat="1" ht="30">
      <c r="B51" s="458" t="s">
        <v>6282</v>
      </c>
      <c r="C51" s="450">
        <f>QUANT!C205</f>
        <v>94965</v>
      </c>
      <c r="D51" s="450" t="str">
        <f>QUANT!D205</f>
        <v>SINAPI</v>
      </c>
      <c r="E51" s="639" t="str">
        <f>IFERROR(VLOOKUP($C51,'SINAPI MAIO 2020'!$1:$1048576,2,0),IFERROR(VLOOKUP($C51,'6-COMP. PROPRIA'!$B$1:$I$808,4,0),""))</f>
        <v>CONCRETO FCK = 25MPA, TRAÇO 1:2,3:2,7 (CIMENTO/ AREIA MÉDIA/ BRITA 1)  - PREPARO MECÂNICO COM BETONEIRA 400 L. AF_07/2016</v>
      </c>
      <c r="F51" s="638" t="str">
        <f>IFERROR(VLOOKUP($C51,'SINAPI MAIO 2020'!$1:$1048576,3,0),IFERROR(VLOOKUP($C51,'6-COMP. PROPRIA'!$B$1:$I$808,5,0),""))</f>
        <v>M3</v>
      </c>
      <c r="G51" s="452">
        <f>QUANT!K205</f>
        <v>8.31</v>
      </c>
      <c r="H51" s="452">
        <f>IFERROR(VLOOKUP($C51,'SINAPI MAIO 2020'!$1:$1048576,4,0),IFERROR(VLOOKUP($C51,'6-COMP. PROPRIA'!$B$1:$I$808,8,0),""))</f>
        <v>323.58</v>
      </c>
      <c r="I51" s="452">
        <f>TRUNC(($H51*'4-BDI'!$E$29),2)</f>
        <v>414.95</v>
      </c>
      <c r="J51" s="453">
        <f t="shared" si="16"/>
        <v>2688.94</v>
      </c>
      <c r="K51" s="454">
        <f t="shared" si="17"/>
        <v>3448.23</v>
      </c>
    </row>
    <row r="52" spans="2:13" s="187" customFormat="1" ht="30">
      <c r="B52" s="458" t="s">
        <v>6283</v>
      </c>
      <c r="C52" s="450">
        <f>QUANT!C213</f>
        <v>92873</v>
      </c>
      <c r="D52" s="450" t="str">
        <f>QUANT!D213</f>
        <v>SINAPI</v>
      </c>
      <c r="E52" s="639" t="str">
        <f>IFERROR(VLOOKUP($C52,'SINAPI MAIO 2020'!$1:$1048576,2,0),IFERROR(VLOOKUP($C52,'6-COMP. PROPRIA'!$B$1:$I$808,4,0),""))</f>
        <v>LANÇAMENTO COM USO DE BALDES, ADENSAMENTO E ACABAMENTO DE CONCRETO EM ESTRUTURAS. AF_12/2015</v>
      </c>
      <c r="F52" s="638" t="str">
        <f>IFERROR(VLOOKUP($C52,'SINAPI MAIO 2020'!$1:$1048576,3,0),IFERROR(VLOOKUP($C52,'6-COMP. PROPRIA'!$B$1:$I$808,5,0),""))</f>
        <v>M3</v>
      </c>
      <c r="G52" s="452">
        <f>QUANT!K213</f>
        <v>8.31</v>
      </c>
      <c r="H52" s="452">
        <f>IFERROR(VLOOKUP($C52,'SINAPI MAIO 2020'!$1:$1048576,4,0),IFERROR(VLOOKUP($C52,'6-COMP. PROPRIA'!$B$1:$I$808,8,0),""))</f>
        <v>146.37</v>
      </c>
      <c r="I52" s="452">
        <f>TRUNC(($H52*'4-BDI'!$E$29),2)</f>
        <v>187.7</v>
      </c>
      <c r="J52" s="453">
        <f t="shared" si="16"/>
        <v>1216.33</v>
      </c>
      <c r="K52" s="454">
        <f t="shared" si="17"/>
        <v>1559.78</v>
      </c>
    </row>
    <row r="53" spans="2:13" s="187" customFormat="1" ht="30">
      <c r="B53" s="458" t="s">
        <v>6284</v>
      </c>
      <c r="C53" s="450">
        <f>QUANT!C216</f>
        <v>96546</v>
      </c>
      <c r="D53" s="450" t="str">
        <f>QUANT!D216</f>
        <v>SINAPI</v>
      </c>
      <c r="E53" s="639" t="str">
        <f>IFERROR(VLOOKUP($C53,'SINAPI MAIO 2020'!$1:$1048576,2,0),IFERROR(VLOOKUP($C53,'6-COMP. PROPRIA'!$B$1:$I$808,4,0),""))</f>
        <v>ARMAÇÃO DE BLOCO, VIGA BALDRAME OU SAPATA UTILIZANDO AÇO CA-50 DE 10 MM - MONTAGEM. AF_06/2017</v>
      </c>
      <c r="F53" s="638" t="str">
        <f>IFERROR(VLOOKUP($C53,'SINAPI MAIO 2020'!$1:$1048576,3,0),IFERROR(VLOOKUP($C53,'6-COMP. PROPRIA'!$B$1:$I$808,5,0),""))</f>
        <v>KG</v>
      </c>
      <c r="G53" s="452">
        <f>QUANT!K216</f>
        <v>207.6</v>
      </c>
      <c r="H53" s="452">
        <f>IFERROR(VLOOKUP($C53,'SINAPI MAIO 2020'!$1:$1048576,4,0),IFERROR(VLOOKUP($C53,'6-COMP. PROPRIA'!$B$1:$I$808,8,0),""))</f>
        <v>8.31</v>
      </c>
      <c r="I53" s="452">
        <f>TRUNC(($H53*'4-BDI'!$E$29),2)</f>
        <v>10.65</v>
      </c>
      <c r="J53" s="453">
        <f t="shared" si="16"/>
        <v>1725.15</v>
      </c>
      <c r="K53" s="454">
        <f t="shared" si="17"/>
        <v>2210.94</v>
      </c>
    </row>
    <row r="54" spans="2:13" s="187" customFormat="1" ht="30">
      <c r="B54" s="458" t="s">
        <v>6285</v>
      </c>
      <c r="C54" s="450">
        <f>QUANT!C218</f>
        <v>96547</v>
      </c>
      <c r="D54" s="450" t="str">
        <f>QUANT!D218</f>
        <v>SINAPI</v>
      </c>
      <c r="E54" s="639" t="str">
        <f>IFERROR(VLOOKUP($C54,'SINAPI MAIO 2020'!$1:$1048576,2,0),IFERROR(VLOOKUP($C54,'6-COMP. PROPRIA'!$B$1:$I$808,4,0),""))</f>
        <v>ARMAÇÃO DE BLOCO, VIGA BALDRAME OU SAPATA UTILIZANDO AÇO CA-50 DE 12,5 MM - MONTAGEM. AF_06/2017</v>
      </c>
      <c r="F54" s="638" t="str">
        <f>IFERROR(VLOOKUP($C54,'SINAPI MAIO 2020'!$1:$1048576,3,0),IFERROR(VLOOKUP($C54,'6-COMP. PROPRIA'!$B$1:$I$808,5,0),""))</f>
        <v>KG</v>
      </c>
      <c r="G54" s="452">
        <f>QUANT!K218</f>
        <v>156.1</v>
      </c>
      <c r="H54" s="452">
        <f>IFERROR(VLOOKUP($C54,'SINAPI MAIO 2020'!$1:$1048576,4,0),IFERROR(VLOOKUP($C54,'6-COMP. PROPRIA'!$B$1:$I$808,8,0),""))</f>
        <v>6.95</v>
      </c>
      <c r="I54" s="452">
        <f>TRUNC(($H54*'4-BDI'!$E$29),2)</f>
        <v>8.91</v>
      </c>
      <c r="J54" s="453">
        <f t="shared" si="16"/>
        <v>1084.8900000000001</v>
      </c>
      <c r="K54" s="454">
        <f t="shared" si="17"/>
        <v>1390.85</v>
      </c>
      <c r="L54" s="398"/>
    </row>
    <row r="55" spans="2:13" s="187" customFormat="1" ht="45">
      <c r="B55" s="458" t="s">
        <v>6286</v>
      </c>
      <c r="C55" s="450">
        <f>QUANT!C220</f>
        <v>92778</v>
      </c>
      <c r="D55" s="450" t="str">
        <f>QUANT!D220</f>
        <v>SINAPI</v>
      </c>
      <c r="E55" s="639" t="str">
        <f>IFERROR(VLOOKUP($C55,'SINAPI MAIO 2020'!$1:$1048576,2,0),IFERROR(VLOOKUP($C55,'6-COMP. PROPRIA'!$B$1:$I$808,4,0),""))</f>
        <v>ARMAÇÃO DE PILAR OU VIGA DE UMA ESTRUTURA CONVENCIONAL DE CONCRETO ARMADO EM UMA EDIFICAÇÃO TÉRREA OU SOBRADO UTILIZANDO AÇO CA-50 DE 10,0 MM - MONTAGEM. AF_12/2015</v>
      </c>
      <c r="F55" s="638" t="str">
        <f>IFERROR(VLOOKUP($C55,'SINAPI MAIO 2020'!$1:$1048576,3,0),IFERROR(VLOOKUP($C55,'6-COMP. PROPRIA'!$B$1:$I$808,5,0),""))</f>
        <v>KG</v>
      </c>
      <c r="G55" s="452">
        <f>QUANT!K220</f>
        <v>116.8</v>
      </c>
      <c r="H55" s="452">
        <f>IFERROR(VLOOKUP($C55,'SINAPI MAIO 2020'!$1:$1048576,4,0),IFERROR(VLOOKUP($C55,'6-COMP. PROPRIA'!$B$1:$I$808,8,0),""))</f>
        <v>8.26</v>
      </c>
      <c r="I55" s="452">
        <f>TRUNC(($H55*'4-BDI'!$E$29),2)</f>
        <v>10.59</v>
      </c>
      <c r="J55" s="453">
        <f t="shared" ref="J55:J57" si="18">TRUNC((G55*H55),2)</f>
        <v>964.76</v>
      </c>
      <c r="K55" s="454">
        <f t="shared" ref="K55:K57" si="19">TRUNC((I55*G55),2)</f>
        <v>1236.9100000000001</v>
      </c>
    </row>
    <row r="56" spans="2:13" s="187" customFormat="1" ht="45">
      <c r="B56" s="458" t="s">
        <v>6287</v>
      </c>
      <c r="C56" s="450">
        <f>QUANT!C222</f>
        <v>92779</v>
      </c>
      <c r="D56" s="450" t="str">
        <f>QUANT!D222</f>
        <v>SINAPI</v>
      </c>
      <c r="E56" s="639" t="str">
        <f>IFERROR(VLOOKUP($C56,'SINAPI MAIO 2020'!$1:$1048576,2,0),IFERROR(VLOOKUP($C56,'6-COMP. PROPRIA'!$B$1:$I$808,4,0),""))</f>
        <v>ARMAÇÃO DE PILAR OU VIGA DE UMA ESTRUTURA CONVENCIONAL DE CONCRETO ARMADO EM UMA EDIFICAÇÃO TÉRREA OU SOBRADO UTILIZANDO AÇO CA-50 DE 12,5 MM - MONTAGEM. AF_12/2015</v>
      </c>
      <c r="F56" s="638" t="str">
        <f>IFERROR(VLOOKUP($C56,'SINAPI MAIO 2020'!$1:$1048576,3,0),IFERROR(VLOOKUP($C56,'6-COMP. PROPRIA'!$B$1:$I$808,5,0),""))</f>
        <v>KG</v>
      </c>
      <c r="G56" s="452">
        <f>QUANT!K222</f>
        <v>74.2</v>
      </c>
      <c r="H56" s="452">
        <f>IFERROR(VLOOKUP($C56,'SINAPI MAIO 2020'!$1:$1048576,4,0),IFERROR(VLOOKUP($C56,'6-COMP. PROPRIA'!$B$1:$I$808,8,0),""))</f>
        <v>6.84</v>
      </c>
      <c r="I56" s="452">
        <f>TRUNC(($H56*'4-BDI'!$E$29),2)</f>
        <v>8.77</v>
      </c>
      <c r="J56" s="453">
        <f t="shared" si="18"/>
        <v>507.52</v>
      </c>
      <c r="K56" s="454">
        <f t="shared" si="19"/>
        <v>650.73</v>
      </c>
    </row>
    <row r="57" spans="2:13" s="187" customFormat="1" ht="45">
      <c r="B57" s="458" t="s">
        <v>6288</v>
      </c>
      <c r="C57" s="450">
        <f>QUANT!C224</f>
        <v>92775</v>
      </c>
      <c r="D57" s="450" t="str">
        <f>QUANT!D224</f>
        <v>SINAPI</v>
      </c>
      <c r="E57" s="639" t="str">
        <f>IFERROR(VLOOKUP($C57,'SINAPI MAIO 2020'!$1:$1048576,2,0),IFERROR(VLOOKUP($C57,'6-COMP. PROPRIA'!$B$1:$I$808,4,0),""))</f>
        <v>ARMAÇÃO DE PILAR OU VIGA DE UMA ESTRUTURA CONVENCIONAL DE CONCRETO ARMADO EM UMA EDIFICAÇÃO TÉRREA OU SOBRADO UTILIZANDO AÇO CA-60 DE 5,0 MM - MONTAGEM. AF_12/2015</v>
      </c>
      <c r="F57" s="638" t="str">
        <f>IFERROR(VLOOKUP($C57,'SINAPI MAIO 2020'!$1:$1048576,3,0),IFERROR(VLOOKUP($C57,'6-COMP. PROPRIA'!$B$1:$I$808,5,0),""))</f>
        <v>KG</v>
      </c>
      <c r="G57" s="452">
        <f>QUANT!K224</f>
        <v>40.9</v>
      </c>
      <c r="H57" s="452">
        <f>IFERROR(VLOOKUP($C57,'SINAPI MAIO 2020'!$1:$1048576,4,0),IFERROR(VLOOKUP($C57,'6-COMP. PROPRIA'!$B$1:$I$808,8,0),""))</f>
        <v>11.65</v>
      </c>
      <c r="I57" s="452">
        <f>TRUNC(($H57*'4-BDI'!$E$29),2)</f>
        <v>14.93</v>
      </c>
      <c r="J57" s="453">
        <f t="shared" si="18"/>
        <v>476.48</v>
      </c>
      <c r="K57" s="454">
        <f t="shared" si="19"/>
        <v>610.63</v>
      </c>
    </row>
    <row r="58" spans="2:13" s="187" customFormat="1" ht="30">
      <c r="B58" s="458" t="s">
        <v>6289</v>
      </c>
      <c r="C58" s="450">
        <f>QUANT!C227</f>
        <v>96535</v>
      </c>
      <c r="D58" s="450" t="str">
        <f>QUANT!D227</f>
        <v>SINAPI</v>
      </c>
      <c r="E58" s="639" t="str">
        <f>IFERROR(VLOOKUP($C58,'SINAPI MAIO 2020'!$1:$1048576,2,0),IFERROR(VLOOKUP($C58,'6-COMP. PROPRIA'!$B$1:$I$808,4,0),""))</f>
        <v>FABRICAÇÃO, MONTAGEM E DESMONTAGEM DE FÔRMA PARA SAPATA, EM MADEIRA SERRADA, E=25 MM, 4 UTILIZAÇÕES. AF_06/2017</v>
      </c>
      <c r="F58" s="638" t="str">
        <f>IFERROR(VLOOKUP($C58,'SINAPI MAIO 2020'!$1:$1048576,3,0),IFERROR(VLOOKUP($C58,'6-COMP. PROPRIA'!$B$1:$I$808,5,0),""))</f>
        <v>M2</v>
      </c>
      <c r="G58" s="452">
        <f>QUANT!K227</f>
        <v>36.22</v>
      </c>
      <c r="H58" s="452">
        <f>IFERROR(VLOOKUP($C58,'SINAPI MAIO 2020'!$1:$1048576,4,0),IFERROR(VLOOKUP($C58,'6-COMP. PROPRIA'!$B$1:$I$808,8,0),""))</f>
        <v>88.14</v>
      </c>
      <c r="I58" s="452">
        <f>TRUNC(($H58*'4-BDI'!$E$29),2)</f>
        <v>113.03</v>
      </c>
      <c r="J58" s="453">
        <f t="shared" ref="J58:J62" si="20">TRUNC((G58*H58),2)</f>
        <v>3192.43</v>
      </c>
      <c r="K58" s="454">
        <f t="shared" ref="K58:K62" si="21">TRUNC((I58*G58),2)</f>
        <v>4093.94</v>
      </c>
    </row>
    <row r="59" spans="2:13" s="187" customFormat="1" ht="30">
      <c r="B59" s="458" t="s">
        <v>6290</v>
      </c>
      <c r="C59" s="450">
        <f>QUANT!C230</f>
        <v>98557</v>
      </c>
      <c r="D59" s="450" t="str">
        <f>QUANT!D230</f>
        <v>SINAPI</v>
      </c>
      <c r="E59" s="639" t="str">
        <f>IFERROR(VLOOKUP($C59,'SINAPI MAIO 2020'!$1:$1048576,2,0),IFERROR(VLOOKUP($C59,'6-COMP. PROPRIA'!$B$1:$I$808,4,0),""))</f>
        <v>IMPERMEABILIZAÇÃO DE SUPERFÍCIE COM EMULSÃO ASFÁLTICA, 2 DEMÃOS AF_06/2018</v>
      </c>
      <c r="F59" s="638" t="str">
        <f>IFERROR(VLOOKUP($C59,'SINAPI MAIO 2020'!$1:$1048576,3,0),IFERROR(VLOOKUP($C59,'6-COMP. PROPRIA'!$B$1:$I$808,5,0),""))</f>
        <v>M2</v>
      </c>
      <c r="G59" s="452">
        <f>QUANT!K230</f>
        <v>81.52</v>
      </c>
      <c r="H59" s="452">
        <f>IFERROR(VLOOKUP($C59,'SINAPI MAIO 2020'!$1:$1048576,4,0),IFERROR(VLOOKUP($C59,'6-COMP. PROPRIA'!$B$1:$I$808,8,0),""))</f>
        <v>23.61</v>
      </c>
      <c r="I59" s="452">
        <f>TRUNC(($H59*'4-BDI'!$E$29),2)</f>
        <v>30.27</v>
      </c>
      <c r="J59" s="453">
        <f t="shared" si="20"/>
        <v>1924.68</v>
      </c>
      <c r="K59" s="454">
        <f t="shared" si="21"/>
        <v>2467.61</v>
      </c>
    </row>
    <row r="60" spans="2:13" s="187" customFormat="1" ht="30">
      <c r="B60" s="458" t="s">
        <v>6291</v>
      </c>
      <c r="C60" s="450">
        <f>QUANT!C236</f>
        <v>93382</v>
      </c>
      <c r="D60" s="450" t="str">
        <f>QUANT!D236</f>
        <v>SINAPI</v>
      </c>
      <c r="E60" s="639" t="str">
        <f>IFERROR(VLOOKUP($C60,'SINAPI MAIO 2020'!$1:$1048576,2,0),IFERROR(VLOOKUP($C60,'6-COMP. PROPRIA'!$B$1:$I$808,4,0),""))</f>
        <v>REATERRO MANUAL DE VALAS COM COMPACTAÇÃO MECANIZADA. AF_04/2016</v>
      </c>
      <c r="F60" s="638" t="str">
        <f>IFERROR(VLOOKUP($C60,'SINAPI MAIO 2020'!$1:$1048576,3,0),IFERROR(VLOOKUP($C60,'6-COMP. PROPRIA'!$B$1:$I$808,5,0),""))</f>
        <v>M3</v>
      </c>
      <c r="G60" s="452">
        <f>QUANT!K236</f>
        <v>20.163499999999992</v>
      </c>
      <c r="H60" s="452">
        <f>IFERROR(VLOOKUP($C60,'SINAPI MAIO 2020'!$1:$1048576,4,0),IFERROR(VLOOKUP($C60,'6-COMP. PROPRIA'!$B$1:$I$808,8,0),""))</f>
        <v>19.22</v>
      </c>
      <c r="I60" s="452">
        <f>TRUNC(($H60*'4-BDI'!$E$29),2)</f>
        <v>24.64</v>
      </c>
      <c r="J60" s="453">
        <f t="shared" si="20"/>
        <v>387.54</v>
      </c>
      <c r="K60" s="454">
        <f t="shared" si="21"/>
        <v>496.82</v>
      </c>
    </row>
    <row r="61" spans="2:13" s="187" customFormat="1" ht="15">
      <c r="B61" s="458" t="s">
        <v>6292</v>
      </c>
      <c r="C61" s="450">
        <f>QUANT!C241</f>
        <v>72897</v>
      </c>
      <c r="D61" s="450" t="str">
        <f>QUANT!D241</f>
        <v>SINAPI</v>
      </c>
      <c r="E61" s="639" t="str">
        <f>IFERROR(VLOOKUP($C61,'SINAPI MAIO 2020'!$1:$1048576,2,0),IFERROR(VLOOKUP($C61,'6-COMP. PROPRIA'!$B$1:$I$808,4,0),""))</f>
        <v>CARGA MANUAL DE ENTULHO EM CAMINHAO BASCULANTE 6 M3</v>
      </c>
      <c r="F61" s="638" t="str">
        <f>IFERROR(VLOOKUP($C61,'SINAPI MAIO 2020'!$1:$1048576,3,0),IFERROR(VLOOKUP($C61,'6-COMP. PROPRIA'!$B$1:$I$808,5,0),""))</f>
        <v>M3</v>
      </c>
      <c r="G61" s="452">
        <f>QUANT!K241</f>
        <v>10.803000000000001</v>
      </c>
      <c r="H61" s="452">
        <f>IFERROR(VLOOKUP($C61,'SINAPI MAIO 2020'!$1:$1048576,4,0),IFERROR(VLOOKUP($C61,'6-COMP. PROPRIA'!$B$1:$I$808,8,0),""))</f>
        <v>17.510000000000002</v>
      </c>
      <c r="I61" s="452">
        <f>TRUNC(($H61*'4-BDI'!$E$29),2)</f>
        <v>22.45</v>
      </c>
      <c r="J61" s="453">
        <f t="shared" si="20"/>
        <v>189.16</v>
      </c>
      <c r="K61" s="454">
        <f t="shared" si="21"/>
        <v>242.52</v>
      </c>
    </row>
    <row r="62" spans="2:13" s="187" customFormat="1" ht="30">
      <c r="B62" s="458" t="s">
        <v>12565</v>
      </c>
      <c r="C62" s="450">
        <f>QUANT!C245</f>
        <v>97916</v>
      </c>
      <c r="D62" s="450" t="str">
        <f>QUANT!D245</f>
        <v>SINAPI</v>
      </c>
      <c r="E62" s="639" t="str">
        <f>IFERROR(VLOOKUP($C62,'SINAPI MAIO 2020'!$1:$1048576,2,0),IFERROR(VLOOKUP($C62,'6-COMP. PROPRIA'!$B$1:$I$808,4,0),""))</f>
        <v>TRANSPORTE COM CAMINHÃO BASCULANTE DE 6 M3, EM VIA URBANA EM LEITO NATURAL (UNIDADE: TXKM). AF_01/2018</v>
      </c>
      <c r="F62" s="638" t="str">
        <f>IFERROR(VLOOKUP($C62,'SINAPI MAIO 2020'!$1:$1048576,3,0),IFERROR(VLOOKUP($C62,'6-COMP. PROPRIA'!$B$1:$I$808,5,0),""))</f>
        <v>TXKM</v>
      </c>
      <c r="G62" s="452">
        <f>QUANT!K245</f>
        <v>270.07500000000005</v>
      </c>
      <c r="H62" s="452">
        <f>IFERROR(VLOOKUP($C62,'SINAPI MAIO 2020'!$1:$1048576,4,0),IFERROR(VLOOKUP($C62,'6-COMP. PROPRIA'!$B$1:$I$808,8,0),""))</f>
        <v>1</v>
      </c>
      <c r="I62" s="452">
        <f>TRUNC(($H62*'4-BDI'!$E$29),2)</f>
        <v>1.28</v>
      </c>
      <c r="J62" s="453">
        <f t="shared" si="20"/>
        <v>270.07</v>
      </c>
      <c r="K62" s="454">
        <f t="shared" si="21"/>
        <v>345.69</v>
      </c>
      <c r="M62" s="398"/>
    </row>
    <row r="63" spans="2:13" s="187" customFormat="1" ht="15.75">
      <c r="B63" s="746" t="s">
        <v>12564</v>
      </c>
      <c r="C63" s="747"/>
      <c r="D63" s="747"/>
      <c r="E63" s="747"/>
      <c r="F63" s="747"/>
      <c r="G63" s="747"/>
      <c r="H63" s="747"/>
      <c r="I63" s="456"/>
      <c r="J63" s="457">
        <f>TRUNC(SUM(J49:J62),2)</f>
        <v>16652.82</v>
      </c>
      <c r="K63" s="457">
        <f>TRUNC(SUM(K49:K62),2)</f>
        <v>21351.24</v>
      </c>
    </row>
    <row r="64" spans="2:13" s="187" customFormat="1" ht="15.75">
      <c r="B64" s="460" t="s">
        <v>5313</v>
      </c>
      <c r="C64" s="461"/>
      <c r="D64" s="461"/>
      <c r="E64" s="462" t="str">
        <f>QUANT!E250</f>
        <v>VIGAS BALDRAMES</v>
      </c>
      <c r="F64" s="463"/>
      <c r="G64" s="464"/>
      <c r="H64" s="465"/>
      <c r="I64" s="465"/>
      <c r="J64" s="466"/>
      <c r="K64" s="467"/>
    </row>
    <row r="65" spans="2:11" s="187" customFormat="1" ht="30">
      <c r="B65" s="458" t="s">
        <v>6293</v>
      </c>
      <c r="C65" s="450">
        <f>QUANT!C251</f>
        <v>96527</v>
      </c>
      <c r="D65" s="450" t="str">
        <f>QUANT!D251</f>
        <v>SINAPI</v>
      </c>
      <c r="E65" s="639" t="str">
        <f>IFERROR(VLOOKUP($C65,'SINAPI MAIO 2020'!$1:$1048576,2,0),IFERROR(VLOOKUP($C65,'6-COMP. PROPRIA'!$B$1:$I$808,4,0),""))</f>
        <v>ESCAVAÇÃO MANUAL DE VALA PARA VIGA BALDRAME, COM PREVISÃO DE FÔRMA. AF_06/2017</v>
      </c>
      <c r="F65" s="638" t="str">
        <f>IFERROR(VLOOKUP($C65,'SINAPI MAIO 2020'!$1:$1048576,3,0),IFERROR(VLOOKUP($C65,'6-COMP. PROPRIA'!$B$1:$I$808,5,0),""))</f>
        <v>M3</v>
      </c>
      <c r="G65" s="452">
        <f>QUANT!K251</f>
        <v>12.786149999999999</v>
      </c>
      <c r="H65" s="452">
        <f>IFERROR(VLOOKUP($C65,'SINAPI MAIO 2020'!$1:$1048576,4,0),IFERROR(VLOOKUP($C65,'6-COMP. PROPRIA'!$B$1:$I$808,8,0),""))</f>
        <v>85.37</v>
      </c>
      <c r="I65" s="452">
        <f>TRUNC(($H65*'4-BDI'!$E$29),2)</f>
        <v>109.47</v>
      </c>
      <c r="J65" s="453">
        <f t="shared" ref="J65" si="22">TRUNC((G65*H65),2)</f>
        <v>1091.55</v>
      </c>
      <c r="K65" s="454">
        <f t="shared" ref="K65" si="23">TRUNC((I65*G65),2)</f>
        <v>1399.69</v>
      </c>
    </row>
    <row r="66" spans="2:11" s="187" customFormat="1" ht="30">
      <c r="B66" s="458" t="s">
        <v>6294</v>
      </c>
      <c r="C66" s="450">
        <f>QUANT!C268</f>
        <v>96617</v>
      </c>
      <c r="D66" s="450" t="str">
        <f>QUANT!D268</f>
        <v>SINAPI</v>
      </c>
      <c r="E66" s="639" t="str">
        <f>IFERROR(VLOOKUP($C66,'SINAPI MAIO 2020'!$1:$1048576,2,0),IFERROR(VLOOKUP($C66,'6-COMP. PROPRIA'!$B$1:$I$808,4,0),""))</f>
        <v>LASTRO DE CONCRETO MAGRO, APLICADO EM BLOCOS DE COROAMENTO OU SAPATAS, ESPESSURA DE 3 CM. AF_08/2017</v>
      </c>
      <c r="F66" s="638" t="str">
        <f>IFERROR(VLOOKUP($C66,'SINAPI MAIO 2020'!$1:$1048576,3,0),IFERROR(VLOOKUP($C66,'6-COMP. PROPRIA'!$B$1:$I$808,5,0),""))</f>
        <v>M2</v>
      </c>
      <c r="G66" s="452">
        <f>QUANT!K268</f>
        <v>13.478249999999999</v>
      </c>
      <c r="H66" s="452">
        <f>IFERROR(VLOOKUP($C66,'SINAPI MAIO 2020'!$1:$1048576,4,0),IFERROR(VLOOKUP($C66,'6-COMP. PROPRIA'!$B$1:$I$808,8,0),""))</f>
        <v>12.63</v>
      </c>
      <c r="I66" s="452">
        <f>TRUNC(($H66*'4-BDI'!$E$29),2)</f>
        <v>16.190000000000001</v>
      </c>
      <c r="J66" s="453">
        <f t="shared" ref="J66:J77" si="24">TRUNC((G66*H66),2)</f>
        <v>170.23</v>
      </c>
      <c r="K66" s="454">
        <f t="shared" ref="K66:K77" si="25">TRUNC((I66*G66),2)</f>
        <v>218.21</v>
      </c>
    </row>
    <row r="67" spans="2:11" s="187" customFormat="1" ht="30">
      <c r="B67" s="458" t="s">
        <v>6295</v>
      </c>
      <c r="C67" s="450">
        <f>QUANT!C285</f>
        <v>94965</v>
      </c>
      <c r="D67" s="450" t="str">
        <f>QUANT!D285</f>
        <v>SINAPI</v>
      </c>
      <c r="E67" s="639" t="str">
        <f>IFERROR(VLOOKUP($C67,'SINAPI MAIO 2020'!$1:$1048576,2,0),IFERROR(VLOOKUP($C67,'6-COMP. PROPRIA'!$B$1:$I$808,4,0),""))</f>
        <v>CONCRETO FCK = 25MPA, TRAÇO 1:2,3:2,7 (CIMENTO/ AREIA MÉDIA/ BRITA 1)  - PREPARO MECÂNICO COM BETONEIRA 400 L. AF_07/2016</v>
      </c>
      <c r="F67" s="638" t="str">
        <f>IFERROR(VLOOKUP($C67,'SINAPI MAIO 2020'!$1:$1048576,3,0),IFERROR(VLOOKUP($C67,'6-COMP. PROPRIA'!$B$1:$I$808,5,0),""))</f>
        <v>M3</v>
      </c>
      <c r="G67" s="452">
        <f>QUANT!K285</f>
        <v>4.6399999999999997</v>
      </c>
      <c r="H67" s="452">
        <f>IFERROR(VLOOKUP($C67,'SINAPI MAIO 2020'!$1:$1048576,4,0),IFERROR(VLOOKUP($C67,'6-COMP. PROPRIA'!$B$1:$I$808,8,0),""))</f>
        <v>323.58</v>
      </c>
      <c r="I67" s="452">
        <f>TRUNC(($H67*'4-BDI'!$E$29),2)</f>
        <v>414.95</v>
      </c>
      <c r="J67" s="453">
        <f t="shared" si="24"/>
        <v>1501.41</v>
      </c>
      <c r="K67" s="454">
        <f t="shared" si="25"/>
        <v>1925.36</v>
      </c>
    </row>
    <row r="68" spans="2:11" s="187" customFormat="1" ht="30">
      <c r="B68" s="458" t="s">
        <v>6296</v>
      </c>
      <c r="C68" s="450">
        <f>QUANT!C291</f>
        <v>92873</v>
      </c>
      <c r="D68" s="450" t="str">
        <f>QUANT!D291</f>
        <v>SINAPI</v>
      </c>
      <c r="E68" s="639" t="str">
        <f>IFERROR(VLOOKUP($C68,'SINAPI MAIO 2020'!$1:$1048576,2,0),IFERROR(VLOOKUP($C68,'6-COMP. PROPRIA'!$B$1:$I$808,4,0),""))</f>
        <v>LANÇAMENTO COM USO DE BALDES, ADENSAMENTO E ACABAMENTO DE CONCRETO EM ESTRUTURAS. AF_12/2015</v>
      </c>
      <c r="F68" s="638" t="str">
        <f>IFERROR(VLOOKUP($C68,'SINAPI MAIO 2020'!$1:$1048576,3,0),IFERROR(VLOOKUP($C68,'6-COMP. PROPRIA'!$B$1:$I$808,5,0),""))</f>
        <v>M3</v>
      </c>
      <c r="G68" s="452">
        <f>QUANT!K291</f>
        <v>4.6399999999999997</v>
      </c>
      <c r="H68" s="452">
        <f>IFERROR(VLOOKUP($C68,'SINAPI MAIO 2020'!$1:$1048576,4,0),IFERROR(VLOOKUP($C68,'6-COMP. PROPRIA'!$B$1:$I$808,8,0),""))</f>
        <v>146.37</v>
      </c>
      <c r="I68" s="452">
        <f>TRUNC(($H68*'4-BDI'!$E$29),2)</f>
        <v>187.7</v>
      </c>
      <c r="J68" s="453">
        <f t="shared" si="24"/>
        <v>679.15</v>
      </c>
      <c r="K68" s="454">
        <f t="shared" si="25"/>
        <v>870.92</v>
      </c>
    </row>
    <row r="69" spans="2:11" s="187" customFormat="1" ht="30">
      <c r="B69" s="458" t="s">
        <v>6297</v>
      </c>
      <c r="C69" s="450">
        <f>QUANT!C293</f>
        <v>96543</v>
      </c>
      <c r="D69" s="450" t="str">
        <f>QUANT!D293</f>
        <v>SINAPI</v>
      </c>
      <c r="E69" s="639" t="str">
        <f>IFERROR(VLOOKUP($C69,'SINAPI MAIO 2020'!$1:$1048576,2,0),IFERROR(VLOOKUP($C69,'6-COMP. PROPRIA'!$B$1:$I$808,4,0),""))</f>
        <v>ARMAÇÃO DE BLOCO, VIGA BALDRAME E SAPATA UTILIZANDO AÇO CA-60 DE 5 MM - MONTAGEM. AF_06/2017</v>
      </c>
      <c r="F69" s="638" t="str">
        <f>IFERROR(VLOOKUP($C69,'SINAPI MAIO 2020'!$1:$1048576,3,0),IFERROR(VLOOKUP($C69,'6-COMP. PROPRIA'!$B$1:$I$808,5,0),""))</f>
        <v>KG</v>
      </c>
      <c r="G69" s="452">
        <f>QUANT!K293</f>
        <v>78.599999999999994</v>
      </c>
      <c r="H69" s="452">
        <f>IFERROR(VLOOKUP($C69,'SINAPI MAIO 2020'!$1:$1048576,4,0),IFERROR(VLOOKUP($C69,'6-COMP. PROPRIA'!$B$1:$I$808,8,0),""))</f>
        <v>11.59</v>
      </c>
      <c r="I69" s="452">
        <f>TRUNC(($H69*'4-BDI'!$E$29),2)</f>
        <v>14.86</v>
      </c>
      <c r="J69" s="453">
        <f t="shared" si="24"/>
        <v>910.97</v>
      </c>
      <c r="K69" s="454">
        <f t="shared" si="25"/>
        <v>1167.99</v>
      </c>
    </row>
    <row r="70" spans="2:11" s="187" customFormat="1" ht="30">
      <c r="B70" s="458" t="s">
        <v>6298</v>
      </c>
      <c r="C70" s="450">
        <f>QUANT!C295</f>
        <v>96545</v>
      </c>
      <c r="D70" s="450" t="str">
        <f>QUANT!D295</f>
        <v>SINAPI</v>
      </c>
      <c r="E70" s="639" t="str">
        <f>IFERROR(VLOOKUP($C70,'SINAPI MAIO 2020'!$1:$1048576,2,0),IFERROR(VLOOKUP($C70,'6-COMP. PROPRIA'!$B$1:$I$808,4,0),""))</f>
        <v>ARMAÇÃO DE BLOCO, VIGA BALDRAME OU SAPATA UTILIZANDO AÇO CA-50 DE 8 MM - MONTAGEM. AF_06/2017</v>
      </c>
      <c r="F70" s="638" t="str">
        <f>IFERROR(VLOOKUP($C70,'SINAPI MAIO 2020'!$1:$1048576,3,0),IFERROR(VLOOKUP($C70,'6-COMP. PROPRIA'!$B$1:$I$808,5,0),""))</f>
        <v>KG</v>
      </c>
      <c r="G70" s="452">
        <f>QUANT!K295</f>
        <v>80.7</v>
      </c>
      <c r="H70" s="452">
        <f>IFERROR(VLOOKUP($C70,'SINAPI MAIO 2020'!$1:$1048576,4,0),IFERROR(VLOOKUP($C70,'6-COMP. PROPRIA'!$B$1:$I$808,8,0),""))</f>
        <v>9.4700000000000006</v>
      </c>
      <c r="I70" s="452">
        <f>TRUNC(($H70*'4-BDI'!$E$29),2)</f>
        <v>12.14</v>
      </c>
      <c r="J70" s="453">
        <f t="shared" si="24"/>
        <v>764.22</v>
      </c>
      <c r="K70" s="454">
        <f t="shared" si="25"/>
        <v>979.69</v>
      </c>
    </row>
    <row r="71" spans="2:11" s="187" customFormat="1" ht="30">
      <c r="B71" s="458" t="s">
        <v>6299</v>
      </c>
      <c r="C71" s="450">
        <f>QUANT!C297</f>
        <v>96546</v>
      </c>
      <c r="D71" s="450" t="str">
        <f>QUANT!D297</f>
        <v>SINAPI</v>
      </c>
      <c r="E71" s="639" t="str">
        <f>IFERROR(VLOOKUP($C71,'SINAPI MAIO 2020'!$1:$1048576,2,0),IFERROR(VLOOKUP($C71,'6-COMP. PROPRIA'!$B$1:$I$808,4,0),""))</f>
        <v>ARMAÇÃO DE BLOCO, VIGA BALDRAME OU SAPATA UTILIZANDO AÇO CA-50 DE 10 MM - MONTAGEM. AF_06/2017</v>
      </c>
      <c r="F71" s="638" t="str">
        <f>IFERROR(VLOOKUP($C71,'SINAPI MAIO 2020'!$1:$1048576,3,0),IFERROR(VLOOKUP($C71,'6-COMP. PROPRIA'!$B$1:$I$808,5,0),""))</f>
        <v>KG</v>
      </c>
      <c r="G71" s="452">
        <f>QUANT!K297</f>
        <v>119.2</v>
      </c>
      <c r="H71" s="452">
        <f>IFERROR(VLOOKUP($C71,'SINAPI MAIO 2020'!$1:$1048576,4,0),IFERROR(VLOOKUP($C71,'6-COMP. PROPRIA'!$B$1:$I$808,8,0),""))</f>
        <v>8.31</v>
      </c>
      <c r="I71" s="452">
        <f>TRUNC(($H71*'4-BDI'!$E$29),2)</f>
        <v>10.65</v>
      </c>
      <c r="J71" s="453">
        <f t="shared" si="24"/>
        <v>990.55</v>
      </c>
      <c r="K71" s="454">
        <f t="shared" si="25"/>
        <v>1269.48</v>
      </c>
    </row>
    <row r="72" spans="2:11" s="187" customFormat="1" ht="30">
      <c r="B72" s="458" t="s">
        <v>6300</v>
      </c>
      <c r="C72" s="450">
        <f>QUANT!C299</f>
        <v>96547</v>
      </c>
      <c r="D72" s="450" t="str">
        <f>QUANT!D299</f>
        <v>SINAPI</v>
      </c>
      <c r="E72" s="639" t="str">
        <f>IFERROR(VLOOKUP($C72,'SINAPI MAIO 2020'!$1:$1048576,2,0),IFERROR(VLOOKUP($C72,'6-COMP. PROPRIA'!$B$1:$I$808,4,0),""))</f>
        <v>ARMAÇÃO DE BLOCO, VIGA BALDRAME OU SAPATA UTILIZANDO AÇO CA-50 DE 12,5 MM - MONTAGEM. AF_06/2017</v>
      </c>
      <c r="F72" s="638" t="str">
        <f>IFERROR(VLOOKUP($C72,'SINAPI MAIO 2020'!$1:$1048576,3,0),IFERROR(VLOOKUP($C72,'6-COMP. PROPRIA'!$B$1:$I$808,5,0),""))</f>
        <v>KG</v>
      </c>
      <c r="G72" s="452">
        <f>QUANT!K299</f>
        <v>29.2</v>
      </c>
      <c r="H72" s="452">
        <f>IFERROR(VLOOKUP($C72,'SINAPI MAIO 2020'!$1:$1048576,4,0),IFERROR(VLOOKUP($C72,'6-COMP. PROPRIA'!$B$1:$I$808,8,0),""))</f>
        <v>6.95</v>
      </c>
      <c r="I72" s="452">
        <f>TRUNC(($H72*'4-BDI'!$E$29),2)</f>
        <v>8.91</v>
      </c>
      <c r="J72" s="453">
        <f t="shared" si="24"/>
        <v>202.94</v>
      </c>
      <c r="K72" s="454">
        <f t="shared" si="25"/>
        <v>260.17</v>
      </c>
    </row>
    <row r="73" spans="2:11" s="187" customFormat="1" ht="45">
      <c r="B73" s="458" t="s">
        <v>6301</v>
      </c>
      <c r="C73" s="450">
        <f>QUANT!C301</f>
        <v>96536</v>
      </c>
      <c r="D73" s="450" t="str">
        <f>QUANT!D301</f>
        <v>SINAPI</v>
      </c>
      <c r="E73" s="639" t="str">
        <f>IFERROR(VLOOKUP($C73,'SINAPI MAIO 2020'!$1:$1048576,2,0),IFERROR(VLOOKUP($C73,'6-COMP. PROPRIA'!$B$1:$I$808,4,0),""))</f>
        <v>FABRICAÇÃO, MONTAGEM E DESMONTAGEM DE FÔRMA PARA VIGA BALDRAME, EM MADEIRA SERRADA, E=25 MM, 4 UTILIZAÇÕES. AF_06/2017</v>
      </c>
      <c r="F73" s="638" t="str">
        <f>IFERROR(VLOOKUP($C73,'SINAPI MAIO 2020'!$1:$1048576,3,0),IFERROR(VLOOKUP($C73,'6-COMP. PROPRIA'!$B$1:$I$808,5,0),""))</f>
        <v>M2</v>
      </c>
      <c r="G73" s="452">
        <f>QUANT!K301</f>
        <v>77.33</v>
      </c>
      <c r="H73" s="452">
        <f>IFERROR(VLOOKUP($C73,'SINAPI MAIO 2020'!$1:$1048576,4,0),IFERROR(VLOOKUP($C73,'6-COMP. PROPRIA'!$B$1:$I$808,8,0),""))</f>
        <v>41.79</v>
      </c>
      <c r="I73" s="452">
        <f>TRUNC(($H73*'4-BDI'!$E$29),2)</f>
        <v>53.59</v>
      </c>
      <c r="J73" s="453">
        <f t="shared" si="24"/>
        <v>3231.62</v>
      </c>
      <c r="K73" s="454">
        <f t="shared" si="25"/>
        <v>4144.1099999999997</v>
      </c>
    </row>
    <row r="74" spans="2:11" s="187" customFormat="1" ht="30">
      <c r="B74" s="458" t="s">
        <v>6302</v>
      </c>
      <c r="C74" s="450">
        <f>QUANT!C303</f>
        <v>93382</v>
      </c>
      <c r="D74" s="450" t="str">
        <f>QUANT!D303</f>
        <v>SINAPI</v>
      </c>
      <c r="E74" s="639" t="str">
        <f>IFERROR(VLOOKUP($C74,'SINAPI MAIO 2020'!$1:$1048576,2,0),IFERROR(VLOOKUP($C74,'6-COMP. PROPRIA'!$B$1:$I$808,4,0),""))</f>
        <v>REATERRO MANUAL DE VALAS COM COMPACTAÇÃO MECANIZADA. AF_04/2016</v>
      </c>
      <c r="F74" s="638" t="str">
        <f>IFERROR(VLOOKUP($C74,'SINAPI MAIO 2020'!$1:$1048576,3,0),IFERROR(VLOOKUP($C74,'6-COMP. PROPRIA'!$B$1:$I$808,5,0),""))</f>
        <v>M3</v>
      </c>
      <c r="G74" s="452">
        <f>QUANT!K303</f>
        <v>8.1461499999999987</v>
      </c>
      <c r="H74" s="452">
        <f>IFERROR(VLOOKUP($C74,'SINAPI MAIO 2020'!$1:$1048576,4,0),IFERROR(VLOOKUP($C74,'6-COMP. PROPRIA'!$B$1:$I$808,8,0),""))</f>
        <v>19.22</v>
      </c>
      <c r="I74" s="452">
        <f>TRUNC(($H74*'4-BDI'!$E$29),2)</f>
        <v>24.64</v>
      </c>
      <c r="J74" s="453">
        <f t="shared" si="24"/>
        <v>156.56</v>
      </c>
      <c r="K74" s="454">
        <f t="shared" si="25"/>
        <v>200.72</v>
      </c>
    </row>
    <row r="75" spans="2:11" s="187" customFormat="1" ht="30">
      <c r="B75" s="458" t="s">
        <v>6303</v>
      </c>
      <c r="C75" s="450">
        <f>QUANT!C307</f>
        <v>98557</v>
      </c>
      <c r="D75" s="450" t="str">
        <f>QUANT!D307</f>
        <v>SINAPI</v>
      </c>
      <c r="E75" s="639" t="str">
        <f>IFERROR(VLOOKUP($C75,'SINAPI MAIO 2020'!$1:$1048576,2,0),IFERROR(VLOOKUP($C75,'6-COMP. PROPRIA'!$B$1:$I$808,4,0),""))</f>
        <v>IMPERMEABILIZAÇÃO DE SUPERFÍCIE COM EMULSÃO ASFÁLTICA, 2 DEMÃOS AF_06/2018</v>
      </c>
      <c r="F75" s="638" t="str">
        <f>IFERROR(VLOOKUP($C75,'SINAPI MAIO 2020'!$1:$1048576,3,0),IFERROR(VLOOKUP($C75,'6-COMP. PROPRIA'!$B$1:$I$808,5,0),""))</f>
        <v>M2</v>
      </c>
      <c r="G75" s="452">
        <f>QUANT!K307</f>
        <v>77.33</v>
      </c>
      <c r="H75" s="452">
        <f>IFERROR(VLOOKUP($C75,'SINAPI MAIO 2020'!$1:$1048576,4,0),IFERROR(VLOOKUP($C75,'6-COMP. PROPRIA'!$B$1:$I$808,8,0),""))</f>
        <v>23.61</v>
      </c>
      <c r="I75" s="452">
        <f>TRUNC(($H75*'4-BDI'!$E$29),2)</f>
        <v>30.27</v>
      </c>
      <c r="J75" s="453">
        <f t="shared" si="24"/>
        <v>1825.76</v>
      </c>
      <c r="K75" s="454">
        <f t="shared" si="25"/>
        <v>2340.77</v>
      </c>
    </row>
    <row r="76" spans="2:11" s="187" customFormat="1" ht="15">
      <c r="B76" s="458" t="s">
        <v>6304</v>
      </c>
      <c r="C76" s="450">
        <f>QUANT!C310</f>
        <v>72897</v>
      </c>
      <c r="D76" s="450" t="str">
        <f>QUANT!D310</f>
        <v>SINAPI</v>
      </c>
      <c r="E76" s="639" t="str">
        <f>IFERROR(VLOOKUP($C76,'SINAPI MAIO 2020'!$1:$1048576,2,0),IFERROR(VLOOKUP($C76,'6-COMP. PROPRIA'!$B$1:$I$808,4,0),""))</f>
        <v>CARGA MANUAL DE ENTULHO EM CAMINHAO BASCULANTE 6 M3</v>
      </c>
      <c r="F76" s="638" t="str">
        <f>IFERROR(VLOOKUP($C76,'SINAPI MAIO 2020'!$1:$1048576,3,0),IFERROR(VLOOKUP($C76,'6-COMP. PROPRIA'!$B$1:$I$808,5,0),""))</f>
        <v>M3</v>
      </c>
      <c r="G76" s="452">
        <f>QUANT!K310</f>
        <v>6.032</v>
      </c>
      <c r="H76" s="452">
        <f>IFERROR(VLOOKUP($C76,'SINAPI MAIO 2020'!$1:$1048576,4,0),IFERROR(VLOOKUP($C76,'6-COMP. PROPRIA'!$B$1:$I$808,8,0),""))</f>
        <v>17.510000000000002</v>
      </c>
      <c r="I76" s="452">
        <f>TRUNC(($H76*'4-BDI'!$E$29),2)</f>
        <v>22.45</v>
      </c>
      <c r="J76" s="453">
        <f t="shared" si="24"/>
        <v>105.62</v>
      </c>
      <c r="K76" s="454">
        <f t="shared" si="25"/>
        <v>135.41</v>
      </c>
    </row>
    <row r="77" spans="2:11" s="187" customFormat="1" ht="30">
      <c r="B77" s="458" t="s">
        <v>6305</v>
      </c>
      <c r="C77" s="450">
        <f>QUANT!C314</f>
        <v>97916</v>
      </c>
      <c r="D77" s="450" t="str">
        <f>QUANT!D314</f>
        <v>SINAPI</v>
      </c>
      <c r="E77" s="639" t="str">
        <f>IFERROR(VLOOKUP($C77,'SINAPI MAIO 2020'!$1:$1048576,2,0),IFERROR(VLOOKUP($C77,'6-COMP. PROPRIA'!$B$1:$I$808,4,0),""))</f>
        <v>TRANSPORTE COM CAMINHÃO BASCULANTE DE 6 M3, EM VIA URBANA EM LEITO NATURAL (UNIDADE: TXKM). AF_01/2018</v>
      </c>
      <c r="F77" s="638" t="str">
        <f>IFERROR(VLOOKUP($C77,'SINAPI MAIO 2020'!$1:$1048576,3,0),IFERROR(VLOOKUP($C77,'6-COMP. PROPRIA'!$B$1:$I$808,5,0),""))</f>
        <v>TXKM</v>
      </c>
      <c r="G77" s="452">
        <f>QUANT!K314</f>
        <v>150.80000000000001</v>
      </c>
      <c r="H77" s="452">
        <f>IFERROR(VLOOKUP($C77,'SINAPI MAIO 2020'!$1:$1048576,4,0),IFERROR(VLOOKUP($C77,'6-COMP. PROPRIA'!$B$1:$I$808,8,0),""))</f>
        <v>1</v>
      </c>
      <c r="I77" s="452">
        <f>TRUNC(($H77*'4-BDI'!$E$29),2)</f>
        <v>1.28</v>
      </c>
      <c r="J77" s="453">
        <f t="shared" si="24"/>
        <v>150.80000000000001</v>
      </c>
      <c r="K77" s="454">
        <f t="shared" si="25"/>
        <v>193.02</v>
      </c>
    </row>
    <row r="78" spans="2:11" s="187" customFormat="1" ht="15.75">
      <c r="B78" s="746" t="s">
        <v>12564</v>
      </c>
      <c r="C78" s="747"/>
      <c r="D78" s="747"/>
      <c r="E78" s="747"/>
      <c r="F78" s="747"/>
      <c r="G78" s="747"/>
      <c r="H78" s="747"/>
      <c r="I78" s="456"/>
      <c r="J78" s="457">
        <f>TRUNC(SUM(J65:J77),2)</f>
        <v>11781.38</v>
      </c>
      <c r="K78" s="457">
        <f>TRUNC(SUM(K65:K77),2)</f>
        <v>15105.54</v>
      </c>
    </row>
    <row r="79" spans="2:11" s="187" customFormat="1" ht="15.75">
      <c r="B79" s="746" t="s">
        <v>4710</v>
      </c>
      <c r="C79" s="747"/>
      <c r="D79" s="747"/>
      <c r="E79" s="747"/>
      <c r="F79" s="747"/>
      <c r="G79" s="747"/>
      <c r="H79" s="747"/>
      <c r="I79" s="456"/>
      <c r="J79" s="457">
        <f>TRUNC(SUM(J78+J63),2)</f>
        <v>28434.2</v>
      </c>
      <c r="K79" s="457">
        <f>TRUNC(SUM(K78+K63),2)</f>
        <v>36456.78</v>
      </c>
    </row>
    <row r="80" spans="2:11" s="187" customFormat="1" ht="15.75">
      <c r="B80" s="440" t="s">
        <v>5314</v>
      </c>
      <c r="C80" s="441"/>
      <c r="D80" s="442"/>
      <c r="E80" s="443" t="str">
        <f>QUANT!E321</f>
        <v xml:space="preserve">SUPERESTRUTURA </v>
      </c>
      <c r="F80" s="444"/>
      <c r="G80" s="445"/>
      <c r="H80" s="446"/>
      <c r="I80" s="446"/>
      <c r="J80" s="447"/>
      <c r="K80" s="448"/>
    </row>
    <row r="81" spans="2:11" s="187" customFormat="1" ht="15.75">
      <c r="B81" s="460" t="s">
        <v>5315</v>
      </c>
      <c r="C81" s="461"/>
      <c r="D81" s="461"/>
      <c r="E81" s="462" t="str">
        <f>QUANT!E323</f>
        <v>PILARES</v>
      </c>
      <c r="F81" s="463"/>
      <c r="G81" s="464"/>
      <c r="H81" s="465"/>
      <c r="I81" s="465"/>
      <c r="J81" s="466"/>
      <c r="K81" s="467"/>
    </row>
    <row r="82" spans="2:11" s="187" customFormat="1" ht="30">
      <c r="B82" s="468" t="s">
        <v>6239</v>
      </c>
      <c r="C82" s="450">
        <f>QUANT!C325</f>
        <v>94965</v>
      </c>
      <c r="D82" s="450" t="str">
        <f>QUANT!D325</f>
        <v>SINAPI</v>
      </c>
      <c r="E82" s="639" t="str">
        <f>IFERROR(VLOOKUP($C82,'SINAPI MAIO 2020'!$1:$1048576,2,0),IFERROR(VLOOKUP($C82,'6-COMP. PROPRIA'!$B$1:$I$808,4,0),""))</f>
        <v>CONCRETO FCK = 25MPA, TRAÇO 1:2,3:2,7 (CIMENTO/ AREIA MÉDIA/ BRITA 1)  - PREPARO MECÂNICO COM BETONEIRA 400 L. AF_07/2016</v>
      </c>
      <c r="F82" s="638" t="str">
        <f>IFERROR(VLOOKUP($C82,'SINAPI MAIO 2020'!$1:$1048576,3,0),IFERROR(VLOOKUP($C82,'6-COMP. PROPRIA'!$B$1:$I$808,5,0),""))</f>
        <v>M3</v>
      </c>
      <c r="G82" s="452">
        <f>QUANT!K325</f>
        <v>4.72</v>
      </c>
      <c r="H82" s="452">
        <f>IFERROR(VLOOKUP($C82,'SINAPI MAIO 2020'!$1:$1048576,4,0),IFERROR(VLOOKUP($C82,'6-COMP. PROPRIA'!$B$1:$I$808,8,0),""))</f>
        <v>323.58</v>
      </c>
      <c r="I82" s="452">
        <f>TRUNC(($H82*'4-BDI'!$E$29),2)</f>
        <v>414.95</v>
      </c>
      <c r="J82" s="453">
        <f t="shared" ref="J82" si="26">TRUNC((G82*H82),2)</f>
        <v>1527.29</v>
      </c>
      <c r="K82" s="454">
        <f t="shared" ref="K82" si="27">TRUNC((I82*G82),2)</f>
        <v>1958.56</v>
      </c>
    </row>
    <row r="83" spans="2:11" s="187" customFormat="1" ht="30">
      <c r="B83" s="468" t="s">
        <v>6240</v>
      </c>
      <c r="C83" s="450">
        <f>QUANT!C330</f>
        <v>92873</v>
      </c>
      <c r="D83" s="450" t="str">
        <f>QUANT!D330</f>
        <v>SINAPI</v>
      </c>
      <c r="E83" s="639" t="str">
        <f>IFERROR(VLOOKUP($C83,'SINAPI MAIO 2020'!$1:$1048576,2,0),IFERROR(VLOOKUP($C83,'6-COMP. PROPRIA'!$B$1:$I$808,4,0),""))</f>
        <v>LANÇAMENTO COM USO DE BALDES, ADENSAMENTO E ACABAMENTO DE CONCRETO EM ESTRUTURAS. AF_12/2015</v>
      </c>
      <c r="F83" s="638" t="str">
        <f>IFERROR(VLOOKUP($C83,'SINAPI MAIO 2020'!$1:$1048576,3,0),IFERROR(VLOOKUP($C83,'6-COMP. PROPRIA'!$B$1:$I$808,5,0),""))</f>
        <v>M3</v>
      </c>
      <c r="G83" s="452">
        <f>QUANT!K330</f>
        <v>4.72</v>
      </c>
      <c r="H83" s="452">
        <f>IFERROR(VLOOKUP($C83,'SINAPI MAIO 2020'!$1:$1048576,4,0),IFERROR(VLOOKUP($C83,'6-COMP. PROPRIA'!$B$1:$I$808,8,0),""))</f>
        <v>146.37</v>
      </c>
      <c r="I83" s="452">
        <f>TRUNC(($H83*'4-BDI'!$E$29),2)</f>
        <v>187.7</v>
      </c>
      <c r="J83" s="453">
        <f t="shared" ref="J83:J87" si="28">TRUNC((G83*H83),2)</f>
        <v>690.86</v>
      </c>
      <c r="K83" s="454">
        <f t="shared" ref="K83:K87" si="29">TRUNC((I83*G83),2)</f>
        <v>885.94</v>
      </c>
    </row>
    <row r="84" spans="2:11" s="187" customFormat="1" ht="45">
      <c r="B84" s="468" t="s">
        <v>6241</v>
      </c>
      <c r="C84" s="450">
        <f>QUANT!C332</f>
        <v>92775</v>
      </c>
      <c r="D84" s="450" t="str">
        <f>QUANT!D332</f>
        <v>SINAPI</v>
      </c>
      <c r="E84" s="639" t="str">
        <f>IFERROR(VLOOKUP($C84,'SINAPI MAIO 2020'!$1:$1048576,2,0),IFERROR(VLOOKUP($C84,'6-COMP. PROPRIA'!$B$1:$I$808,4,0),""))</f>
        <v>ARMAÇÃO DE PILAR OU VIGA DE UMA ESTRUTURA CONVENCIONAL DE CONCRETO ARMADO EM UMA EDIFICAÇÃO TÉRREA OU SOBRADO UTILIZANDO AÇO CA-60 DE 5,0 MM - MONTAGEM. AF_12/2015</v>
      </c>
      <c r="F84" s="638" t="str">
        <f>IFERROR(VLOOKUP($C84,'SINAPI MAIO 2020'!$1:$1048576,3,0),IFERROR(VLOOKUP($C84,'6-COMP. PROPRIA'!$B$1:$I$808,5,0),""))</f>
        <v>KG</v>
      </c>
      <c r="G84" s="452">
        <f>QUANT!K332</f>
        <v>111.5</v>
      </c>
      <c r="H84" s="452">
        <f>IFERROR(VLOOKUP($C84,'SINAPI MAIO 2020'!$1:$1048576,4,0),IFERROR(VLOOKUP($C84,'6-COMP. PROPRIA'!$B$1:$I$808,8,0),""))</f>
        <v>11.65</v>
      </c>
      <c r="I84" s="452">
        <f>TRUNC(($H84*'4-BDI'!$E$29),2)</f>
        <v>14.93</v>
      </c>
      <c r="J84" s="453">
        <f t="shared" si="28"/>
        <v>1298.97</v>
      </c>
      <c r="K84" s="454">
        <f t="shared" si="29"/>
        <v>1664.69</v>
      </c>
    </row>
    <row r="85" spans="2:11" s="187" customFormat="1" ht="45">
      <c r="B85" s="468" t="s">
        <v>6242</v>
      </c>
      <c r="C85" s="450">
        <f>QUANT!C335</f>
        <v>92778</v>
      </c>
      <c r="D85" s="450" t="str">
        <f>QUANT!D335</f>
        <v>SINAPI</v>
      </c>
      <c r="E85" s="639" t="str">
        <f>IFERROR(VLOOKUP($C85,'SINAPI MAIO 2020'!$1:$1048576,2,0),IFERROR(VLOOKUP($C85,'6-COMP. PROPRIA'!$B$1:$I$808,4,0),""))</f>
        <v>ARMAÇÃO DE PILAR OU VIGA DE UMA ESTRUTURA CONVENCIONAL DE CONCRETO ARMADO EM UMA EDIFICAÇÃO TÉRREA OU SOBRADO UTILIZANDO AÇO CA-50 DE 10,0 MM - MONTAGEM. AF_12/2015</v>
      </c>
      <c r="F85" s="638" t="str">
        <f>IFERROR(VLOOKUP($C85,'SINAPI MAIO 2020'!$1:$1048576,3,0),IFERROR(VLOOKUP($C85,'6-COMP. PROPRIA'!$B$1:$I$808,5,0),""))</f>
        <v>KG</v>
      </c>
      <c r="G85" s="452">
        <f>QUANT!K335</f>
        <v>161.1</v>
      </c>
      <c r="H85" s="452">
        <f>IFERROR(VLOOKUP($C85,'SINAPI MAIO 2020'!$1:$1048576,4,0),IFERROR(VLOOKUP($C85,'6-COMP. PROPRIA'!$B$1:$I$808,8,0),""))</f>
        <v>8.26</v>
      </c>
      <c r="I85" s="452">
        <f>TRUNC(($H85*'4-BDI'!$E$29),2)</f>
        <v>10.59</v>
      </c>
      <c r="J85" s="453">
        <f t="shared" si="28"/>
        <v>1330.68</v>
      </c>
      <c r="K85" s="454">
        <f t="shared" si="29"/>
        <v>1706.04</v>
      </c>
    </row>
    <row r="86" spans="2:11" s="187" customFormat="1" ht="45">
      <c r="B86" s="468" t="s">
        <v>6243</v>
      </c>
      <c r="C86" s="450">
        <f>QUANT!C337</f>
        <v>92779</v>
      </c>
      <c r="D86" s="450" t="str">
        <f>QUANT!D337</f>
        <v>SINAPI</v>
      </c>
      <c r="E86" s="639" t="str">
        <f>IFERROR(VLOOKUP($C86,'SINAPI MAIO 2020'!$1:$1048576,2,0),IFERROR(VLOOKUP($C86,'6-COMP. PROPRIA'!$B$1:$I$808,4,0),""))</f>
        <v>ARMAÇÃO DE PILAR OU VIGA DE UMA ESTRUTURA CONVENCIONAL DE CONCRETO ARMADO EM UMA EDIFICAÇÃO TÉRREA OU SOBRADO UTILIZANDO AÇO CA-50 DE 12,5 MM - MONTAGEM. AF_12/2015</v>
      </c>
      <c r="F86" s="638" t="str">
        <f>IFERROR(VLOOKUP($C86,'SINAPI MAIO 2020'!$1:$1048576,3,0),IFERROR(VLOOKUP($C86,'6-COMP. PROPRIA'!$B$1:$I$808,5,0),""))</f>
        <v>KG</v>
      </c>
      <c r="G86" s="452">
        <f>QUANT!K337</f>
        <v>114.4</v>
      </c>
      <c r="H86" s="452">
        <f>IFERROR(VLOOKUP($C86,'SINAPI MAIO 2020'!$1:$1048576,4,0),IFERROR(VLOOKUP($C86,'6-COMP. PROPRIA'!$B$1:$I$808,8,0),""))</f>
        <v>6.84</v>
      </c>
      <c r="I86" s="452">
        <f>TRUNC(($H86*'4-BDI'!$E$29),2)</f>
        <v>8.77</v>
      </c>
      <c r="J86" s="453">
        <f t="shared" si="28"/>
        <v>782.49</v>
      </c>
      <c r="K86" s="454">
        <f t="shared" si="29"/>
        <v>1003.28</v>
      </c>
    </row>
    <row r="87" spans="2:11" s="187" customFormat="1" ht="60">
      <c r="B87" s="468" t="s">
        <v>6244</v>
      </c>
      <c r="C87" s="450">
        <f>QUANT!C339</f>
        <v>92412</v>
      </c>
      <c r="D87" s="450" t="str">
        <f>QUANT!D339</f>
        <v>SINAPI</v>
      </c>
      <c r="E87" s="639" t="str">
        <f>IFERROR(VLOOKUP($C87,'SINAPI MAIO 2020'!$1:$1048576,2,0),IFERROR(VLOOKUP($C87,'6-COMP. PROPRIA'!$B$1:$I$808,4,0),""))</f>
        <v>MONTAGEM E DESMONTAGEM DE FÔRMA DE PILARES RETANGULARES E ESTRUTURAS SIMILARES COM ÁREA MÉDIA DAS SEÇÕES MENOR OU IGUAL A 0,25 M², PÉ-DIREITO SIMPLES, EM MADEIRA SERRADA, 4 UTILIZAÇÕES. AF_12/2015</v>
      </c>
      <c r="F87" s="638" t="str">
        <f>IFERROR(VLOOKUP($C87,'SINAPI MAIO 2020'!$1:$1048576,3,0),IFERROR(VLOOKUP($C87,'6-COMP. PROPRIA'!$B$1:$I$808,5,0),""))</f>
        <v>M2</v>
      </c>
      <c r="G87" s="452">
        <f>QUANT!K339</f>
        <v>89.1</v>
      </c>
      <c r="H87" s="452">
        <f>IFERROR(VLOOKUP($C87,'SINAPI MAIO 2020'!$1:$1048576,4,0),IFERROR(VLOOKUP($C87,'6-COMP. PROPRIA'!$B$1:$I$808,8,0),""))</f>
        <v>65.91</v>
      </c>
      <c r="I87" s="452">
        <f>TRUNC(($H87*'4-BDI'!$E$29),2)</f>
        <v>84.52</v>
      </c>
      <c r="J87" s="453">
        <f t="shared" si="28"/>
        <v>5872.58</v>
      </c>
      <c r="K87" s="454">
        <f t="shared" si="29"/>
        <v>7530.73</v>
      </c>
    </row>
    <row r="88" spans="2:11" s="187" customFormat="1" ht="15.75">
      <c r="B88" s="746" t="s">
        <v>12564</v>
      </c>
      <c r="C88" s="747"/>
      <c r="D88" s="747"/>
      <c r="E88" s="747"/>
      <c r="F88" s="747"/>
      <c r="G88" s="747"/>
      <c r="H88" s="747"/>
      <c r="I88" s="456"/>
      <c r="J88" s="457">
        <f>TRUNC(SUM(J82:J87),2)</f>
        <v>11502.87</v>
      </c>
      <c r="K88" s="457">
        <f>TRUNC(SUM(K82:K87),2)</f>
        <v>14749.24</v>
      </c>
    </row>
    <row r="89" spans="2:11" s="187" customFormat="1" ht="15.75">
      <c r="B89" s="460" t="s">
        <v>5316</v>
      </c>
      <c r="C89" s="461"/>
      <c r="D89" s="461"/>
      <c r="E89" s="462" t="str">
        <f>QUANT!E341</f>
        <v xml:space="preserve">VIGAS </v>
      </c>
      <c r="F89" s="463"/>
      <c r="G89" s="464"/>
      <c r="H89" s="465"/>
      <c r="I89" s="465"/>
      <c r="J89" s="466"/>
      <c r="K89" s="467"/>
    </row>
    <row r="90" spans="2:11" s="187" customFormat="1" ht="30">
      <c r="B90" s="468" t="s">
        <v>12566</v>
      </c>
      <c r="C90" s="450">
        <f>QUANT!C343</f>
        <v>94965</v>
      </c>
      <c r="D90" s="450" t="str">
        <f>QUANT!D343</f>
        <v>SINAPI</v>
      </c>
      <c r="E90" s="639" t="str">
        <f>IFERROR(VLOOKUP($C90,'SINAPI MAIO 2020'!$1:$1048576,2,0),IFERROR(VLOOKUP($C90,'6-COMP. PROPRIA'!$B$1:$I$808,4,0),""))</f>
        <v>CONCRETO FCK = 25MPA, TRAÇO 1:2,3:2,7 (CIMENTO/ AREIA MÉDIA/ BRITA 1)  - PREPARO MECÂNICO COM BETONEIRA 400 L. AF_07/2016</v>
      </c>
      <c r="F90" s="638" t="str">
        <f>IFERROR(VLOOKUP($C90,'SINAPI MAIO 2020'!$1:$1048576,3,0),IFERROR(VLOOKUP($C90,'6-COMP. PROPRIA'!$B$1:$I$808,5,0),""))</f>
        <v>M3</v>
      </c>
      <c r="G90" s="452">
        <f>QUANT!K343</f>
        <v>6.5500000000000007</v>
      </c>
      <c r="H90" s="452">
        <f>IFERROR(VLOOKUP($C90,'SINAPI MAIO 2020'!$1:$1048576,4,0),IFERROR(VLOOKUP($C90,'6-COMP. PROPRIA'!$B$1:$I$808,8,0),""))</f>
        <v>323.58</v>
      </c>
      <c r="I90" s="452">
        <f>TRUNC(($H90*'4-BDI'!$E$29),2)</f>
        <v>414.95</v>
      </c>
      <c r="J90" s="453">
        <f t="shared" ref="J90" si="30">TRUNC((G90*H90),2)</f>
        <v>2119.44</v>
      </c>
      <c r="K90" s="454">
        <f t="shared" ref="K90" si="31">TRUNC((I90*G90),2)</f>
        <v>2717.92</v>
      </c>
    </row>
    <row r="91" spans="2:11" s="187" customFormat="1" ht="30">
      <c r="B91" s="468" t="s">
        <v>6245</v>
      </c>
      <c r="C91" s="450">
        <f>QUANT!C347</f>
        <v>92873</v>
      </c>
      <c r="D91" s="450" t="str">
        <f>QUANT!D347</f>
        <v>SINAPI</v>
      </c>
      <c r="E91" s="639" t="str">
        <f>IFERROR(VLOOKUP($C91,'SINAPI MAIO 2020'!$1:$1048576,2,0),IFERROR(VLOOKUP($C91,'6-COMP. PROPRIA'!$B$1:$I$808,4,0),""))</f>
        <v>LANÇAMENTO COM USO DE BALDES, ADENSAMENTO E ACABAMENTO DE CONCRETO EM ESTRUTURAS. AF_12/2015</v>
      </c>
      <c r="F91" s="638" t="str">
        <f>IFERROR(VLOOKUP($C91,'SINAPI MAIO 2020'!$1:$1048576,3,0),IFERROR(VLOOKUP($C91,'6-COMP. PROPRIA'!$B$1:$I$808,5,0),""))</f>
        <v>M3</v>
      </c>
      <c r="G91" s="452">
        <f>QUANT!K347</f>
        <v>6.5500000000000007</v>
      </c>
      <c r="H91" s="452">
        <f>IFERROR(VLOOKUP($C91,'SINAPI MAIO 2020'!$1:$1048576,4,0),IFERROR(VLOOKUP($C91,'6-COMP. PROPRIA'!$B$1:$I$808,8,0),""))</f>
        <v>146.37</v>
      </c>
      <c r="I91" s="452">
        <f>TRUNC(($H91*'4-BDI'!$E$29),2)</f>
        <v>187.7</v>
      </c>
      <c r="J91" s="453">
        <f t="shared" ref="J91:J95" si="32">TRUNC((G91*H91),2)</f>
        <v>958.72</v>
      </c>
      <c r="K91" s="454">
        <f t="shared" ref="K91:K95" si="33">TRUNC((I91*G91),2)</f>
        <v>1229.43</v>
      </c>
    </row>
    <row r="92" spans="2:11" s="187" customFormat="1" ht="45">
      <c r="B92" s="468" t="s">
        <v>6246</v>
      </c>
      <c r="C92" s="450">
        <f>QUANT!C349</f>
        <v>92775</v>
      </c>
      <c r="D92" s="450" t="str">
        <f>QUANT!D349</f>
        <v>SINAPI</v>
      </c>
      <c r="E92" s="639" t="str">
        <f>IFERROR(VLOOKUP($C92,'SINAPI MAIO 2020'!$1:$1048576,2,0),IFERROR(VLOOKUP($C92,'6-COMP. PROPRIA'!$B$1:$I$808,4,0),""))</f>
        <v>ARMAÇÃO DE PILAR OU VIGA DE UMA ESTRUTURA CONVENCIONAL DE CONCRETO ARMADO EM UMA EDIFICAÇÃO TÉRREA OU SOBRADO UTILIZANDO AÇO CA-60 DE 5,0 MM - MONTAGEM. AF_12/2015</v>
      </c>
      <c r="F92" s="638" t="str">
        <f>IFERROR(VLOOKUP($C92,'SINAPI MAIO 2020'!$1:$1048576,3,0),IFERROR(VLOOKUP($C92,'6-COMP. PROPRIA'!$B$1:$I$808,5,0),""))</f>
        <v>KG</v>
      </c>
      <c r="G92" s="452">
        <f>QUANT!K349</f>
        <v>115.1</v>
      </c>
      <c r="H92" s="452">
        <f>IFERROR(VLOOKUP($C92,'SINAPI MAIO 2020'!$1:$1048576,4,0),IFERROR(VLOOKUP($C92,'6-COMP. PROPRIA'!$B$1:$I$808,8,0),""))</f>
        <v>11.65</v>
      </c>
      <c r="I92" s="452">
        <f>TRUNC(($H92*'4-BDI'!$E$29),2)</f>
        <v>14.93</v>
      </c>
      <c r="J92" s="453">
        <f t="shared" si="32"/>
        <v>1340.91</v>
      </c>
      <c r="K92" s="454">
        <f t="shared" si="33"/>
        <v>1718.44</v>
      </c>
    </row>
    <row r="93" spans="2:11" s="187" customFormat="1" ht="45">
      <c r="B93" s="468" t="s">
        <v>6247</v>
      </c>
      <c r="C93" s="450">
        <f>QUANT!C351</f>
        <v>92777</v>
      </c>
      <c r="D93" s="450" t="str">
        <f>QUANT!D351</f>
        <v>SINAPI</v>
      </c>
      <c r="E93" s="639" t="str">
        <f>IFERROR(VLOOKUP($C93,'SINAPI MAIO 2020'!$1:$1048576,2,0),IFERROR(VLOOKUP($C93,'6-COMP. PROPRIA'!$B$1:$I$808,4,0),""))</f>
        <v>ARMAÇÃO DE PILAR OU VIGA DE UMA ESTRUTURA CONVENCIONAL DE CONCRETO ARMADO EM UMA EDIFICAÇÃO TÉRREA OU SOBRADO UTILIZANDO AÇO CA-50 DE 8,0 MM - MONTAGEM. AF_12/2015</v>
      </c>
      <c r="F93" s="638" t="str">
        <f>IFERROR(VLOOKUP($C93,'SINAPI MAIO 2020'!$1:$1048576,3,0),IFERROR(VLOOKUP($C93,'6-COMP. PROPRIA'!$B$1:$I$808,5,0),""))</f>
        <v>KG</v>
      </c>
      <c r="G93" s="452">
        <f>QUANT!K351</f>
        <v>227.6</v>
      </c>
      <c r="H93" s="452">
        <f>IFERROR(VLOOKUP($C93,'SINAPI MAIO 2020'!$1:$1048576,4,0),IFERROR(VLOOKUP($C93,'6-COMP. PROPRIA'!$B$1:$I$808,8,0),""))</f>
        <v>9.4499999999999993</v>
      </c>
      <c r="I93" s="452">
        <f>TRUNC(($H93*'4-BDI'!$E$29),2)</f>
        <v>12.11</v>
      </c>
      <c r="J93" s="453">
        <f t="shared" si="32"/>
        <v>2150.8200000000002</v>
      </c>
      <c r="K93" s="454">
        <f t="shared" si="33"/>
        <v>2756.23</v>
      </c>
    </row>
    <row r="94" spans="2:11" s="187" customFormat="1" ht="45">
      <c r="B94" s="468" t="s">
        <v>6248</v>
      </c>
      <c r="C94" s="450">
        <f>QUANT!C353</f>
        <v>92778</v>
      </c>
      <c r="D94" s="450" t="str">
        <f>QUANT!D353</f>
        <v>SINAPI</v>
      </c>
      <c r="E94" s="639" t="str">
        <f>IFERROR(VLOOKUP($C94,'SINAPI MAIO 2020'!$1:$1048576,2,0),IFERROR(VLOOKUP($C94,'6-COMP. PROPRIA'!$B$1:$I$808,4,0),""))</f>
        <v>ARMAÇÃO DE PILAR OU VIGA DE UMA ESTRUTURA CONVENCIONAL DE CONCRETO ARMADO EM UMA EDIFICAÇÃO TÉRREA OU SOBRADO UTILIZANDO AÇO CA-50 DE 10,0 MM - MONTAGEM. AF_12/2015</v>
      </c>
      <c r="F94" s="638" t="str">
        <f>IFERROR(VLOOKUP($C94,'SINAPI MAIO 2020'!$1:$1048576,3,0),IFERROR(VLOOKUP($C94,'6-COMP. PROPRIA'!$B$1:$I$808,5,0),""))</f>
        <v>KG</v>
      </c>
      <c r="G94" s="452">
        <f>QUANT!K353</f>
        <v>11.8</v>
      </c>
      <c r="H94" s="452">
        <f>IFERROR(VLOOKUP($C94,'SINAPI MAIO 2020'!$1:$1048576,4,0),IFERROR(VLOOKUP($C94,'6-COMP. PROPRIA'!$B$1:$I$808,8,0),""))</f>
        <v>8.26</v>
      </c>
      <c r="I94" s="452">
        <f>TRUNC(($H94*'4-BDI'!$E$29),2)</f>
        <v>10.59</v>
      </c>
      <c r="J94" s="453">
        <f t="shared" si="32"/>
        <v>97.46</v>
      </c>
      <c r="K94" s="454">
        <f t="shared" si="33"/>
        <v>124.96</v>
      </c>
    </row>
    <row r="95" spans="2:11" s="187" customFormat="1" ht="45">
      <c r="B95" s="468" t="s">
        <v>6249</v>
      </c>
      <c r="C95" s="450">
        <f>QUANT!C356</f>
        <v>92448</v>
      </c>
      <c r="D95" s="450" t="str">
        <f>QUANT!D356</f>
        <v>SINAPI</v>
      </c>
      <c r="E95" s="639" t="str">
        <f>IFERROR(VLOOKUP($C95,'SINAPI MAIO 2020'!$1:$1048576,2,0),IFERROR(VLOOKUP($C95,'6-COMP. PROPRIA'!$B$1:$I$808,4,0),""))</f>
        <v>MONTAGEM E DESMONTAGEM DE FÔRMA DE VIGA, ESCORAMENTO COM PONTALETE DE MADEIRA, PÉ-DIREITO SIMPLES, EM MADEIRA SERRADA, 4 UTILIZAÇÕES. AF_12/2015</v>
      </c>
      <c r="F95" s="638" t="str">
        <f>IFERROR(VLOOKUP($C95,'SINAPI MAIO 2020'!$1:$1048576,3,0),IFERROR(VLOOKUP($C95,'6-COMP. PROPRIA'!$B$1:$I$808,5,0),""))</f>
        <v>M2</v>
      </c>
      <c r="G95" s="452">
        <f>QUANT!K356</f>
        <v>109.21000000000001</v>
      </c>
      <c r="H95" s="452">
        <f>IFERROR(VLOOKUP($C95,'SINAPI MAIO 2020'!$1:$1048576,4,0),IFERROR(VLOOKUP($C95,'6-COMP. PROPRIA'!$B$1:$I$808,8,0),""))</f>
        <v>77.319999999999993</v>
      </c>
      <c r="I95" s="452">
        <f>TRUNC(($H95*'4-BDI'!$E$29),2)</f>
        <v>99.15</v>
      </c>
      <c r="J95" s="453">
        <f t="shared" si="32"/>
        <v>8444.11</v>
      </c>
      <c r="K95" s="454">
        <f t="shared" si="33"/>
        <v>10828.17</v>
      </c>
    </row>
    <row r="96" spans="2:11" s="187" customFormat="1" ht="15.75">
      <c r="B96" s="746" t="s">
        <v>12564</v>
      </c>
      <c r="C96" s="747"/>
      <c r="D96" s="747"/>
      <c r="E96" s="747"/>
      <c r="F96" s="747"/>
      <c r="G96" s="747"/>
      <c r="H96" s="747"/>
      <c r="I96" s="456"/>
      <c r="J96" s="457">
        <f>TRUNC(SUM(J90:J95),2)</f>
        <v>15111.46</v>
      </c>
      <c r="K96" s="457">
        <f>TRUNC(SUM(K90:K95),2)</f>
        <v>19375.150000000001</v>
      </c>
    </row>
    <row r="97" spans="2:13" s="187" customFormat="1" ht="15.75">
      <c r="B97" s="746" t="s">
        <v>4710</v>
      </c>
      <c r="C97" s="747"/>
      <c r="D97" s="747"/>
      <c r="E97" s="747"/>
      <c r="F97" s="747"/>
      <c r="G97" s="747"/>
      <c r="H97" s="747"/>
      <c r="I97" s="456"/>
      <c r="J97" s="457">
        <f>TRUNC(SUM(J96+J88),2)</f>
        <v>26614.33</v>
      </c>
      <c r="K97" s="457">
        <f>TRUNC(SUM(K96+K88),2)</f>
        <v>34124.39</v>
      </c>
    </row>
    <row r="98" spans="2:13" s="187" customFormat="1" ht="15.75">
      <c r="B98" s="440" t="s">
        <v>856</v>
      </c>
      <c r="C98" s="441"/>
      <c r="D98" s="442"/>
      <c r="E98" s="443" t="str">
        <f>QUANT!E358</f>
        <v xml:space="preserve">FECHAMENTO EM ALVENARIA </v>
      </c>
      <c r="F98" s="444"/>
      <c r="G98" s="445"/>
      <c r="H98" s="446"/>
      <c r="I98" s="446"/>
      <c r="J98" s="447"/>
      <c r="K98" s="448"/>
    </row>
    <row r="99" spans="2:13" s="187" customFormat="1" ht="30">
      <c r="B99" s="468" t="s">
        <v>28</v>
      </c>
      <c r="C99" s="450">
        <f>QUANT!C360</f>
        <v>93187</v>
      </c>
      <c r="D99" s="450" t="str">
        <f>QUANT!D360</f>
        <v>SINAPI</v>
      </c>
      <c r="E99" s="639" t="str">
        <f>IFERROR(VLOOKUP($C99,'SINAPI MAIO 2020'!$1:$1048576,2,0),IFERROR(VLOOKUP($C99,'6-COMP. PROPRIA'!$B$1:$I$808,4,0),""))</f>
        <v>VERGA MOLDADA IN LOCO EM CONCRETO PARA JANELAS COM MAIS DE 1,5 M DE VÃO. AF_03/2016</v>
      </c>
      <c r="F99" s="638" t="str">
        <f>IFERROR(VLOOKUP($C99,'SINAPI MAIO 2020'!$1:$1048576,3,0),IFERROR(VLOOKUP($C99,'6-COMP. PROPRIA'!$B$1:$I$808,5,0),""))</f>
        <v>M</v>
      </c>
      <c r="G99" s="452">
        <f>QUANT!K360</f>
        <v>55.4</v>
      </c>
      <c r="H99" s="452">
        <f>IFERROR(VLOOKUP($C99,'SINAPI MAIO 2020'!$1:$1048576,4,0),IFERROR(VLOOKUP($C99,'6-COMP. PROPRIA'!$B$1:$I$808,8,0),""))</f>
        <v>43.91</v>
      </c>
      <c r="I99" s="452">
        <f>TRUNC(($H99*'4-BDI'!$E$29),2)</f>
        <v>56.31</v>
      </c>
      <c r="J99" s="453">
        <f t="shared" ref="J99:J101" si="34">TRUNC((G99*H99),2)</f>
        <v>2432.61</v>
      </c>
      <c r="K99" s="454">
        <f t="shared" ref="K99:K101" si="35">TRUNC((I99*G99),2)</f>
        <v>3119.57</v>
      </c>
    </row>
    <row r="100" spans="2:13" s="187" customFormat="1" ht="30">
      <c r="B100" s="468" t="s">
        <v>6250</v>
      </c>
      <c r="C100" s="450">
        <f>QUANT!C370</f>
        <v>93197</v>
      </c>
      <c r="D100" s="450" t="str">
        <f>QUANT!D370</f>
        <v>SINAPI</v>
      </c>
      <c r="E100" s="639" t="str">
        <f>IFERROR(VLOOKUP($C100,'SINAPI MAIO 2020'!$1:$1048576,2,0),IFERROR(VLOOKUP($C100,'6-COMP. PROPRIA'!$B$1:$I$808,4,0),""))</f>
        <v>CONTRAVERGA MOLDADA IN LOCO EM CONCRETO PARA VÃOS DE MAIS DE 1,5 M DE COMPRIMENTO. AF_03/2016</v>
      </c>
      <c r="F100" s="638" t="str">
        <f>IFERROR(VLOOKUP($C100,'SINAPI MAIO 2020'!$1:$1048576,3,0),IFERROR(VLOOKUP($C100,'6-COMP. PROPRIA'!$B$1:$I$808,5,0),""))</f>
        <v>M</v>
      </c>
      <c r="G100" s="452">
        <f>QUANT!K370</f>
        <v>48.300000000000004</v>
      </c>
      <c r="H100" s="452">
        <f>IFERROR(VLOOKUP($C100,'SINAPI MAIO 2020'!$1:$1048576,4,0),IFERROR(VLOOKUP($C100,'6-COMP. PROPRIA'!$B$1:$I$808,8,0),""))</f>
        <v>40.81</v>
      </c>
      <c r="I100" s="452">
        <f>TRUNC(($H100*'4-BDI'!$E$29),2)</f>
        <v>52.33</v>
      </c>
      <c r="J100" s="453">
        <f t="shared" si="34"/>
        <v>1971.12</v>
      </c>
      <c r="K100" s="454">
        <f t="shared" si="35"/>
        <v>2527.5300000000002</v>
      </c>
      <c r="L100" s="398"/>
    </row>
    <row r="101" spans="2:13" s="187" customFormat="1" ht="60">
      <c r="B101" s="468" t="s">
        <v>6306</v>
      </c>
      <c r="C101" s="450">
        <f>QUANT!C378</f>
        <v>87477</v>
      </c>
      <c r="D101" s="450" t="str">
        <f>QUANT!D378</f>
        <v>SINAPI</v>
      </c>
      <c r="E101" s="639" t="str">
        <f>IFERROR(VLOOKUP($C101,'SINAPI MAIO 2020'!$1:$1048576,2,0),IFERROR(VLOOKUP($C101,'6-COMP. PROPRIA'!$B$1:$I$808,4,0),""))</f>
        <v>ALVENARIA DE VEDAÇÃO DE BLOCOS CERÂMICOS FURADOS NA VERTICAL DE 9X19X39CM (ESPESSURA 9CM) DE PAREDES COM ÁREA LÍQUIDA MAIOR OU IGUAL A 6M² SEM VÃOS E ARGAMASSA DE ASSENTAMENTO COM PREPARO EM BETONEIRA. AF_06/2014</v>
      </c>
      <c r="F101" s="638" t="str">
        <f>IFERROR(VLOOKUP($C101,'SINAPI MAIO 2020'!$1:$1048576,3,0),IFERROR(VLOOKUP($C101,'6-COMP. PROPRIA'!$B$1:$I$808,5,0),""))</f>
        <v>M2</v>
      </c>
      <c r="G101" s="452">
        <f>QUANT!K378</f>
        <v>326.94999999999993</v>
      </c>
      <c r="H101" s="452">
        <f>IFERROR(VLOOKUP($C101,'SINAPI MAIO 2020'!$1:$1048576,4,0),IFERROR(VLOOKUP($C101,'6-COMP. PROPRIA'!$B$1:$I$808,8,0),""))</f>
        <v>35.049999999999997</v>
      </c>
      <c r="I101" s="452">
        <f>TRUNC(($H101*'4-BDI'!$E$29),2)</f>
        <v>44.94</v>
      </c>
      <c r="J101" s="453">
        <f t="shared" si="34"/>
        <v>11459.59</v>
      </c>
      <c r="K101" s="454">
        <f t="shared" si="35"/>
        <v>14693.13</v>
      </c>
    </row>
    <row r="102" spans="2:13" s="187" customFormat="1" ht="15.75">
      <c r="B102" s="746" t="s">
        <v>4710</v>
      </c>
      <c r="C102" s="747"/>
      <c r="D102" s="747"/>
      <c r="E102" s="747"/>
      <c r="F102" s="747"/>
      <c r="G102" s="747"/>
      <c r="H102" s="747"/>
      <c r="I102" s="456"/>
      <c r="J102" s="457">
        <f>TRUNC(SUM(J99:J101),2)</f>
        <v>15863.32</v>
      </c>
      <c r="K102" s="457">
        <f>TRUNC(SUM(K99:K101),2)</f>
        <v>20340.23</v>
      </c>
    </row>
    <row r="103" spans="2:13" s="187" customFormat="1" ht="15.75">
      <c r="B103" s="440" t="s">
        <v>857</v>
      </c>
      <c r="C103" s="441"/>
      <c r="D103" s="442"/>
      <c r="E103" s="469" t="str">
        <f>QUANT!E389</f>
        <v xml:space="preserve">ESTRUTURA COBERTURA </v>
      </c>
      <c r="F103" s="444"/>
      <c r="G103" s="445"/>
      <c r="H103" s="446"/>
      <c r="I103" s="446"/>
      <c r="J103" s="447"/>
      <c r="K103" s="448"/>
    </row>
    <row r="104" spans="2:13" s="187" customFormat="1" ht="45">
      <c r="B104" s="458" t="s">
        <v>6566</v>
      </c>
      <c r="C104" s="450">
        <f>QUANT!C391</f>
        <v>92616</v>
      </c>
      <c r="D104" s="450" t="str">
        <f>QUANT!D391</f>
        <v>SINAPI</v>
      </c>
      <c r="E104" s="639" t="str">
        <f>IFERROR(VLOOKUP($C104,'SINAPI MAIO 2020'!$1:$1048576,2,0),IFERROR(VLOOKUP($C104,'6-COMP. PROPRIA'!$B$1:$I$808,4,0),""))</f>
        <v>FABRICAÇÃO E INSTALAÇÃO DE TESOURA INTEIRA EM AÇO, VÃO DE 10 M, PARA TELHA ONDULADA DE FIBROCIMENTO, METÁLICA, PLÁSTICA OU TERMOACÚSTICA, INCLUSO IÇAMENTO. AF_12/2015</v>
      </c>
      <c r="F104" s="638" t="str">
        <f>IFERROR(VLOOKUP($C104,'SINAPI MAIO 2020'!$1:$1048576,3,0),IFERROR(VLOOKUP($C104,'6-COMP. PROPRIA'!$B$1:$I$808,5,0),""))</f>
        <v>UN</v>
      </c>
      <c r="G104" s="452">
        <f>QUANT!K391</f>
        <v>5</v>
      </c>
      <c r="H104" s="452">
        <f>IFERROR(VLOOKUP($C104,'SINAPI MAIO 2020'!$1:$1048576,4,0),IFERROR(VLOOKUP($C104,'6-COMP. PROPRIA'!$B$1:$I$808,8,0),""))</f>
        <v>1038.0999999999999</v>
      </c>
      <c r="I104" s="452">
        <f>TRUNC(($H104*'4-BDI'!$E$29),2)</f>
        <v>1331.25</v>
      </c>
      <c r="J104" s="453">
        <f t="shared" ref="J104" si="36">TRUNC((G104*H104),2)</f>
        <v>5190.5</v>
      </c>
      <c r="K104" s="454">
        <f t="shared" ref="K104" si="37">TRUNC((I104*G104),2)</f>
        <v>6656.25</v>
      </c>
    </row>
    <row r="105" spans="2:13" s="187" customFormat="1" ht="45">
      <c r="B105" s="458" t="s">
        <v>6567</v>
      </c>
      <c r="C105" s="450">
        <f>QUANT!C393</f>
        <v>92618</v>
      </c>
      <c r="D105" s="450" t="str">
        <f>QUANT!D393</f>
        <v>SINAPI</v>
      </c>
      <c r="E105" s="639" t="str">
        <f>IFERROR(VLOOKUP($C105,'SINAPI MAIO 2020'!$1:$1048576,2,0),IFERROR(VLOOKUP($C105,'6-COMP. PROPRIA'!$B$1:$I$808,4,0),""))</f>
        <v>FABRICAÇÃO E INSTALAÇÃO DE TESOURA INTEIRA EM AÇO, VÃO DE 11 M, PARA TELHA ONDULADA DE FIBROCIMENTO, METÁLICA, PLÁSTICA OU TERMOACÚSTICA, INCLUSO IÇAMENTO. AF_12/2015</v>
      </c>
      <c r="F105" s="638" t="str">
        <f>IFERROR(VLOOKUP($C105,'SINAPI MAIO 2020'!$1:$1048576,3,0),IFERROR(VLOOKUP($C105,'6-COMP. PROPRIA'!$B$1:$I$808,5,0),""))</f>
        <v>UN</v>
      </c>
      <c r="G105" s="452">
        <f>QUANT!K393</f>
        <v>6</v>
      </c>
      <c r="H105" s="452">
        <f>IFERROR(VLOOKUP($C105,'SINAPI MAIO 2020'!$1:$1048576,4,0),IFERROR(VLOOKUP($C105,'6-COMP. PROPRIA'!$B$1:$I$808,8,0),""))</f>
        <v>1105.95</v>
      </c>
      <c r="I105" s="452">
        <f>TRUNC(($H105*'4-BDI'!$E$29),2)</f>
        <v>1418.27</v>
      </c>
      <c r="J105" s="453">
        <f t="shared" ref="J105:J108" si="38">TRUNC((G105*H105),2)</f>
        <v>6635.7</v>
      </c>
      <c r="K105" s="454">
        <f t="shared" ref="K105:K108" si="39">TRUNC((I105*G105),2)</f>
        <v>8509.6200000000008</v>
      </c>
    </row>
    <row r="106" spans="2:13" s="187" customFormat="1" ht="45">
      <c r="B106" s="458" t="s">
        <v>6568</v>
      </c>
      <c r="C106" s="450">
        <f>QUANT!C395</f>
        <v>92610</v>
      </c>
      <c r="D106" s="450" t="str">
        <f>QUANT!D395</f>
        <v>SINAPI</v>
      </c>
      <c r="E106" s="639" t="str">
        <f>IFERROR(VLOOKUP($C106,'SINAPI MAIO 2020'!$1:$1048576,2,0),IFERROR(VLOOKUP($C106,'6-COMP. PROPRIA'!$B$1:$I$808,4,0),""))</f>
        <v>FABRICAÇÃO E INSTALAÇÃO DE TESOURA INTEIRA EM AÇO, VÃO DE 7 M, PARA TELHA ONDULADA DE FIBROCIMENTO, METÁLICA, PLÁSTICA OU TERMOACÚSTICA, INCLUSO IÇAMENTO. AF_12/2015</v>
      </c>
      <c r="F106" s="638" t="str">
        <f>IFERROR(VLOOKUP($C106,'SINAPI MAIO 2020'!$1:$1048576,3,0),IFERROR(VLOOKUP($C106,'6-COMP. PROPRIA'!$B$1:$I$808,5,0),""))</f>
        <v>UN</v>
      </c>
      <c r="G106" s="452">
        <f>QUANT!K395</f>
        <v>4</v>
      </c>
      <c r="H106" s="452">
        <f>IFERROR(VLOOKUP($C106,'SINAPI MAIO 2020'!$1:$1048576,4,0),IFERROR(VLOOKUP($C106,'6-COMP. PROPRIA'!$B$1:$I$808,8,0),""))</f>
        <v>721.74</v>
      </c>
      <c r="I106" s="452">
        <f>TRUNC(($H106*'4-BDI'!$E$29),2)</f>
        <v>925.55</v>
      </c>
      <c r="J106" s="453">
        <f t="shared" si="38"/>
        <v>2886.96</v>
      </c>
      <c r="K106" s="454">
        <f t="shared" si="39"/>
        <v>3702.2</v>
      </c>
      <c r="M106" s="398">
        <f>G101+G200</f>
        <v>507.6339999999999</v>
      </c>
    </row>
    <row r="107" spans="2:13" s="187" customFormat="1" ht="60">
      <c r="B107" s="458" t="s">
        <v>6569</v>
      </c>
      <c r="C107" s="450">
        <f>QUANT!C397</f>
        <v>92580</v>
      </c>
      <c r="D107" s="450" t="str">
        <f>QUANT!D397</f>
        <v>SINAPI</v>
      </c>
      <c r="E107" s="639" t="str">
        <f>IFERROR(VLOOKUP($C107,'SINAPI MAIO 2020'!$1:$1048576,2,0),IFERROR(VLOOKUP($C107,'6-COMP. PROPRIA'!$B$1:$I$808,4,0),""))</f>
        <v>TRAMA DE AÇO COMPOSTA POR TERÇAS PARA TELHADOS DE ATÉ 2 ÁGUAS PARA TELHA ONDULADA DE FIBROCIMENTO, METÁLICA, PLÁSTICA OU TERMOACÚSTICA, INCLUSO TRANSPORTE VERTICAL. AF_07/2019</v>
      </c>
      <c r="F107" s="638" t="str">
        <f>IFERROR(VLOOKUP($C107,'SINAPI MAIO 2020'!$1:$1048576,3,0),IFERROR(VLOOKUP($C107,'6-COMP. PROPRIA'!$B$1:$I$808,5,0),""))</f>
        <v>M2</v>
      </c>
      <c r="G107" s="452">
        <f>QUANT!K397</f>
        <v>759.64934999999991</v>
      </c>
      <c r="H107" s="452">
        <f>IFERROR(VLOOKUP($C107,'SINAPI MAIO 2020'!$1:$1048576,4,0),IFERROR(VLOOKUP($C107,'6-COMP. PROPRIA'!$B$1:$I$808,8,0),""))</f>
        <v>27.27</v>
      </c>
      <c r="I107" s="452">
        <f>TRUNC(($H107*'4-BDI'!$E$29),2)</f>
        <v>34.97</v>
      </c>
      <c r="J107" s="453">
        <f t="shared" si="38"/>
        <v>20715.63</v>
      </c>
      <c r="K107" s="454">
        <f t="shared" si="39"/>
        <v>26564.93</v>
      </c>
    </row>
    <row r="108" spans="2:13" s="187" customFormat="1" ht="45">
      <c r="B108" s="458" t="s">
        <v>6574</v>
      </c>
      <c r="C108" s="450">
        <f>QUANT!C403</f>
        <v>100721</v>
      </c>
      <c r="D108" s="450" t="str">
        <f>QUANT!D403</f>
        <v>SINAPI</v>
      </c>
      <c r="E108" s="639" t="str">
        <f>IFERROR(VLOOKUP($C108,'SINAPI MAIO 2020'!$1:$1048576,2,0),IFERROR(VLOOKUP($C108,'6-COMP. PROPRIA'!$B$1:$I$808,4,0),""))</f>
        <v>PINTURA COM TINTA ALQUÍDICA DE FUNDO (TIPO ZARCÃO) PULVERIZADA SOBRE SUPERFÍCIES METÁLICAS (EXCETO PERFIL) EXECUTADO EM OBRA (POR DEMÃO). AF_01/2020</v>
      </c>
      <c r="F108" s="638" t="str">
        <f>IFERROR(VLOOKUP($C108,'SINAPI MAIO 2020'!$1:$1048576,3,0),IFERROR(VLOOKUP($C108,'6-COMP. PROPRIA'!$B$1:$I$808,5,0),""))</f>
        <v>M2</v>
      </c>
      <c r="G108" s="452">
        <f>QUANT!K403</f>
        <v>1823.1584399999997</v>
      </c>
      <c r="H108" s="452">
        <f>IFERROR(VLOOKUP($C108,'SINAPI MAIO 2020'!$1:$1048576,4,0),IFERROR(VLOOKUP($C108,'6-COMP. PROPRIA'!$B$1:$I$808,8,0),""))</f>
        <v>16.510000000000002</v>
      </c>
      <c r="I108" s="452">
        <f>TRUNC(($H108*'4-BDI'!$E$29),2)</f>
        <v>21.17</v>
      </c>
      <c r="J108" s="453">
        <f t="shared" si="38"/>
        <v>30100.34</v>
      </c>
      <c r="K108" s="454">
        <f t="shared" si="39"/>
        <v>38596.26</v>
      </c>
    </row>
    <row r="109" spans="2:13" ht="15.75">
      <c r="B109" s="746" t="s">
        <v>4710</v>
      </c>
      <c r="C109" s="747"/>
      <c r="D109" s="747"/>
      <c r="E109" s="747"/>
      <c r="F109" s="747"/>
      <c r="G109" s="747"/>
      <c r="H109" s="747"/>
      <c r="I109" s="456"/>
      <c r="J109" s="457">
        <f>TRUNC(SUM(J104:J108),2)</f>
        <v>65529.13</v>
      </c>
      <c r="K109" s="457">
        <f>TRUNC(SUM(K104:K108),2)</f>
        <v>84029.26</v>
      </c>
      <c r="L109" s="187"/>
      <c r="M109" s="202"/>
    </row>
    <row r="110" spans="2:13" ht="15.75">
      <c r="B110" s="440" t="s">
        <v>5325</v>
      </c>
      <c r="C110" s="441"/>
      <c r="D110" s="442"/>
      <c r="E110" s="443" t="str">
        <f>QUANT!E410</f>
        <v xml:space="preserve">COBERTURA </v>
      </c>
      <c r="F110" s="444"/>
      <c r="G110" s="445"/>
      <c r="H110" s="446"/>
      <c r="I110" s="446"/>
      <c r="J110" s="447"/>
      <c r="K110" s="448"/>
      <c r="L110" s="187"/>
    </row>
    <row r="111" spans="2:13" ht="30">
      <c r="B111" s="468" t="s">
        <v>6570</v>
      </c>
      <c r="C111" s="450">
        <f>QUANT!C412</f>
        <v>94216</v>
      </c>
      <c r="D111" s="450" t="str">
        <f>QUANT!D412</f>
        <v>SINAPI</v>
      </c>
      <c r="E111" s="639" t="str">
        <f>IFERROR(VLOOKUP($C111,'SINAPI MAIO 2020'!$1:$1048576,2,0),IFERROR(VLOOKUP($C111,'6-COMP. PROPRIA'!$B$1:$I$808,4,0),""))</f>
        <v>TELHAMENTO COM TELHA METÁLICA TERMOACÚSTICA E = 30 MM, COM ATÉ 2 ÁGUAS, INCLUSO IÇAMENTO. AF_07/2019</v>
      </c>
      <c r="F111" s="638" t="str">
        <f>IFERROR(VLOOKUP($C111,'SINAPI MAIO 2020'!$1:$1048576,3,0),IFERROR(VLOOKUP($C111,'6-COMP. PROPRIA'!$B$1:$I$808,5,0),""))</f>
        <v>M2</v>
      </c>
      <c r="G111" s="452">
        <f>QUANT!K412</f>
        <v>759.64934999999991</v>
      </c>
      <c r="H111" s="452">
        <f>IFERROR(VLOOKUP($C111,'SINAPI MAIO 2020'!$1:$1048576,4,0),IFERROR(VLOOKUP($C111,'6-COMP. PROPRIA'!$B$1:$I$808,8,0),""))</f>
        <v>124.7</v>
      </c>
      <c r="I111" s="452">
        <f>TRUNC(($H111*'4-BDI'!$E$29),2)</f>
        <v>159.91</v>
      </c>
      <c r="J111" s="453">
        <f t="shared" ref="J111" si="40">TRUNC((G111*H111),2)</f>
        <v>94728.27</v>
      </c>
      <c r="K111" s="454">
        <f t="shared" ref="K111" si="41">TRUNC((I111*G111),2)</f>
        <v>121475.52</v>
      </c>
      <c r="L111" s="187"/>
    </row>
    <row r="112" spans="2:13" ht="15">
      <c r="B112" s="468" t="s">
        <v>6571</v>
      </c>
      <c r="C112" s="450" t="str">
        <f>QUANT!C420</f>
        <v>CP-COB-01</v>
      </c>
      <c r="D112" s="450" t="str">
        <f>QUANT!D420</f>
        <v>PROPRIA</v>
      </c>
      <c r="E112" s="639" t="str">
        <f>IFERROR(VLOOKUP($C112,'SINAPI MAIO 2020'!$1:$1048576,2,0),IFERROR(VLOOKUP($C112,'6-COMP. PROPRIA'!$B$1:$I$808,4,0),""))</f>
        <v xml:space="preserve">CUMEEIRA PARA TELHA METÁLICA TERMOACÚSTICA </v>
      </c>
      <c r="F112" s="638" t="str">
        <f>IFERROR(VLOOKUP($C112,'SINAPI MAIO 2020'!$1:$1048576,3,0),IFERROR(VLOOKUP($C112,'6-COMP. PROPRIA'!$B$1:$I$808,5,0),""))</f>
        <v>M</v>
      </c>
      <c r="G112" s="452">
        <f>QUANT!K420</f>
        <v>81.819999999999993</v>
      </c>
      <c r="H112" s="452">
        <f>IFERROR(VLOOKUP($C112,'SINAPI MAIO 2020'!$1:$1048576,4,0),IFERROR(VLOOKUP($C112,'6-COMP. PROPRIA'!$B$1:$I$808,8,0),""))</f>
        <v>151.72</v>
      </c>
      <c r="I112" s="452">
        <f>TRUNC(($H112*'4-BDI'!$E$29),2)</f>
        <v>194.56</v>
      </c>
      <c r="J112" s="453">
        <f t="shared" ref="J112:J113" si="42">TRUNC((G112*H112),2)</f>
        <v>12413.73</v>
      </c>
      <c r="K112" s="454">
        <f t="shared" ref="K112:K113" si="43">TRUNC((I112*G112),2)</f>
        <v>15918.89</v>
      </c>
      <c r="L112" s="187"/>
    </row>
    <row r="113" spans="2:12" ht="30">
      <c r="B113" s="468" t="s">
        <v>6572</v>
      </c>
      <c r="C113" s="450">
        <f>QUANT!C427</f>
        <v>93204</v>
      </c>
      <c r="D113" s="450" t="str">
        <f>QUANT!D427</f>
        <v>SINAPI</v>
      </c>
      <c r="E113" s="639" t="str">
        <f>IFERROR(VLOOKUP($C113,'SINAPI MAIO 2020'!$1:$1048576,2,0),IFERROR(VLOOKUP($C113,'6-COMP. PROPRIA'!$B$1:$I$808,4,0),""))</f>
        <v>CINTA DE AMARRAÇÃO DE ALVENARIA MOLDADA IN LOCO EM CONCRETO. AF_03/2016</v>
      </c>
      <c r="F113" s="638" t="str">
        <f>IFERROR(VLOOKUP($C113,'SINAPI MAIO 2020'!$1:$1048576,3,0),IFERROR(VLOOKUP($C113,'6-COMP. PROPRIA'!$B$1:$I$808,5,0),""))</f>
        <v>M</v>
      </c>
      <c r="G113" s="452">
        <f>QUANT!K427</f>
        <v>251.48</v>
      </c>
      <c r="H113" s="452">
        <f>IFERROR(VLOOKUP($C113,'SINAPI MAIO 2020'!$1:$1048576,4,0),IFERROR(VLOOKUP($C113,'6-COMP. PROPRIA'!$B$1:$I$808,8,0),""))</f>
        <v>29.8</v>
      </c>
      <c r="I113" s="452">
        <f>TRUNC(($H113*'4-BDI'!$E$29),2)</f>
        <v>38.21</v>
      </c>
      <c r="J113" s="453">
        <f t="shared" si="42"/>
        <v>7494.1</v>
      </c>
      <c r="K113" s="454">
        <f t="shared" si="43"/>
        <v>9609.0499999999993</v>
      </c>
      <c r="L113" s="187"/>
    </row>
    <row r="114" spans="2:12" s="187" customFormat="1" ht="30">
      <c r="B114" s="468" t="s">
        <v>12930</v>
      </c>
      <c r="C114" s="470" t="str">
        <f>QUANT!C434</f>
        <v>74111/1</v>
      </c>
      <c r="D114" s="470" t="str">
        <f>QUANT!D434</f>
        <v>SINAPI</v>
      </c>
      <c r="E114" s="639" t="str">
        <f>IFERROR(VLOOKUP($C114,'SINAPI MAIO 2020'!$1:$1048576,2,0),IFERROR(VLOOKUP($C114,'6-COMP. PROPRIA'!$B$1:$I$808,4,0),""))</f>
        <v>SOLEIRA / TABEIRA EM MARMORE BRANCO COMUM, POLIDO, LARGURA 5 CM, ESPESSURA 2 CM, ASSENTADA COM ARGAMASSA COLANTE</v>
      </c>
      <c r="F114" s="638" t="str">
        <f>IFERROR(VLOOKUP($C114,'SINAPI MAIO 2020'!$1:$1048576,3,0),IFERROR(VLOOKUP($C114,'6-COMP. PROPRIA'!$B$1:$I$808,5,0),""))</f>
        <v>M</v>
      </c>
      <c r="G114" s="452">
        <f>QUANT!K434</f>
        <v>110.48</v>
      </c>
      <c r="H114" s="452">
        <f>IFERROR(VLOOKUP($C114,'SINAPI MAIO 2020'!$1:$1048576,4,0),IFERROR(VLOOKUP($C114,'6-COMP. PROPRIA'!$B$1:$I$808,8,0),""))</f>
        <v>34.14</v>
      </c>
      <c r="I114" s="452">
        <f>TRUNC(($H114*'4-BDI'!$E$29),2)</f>
        <v>43.78</v>
      </c>
      <c r="J114" s="453">
        <f t="shared" ref="J114" si="44">TRUNC((G114*H114),2)</f>
        <v>3771.78</v>
      </c>
      <c r="K114" s="454">
        <f t="shared" ref="K114" si="45">TRUNC((I114*G114),2)</f>
        <v>4836.8100000000004</v>
      </c>
    </row>
    <row r="115" spans="2:12" ht="15.75">
      <c r="B115" s="746" t="s">
        <v>4710</v>
      </c>
      <c r="C115" s="747"/>
      <c r="D115" s="747"/>
      <c r="E115" s="747"/>
      <c r="F115" s="747"/>
      <c r="G115" s="747"/>
      <c r="H115" s="747"/>
      <c r="I115" s="456"/>
      <c r="J115" s="457">
        <f>TRUNC(SUM(J111:J114),2)</f>
        <v>118407.88</v>
      </c>
      <c r="K115" s="457">
        <f>TRUNC(SUM(K111:K114),2)</f>
        <v>151840.26999999999</v>
      </c>
      <c r="L115" s="187"/>
    </row>
    <row r="116" spans="2:12" ht="15.75">
      <c r="B116" s="440" t="s">
        <v>5326</v>
      </c>
      <c r="C116" s="441"/>
      <c r="D116" s="442"/>
      <c r="E116" s="443" t="str">
        <f>QUANT!E440</f>
        <v xml:space="preserve">ESQUADRIAS </v>
      </c>
      <c r="F116" s="444"/>
      <c r="G116" s="445"/>
      <c r="H116" s="446"/>
      <c r="I116" s="446"/>
      <c r="J116" s="447"/>
      <c r="K116" s="448"/>
      <c r="L116" s="187"/>
    </row>
    <row r="117" spans="2:12" ht="35.25" customHeight="1">
      <c r="B117" s="458" t="s">
        <v>5327</v>
      </c>
      <c r="C117" s="450">
        <f>QUANT!C442</f>
        <v>91341</v>
      </c>
      <c r="D117" s="450" t="str">
        <f>QUANT!D442</f>
        <v>SINAPI</v>
      </c>
      <c r="E117" s="639" t="str">
        <f>IFERROR(VLOOKUP($C117,'SINAPI MAIO 2020'!$1:$1048576,2,0),IFERROR(VLOOKUP($C117,'6-COMP. PROPRIA'!$B$1:$I$808,4,0),""))</f>
        <v>PORTA EM ALUMÍNIO DE ABRIR TIPO VENEZIANA COM GUARNIÇÃO, FIXAÇÃO COM PARAFUSOS - FORNECIMENTO E INSTALAÇÃO. AF_12/2019</v>
      </c>
      <c r="F117" s="638" t="str">
        <f>IFERROR(VLOOKUP($C117,'SINAPI MAIO 2020'!$1:$1048576,3,0),IFERROR(VLOOKUP($C117,'6-COMP. PROPRIA'!$B$1:$I$808,5,0),""))</f>
        <v>M2</v>
      </c>
      <c r="G117" s="452">
        <f>QUANT!K442</f>
        <v>5.0999999999999996</v>
      </c>
      <c r="H117" s="452">
        <f>IFERROR(VLOOKUP($C117,'SINAPI MAIO 2020'!$1:$1048576,4,0),IFERROR(VLOOKUP($C117,'6-COMP. PROPRIA'!$B$1:$I$808,8,0),""))</f>
        <v>597.25</v>
      </c>
      <c r="I117" s="452">
        <f>TRUNC(($H117*'4-BDI'!$E$29),2)</f>
        <v>765.91</v>
      </c>
      <c r="J117" s="453">
        <f t="shared" ref="J117" si="46">TRUNC((G117*H117),2)</f>
        <v>3045.97</v>
      </c>
      <c r="K117" s="454">
        <f t="shared" ref="K117" si="47">TRUNC((I117*G117),2)</f>
        <v>3906.14</v>
      </c>
      <c r="L117" s="187"/>
    </row>
    <row r="118" spans="2:12" ht="30">
      <c r="B118" s="458" t="s">
        <v>5328</v>
      </c>
      <c r="C118" s="450" t="str">
        <f>QUANT!C446</f>
        <v>CP-ESQ-01</v>
      </c>
      <c r="D118" s="450" t="str">
        <f>QUANT!D446</f>
        <v>PROPRIA</v>
      </c>
      <c r="E118" s="639" t="str">
        <f>IFERROR(VLOOKUP($C118,'SINAPI MAIO 2020'!$1:$1048576,2,0),IFERROR(VLOOKUP($C118,'6-COMP. PROPRIA'!$B$1:$I$808,4,0),""))</f>
        <v>PORTA DE FERRO DE ABRIR TIPO BARRA CHATA, COM REQUADRO E GUARNICAO COMPLETA</v>
      </c>
      <c r="F118" s="638" t="str">
        <f>IFERROR(VLOOKUP($C118,'SINAPI MAIO 2020'!$1:$1048576,3,0),IFERROR(VLOOKUP($C118,'6-COMP. PROPRIA'!$B$1:$I$808,5,0),""))</f>
        <v xml:space="preserve">M2    </v>
      </c>
      <c r="G118" s="452">
        <f>QUANT!K446</f>
        <v>27.300000000000004</v>
      </c>
      <c r="H118" s="452">
        <f>IFERROR(VLOOKUP($C118,'SINAPI MAIO 2020'!$1:$1048576,4,0),IFERROR(VLOOKUP($C118,'6-COMP. PROPRIA'!$B$1:$I$808,8,0),""))</f>
        <v>495.11</v>
      </c>
      <c r="I118" s="452">
        <f>TRUNC(($H118*'4-BDI'!$E$29),2)</f>
        <v>634.91999999999996</v>
      </c>
      <c r="J118" s="453">
        <f t="shared" ref="J118:J122" si="48">TRUNC((G118*H118),2)</f>
        <v>13516.5</v>
      </c>
      <c r="K118" s="454">
        <f t="shared" ref="K118:K122" si="49">TRUNC((I118*G118),2)</f>
        <v>17333.310000000001</v>
      </c>
      <c r="L118" s="187"/>
    </row>
    <row r="119" spans="2:12" ht="60">
      <c r="B119" s="458" t="s">
        <v>14830</v>
      </c>
      <c r="C119" s="450">
        <f>QUANT!C452</f>
        <v>94573</v>
      </c>
      <c r="D119" s="450" t="str">
        <f>QUANT!D452</f>
        <v>SINAPI</v>
      </c>
      <c r="E119" s="639" t="str">
        <f>IFERROR(VLOOKUP($C119,'SINAPI MAIO 2020'!$1:$1048576,2,0),IFERROR(VLOOKUP($C119,'6-COMP. PROPRIA'!$B$1:$I$808,4,0),""))</f>
        <v>JANELA DE ALUMÍNIO DE CORRER COM 4 FOLHAS PARA VIDROS, COM VIDROS, BATENTE, ACABAMENTO COM ACETATO OU BRILHANTE E FERRAGENS. EXCLUSIVE ALIZAR E CONTRAMARCO. FORNECIMENTO E INSTALAÇÃO. AF_12/2019</v>
      </c>
      <c r="F119" s="638" t="str">
        <f>IFERROR(VLOOKUP($C119,'SINAPI MAIO 2020'!$1:$1048576,3,0),IFERROR(VLOOKUP($C119,'6-COMP. PROPRIA'!$B$1:$I$808,5,0),""))</f>
        <v>M2</v>
      </c>
      <c r="G119" s="452">
        <f>QUANT!K452</f>
        <v>52</v>
      </c>
      <c r="H119" s="452">
        <f>IFERROR(VLOOKUP($C119,'SINAPI MAIO 2020'!$1:$1048576,4,0),IFERROR(VLOOKUP($C119,'6-COMP. PROPRIA'!$B$1:$I$808,8,0),""))</f>
        <v>301.47000000000003</v>
      </c>
      <c r="I119" s="452">
        <f>TRUNC(($H119*'4-BDI'!$E$29),2)</f>
        <v>386.6</v>
      </c>
      <c r="J119" s="453">
        <f t="shared" si="48"/>
        <v>15676.44</v>
      </c>
      <c r="K119" s="454">
        <f t="shared" si="49"/>
        <v>20103.2</v>
      </c>
      <c r="L119" s="187"/>
    </row>
    <row r="120" spans="2:12" ht="45">
      <c r="B120" s="458" t="s">
        <v>5332</v>
      </c>
      <c r="C120" s="450">
        <f>QUANT!C456</f>
        <v>94569</v>
      </c>
      <c r="D120" s="450" t="str">
        <f>QUANT!D456</f>
        <v>SINAPI</v>
      </c>
      <c r="E120" s="639" t="str">
        <f>IFERROR(VLOOKUP($C120,'SINAPI MAIO 2020'!$1:$1048576,2,0),IFERROR(VLOOKUP($C120,'6-COMP. PROPRIA'!$B$1:$I$808,4,0),""))</f>
        <v>JANELA DE ALUMÍNIO TIPO MAXIM-AR, COM VIDROS, BATENTE E FERRAGENS. EXCLUSIVE ALIZAR, ACABAMENTO E CONTRAMARCO. FORNECIMENTO E INSTALAÇÃO. AF_12/2019</v>
      </c>
      <c r="F120" s="638" t="str">
        <f>IFERROR(VLOOKUP($C120,'SINAPI MAIO 2020'!$1:$1048576,3,0),IFERROR(VLOOKUP($C120,'6-COMP. PROPRIA'!$B$1:$I$808,5,0),""))</f>
        <v>M2</v>
      </c>
      <c r="G120" s="452">
        <f>QUANT!K456</f>
        <v>9</v>
      </c>
      <c r="H120" s="452">
        <f>IFERROR(VLOOKUP($C120,'SINAPI MAIO 2020'!$1:$1048576,4,0),IFERROR(VLOOKUP($C120,'6-COMP. PROPRIA'!$B$1:$I$808,8,0),""))</f>
        <v>416.47</v>
      </c>
      <c r="I120" s="452">
        <f>TRUNC(($H120*'4-BDI'!$E$29),2)</f>
        <v>534.08000000000004</v>
      </c>
      <c r="J120" s="453">
        <f t="shared" si="48"/>
        <v>3748.23</v>
      </c>
      <c r="K120" s="454">
        <f t="shared" si="49"/>
        <v>4806.72</v>
      </c>
      <c r="L120" s="187"/>
    </row>
    <row r="121" spans="2:12" ht="60">
      <c r="B121" s="458" t="s">
        <v>5333</v>
      </c>
      <c r="C121" s="450" t="str">
        <f>QUANT!C463</f>
        <v>CP-ESQ-02</v>
      </c>
      <c r="D121" s="450" t="str">
        <f>QUANT!D463</f>
        <v>PROPRIA</v>
      </c>
      <c r="E121" s="639" t="str">
        <f>IFERROR(VLOOKUP($C121,'SINAPI MAIO 2020'!$1:$1048576,2,0),IFERROR(VLOOKUP($C121,'6-COMP. PROPRIA'!$B$1:$I$808,4,0),""))</f>
        <v>JANELA DE ALUMÍNIO DE CORRER, 2 FOLHAS, FIXAÇÃO COM ARGAMASSA, COM VIDROS, PADRONIZADA INCLUSO PEITORIL EM GRANILITE 60CM (ABERTURA NA VERTICAL "PASSA PRATO" - FORNECIMENTO E INSTALAÇÃO</v>
      </c>
      <c r="F121" s="638" t="str">
        <f>IFERROR(VLOOKUP($C121,'SINAPI MAIO 2020'!$1:$1048576,3,0),IFERROR(VLOOKUP($C121,'6-COMP. PROPRIA'!$B$1:$I$808,5,0),""))</f>
        <v>UNI</v>
      </c>
      <c r="G121" s="452">
        <f>QUANT!K463</f>
        <v>1</v>
      </c>
      <c r="H121" s="452">
        <f>IFERROR(VLOOKUP($C121,'SINAPI MAIO 2020'!$1:$1048576,4,0),IFERROR(VLOOKUP($C121,'6-COMP. PROPRIA'!$B$1:$I$808,8,0),""))</f>
        <v>620.84</v>
      </c>
      <c r="I121" s="452">
        <f>TRUNC(($H121*'4-BDI'!$E$29),2)</f>
        <v>796.16</v>
      </c>
      <c r="J121" s="453">
        <f t="shared" si="48"/>
        <v>620.84</v>
      </c>
      <c r="K121" s="454">
        <f t="shared" si="49"/>
        <v>796.16</v>
      </c>
      <c r="L121" s="187"/>
    </row>
    <row r="122" spans="2:12" ht="45">
      <c r="B122" s="458" t="s">
        <v>5334</v>
      </c>
      <c r="C122" s="450" t="str">
        <f>QUANT!C468</f>
        <v>CP-ESQ-03</v>
      </c>
      <c r="D122" s="450" t="str">
        <f>QUANT!D468</f>
        <v>PROPRIA</v>
      </c>
      <c r="E122" s="639" t="str">
        <f>IFERROR(VLOOKUP($C122,'SINAPI MAIO 2020'!$1:$1048576,2,0),IFERROR(VLOOKUP($C122,'6-COMP. PROPRIA'!$B$1:$I$808,4,0),""))</f>
        <v>PORTAO DE FERRO, DE ABRIR, TIPO CHAPA CORRUGADA, COM GUARNICOES E FECHADURA, FORNECIMENTO E INSTALAÇÃO (1,00 X 2,10)M</v>
      </c>
      <c r="F122" s="638" t="str">
        <f>IFERROR(VLOOKUP($C122,'SINAPI MAIO 2020'!$1:$1048576,3,0),IFERROR(VLOOKUP($C122,'6-COMP. PROPRIA'!$B$1:$I$808,5,0),""))</f>
        <v>UN</v>
      </c>
      <c r="G122" s="452">
        <f>QUANT!K468</f>
        <v>1</v>
      </c>
      <c r="H122" s="452">
        <f>IFERROR(VLOOKUP($C122,'SINAPI MAIO 2020'!$1:$1048576,4,0),IFERROR(VLOOKUP($C122,'6-COMP. PROPRIA'!$B$1:$I$808,8,0),""))</f>
        <v>709.01</v>
      </c>
      <c r="I122" s="452">
        <f>TRUNC(($H122*'4-BDI'!$E$29),2)</f>
        <v>909.23</v>
      </c>
      <c r="J122" s="453">
        <f t="shared" si="48"/>
        <v>709.01</v>
      </c>
      <c r="K122" s="454">
        <f t="shared" si="49"/>
        <v>909.23</v>
      </c>
      <c r="L122" s="187"/>
    </row>
    <row r="123" spans="2:12" ht="15.75">
      <c r="B123" s="746" t="s">
        <v>4710</v>
      </c>
      <c r="C123" s="747"/>
      <c r="D123" s="747"/>
      <c r="E123" s="747"/>
      <c r="F123" s="747"/>
      <c r="G123" s="747"/>
      <c r="H123" s="747"/>
      <c r="I123" s="456"/>
      <c r="J123" s="457">
        <f>TRUNC(SUM(J117:J122),2)</f>
        <v>37316.99</v>
      </c>
      <c r="K123" s="457">
        <f>TRUNC(SUM(K117:K122),2)</f>
        <v>47854.76</v>
      </c>
      <c r="L123" s="187"/>
    </row>
    <row r="124" spans="2:12" ht="15.75">
      <c r="B124" s="440" t="s">
        <v>5329</v>
      </c>
      <c r="C124" s="441"/>
      <c r="D124" s="442"/>
      <c r="E124" s="443" t="str">
        <f>QUANT!E474</f>
        <v>PISOS INTERNOS, EXTERNOS E CALÇAMENTOS</v>
      </c>
      <c r="F124" s="444"/>
      <c r="G124" s="445"/>
      <c r="H124" s="446"/>
      <c r="I124" s="446"/>
      <c r="J124" s="447"/>
      <c r="K124" s="448"/>
      <c r="L124" s="187"/>
    </row>
    <row r="125" spans="2:12" ht="30">
      <c r="B125" s="471" t="s">
        <v>6255</v>
      </c>
      <c r="C125" s="450">
        <f>QUANT!C476</f>
        <v>84191</v>
      </c>
      <c r="D125" s="450" t="str">
        <f>QUANT!D476</f>
        <v>SINAPI</v>
      </c>
      <c r="E125" s="639" t="str">
        <f>IFERROR(VLOOKUP($C125,'SINAPI MAIO 2020'!$1:$1048576,2,0),IFERROR(VLOOKUP($C125,'6-COMP. PROPRIA'!$B$1:$I$808,4,0),""))</f>
        <v>PISO EM GRANILITE, MARMORITE OU GRANITINA ESPESSURA 8 MM, INCLUSO JUNTAS DE DILATACAO PLASTICAS</v>
      </c>
      <c r="F125" s="638" t="str">
        <f>IFERROR(VLOOKUP($C125,'SINAPI MAIO 2020'!$1:$1048576,3,0),IFERROR(VLOOKUP($C125,'6-COMP. PROPRIA'!$B$1:$I$808,5,0),""))</f>
        <v>M2</v>
      </c>
      <c r="G125" s="452">
        <f>QUANT!K476</f>
        <v>374.32</v>
      </c>
      <c r="H125" s="452">
        <f>IFERROR(VLOOKUP($C125,'SINAPI MAIO 2020'!$1:$1048576,4,0),IFERROR(VLOOKUP($C125,'6-COMP. PROPRIA'!$B$1:$I$808,8,0),""))</f>
        <v>96.14</v>
      </c>
      <c r="I125" s="452">
        <f>TRUNC(($H125*'4-BDI'!$E$29),2)</f>
        <v>123.28</v>
      </c>
      <c r="J125" s="453">
        <f t="shared" ref="J125" si="50">TRUNC((G125*H125),2)</f>
        <v>35987.120000000003</v>
      </c>
      <c r="K125" s="454">
        <f t="shared" ref="K125" si="51">TRUNC((I125*G125),2)</f>
        <v>46146.16</v>
      </c>
      <c r="L125" s="187"/>
    </row>
    <row r="126" spans="2:12" ht="30">
      <c r="B126" s="471" t="s">
        <v>6256</v>
      </c>
      <c r="C126" s="450">
        <f>QUANT!C484</f>
        <v>95241</v>
      </c>
      <c r="D126" s="450" t="str">
        <f>QUANT!D484</f>
        <v>SINAPI</v>
      </c>
      <c r="E126" s="639" t="str">
        <f>IFERROR(VLOOKUP($C126,'SINAPI MAIO 2020'!$1:$1048576,2,0),IFERROR(VLOOKUP($C126,'6-COMP. PROPRIA'!$B$1:$I$808,4,0),""))</f>
        <v>LASTRO DE CONCRETO MAGRO, APLICADO EM PISOS OU RADIERS, ESPESSURA DE 5 CM. AF_07/2016</v>
      </c>
      <c r="F126" s="638" t="str">
        <f>IFERROR(VLOOKUP($C126,'SINAPI MAIO 2020'!$1:$1048576,3,0),IFERROR(VLOOKUP($C126,'6-COMP. PROPRIA'!$B$1:$I$808,5,0),""))</f>
        <v>M2</v>
      </c>
      <c r="G126" s="452">
        <f>QUANT!K484</f>
        <v>222.41</v>
      </c>
      <c r="H126" s="452">
        <f>IFERROR(VLOOKUP($C126,'SINAPI MAIO 2020'!$1:$1048576,4,0),IFERROR(VLOOKUP($C126,'6-COMP. PROPRIA'!$B$1:$I$808,8,0),""))</f>
        <v>20.23</v>
      </c>
      <c r="I126" s="452">
        <f>TRUNC(($H126*'4-BDI'!$E$29),2)</f>
        <v>25.94</v>
      </c>
      <c r="J126" s="453">
        <f t="shared" ref="J126:J131" si="52">TRUNC((G126*H126),2)</f>
        <v>4499.3500000000004</v>
      </c>
      <c r="K126" s="454">
        <f t="shared" ref="K126:K131" si="53">TRUNC((I126*G126),2)</f>
        <v>5769.31</v>
      </c>
      <c r="L126" s="187"/>
    </row>
    <row r="127" spans="2:12" ht="45">
      <c r="B127" s="471" t="s">
        <v>5335</v>
      </c>
      <c r="C127" s="450">
        <f>QUANT!C494</f>
        <v>87640</v>
      </c>
      <c r="D127" s="450" t="str">
        <f>QUANT!D494</f>
        <v>SINAPI</v>
      </c>
      <c r="E127" s="639" t="str">
        <f>IFERROR(VLOOKUP($C127,'SINAPI MAIO 2020'!$1:$1048576,2,0),IFERROR(VLOOKUP($C127,'6-COMP. PROPRIA'!$B$1:$I$808,4,0),""))</f>
        <v>CONTRAPISO EM ARGAMASSA TRAÇO 1:4 (CIMENTO E AREIA), PREPARO MECÂNICO COM BETONEIRA 400 L, APLICADO EM ÁREAS SECAS SOBRE LAJE, ADERIDO, ESPESSURA 4CM. AF_06/2014</v>
      </c>
      <c r="F127" s="638" t="str">
        <f>IFERROR(VLOOKUP($C127,'SINAPI MAIO 2020'!$1:$1048576,3,0),IFERROR(VLOOKUP($C127,'6-COMP. PROPRIA'!$B$1:$I$808,5,0),""))</f>
        <v>M2</v>
      </c>
      <c r="G127" s="452">
        <f>QUANT!K494</f>
        <v>222.41</v>
      </c>
      <c r="H127" s="452">
        <f>IFERROR(VLOOKUP($C127,'SINAPI MAIO 2020'!$1:$1048576,4,0),IFERROR(VLOOKUP($C127,'6-COMP. PROPRIA'!$B$1:$I$808,8,0),""))</f>
        <v>32.47</v>
      </c>
      <c r="I127" s="452">
        <f>TRUNC(($H127*'4-BDI'!$E$29),2)</f>
        <v>41.63</v>
      </c>
      <c r="J127" s="453">
        <f t="shared" si="52"/>
        <v>7221.65</v>
      </c>
      <c r="K127" s="454">
        <f t="shared" si="53"/>
        <v>9258.92</v>
      </c>
      <c r="L127" s="187"/>
    </row>
    <row r="128" spans="2:12" ht="45">
      <c r="B128" s="471" t="s">
        <v>6257</v>
      </c>
      <c r="C128" s="450">
        <f>QUANT!C500</f>
        <v>87257</v>
      </c>
      <c r="D128" s="450" t="str">
        <f>QUANT!D500</f>
        <v>SINAPI</v>
      </c>
      <c r="E128" s="639" t="str">
        <f>IFERROR(VLOOKUP($C128,'SINAPI MAIO 2020'!$1:$1048576,2,0),IFERROR(VLOOKUP($C128,'6-COMP. PROPRIA'!$B$1:$I$808,4,0),""))</f>
        <v>REVESTIMENTO CERÂMICO PARA PISO COM PLACAS TIPO ESMALTADA EXTRA DE DIMENSÕES 60X60 CM APLICADA EM AMBIENTES DE ÁREA MAIOR QUE 10 M2. AF_06/2014</v>
      </c>
      <c r="F128" s="638" t="str">
        <f>IFERROR(VLOOKUP($C128,'SINAPI MAIO 2020'!$1:$1048576,3,0),IFERROR(VLOOKUP($C128,'6-COMP. PROPRIA'!$B$1:$I$808,5,0),""))</f>
        <v>M2</v>
      </c>
      <c r="G128" s="452">
        <f>QUANT!K500</f>
        <v>64.900000000000006</v>
      </c>
      <c r="H128" s="452">
        <f>IFERROR(VLOOKUP($C128,'SINAPI MAIO 2020'!$1:$1048576,4,0),IFERROR(VLOOKUP($C128,'6-COMP. PROPRIA'!$B$1:$I$808,8,0),""))</f>
        <v>50.08</v>
      </c>
      <c r="I128" s="452">
        <f>TRUNC(($H128*'4-BDI'!$E$29),2)</f>
        <v>64.22</v>
      </c>
      <c r="J128" s="453">
        <f t="shared" si="52"/>
        <v>3250.19</v>
      </c>
      <c r="K128" s="454">
        <f t="shared" si="53"/>
        <v>4167.87</v>
      </c>
      <c r="L128" s="187"/>
    </row>
    <row r="129" spans="2:13" ht="30">
      <c r="B129" s="471" t="s">
        <v>6258</v>
      </c>
      <c r="C129" s="450">
        <f>QUANT!C510</f>
        <v>88650</v>
      </c>
      <c r="D129" s="450" t="str">
        <f>QUANT!D510</f>
        <v>SINAPI</v>
      </c>
      <c r="E129" s="639" t="str">
        <f>IFERROR(VLOOKUP($C129,'SINAPI MAIO 2020'!$1:$1048576,2,0),IFERROR(VLOOKUP($C129,'6-COMP. PROPRIA'!$B$1:$I$808,4,0),""))</f>
        <v>RODAPÉ CERÂMICO DE 7CM DE ALTURA COM PLACAS TIPO ESMALTADA EXTRA DE DIMENSÕES 60X60CM. AF_06/2014</v>
      </c>
      <c r="F129" s="638" t="str">
        <f>IFERROR(VLOOKUP($C129,'SINAPI MAIO 2020'!$1:$1048576,3,0),IFERROR(VLOOKUP($C129,'6-COMP. PROPRIA'!$B$1:$I$808,5,0),""))</f>
        <v>M</v>
      </c>
      <c r="G129" s="452">
        <f>QUANT!K510</f>
        <v>259.64999999999998</v>
      </c>
      <c r="H129" s="452">
        <f>IFERROR(VLOOKUP($C129,'SINAPI MAIO 2020'!$1:$1048576,4,0),IFERROR(VLOOKUP($C129,'6-COMP. PROPRIA'!$B$1:$I$808,8,0),""))</f>
        <v>8.99</v>
      </c>
      <c r="I129" s="452">
        <f>TRUNC(($H129*'4-BDI'!$E$29),2)</f>
        <v>11.52</v>
      </c>
      <c r="J129" s="453">
        <f t="shared" si="52"/>
        <v>2334.25</v>
      </c>
      <c r="K129" s="454">
        <f t="shared" si="53"/>
        <v>2991.16</v>
      </c>
      <c r="L129" s="187"/>
    </row>
    <row r="130" spans="2:13" ht="45">
      <c r="B130" s="471" t="s">
        <v>6259</v>
      </c>
      <c r="C130" s="450">
        <f>QUANT!C519</f>
        <v>94992</v>
      </c>
      <c r="D130" s="450" t="str">
        <f>QUANT!D519</f>
        <v>SINAPI</v>
      </c>
      <c r="E130" s="639" t="str">
        <f>IFERROR(VLOOKUP($C130,'SINAPI MAIO 2020'!$1:$1048576,2,0),IFERROR(VLOOKUP($C130,'6-COMP. PROPRIA'!$B$1:$I$808,4,0),""))</f>
        <v>EXECUÇÃO DE PASSEIO (CALÇADA) OU PISO DE CONCRETO COM CONCRETO MOLDADO IN LOCO, FEITO EM OBRA, ACABAMENTO CONVENCIONAL, ESPESSURA 6 CM, ARMADO. AF_07/2016</v>
      </c>
      <c r="F130" s="638" t="str">
        <f>IFERROR(VLOOKUP($C130,'SINAPI MAIO 2020'!$1:$1048576,3,0),IFERROR(VLOOKUP($C130,'6-COMP. PROPRIA'!$B$1:$I$808,5,0),""))</f>
        <v>M2</v>
      </c>
      <c r="G130" s="452">
        <f>QUANT!K519</f>
        <v>164.18</v>
      </c>
      <c r="H130" s="452">
        <f>IFERROR(VLOOKUP($C130,'SINAPI MAIO 2020'!$1:$1048576,4,0),IFERROR(VLOOKUP($C130,'6-COMP. PROPRIA'!$B$1:$I$808,8,0),""))</f>
        <v>58.47</v>
      </c>
      <c r="I130" s="452">
        <f>TRUNC(($H130*'4-BDI'!$E$29),2)</f>
        <v>74.98</v>
      </c>
      <c r="J130" s="453">
        <f t="shared" si="52"/>
        <v>9599.6</v>
      </c>
      <c r="K130" s="454">
        <f t="shared" si="53"/>
        <v>12310.21</v>
      </c>
      <c r="L130" s="187"/>
    </row>
    <row r="131" spans="2:13" ht="45">
      <c r="B131" s="471" t="s">
        <v>6260</v>
      </c>
      <c r="C131" s="450">
        <f>QUANT!C524</f>
        <v>94267</v>
      </c>
      <c r="D131" s="450" t="str">
        <f>QUANT!D524</f>
        <v>SINAPI</v>
      </c>
      <c r="E131" s="639" t="str">
        <f>IFERROR(VLOOKUP($C131,'SINAPI MAIO 2020'!$1:$1048576,2,0),IFERROR(VLOOKUP($C131,'6-COMP. PROPRIA'!$B$1:$I$808,4,0),""))</f>
        <v>GUIA (MEIO-FIO) E SARJETA CONJUGADOS DE CONCRETO, MOLDADA  IN LOCO  EM TRECHO RETO COM EXTRUSORA, 45 CM BASE (15 CM BASE DA GUIA + 30 CM BASE DA SARJETA) X 22 CM ALTURA. AF_06/2016</v>
      </c>
      <c r="F131" s="638" t="str">
        <f>IFERROR(VLOOKUP($C131,'SINAPI MAIO 2020'!$1:$1048576,3,0),IFERROR(VLOOKUP($C131,'6-COMP. PROPRIA'!$B$1:$I$808,5,0),""))</f>
        <v>M</v>
      </c>
      <c r="G131" s="452">
        <f>QUANT!K524</f>
        <v>39.82</v>
      </c>
      <c r="H131" s="452">
        <f>IFERROR(VLOOKUP($C131,'SINAPI MAIO 2020'!$1:$1048576,4,0),IFERROR(VLOOKUP($C131,'6-COMP. PROPRIA'!$B$1:$I$808,8,0),""))</f>
        <v>36.76</v>
      </c>
      <c r="I131" s="452">
        <f>TRUNC(($H131*'4-BDI'!$E$29),2)</f>
        <v>47.14</v>
      </c>
      <c r="J131" s="453">
        <f t="shared" si="52"/>
        <v>1463.78</v>
      </c>
      <c r="K131" s="454">
        <f t="shared" si="53"/>
        <v>1877.11</v>
      </c>
      <c r="L131" s="187"/>
    </row>
    <row r="132" spans="2:13" ht="15.75">
      <c r="B132" s="746" t="s">
        <v>4710</v>
      </c>
      <c r="C132" s="747"/>
      <c r="D132" s="747"/>
      <c r="E132" s="747"/>
      <c r="F132" s="747"/>
      <c r="G132" s="747"/>
      <c r="H132" s="747"/>
      <c r="I132" s="456"/>
      <c r="J132" s="457">
        <f>TRUNC(SUM(J125:J131),2)</f>
        <v>64355.94</v>
      </c>
      <c r="K132" s="457">
        <f>TRUNC(SUM(K125:K131),2)</f>
        <v>82520.740000000005</v>
      </c>
      <c r="L132" s="187"/>
      <c r="M132" s="204"/>
    </row>
    <row r="133" spans="2:13" ht="15.75">
      <c r="B133" s="440" t="s">
        <v>5330</v>
      </c>
      <c r="C133" s="441"/>
      <c r="D133" s="442"/>
      <c r="E133" s="443" t="str">
        <f>QUANT!E530</f>
        <v xml:space="preserve">REVESTIMENTOS INTERNOS E EXTERNOS </v>
      </c>
      <c r="F133" s="444"/>
      <c r="G133" s="445"/>
      <c r="H133" s="446"/>
      <c r="I133" s="446"/>
      <c r="J133" s="447"/>
      <c r="K133" s="448"/>
      <c r="L133" s="187"/>
    </row>
    <row r="134" spans="2:13" s="187" customFormat="1" ht="15">
      <c r="B134" s="458" t="s">
        <v>5331</v>
      </c>
      <c r="C134" s="450" t="str">
        <f>QUANT!C532</f>
        <v>CP-REV-1</v>
      </c>
      <c r="D134" s="450" t="str">
        <f>QUANT!D532</f>
        <v>PROPRIA</v>
      </c>
      <c r="E134" s="639" t="str">
        <f>IFERROR(VLOOKUP($C134,'SINAPI MAIO 2020'!$1:$1048576,2,0),IFERROR(VLOOKUP($C134,'6-COMP. PROPRIA'!$B$1:$I$808,4,0),""))</f>
        <v>APICOAMENTO MANUAL DE SUPERFICIE DE CONCRETO</v>
      </c>
      <c r="F134" s="638" t="str">
        <f>IFERROR(VLOOKUP($C134,'SINAPI MAIO 2020'!$1:$1048576,3,0),IFERROR(VLOOKUP($C134,'6-COMP. PROPRIA'!$B$1:$I$808,5,0),""))</f>
        <v>M2</v>
      </c>
      <c r="G134" s="452">
        <f>QUANT!K532</f>
        <v>145.88999999999999</v>
      </c>
      <c r="H134" s="452">
        <f>IFERROR(VLOOKUP($C134,'SINAPI MAIO 2020'!$1:$1048576,4,0),IFERROR(VLOOKUP($C134,'6-COMP. PROPRIA'!$B$1:$I$808,8,0),""))</f>
        <v>5.74</v>
      </c>
      <c r="I134" s="452">
        <f>TRUNC(($H134*'4-BDI'!$E$29),2)</f>
        <v>7.36</v>
      </c>
      <c r="J134" s="453">
        <f t="shared" ref="J134" si="54">TRUNC((G134*H134),2)</f>
        <v>837.4</v>
      </c>
      <c r="K134" s="454">
        <f t="shared" ref="K134" si="55">TRUNC((I134*G134),2)</f>
        <v>1073.75</v>
      </c>
    </row>
    <row r="135" spans="2:13" s="187" customFormat="1" ht="60">
      <c r="B135" s="458" t="s">
        <v>6251</v>
      </c>
      <c r="C135" s="450">
        <f>QUANT!C542</f>
        <v>87905</v>
      </c>
      <c r="D135" s="450" t="str">
        <f>QUANT!D542</f>
        <v>SINAPI</v>
      </c>
      <c r="E135" s="639" t="str">
        <f>IFERROR(VLOOKUP($C135,'SINAPI MAIO 2020'!$1:$1048576,2,0),IFERROR(VLOOKUP($C135,'6-COMP. PROPRIA'!$B$1:$I$808,4,0),""))</f>
        <v>CHAPISCO APLICADO EM ALVENARIA (COM PRESENÇA DE VÃOS) E ESTRUTURAS DE CONCRETO DE FACHADA, COM COLHER DE PEDREIRO.  ARGAMASSA TRAÇO 1:3 COM PREPARO EM BETONEIRA 400L. AF_06/2014</v>
      </c>
      <c r="F135" s="638" t="str">
        <f>IFERROR(VLOOKUP($C135,'SINAPI MAIO 2020'!$1:$1048576,3,0),IFERROR(VLOOKUP($C135,'6-COMP. PROPRIA'!$B$1:$I$808,5,0),""))</f>
        <v>M2</v>
      </c>
      <c r="G135" s="452">
        <f>QUANT!K542</f>
        <v>607.37999999999988</v>
      </c>
      <c r="H135" s="452">
        <f>IFERROR(VLOOKUP($C135,'SINAPI MAIO 2020'!$1:$1048576,4,0),IFERROR(VLOOKUP($C135,'6-COMP. PROPRIA'!$B$1:$I$808,8,0),""))</f>
        <v>5.93</v>
      </c>
      <c r="I135" s="452">
        <f>TRUNC(($H135*'4-BDI'!$E$29),2)</f>
        <v>7.6</v>
      </c>
      <c r="J135" s="453">
        <f t="shared" ref="J135:J138" si="56">TRUNC((G135*H135),2)</f>
        <v>3601.76</v>
      </c>
      <c r="K135" s="454">
        <f t="shared" ref="K135:K138" si="57">TRUNC((I135*G135),2)</f>
        <v>4616.08</v>
      </c>
    </row>
    <row r="136" spans="2:13" s="187" customFormat="1" ht="60">
      <c r="B136" s="458" t="s">
        <v>6252</v>
      </c>
      <c r="C136" s="450">
        <f>QUANT!C550</f>
        <v>87546</v>
      </c>
      <c r="D136" s="450" t="str">
        <f>QUANT!D550</f>
        <v>SINAPI</v>
      </c>
      <c r="E136" s="639" t="str">
        <f>IFERROR(VLOOKUP($C136,'SINAPI MAIO 2020'!$1:$1048576,2,0),IFERROR(VLOOKUP($C136,'6-COMP. PROPRIA'!$B$1:$I$808,4,0),""))</f>
        <v>EMBOÇO, PARA RECEBIMENTO DE CERÂMICA, EM ARGAMASSA TRAÇO 1:2:8, PREPARO MANUAL, APLICADO MANUALMENTE EM FACES INTERNAS DE PAREDES, PARA AMBIENTE COM ÁREA MENOR QUE 5M2, ESPESSURA DE 10MM, COM EXECUÇÃO DE TALISCAS. AF_06/2014</v>
      </c>
      <c r="F136" s="638" t="str">
        <f>IFERROR(VLOOKUP($C136,'SINAPI MAIO 2020'!$1:$1048576,3,0),IFERROR(VLOOKUP($C136,'6-COMP. PROPRIA'!$B$1:$I$808,5,0),""))</f>
        <v>M2</v>
      </c>
      <c r="G136" s="452">
        <f>QUANT!K550</f>
        <v>232.65</v>
      </c>
      <c r="H136" s="452">
        <f>IFERROR(VLOOKUP($C136,'SINAPI MAIO 2020'!$1:$1048576,4,0),IFERROR(VLOOKUP($C136,'6-COMP. PROPRIA'!$B$1:$I$808,8,0),""))</f>
        <v>19.73</v>
      </c>
      <c r="I136" s="452">
        <f>TRUNC(($H136*'4-BDI'!$E$29),2)</f>
        <v>25.3</v>
      </c>
      <c r="J136" s="453">
        <f t="shared" si="56"/>
        <v>4590.18</v>
      </c>
      <c r="K136" s="454">
        <f t="shared" si="57"/>
        <v>5886.04</v>
      </c>
    </row>
    <row r="137" spans="2:13" s="187" customFormat="1" ht="60">
      <c r="B137" s="458" t="s">
        <v>6253</v>
      </c>
      <c r="C137" s="450">
        <f>QUANT!C561</f>
        <v>87529</v>
      </c>
      <c r="D137" s="450" t="str">
        <f>QUANT!D561</f>
        <v>SINAPI</v>
      </c>
      <c r="E137" s="639" t="str">
        <f>IFERROR(VLOOKUP($C137,'SINAPI MAIO 2020'!$1:$1048576,2,0),IFERROR(VLOOKUP($C137,'6-COMP. PROPRIA'!$B$1:$I$808,4,0),""))</f>
        <v>MASSA ÚNICA, PARA RECEBIMENTO DE PINTURA, EM ARGAMASSA TRAÇO 1:2:8, PREPARO MECÂNICO COM BETONEIRA 400L, APLICADA MANUALMENTE EM FACES INTERNAS DE PAREDES, ESPESSURA DE 20MM, COM EXECUÇÃO DE TALISCAS. AF_06/2014</v>
      </c>
      <c r="F137" s="638" t="str">
        <f>IFERROR(VLOOKUP($C137,'SINAPI MAIO 2020'!$1:$1048576,3,0),IFERROR(VLOOKUP($C137,'6-COMP. PROPRIA'!$B$1:$I$808,5,0),""))</f>
        <v>M2</v>
      </c>
      <c r="G137" s="452">
        <f>QUANT!K561</f>
        <v>423.90000000000003</v>
      </c>
      <c r="H137" s="452">
        <f>IFERROR(VLOOKUP($C137,'SINAPI MAIO 2020'!$1:$1048576,4,0),IFERROR(VLOOKUP($C137,'6-COMP. PROPRIA'!$B$1:$I$808,8,0),""))</f>
        <v>23.45</v>
      </c>
      <c r="I137" s="452">
        <f>TRUNC(($H137*'4-BDI'!$E$29),2)</f>
        <v>30.07</v>
      </c>
      <c r="J137" s="453">
        <f t="shared" si="56"/>
        <v>9940.4500000000007</v>
      </c>
      <c r="K137" s="454">
        <f t="shared" si="57"/>
        <v>12746.67</v>
      </c>
    </row>
    <row r="138" spans="2:13" s="187" customFormat="1" ht="60">
      <c r="B138" s="458" t="s">
        <v>6254</v>
      </c>
      <c r="C138" s="450">
        <f>QUANT!C571</f>
        <v>87273</v>
      </c>
      <c r="D138" s="450" t="str">
        <f>QUANT!D571</f>
        <v>SINAPI</v>
      </c>
      <c r="E138" s="639" t="str">
        <f>IFERROR(VLOOKUP($C138,'SINAPI MAIO 2020'!$1:$1048576,2,0),IFERROR(VLOOKUP($C138,'6-COMP. PROPRIA'!$B$1:$I$808,4,0),""))</f>
        <v>REVESTIMENTO CERÂMICO PARA PAREDES INTERNAS COM PLACAS TIPO ESMALTADA EXTRA DE DIMENSÕES 33X45 CM APLICADAS EM AMBIENTES DE ÁREA MAIOR QUE 5 M² NA ALTURA INTEIRA DAS PAREDES. AF_06/2014</v>
      </c>
      <c r="F138" s="638" t="str">
        <f>IFERROR(VLOOKUP($C138,'SINAPI MAIO 2020'!$1:$1048576,3,0),IFERROR(VLOOKUP($C138,'6-COMP. PROPRIA'!$B$1:$I$808,5,0),""))</f>
        <v>M2</v>
      </c>
      <c r="G138" s="452">
        <f>QUANT!K571</f>
        <v>232.65</v>
      </c>
      <c r="H138" s="452">
        <f>IFERROR(VLOOKUP($C138,'SINAPI MAIO 2020'!$1:$1048576,4,0),IFERROR(VLOOKUP($C138,'6-COMP. PROPRIA'!$B$1:$I$808,8,0),""))</f>
        <v>41.07</v>
      </c>
      <c r="I138" s="452">
        <f>TRUNC(($H138*'4-BDI'!$E$29),2)</f>
        <v>52.66</v>
      </c>
      <c r="J138" s="453">
        <f t="shared" si="56"/>
        <v>9554.93</v>
      </c>
      <c r="K138" s="454">
        <f t="shared" si="57"/>
        <v>12251.34</v>
      </c>
    </row>
    <row r="139" spans="2:13" ht="15.75">
      <c r="B139" s="746" t="s">
        <v>4710</v>
      </c>
      <c r="C139" s="747"/>
      <c r="D139" s="747"/>
      <c r="E139" s="747"/>
      <c r="F139" s="747"/>
      <c r="G139" s="747"/>
      <c r="H139" s="747"/>
      <c r="I139" s="456"/>
      <c r="J139" s="457">
        <f>TRUNC(SUM(J134:J138),2)</f>
        <v>28524.720000000001</v>
      </c>
      <c r="K139" s="457">
        <f>TRUNC(SUM(K134:K138),2)</f>
        <v>36573.879999999997</v>
      </c>
      <c r="L139" s="187"/>
    </row>
    <row r="140" spans="2:13" ht="15.75">
      <c r="B140" s="440" t="s">
        <v>5336</v>
      </c>
      <c r="C140" s="441"/>
      <c r="D140" s="442"/>
      <c r="E140" s="443" t="str">
        <f>QUANT!E582</f>
        <v xml:space="preserve">GRANITOS PARA PEITORIS, SOLEIRAS, DIVISÓRIAS E BANCADAS </v>
      </c>
      <c r="F140" s="444"/>
      <c r="G140" s="445"/>
      <c r="H140" s="446"/>
      <c r="I140" s="446"/>
      <c r="J140" s="447"/>
      <c r="K140" s="448"/>
      <c r="L140" s="187"/>
    </row>
    <row r="141" spans="2:13" s="187" customFormat="1" ht="45">
      <c r="B141" s="472" t="s">
        <v>5337</v>
      </c>
      <c r="C141" s="450" t="str">
        <f>QUANT!C584</f>
        <v>73774/1</v>
      </c>
      <c r="D141" s="450" t="str">
        <f>QUANT!D584</f>
        <v>SINAPI</v>
      </c>
      <c r="E141" s="639" t="str">
        <f>IFERROR(VLOOKUP($C141,'SINAPI MAIO 2020'!$1:$1048576,2,0),IFERROR(VLOOKUP($C141,'6-COMP. PROPRIA'!$B$1:$I$808,4,0),""))</f>
        <v>DIVISORIA EM MARMORITE ESPESSURA 35MM, CHUMBAMENTO NO PISO E PAREDE COM ARGAMASSA DE CIMENTO E AREIA, POLIMENTO MANUAL, EXCLUSIVE FERRAGENS</v>
      </c>
      <c r="F141" s="638" t="str">
        <f>IFERROR(VLOOKUP($C141,'SINAPI MAIO 2020'!$1:$1048576,3,0),IFERROR(VLOOKUP($C141,'6-COMP. PROPRIA'!$B$1:$I$808,5,0),""))</f>
        <v>M2</v>
      </c>
      <c r="G141" s="452">
        <f>QUANT!K584</f>
        <v>11.844000000000001</v>
      </c>
      <c r="H141" s="452">
        <f>IFERROR(VLOOKUP($C141,'SINAPI MAIO 2020'!$1:$1048576,4,0),IFERROR(VLOOKUP($C141,'6-COMP. PROPRIA'!$B$1:$I$808,8,0),""))</f>
        <v>262.87</v>
      </c>
      <c r="I141" s="452">
        <f>TRUNC(($H141*'4-BDI'!$E$29),2)</f>
        <v>337.1</v>
      </c>
      <c r="J141" s="453">
        <f t="shared" ref="J141" si="58">TRUNC((G141*H141),2)</f>
        <v>3113.43</v>
      </c>
      <c r="K141" s="454">
        <f t="shared" ref="K141" si="59">TRUNC((I141*G141),2)</f>
        <v>3992.61</v>
      </c>
    </row>
    <row r="142" spans="2:13" s="187" customFormat="1" ht="30">
      <c r="B142" s="472" t="s">
        <v>6261</v>
      </c>
      <c r="C142" s="450" t="str">
        <f>QUANT!C592</f>
        <v>CP-REV-2</v>
      </c>
      <c r="D142" s="450" t="str">
        <f>QUANT!D592</f>
        <v>PROPRIA</v>
      </c>
      <c r="E142" s="639" t="str">
        <f>IFERROR(VLOOKUP($C142,'SINAPI MAIO 2020'!$1:$1048576,2,0),IFERROR(VLOOKUP($C142,'6-COMP. PROPRIA'!$B$1:$I$808,4,0),""))</f>
        <v xml:space="preserve">FORNECIMENTO E INSTALAÇÃO DE BANCADAS EM GRANITO POLIDO ESP =2,5CM A 3,0CM </v>
      </c>
      <c r="F142" s="638" t="str">
        <f>IFERROR(VLOOKUP($C142,'SINAPI MAIO 2020'!$1:$1048576,3,0),IFERROR(VLOOKUP($C142,'6-COMP. PROPRIA'!$B$1:$I$808,5,0),""))</f>
        <v>M2</v>
      </c>
      <c r="G142" s="452">
        <f>QUANT!K592</f>
        <v>5.9930000000000003</v>
      </c>
      <c r="H142" s="452">
        <f>IFERROR(VLOOKUP($C142,'SINAPI MAIO 2020'!$1:$1048576,4,0),IFERROR(VLOOKUP($C142,'6-COMP. PROPRIA'!$B$1:$I$808,8,0),""))</f>
        <v>577.27</v>
      </c>
      <c r="I142" s="452">
        <f>TRUNC(($H142*'4-BDI'!$E$29),2)</f>
        <v>740.29</v>
      </c>
      <c r="J142" s="453">
        <f t="shared" ref="J142" si="60">TRUNC((G142*H142),2)</f>
        <v>3459.57</v>
      </c>
      <c r="K142" s="454">
        <f t="shared" ref="K142" si="61">TRUNC((I142*G142),2)</f>
        <v>4436.55</v>
      </c>
    </row>
    <row r="143" spans="2:13" s="203" customFormat="1" ht="15.75">
      <c r="B143" s="746" t="s">
        <v>4710</v>
      </c>
      <c r="C143" s="747"/>
      <c r="D143" s="747"/>
      <c r="E143" s="747"/>
      <c r="F143" s="747"/>
      <c r="G143" s="747"/>
      <c r="H143" s="747"/>
      <c r="I143" s="456"/>
      <c r="J143" s="457">
        <f>TRUNC(SUM(J141:J142),2)</f>
        <v>6573</v>
      </c>
      <c r="K143" s="457">
        <f>TRUNC(SUM(K141:K142),2)</f>
        <v>8429.16</v>
      </c>
      <c r="L143" s="187"/>
    </row>
    <row r="144" spans="2:13" ht="15.75">
      <c r="B144" s="440" t="s">
        <v>6262</v>
      </c>
      <c r="C144" s="441"/>
      <c r="D144" s="442"/>
      <c r="E144" s="443" t="str">
        <f>QUANT!E594</f>
        <v xml:space="preserve">FORROS </v>
      </c>
      <c r="F144" s="444"/>
      <c r="G144" s="445"/>
      <c r="H144" s="446"/>
      <c r="I144" s="446"/>
      <c r="J144" s="447"/>
      <c r="K144" s="448"/>
      <c r="L144" s="187"/>
    </row>
    <row r="145" spans="2:12" s="203" customFormat="1" ht="30">
      <c r="B145" s="458" t="s">
        <v>6263</v>
      </c>
      <c r="C145" s="450">
        <f>QUANT!C596</f>
        <v>96485</v>
      </c>
      <c r="D145" s="450" t="str">
        <f>QUANT!D596</f>
        <v>SINAPI</v>
      </c>
      <c r="E145" s="639" t="str">
        <f>IFERROR(VLOOKUP($C145,'SINAPI MAIO 2020'!$1:$1048576,2,0),IFERROR(VLOOKUP($C145,'6-COMP. PROPRIA'!$B$1:$I$808,4,0),""))</f>
        <v>FORRO EM RÉGUAS DE PVC, LISO, PARA AMBIENTES RESIDENCIAIS, INCLUSIVE ESTRUTURA DE FIXAÇÃO. AF_05/2017_P</v>
      </c>
      <c r="F145" s="638" t="str">
        <f>IFERROR(VLOOKUP($C145,'SINAPI MAIO 2020'!$1:$1048576,3,0),IFERROR(VLOOKUP($C145,'6-COMP. PROPRIA'!$B$1:$I$808,5,0),""))</f>
        <v>M2</v>
      </c>
      <c r="G145" s="452">
        <f>QUANT!K596</f>
        <v>743.83000000000015</v>
      </c>
      <c r="H145" s="452">
        <f>IFERROR(VLOOKUP($C145,'SINAPI MAIO 2020'!$1:$1048576,4,0),IFERROR(VLOOKUP($C145,'6-COMP. PROPRIA'!$B$1:$I$808,8,0),""))</f>
        <v>41.7</v>
      </c>
      <c r="I145" s="452">
        <f>TRUNC(($H145*'4-BDI'!$E$29),2)</f>
        <v>53.47</v>
      </c>
      <c r="J145" s="453">
        <f t="shared" ref="J145" si="62">TRUNC((G145*H145),2)</f>
        <v>31017.71</v>
      </c>
      <c r="K145" s="454">
        <f t="shared" ref="K145" si="63">TRUNC((I145*G145),2)</f>
        <v>39772.589999999997</v>
      </c>
      <c r="L145" s="187"/>
    </row>
    <row r="146" spans="2:12" s="203" customFormat="1" ht="15.75">
      <c r="B146" s="746" t="s">
        <v>4710</v>
      </c>
      <c r="C146" s="747"/>
      <c r="D146" s="747"/>
      <c r="E146" s="747"/>
      <c r="F146" s="747"/>
      <c r="G146" s="747"/>
      <c r="H146" s="747"/>
      <c r="I146" s="456"/>
      <c r="J146" s="457">
        <f>TRUNC(SUM(J145),2)</f>
        <v>31017.71</v>
      </c>
      <c r="K146" s="457">
        <f>TRUNC(SUM(K145),2)</f>
        <v>39772.589999999997</v>
      </c>
      <c r="L146" s="187"/>
    </row>
    <row r="147" spans="2:12" ht="15.75">
      <c r="B147" s="440" t="s">
        <v>6264</v>
      </c>
      <c r="C147" s="441"/>
      <c r="D147" s="442"/>
      <c r="E147" s="443" t="str">
        <f>QUANT!E604</f>
        <v xml:space="preserve">PINTURA INTERNA E EXTERNA </v>
      </c>
      <c r="F147" s="444"/>
      <c r="G147" s="445"/>
      <c r="H147" s="446"/>
      <c r="I147" s="446"/>
      <c r="J147" s="447"/>
      <c r="K147" s="448"/>
      <c r="L147" s="187"/>
    </row>
    <row r="148" spans="2:12" s="201" customFormat="1" ht="15.75">
      <c r="B148" s="473" t="s">
        <v>6265</v>
      </c>
      <c r="C148" s="474"/>
      <c r="D148" s="475"/>
      <c r="E148" s="476" t="str">
        <f>QUANT!E605</f>
        <v>INTERNA</v>
      </c>
      <c r="F148" s="477"/>
      <c r="G148" s="478"/>
      <c r="H148" s="479"/>
      <c r="I148" s="479"/>
      <c r="J148" s="480"/>
      <c r="K148" s="481"/>
      <c r="L148" s="187"/>
    </row>
    <row r="149" spans="2:12" s="203" customFormat="1" ht="15">
      <c r="B149" s="458" t="s">
        <v>6307</v>
      </c>
      <c r="C149" s="450" t="str">
        <f>QUANT!C607</f>
        <v>CP-PIN-1</v>
      </c>
      <c r="D149" s="450" t="str">
        <f>QUANT!D607</f>
        <v>PROPRIA</v>
      </c>
      <c r="E149" s="639" t="str">
        <f>IFERROR(VLOOKUP($C149,'SINAPI MAIO 2020'!$1:$1048576,2,0),IFERROR(VLOOKUP($C149,'6-COMP. PROPRIA'!$B$1:$I$808,4,0),""))</f>
        <v>LIXAMENTO MANUAL DE ALVENARIA</v>
      </c>
      <c r="F149" s="638" t="str">
        <f>IFERROR(VLOOKUP($C149,'SINAPI MAIO 2020'!$1:$1048576,3,0),IFERROR(VLOOKUP($C149,'6-COMP. PROPRIA'!$B$1:$I$808,5,0),""))</f>
        <v>M2</v>
      </c>
      <c r="G149" s="452">
        <f>QUANT!K607</f>
        <v>459.36</v>
      </c>
      <c r="H149" s="452">
        <f>IFERROR(VLOOKUP($C149,'SINAPI MAIO 2020'!$1:$1048576,4,0),IFERROR(VLOOKUP($C149,'6-COMP. PROPRIA'!$B$1:$I$808,8,0),""))</f>
        <v>2.9</v>
      </c>
      <c r="I149" s="452">
        <f>TRUNC(($H149*'4-BDI'!$E$29),2)</f>
        <v>3.71</v>
      </c>
      <c r="J149" s="453">
        <f t="shared" ref="J149" si="64">TRUNC((G149*H149),2)</f>
        <v>1332.14</v>
      </c>
      <c r="K149" s="454">
        <f t="shared" ref="K149" si="65">TRUNC((I149*G149),2)</f>
        <v>1704.22</v>
      </c>
      <c r="L149" s="187"/>
    </row>
    <row r="150" spans="2:12" s="203" customFormat="1" ht="30">
      <c r="B150" s="458" t="s">
        <v>6308</v>
      </c>
      <c r="C150" s="450">
        <f>QUANT!C615</f>
        <v>88485</v>
      </c>
      <c r="D150" s="450" t="str">
        <f>QUANT!D615</f>
        <v>SINAPI</v>
      </c>
      <c r="E150" s="639" t="str">
        <f>IFERROR(VLOOKUP($C150,'SINAPI MAIO 2020'!$1:$1048576,2,0),IFERROR(VLOOKUP($C150,'6-COMP. PROPRIA'!$B$1:$I$808,4,0),""))</f>
        <v>APLICAÇÃO DE FUNDO SELADOR ACRÍLICO EM PAREDES, UMA DEMÃO. AF_06/2014</v>
      </c>
      <c r="F150" s="638" t="str">
        <f>IFERROR(VLOOKUP($C150,'SINAPI MAIO 2020'!$1:$1048576,3,0),IFERROR(VLOOKUP($C150,'6-COMP. PROPRIA'!$B$1:$I$808,5,0),""))</f>
        <v>M2</v>
      </c>
      <c r="G150" s="452">
        <f>QUANT!K615</f>
        <v>459.36</v>
      </c>
      <c r="H150" s="452">
        <f>IFERROR(VLOOKUP($C150,'SINAPI MAIO 2020'!$1:$1048576,4,0),IFERROR(VLOOKUP($C150,'6-COMP. PROPRIA'!$B$1:$I$808,8,0),""))</f>
        <v>1.57</v>
      </c>
      <c r="I150" s="452">
        <f>TRUNC(($H150*'4-BDI'!$E$29),2)</f>
        <v>2.0099999999999998</v>
      </c>
      <c r="J150" s="453">
        <f t="shared" ref="J150:J153" si="66">TRUNC((G150*H150),2)</f>
        <v>721.19</v>
      </c>
      <c r="K150" s="454">
        <f t="shared" ref="K150:K153" si="67">TRUNC((I150*G150),2)</f>
        <v>923.31</v>
      </c>
      <c r="L150" s="187"/>
    </row>
    <row r="151" spans="2:12" s="203" customFormat="1" ht="30">
      <c r="B151" s="458" t="s">
        <v>6309</v>
      </c>
      <c r="C151" s="450">
        <f>QUANT!C622</f>
        <v>88489</v>
      </c>
      <c r="D151" s="450" t="str">
        <f>QUANT!D622</f>
        <v>SINAPI</v>
      </c>
      <c r="E151" s="639" t="str">
        <f>IFERROR(VLOOKUP($C151,'SINAPI MAIO 2020'!$1:$1048576,2,0),IFERROR(VLOOKUP($C151,'6-COMP. PROPRIA'!$B$1:$I$808,4,0),""))</f>
        <v>APLICAÇÃO MANUAL DE PINTURA COM TINTA LÁTEX ACRÍLICA EM PAREDES, DUAS DEMÃOS. AF_06/2014</v>
      </c>
      <c r="F151" s="638" t="str">
        <f>IFERROR(VLOOKUP($C151,'SINAPI MAIO 2020'!$1:$1048576,3,0),IFERROR(VLOOKUP($C151,'6-COMP. PROPRIA'!$B$1:$I$808,5,0),""))</f>
        <v>M2</v>
      </c>
      <c r="G151" s="452">
        <f>QUANT!K622</f>
        <v>459.36</v>
      </c>
      <c r="H151" s="452">
        <f>IFERROR(VLOOKUP($C151,'SINAPI MAIO 2020'!$1:$1048576,4,0),IFERROR(VLOOKUP($C151,'6-COMP. PROPRIA'!$B$1:$I$808,8,0),""))</f>
        <v>11.3</v>
      </c>
      <c r="I151" s="452">
        <f>TRUNC(($H151*'4-BDI'!$E$29),2)</f>
        <v>14.49</v>
      </c>
      <c r="J151" s="453">
        <f t="shared" si="66"/>
        <v>5190.76</v>
      </c>
      <c r="K151" s="454">
        <f t="shared" si="67"/>
        <v>6656.12</v>
      </c>
      <c r="L151" s="187"/>
    </row>
    <row r="152" spans="2:12" s="203" customFormat="1" ht="30">
      <c r="B152" s="458" t="s">
        <v>6310</v>
      </c>
      <c r="C152" s="450" t="str">
        <f>QUANT!C630</f>
        <v>CP-PIN-2</v>
      </c>
      <c r="D152" s="450" t="str">
        <f>QUANT!D630</f>
        <v>PROPRIA</v>
      </c>
      <c r="E152" s="639" t="str">
        <f>IFERROR(VLOOKUP($C152,'SINAPI MAIO 2020'!$1:$1048576,2,0),IFERROR(VLOOKUP($C152,'6-COMP. PROPRIA'!$B$1:$I$808,4,0),""))</f>
        <v xml:space="preserve">PINTURA DE QUADRO ESCOLAR COM TINTA ESMALTE ACABAMENTO FOSCO, DUAS DEMÃOS SOBRE MASSA ACRILICA </v>
      </c>
      <c r="F152" s="638" t="str">
        <f>IFERROR(VLOOKUP($C152,'SINAPI MAIO 2020'!$1:$1048576,3,0),IFERROR(VLOOKUP($C152,'6-COMP. PROPRIA'!$B$1:$I$808,5,0),""))</f>
        <v>M2</v>
      </c>
      <c r="G152" s="452">
        <f>QUANT!K630</f>
        <v>33.6</v>
      </c>
      <c r="H152" s="452">
        <f>IFERROR(VLOOKUP($C152,'SINAPI MAIO 2020'!$1:$1048576,4,0),IFERROR(VLOOKUP($C152,'6-COMP. PROPRIA'!$B$1:$I$808,8,0),""))</f>
        <v>17.079999999999998</v>
      </c>
      <c r="I152" s="452">
        <f>TRUNC(($H152*'4-BDI'!$E$29),2)</f>
        <v>21.9</v>
      </c>
      <c r="J152" s="453">
        <f t="shared" si="66"/>
        <v>573.88</v>
      </c>
      <c r="K152" s="454">
        <f t="shared" si="67"/>
        <v>735.84</v>
      </c>
      <c r="L152" s="187"/>
    </row>
    <row r="153" spans="2:12" s="203" customFormat="1" ht="15">
      <c r="B153" s="458" t="s">
        <v>6311</v>
      </c>
      <c r="C153" s="450" t="str">
        <f>QUANT!C634</f>
        <v>CP-PIN-03</v>
      </c>
      <c r="D153" s="450" t="str">
        <f>QUANT!D634</f>
        <v>PROPRIA</v>
      </c>
      <c r="E153" s="639" t="str">
        <f>IFERROR(VLOOKUP($C153,'SINAPI MAIO 2020'!$1:$1048576,2,0),IFERROR(VLOOKUP($C153,'6-COMP. PROPRIA'!$B$1:$I$808,4,0),""))</f>
        <v xml:space="preserve">PINTURA COM TINTA ESMALTE SINTÉTICO </v>
      </c>
      <c r="F153" s="638" t="str">
        <f>IFERROR(VLOOKUP($C153,'SINAPI MAIO 2020'!$1:$1048576,3,0),IFERROR(VLOOKUP($C153,'6-COMP. PROPRIA'!$B$1:$I$808,5,0),""))</f>
        <v>M2</v>
      </c>
      <c r="G153" s="452">
        <f>QUANT!K634</f>
        <v>306.24</v>
      </c>
      <c r="H153" s="452">
        <f>IFERROR(VLOOKUP($C153,'SINAPI MAIO 2020'!$1:$1048576,4,0),IFERROR(VLOOKUP($C153,'6-COMP. PROPRIA'!$B$1:$I$808,8,0),""))</f>
        <v>12.21</v>
      </c>
      <c r="I153" s="452">
        <f>TRUNC(($H153*'4-BDI'!$E$29),2)</f>
        <v>15.65</v>
      </c>
      <c r="J153" s="453">
        <f t="shared" si="66"/>
        <v>3739.19</v>
      </c>
      <c r="K153" s="454">
        <f t="shared" si="67"/>
        <v>4792.6499999999996</v>
      </c>
      <c r="L153" s="187"/>
    </row>
    <row r="154" spans="2:12" s="203" customFormat="1" ht="15.75">
      <c r="B154" s="746" t="s">
        <v>12564</v>
      </c>
      <c r="C154" s="747"/>
      <c r="D154" s="747"/>
      <c r="E154" s="747"/>
      <c r="F154" s="747"/>
      <c r="G154" s="747"/>
      <c r="H154" s="747"/>
      <c r="I154" s="456"/>
      <c r="J154" s="457">
        <f>TRUNC(SUM(J149:J153),2)</f>
        <v>11557.16</v>
      </c>
      <c r="K154" s="457">
        <f>TRUNC(SUM(K149:K153),2)</f>
        <v>14812.14</v>
      </c>
      <c r="L154" s="187"/>
    </row>
    <row r="155" spans="2:12" s="201" customFormat="1" ht="15.75">
      <c r="B155" s="473" t="s">
        <v>6312</v>
      </c>
      <c r="C155" s="474"/>
      <c r="D155" s="475"/>
      <c r="E155" s="476" t="str">
        <f>QUANT!E641</f>
        <v>EXTERNA</v>
      </c>
      <c r="F155" s="477"/>
      <c r="G155" s="478"/>
      <c r="H155" s="479"/>
      <c r="I155" s="479"/>
      <c r="J155" s="480"/>
      <c r="K155" s="481"/>
      <c r="L155" s="187"/>
    </row>
    <row r="156" spans="2:12" s="203" customFormat="1" ht="15">
      <c r="B156" s="458" t="s">
        <v>6313</v>
      </c>
      <c r="C156" s="450" t="str">
        <f>QUANT!C643</f>
        <v>CP-PIN-1</v>
      </c>
      <c r="D156" s="450" t="str">
        <f>QUANT!D643</f>
        <v>PROPRIA</v>
      </c>
      <c r="E156" s="639" t="str">
        <f>IFERROR(VLOOKUP($C156,'SINAPI MAIO 2020'!$1:$1048576,2,0),IFERROR(VLOOKUP($C156,'6-COMP. PROPRIA'!$B$1:$I$808,4,0),""))</f>
        <v>LIXAMENTO MANUAL DE ALVENARIA</v>
      </c>
      <c r="F156" s="638" t="str">
        <f>IFERROR(VLOOKUP($C156,'SINAPI MAIO 2020'!$1:$1048576,3,0),IFERROR(VLOOKUP($C156,'6-COMP. PROPRIA'!$B$1:$I$808,5,0),""))</f>
        <v>M2</v>
      </c>
      <c r="G156" s="452">
        <f>QUANT!K643</f>
        <v>388.22400000000005</v>
      </c>
      <c r="H156" s="452">
        <f>IFERROR(VLOOKUP($C156,'SINAPI MAIO 2020'!$1:$1048576,4,0),IFERROR(VLOOKUP($C156,'6-COMP. PROPRIA'!$B$1:$I$808,8,0),""))</f>
        <v>2.9</v>
      </c>
      <c r="I156" s="452">
        <f>TRUNC(($H156*'4-BDI'!$E$29),2)</f>
        <v>3.71</v>
      </c>
      <c r="J156" s="453">
        <f t="shared" ref="J156" si="68">TRUNC((G156*H156),2)</f>
        <v>1125.8399999999999</v>
      </c>
      <c r="K156" s="454">
        <f t="shared" ref="K156" si="69">TRUNC((I156*G156),2)</f>
        <v>1440.31</v>
      </c>
      <c r="L156" s="187"/>
    </row>
    <row r="157" spans="2:12" s="203" customFormat="1" ht="30">
      <c r="B157" s="458" t="s">
        <v>6314</v>
      </c>
      <c r="C157" s="450">
        <f>QUANT!C652</f>
        <v>88485</v>
      </c>
      <c r="D157" s="450" t="str">
        <f>QUANT!D652</f>
        <v>SINAPI</v>
      </c>
      <c r="E157" s="639" t="str">
        <f>IFERROR(VLOOKUP($C157,'SINAPI MAIO 2020'!$1:$1048576,2,0),IFERROR(VLOOKUP($C157,'6-COMP. PROPRIA'!$B$1:$I$808,4,0),""))</f>
        <v>APLICAÇÃO DE FUNDO SELADOR ACRÍLICO EM PAREDES, UMA DEMÃO. AF_06/2014</v>
      </c>
      <c r="F157" s="638" t="str">
        <f>IFERROR(VLOOKUP($C157,'SINAPI MAIO 2020'!$1:$1048576,3,0),IFERROR(VLOOKUP($C157,'6-COMP. PROPRIA'!$B$1:$I$808,5,0),""))</f>
        <v>M2</v>
      </c>
      <c r="G157" s="452">
        <f>QUANT!K652</f>
        <v>206.02799999999999</v>
      </c>
      <c r="H157" s="452">
        <f>IFERROR(VLOOKUP($C157,'SINAPI MAIO 2020'!$1:$1048576,4,0),IFERROR(VLOOKUP($C157,'6-COMP. PROPRIA'!$B$1:$I$808,8,0),""))</f>
        <v>1.57</v>
      </c>
      <c r="I157" s="452">
        <f>TRUNC(($H157*'4-BDI'!$E$29),2)</f>
        <v>2.0099999999999998</v>
      </c>
      <c r="J157" s="453">
        <f t="shared" ref="J157:J159" si="70">TRUNC((G157*H157),2)</f>
        <v>323.45999999999998</v>
      </c>
      <c r="K157" s="454">
        <f t="shared" ref="K157:K159" si="71">TRUNC((I157*G157),2)</f>
        <v>414.11</v>
      </c>
      <c r="L157" s="187"/>
    </row>
    <row r="158" spans="2:12" s="203" customFormat="1" ht="30">
      <c r="B158" s="458" t="s">
        <v>6315</v>
      </c>
      <c r="C158" s="450">
        <f>QUANT!C661</f>
        <v>88489</v>
      </c>
      <c r="D158" s="450" t="str">
        <f>QUANT!D661</f>
        <v>SINAPI</v>
      </c>
      <c r="E158" s="639" t="str">
        <f>IFERROR(VLOOKUP($C158,'SINAPI MAIO 2020'!$1:$1048576,2,0),IFERROR(VLOOKUP($C158,'6-COMP. PROPRIA'!$B$1:$I$808,4,0),""))</f>
        <v>APLICAÇÃO MANUAL DE PINTURA COM TINTA LÁTEX ACRÍLICA EM PAREDES, DUAS DEMÃOS. AF_06/2014</v>
      </c>
      <c r="F158" s="638" t="str">
        <f>IFERROR(VLOOKUP($C158,'SINAPI MAIO 2020'!$1:$1048576,3,0),IFERROR(VLOOKUP($C158,'6-COMP. PROPRIA'!$B$1:$I$808,5,0),""))</f>
        <v>M2</v>
      </c>
      <c r="G158" s="452">
        <f>QUANT!K661</f>
        <v>206.02799999999999</v>
      </c>
      <c r="H158" s="452">
        <f>IFERROR(VLOOKUP($C158,'SINAPI MAIO 2020'!$1:$1048576,4,0),IFERROR(VLOOKUP($C158,'6-COMP. PROPRIA'!$B$1:$I$808,8,0),""))</f>
        <v>11.3</v>
      </c>
      <c r="I158" s="452">
        <f>TRUNC(($H158*'4-BDI'!$E$29),2)</f>
        <v>14.49</v>
      </c>
      <c r="J158" s="453">
        <f t="shared" si="70"/>
        <v>2328.11</v>
      </c>
      <c r="K158" s="454">
        <f t="shared" si="71"/>
        <v>2985.34</v>
      </c>
      <c r="L158" s="187"/>
    </row>
    <row r="159" spans="2:12" s="203" customFormat="1" ht="15">
      <c r="B159" s="458" t="s">
        <v>6316</v>
      </c>
      <c r="C159" s="450" t="str">
        <f>QUANT!C670</f>
        <v>CP-PIN-03</v>
      </c>
      <c r="D159" s="450" t="str">
        <f>QUANT!D670</f>
        <v>PROPRIA</v>
      </c>
      <c r="E159" s="639" t="str">
        <f>IFERROR(VLOOKUP($C159,'SINAPI MAIO 2020'!$1:$1048576,2,0),IFERROR(VLOOKUP($C159,'6-COMP. PROPRIA'!$B$1:$I$808,4,0),""))</f>
        <v xml:space="preserve">PINTURA COM TINTA ESMALTE SINTÉTICO </v>
      </c>
      <c r="F159" s="638" t="str">
        <f>IFERROR(VLOOKUP($C159,'SINAPI MAIO 2020'!$1:$1048576,3,0),IFERROR(VLOOKUP($C159,'6-COMP. PROPRIA'!$B$1:$I$808,5,0),""))</f>
        <v>M2</v>
      </c>
      <c r="G159" s="452">
        <f>QUANT!K670</f>
        <v>175.15199999999999</v>
      </c>
      <c r="H159" s="452">
        <f>IFERROR(VLOOKUP($C159,'SINAPI MAIO 2020'!$1:$1048576,4,0),IFERROR(VLOOKUP($C159,'6-COMP. PROPRIA'!$B$1:$I$808,8,0),""))</f>
        <v>12.21</v>
      </c>
      <c r="I159" s="452">
        <f>TRUNC(($H159*'4-BDI'!$E$29),2)</f>
        <v>15.65</v>
      </c>
      <c r="J159" s="453">
        <f t="shared" si="70"/>
        <v>2138.6</v>
      </c>
      <c r="K159" s="454">
        <f t="shared" si="71"/>
        <v>2741.12</v>
      </c>
      <c r="L159" s="187"/>
    </row>
    <row r="160" spans="2:12" s="203" customFormat="1" ht="15.75">
      <c r="B160" s="746" t="s">
        <v>12564</v>
      </c>
      <c r="C160" s="747"/>
      <c r="D160" s="747"/>
      <c r="E160" s="747"/>
      <c r="F160" s="747"/>
      <c r="G160" s="747"/>
      <c r="H160" s="747"/>
      <c r="I160" s="456"/>
      <c r="J160" s="457">
        <f>TRUNC(SUM(J156:J159),2)</f>
        <v>5916.01</v>
      </c>
      <c r="K160" s="457">
        <f>TRUNC(SUM(K156:K159),2)</f>
        <v>7580.88</v>
      </c>
      <c r="L160" s="187"/>
    </row>
    <row r="161" spans="2:12" s="203" customFormat="1" ht="15.75">
      <c r="B161" s="746" t="s">
        <v>4710</v>
      </c>
      <c r="C161" s="747"/>
      <c r="D161" s="747"/>
      <c r="E161" s="747"/>
      <c r="F161" s="747"/>
      <c r="G161" s="747"/>
      <c r="H161" s="747"/>
      <c r="I161" s="456"/>
      <c r="J161" s="457">
        <f>TRUNC(SUM(J160+J154),2)</f>
        <v>17473.169999999998</v>
      </c>
      <c r="K161" s="457">
        <f>TRUNC(SUM(K160+K154),2)</f>
        <v>22393.02</v>
      </c>
      <c r="L161" s="187"/>
    </row>
    <row r="162" spans="2:12" ht="15.75">
      <c r="B162" s="440" t="s">
        <v>6266</v>
      </c>
      <c r="C162" s="441"/>
      <c r="D162" s="442"/>
      <c r="E162" s="443" t="str">
        <f>QUANT!E679</f>
        <v>MURO</v>
      </c>
      <c r="F162" s="444"/>
      <c r="G162" s="445"/>
      <c r="H162" s="446"/>
      <c r="I162" s="446"/>
      <c r="J162" s="447"/>
      <c r="K162" s="448"/>
      <c r="L162" s="187"/>
    </row>
    <row r="163" spans="2:12" s="201" customFormat="1" ht="15.75">
      <c r="B163" s="482" t="s">
        <v>6267</v>
      </c>
      <c r="C163" s="483"/>
      <c r="D163" s="484"/>
      <c r="E163" s="485" t="str">
        <f>QUANT!E681</f>
        <v>FUNDAÇÃO</v>
      </c>
      <c r="F163" s="486"/>
      <c r="G163" s="487"/>
      <c r="H163" s="488"/>
      <c r="I163" s="488"/>
      <c r="J163" s="489"/>
      <c r="K163" s="457"/>
      <c r="L163" s="187"/>
    </row>
    <row r="164" spans="2:12" s="201" customFormat="1" ht="15.75">
      <c r="B164" s="482" t="s">
        <v>6268</v>
      </c>
      <c r="C164" s="483"/>
      <c r="D164" s="484"/>
      <c r="E164" s="485" t="str">
        <f>QUANT!E683</f>
        <v>SAPATA</v>
      </c>
      <c r="F164" s="486"/>
      <c r="G164" s="487"/>
      <c r="H164" s="488"/>
      <c r="I164" s="488"/>
      <c r="J164" s="489"/>
      <c r="K164" s="457"/>
      <c r="L164" s="187"/>
    </row>
    <row r="165" spans="2:12" s="203" customFormat="1" ht="30">
      <c r="B165" s="458" t="s">
        <v>6317</v>
      </c>
      <c r="C165" s="450">
        <f>QUANT!C685</f>
        <v>96523</v>
      </c>
      <c r="D165" s="450" t="str">
        <f>QUANT!D685</f>
        <v>SINAPI</v>
      </c>
      <c r="E165" s="639" t="str">
        <f>IFERROR(VLOOKUP($C165,'SINAPI MAIO 2020'!$1:$1048576,2,0),IFERROR(VLOOKUP($C165,'6-COMP. PROPRIA'!$B$1:$I$808,4,0),""))</f>
        <v>ESCAVAÇÃO MANUAL PARA BLOCO DE COROAMENTO OU SAPATA, COM PREVISÃO DE FÔRMA. AF_06/2017</v>
      </c>
      <c r="F165" s="638" t="str">
        <f>IFERROR(VLOOKUP($C165,'SINAPI MAIO 2020'!$1:$1048576,3,0),IFERROR(VLOOKUP($C165,'6-COMP. PROPRIA'!$B$1:$I$808,5,0),""))</f>
        <v>M3</v>
      </c>
      <c r="G165" s="452">
        <f>QUANT!K685</f>
        <v>16.128</v>
      </c>
      <c r="H165" s="452">
        <f>IFERROR(VLOOKUP($C165,'SINAPI MAIO 2020'!$1:$1048576,4,0),IFERROR(VLOOKUP($C165,'6-COMP. PROPRIA'!$B$1:$I$808,8,0),""))</f>
        <v>64.98</v>
      </c>
      <c r="I165" s="452">
        <f>TRUNC(($H165*'4-BDI'!$E$29),2)</f>
        <v>83.33</v>
      </c>
      <c r="J165" s="453">
        <f t="shared" ref="J165" si="72">TRUNC((G165*H165),2)</f>
        <v>1047.99</v>
      </c>
      <c r="K165" s="454">
        <f t="shared" ref="K165" si="73">TRUNC((I165*G165),2)</f>
        <v>1343.94</v>
      </c>
      <c r="L165" s="187"/>
    </row>
    <row r="166" spans="2:12" s="203" customFormat="1" ht="30">
      <c r="B166" s="458" t="s">
        <v>6318</v>
      </c>
      <c r="C166" s="450">
        <f>QUANT!C690</f>
        <v>96617</v>
      </c>
      <c r="D166" s="450" t="str">
        <f>QUANT!D690</f>
        <v>SINAPI</v>
      </c>
      <c r="E166" s="639" t="str">
        <f>IFERROR(VLOOKUP($C166,'SINAPI MAIO 2020'!$1:$1048576,2,0),IFERROR(VLOOKUP($C166,'6-COMP. PROPRIA'!$B$1:$I$808,4,0),""))</f>
        <v>LASTRO DE CONCRETO MAGRO, APLICADO EM BLOCOS DE COROAMENTO OU SAPATAS, ESPESSURA DE 3 CM. AF_08/2017</v>
      </c>
      <c r="F166" s="638" t="str">
        <f>IFERROR(VLOOKUP($C166,'SINAPI MAIO 2020'!$1:$1048576,3,0),IFERROR(VLOOKUP($C166,'6-COMP. PROPRIA'!$B$1:$I$808,5,0),""))</f>
        <v>M2</v>
      </c>
      <c r="G166" s="452">
        <f>QUANT!K690</f>
        <v>10.079999999999998</v>
      </c>
      <c r="H166" s="452">
        <f>IFERROR(VLOOKUP($C166,'SINAPI MAIO 2020'!$1:$1048576,4,0),IFERROR(VLOOKUP($C166,'6-COMP. PROPRIA'!$B$1:$I$808,8,0),""))</f>
        <v>12.63</v>
      </c>
      <c r="I166" s="452">
        <f>TRUNC(($H166*'4-BDI'!$E$29),2)</f>
        <v>16.190000000000001</v>
      </c>
      <c r="J166" s="453">
        <f t="shared" ref="J166:J176" si="74">TRUNC((G166*H166),2)</f>
        <v>127.31</v>
      </c>
      <c r="K166" s="454">
        <f t="shared" ref="K166:K176" si="75">TRUNC((I166*G166),2)</f>
        <v>163.19</v>
      </c>
      <c r="L166" s="187"/>
    </row>
    <row r="167" spans="2:12" s="203" customFormat="1" ht="30">
      <c r="B167" s="458" t="s">
        <v>6319</v>
      </c>
      <c r="C167" s="450">
        <f>QUANT!C695</f>
        <v>94965</v>
      </c>
      <c r="D167" s="450" t="str">
        <f>QUANT!D695</f>
        <v>SINAPI</v>
      </c>
      <c r="E167" s="639" t="str">
        <f>IFERROR(VLOOKUP($C167,'SINAPI MAIO 2020'!$1:$1048576,2,0),IFERROR(VLOOKUP($C167,'6-COMP. PROPRIA'!$B$1:$I$808,4,0),""))</f>
        <v>CONCRETO FCK = 25MPA, TRAÇO 1:2,3:2,7 (CIMENTO/ AREIA MÉDIA/ BRITA 1)  - PREPARO MECÂNICO COM BETONEIRA 400 L. AF_07/2016</v>
      </c>
      <c r="F167" s="638" t="str">
        <f>IFERROR(VLOOKUP($C167,'SINAPI MAIO 2020'!$1:$1048576,3,0),IFERROR(VLOOKUP($C167,'6-COMP. PROPRIA'!$B$1:$I$808,5,0),""))</f>
        <v>M3</v>
      </c>
      <c r="G167" s="452">
        <f>QUANT!K695</f>
        <v>5.2200000000000006</v>
      </c>
      <c r="H167" s="452">
        <f>IFERROR(VLOOKUP($C167,'SINAPI MAIO 2020'!$1:$1048576,4,0),IFERROR(VLOOKUP($C167,'6-COMP. PROPRIA'!$B$1:$I$808,8,0),""))</f>
        <v>323.58</v>
      </c>
      <c r="I167" s="452">
        <f>TRUNC(($H167*'4-BDI'!$E$29),2)</f>
        <v>414.95</v>
      </c>
      <c r="J167" s="453">
        <f t="shared" si="74"/>
        <v>1689.08</v>
      </c>
      <c r="K167" s="454">
        <f t="shared" si="75"/>
        <v>2166.0300000000002</v>
      </c>
      <c r="L167" s="187"/>
    </row>
    <row r="168" spans="2:12" s="203" customFormat="1" ht="30">
      <c r="B168" s="458" t="s">
        <v>6320</v>
      </c>
      <c r="C168" s="450">
        <f>QUANT!C701</f>
        <v>92873</v>
      </c>
      <c r="D168" s="450" t="str">
        <f>QUANT!D701</f>
        <v>SINAPI</v>
      </c>
      <c r="E168" s="639" t="str">
        <f>IFERROR(VLOOKUP($C168,'SINAPI MAIO 2020'!$1:$1048576,2,0),IFERROR(VLOOKUP($C168,'6-COMP. PROPRIA'!$B$1:$I$808,4,0),""))</f>
        <v>LANÇAMENTO COM USO DE BALDES, ADENSAMENTO E ACABAMENTO DE CONCRETO EM ESTRUTURAS. AF_12/2015</v>
      </c>
      <c r="F168" s="638" t="str">
        <f>IFERROR(VLOOKUP($C168,'SINAPI MAIO 2020'!$1:$1048576,3,0),IFERROR(VLOOKUP($C168,'6-COMP. PROPRIA'!$B$1:$I$808,5,0),""))</f>
        <v>M3</v>
      </c>
      <c r="G168" s="452">
        <f>QUANT!K701</f>
        <v>5.2200000000000006</v>
      </c>
      <c r="H168" s="452">
        <f>IFERROR(VLOOKUP($C168,'SINAPI MAIO 2020'!$1:$1048576,4,0),IFERROR(VLOOKUP($C168,'6-COMP. PROPRIA'!$B$1:$I$808,8,0),""))</f>
        <v>146.37</v>
      </c>
      <c r="I168" s="452">
        <f>TRUNC(($H168*'4-BDI'!$E$29),2)</f>
        <v>187.7</v>
      </c>
      <c r="J168" s="453">
        <f t="shared" si="74"/>
        <v>764.05</v>
      </c>
      <c r="K168" s="454">
        <f t="shared" si="75"/>
        <v>979.79</v>
      </c>
      <c r="L168" s="187"/>
    </row>
    <row r="169" spans="2:12" s="203" customFormat="1" ht="30">
      <c r="B169" s="458" t="s">
        <v>6321</v>
      </c>
      <c r="C169" s="450">
        <f>QUANT!C703</f>
        <v>96546</v>
      </c>
      <c r="D169" s="450" t="str">
        <f>QUANT!D703</f>
        <v>SINAPI</v>
      </c>
      <c r="E169" s="639" t="str">
        <f>IFERROR(VLOOKUP($C169,'SINAPI MAIO 2020'!$1:$1048576,2,0),IFERROR(VLOOKUP($C169,'6-COMP. PROPRIA'!$B$1:$I$808,4,0),""))</f>
        <v>ARMAÇÃO DE BLOCO, VIGA BALDRAME OU SAPATA UTILIZANDO AÇO CA-50 DE 10 MM - MONTAGEM. AF_06/2017</v>
      </c>
      <c r="F169" s="638" t="str">
        <f>IFERROR(VLOOKUP($C169,'SINAPI MAIO 2020'!$1:$1048576,3,0),IFERROR(VLOOKUP($C169,'6-COMP. PROPRIA'!$B$1:$I$808,5,0),""))</f>
        <v>KG</v>
      </c>
      <c r="G169" s="452">
        <f>QUANT!K703</f>
        <v>216.65743200000003</v>
      </c>
      <c r="H169" s="452">
        <f>IFERROR(VLOOKUP($C169,'SINAPI MAIO 2020'!$1:$1048576,4,0),IFERROR(VLOOKUP($C169,'6-COMP. PROPRIA'!$B$1:$I$808,8,0),""))</f>
        <v>8.31</v>
      </c>
      <c r="I169" s="452">
        <f>TRUNC(($H169*'4-BDI'!$E$29),2)</f>
        <v>10.65</v>
      </c>
      <c r="J169" s="453">
        <f t="shared" si="74"/>
        <v>1800.42</v>
      </c>
      <c r="K169" s="454">
        <f t="shared" si="75"/>
        <v>2307.4</v>
      </c>
      <c r="L169" s="187"/>
    </row>
    <row r="170" spans="2:12" s="203" customFormat="1" ht="30">
      <c r="B170" s="458" t="s">
        <v>6322</v>
      </c>
      <c r="C170" s="450">
        <f>QUANT!C712</f>
        <v>96546</v>
      </c>
      <c r="D170" s="450" t="str">
        <f>QUANT!D712</f>
        <v>SINAPI</v>
      </c>
      <c r="E170" s="639" t="str">
        <f>IFERROR(VLOOKUP($C170,'SINAPI MAIO 2020'!$1:$1048576,2,0),IFERROR(VLOOKUP($C170,'6-COMP. PROPRIA'!$B$1:$I$808,4,0),""))</f>
        <v>ARMAÇÃO DE BLOCO, VIGA BALDRAME OU SAPATA UTILIZANDO AÇO CA-50 DE 10 MM - MONTAGEM. AF_06/2017</v>
      </c>
      <c r="F170" s="638" t="str">
        <f>IFERROR(VLOOKUP($C170,'SINAPI MAIO 2020'!$1:$1048576,3,0),IFERROR(VLOOKUP($C170,'6-COMP. PROPRIA'!$B$1:$I$808,5,0),""))</f>
        <v>KG</v>
      </c>
      <c r="G170" s="452">
        <f>QUANT!K712</f>
        <v>122.01792</v>
      </c>
      <c r="H170" s="452">
        <f>IFERROR(VLOOKUP($C170,'SINAPI MAIO 2020'!$1:$1048576,4,0),IFERROR(VLOOKUP($C170,'6-COMP. PROPRIA'!$B$1:$I$808,8,0),""))</f>
        <v>8.31</v>
      </c>
      <c r="I170" s="452">
        <f>TRUNC(($H170*'4-BDI'!$E$29),2)</f>
        <v>10.65</v>
      </c>
      <c r="J170" s="453">
        <f t="shared" si="74"/>
        <v>1013.96</v>
      </c>
      <c r="K170" s="454">
        <f t="shared" si="75"/>
        <v>1299.49</v>
      </c>
      <c r="L170" s="187"/>
    </row>
    <row r="171" spans="2:12" s="203" customFormat="1" ht="45">
      <c r="B171" s="458" t="s">
        <v>6323</v>
      </c>
      <c r="C171" s="450">
        <f>QUANT!C720</f>
        <v>92775</v>
      </c>
      <c r="D171" s="450" t="str">
        <f>QUANT!D720</f>
        <v>SINAPI</v>
      </c>
      <c r="E171" s="639" t="str">
        <f>IFERROR(VLOOKUP($C171,'SINAPI MAIO 2020'!$1:$1048576,2,0),IFERROR(VLOOKUP($C171,'6-COMP. PROPRIA'!$B$1:$I$808,4,0),""))</f>
        <v>ARMAÇÃO DE PILAR OU VIGA DE UMA ESTRUTURA CONVENCIONAL DE CONCRETO ARMADO EM UMA EDIFICAÇÃO TÉRREA OU SOBRADO UTILIZANDO AÇO CA-60 DE 5,0 MM - MONTAGEM. AF_12/2015</v>
      </c>
      <c r="F171" s="638" t="str">
        <f>IFERROR(VLOOKUP($C171,'SINAPI MAIO 2020'!$1:$1048576,3,0),IFERROR(VLOOKUP($C171,'6-COMP. PROPRIA'!$B$1:$I$808,5,0),""))</f>
        <v>KG</v>
      </c>
      <c r="G171" s="452">
        <f>QUANT!K720</f>
        <v>3.0307200000000001</v>
      </c>
      <c r="H171" s="452">
        <f>IFERROR(VLOOKUP($C171,'SINAPI MAIO 2020'!$1:$1048576,4,0),IFERROR(VLOOKUP($C171,'6-COMP. PROPRIA'!$B$1:$I$808,8,0),""))</f>
        <v>11.65</v>
      </c>
      <c r="I171" s="452">
        <f>TRUNC(($H171*'4-BDI'!$E$29),2)</f>
        <v>14.93</v>
      </c>
      <c r="J171" s="453">
        <f t="shared" si="74"/>
        <v>35.299999999999997</v>
      </c>
      <c r="K171" s="454">
        <f t="shared" si="75"/>
        <v>45.24</v>
      </c>
      <c r="L171" s="187"/>
    </row>
    <row r="172" spans="2:12" s="203" customFormat="1" ht="45">
      <c r="B172" s="458" t="s">
        <v>6324</v>
      </c>
      <c r="C172" s="450">
        <f>QUANT!C727</f>
        <v>96536</v>
      </c>
      <c r="D172" s="450" t="str">
        <f>QUANT!D727</f>
        <v>SINAPI</v>
      </c>
      <c r="E172" s="639" t="str">
        <f>IFERROR(VLOOKUP($C172,'SINAPI MAIO 2020'!$1:$1048576,2,0),IFERROR(VLOOKUP($C172,'6-COMP. PROPRIA'!$B$1:$I$808,4,0),""))</f>
        <v>FABRICAÇÃO, MONTAGEM E DESMONTAGEM DE FÔRMA PARA VIGA BALDRAME, EM MADEIRA SERRADA, E=25 MM, 4 UTILIZAÇÕES. AF_06/2017</v>
      </c>
      <c r="F172" s="638" t="str">
        <f>IFERROR(VLOOKUP($C172,'SINAPI MAIO 2020'!$1:$1048576,3,0),IFERROR(VLOOKUP($C172,'6-COMP. PROPRIA'!$B$1:$I$808,5,0),""))</f>
        <v>M2</v>
      </c>
      <c r="G172" s="452">
        <f>QUANT!K727</f>
        <v>51.36</v>
      </c>
      <c r="H172" s="452">
        <f>IFERROR(VLOOKUP($C172,'SINAPI MAIO 2020'!$1:$1048576,4,0),IFERROR(VLOOKUP($C172,'6-COMP. PROPRIA'!$B$1:$I$808,8,0),""))</f>
        <v>41.79</v>
      </c>
      <c r="I172" s="452">
        <f>TRUNC(($H172*'4-BDI'!$E$29),2)</f>
        <v>53.59</v>
      </c>
      <c r="J172" s="453">
        <f t="shared" si="74"/>
        <v>2146.33</v>
      </c>
      <c r="K172" s="454">
        <f t="shared" si="75"/>
        <v>2752.38</v>
      </c>
      <c r="L172" s="187"/>
    </row>
    <row r="173" spans="2:12" s="203" customFormat="1" ht="30">
      <c r="B173" s="458" t="s">
        <v>6325</v>
      </c>
      <c r="C173" s="450">
        <f>QUANT!C733</f>
        <v>93382</v>
      </c>
      <c r="D173" s="450" t="str">
        <f>QUANT!D733</f>
        <v>SINAPI</v>
      </c>
      <c r="E173" s="639" t="str">
        <f>IFERROR(VLOOKUP($C173,'SINAPI MAIO 2020'!$1:$1048576,2,0),IFERROR(VLOOKUP($C173,'6-COMP. PROPRIA'!$B$1:$I$808,4,0),""))</f>
        <v>REATERRO MANUAL DE VALAS COM COMPACTAÇÃO MECANIZADA. AF_04/2016</v>
      </c>
      <c r="F173" s="638" t="str">
        <f>IFERROR(VLOOKUP($C173,'SINAPI MAIO 2020'!$1:$1048576,3,0),IFERROR(VLOOKUP($C173,'6-COMP. PROPRIA'!$B$1:$I$808,5,0),""))</f>
        <v>M3</v>
      </c>
      <c r="G173" s="452">
        <f>QUANT!K733</f>
        <v>10.907999999999999</v>
      </c>
      <c r="H173" s="452">
        <f>IFERROR(VLOOKUP($C173,'SINAPI MAIO 2020'!$1:$1048576,4,0),IFERROR(VLOOKUP($C173,'6-COMP. PROPRIA'!$B$1:$I$808,8,0),""))</f>
        <v>19.22</v>
      </c>
      <c r="I173" s="452">
        <f>TRUNC(($H173*'4-BDI'!$E$29),2)</f>
        <v>24.64</v>
      </c>
      <c r="J173" s="453">
        <f t="shared" si="74"/>
        <v>209.65</v>
      </c>
      <c r="K173" s="454">
        <f t="shared" si="75"/>
        <v>268.77</v>
      </c>
      <c r="L173" s="187"/>
    </row>
    <row r="174" spans="2:12" s="203" customFormat="1" ht="30">
      <c r="B174" s="458" t="s">
        <v>6326</v>
      </c>
      <c r="C174" s="450">
        <f>QUANT!C737</f>
        <v>98557</v>
      </c>
      <c r="D174" s="450" t="str">
        <f>QUANT!D737</f>
        <v>SINAPI</v>
      </c>
      <c r="E174" s="639" t="str">
        <f>IFERROR(VLOOKUP($C174,'SINAPI MAIO 2020'!$1:$1048576,2,0),IFERROR(VLOOKUP($C174,'6-COMP. PROPRIA'!$B$1:$I$808,4,0),""))</f>
        <v>IMPERMEABILIZAÇÃO DE SUPERFÍCIE COM EMULSÃO ASFÁLTICA, 2 DEMÃOS AF_06/2018</v>
      </c>
      <c r="F174" s="638" t="str">
        <f>IFERROR(VLOOKUP($C174,'SINAPI MAIO 2020'!$1:$1048576,3,0),IFERROR(VLOOKUP($C174,'6-COMP. PROPRIA'!$B$1:$I$808,5,0),""))</f>
        <v>M2</v>
      </c>
      <c r="G174" s="452">
        <f>QUANT!K737</f>
        <v>49.919999999999987</v>
      </c>
      <c r="H174" s="452">
        <f>IFERROR(VLOOKUP($C174,'SINAPI MAIO 2020'!$1:$1048576,4,0),IFERROR(VLOOKUP($C174,'6-COMP. PROPRIA'!$B$1:$I$808,8,0),""))</f>
        <v>23.61</v>
      </c>
      <c r="I174" s="452">
        <f>TRUNC(($H174*'4-BDI'!$E$29),2)</f>
        <v>30.27</v>
      </c>
      <c r="J174" s="453">
        <f t="shared" si="74"/>
        <v>1178.6099999999999</v>
      </c>
      <c r="K174" s="454">
        <f t="shared" si="75"/>
        <v>1511.07</v>
      </c>
      <c r="L174" s="187"/>
    </row>
    <row r="175" spans="2:12" s="203" customFormat="1" ht="30">
      <c r="B175" s="458" t="s">
        <v>6327</v>
      </c>
      <c r="C175" s="450">
        <f>QUANT!C743</f>
        <v>72897</v>
      </c>
      <c r="D175" s="450" t="str">
        <f>QUANT!D743</f>
        <v>SINAPI</v>
      </c>
      <c r="E175" s="639" t="str">
        <f>IFERROR(VLOOKUP($C175,'SINAPI MAIO 2020'!$1:$1048576,2,0),IFERROR(VLOOKUP($C175,'6-COMP. PROPRIA'!$B$1:$I$808,4,0),""))</f>
        <v>CARGA MANUAL DE ENTULHO EM CAMINHAO BASCULANTE 6 M3</v>
      </c>
      <c r="F175" s="638" t="str">
        <f>IFERROR(VLOOKUP($C175,'SINAPI MAIO 2020'!$1:$1048576,3,0),IFERROR(VLOOKUP($C175,'6-COMP. PROPRIA'!$B$1:$I$808,5,0),""))</f>
        <v>M3</v>
      </c>
      <c r="G175" s="452">
        <f>QUANT!K743</f>
        <v>6.7860000000000014</v>
      </c>
      <c r="H175" s="452">
        <f>IFERROR(VLOOKUP($C175,'SINAPI MAIO 2020'!$1:$1048576,4,0),IFERROR(VLOOKUP($C175,'6-COMP. PROPRIA'!$B$1:$I$808,8,0),""))</f>
        <v>17.510000000000002</v>
      </c>
      <c r="I175" s="452">
        <f>TRUNC(($H175*'4-BDI'!$E$29),2)</f>
        <v>22.45</v>
      </c>
      <c r="J175" s="453">
        <f t="shared" si="74"/>
        <v>118.82</v>
      </c>
      <c r="K175" s="454">
        <f t="shared" si="75"/>
        <v>152.34</v>
      </c>
      <c r="L175" s="187"/>
    </row>
    <row r="176" spans="2:12" s="203" customFormat="1" ht="30">
      <c r="B176" s="458" t="s">
        <v>12568</v>
      </c>
      <c r="C176" s="450">
        <f>QUANT!C747</f>
        <v>97916</v>
      </c>
      <c r="D176" s="450" t="str">
        <f>QUANT!D747</f>
        <v>SINAPI</v>
      </c>
      <c r="E176" s="639" t="str">
        <f>IFERROR(VLOOKUP($C176,'SINAPI MAIO 2020'!$1:$1048576,2,0),IFERROR(VLOOKUP($C176,'6-COMP. PROPRIA'!$B$1:$I$808,4,0),""))</f>
        <v>TRANSPORTE COM CAMINHÃO BASCULANTE DE 6 M3, EM VIA URBANA EM LEITO NATURAL (UNIDADE: TXKM). AF_01/2018</v>
      </c>
      <c r="F176" s="638" t="str">
        <f>IFERROR(VLOOKUP($C176,'SINAPI MAIO 2020'!$1:$1048576,3,0),IFERROR(VLOOKUP($C176,'6-COMP. PROPRIA'!$B$1:$I$808,5,0),""))</f>
        <v>TXKM</v>
      </c>
      <c r="G176" s="452">
        <f>QUANT!K747</f>
        <v>169.65000000000003</v>
      </c>
      <c r="H176" s="452">
        <f>IFERROR(VLOOKUP($C176,'SINAPI MAIO 2020'!$1:$1048576,4,0),IFERROR(VLOOKUP($C176,'6-COMP. PROPRIA'!$B$1:$I$808,8,0),""))</f>
        <v>1</v>
      </c>
      <c r="I176" s="452">
        <f>TRUNC(($H176*'4-BDI'!$E$29),2)</f>
        <v>1.28</v>
      </c>
      <c r="J176" s="453">
        <f t="shared" si="74"/>
        <v>169.65</v>
      </c>
      <c r="K176" s="454">
        <f t="shared" si="75"/>
        <v>217.15</v>
      </c>
      <c r="L176" s="187"/>
    </row>
    <row r="177" spans="2:12" s="203" customFormat="1" ht="15.75">
      <c r="B177" s="746" t="s">
        <v>12564</v>
      </c>
      <c r="C177" s="747"/>
      <c r="D177" s="747"/>
      <c r="E177" s="747"/>
      <c r="F177" s="747"/>
      <c r="G177" s="747"/>
      <c r="H177" s="747"/>
      <c r="I177" s="456"/>
      <c r="J177" s="457">
        <f>TRUNC(SUM(J165:J176),2)</f>
        <v>10301.17</v>
      </c>
      <c r="K177" s="457">
        <f>TRUNC(SUM(K165:K176),2)</f>
        <v>13206.79</v>
      </c>
      <c r="L177" s="187"/>
    </row>
    <row r="178" spans="2:12" s="201" customFormat="1" ht="15.75">
      <c r="B178" s="482" t="s">
        <v>6269</v>
      </c>
      <c r="C178" s="483"/>
      <c r="D178" s="484"/>
      <c r="E178" s="485" t="str">
        <f>QUANT!E751</f>
        <v xml:space="preserve">BALDRAME </v>
      </c>
      <c r="F178" s="486"/>
      <c r="G178" s="487"/>
      <c r="H178" s="488"/>
      <c r="I178" s="488"/>
      <c r="J178" s="489"/>
      <c r="K178" s="457"/>
      <c r="L178" s="187"/>
    </row>
    <row r="179" spans="2:12" s="203" customFormat="1" ht="30">
      <c r="B179" s="458" t="s">
        <v>6328</v>
      </c>
      <c r="C179" s="450">
        <f>QUANT!C753</f>
        <v>96527</v>
      </c>
      <c r="D179" s="450" t="str">
        <f>QUANT!D753</f>
        <v>SINAPI</v>
      </c>
      <c r="E179" s="639" t="str">
        <f>IFERROR(VLOOKUP($C179,'SINAPI MAIO 2020'!$1:$1048576,2,0),IFERROR(VLOOKUP($C179,'6-COMP. PROPRIA'!$B$1:$I$808,4,0),""))</f>
        <v>ESCAVAÇÃO MANUAL DE VALA PARA VIGA BALDRAME, COM PREVISÃO DE FÔRMA. AF_06/2017</v>
      </c>
      <c r="F179" s="638" t="str">
        <f>IFERROR(VLOOKUP($C179,'SINAPI MAIO 2020'!$1:$1048576,3,0),IFERROR(VLOOKUP($C179,'6-COMP. PROPRIA'!$B$1:$I$808,5,0),""))</f>
        <v>M3</v>
      </c>
      <c r="G179" s="452">
        <f>QUANT!K753</f>
        <v>7.4515999999999991</v>
      </c>
      <c r="H179" s="452">
        <f>IFERROR(VLOOKUP($C179,'SINAPI MAIO 2020'!$1:$1048576,4,0),IFERROR(VLOOKUP($C179,'6-COMP. PROPRIA'!$B$1:$I$808,8,0),""))</f>
        <v>85.37</v>
      </c>
      <c r="I179" s="452">
        <f>TRUNC(($H179*'4-BDI'!$E$29),2)</f>
        <v>109.47</v>
      </c>
      <c r="J179" s="453">
        <f t="shared" ref="J179" si="76">TRUNC((G179*H179),2)</f>
        <v>636.14</v>
      </c>
      <c r="K179" s="454">
        <f t="shared" ref="K179" si="77">TRUNC((I179*G179),2)</f>
        <v>815.72</v>
      </c>
      <c r="L179" s="187"/>
    </row>
    <row r="180" spans="2:12" s="203" customFormat="1" ht="30">
      <c r="B180" s="458" t="s">
        <v>6329</v>
      </c>
      <c r="C180" s="450">
        <f>QUANT!C764</f>
        <v>96617</v>
      </c>
      <c r="D180" s="450" t="str">
        <f>QUANT!D764</f>
        <v>SINAPI</v>
      </c>
      <c r="E180" s="639" t="str">
        <f>IFERROR(VLOOKUP($C180,'SINAPI MAIO 2020'!$1:$1048576,2,0),IFERROR(VLOOKUP($C180,'6-COMP. PROPRIA'!$B$1:$I$808,4,0),""))</f>
        <v>LASTRO DE CONCRETO MAGRO, APLICADO EM BLOCOS DE COROAMENTO OU SAPATAS, ESPESSURA DE 3 CM. AF_08/2017</v>
      </c>
      <c r="F180" s="638" t="str">
        <f>IFERROR(VLOOKUP($C180,'SINAPI MAIO 2020'!$1:$1048576,3,0),IFERROR(VLOOKUP($C180,'6-COMP. PROPRIA'!$B$1:$I$808,5,0),""))</f>
        <v>M2</v>
      </c>
      <c r="G180" s="452">
        <f>QUANT!K764</f>
        <v>8.597999999999999</v>
      </c>
      <c r="H180" s="452">
        <f>IFERROR(VLOOKUP($C180,'SINAPI MAIO 2020'!$1:$1048576,4,0),IFERROR(VLOOKUP($C180,'6-COMP. PROPRIA'!$B$1:$I$808,8,0),""))</f>
        <v>12.63</v>
      </c>
      <c r="I180" s="452">
        <f>TRUNC(($H180*'4-BDI'!$E$29),2)</f>
        <v>16.190000000000001</v>
      </c>
      <c r="J180" s="453">
        <f t="shared" ref="J180:J189" si="78">TRUNC((G180*H180),2)</f>
        <v>108.59</v>
      </c>
      <c r="K180" s="454">
        <f t="shared" ref="K180:K189" si="79">TRUNC((I180*G180),2)</f>
        <v>139.19999999999999</v>
      </c>
      <c r="L180" s="187"/>
    </row>
    <row r="181" spans="2:12" s="203" customFormat="1" ht="30">
      <c r="B181" s="458" t="s">
        <v>6330</v>
      </c>
      <c r="C181" s="450">
        <f>QUANT!C773</f>
        <v>94965</v>
      </c>
      <c r="D181" s="450" t="str">
        <f>QUANT!D773</f>
        <v>SINAPI</v>
      </c>
      <c r="E181" s="639" t="str">
        <f>IFERROR(VLOOKUP($C181,'SINAPI MAIO 2020'!$1:$1048576,2,0),IFERROR(VLOOKUP($C181,'6-COMP. PROPRIA'!$B$1:$I$808,4,0),""))</f>
        <v>CONCRETO FCK = 25MPA, TRAÇO 1:2,3:2,7 (CIMENTO/ AREIA MÉDIA/ BRITA 1)  - PREPARO MECÂNICO COM BETONEIRA 400 L. AF_07/2016</v>
      </c>
      <c r="F181" s="638" t="str">
        <f>IFERROR(VLOOKUP($C181,'SINAPI MAIO 2020'!$1:$1048576,3,0),IFERROR(VLOOKUP($C181,'6-COMP. PROPRIA'!$B$1:$I$808,5,0),""))</f>
        <v>M3</v>
      </c>
      <c r="G181" s="452">
        <f>QUANT!K773</f>
        <v>2.5793999999999997</v>
      </c>
      <c r="H181" s="452">
        <f>IFERROR(VLOOKUP($C181,'SINAPI MAIO 2020'!$1:$1048576,4,0),IFERROR(VLOOKUP($C181,'6-COMP. PROPRIA'!$B$1:$I$808,8,0),""))</f>
        <v>323.58</v>
      </c>
      <c r="I181" s="452">
        <f>TRUNC(($H181*'4-BDI'!$E$29),2)</f>
        <v>414.95</v>
      </c>
      <c r="J181" s="453">
        <f t="shared" si="78"/>
        <v>834.64</v>
      </c>
      <c r="K181" s="454">
        <f t="shared" si="79"/>
        <v>1070.32</v>
      </c>
      <c r="L181" s="187"/>
    </row>
    <row r="182" spans="2:12" s="203" customFormat="1" ht="30">
      <c r="B182" s="458" t="s">
        <v>6331</v>
      </c>
      <c r="C182" s="450">
        <f>QUANT!C782</f>
        <v>92873</v>
      </c>
      <c r="D182" s="450" t="str">
        <f>QUANT!D782</f>
        <v>SINAPI</v>
      </c>
      <c r="E182" s="639" t="str">
        <f>IFERROR(VLOOKUP($C182,'SINAPI MAIO 2020'!$1:$1048576,2,0),IFERROR(VLOOKUP($C182,'6-COMP. PROPRIA'!$B$1:$I$808,4,0),""))</f>
        <v>LANÇAMENTO COM USO DE BALDES, ADENSAMENTO E ACABAMENTO DE CONCRETO EM ESTRUTURAS. AF_12/2015</v>
      </c>
      <c r="F182" s="638" t="str">
        <f>IFERROR(VLOOKUP($C182,'SINAPI MAIO 2020'!$1:$1048576,3,0),IFERROR(VLOOKUP($C182,'6-COMP. PROPRIA'!$B$1:$I$808,5,0),""))</f>
        <v>M3</v>
      </c>
      <c r="G182" s="452">
        <f>QUANT!K782</f>
        <v>2.5793999999999997</v>
      </c>
      <c r="H182" s="452">
        <f>IFERROR(VLOOKUP($C182,'SINAPI MAIO 2020'!$1:$1048576,4,0),IFERROR(VLOOKUP($C182,'6-COMP. PROPRIA'!$B$1:$I$808,8,0),""))</f>
        <v>146.37</v>
      </c>
      <c r="I182" s="452">
        <f>TRUNC(($H182*'4-BDI'!$E$29),2)</f>
        <v>187.7</v>
      </c>
      <c r="J182" s="453">
        <f t="shared" si="78"/>
        <v>377.54</v>
      </c>
      <c r="K182" s="454">
        <f t="shared" si="79"/>
        <v>484.15</v>
      </c>
      <c r="L182" s="187"/>
    </row>
    <row r="183" spans="2:12" s="203" customFormat="1" ht="30">
      <c r="B183" s="458" t="s">
        <v>6332</v>
      </c>
      <c r="C183" s="450">
        <f>QUANT!C784</f>
        <v>96543</v>
      </c>
      <c r="D183" s="450" t="str">
        <f>QUANT!D784</f>
        <v>SINAPI</v>
      </c>
      <c r="E183" s="639" t="str">
        <f>IFERROR(VLOOKUP($C183,'SINAPI MAIO 2020'!$1:$1048576,2,0),IFERROR(VLOOKUP($C183,'6-COMP. PROPRIA'!$B$1:$I$808,4,0),""))</f>
        <v>ARMAÇÃO DE BLOCO, VIGA BALDRAME E SAPATA UTILIZANDO AÇO CA-60 DE 5 MM - MONTAGEM. AF_06/2017</v>
      </c>
      <c r="F183" s="638" t="str">
        <f>IFERROR(VLOOKUP($C183,'SINAPI MAIO 2020'!$1:$1048576,3,0),IFERROR(VLOOKUP($C183,'6-COMP. PROPRIA'!$B$1:$I$808,5,0),""))</f>
        <v>KG</v>
      </c>
      <c r="G183" s="452">
        <f>QUANT!K784</f>
        <v>48.617799999999995</v>
      </c>
      <c r="H183" s="452">
        <f>IFERROR(VLOOKUP($C183,'SINAPI MAIO 2020'!$1:$1048576,4,0),IFERROR(VLOOKUP($C183,'6-COMP. PROPRIA'!$B$1:$I$808,8,0),""))</f>
        <v>11.59</v>
      </c>
      <c r="I183" s="452">
        <f>TRUNC(($H183*'4-BDI'!$E$29),2)</f>
        <v>14.86</v>
      </c>
      <c r="J183" s="453">
        <f t="shared" si="78"/>
        <v>563.48</v>
      </c>
      <c r="K183" s="454">
        <f t="shared" si="79"/>
        <v>722.46</v>
      </c>
      <c r="L183" s="187"/>
    </row>
    <row r="184" spans="2:12" s="203" customFormat="1" ht="30">
      <c r="B184" s="458" t="s">
        <v>6333</v>
      </c>
      <c r="C184" s="450">
        <f>QUANT!C789</f>
        <v>96546</v>
      </c>
      <c r="D184" s="450" t="str">
        <f>QUANT!D789</f>
        <v>SINAPI</v>
      </c>
      <c r="E184" s="639" t="str">
        <f>IFERROR(VLOOKUP($C184,'SINAPI MAIO 2020'!$1:$1048576,2,0),IFERROR(VLOOKUP($C184,'6-COMP. PROPRIA'!$B$1:$I$808,4,0),""))</f>
        <v>ARMAÇÃO DE BLOCO, VIGA BALDRAME OU SAPATA UTILIZANDO AÇO CA-50 DE 10 MM - MONTAGEM. AF_06/2017</v>
      </c>
      <c r="F184" s="638" t="str">
        <f>IFERROR(VLOOKUP($C184,'SINAPI MAIO 2020'!$1:$1048576,3,0),IFERROR(VLOOKUP($C184,'6-COMP. PROPRIA'!$B$1:$I$808,5,0),""))</f>
        <v>KG</v>
      </c>
      <c r="G184" s="452">
        <f>QUANT!K789</f>
        <v>159.28471999999999</v>
      </c>
      <c r="H184" s="452">
        <f>IFERROR(VLOOKUP($C184,'SINAPI MAIO 2020'!$1:$1048576,4,0),IFERROR(VLOOKUP($C184,'6-COMP. PROPRIA'!$B$1:$I$808,8,0),""))</f>
        <v>8.31</v>
      </c>
      <c r="I184" s="452">
        <f>TRUNC(($H184*'4-BDI'!$E$29),2)</f>
        <v>10.65</v>
      </c>
      <c r="J184" s="453">
        <f t="shared" si="78"/>
        <v>1323.65</v>
      </c>
      <c r="K184" s="454">
        <f t="shared" si="79"/>
        <v>1696.38</v>
      </c>
      <c r="L184" s="187"/>
    </row>
    <row r="185" spans="2:12" s="203" customFormat="1" ht="45">
      <c r="B185" s="458" t="s">
        <v>6334</v>
      </c>
      <c r="C185" s="450">
        <f>QUANT!C796</f>
        <v>96536</v>
      </c>
      <c r="D185" s="450" t="str">
        <f>QUANT!D796</f>
        <v>SINAPI</v>
      </c>
      <c r="E185" s="639" t="str">
        <f>IFERROR(VLOOKUP($C185,'SINAPI MAIO 2020'!$1:$1048576,2,0),IFERROR(VLOOKUP($C185,'6-COMP. PROPRIA'!$B$1:$I$808,4,0),""))</f>
        <v>FABRICAÇÃO, MONTAGEM E DESMONTAGEM DE FÔRMA PARA VIGA BALDRAME, EM MADEIRA SERRADA, E=25 MM, 4 UTILIZAÇÕES. AF_06/2017</v>
      </c>
      <c r="F185" s="638" t="str">
        <f>IFERROR(VLOOKUP($C185,'SINAPI MAIO 2020'!$1:$1048576,3,0),IFERROR(VLOOKUP($C185,'6-COMP. PROPRIA'!$B$1:$I$808,5,0),""))</f>
        <v>M2</v>
      </c>
      <c r="G185" s="452">
        <f>QUANT!K796</f>
        <v>38.718000000000004</v>
      </c>
      <c r="H185" s="452">
        <f>IFERROR(VLOOKUP($C185,'SINAPI MAIO 2020'!$1:$1048576,4,0),IFERROR(VLOOKUP($C185,'6-COMP. PROPRIA'!$B$1:$I$808,8,0),""))</f>
        <v>41.79</v>
      </c>
      <c r="I185" s="452">
        <f>TRUNC(($H185*'4-BDI'!$E$29),2)</f>
        <v>53.59</v>
      </c>
      <c r="J185" s="453">
        <f t="shared" si="78"/>
        <v>1618.02</v>
      </c>
      <c r="K185" s="454">
        <f t="shared" si="79"/>
        <v>2074.89</v>
      </c>
      <c r="L185" s="187"/>
    </row>
    <row r="186" spans="2:12" s="203" customFormat="1" ht="30">
      <c r="B186" s="458" t="s">
        <v>6335</v>
      </c>
      <c r="C186" s="450">
        <f>QUANT!C801</f>
        <v>93382</v>
      </c>
      <c r="D186" s="450" t="str">
        <f>QUANT!D801</f>
        <v>SINAPI</v>
      </c>
      <c r="E186" s="639" t="str">
        <f>IFERROR(VLOOKUP($C186,'SINAPI MAIO 2020'!$1:$1048576,2,0),IFERROR(VLOOKUP($C186,'6-COMP. PROPRIA'!$B$1:$I$808,4,0),""))</f>
        <v>REATERRO MANUAL DE VALAS COM COMPACTAÇÃO MECANIZADA. AF_04/2016</v>
      </c>
      <c r="F186" s="638" t="str">
        <f>IFERROR(VLOOKUP($C186,'SINAPI MAIO 2020'!$1:$1048576,3,0),IFERROR(VLOOKUP($C186,'6-COMP. PROPRIA'!$B$1:$I$808,5,0),""))</f>
        <v>M3</v>
      </c>
      <c r="G186" s="452">
        <f>QUANT!K801</f>
        <v>4.8721999999999994</v>
      </c>
      <c r="H186" s="452">
        <f>IFERROR(VLOOKUP($C186,'SINAPI MAIO 2020'!$1:$1048576,4,0),IFERROR(VLOOKUP($C186,'6-COMP. PROPRIA'!$B$1:$I$808,8,0),""))</f>
        <v>19.22</v>
      </c>
      <c r="I186" s="452">
        <f>TRUNC(($H186*'4-BDI'!$E$29),2)</f>
        <v>24.64</v>
      </c>
      <c r="J186" s="453">
        <f t="shared" si="78"/>
        <v>93.64</v>
      </c>
      <c r="K186" s="454">
        <f t="shared" si="79"/>
        <v>120.05</v>
      </c>
      <c r="L186" s="187"/>
    </row>
    <row r="187" spans="2:12" s="203" customFormat="1" ht="30">
      <c r="B187" s="458" t="s">
        <v>6336</v>
      </c>
      <c r="C187" s="450">
        <f>QUANT!C805</f>
        <v>98557</v>
      </c>
      <c r="D187" s="450" t="str">
        <f>QUANT!D805</f>
        <v>SINAPI</v>
      </c>
      <c r="E187" s="639" t="str">
        <f>IFERROR(VLOOKUP($C187,'SINAPI MAIO 2020'!$1:$1048576,2,0),IFERROR(VLOOKUP($C187,'6-COMP. PROPRIA'!$B$1:$I$808,4,0),""))</f>
        <v>IMPERMEABILIZAÇÃO DE SUPERFÍCIE COM EMULSÃO ASFÁLTICA, 2 DEMÃOS AF_06/2018</v>
      </c>
      <c r="F187" s="638" t="str">
        <f>IFERROR(VLOOKUP($C187,'SINAPI MAIO 2020'!$1:$1048576,3,0),IFERROR(VLOOKUP($C187,'6-COMP. PROPRIA'!$B$1:$I$808,5,0),""))</f>
        <v>M2</v>
      </c>
      <c r="G187" s="452">
        <f>QUANT!K805</f>
        <v>38.718000000000004</v>
      </c>
      <c r="H187" s="452">
        <f>IFERROR(VLOOKUP($C187,'SINAPI MAIO 2020'!$1:$1048576,4,0),IFERROR(VLOOKUP($C187,'6-COMP. PROPRIA'!$B$1:$I$808,8,0),""))</f>
        <v>23.61</v>
      </c>
      <c r="I187" s="452">
        <f>TRUNC(($H187*'4-BDI'!$E$29),2)</f>
        <v>30.27</v>
      </c>
      <c r="J187" s="453">
        <f t="shared" si="78"/>
        <v>914.13</v>
      </c>
      <c r="K187" s="454">
        <f t="shared" si="79"/>
        <v>1171.99</v>
      </c>
      <c r="L187" s="187"/>
    </row>
    <row r="188" spans="2:12" s="203" customFormat="1" ht="30">
      <c r="B188" s="458" t="s">
        <v>6337</v>
      </c>
      <c r="C188" s="450">
        <f>QUANT!C808</f>
        <v>72897</v>
      </c>
      <c r="D188" s="450" t="str">
        <f>QUANT!D808</f>
        <v>SINAPI</v>
      </c>
      <c r="E188" s="639" t="str">
        <f>IFERROR(VLOOKUP($C188,'SINAPI MAIO 2020'!$1:$1048576,2,0),IFERROR(VLOOKUP($C188,'6-COMP. PROPRIA'!$B$1:$I$808,4,0),""))</f>
        <v>CARGA MANUAL DE ENTULHO EM CAMINHAO BASCULANTE 6 M3</v>
      </c>
      <c r="F188" s="638" t="str">
        <f>IFERROR(VLOOKUP($C188,'SINAPI MAIO 2020'!$1:$1048576,3,0),IFERROR(VLOOKUP($C188,'6-COMP. PROPRIA'!$B$1:$I$808,5,0),""))</f>
        <v>M3</v>
      </c>
      <c r="G188" s="452">
        <f>QUANT!K808</f>
        <v>3.3532199999999999</v>
      </c>
      <c r="H188" s="452">
        <f>IFERROR(VLOOKUP($C188,'SINAPI MAIO 2020'!$1:$1048576,4,0),IFERROR(VLOOKUP($C188,'6-COMP. PROPRIA'!$B$1:$I$808,8,0),""))</f>
        <v>17.510000000000002</v>
      </c>
      <c r="I188" s="452">
        <f>TRUNC(($H188*'4-BDI'!$E$29),2)</f>
        <v>22.45</v>
      </c>
      <c r="J188" s="453">
        <f t="shared" si="78"/>
        <v>58.71</v>
      </c>
      <c r="K188" s="454">
        <f t="shared" si="79"/>
        <v>75.27</v>
      </c>
      <c r="L188" s="187"/>
    </row>
    <row r="189" spans="2:12" s="203" customFormat="1" ht="30">
      <c r="B189" s="458" t="s">
        <v>6338</v>
      </c>
      <c r="C189" s="450">
        <f>QUANT!C813</f>
        <v>97916</v>
      </c>
      <c r="D189" s="450" t="str">
        <f>QUANT!D813</f>
        <v>SINAPI</v>
      </c>
      <c r="E189" s="639" t="str">
        <f>IFERROR(VLOOKUP($C189,'SINAPI MAIO 2020'!$1:$1048576,2,0),IFERROR(VLOOKUP($C189,'6-COMP. PROPRIA'!$B$1:$I$808,4,0),""))</f>
        <v>TRANSPORTE COM CAMINHÃO BASCULANTE DE 6 M3, EM VIA URBANA EM LEITO NATURAL (UNIDADE: TXKM). AF_01/2018</v>
      </c>
      <c r="F189" s="638" t="str">
        <f>IFERROR(VLOOKUP($C189,'SINAPI MAIO 2020'!$1:$1048576,3,0),IFERROR(VLOOKUP($C189,'6-COMP. PROPRIA'!$B$1:$I$808,5,0),""))</f>
        <v>TXKM</v>
      </c>
      <c r="G189" s="452">
        <f>QUANT!K813</f>
        <v>83.830500000000001</v>
      </c>
      <c r="H189" s="452">
        <f>IFERROR(VLOOKUP($C189,'SINAPI MAIO 2020'!$1:$1048576,4,0),IFERROR(VLOOKUP($C189,'6-COMP. PROPRIA'!$B$1:$I$808,8,0),""))</f>
        <v>1</v>
      </c>
      <c r="I189" s="452">
        <f>TRUNC(($H189*'4-BDI'!$E$29),2)</f>
        <v>1.28</v>
      </c>
      <c r="J189" s="453">
        <f t="shared" si="78"/>
        <v>83.83</v>
      </c>
      <c r="K189" s="454">
        <f t="shared" si="79"/>
        <v>107.3</v>
      </c>
      <c r="L189" s="187"/>
    </row>
    <row r="190" spans="2:12" s="203" customFormat="1" ht="15.75">
      <c r="B190" s="746" t="s">
        <v>12564</v>
      </c>
      <c r="C190" s="747"/>
      <c r="D190" s="747"/>
      <c r="E190" s="747"/>
      <c r="F190" s="747"/>
      <c r="G190" s="747"/>
      <c r="H190" s="747"/>
      <c r="I190" s="456"/>
      <c r="J190" s="457">
        <f>TRUNC(SUM(J179:J189),2)</f>
        <v>6612.37</v>
      </c>
      <c r="K190" s="457">
        <f>TRUNC(SUM(K179:K189),2)</f>
        <v>8477.73</v>
      </c>
      <c r="L190" s="187"/>
    </row>
    <row r="191" spans="2:12" s="201" customFormat="1" ht="15.75">
      <c r="B191" s="482" t="s">
        <v>6270</v>
      </c>
      <c r="C191" s="483"/>
      <c r="D191" s="484"/>
      <c r="E191" s="485" t="str">
        <f>QUANT!E818</f>
        <v>SUPERESTRUTURA</v>
      </c>
      <c r="F191" s="486"/>
      <c r="G191" s="487"/>
      <c r="H191" s="488"/>
      <c r="I191" s="488"/>
      <c r="J191" s="489"/>
      <c r="K191" s="457"/>
      <c r="L191" s="187"/>
    </row>
    <row r="192" spans="2:12" s="201" customFormat="1" ht="15.75">
      <c r="B192" s="482" t="s">
        <v>6271</v>
      </c>
      <c r="C192" s="483"/>
      <c r="D192" s="484"/>
      <c r="E192" s="485" t="str">
        <f>QUANT!E819</f>
        <v>PILAR</v>
      </c>
      <c r="F192" s="486"/>
      <c r="G192" s="487"/>
      <c r="H192" s="488"/>
      <c r="I192" s="488"/>
      <c r="J192" s="489"/>
      <c r="K192" s="457"/>
      <c r="L192" s="187"/>
    </row>
    <row r="193" spans="2:12" s="203" customFormat="1" ht="30">
      <c r="B193" s="458" t="s">
        <v>6339</v>
      </c>
      <c r="C193" s="450">
        <f>QUANT!C820</f>
        <v>94965</v>
      </c>
      <c r="D193" s="450" t="str">
        <f>QUANT!D820</f>
        <v>SINAPI</v>
      </c>
      <c r="E193" s="639" t="str">
        <f>IFERROR(VLOOKUP($C193,'SINAPI MAIO 2020'!$1:$1048576,2,0),IFERROR(VLOOKUP($C193,'6-COMP. PROPRIA'!$B$1:$I$808,4,0),""))</f>
        <v>CONCRETO FCK = 25MPA, TRAÇO 1:2,3:2,7 (CIMENTO/ AREIA MÉDIA/ BRITA 1)  - PREPARO MECÂNICO COM BETONEIRA 400 L. AF_07/2016</v>
      </c>
      <c r="F193" s="638" t="str">
        <f>IFERROR(VLOOKUP($C193,'SINAPI MAIO 2020'!$1:$1048576,3,0),IFERROR(VLOOKUP($C193,'6-COMP. PROPRIA'!$B$1:$I$808,5,0),""))</f>
        <v>M3</v>
      </c>
      <c r="G193" s="452">
        <f>QUANT!K820</f>
        <v>3.2399999999999998</v>
      </c>
      <c r="H193" s="452">
        <f>IFERROR(VLOOKUP($C193,'SINAPI MAIO 2020'!$1:$1048576,4,0),IFERROR(VLOOKUP($C193,'6-COMP. PROPRIA'!$B$1:$I$808,8,0),""))</f>
        <v>323.58</v>
      </c>
      <c r="I193" s="452">
        <f>TRUNC(($H193*'4-BDI'!$E$29),2)</f>
        <v>414.95</v>
      </c>
      <c r="J193" s="453">
        <f t="shared" ref="J193" si="80">TRUNC((G193*H193),2)</f>
        <v>1048.3900000000001</v>
      </c>
      <c r="K193" s="454">
        <f t="shared" ref="K193" si="81">TRUNC((I193*G193),2)</f>
        <v>1344.43</v>
      </c>
      <c r="L193" s="187"/>
    </row>
    <row r="194" spans="2:12" s="203" customFormat="1" ht="30">
      <c r="B194" s="458" t="s">
        <v>6340</v>
      </c>
      <c r="C194" s="450">
        <f>QUANT!C825</f>
        <v>92873</v>
      </c>
      <c r="D194" s="450" t="str">
        <f>QUANT!D825</f>
        <v>SINAPI</v>
      </c>
      <c r="E194" s="639" t="str">
        <f>IFERROR(VLOOKUP($C194,'SINAPI MAIO 2020'!$1:$1048576,2,0),IFERROR(VLOOKUP($C194,'6-COMP. PROPRIA'!$B$1:$I$808,4,0),""))</f>
        <v>LANÇAMENTO COM USO DE BALDES, ADENSAMENTO E ACABAMENTO DE CONCRETO EM ESTRUTURAS. AF_12/2015</v>
      </c>
      <c r="F194" s="638" t="str">
        <f>IFERROR(VLOOKUP($C194,'SINAPI MAIO 2020'!$1:$1048576,3,0),IFERROR(VLOOKUP($C194,'6-COMP. PROPRIA'!$B$1:$I$808,5,0),""))</f>
        <v>M3</v>
      </c>
      <c r="G194" s="452">
        <f>QUANT!K825</f>
        <v>3.2399999999999998</v>
      </c>
      <c r="H194" s="452">
        <f>IFERROR(VLOOKUP($C194,'SINAPI MAIO 2020'!$1:$1048576,4,0),IFERROR(VLOOKUP($C194,'6-COMP. PROPRIA'!$B$1:$I$808,8,0),""))</f>
        <v>146.37</v>
      </c>
      <c r="I194" s="452">
        <f>TRUNC(($H194*'4-BDI'!$E$29),2)</f>
        <v>187.7</v>
      </c>
      <c r="J194" s="453">
        <f t="shared" ref="J194:J197" si="82">TRUNC((G194*H194),2)</f>
        <v>474.23</v>
      </c>
      <c r="K194" s="454">
        <f t="shared" ref="K194:K197" si="83">TRUNC((I194*G194),2)</f>
        <v>608.14</v>
      </c>
      <c r="L194" s="187"/>
    </row>
    <row r="195" spans="2:12" s="203" customFormat="1" ht="45">
      <c r="B195" s="458" t="s">
        <v>6341</v>
      </c>
      <c r="C195" s="450">
        <f>QUANT!C827</f>
        <v>92775</v>
      </c>
      <c r="D195" s="450" t="str">
        <f>QUANT!D827</f>
        <v>SINAPI</v>
      </c>
      <c r="E195" s="639" t="str">
        <f>IFERROR(VLOOKUP($C195,'SINAPI MAIO 2020'!$1:$1048576,2,0),IFERROR(VLOOKUP($C195,'6-COMP. PROPRIA'!$B$1:$I$808,4,0),""))</f>
        <v>ARMAÇÃO DE PILAR OU VIGA DE UMA ESTRUTURA CONVENCIONAL DE CONCRETO ARMADO EM UMA EDIFICAÇÃO TÉRREA OU SOBRADO UTILIZANDO AÇO CA-60 DE 5,0 MM - MONTAGEM. AF_12/2015</v>
      </c>
      <c r="F195" s="638" t="str">
        <f>IFERROR(VLOOKUP($C195,'SINAPI MAIO 2020'!$1:$1048576,3,0),IFERROR(VLOOKUP($C195,'6-COMP. PROPRIA'!$B$1:$I$808,5,0),""))</f>
        <v>KG</v>
      </c>
      <c r="G195" s="452">
        <f>QUANT!K827</f>
        <v>175.91904000000002</v>
      </c>
      <c r="H195" s="452">
        <f>IFERROR(VLOOKUP($C195,'SINAPI MAIO 2020'!$1:$1048576,4,0),IFERROR(VLOOKUP($C195,'6-COMP. PROPRIA'!$B$1:$I$808,8,0),""))</f>
        <v>11.65</v>
      </c>
      <c r="I195" s="452">
        <f>TRUNC(($H195*'4-BDI'!$E$29),2)</f>
        <v>14.93</v>
      </c>
      <c r="J195" s="453">
        <f t="shared" si="82"/>
        <v>2049.4499999999998</v>
      </c>
      <c r="K195" s="454">
        <f t="shared" si="83"/>
        <v>2626.47</v>
      </c>
      <c r="L195" s="187"/>
    </row>
    <row r="196" spans="2:12" s="203" customFormat="1" ht="45">
      <c r="B196" s="458" t="s">
        <v>6342</v>
      </c>
      <c r="C196" s="450">
        <f>QUANT!C832</f>
        <v>92778</v>
      </c>
      <c r="D196" s="450" t="str">
        <f>QUANT!D832</f>
        <v>SINAPI</v>
      </c>
      <c r="E196" s="639" t="str">
        <f>IFERROR(VLOOKUP($C196,'SINAPI MAIO 2020'!$1:$1048576,2,0),IFERROR(VLOOKUP($C196,'6-COMP. PROPRIA'!$B$1:$I$808,4,0),""))</f>
        <v>ARMAÇÃO DE PILAR OU VIGA DE UMA ESTRUTURA CONVENCIONAL DE CONCRETO ARMADO EM UMA EDIFICAÇÃO TÉRREA OU SOBRADO UTILIZANDO AÇO CA-50 DE 10,0 MM - MONTAGEM. AF_12/2015</v>
      </c>
      <c r="F196" s="638" t="str">
        <f>IFERROR(VLOOKUP($C196,'SINAPI MAIO 2020'!$1:$1048576,3,0),IFERROR(VLOOKUP($C196,'6-COMP. PROPRIA'!$B$1:$I$808,5,0),""))</f>
        <v>KG</v>
      </c>
      <c r="G196" s="452">
        <f>QUANT!K832</f>
        <v>90.921600000000012</v>
      </c>
      <c r="H196" s="452">
        <f>IFERROR(VLOOKUP($C196,'SINAPI MAIO 2020'!$1:$1048576,4,0),IFERROR(VLOOKUP($C196,'6-COMP. PROPRIA'!$B$1:$I$808,8,0),""))</f>
        <v>8.26</v>
      </c>
      <c r="I196" s="452">
        <f>TRUNC(($H196*'4-BDI'!$E$29),2)</f>
        <v>10.59</v>
      </c>
      <c r="J196" s="453">
        <f t="shared" si="82"/>
        <v>751.01</v>
      </c>
      <c r="K196" s="454">
        <f t="shared" si="83"/>
        <v>962.85</v>
      </c>
      <c r="L196" s="187"/>
    </row>
    <row r="197" spans="2:12" s="203" customFormat="1" ht="60">
      <c r="B197" s="458" t="s">
        <v>6343</v>
      </c>
      <c r="C197" s="450">
        <f>QUANT!C837</f>
        <v>92412</v>
      </c>
      <c r="D197" s="450" t="str">
        <f>QUANT!D837</f>
        <v>SINAPI</v>
      </c>
      <c r="E197" s="639" t="str">
        <f>IFERROR(VLOOKUP($C197,'SINAPI MAIO 2020'!$1:$1048576,2,0),IFERROR(VLOOKUP($C197,'6-COMP. PROPRIA'!$B$1:$I$808,4,0),""))</f>
        <v>MONTAGEM E DESMONTAGEM DE FÔRMA DE PILARES RETANGULARES E ESTRUTURAS SIMILARES COM ÁREA MÉDIA DAS SEÇÕES MENOR OU IGUAL A 0,25 M², PÉ-DIREITO SIMPLES, EM MADEIRA SERRADA, 4 UTILIZAÇÕES. AF_12/2015</v>
      </c>
      <c r="F197" s="638" t="str">
        <f>IFERROR(VLOOKUP($C197,'SINAPI MAIO 2020'!$1:$1048576,3,0),IFERROR(VLOOKUP($C197,'6-COMP. PROPRIA'!$B$1:$I$808,5,0),""))</f>
        <v>M2</v>
      </c>
      <c r="G197" s="452">
        <f>QUANT!K837</f>
        <v>79.2</v>
      </c>
      <c r="H197" s="452">
        <f>IFERROR(VLOOKUP($C197,'SINAPI MAIO 2020'!$1:$1048576,4,0),IFERROR(VLOOKUP($C197,'6-COMP. PROPRIA'!$B$1:$I$808,8,0),""))</f>
        <v>65.91</v>
      </c>
      <c r="I197" s="452">
        <f>TRUNC(($H197*'4-BDI'!$E$29),2)</f>
        <v>84.52</v>
      </c>
      <c r="J197" s="453">
        <f t="shared" si="82"/>
        <v>5220.07</v>
      </c>
      <c r="K197" s="454">
        <f t="shared" si="83"/>
        <v>6693.98</v>
      </c>
      <c r="L197" s="187"/>
    </row>
    <row r="198" spans="2:12" s="203" customFormat="1" ht="15.75">
      <c r="B198" s="746" t="s">
        <v>12564</v>
      </c>
      <c r="C198" s="747"/>
      <c r="D198" s="747"/>
      <c r="E198" s="747"/>
      <c r="F198" s="747"/>
      <c r="G198" s="747"/>
      <c r="H198" s="747"/>
      <c r="I198" s="456"/>
      <c r="J198" s="457">
        <f>TRUNC(SUM(J193:J197),2)</f>
        <v>9543.15</v>
      </c>
      <c r="K198" s="457">
        <f>TRUNC(SUM(K193:K197),2)</f>
        <v>12235.87</v>
      </c>
      <c r="L198" s="187"/>
    </row>
    <row r="199" spans="2:12" s="203" customFormat="1" ht="15.75">
      <c r="B199" s="482" t="s">
        <v>6344</v>
      </c>
      <c r="C199" s="483"/>
      <c r="D199" s="484"/>
      <c r="E199" s="485" t="str">
        <f>QUANT!E843</f>
        <v>FECHAMENTO</v>
      </c>
      <c r="F199" s="486"/>
      <c r="G199" s="487"/>
      <c r="H199" s="488"/>
      <c r="I199" s="488"/>
      <c r="J199" s="489"/>
      <c r="K199" s="457"/>
      <c r="L199" s="187"/>
    </row>
    <row r="200" spans="2:12" s="203" customFormat="1" ht="60">
      <c r="B200" s="458" t="s">
        <v>6345</v>
      </c>
      <c r="C200" s="450">
        <f>QUANT!C845</f>
        <v>87477</v>
      </c>
      <c r="D200" s="450" t="str">
        <f>QUANT!D845</f>
        <v>SINAPI</v>
      </c>
      <c r="E200" s="639" t="str">
        <f>IFERROR(VLOOKUP($C200,'SINAPI MAIO 2020'!$1:$1048576,2,0),IFERROR(VLOOKUP($C200,'6-COMP. PROPRIA'!$B$1:$I$808,4,0),""))</f>
        <v>ALVENARIA DE VEDAÇÃO DE BLOCOS CERÂMICOS FURADOS NA VERTICAL DE 9X19X39CM (ESPESSURA 9CM) DE PAREDES COM ÁREA LÍQUIDA MAIOR OU IGUAL A 6M² SEM VÃOS E ARGAMASSA DE ASSENTAMENTO COM PREPARO EM BETONEIRA. AF_06/2014</v>
      </c>
      <c r="F200" s="638" t="str">
        <f>IFERROR(VLOOKUP($C200,'SINAPI MAIO 2020'!$1:$1048576,3,0),IFERROR(VLOOKUP($C200,'6-COMP. PROPRIA'!$B$1:$I$808,5,0),""))</f>
        <v>M2</v>
      </c>
      <c r="G200" s="452">
        <f>QUANT!K845</f>
        <v>180.684</v>
      </c>
      <c r="H200" s="452">
        <f>IFERROR(VLOOKUP($C200,'SINAPI MAIO 2020'!$1:$1048576,4,0),IFERROR(VLOOKUP($C200,'6-COMP. PROPRIA'!$B$1:$I$808,8,0),""))</f>
        <v>35.049999999999997</v>
      </c>
      <c r="I200" s="452">
        <f>TRUNC(($H200*'4-BDI'!$E$29),2)</f>
        <v>44.94</v>
      </c>
      <c r="J200" s="453">
        <f t="shared" ref="J200" si="84">TRUNC((G200*H200),2)</f>
        <v>6332.97</v>
      </c>
      <c r="K200" s="454">
        <f t="shared" ref="K200" si="85">TRUNC((I200*G200),2)</f>
        <v>8119.93</v>
      </c>
      <c r="L200" s="187"/>
    </row>
    <row r="201" spans="2:12" s="203" customFormat="1" ht="60">
      <c r="B201" s="458" t="s">
        <v>6346</v>
      </c>
      <c r="C201" s="450">
        <f>QUANT!C852</f>
        <v>87905</v>
      </c>
      <c r="D201" s="450" t="str">
        <f>QUANT!D852</f>
        <v>SINAPI</v>
      </c>
      <c r="E201" s="639" t="str">
        <f>IFERROR(VLOOKUP($C201,'SINAPI MAIO 2020'!$1:$1048576,2,0),IFERROR(VLOOKUP($C201,'6-COMP. PROPRIA'!$B$1:$I$808,4,0),""))</f>
        <v>CHAPISCO APLICADO EM ALVENARIA (COM PRESENÇA DE VÃOS) E ESTRUTURAS DE CONCRETO DE FACHADA, COM COLHER DE PEDREIRO.  ARGAMASSA TRAÇO 1:3 COM PREPARO EM BETONEIRA 400L. AF_06/2014</v>
      </c>
      <c r="F201" s="638" t="str">
        <f>IFERROR(VLOOKUP($C201,'SINAPI MAIO 2020'!$1:$1048576,3,0),IFERROR(VLOOKUP($C201,'6-COMP. PROPRIA'!$B$1:$I$808,5,0),""))</f>
        <v>M2</v>
      </c>
      <c r="G201" s="452">
        <f>QUANT!K852</f>
        <v>361.36799999999999</v>
      </c>
      <c r="H201" s="452">
        <f>IFERROR(VLOOKUP($C201,'SINAPI MAIO 2020'!$1:$1048576,4,0),IFERROR(VLOOKUP($C201,'6-COMP. PROPRIA'!$B$1:$I$808,8,0),""))</f>
        <v>5.93</v>
      </c>
      <c r="I201" s="452">
        <f>TRUNC(($H201*'4-BDI'!$E$29),2)</f>
        <v>7.6</v>
      </c>
      <c r="J201" s="453">
        <f t="shared" ref="J201:J206" si="86">TRUNC((G201*H201),2)</f>
        <v>2142.91</v>
      </c>
      <c r="K201" s="454">
        <f t="shared" ref="K201:K206" si="87">TRUNC((I201*G201),2)</f>
        <v>2746.39</v>
      </c>
      <c r="L201" s="187"/>
    </row>
    <row r="202" spans="2:12" s="203" customFormat="1" ht="60">
      <c r="B202" s="458" t="s">
        <v>6347</v>
      </c>
      <c r="C202" s="450">
        <f>QUANT!C860</f>
        <v>87529</v>
      </c>
      <c r="D202" s="450" t="str">
        <f>QUANT!D860</f>
        <v>SINAPI</v>
      </c>
      <c r="E202" s="639" t="str">
        <f>IFERROR(VLOOKUP($C202,'SINAPI MAIO 2020'!$1:$1048576,2,0),IFERROR(VLOOKUP($C202,'6-COMP. PROPRIA'!$B$1:$I$808,4,0),""))</f>
        <v>MASSA ÚNICA, PARA RECEBIMENTO DE PINTURA, EM ARGAMASSA TRAÇO 1:2:8, PREPARO MECÂNICO COM BETONEIRA 400L, APLICADA MANUALMENTE EM FACES INTERNAS DE PAREDES, ESPESSURA DE 20MM, COM EXECUÇÃO DE TALISCAS. AF_06/2014</v>
      </c>
      <c r="F202" s="638" t="str">
        <f>IFERROR(VLOOKUP($C202,'SINAPI MAIO 2020'!$1:$1048576,3,0),IFERROR(VLOOKUP($C202,'6-COMP. PROPRIA'!$B$1:$I$808,5,0),""))</f>
        <v>M2</v>
      </c>
      <c r="G202" s="452">
        <f>QUANT!K860</f>
        <v>361.36799999999999</v>
      </c>
      <c r="H202" s="452">
        <f>IFERROR(VLOOKUP($C202,'SINAPI MAIO 2020'!$1:$1048576,4,0),IFERROR(VLOOKUP($C202,'6-COMP. PROPRIA'!$B$1:$I$808,8,0),""))</f>
        <v>23.45</v>
      </c>
      <c r="I202" s="452">
        <f>TRUNC(($H202*'4-BDI'!$E$29),2)</f>
        <v>30.07</v>
      </c>
      <c r="J202" s="453">
        <f t="shared" si="86"/>
        <v>8474.07</v>
      </c>
      <c r="K202" s="454">
        <f t="shared" si="87"/>
        <v>10866.33</v>
      </c>
      <c r="L202" s="187"/>
    </row>
    <row r="203" spans="2:12" s="203" customFormat="1" ht="15">
      <c r="B203" s="458" t="s">
        <v>6348</v>
      </c>
      <c r="C203" s="450" t="str">
        <f>QUANT!C866</f>
        <v>CP-PIN-03</v>
      </c>
      <c r="D203" s="450" t="str">
        <f>QUANT!D866</f>
        <v>PROPRIA</v>
      </c>
      <c r="E203" s="639" t="str">
        <f>IFERROR(VLOOKUP($C203,'SINAPI MAIO 2020'!$1:$1048576,2,0),IFERROR(VLOOKUP($C203,'6-COMP. PROPRIA'!$B$1:$I$808,4,0),""))</f>
        <v xml:space="preserve">PINTURA COM TINTA ESMALTE SINTÉTICO </v>
      </c>
      <c r="F203" s="638" t="str">
        <f>IFERROR(VLOOKUP($C203,'SINAPI MAIO 2020'!$1:$1048576,3,0),IFERROR(VLOOKUP($C203,'6-COMP. PROPRIA'!$B$1:$I$808,5,0),""))</f>
        <v>M2</v>
      </c>
      <c r="G203" s="452">
        <f>QUANT!K866</f>
        <v>94.762799999999999</v>
      </c>
      <c r="H203" s="452">
        <f>IFERROR(VLOOKUP($C203,'SINAPI MAIO 2020'!$1:$1048576,4,0),IFERROR(VLOOKUP($C203,'6-COMP. PROPRIA'!$B$1:$I$808,8,0),""))</f>
        <v>12.21</v>
      </c>
      <c r="I203" s="452">
        <f>TRUNC(($H203*'4-BDI'!$E$29),2)</f>
        <v>15.65</v>
      </c>
      <c r="J203" s="453">
        <f t="shared" si="86"/>
        <v>1157.05</v>
      </c>
      <c r="K203" s="454">
        <f t="shared" si="87"/>
        <v>1483.03</v>
      </c>
      <c r="L203" s="187"/>
    </row>
    <row r="204" spans="2:12" s="203" customFormat="1" ht="30">
      <c r="B204" s="458" t="s">
        <v>6349</v>
      </c>
      <c r="C204" s="450">
        <f>QUANT!C872</f>
        <v>88489</v>
      </c>
      <c r="D204" s="450" t="str">
        <f>QUANT!D872</f>
        <v>SINAPI</v>
      </c>
      <c r="E204" s="639" t="str">
        <f>IFERROR(VLOOKUP($C204,'SINAPI MAIO 2020'!$1:$1048576,2,0),IFERROR(VLOOKUP($C204,'6-COMP. PROPRIA'!$B$1:$I$808,4,0),""))</f>
        <v>APLICAÇÃO MANUAL DE PINTURA COM TINTA LÁTEX ACRÍLICA EM PAREDES, DUAS DEMÃOS. AF_06/2014</v>
      </c>
      <c r="F204" s="638" t="str">
        <f>IFERROR(VLOOKUP($C204,'SINAPI MAIO 2020'!$1:$1048576,3,0),IFERROR(VLOOKUP($C204,'6-COMP. PROPRIA'!$B$1:$I$808,5,0),""))</f>
        <v>M2</v>
      </c>
      <c r="G204" s="452">
        <f>QUANT!K872</f>
        <v>126.35039999999999</v>
      </c>
      <c r="H204" s="452">
        <f>IFERROR(VLOOKUP($C204,'SINAPI MAIO 2020'!$1:$1048576,4,0),IFERROR(VLOOKUP($C204,'6-COMP. PROPRIA'!$B$1:$I$808,8,0),""))</f>
        <v>11.3</v>
      </c>
      <c r="I204" s="452">
        <f>TRUNC(($H204*'4-BDI'!$E$29),2)</f>
        <v>14.49</v>
      </c>
      <c r="J204" s="453">
        <f t="shared" si="86"/>
        <v>1427.75</v>
      </c>
      <c r="K204" s="454">
        <f t="shared" si="87"/>
        <v>1830.81</v>
      </c>
      <c r="L204" s="187"/>
    </row>
    <row r="205" spans="2:12" s="203" customFormat="1" ht="15">
      <c r="B205" s="458" t="s">
        <v>6350</v>
      </c>
      <c r="C205" s="450" t="str">
        <f>QUANT!C877</f>
        <v>CP-PIN-4</v>
      </c>
      <c r="D205" s="450" t="str">
        <f>QUANT!D877</f>
        <v>PROPRIA</v>
      </c>
      <c r="E205" s="639" t="str">
        <f>IFERROR(VLOOKUP($C205,'SINAPI MAIO 2020'!$1:$1048576,2,0),IFERROR(VLOOKUP($C205,'6-COMP. PROPRIA'!$B$1:$I$808,4,0),""))</f>
        <v xml:space="preserve">PINTURA DE LOGOMARCA  E NOMENCLATURA </v>
      </c>
      <c r="F205" s="638" t="str">
        <f>IFERROR(VLOOKUP($C205,'SINAPI MAIO 2020'!$1:$1048576,3,0),IFERROR(VLOOKUP($C205,'6-COMP. PROPRIA'!$B$1:$I$808,5,0),""))</f>
        <v>M2</v>
      </c>
      <c r="G205" s="452">
        <f>QUANT!K877</f>
        <v>6.4790000000000001</v>
      </c>
      <c r="H205" s="452">
        <f>IFERROR(VLOOKUP($C205,'SINAPI MAIO 2020'!$1:$1048576,4,0),IFERROR(VLOOKUP($C205,'6-COMP. PROPRIA'!$B$1:$I$808,8,0),""))</f>
        <v>54.85</v>
      </c>
      <c r="I205" s="452">
        <f>TRUNC(($H205*'4-BDI'!$E$29),2)</f>
        <v>70.33</v>
      </c>
      <c r="J205" s="453">
        <f t="shared" si="86"/>
        <v>355.37</v>
      </c>
      <c r="K205" s="454">
        <f t="shared" si="87"/>
        <v>455.66</v>
      </c>
      <c r="L205" s="187"/>
    </row>
    <row r="206" spans="2:12" s="203" customFormat="1" ht="15">
      <c r="B206" s="458" t="s">
        <v>6351</v>
      </c>
      <c r="C206" s="450" t="str">
        <f>QUANT!C882</f>
        <v>CP-PIN-5</v>
      </c>
      <c r="D206" s="450" t="str">
        <f>QUANT!D882</f>
        <v>PROPRIA</v>
      </c>
      <c r="E206" s="639" t="str">
        <f>IFERROR(VLOOKUP($C206,'SINAPI MAIO 2020'!$1:$1048576,2,0),IFERROR(VLOOKUP($C206,'6-COMP. PROPRIA'!$B$1:$I$808,4,0),""))</f>
        <v xml:space="preserve">CAIAÇÃO COM ADOÇÃO DE FIXADOR COM DUAS DEMÃOS </v>
      </c>
      <c r="F206" s="638" t="str">
        <f>IFERROR(VLOOKUP($C206,'SINAPI MAIO 2020'!$1:$1048576,3,0),IFERROR(VLOOKUP($C206,'6-COMP. PROPRIA'!$B$1:$I$808,5,0),""))</f>
        <v>M2</v>
      </c>
      <c r="G206" s="452">
        <f>QUANT!K882</f>
        <v>454.12750000000005</v>
      </c>
      <c r="H206" s="452">
        <f>IFERROR(VLOOKUP($C206,'SINAPI MAIO 2020'!$1:$1048576,4,0),IFERROR(VLOOKUP($C206,'6-COMP. PROPRIA'!$B$1:$I$808,8,0),""))</f>
        <v>7.67</v>
      </c>
      <c r="I206" s="452">
        <f>TRUNC(($H206*'4-BDI'!$E$29),2)</f>
        <v>9.83</v>
      </c>
      <c r="J206" s="453">
        <f t="shared" si="86"/>
        <v>3483.15</v>
      </c>
      <c r="K206" s="454">
        <f t="shared" si="87"/>
        <v>4464.07</v>
      </c>
      <c r="L206" s="187"/>
    </row>
    <row r="207" spans="2:12" s="203" customFormat="1" ht="15.75">
      <c r="B207" s="746" t="s">
        <v>12564</v>
      </c>
      <c r="C207" s="747"/>
      <c r="D207" s="747"/>
      <c r="E207" s="747"/>
      <c r="F207" s="747"/>
      <c r="G207" s="747"/>
      <c r="H207" s="747"/>
      <c r="I207" s="456"/>
      <c r="J207" s="457">
        <f>TRUNC(SUM(J200:J206),2)</f>
        <v>23373.27</v>
      </c>
      <c r="K207" s="457">
        <f>TRUNC(SUM(K200:K206),2)</f>
        <v>29966.22</v>
      </c>
      <c r="L207" s="187"/>
    </row>
    <row r="208" spans="2:12" s="203" customFormat="1" ht="15.75">
      <c r="B208" s="746" t="s">
        <v>4710</v>
      </c>
      <c r="C208" s="747"/>
      <c r="D208" s="747"/>
      <c r="E208" s="747"/>
      <c r="F208" s="747"/>
      <c r="G208" s="747"/>
      <c r="H208" s="747"/>
      <c r="I208" s="456"/>
      <c r="J208" s="457">
        <f>TRUNC(SUM(J207+J198+J190+J177),2)</f>
        <v>49829.96</v>
      </c>
      <c r="K208" s="457">
        <f>TRUNC(SUM(K207+K198+K190+K177),2)</f>
        <v>63886.61</v>
      </c>
      <c r="L208" s="187"/>
    </row>
    <row r="209" spans="2:12" ht="15.75">
      <c r="B209" s="440" t="s">
        <v>6272</v>
      </c>
      <c r="C209" s="441"/>
      <c r="D209" s="442"/>
      <c r="E209" s="443" t="str">
        <f>QUANT!E888</f>
        <v>PINTURA DAS ESQUADRIAS</v>
      </c>
      <c r="F209" s="444"/>
      <c r="G209" s="445"/>
      <c r="H209" s="446"/>
      <c r="I209" s="446"/>
      <c r="J209" s="447"/>
      <c r="K209" s="448"/>
      <c r="L209" s="187"/>
    </row>
    <row r="210" spans="2:12" s="203" customFormat="1" ht="45">
      <c r="B210" s="458" t="s">
        <v>6273</v>
      </c>
      <c r="C210" s="450">
        <f>QUANT!C890</f>
        <v>100757</v>
      </c>
      <c r="D210" s="450" t="str">
        <f>QUANT!D890</f>
        <v>SINAPI</v>
      </c>
      <c r="E210" s="639" t="str">
        <f>IFERROR(VLOOKUP($C210,'SINAPI MAIO 2020'!$1:$1048576,2,0),IFERROR(VLOOKUP($C210,'6-COMP. PROPRIA'!$B$1:$I$808,4,0),""))</f>
        <v>PINTURA COM TINTA ALQUÍDICA DE ACABAMENTO (ESMALTE SINTÉTICO ACETINADO) PULVERIZADA SOBRE SUPERFÍCIES METÁLICAS (EXCETO PERFIL) EXECUTADO EM OBRA (02 DEMÃOS). AF_01/2020</v>
      </c>
      <c r="F210" s="638" t="str">
        <f>IFERROR(VLOOKUP($C210,'SINAPI MAIO 2020'!$1:$1048576,3,0),IFERROR(VLOOKUP($C210,'6-COMP. PROPRIA'!$B$1:$I$808,5,0),""))</f>
        <v>M2</v>
      </c>
      <c r="G210" s="452">
        <f>QUANT!K890</f>
        <v>215.00000000000003</v>
      </c>
      <c r="H210" s="452">
        <f>IFERROR(VLOOKUP($C210,'SINAPI MAIO 2020'!$1:$1048576,4,0),IFERROR(VLOOKUP($C210,'6-COMP. PROPRIA'!$B$1:$I$808,8,0),""))</f>
        <v>31.7</v>
      </c>
      <c r="I210" s="452">
        <f>TRUNC(($H210*'4-BDI'!$E$29),2)</f>
        <v>40.65</v>
      </c>
      <c r="J210" s="453">
        <f t="shared" ref="J210" si="88">TRUNC((G210*H210),2)</f>
        <v>6815.5</v>
      </c>
      <c r="K210" s="454">
        <f t="shared" ref="K210" si="89">TRUNC((I210*G210),2)</f>
        <v>8739.75</v>
      </c>
      <c r="L210" s="187"/>
    </row>
    <row r="211" spans="2:12" s="203" customFormat="1" ht="15.75">
      <c r="B211" s="746" t="s">
        <v>4710</v>
      </c>
      <c r="C211" s="747"/>
      <c r="D211" s="747"/>
      <c r="E211" s="747"/>
      <c r="F211" s="747"/>
      <c r="G211" s="747"/>
      <c r="H211" s="747"/>
      <c r="I211" s="456"/>
      <c r="J211" s="457">
        <f>TRUNC(SUM(J210:J210),2)</f>
        <v>6815.5</v>
      </c>
      <c r="K211" s="457">
        <f>TRUNC(SUM(K210:K210),2)</f>
        <v>8739.75</v>
      </c>
      <c r="L211" s="187"/>
    </row>
    <row r="212" spans="2:12" ht="15.75">
      <c r="B212" s="440" t="s">
        <v>6276</v>
      </c>
      <c r="C212" s="441"/>
      <c r="D212" s="442"/>
      <c r="E212" s="443" t="str">
        <f>QUANT!E897</f>
        <v xml:space="preserve">PASSEIO </v>
      </c>
      <c r="F212" s="444"/>
      <c r="G212" s="445"/>
      <c r="H212" s="446"/>
      <c r="I212" s="446"/>
      <c r="J212" s="447"/>
      <c r="K212" s="448"/>
      <c r="L212" s="187"/>
    </row>
    <row r="213" spans="2:12" s="203" customFormat="1" ht="15">
      <c r="B213" s="458" t="s">
        <v>6279</v>
      </c>
      <c r="C213" s="450" t="str">
        <f>QUANT!C899</f>
        <v>74245/1</v>
      </c>
      <c r="D213" s="450" t="str">
        <f>QUANT!D899</f>
        <v>SINAPI</v>
      </c>
      <c r="E213" s="639" t="str">
        <f>IFERROR(VLOOKUP($C213,'SINAPI MAIO 2020'!$1:$1048576,2,0),IFERROR(VLOOKUP($C213,'6-COMP. PROPRIA'!$B$1:$I$808,4,0),""))</f>
        <v>PINTURA ACRILICA EM PISO CIMENTADO DUAS DEMAOS</v>
      </c>
      <c r="F213" s="638" t="str">
        <f>IFERROR(VLOOKUP($C213,'SINAPI MAIO 2020'!$1:$1048576,3,0),IFERROR(VLOOKUP($C213,'6-COMP. PROPRIA'!$B$1:$I$808,5,0),""))</f>
        <v>M2</v>
      </c>
      <c r="G213" s="452">
        <f>QUANT!K899</f>
        <v>164.18</v>
      </c>
      <c r="H213" s="452">
        <f>IFERROR(VLOOKUP($C213,'SINAPI MAIO 2020'!$1:$1048576,4,0),IFERROR(VLOOKUP($C213,'6-COMP. PROPRIA'!$B$1:$I$808,8,0),""))</f>
        <v>12.52</v>
      </c>
      <c r="I213" s="452">
        <f>TRUNC(($H213*'4-BDI'!$E$29),2)</f>
        <v>16.05</v>
      </c>
      <c r="J213" s="453">
        <f t="shared" ref="J213" si="90">TRUNC((G213*H213),2)</f>
        <v>2055.5300000000002</v>
      </c>
      <c r="K213" s="454">
        <f t="shared" ref="K213" si="91">TRUNC((I213*G213),2)</f>
        <v>2635.08</v>
      </c>
      <c r="L213" s="187"/>
    </row>
    <row r="214" spans="2:12" s="203" customFormat="1" ht="15.75">
      <c r="B214" s="746" t="s">
        <v>4710</v>
      </c>
      <c r="C214" s="747"/>
      <c r="D214" s="747"/>
      <c r="E214" s="747"/>
      <c r="F214" s="747"/>
      <c r="G214" s="747"/>
      <c r="H214" s="747"/>
      <c r="I214" s="456"/>
      <c r="J214" s="457">
        <f>TRUNC(SUM(J213),2)</f>
        <v>2055.5300000000002</v>
      </c>
      <c r="K214" s="457">
        <f>TRUNC(SUM(K213),2)</f>
        <v>2635.08</v>
      </c>
      <c r="L214" s="187"/>
    </row>
    <row r="215" spans="2:12" ht="15.75">
      <c r="B215" s="440" t="s">
        <v>6278</v>
      </c>
      <c r="C215" s="441"/>
      <c r="D215" s="442"/>
      <c r="E215" s="443" t="str">
        <f>QUANT!E904</f>
        <v>INSTALAÇÕES DE AGUA FRIA</v>
      </c>
      <c r="F215" s="444"/>
      <c r="G215" s="445"/>
      <c r="H215" s="446"/>
      <c r="I215" s="446"/>
      <c r="J215" s="447"/>
      <c r="K215" s="448"/>
      <c r="L215" s="187"/>
    </row>
    <row r="216" spans="2:12" s="201" customFormat="1" ht="15.75">
      <c r="B216" s="482" t="s">
        <v>6277</v>
      </c>
      <c r="C216" s="483"/>
      <c r="D216" s="484"/>
      <c r="E216" s="485" t="str">
        <f>QUANT!E905</f>
        <v>RASGOS</v>
      </c>
      <c r="F216" s="486"/>
      <c r="G216" s="487"/>
      <c r="H216" s="488"/>
      <c r="I216" s="488"/>
      <c r="J216" s="489"/>
      <c r="K216" s="457"/>
      <c r="L216" s="187"/>
    </row>
    <row r="217" spans="2:12" s="203" customFormat="1" ht="30">
      <c r="B217" s="458" t="s">
        <v>6352</v>
      </c>
      <c r="C217" s="450">
        <f>QUANT!C907</f>
        <v>97622</v>
      </c>
      <c r="D217" s="450" t="str">
        <f>QUANT!D907</f>
        <v>SINAPI</v>
      </c>
      <c r="E217" s="639" t="str">
        <f>IFERROR(VLOOKUP($C217,'SINAPI MAIO 2020'!$1:$1048576,2,0),IFERROR(VLOOKUP($C217,'6-COMP. PROPRIA'!$B$1:$I$808,4,0),""))</f>
        <v>DEMOLIÇÃO DE ALVENARIA DE BLOCO FURADO, DE FORMA MANUAL, SEM REAPROVEITAMENTO. AF_12/2017</v>
      </c>
      <c r="F217" s="638" t="str">
        <f>IFERROR(VLOOKUP($C217,'SINAPI MAIO 2020'!$1:$1048576,3,0),IFERROR(VLOOKUP($C217,'6-COMP. PROPRIA'!$B$1:$I$808,5,0),""))</f>
        <v>M3</v>
      </c>
      <c r="G217" s="452">
        <f>QUANT!K907</f>
        <v>0.53410500000000016</v>
      </c>
      <c r="H217" s="452">
        <f>IFERROR(VLOOKUP($C217,'SINAPI MAIO 2020'!$1:$1048576,4,0),IFERROR(VLOOKUP($C217,'6-COMP. PROPRIA'!$B$1:$I$808,8,0),""))</f>
        <v>37.39</v>
      </c>
      <c r="I217" s="452">
        <f>TRUNC(($H217*'4-BDI'!$E$29),2)</f>
        <v>47.94</v>
      </c>
      <c r="J217" s="453">
        <f t="shared" ref="J217" si="92">TRUNC((G217*H217),2)</f>
        <v>19.97</v>
      </c>
      <c r="K217" s="454">
        <f t="shared" ref="K217" si="93">TRUNC((I217*G217),2)</f>
        <v>25.6</v>
      </c>
      <c r="L217" s="187"/>
    </row>
    <row r="218" spans="2:12" s="203" customFormat="1" ht="30">
      <c r="B218" s="458" t="s">
        <v>6353</v>
      </c>
      <c r="C218" s="450">
        <f>QUANT!C924</f>
        <v>94975</v>
      </c>
      <c r="D218" s="450" t="str">
        <f>QUANT!D924</f>
        <v>SINAPI</v>
      </c>
      <c r="E218" s="639" t="str">
        <f>IFERROR(VLOOKUP($C218,'SINAPI MAIO 2020'!$1:$1048576,2,0),IFERROR(VLOOKUP($C218,'6-COMP. PROPRIA'!$B$1:$I$808,4,0),""))</f>
        <v>CONCRETO FCK = 15MPA, TRAÇO 1:3,4:3,5 (CIMENTO/ AREIA MÉDIA/ BRITA 1)  - PREPARO MANUAL. AF_07/2016</v>
      </c>
      <c r="F218" s="638" t="str">
        <f>IFERROR(VLOOKUP($C218,'SINAPI MAIO 2020'!$1:$1048576,3,0),IFERROR(VLOOKUP($C218,'6-COMP. PROPRIA'!$B$1:$I$808,5,0),""))</f>
        <v>M3</v>
      </c>
      <c r="G218" s="452">
        <f>QUANT!K924</f>
        <v>0.5254700000000001</v>
      </c>
      <c r="H218" s="452">
        <f>IFERROR(VLOOKUP($C218,'SINAPI MAIO 2020'!$1:$1048576,4,0),IFERROR(VLOOKUP($C218,'6-COMP. PROPRIA'!$B$1:$I$808,8,0),""))</f>
        <v>378.3</v>
      </c>
      <c r="I218" s="452">
        <f>TRUNC(($H218*'4-BDI'!$E$29),2)</f>
        <v>485.13</v>
      </c>
      <c r="J218" s="453">
        <f t="shared" ref="J218:J220" si="94">TRUNC((G218*H218),2)</f>
        <v>198.78</v>
      </c>
      <c r="K218" s="454">
        <f t="shared" ref="K218:K220" si="95">TRUNC((I218*G218),2)</f>
        <v>254.92</v>
      </c>
      <c r="L218" s="187"/>
    </row>
    <row r="219" spans="2:12" s="203" customFormat="1" ht="15">
      <c r="B219" s="458" t="s">
        <v>6354</v>
      </c>
      <c r="C219" s="450">
        <f>QUANT!C942</f>
        <v>72897</v>
      </c>
      <c r="D219" s="450" t="str">
        <f>QUANT!D942</f>
        <v>SINAPI</v>
      </c>
      <c r="E219" s="639" t="str">
        <f>IFERROR(VLOOKUP($C219,'SINAPI MAIO 2020'!$1:$1048576,2,0),IFERROR(VLOOKUP($C219,'6-COMP. PROPRIA'!$B$1:$I$808,4,0),""))</f>
        <v>CARGA MANUAL DE ENTULHO EM CAMINHAO BASCULANTE 6 M3</v>
      </c>
      <c r="F219" s="638" t="str">
        <f>IFERROR(VLOOKUP($C219,'SINAPI MAIO 2020'!$1:$1048576,3,0),IFERROR(VLOOKUP($C219,'6-COMP. PROPRIA'!$B$1:$I$808,5,0),""))</f>
        <v>M3</v>
      </c>
      <c r="G219" s="452">
        <f>QUANT!K942</f>
        <v>0.69433650000000025</v>
      </c>
      <c r="H219" s="452">
        <f>IFERROR(VLOOKUP($C219,'SINAPI MAIO 2020'!$1:$1048576,4,0),IFERROR(VLOOKUP($C219,'6-COMP. PROPRIA'!$B$1:$I$808,8,0),""))</f>
        <v>17.510000000000002</v>
      </c>
      <c r="I219" s="452">
        <f>TRUNC(($H219*'4-BDI'!$E$29),2)</f>
        <v>22.45</v>
      </c>
      <c r="J219" s="453">
        <f t="shared" si="94"/>
        <v>12.15</v>
      </c>
      <c r="K219" s="454">
        <f t="shared" si="95"/>
        <v>15.58</v>
      </c>
      <c r="L219" s="187"/>
    </row>
    <row r="220" spans="2:12" s="203" customFormat="1" ht="30">
      <c r="B220" s="458" t="s">
        <v>6355</v>
      </c>
      <c r="C220" s="450">
        <f>QUANT!C946</f>
        <v>97914</v>
      </c>
      <c r="D220" s="450" t="str">
        <f>QUANT!D946</f>
        <v>SINAPI</v>
      </c>
      <c r="E220" s="639" t="str">
        <f>IFERROR(VLOOKUP($C220,'SINAPI MAIO 2020'!$1:$1048576,2,0),IFERROR(VLOOKUP($C220,'6-COMP. PROPRIA'!$B$1:$I$808,4,0),""))</f>
        <v>TRANSPORTE COM CAMINHÃO BASCULANTE DE 6 M3, EM VIA URBANA PAVIMENTADA, DMT ATÉ 30 KM (UNIDADE: M3XKM). AF_01/2018</v>
      </c>
      <c r="F220" s="638" t="str">
        <f>IFERROR(VLOOKUP($C220,'SINAPI MAIO 2020'!$1:$1048576,3,0),IFERROR(VLOOKUP($C220,'6-COMP. PROPRIA'!$B$1:$I$808,5,0),""))</f>
        <v>M3XKM</v>
      </c>
      <c r="G220" s="452">
        <f>QUANT!K946</f>
        <v>17.358412500000007</v>
      </c>
      <c r="H220" s="452">
        <f>IFERROR(VLOOKUP($C220,'SINAPI MAIO 2020'!$1:$1048576,4,0),IFERROR(VLOOKUP($C220,'6-COMP. PROPRIA'!$B$1:$I$808,8,0),""))</f>
        <v>1.07</v>
      </c>
      <c r="I220" s="452">
        <f>TRUNC(($H220*'4-BDI'!$E$29),2)</f>
        <v>1.37</v>
      </c>
      <c r="J220" s="453">
        <f t="shared" si="94"/>
        <v>18.57</v>
      </c>
      <c r="K220" s="454">
        <f t="shared" si="95"/>
        <v>23.78</v>
      </c>
      <c r="L220" s="187"/>
    </row>
    <row r="221" spans="2:12" s="203" customFormat="1" ht="15.75">
      <c r="B221" s="746" t="s">
        <v>12564</v>
      </c>
      <c r="C221" s="747"/>
      <c r="D221" s="747"/>
      <c r="E221" s="747"/>
      <c r="F221" s="747"/>
      <c r="G221" s="747"/>
      <c r="H221" s="747"/>
      <c r="I221" s="456"/>
      <c r="J221" s="457">
        <f>TRUNC(SUM(J217:J220),2)</f>
        <v>249.47</v>
      </c>
      <c r="K221" s="457">
        <f>TRUNC(SUM(K217:K220),2)</f>
        <v>319.88</v>
      </c>
      <c r="L221" s="187"/>
    </row>
    <row r="222" spans="2:12" s="201" customFormat="1" ht="15.75">
      <c r="B222" s="482" t="s">
        <v>6356</v>
      </c>
      <c r="C222" s="483"/>
      <c r="D222" s="484"/>
      <c r="E222" s="485" t="str">
        <f>QUANT!E953</f>
        <v>ALIMENTAÇÃO PREDIAL</v>
      </c>
      <c r="F222" s="486"/>
      <c r="G222" s="487"/>
      <c r="H222" s="488"/>
      <c r="I222" s="488"/>
      <c r="J222" s="489"/>
      <c r="K222" s="457"/>
      <c r="L222" s="187"/>
    </row>
    <row r="223" spans="2:12" s="203" customFormat="1" ht="15">
      <c r="B223" s="458" t="s">
        <v>6357</v>
      </c>
      <c r="C223" s="450">
        <f>QUANT!C955</f>
        <v>83646</v>
      </c>
      <c r="D223" s="450" t="str">
        <f>QUANT!D955</f>
        <v>SINAPI</v>
      </c>
      <c r="E223" s="639" t="str">
        <f>IFERROR(VLOOKUP($C223,'SINAPI MAIO 2020'!$1:$1048576,2,0),IFERROR(VLOOKUP($C223,'6-COMP. PROPRIA'!$B$1:$I$808,4,0),""))</f>
        <v>BOMBA RECALQUE D'AGUA DE ESTAGIOS TRIFASICA 2,0 HP</v>
      </c>
      <c r="F223" s="638" t="str">
        <f>IFERROR(VLOOKUP($C223,'SINAPI MAIO 2020'!$1:$1048576,3,0),IFERROR(VLOOKUP($C223,'6-COMP. PROPRIA'!$B$1:$I$808,5,0),""))</f>
        <v>UN</v>
      </c>
      <c r="G223" s="452">
        <f>QUANT!K955</f>
        <v>1</v>
      </c>
      <c r="H223" s="452">
        <f>IFERROR(VLOOKUP($C223,'SINAPI MAIO 2020'!$1:$1048576,4,0),IFERROR(VLOOKUP($C223,'6-COMP. PROPRIA'!$B$1:$I$808,8,0),""))</f>
        <v>1960.12</v>
      </c>
      <c r="I223" s="452">
        <f>TRUNC(($H223*'4-BDI'!$E$29),2)</f>
        <v>2513.65</v>
      </c>
      <c r="J223" s="453">
        <f t="shared" ref="J223" si="96">TRUNC((G223*H223),2)</f>
        <v>1960.12</v>
      </c>
      <c r="K223" s="454">
        <f t="shared" ref="K223" si="97">TRUNC((I223*G223),2)</f>
        <v>2513.65</v>
      </c>
      <c r="L223" s="187"/>
    </row>
    <row r="224" spans="2:12" s="203" customFormat="1" ht="15">
      <c r="B224" s="458" t="s">
        <v>6358</v>
      </c>
      <c r="C224" s="450" t="str">
        <f>QUANT!C956</f>
        <v>CP-HID-1</v>
      </c>
      <c r="D224" s="450" t="str">
        <f>QUANT!D956</f>
        <v>PROPRIA</v>
      </c>
      <c r="E224" s="639" t="str">
        <f>IFERROR(VLOOKUP($C224,'SINAPI MAIO 2020'!$1:$1048576,2,0),IFERROR(VLOOKUP($C224,'6-COMP. PROPRIA'!$B$1:$I$808,4,0),""))</f>
        <v>REGISTRO DE ESFERA, PVC, 3/4''</v>
      </c>
      <c r="F224" s="638" t="str">
        <f>IFERROR(VLOOKUP($C224,'SINAPI MAIO 2020'!$1:$1048576,3,0),IFERROR(VLOOKUP($C224,'6-COMP. PROPRIA'!$B$1:$I$808,5,0),""))</f>
        <v xml:space="preserve">UN    </v>
      </c>
      <c r="G224" s="452">
        <f>QUANT!K956</f>
        <v>2</v>
      </c>
      <c r="H224" s="452">
        <f>IFERROR(VLOOKUP($C224,'SINAPI MAIO 2020'!$1:$1048576,4,0),IFERROR(VLOOKUP($C224,'6-COMP. PROPRIA'!$B$1:$I$808,8,0),""))</f>
        <v>11.7</v>
      </c>
      <c r="I224" s="452">
        <f>TRUNC(($H224*'4-BDI'!$E$29),2)</f>
        <v>15</v>
      </c>
      <c r="J224" s="453">
        <f t="shared" ref="J224:J249" si="98">TRUNC((G224*H224),2)</f>
        <v>23.4</v>
      </c>
      <c r="K224" s="454">
        <f t="shared" ref="K224:K249" si="99">TRUNC((I224*G224),2)</f>
        <v>30</v>
      </c>
      <c r="L224" s="187"/>
    </row>
    <row r="225" spans="2:12" s="203" customFormat="1" ht="60">
      <c r="B225" s="458" t="s">
        <v>6359</v>
      </c>
      <c r="C225" s="450">
        <f>QUANT!C957</f>
        <v>94794</v>
      </c>
      <c r="D225" s="450" t="str">
        <f>QUANT!D957</f>
        <v>SINAPI</v>
      </c>
      <c r="E225" s="639" t="str">
        <f>IFERROR(VLOOKUP($C225,'SINAPI MAIO 2020'!$1:$1048576,2,0),IFERROR(VLOOKUP($C225,'6-COMP. PROPRIA'!$B$1:$I$808,4,0),""))</f>
        <v>REGISTRO DE GAVETA BRUTO, LATÃO, ROSCÁVEL, 1 1/2, COM ACABAMENTO E CANOPLA CROMADOS, INSTALADO EM RESERVAÇÃO DE ÁGUA DE EDIFICAÇÃO QUE POSSUA RESERVATÓRIO DE FIBRA/FIBROCIMENTO  FORNECIMENTO E INSTALAÇÃO. AF_06/2016</v>
      </c>
      <c r="F225" s="638" t="str">
        <f>IFERROR(VLOOKUP($C225,'SINAPI MAIO 2020'!$1:$1048576,3,0),IFERROR(VLOOKUP($C225,'6-COMP. PROPRIA'!$B$1:$I$808,5,0),""))</f>
        <v>UN</v>
      </c>
      <c r="G225" s="452">
        <f>QUANT!K957</f>
        <v>3</v>
      </c>
      <c r="H225" s="452">
        <f>IFERROR(VLOOKUP($C225,'SINAPI MAIO 2020'!$1:$1048576,4,0),IFERROR(VLOOKUP($C225,'6-COMP. PROPRIA'!$B$1:$I$808,8,0),""))</f>
        <v>112.47</v>
      </c>
      <c r="I225" s="452">
        <f>TRUNC(($H225*'4-BDI'!$E$29),2)</f>
        <v>144.22999999999999</v>
      </c>
      <c r="J225" s="453">
        <f t="shared" si="98"/>
        <v>337.41</v>
      </c>
      <c r="K225" s="454">
        <f t="shared" si="99"/>
        <v>432.69</v>
      </c>
      <c r="L225" s="187"/>
    </row>
    <row r="226" spans="2:12" s="203" customFormat="1" ht="30">
      <c r="B226" s="458" t="s">
        <v>6360</v>
      </c>
      <c r="C226" s="450">
        <f>QUANT!C958</f>
        <v>90371</v>
      </c>
      <c r="D226" s="450" t="str">
        <f>QUANT!D958</f>
        <v>SINAPI</v>
      </c>
      <c r="E226" s="639" t="str">
        <f>IFERROR(VLOOKUP($C226,'SINAPI MAIO 2020'!$1:$1048576,2,0),IFERROR(VLOOKUP($C226,'6-COMP. PROPRIA'!$B$1:$I$808,4,0),""))</f>
        <v>REGISTRO DE ESFERA, PVC, ROSCÁVEL, 3/4", FORNECIDO E INSTALADO EM RAMAL DE ÁGUA. AF_03/2015</v>
      </c>
      <c r="F226" s="638" t="str">
        <f>IFERROR(VLOOKUP($C226,'SINAPI MAIO 2020'!$1:$1048576,3,0),IFERROR(VLOOKUP($C226,'6-COMP. PROPRIA'!$B$1:$I$808,5,0),""))</f>
        <v>UN</v>
      </c>
      <c r="G226" s="452">
        <f>QUANT!K958</f>
        <v>1</v>
      </c>
      <c r="H226" s="452">
        <f>IFERROR(VLOOKUP($C226,'SINAPI MAIO 2020'!$1:$1048576,4,0),IFERROR(VLOOKUP($C226,'6-COMP. PROPRIA'!$B$1:$I$808,8,0),""))</f>
        <v>16.02</v>
      </c>
      <c r="I226" s="452">
        <f>TRUNC(($H226*'4-BDI'!$E$29),2)</f>
        <v>20.54</v>
      </c>
      <c r="J226" s="453">
        <f t="shared" si="98"/>
        <v>16.02</v>
      </c>
      <c r="K226" s="454">
        <f t="shared" si="99"/>
        <v>20.54</v>
      </c>
      <c r="L226" s="187"/>
    </row>
    <row r="227" spans="2:12" s="203" customFormat="1" ht="60">
      <c r="B227" s="458" t="s">
        <v>6361</v>
      </c>
      <c r="C227" s="450">
        <f>QUANT!C959</f>
        <v>95141</v>
      </c>
      <c r="D227" s="450" t="str">
        <f>QUANT!D959</f>
        <v>SINAPI</v>
      </c>
      <c r="E227" s="639" t="str">
        <f>IFERROR(VLOOKUP($C227,'SINAPI MAIO 2020'!$1:$1048576,2,0),IFERROR(VLOOKUP($C227,'6-COMP. PROPRIA'!$B$1:$I$808,4,0),""))</f>
        <v>ADAPTADOR COM FLANGES LIVRES, PVC, SOLDÁVEL LONGO, DN  25 MM X 3/4 , INSTALADO EM RESERVAÇÃO DE ÁGUA DE EDIFICAÇÃO QUE POSSUA RESERVATÓRIO DE FIBRA/FIBROCIMENTO    FORNECIMENTO E INSTALAÇÃO. AF_06/2016</v>
      </c>
      <c r="F227" s="638" t="str">
        <f>IFERROR(VLOOKUP($C227,'SINAPI MAIO 2020'!$1:$1048576,3,0),IFERROR(VLOOKUP($C227,'6-COMP. PROPRIA'!$B$1:$I$808,5,0),""))</f>
        <v>UN</v>
      </c>
      <c r="G227" s="452">
        <f>QUANT!K959</f>
        <v>2</v>
      </c>
      <c r="H227" s="452">
        <f>IFERROR(VLOOKUP($C227,'SINAPI MAIO 2020'!$1:$1048576,4,0),IFERROR(VLOOKUP($C227,'6-COMP. PROPRIA'!$B$1:$I$808,8,0),""))</f>
        <v>22.62</v>
      </c>
      <c r="I227" s="452">
        <f>TRUNC(($H227*'4-BDI'!$E$29),2)</f>
        <v>29</v>
      </c>
      <c r="J227" s="453">
        <f t="shared" si="98"/>
        <v>45.24</v>
      </c>
      <c r="K227" s="454">
        <f t="shared" si="99"/>
        <v>58</v>
      </c>
      <c r="L227" s="187"/>
    </row>
    <row r="228" spans="2:12" s="203" customFormat="1" ht="60">
      <c r="B228" s="458" t="s">
        <v>6362</v>
      </c>
      <c r="C228" s="450">
        <f>QUANT!C960</f>
        <v>94787</v>
      </c>
      <c r="D228" s="450" t="str">
        <f>QUANT!D960</f>
        <v>SINAPI</v>
      </c>
      <c r="E228" s="639" t="str">
        <f>IFERROR(VLOOKUP($C228,'SINAPI MAIO 2020'!$1:$1048576,2,0),IFERROR(VLOOKUP($C228,'6-COMP. PROPRIA'!$B$1:$I$808,4,0),""))</f>
        <v>ADAPTADOR COM FLANGES LIVRES, PVC, SOLDÁVEL LONGO, DN 50 MM X 1 1/2 , INSTALADO EM RESERVAÇÃO DE ÁGUA DE EDIFICAÇÃO QUE POSSUA RESERVATÓRIO DE FIBRA/FIBROCIMENTO   FORNECIMENTO E INSTALAÇÃO. AF_06/2016</v>
      </c>
      <c r="F228" s="638" t="str">
        <f>IFERROR(VLOOKUP($C228,'SINAPI MAIO 2020'!$1:$1048576,3,0),IFERROR(VLOOKUP($C228,'6-COMP. PROPRIA'!$B$1:$I$808,5,0),""))</f>
        <v>UN</v>
      </c>
      <c r="G228" s="452">
        <f>QUANT!K960</f>
        <v>3</v>
      </c>
      <c r="H228" s="452">
        <f>IFERROR(VLOOKUP($C228,'SINAPI MAIO 2020'!$1:$1048576,4,0),IFERROR(VLOOKUP($C228,'6-COMP. PROPRIA'!$B$1:$I$808,8,0),""))</f>
        <v>43.58</v>
      </c>
      <c r="I228" s="452">
        <f>TRUNC(($H228*'4-BDI'!$E$29),2)</f>
        <v>55.88</v>
      </c>
      <c r="J228" s="453">
        <f t="shared" si="98"/>
        <v>130.74</v>
      </c>
      <c r="K228" s="454">
        <f t="shared" si="99"/>
        <v>167.64</v>
      </c>
      <c r="L228" s="187"/>
    </row>
    <row r="229" spans="2:12" s="203" customFormat="1" ht="45">
      <c r="B229" s="458" t="s">
        <v>6363</v>
      </c>
      <c r="C229" s="450">
        <f>QUANT!C961</f>
        <v>89538</v>
      </c>
      <c r="D229" s="450" t="str">
        <f>QUANT!D961</f>
        <v>SINAPI</v>
      </c>
      <c r="E229" s="639" t="str">
        <f>IFERROR(VLOOKUP($C229,'SINAPI MAIO 2020'!$1:$1048576,2,0),IFERROR(VLOOKUP($C229,'6-COMP. PROPRIA'!$B$1:$I$808,4,0),""))</f>
        <v>ADAPTADOR CURTO COM BOLSA E ROSCA PARA REGISTRO, PVC, SOLDÁVEL, DN 25MM X 3/4, INSTALADO EM PRUMADA DE ÁGUA - FORNECIMENTO E INSTALAÇÃO. AF_12/2014</v>
      </c>
      <c r="F229" s="638" t="str">
        <f>IFERROR(VLOOKUP($C229,'SINAPI MAIO 2020'!$1:$1048576,3,0),IFERROR(VLOOKUP($C229,'6-COMP. PROPRIA'!$B$1:$I$808,5,0),""))</f>
        <v>UN</v>
      </c>
      <c r="G229" s="452">
        <f>QUANT!K961</f>
        <v>3</v>
      </c>
      <c r="H229" s="452">
        <f>IFERROR(VLOOKUP($C229,'SINAPI MAIO 2020'!$1:$1048576,4,0),IFERROR(VLOOKUP($C229,'6-COMP. PROPRIA'!$B$1:$I$808,8,0),""))</f>
        <v>3.05</v>
      </c>
      <c r="I229" s="452">
        <f>TRUNC(($H229*'4-BDI'!$E$29),2)</f>
        <v>3.91</v>
      </c>
      <c r="J229" s="453">
        <f t="shared" si="98"/>
        <v>9.15</v>
      </c>
      <c r="K229" s="454">
        <f t="shared" si="99"/>
        <v>11.73</v>
      </c>
      <c r="L229" s="187"/>
    </row>
    <row r="230" spans="2:12" s="203" customFormat="1" ht="60">
      <c r="B230" s="458" t="s">
        <v>6364</v>
      </c>
      <c r="C230" s="450">
        <f>QUANT!C962</f>
        <v>94662</v>
      </c>
      <c r="D230" s="450" t="str">
        <f>QUANT!D962</f>
        <v>SINAPI</v>
      </c>
      <c r="E230" s="639" t="str">
        <f>IFERROR(VLOOKUP($C230,'SINAPI MAIO 2020'!$1:$1048576,2,0),IFERROR(VLOOKUP($C230,'6-COMP. PROPRIA'!$B$1:$I$808,4,0),""))</f>
        <v>ADAPTADOR CURTO COM BOLSA E ROSCA PARA REGISTRO, PVC, SOLDÁVEL, DN 50 MM X 1 1/2 , INSTALADO EM RESERVAÇÃO DE ÁGUA DE EDIFICAÇÃO QUE POSSUA RESERVATÓRIO DE FIBRA/FIBROCIMENTO   FORNECIMENTO E INSTALAÇÃO. AF_06/2016</v>
      </c>
      <c r="F230" s="638" t="str">
        <f>IFERROR(VLOOKUP($C230,'SINAPI MAIO 2020'!$1:$1048576,3,0),IFERROR(VLOOKUP($C230,'6-COMP. PROPRIA'!$B$1:$I$808,5,0),""))</f>
        <v>UN</v>
      </c>
      <c r="G230" s="452">
        <f>QUANT!K962</f>
        <v>6</v>
      </c>
      <c r="H230" s="452">
        <f>IFERROR(VLOOKUP($C230,'SINAPI MAIO 2020'!$1:$1048576,4,0),IFERROR(VLOOKUP($C230,'6-COMP. PROPRIA'!$B$1:$I$808,8,0),""))</f>
        <v>10.01</v>
      </c>
      <c r="I230" s="452">
        <f>TRUNC(($H230*'4-BDI'!$E$29),2)</f>
        <v>12.83</v>
      </c>
      <c r="J230" s="453">
        <f t="shared" si="98"/>
        <v>60.06</v>
      </c>
      <c r="K230" s="454">
        <f t="shared" si="99"/>
        <v>76.98</v>
      </c>
      <c r="L230" s="187"/>
    </row>
    <row r="231" spans="2:12" s="203" customFormat="1" ht="45">
      <c r="B231" s="458" t="s">
        <v>6365</v>
      </c>
      <c r="C231" s="450">
        <f>QUANT!C963</f>
        <v>89408</v>
      </c>
      <c r="D231" s="450" t="str">
        <f>QUANT!D963</f>
        <v>SINAPI</v>
      </c>
      <c r="E231" s="639" t="str">
        <f>IFERROR(VLOOKUP($C231,'SINAPI MAIO 2020'!$1:$1048576,2,0),IFERROR(VLOOKUP($C231,'6-COMP. PROPRIA'!$B$1:$I$808,4,0),""))</f>
        <v>JOELHO 90 GRAUS, PVC, SOLDÁVEL, DN 25MM, INSTALADO EM RAMAL DE DISTRIBUIÇÃO DE ÁGUA - FORNECIMENTO E INSTALAÇÃO. AF_12/2014</v>
      </c>
      <c r="F231" s="638" t="str">
        <f>IFERROR(VLOOKUP($C231,'SINAPI MAIO 2020'!$1:$1048576,3,0),IFERROR(VLOOKUP($C231,'6-COMP. PROPRIA'!$B$1:$I$808,5,0),""))</f>
        <v>UN</v>
      </c>
      <c r="G231" s="452">
        <f>QUANT!K963</f>
        <v>7</v>
      </c>
      <c r="H231" s="452">
        <f>IFERROR(VLOOKUP($C231,'SINAPI MAIO 2020'!$1:$1048576,4,0),IFERROR(VLOOKUP($C231,'6-COMP. PROPRIA'!$B$1:$I$808,8,0),""))</f>
        <v>4.54</v>
      </c>
      <c r="I231" s="452">
        <f>TRUNC(($H231*'4-BDI'!$E$29),2)</f>
        <v>5.82</v>
      </c>
      <c r="J231" s="453">
        <f t="shared" si="98"/>
        <v>31.78</v>
      </c>
      <c r="K231" s="454">
        <f t="shared" si="99"/>
        <v>40.74</v>
      </c>
      <c r="L231" s="187"/>
    </row>
    <row r="232" spans="2:12" s="203" customFormat="1" ht="45">
      <c r="B232" s="458" t="s">
        <v>6366</v>
      </c>
      <c r="C232" s="450">
        <f>QUANT!C964</f>
        <v>89413</v>
      </c>
      <c r="D232" s="450" t="str">
        <f>QUANT!D964</f>
        <v>SINAPI</v>
      </c>
      <c r="E232" s="639" t="str">
        <f>IFERROR(VLOOKUP($C232,'SINAPI MAIO 2020'!$1:$1048576,2,0),IFERROR(VLOOKUP($C232,'6-COMP. PROPRIA'!$B$1:$I$808,4,0),""))</f>
        <v>JOELHO 90 GRAUS, PVC, SOLDÁVEL, DN 32MM, INSTALADO EM RAMAL DE DISTRIBUIÇÃO DE ÁGUA - FORNECIMENTO E INSTALAÇÃO. AF_12/2014</v>
      </c>
      <c r="F232" s="638" t="str">
        <f>IFERROR(VLOOKUP($C232,'SINAPI MAIO 2020'!$1:$1048576,3,0),IFERROR(VLOOKUP($C232,'6-COMP. PROPRIA'!$B$1:$I$808,5,0),""))</f>
        <v>UN</v>
      </c>
      <c r="G232" s="452">
        <f>QUANT!K964</f>
        <v>1</v>
      </c>
      <c r="H232" s="452">
        <f>IFERROR(VLOOKUP($C232,'SINAPI MAIO 2020'!$1:$1048576,4,0),IFERROR(VLOOKUP($C232,'6-COMP. PROPRIA'!$B$1:$I$808,8,0),""))</f>
        <v>6.57</v>
      </c>
      <c r="I232" s="452">
        <f>TRUNC(($H232*'4-BDI'!$E$29),2)</f>
        <v>8.42</v>
      </c>
      <c r="J232" s="453">
        <f t="shared" si="98"/>
        <v>6.57</v>
      </c>
      <c r="K232" s="454">
        <f t="shared" si="99"/>
        <v>8.42</v>
      </c>
      <c r="L232" s="187"/>
    </row>
    <row r="233" spans="2:12" s="203" customFormat="1" ht="30">
      <c r="B233" s="458" t="s">
        <v>6367</v>
      </c>
      <c r="C233" s="450">
        <f>QUANT!C965</f>
        <v>89497</v>
      </c>
      <c r="D233" s="450" t="str">
        <f>QUANT!D965</f>
        <v>SINAPI</v>
      </c>
      <c r="E233" s="639" t="str">
        <f>IFERROR(VLOOKUP($C233,'SINAPI MAIO 2020'!$1:$1048576,2,0),IFERROR(VLOOKUP($C233,'6-COMP. PROPRIA'!$B$1:$I$808,4,0),""))</f>
        <v>JOELHO 90 GRAUS, PVC, SOLDÁVEL, DN 40MM, INSTALADO EM PRUMADA DE ÁGUA - FORNECIMENTO E INSTALAÇÃO. AF_12/2014</v>
      </c>
      <c r="F233" s="638" t="str">
        <f>IFERROR(VLOOKUP($C233,'SINAPI MAIO 2020'!$1:$1048576,3,0),IFERROR(VLOOKUP($C233,'6-COMP. PROPRIA'!$B$1:$I$808,5,0),""))</f>
        <v>UN</v>
      </c>
      <c r="G233" s="452">
        <f>QUANT!K965</f>
        <v>4</v>
      </c>
      <c r="H233" s="452">
        <f>IFERROR(VLOOKUP($C233,'SINAPI MAIO 2020'!$1:$1048576,4,0),IFERROR(VLOOKUP($C233,'6-COMP. PROPRIA'!$B$1:$I$808,8,0),""))</f>
        <v>8.6999999999999993</v>
      </c>
      <c r="I233" s="452">
        <f>TRUNC(($H233*'4-BDI'!$E$29),2)</f>
        <v>11.15</v>
      </c>
      <c r="J233" s="453">
        <f t="shared" si="98"/>
        <v>34.799999999999997</v>
      </c>
      <c r="K233" s="454">
        <f t="shared" si="99"/>
        <v>44.6</v>
      </c>
      <c r="L233" s="187"/>
    </row>
    <row r="234" spans="2:12" s="203" customFormat="1" ht="30">
      <c r="B234" s="458" t="s">
        <v>6368</v>
      </c>
      <c r="C234" s="450">
        <f>QUANT!C966</f>
        <v>89501</v>
      </c>
      <c r="D234" s="450" t="str">
        <f>QUANT!D966</f>
        <v>SINAPI</v>
      </c>
      <c r="E234" s="639" t="str">
        <f>IFERROR(VLOOKUP($C234,'SINAPI MAIO 2020'!$1:$1048576,2,0),IFERROR(VLOOKUP($C234,'6-COMP. PROPRIA'!$B$1:$I$808,4,0),""))</f>
        <v>JOELHO 90 GRAUS, PVC, SOLDÁVEL, DN 50MM, INSTALADO EM PRUMADA DE ÁGUA - FORNECIMENTO E INSTALAÇÃO. AF_12/2014</v>
      </c>
      <c r="F234" s="638" t="str">
        <f>IFERROR(VLOOKUP($C234,'SINAPI MAIO 2020'!$1:$1048576,3,0),IFERROR(VLOOKUP($C234,'6-COMP. PROPRIA'!$B$1:$I$808,5,0),""))</f>
        <v>UN</v>
      </c>
      <c r="G234" s="452">
        <f>QUANT!K966</f>
        <v>19</v>
      </c>
      <c r="H234" s="452">
        <f>IFERROR(VLOOKUP($C234,'SINAPI MAIO 2020'!$1:$1048576,4,0),IFERROR(VLOOKUP($C234,'6-COMP. PROPRIA'!$B$1:$I$808,8,0),""))</f>
        <v>10.66</v>
      </c>
      <c r="I234" s="452">
        <f>TRUNC(($H234*'4-BDI'!$E$29),2)</f>
        <v>13.67</v>
      </c>
      <c r="J234" s="453">
        <f t="shared" si="98"/>
        <v>202.54</v>
      </c>
      <c r="K234" s="454">
        <f t="shared" si="99"/>
        <v>259.73</v>
      </c>
      <c r="L234" s="187"/>
    </row>
    <row r="235" spans="2:12" s="203" customFormat="1" ht="30">
      <c r="B235" s="458" t="s">
        <v>6369</v>
      </c>
      <c r="C235" s="450">
        <f>QUANT!C967</f>
        <v>89505</v>
      </c>
      <c r="D235" s="450" t="str">
        <f>QUANT!D967</f>
        <v>SINAPI</v>
      </c>
      <c r="E235" s="639" t="str">
        <f>IFERROR(VLOOKUP($C235,'SINAPI MAIO 2020'!$1:$1048576,2,0),IFERROR(VLOOKUP($C235,'6-COMP. PROPRIA'!$B$1:$I$808,4,0),""))</f>
        <v>JOELHO 90 GRAUS, PVC, SOLDÁVEL, DN 60MM, INSTALADO EM PRUMADA DE ÁGUA - FORNECIMENTO E INSTALAÇÃO. AF_12/2014</v>
      </c>
      <c r="F235" s="638" t="str">
        <f>IFERROR(VLOOKUP($C235,'SINAPI MAIO 2020'!$1:$1048576,3,0),IFERROR(VLOOKUP($C235,'6-COMP. PROPRIA'!$B$1:$I$808,5,0),""))</f>
        <v>UN</v>
      </c>
      <c r="G235" s="452">
        <f>QUANT!K967</f>
        <v>3</v>
      </c>
      <c r="H235" s="452">
        <f>IFERROR(VLOOKUP($C235,'SINAPI MAIO 2020'!$1:$1048576,4,0),IFERROR(VLOOKUP($C235,'6-COMP. PROPRIA'!$B$1:$I$808,8,0),""))</f>
        <v>26.57</v>
      </c>
      <c r="I235" s="452">
        <f>TRUNC(($H235*'4-BDI'!$E$29),2)</f>
        <v>34.07</v>
      </c>
      <c r="J235" s="453">
        <f t="shared" si="98"/>
        <v>79.709999999999994</v>
      </c>
      <c r="K235" s="454">
        <f t="shared" si="99"/>
        <v>102.21</v>
      </c>
      <c r="L235" s="187"/>
    </row>
    <row r="236" spans="2:12" s="203" customFormat="1" ht="30">
      <c r="B236" s="458" t="s">
        <v>6370</v>
      </c>
      <c r="C236" s="450" t="str">
        <f>QUANT!C968</f>
        <v>CP-HID-2</v>
      </c>
      <c r="D236" s="450" t="str">
        <f>QUANT!D968</f>
        <v>PROPRIA</v>
      </c>
      <c r="E236" s="639" t="str">
        <f>IFERROR(VLOOKUP($C236,'SINAPI MAIO 2020'!$1:$1048576,2,0),IFERROR(VLOOKUP($C236,'6-COMP. PROPRIA'!$B$1:$I$808,4,0),""))</f>
        <v xml:space="preserve">JOELHO DE REDUCAO, PVC SOLDAVEL, 90 GRAUS,  32 MM X 25 MM, PARA AGUA FRIA PREDIAL </v>
      </c>
      <c r="F236" s="638" t="str">
        <f>IFERROR(VLOOKUP($C236,'SINAPI MAIO 2020'!$1:$1048576,3,0),IFERROR(VLOOKUP($C236,'6-COMP. PROPRIA'!$B$1:$I$808,5,0),""))</f>
        <v>UN</v>
      </c>
      <c r="G236" s="452">
        <f>QUANT!K968</f>
        <v>12</v>
      </c>
      <c r="H236" s="452">
        <f>IFERROR(VLOOKUP($C236,'SINAPI MAIO 2020'!$1:$1048576,4,0),IFERROR(VLOOKUP($C236,'6-COMP. PROPRIA'!$B$1:$I$808,8,0),""))</f>
        <v>4.9800000000000004</v>
      </c>
      <c r="I236" s="452">
        <f>TRUNC(($H236*'4-BDI'!$E$29),2)</f>
        <v>6.38</v>
      </c>
      <c r="J236" s="453">
        <f t="shared" si="98"/>
        <v>59.76</v>
      </c>
      <c r="K236" s="454">
        <f t="shared" si="99"/>
        <v>76.56</v>
      </c>
      <c r="L236" s="187"/>
    </row>
    <row r="237" spans="2:12" s="203" customFormat="1" ht="30">
      <c r="B237" s="458" t="s">
        <v>6371</v>
      </c>
      <c r="C237" s="450">
        <f>QUANT!C969</f>
        <v>89446</v>
      </c>
      <c r="D237" s="450" t="str">
        <f>QUANT!D969</f>
        <v>SINAPI</v>
      </c>
      <c r="E237" s="639" t="str">
        <f>IFERROR(VLOOKUP($C237,'SINAPI MAIO 2020'!$1:$1048576,2,0),IFERROR(VLOOKUP($C237,'6-COMP. PROPRIA'!$B$1:$I$808,4,0),""))</f>
        <v>TUBO, PVC, SOLDÁVEL, DN 25MM, INSTALADO EM PRUMADA DE ÁGUA - FORNECIMENTO E INSTALAÇÃO. AF_12/2014</v>
      </c>
      <c r="F237" s="638" t="str">
        <f>IFERROR(VLOOKUP($C237,'SINAPI MAIO 2020'!$1:$1048576,3,0),IFERROR(VLOOKUP($C237,'6-COMP. PROPRIA'!$B$1:$I$808,5,0),""))</f>
        <v>M</v>
      </c>
      <c r="G237" s="452">
        <f>QUANT!K969</f>
        <v>33.299999999999997</v>
      </c>
      <c r="H237" s="452">
        <f>IFERROR(VLOOKUP($C237,'SINAPI MAIO 2020'!$1:$1048576,4,0),IFERROR(VLOOKUP($C237,'6-COMP. PROPRIA'!$B$1:$I$808,8,0),""))</f>
        <v>3.49</v>
      </c>
      <c r="I237" s="452">
        <f>TRUNC(($H237*'4-BDI'!$E$29),2)</f>
        <v>4.47</v>
      </c>
      <c r="J237" s="453">
        <f t="shared" si="98"/>
        <v>116.21</v>
      </c>
      <c r="K237" s="454">
        <f t="shared" si="99"/>
        <v>148.85</v>
      </c>
      <c r="L237" s="187"/>
    </row>
    <row r="238" spans="2:12" s="203" customFormat="1" ht="30">
      <c r="B238" s="458" t="s">
        <v>6372</v>
      </c>
      <c r="C238" s="450">
        <f>QUANT!C970</f>
        <v>89447</v>
      </c>
      <c r="D238" s="450" t="str">
        <f>QUANT!D970</f>
        <v>SINAPI</v>
      </c>
      <c r="E238" s="639" t="str">
        <f>IFERROR(VLOOKUP($C238,'SINAPI MAIO 2020'!$1:$1048576,2,0),IFERROR(VLOOKUP($C238,'6-COMP. PROPRIA'!$B$1:$I$808,4,0),""))</f>
        <v>TUBO, PVC, SOLDÁVEL, DN 32MM, INSTALADO EM PRUMADA DE ÁGUA - FORNECIMENTO E INSTALAÇÃO. AF_12/2014</v>
      </c>
      <c r="F238" s="638" t="str">
        <f>IFERROR(VLOOKUP($C238,'SINAPI MAIO 2020'!$1:$1048576,3,0),IFERROR(VLOOKUP($C238,'6-COMP. PROPRIA'!$B$1:$I$808,5,0),""))</f>
        <v>M</v>
      </c>
      <c r="G238" s="452">
        <f>QUANT!K970</f>
        <v>11.27</v>
      </c>
      <c r="H238" s="452">
        <f>IFERROR(VLOOKUP($C238,'SINAPI MAIO 2020'!$1:$1048576,4,0),IFERROR(VLOOKUP($C238,'6-COMP. PROPRIA'!$B$1:$I$808,8,0),""))</f>
        <v>7.33</v>
      </c>
      <c r="I238" s="452">
        <f>TRUNC(($H238*'4-BDI'!$E$29),2)</f>
        <v>9.39</v>
      </c>
      <c r="J238" s="453">
        <f t="shared" si="98"/>
        <v>82.6</v>
      </c>
      <c r="K238" s="454">
        <f t="shared" si="99"/>
        <v>105.82</v>
      </c>
      <c r="L238" s="187"/>
    </row>
    <row r="239" spans="2:12" s="203" customFormat="1" ht="30">
      <c r="B239" s="458" t="s">
        <v>6373</v>
      </c>
      <c r="C239" s="450">
        <f>QUANT!C971</f>
        <v>89448</v>
      </c>
      <c r="D239" s="450" t="str">
        <f>QUANT!D971</f>
        <v>SINAPI</v>
      </c>
      <c r="E239" s="639" t="str">
        <f>IFERROR(VLOOKUP($C239,'SINAPI MAIO 2020'!$1:$1048576,2,0),IFERROR(VLOOKUP($C239,'6-COMP. PROPRIA'!$B$1:$I$808,4,0),""))</f>
        <v>TUBO, PVC, SOLDÁVEL, DN 40MM, INSTALADO EM PRUMADA DE ÁGUA - FORNECIMENTO E INSTALAÇÃO. AF_12/2014</v>
      </c>
      <c r="F239" s="638" t="str">
        <f>IFERROR(VLOOKUP($C239,'SINAPI MAIO 2020'!$1:$1048576,3,0),IFERROR(VLOOKUP($C239,'6-COMP. PROPRIA'!$B$1:$I$808,5,0),""))</f>
        <v>M</v>
      </c>
      <c r="G239" s="452">
        <f>QUANT!K971</f>
        <v>6.09</v>
      </c>
      <c r="H239" s="452">
        <f>IFERROR(VLOOKUP($C239,'SINAPI MAIO 2020'!$1:$1048576,4,0),IFERROR(VLOOKUP($C239,'6-COMP. PROPRIA'!$B$1:$I$808,8,0),""))</f>
        <v>10.54</v>
      </c>
      <c r="I239" s="452">
        <f>TRUNC(($H239*'4-BDI'!$E$29),2)</f>
        <v>13.51</v>
      </c>
      <c r="J239" s="453">
        <f t="shared" si="98"/>
        <v>64.180000000000007</v>
      </c>
      <c r="K239" s="454">
        <f t="shared" si="99"/>
        <v>82.27</v>
      </c>
      <c r="L239" s="187"/>
    </row>
    <row r="240" spans="2:12" s="203" customFormat="1" ht="30">
      <c r="B240" s="458" t="s">
        <v>6374</v>
      </c>
      <c r="C240" s="450">
        <f>QUANT!C972</f>
        <v>89449</v>
      </c>
      <c r="D240" s="450" t="str">
        <f>QUANT!D972</f>
        <v>SINAPI</v>
      </c>
      <c r="E240" s="639" t="str">
        <f>IFERROR(VLOOKUP($C240,'SINAPI MAIO 2020'!$1:$1048576,2,0),IFERROR(VLOOKUP($C240,'6-COMP. PROPRIA'!$B$1:$I$808,4,0),""))</f>
        <v>TUBO, PVC, SOLDÁVEL, DN 50MM, INSTALADO EM PRUMADA DE ÁGUA - FORNECIMENTO E INSTALAÇÃO. AF_12/2014</v>
      </c>
      <c r="F240" s="638" t="str">
        <f>IFERROR(VLOOKUP($C240,'SINAPI MAIO 2020'!$1:$1048576,3,0),IFERROR(VLOOKUP($C240,'6-COMP. PROPRIA'!$B$1:$I$808,5,0),""))</f>
        <v>M</v>
      </c>
      <c r="G240" s="452">
        <f>QUANT!K972</f>
        <v>136.02000000000001</v>
      </c>
      <c r="H240" s="452">
        <f>IFERROR(VLOOKUP($C240,'SINAPI MAIO 2020'!$1:$1048576,4,0),IFERROR(VLOOKUP($C240,'6-COMP. PROPRIA'!$B$1:$I$808,8,0),""))</f>
        <v>12.12</v>
      </c>
      <c r="I240" s="452">
        <f>TRUNC(($H240*'4-BDI'!$E$29),2)</f>
        <v>15.54</v>
      </c>
      <c r="J240" s="453">
        <f t="shared" si="98"/>
        <v>1648.56</v>
      </c>
      <c r="K240" s="454">
        <f t="shared" si="99"/>
        <v>2113.75</v>
      </c>
      <c r="L240" s="187"/>
    </row>
    <row r="241" spans="2:12" s="203" customFormat="1" ht="30">
      <c r="B241" s="458" t="s">
        <v>6375</v>
      </c>
      <c r="C241" s="450">
        <f>QUANT!C973</f>
        <v>89450</v>
      </c>
      <c r="D241" s="450" t="str">
        <f>QUANT!D973</f>
        <v>SINAPI</v>
      </c>
      <c r="E241" s="639" t="str">
        <f>IFERROR(VLOOKUP($C241,'SINAPI MAIO 2020'!$1:$1048576,2,0),IFERROR(VLOOKUP($C241,'6-COMP. PROPRIA'!$B$1:$I$808,4,0),""))</f>
        <v>TUBO, PVC, SOLDÁVEL, DN 60MM, INSTALADO EM PRUMADA DE ÁGUA - FORNECIMENTO E INSTALAÇÃO. AF_12/2014</v>
      </c>
      <c r="F241" s="638" t="str">
        <f>IFERROR(VLOOKUP($C241,'SINAPI MAIO 2020'!$1:$1048576,3,0),IFERROR(VLOOKUP($C241,'6-COMP. PROPRIA'!$B$1:$I$808,5,0),""))</f>
        <v>M</v>
      </c>
      <c r="G241" s="452">
        <f>QUANT!K973</f>
        <v>11.379999999999999</v>
      </c>
      <c r="H241" s="452">
        <f>IFERROR(VLOOKUP($C241,'SINAPI MAIO 2020'!$1:$1048576,4,0),IFERROR(VLOOKUP($C241,'6-COMP. PROPRIA'!$B$1:$I$808,8,0),""))</f>
        <v>19.98</v>
      </c>
      <c r="I241" s="452">
        <f>TRUNC(($H241*'4-BDI'!$E$29),2)</f>
        <v>25.62</v>
      </c>
      <c r="J241" s="453">
        <f t="shared" si="98"/>
        <v>227.37</v>
      </c>
      <c r="K241" s="454">
        <f t="shared" si="99"/>
        <v>291.55</v>
      </c>
      <c r="L241" s="187"/>
    </row>
    <row r="242" spans="2:12" s="203" customFormat="1" ht="30">
      <c r="B242" s="458" t="s">
        <v>6376</v>
      </c>
      <c r="C242" s="450">
        <f>QUANT!C974</f>
        <v>89440</v>
      </c>
      <c r="D242" s="450" t="str">
        <f>QUANT!D974</f>
        <v>SINAPI</v>
      </c>
      <c r="E242" s="639" t="str">
        <f>IFERROR(VLOOKUP($C242,'SINAPI MAIO 2020'!$1:$1048576,2,0),IFERROR(VLOOKUP($C242,'6-COMP. PROPRIA'!$B$1:$I$808,4,0),""))</f>
        <v>TE, PVC, SOLDÁVEL, DN 25MM, INSTALADO EM RAMAL DE DISTRIBUIÇÃO DE ÁGUA - FORNECIMENTO E INSTALAÇÃO. AF_12/2014</v>
      </c>
      <c r="F242" s="638" t="str">
        <f>IFERROR(VLOOKUP($C242,'SINAPI MAIO 2020'!$1:$1048576,3,0),IFERROR(VLOOKUP($C242,'6-COMP. PROPRIA'!$B$1:$I$808,5,0),""))</f>
        <v>UN</v>
      </c>
      <c r="G242" s="452">
        <f>QUANT!K974</f>
        <v>6</v>
      </c>
      <c r="H242" s="452">
        <f>IFERROR(VLOOKUP($C242,'SINAPI MAIO 2020'!$1:$1048576,4,0),IFERROR(VLOOKUP($C242,'6-COMP. PROPRIA'!$B$1:$I$808,8,0),""))</f>
        <v>6.51</v>
      </c>
      <c r="I242" s="452">
        <f>TRUNC(($H242*'4-BDI'!$E$29),2)</f>
        <v>8.34</v>
      </c>
      <c r="J242" s="453">
        <f t="shared" si="98"/>
        <v>39.06</v>
      </c>
      <c r="K242" s="454">
        <f t="shared" si="99"/>
        <v>50.04</v>
      </c>
      <c r="L242" s="187"/>
    </row>
    <row r="243" spans="2:12" s="203" customFormat="1" ht="30">
      <c r="B243" s="458" t="s">
        <v>6377</v>
      </c>
      <c r="C243" s="450" t="str">
        <f>QUANT!C975</f>
        <v>CP-HID-3</v>
      </c>
      <c r="D243" s="450" t="str">
        <f>QUANT!D975</f>
        <v>PROPRIA</v>
      </c>
      <c r="E243" s="639" t="str">
        <f>IFERROR(VLOOKUP($C243,'SINAPI MAIO 2020'!$1:$1048576,2,0),IFERROR(VLOOKUP($C243,'6-COMP. PROPRIA'!$B$1:$I$808,4,0),""))</f>
        <v>TE DE REDUCAO, PVC, SOLDAVEL, 90 GRAUS, 50 MM X 32 MM, PARA AGUA FRIA PREDIAL</v>
      </c>
      <c r="F243" s="638" t="str">
        <f>IFERROR(VLOOKUP($C243,'SINAPI MAIO 2020'!$1:$1048576,3,0),IFERROR(VLOOKUP($C243,'6-COMP. PROPRIA'!$B$1:$I$808,5,0),""))</f>
        <v>UN</v>
      </c>
      <c r="G243" s="452">
        <f>QUANT!K975</f>
        <v>5</v>
      </c>
      <c r="H243" s="452">
        <f>IFERROR(VLOOKUP($C243,'SINAPI MAIO 2020'!$1:$1048576,4,0),IFERROR(VLOOKUP($C243,'6-COMP. PROPRIA'!$B$1:$I$808,8,0),""))</f>
        <v>23.65</v>
      </c>
      <c r="I243" s="452">
        <f>TRUNC(($H243*'4-BDI'!$E$29),2)</f>
        <v>30.32</v>
      </c>
      <c r="J243" s="453">
        <f t="shared" si="98"/>
        <v>118.25</v>
      </c>
      <c r="K243" s="454">
        <f t="shared" si="99"/>
        <v>151.6</v>
      </c>
      <c r="L243" s="187"/>
    </row>
    <row r="244" spans="2:12" s="203" customFormat="1" ht="45">
      <c r="B244" s="458" t="s">
        <v>6378</v>
      </c>
      <c r="C244" s="450">
        <f>QUANT!C976</f>
        <v>94695</v>
      </c>
      <c r="D244" s="450" t="str">
        <f>QUANT!D976</f>
        <v>SINAPI</v>
      </c>
      <c r="E244" s="639" t="str">
        <f>IFERROR(VLOOKUP($C244,'SINAPI MAIO 2020'!$1:$1048576,2,0),IFERROR(VLOOKUP($C244,'6-COMP. PROPRIA'!$B$1:$I$808,4,0),""))</f>
        <v>TÊ DE REDUÇÃO, PVC, SOLDÁVEL, DN 50 MM X 40 MM, INSTALADO EM RESERVAÇÃO DE ÁGUA DE EDIFICAÇÃO QUE POSSUA RESERVATÓRIO DE FIBRA/FIBROCIMENTO   FORNECIMENTO E INSTALAÇÃO. AF_06/2016</v>
      </c>
      <c r="F244" s="638" t="str">
        <f>IFERROR(VLOOKUP($C244,'SINAPI MAIO 2020'!$1:$1048576,3,0),IFERROR(VLOOKUP($C244,'6-COMP. PROPRIA'!$B$1:$I$808,5,0),""))</f>
        <v>UN</v>
      </c>
      <c r="G244" s="452">
        <f>QUANT!K976</f>
        <v>4</v>
      </c>
      <c r="H244" s="452">
        <f>IFERROR(VLOOKUP($C244,'SINAPI MAIO 2020'!$1:$1048576,4,0),IFERROR(VLOOKUP($C244,'6-COMP. PROPRIA'!$B$1:$I$808,8,0),""))</f>
        <v>25.39</v>
      </c>
      <c r="I244" s="452">
        <f>TRUNC(($H244*'4-BDI'!$E$29),2)</f>
        <v>32.56</v>
      </c>
      <c r="J244" s="453">
        <f t="shared" si="98"/>
        <v>101.56</v>
      </c>
      <c r="K244" s="454">
        <f t="shared" si="99"/>
        <v>130.24</v>
      </c>
      <c r="L244" s="187"/>
    </row>
    <row r="245" spans="2:12" s="203" customFormat="1" ht="60">
      <c r="B245" s="458" t="s">
        <v>6379</v>
      </c>
      <c r="C245" s="450">
        <f>QUANT!C977</f>
        <v>94496</v>
      </c>
      <c r="D245" s="450" t="str">
        <f>QUANT!D977</f>
        <v>SINAPI</v>
      </c>
      <c r="E245" s="639" t="str">
        <f>IFERROR(VLOOKUP($C245,'SINAPI MAIO 2020'!$1:$1048576,2,0),IFERROR(VLOOKUP($C245,'6-COMP. PROPRIA'!$B$1:$I$808,4,0),""))</f>
        <v>REGISTRO DE GAVETA BRUTO, LATÃO, ROSCÁVEL, 1 1/4, INSTALADO EM RESERVAÇÃO DE ÁGUA DE EDIFICAÇÃO QUE POSSUA RESERVATÓRIO DE FIBRA/FIBROCIMENTO  FORNECIMENTO E INSTALAÇÃO. AF_06/2016</v>
      </c>
      <c r="F245" s="638" t="str">
        <f>IFERROR(VLOOKUP($C245,'SINAPI MAIO 2020'!$1:$1048576,3,0),IFERROR(VLOOKUP($C245,'6-COMP. PROPRIA'!$B$1:$I$808,5,0),""))</f>
        <v>UN</v>
      </c>
      <c r="G245" s="452">
        <f>QUANT!K977</f>
        <v>6</v>
      </c>
      <c r="H245" s="452">
        <f>IFERROR(VLOOKUP($C245,'SINAPI MAIO 2020'!$1:$1048576,4,0),IFERROR(VLOOKUP($C245,'6-COMP. PROPRIA'!$B$1:$I$808,8,0),""))</f>
        <v>68.45</v>
      </c>
      <c r="I245" s="452">
        <f>TRUNC(($H245*'4-BDI'!$E$29),2)</f>
        <v>87.78</v>
      </c>
      <c r="J245" s="453">
        <f t="shared" si="98"/>
        <v>410.7</v>
      </c>
      <c r="K245" s="454">
        <f t="shared" si="99"/>
        <v>526.67999999999995</v>
      </c>
      <c r="L245" s="187"/>
    </row>
    <row r="246" spans="2:12" s="203" customFormat="1" ht="30">
      <c r="B246" s="458" t="s">
        <v>6380</v>
      </c>
      <c r="C246" s="450">
        <f>QUANT!C978</f>
        <v>89351</v>
      </c>
      <c r="D246" s="450" t="str">
        <f>QUANT!D978</f>
        <v>SINAPI</v>
      </c>
      <c r="E246" s="639" t="str">
        <f>IFERROR(VLOOKUP($C246,'SINAPI MAIO 2020'!$1:$1048576,2,0),IFERROR(VLOOKUP($C246,'6-COMP. PROPRIA'!$B$1:$I$808,4,0),""))</f>
        <v>REGISTRO DE PRESSÃO BRUTO, LATÃO,  ROSCÁVEL, 3/4, FORNECIDO E INSTALADO EM RAMAL DE ÁGUA. AF_12/2014</v>
      </c>
      <c r="F246" s="638" t="str">
        <f>IFERROR(VLOOKUP($C246,'SINAPI MAIO 2020'!$1:$1048576,3,0),IFERROR(VLOOKUP($C246,'6-COMP. PROPRIA'!$B$1:$I$808,5,0),""))</f>
        <v>UN</v>
      </c>
      <c r="G246" s="452">
        <f>QUANT!K978</f>
        <v>12</v>
      </c>
      <c r="H246" s="452">
        <f>IFERROR(VLOOKUP($C246,'SINAPI MAIO 2020'!$1:$1048576,4,0),IFERROR(VLOOKUP($C246,'6-COMP. PROPRIA'!$B$1:$I$808,8,0),""))</f>
        <v>22.62</v>
      </c>
      <c r="I246" s="452">
        <f>TRUNC(($H246*'4-BDI'!$E$29),2)</f>
        <v>29</v>
      </c>
      <c r="J246" s="453">
        <f t="shared" si="98"/>
        <v>271.44</v>
      </c>
      <c r="K246" s="454">
        <f t="shared" si="99"/>
        <v>348</v>
      </c>
      <c r="L246" s="187"/>
    </row>
    <row r="247" spans="2:12" s="203" customFormat="1" ht="45">
      <c r="B247" s="458" t="s">
        <v>6381</v>
      </c>
      <c r="C247" s="450">
        <f>QUANT!C979</f>
        <v>89985</v>
      </c>
      <c r="D247" s="450" t="str">
        <f>QUANT!D979</f>
        <v>SINAPI</v>
      </c>
      <c r="E247" s="639" t="str">
        <f>IFERROR(VLOOKUP($C247,'SINAPI MAIO 2020'!$1:$1048576,2,0),IFERROR(VLOOKUP($C247,'6-COMP. PROPRIA'!$B$1:$I$808,4,0),""))</f>
        <v>REGISTRO DE PRESSÃO BRUTO, LATÃO, ROSCÁVEL, 3/4", COM ACABAMENTO E CANOPLA CROMADOS. FORNECIDO E INSTALADO EM RAMAL DE ÁGUA. AF_12/2014</v>
      </c>
      <c r="F247" s="638" t="str">
        <f>IFERROR(VLOOKUP($C247,'SINAPI MAIO 2020'!$1:$1048576,3,0),IFERROR(VLOOKUP($C247,'6-COMP. PROPRIA'!$B$1:$I$808,5,0),""))</f>
        <v>UN</v>
      </c>
      <c r="G247" s="452">
        <f>QUANT!K979</f>
        <v>2</v>
      </c>
      <c r="H247" s="452">
        <f>IFERROR(VLOOKUP($C247,'SINAPI MAIO 2020'!$1:$1048576,4,0),IFERROR(VLOOKUP($C247,'6-COMP. PROPRIA'!$B$1:$I$808,8,0),""))</f>
        <v>54.92</v>
      </c>
      <c r="I247" s="452">
        <f>TRUNC(($H247*'4-BDI'!$E$29),2)</f>
        <v>70.42</v>
      </c>
      <c r="J247" s="453">
        <f t="shared" si="98"/>
        <v>109.84</v>
      </c>
      <c r="K247" s="454">
        <f t="shared" si="99"/>
        <v>140.84</v>
      </c>
      <c r="L247" s="187"/>
    </row>
    <row r="248" spans="2:12" s="203" customFormat="1" ht="30">
      <c r="B248" s="458" t="s">
        <v>12570</v>
      </c>
      <c r="C248" s="450" t="str">
        <f>QUANT!C980</f>
        <v>CP-HID-4</v>
      </c>
      <c r="D248" s="450" t="str">
        <f>QUANT!D980</f>
        <v>PROPRIA</v>
      </c>
      <c r="E248" s="639" t="str">
        <f>IFERROR(VLOOKUP($C248,'SINAPI MAIO 2020'!$1:$1048576,2,0),IFERROR(VLOOKUP($C248,'6-COMP. PROPRIA'!$B$1:$I$808,4,0),""))</f>
        <v>VALVULA DE DESCARGA METALICA, BASE 1 1/4 " E ACABAMENTO METALICO CROMADO</v>
      </c>
      <c r="F248" s="638" t="str">
        <f>IFERROR(VLOOKUP($C248,'SINAPI MAIO 2020'!$1:$1048576,3,0),IFERROR(VLOOKUP($C248,'6-COMP. PROPRIA'!$B$1:$I$808,5,0),""))</f>
        <v>UN</v>
      </c>
      <c r="G248" s="452">
        <f>QUANT!K980</f>
        <v>8</v>
      </c>
      <c r="H248" s="452">
        <f>IFERROR(VLOOKUP($C248,'SINAPI MAIO 2020'!$1:$1048576,4,0),IFERROR(VLOOKUP($C248,'6-COMP. PROPRIA'!$B$1:$I$808,8,0),""))</f>
        <v>154.91</v>
      </c>
      <c r="I248" s="452">
        <f>TRUNC(($H248*'4-BDI'!$E$29),2)</f>
        <v>198.65</v>
      </c>
      <c r="J248" s="453">
        <f t="shared" si="98"/>
        <v>1239.28</v>
      </c>
      <c r="K248" s="454">
        <f t="shared" si="99"/>
        <v>1589.2</v>
      </c>
      <c r="L248" s="187"/>
    </row>
    <row r="249" spans="2:12" s="203" customFormat="1" ht="30">
      <c r="B249" s="458" t="s">
        <v>12571</v>
      </c>
      <c r="C249" s="450" t="str">
        <f>QUANT!C981</f>
        <v>CP-HID-5</v>
      </c>
      <c r="D249" s="450" t="str">
        <f>QUANT!D981</f>
        <v>PROPRIA</v>
      </c>
      <c r="E249" s="639" t="str">
        <f>IFERROR(VLOOKUP($C249,'SINAPI MAIO 2020'!$1:$1048576,2,0),IFERROR(VLOOKUP($C249,'6-COMP. PROPRIA'!$B$1:$I$808,4,0),""))</f>
        <v>BUCHA DE REDUCAO DE PVC, SOLDAVEL, LONGA, COM 50 X 32 MM, PARA AGUA FRIA PREDIAL</v>
      </c>
      <c r="F249" s="638" t="str">
        <f>IFERROR(VLOOKUP($C249,'SINAPI MAIO 2020'!$1:$1048576,3,0),IFERROR(VLOOKUP($C249,'6-COMP. PROPRIA'!$B$1:$I$808,5,0),""))</f>
        <v>UN</v>
      </c>
      <c r="G249" s="452">
        <f>QUANT!K981</f>
        <v>7</v>
      </c>
      <c r="H249" s="452">
        <f>IFERROR(VLOOKUP($C249,'SINAPI MAIO 2020'!$1:$1048576,4,0),IFERROR(VLOOKUP($C249,'6-COMP. PROPRIA'!$B$1:$I$808,8,0),""))</f>
        <v>9.36</v>
      </c>
      <c r="I249" s="452">
        <f>TRUNC(($H249*'4-BDI'!$E$29),2)</f>
        <v>12</v>
      </c>
      <c r="J249" s="453">
        <f t="shared" si="98"/>
        <v>65.52</v>
      </c>
      <c r="K249" s="454">
        <f t="shared" si="99"/>
        <v>84</v>
      </c>
      <c r="L249" s="187"/>
    </row>
    <row r="250" spans="2:12" s="203" customFormat="1" ht="15.75">
      <c r="B250" s="746" t="s">
        <v>12564</v>
      </c>
      <c r="C250" s="747"/>
      <c r="D250" s="747"/>
      <c r="E250" s="747"/>
      <c r="F250" s="747"/>
      <c r="G250" s="747"/>
      <c r="H250" s="747"/>
      <c r="I250" s="456"/>
      <c r="J250" s="457">
        <f>TRUNC(SUM(J223:J249),2)</f>
        <v>7491.87</v>
      </c>
      <c r="K250" s="457">
        <f>TRUNC(SUM(K223:K249),2)</f>
        <v>9606.33</v>
      </c>
      <c r="L250" s="187"/>
    </row>
    <row r="251" spans="2:12" s="201" customFormat="1" ht="15.75">
      <c r="B251" s="482" t="s">
        <v>6382</v>
      </c>
      <c r="C251" s="483"/>
      <c r="D251" s="484"/>
      <c r="E251" s="485" t="str">
        <f>QUANT!E983</f>
        <v>DISTRIBUIÇÃO PREDIAL</v>
      </c>
      <c r="F251" s="486"/>
      <c r="G251" s="487"/>
      <c r="H251" s="488"/>
      <c r="I251" s="488"/>
      <c r="J251" s="489"/>
      <c r="K251" s="457"/>
      <c r="L251" s="187"/>
    </row>
    <row r="252" spans="2:12" s="203" customFormat="1" ht="45">
      <c r="B252" s="458" t="s">
        <v>6383</v>
      </c>
      <c r="C252" s="450">
        <f>QUANT!C985</f>
        <v>89538</v>
      </c>
      <c r="D252" s="450" t="str">
        <f>QUANT!D985</f>
        <v>SINAPI</v>
      </c>
      <c r="E252" s="639" t="str">
        <f>IFERROR(VLOOKUP($C252,'SINAPI MAIO 2020'!$1:$1048576,2,0),IFERROR(VLOOKUP($C252,'6-COMP. PROPRIA'!$B$1:$I$808,4,0),""))</f>
        <v>ADAPTADOR CURTO COM BOLSA E ROSCA PARA REGISTRO, PVC, SOLDÁVEL, DN 25MM X 3/4, INSTALADO EM PRUMADA DE ÁGUA - FORNECIMENTO E INSTALAÇÃO. AF_12/2014</v>
      </c>
      <c r="F252" s="638" t="str">
        <f>IFERROR(VLOOKUP($C252,'SINAPI MAIO 2020'!$1:$1048576,3,0),IFERROR(VLOOKUP($C252,'6-COMP. PROPRIA'!$B$1:$I$808,5,0),""))</f>
        <v>UN</v>
      </c>
      <c r="G252" s="452">
        <f>QUANT!K985</f>
        <v>26</v>
      </c>
      <c r="H252" s="452">
        <f>IFERROR(VLOOKUP($C252,'SINAPI MAIO 2020'!$1:$1048576,4,0),IFERROR(VLOOKUP($C252,'6-COMP. PROPRIA'!$B$1:$I$808,8,0),""))</f>
        <v>3.05</v>
      </c>
      <c r="I252" s="452">
        <f>TRUNC(($H252*'4-BDI'!$E$29),2)</f>
        <v>3.91</v>
      </c>
      <c r="J252" s="453">
        <f t="shared" ref="J252" si="100">TRUNC((G252*H252),2)</f>
        <v>79.3</v>
      </c>
      <c r="K252" s="454">
        <f t="shared" ref="K252" si="101">TRUNC((I252*G252),2)</f>
        <v>101.66</v>
      </c>
      <c r="L252" s="187"/>
    </row>
    <row r="253" spans="2:12" s="203" customFormat="1" ht="45">
      <c r="B253" s="458" t="s">
        <v>6384</v>
      </c>
      <c r="C253" s="450">
        <f>QUANT!C986</f>
        <v>89572</v>
      </c>
      <c r="D253" s="450" t="str">
        <f>QUANT!D986</f>
        <v>SINAPI</v>
      </c>
      <c r="E253" s="639" t="str">
        <f>IFERROR(VLOOKUP($C253,'SINAPI MAIO 2020'!$1:$1048576,2,0),IFERROR(VLOOKUP($C253,'6-COMP. PROPRIA'!$B$1:$I$808,4,0),""))</f>
        <v>ADAPTADOR CURTO COM BOLSA E ROSCA PARA REGISTRO, PVC, SOLDÁVEL, DN 40MM X 1.1/4, INSTALADO EM PRUMADA DE ÁGUA - FORNECIMENTO E INSTALAÇÃO. AF_12/2014</v>
      </c>
      <c r="F253" s="638" t="str">
        <f>IFERROR(VLOOKUP($C253,'SINAPI MAIO 2020'!$1:$1048576,3,0),IFERROR(VLOOKUP($C253,'6-COMP. PROPRIA'!$B$1:$I$808,5,0),""))</f>
        <v>UN</v>
      </c>
      <c r="G253" s="452">
        <f>QUANT!K986</f>
        <v>20</v>
      </c>
      <c r="H253" s="452">
        <f>IFERROR(VLOOKUP($C253,'SINAPI MAIO 2020'!$1:$1048576,4,0),IFERROR(VLOOKUP($C253,'6-COMP. PROPRIA'!$B$1:$I$808,8,0),""))</f>
        <v>6.43</v>
      </c>
      <c r="I253" s="452">
        <f>TRUNC(($H253*'4-BDI'!$E$29),2)</f>
        <v>8.24</v>
      </c>
      <c r="J253" s="453">
        <f t="shared" ref="J253:J266" si="102">TRUNC((G253*H253),2)</f>
        <v>128.6</v>
      </c>
      <c r="K253" s="454">
        <f t="shared" ref="K253:K266" si="103">TRUNC((I253*G253),2)</f>
        <v>164.8</v>
      </c>
      <c r="L253" s="187"/>
    </row>
    <row r="254" spans="2:12" s="203" customFormat="1" ht="45">
      <c r="B254" s="458" t="s">
        <v>6385</v>
      </c>
      <c r="C254" s="450">
        <f>QUANT!C987</f>
        <v>90375</v>
      </c>
      <c r="D254" s="450" t="str">
        <f>QUANT!D987</f>
        <v>SINAPI</v>
      </c>
      <c r="E254" s="639" t="str">
        <f>IFERROR(VLOOKUP($C254,'SINAPI MAIO 2020'!$1:$1048576,2,0),IFERROR(VLOOKUP($C254,'6-COMP. PROPRIA'!$B$1:$I$808,4,0),""))</f>
        <v>BUCHA DE REDUÇÃO, PVC, SOLDÁVEL, DN 40MM X 32MM, INSTALADO EM RAMAL OU SUB-RAMAL DE ÁGUA - FORNECIMENTO E INSTALAÇÃO. AF_03/2015</v>
      </c>
      <c r="F254" s="638" t="str">
        <f>IFERROR(VLOOKUP($C254,'SINAPI MAIO 2020'!$1:$1048576,3,0),IFERROR(VLOOKUP($C254,'6-COMP. PROPRIA'!$B$1:$I$808,5,0),""))</f>
        <v>UN</v>
      </c>
      <c r="G254" s="452">
        <f>QUANT!K987</f>
        <v>1</v>
      </c>
      <c r="H254" s="452">
        <f>IFERROR(VLOOKUP($C254,'SINAPI MAIO 2020'!$1:$1048576,4,0),IFERROR(VLOOKUP($C254,'6-COMP. PROPRIA'!$B$1:$I$808,8,0),""))</f>
        <v>6.83</v>
      </c>
      <c r="I254" s="452">
        <f>TRUNC(($H254*'4-BDI'!$E$29),2)</f>
        <v>8.75</v>
      </c>
      <c r="J254" s="453">
        <f t="shared" si="102"/>
        <v>6.83</v>
      </c>
      <c r="K254" s="454">
        <f t="shared" si="103"/>
        <v>8.75</v>
      </c>
      <c r="L254" s="187"/>
    </row>
    <row r="255" spans="2:12" s="203" customFormat="1" ht="30">
      <c r="B255" s="458" t="s">
        <v>6386</v>
      </c>
      <c r="C255" s="450" t="str">
        <f>QUANT!C988</f>
        <v>CP-HID-6</v>
      </c>
      <c r="D255" s="450" t="str">
        <f>QUANT!D988</f>
        <v>PROPRIA</v>
      </c>
      <c r="E255" s="639" t="str">
        <f>IFERROR(VLOOKUP($C255,'SINAPI MAIO 2020'!$1:$1048576,2,0),IFERROR(VLOOKUP($C255,'6-COMP. PROPRIA'!$B$1:$I$808,4,0),""))</f>
        <v>BUCHA DE REDUCAO DE PVC, SOLDAVEL, CURTA, COM 50 X 40 MM, PARA AGUA FRIA PREDIAL</v>
      </c>
      <c r="F255" s="638" t="str">
        <f>IFERROR(VLOOKUP($C255,'SINAPI MAIO 2020'!$1:$1048576,3,0),IFERROR(VLOOKUP($C255,'6-COMP. PROPRIA'!$B$1:$I$808,5,0),""))</f>
        <v>UN</v>
      </c>
      <c r="G255" s="452">
        <f>QUANT!K988</f>
        <v>2</v>
      </c>
      <c r="H255" s="452">
        <f>IFERROR(VLOOKUP($C255,'SINAPI MAIO 2020'!$1:$1048576,4,0),IFERROR(VLOOKUP($C255,'6-COMP. PROPRIA'!$B$1:$I$808,8,0),""))</f>
        <v>7.78</v>
      </c>
      <c r="I255" s="452">
        <f>TRUNC(($H255*'4-BDI'!$E$29),2)</f>
        <v>9.9700000000000006</v>
      </c>
      <c r="J255" s="453">
        <f t="shared" si="102"/>
        <v>15.56</v>
      </c>
      <c r="K255" s="454">
        <f t="shared" si="103"/>
        <v>19.940000000000001</v>
      </c>
      <c r="L255" s="187"/>
    </row>
    <row r="256" spans="2:12" s="203" customFormat="1" ht="45">
      <c r="B256" s="458" t="s">
        <v>6387</v>
      </c>
      <c r="C256" s="450">
        <f>QUANT!C989</f>
        <v>89408</v>
      </c>
      <c r="D256" s="450" t="str">
        <f>QUANT!D989</f>
        <v>SINAPI</v>
      </c>
      <c r="E256" s="639" t="str">
        <f>IFERROR(VLOOKUP($C256,'SINAPI MAIO 2020'!$1:$1048576,2,0),IFERROR(VLOOKUP($C256,'6-COMP. PROPRIA'!$B$1:$I$808,4,0),""))</f>
        <v>JOELHO 90 GRAUS, PVC, SOLDÁVEL, DN 25MM, INSTALADO EM RAMAL DE DISTRIBUIÇÃO DE ÁGUA - FORNECIMENTO E INSTALAÇÃO. AF_12/2014</v>
      </c>
      <c r="F256" s="638" t="str">
        <f>IFERROR(VLOOKUP($C256,'SINAPI MAIO 2020'!$1:$1048576,3,0),IFERROR(VLOOKUP($C256,'6-COMP. PROPRIA'!$B$1:$I$808,5,0),""))</f>
        <v>UN</v>
      </c>
      <c r="G256" s="452">
        <f>QUANT!K989</f>
        <v>3</v>
      </c>
      <c r="H256" s="452">
        <f>IFERROR(VLOOKUP($C256,'SINAPI MAIO 2020'!$1:$1048576,4,0),IFERROR(VLOOKUP($C256,'6-COMP. PROPRIA'!$B$1:$I$808,8,0),""))</f>
        <v>4.54</v>
      </c>
      <c r="I256" s="452">
        <f>TRUNC(($H256*'4-BDI'!$E$29),2)</f>
        <v>5.82</v>
      </c>
      <c r="J256" s="453">
        <f t="shared" si="102"/>
        <v>13.62</v>
      </c>
      <c r="K256" s="454">
        <f t="shared" si="103"/>
        <v>17.46</v>
      </c>
      <c r="L256" s="187"/>
    </row>
    <row r="257" spans="2:12" s="203" customFormat="1" ht="30">
      <c r="B257" s="458" t="s">
        <v>6388</v>
      </c>
      <c r="C257" s="450">
        <f>QUANT!C990</f>
        <v>89497</v>
      </c>
      <c r="D257" s="450" t="str">
        <f>QUANT!D990</f>
        <v>SINAPI</v>
      </c>
      <c r="E257" s="639" t="str">
        <f>IFERROR(VLOOKUP($C257,'SINAPI MAIO 2020'!$1:$1048576,2,0),IFERROR(VLOOKUP($C257,'6-COMP. PROPRIA'!$B$1:$I$808,4,0),""))</f>
        <v>JOELHO 90 GRAUS, PVC, SOLDÁVEL, DN 40MM, INSTALADO EM PRUMADA DE ÁGUA - FORNECIMENTO E INSTALAÇÃO. AF_12/2014</v>
      </c>
      <c r="F257" s="638" t="str">
        <f>IFERROR(VLOOKUP($C257,'SINAPI MAIO 2020'!$1:$1048576,3,0),IFERROR(VLOOKUP($C257,'6-COMP. PROPRIA'!$B$1:$I$808,5,0),""))</f>
        <v>UN</v>
      </c>
      <c r="G257" s="452">
        <f>QUANT!K990</f>
        <v>7</v>
      </c>
      <c r="H257" s="452">
        <f>IFERROR(VLOOKUP($C257,'SINAPI MAIO 2020'!$1:$1048576,4,0),IFERROR(VLOOKUP($C257,'6-COMP. PROPRIA'!$B$1:$I$808,8,0),""))</f>
        <v>8.6999999999999993</v>
      </c>
      <c r="I257" s="452">
        <f>TRUNC(($H257*'4-BDI'!$E$29),2)</f>
        <v>11.15</v>
      </c>
      <c r="J257" s="453">
        <f t="shared" si="102"/>
        <v>60.9</v>
      </c>
      <c r="K257" s="454">
        <f t="shared" si="103"/>
        <v>78.05</v>
      </c>
      <c r="L257" s="187"/>
    </row>
    <row r="258" spans="2:12" s="203" customFormat="1" ht="30">
      <c r="B258" s="458" t="s">
        <v>6389</v>
      </c>
      <c r="C258" s="450" t="str">
        <f>QUANT!C991</f>
        <v>CP-HID-2</v>
      </c>
      <c r="D258" s="450" t="str">
        <f>QUANT!D991</f>
        <v>PROPRIA</v>
      </c>
      <c r="E258" s="639" t="str">
        <f>IFERROR(VLOOKUP($C258,'SINAPI MAIO 2020'!$1:$1048576,2,0),IFERROR(VLOOKUP($C258,'6-COMP. PROPRIA'!$B$1:$I$808,4,0),""))</f>
        <v xml:space="preserve">JOELHO DE REDUCAO, PVC SOLDAVEL, 90 GRAUS,  32 MM X 25 MM, PARA AGUA FRIA PREDIAL </v>
      </c>
      <c r="F258" s="638" t="str">
        <f>IFERROR(VLOOKUP($C258,'SINAPI MAIO 2020'!$1:$1048576,3,0),IFERROR(VLOOKUP($C258,'6-COMP. PROPRIA'!$B$1:$I$808,5,0),""))</f>
        <v>UN</v>
      </c>
      <c r="G258" s="452">
        <f>QUANT!K991</f>
        <v>1</v>
      </c>
      <c r="H258" s="452">
        <f>IFERROR(VLOOKUP($C258,'SINAPI MAIO 2020'!$1:$1048576,4,0),IFERROR(VLOOKUP($C258,'6-COMP. PROPRIA'!$B$1:$I$808,8,0),""))</f>
        <v>4.9800000000000004</v>
      </c>
      <c r="I258" s="452">
        <f>TRUNC(($H258*'4-BDI'!$E$29),2)</f>
        <v>6.38</v>
      </c>
      <c r="J258" s="453">
        <f t="shared" si="102"/>
        <v>4.9800000000000004</v>
      </c>
      <c r="K258" s="454">
        <f t="shared" si="103"/>
        <v>6.38</v>
      </c>
      <c r="L258" s="187"/>
    </row>
    <row r="259" spans="2:12" s="203" customFormat="1" ht="30">
      <c r="B259" s="458" t="s">
        <v>6390</v>
      </c>
      <c r="C259" s="450">
        <f>QUANT!C992</f>
        <v>89446</v>
      </c>
      <c r="D259" s="450" t="str">
        <f>QUANT!D992</f>
        <v>SINAPI</v>
      </c>
      <c r="E259" s="639" t="str">
        <f>IFERROR(VLOOKUP($C259,'SINAPI MAIO 2020'!$1:$1048576,2,0),IFERROR(VLOOKUP($C259,'6-COMP. PROPRIA'!$B$1:$I$808,4,0),""))</f>
        <v>TUBO, PVC, SOLDÁVEL, DN 25MM, INSTALADO EM PRUMADA DE ÁGUA - FORNECIMENTO E INSTALAÇÃO. AF_12/2014</v>
      </c>
      <c r="F259" s="638" t="str">
        <f>IFERROR(VLOOKUP($C259,'SINAPI MAIO 2020'!$1:$1048576,3,0),IFERROR(VLOOKUP($C259,'6-COMP. PROPRIA'!$B$1:$I$808,5,0),""))</f>
        <v>M</v>
      </c>
      <c r="G259" s="452">
        <f>QUANT!K992</f>
        <v>27.93</v>
      </c>
      <c r="H259" s="452">
        <f>IFERROR(VLOOKUP($C259,'SINAPI MAIO 2020'!$1:$1048576,4,0),IFERROR(VLOOKUP($C259,'6-COMP. PROPRIA'!$B$1:$I$808,8,0),""))</f>
        <v>3.49</v>
      </c>
      <c r="I259" s="452">
        <f>TRUNC(($H259*'4-BDI'!$E$29),2)</f>
        <v>4.47</v>
      </c>
      <c r="J259" s="453">
        <f t="shared" si="102"/>
        <v>97.47</v>
      </c>
      <c r="K259" s="454">
        <f t="shared" si="103"/>
        <v>124.84</v>
      </c>
      <c r="L259" s="187"/>
    </row>
    <row r="260" spans="2:12" s="203" customFormat="1" ht="30">
      <c r="B260" s="458" t="s">
        <v>6391</v>
      </c>
      <c r="C260" s="450">
        <f>QUANT!C993</f>
        <v>89447</v>
      </c>
      <c r="D260" s="450" t="str">
        <f>QUANT!D993</f>
        <v>SINAPI</v>
      </c>
      <c r="E260" s="639" t="str">
        <f>IFERROR(VLOOKUP($C260,'SINAPI MAIO 2020'!$1:$1048576,2,0),IFERROR(VLOOKUP($C260,'6-COMP. PROPRIA'!$B$1:$I$808,4,0),""))</f>
        <v>TUBO, PVC, SOLDÁVEL, DN 32MM, INSTALADO EM PRUMADA DE ÁGUA - FORNECIMENTO E INSTALAÇÃO. AF_12/2014</v>
      </c>
      <c r="F260" s="638" t="str">
        <f>IFERROR(VLOOKUP($C260,'SINAPI MAIO 2020'!$1:$1048576,3,0),IFERROR(VLOOKUP($C260,'6-COMP. PROPRIA'!$B$1:$I$808,5,0),""))</f>
        <v>M</v>
      </c>
      <c r="G260" s="452">
        <f>QUANT!K993</f>
        <v>0.87</v>
      </c>
      <c r="H260" s="452">
        <f>IFERROR(VLOOKUP($C260,'SINAPI MAIO 2020'!$1:$1048576,4,0),IFERROR(VLOOKUP($C260,'6-COMP. PROPRIA'!$B$1:$I$808,8,0),""))</f>
        <v>7.33</v>
      </c>
      <c r="I260" s="452">
        <f>TRUNC(($H260*'4-BDI'!$E$29),2)</f>
        <v>9.39</v>
      </c>
      <c r="J260" s="453">
        <f t="shared" si="102"/>
        <v>6.37</v>
      </c>
      <c r="K260" s="454">
        <f t="shared" si="103"/>
        <v>8.16</v>
      </c>
      <c r="L260" s="187"/>
    </row>
    <row r="261" spans="2:12" s="203" customFormat="1" ht="30">
      <c r="B261" s="458" t="s">
        <v>6392</v>
      </c>
      <c r="C261" s="450">
        <f>QUANT!C994</f>
        <v>89448</v>
      </c>
      <c r="D261" s="450" t="str">
        <f>QUANT!D994</f>
        <v>SINAPI</v>
      </c>
      <c r="E261" s="639" t="str">
        <f>IFERROR(VLOOKUP($C261,'SINAPI MAIO 2020'!$1:$1048576,2,0),IFERROR(VLOOKUP($C261,'6-COMP. PROPRIA'!$B$1:$I$808,4,0),""))</f>
        <v>TUBO, PVC, SOLDÁVEL, DN 40MM, INSTALADO EM PRUMADA DE ÁGUA - FORNECIMENTO E INSTALAÇÃO. AF_12/2014</v>
      </c>
      <c r="F261" s="638" t="str">
        <f>IFERROR(VLOOKUP($C261,'SINAPI MAIO 2020'!$1:$1048576,3,0),IFERROR(VLOOKUP($C261,'6-COMP. PROPRIA'!$B$1:$I$808,5,0),""))</f>
        <v>M</v>
      </c>
      <c r="G261" s="452">
        <f>QUANT!K994</f>
        <v>12.83</v>
      </c>
      <c r="H261" s="452">
        <f>IFERROR(VLOOKUP($C261,'SINAPI MAIO 2020'!$1:$1048576,4,0),IFERROR(VLOOKUP($C261,'6-COMP. PROPRIA'!$B$1:$I$808,8,0),""))</f>
        <v>10.54</v>
      </c>
      <c r="I261" s="452">
        <f>TRUNC(($H261*'4-BDI'!$E$29),2)</f>
        <v>13.51</v>
      </c>
      <c r="J261" s="453">
        <f t="shared" si="102"/>
        <v>135.22</v>
      </c>
      <c r="K261" s="454">
        <f t="shared" si="103"/>
        <v>173.33</v>
      </c>
      <c r="L261" s="187"/>
    </row>
    <row r="262" spans="2:12" s="203" customFormat="1" ht="30">
      <c r="B262" s="458" t="s">
        <v>6393</v>
      </c>
      <c r="C262" s="450">
        <f>QUANT!C995</f>
        <v>89395</v>
      </c>
      <c r="D262" s="450" t="str">
        <f>QUANT!D995</f>
        <v>SINAPI</v>
      </c>
      <c r="E262" s="639" t="str">
        <f>IFERROR(VLOOKUP($C262,'SINAPI MAIO 2020'!$1:$1048576,2,0),IFERROR(VLOOKUP($C262,'6-COMP. PROPRIA'!$B$1:$I$808,4,0),""))</f>
        <v>TE, PVC, SOLDÁVEL, DN 25MM, INSTALADO EM RAMAL OU SUB-RAMAL DE ÁGUA - FORNECIMENTO E INSTALAÇÃO. AF_12/2014</v>
      </c>
      <c r="F262" s="638" t="str">
        <f>IFERROR(VLOOKUP($C262,'SINAPI MAIO 2020'!$1:$1048576,3,0),IFERROR(VLOOKUP($C262,'6-COMP. PROPRIA'!$B$1:$I$808,5,0),""))</f>
        <v>UN</v>
      </c>
      <c r="G262" s="452">
        <f>QUANT!K995</f>
        <v>3</v>
      </c>
      <c r="H262" s="452">
        <f>IFERROR(VLOOKUP($C262,'SINAPI MAIO 2020'!$1:$1048576,4,0),IFERROR(VLOOKUP($C262,'6-COMP. PROPRIA'!$B$1:$I$808,8,0),""))</f>
        <v>9.1</v>
      </c>
      <c r="I262" s="452">
        <f>TRUNC(($H262*'4-BDI'!$E$29),2)</f>
        <v>11.66</v>
      </c>
      <c r="J262" s="453">
        <f t="shared" si="102"/>
        <v>27.3</v>
      </c>
      <c r="K262" s="454">
        <f t="shared" si="103"/>
        <v>34.979999999999997</v>
      </c>
      <c r="L262" s="187"/>
    </row>
    <row r="263" spans="2:12" s="203" customFormat="1" ht="30">
      <c r="B263" s="458" t="s">
        <v>6394</v>
      </c>
      <c r="C263" s="450">
        <f>QUANT!C996</f>
        <v>89623</v>
      </c>
      <c r="D263" s="450" t="str">
        <f>QUANT!D996</f>
        <v>SINAPI</v>
      </c>
      <c r="E263" s="639" t="str">
        <f>IFERROR(VLOOKUP($C263,'SINAPI MAIO 2020'!$1:$1048576,2,0),IFERROR(VLOOKUP($C263,'6-COMP. PROPRIA'!$B$1:$I$808,4,0),""))</f>
        <v>TE, PVC, SOLDÁVEL, DN 40MM, INSTALADO EM PRUMADA DE ÁGUA - FORNECIMENTO E INSTALAÇÃO. AF_12/2014</v>
      </c>
      <c r="F263" s="638" t="str">
        <f>IFERROR(VLOOKUP($C263,'SINAPI MAIO 2020'!$1:$1048576,3,0),IFERROR(VLOOKUP($C263,'6-COMP. PROPRIA'!$B$1:$I$808,5,0),""))</f>
        <v>UN</v>
      </c>
      <c r="G263" s="452">
        <f>QUANT!K996</f>
        <v>3</v>
      </c>
      <c r="H263" s="452">
        <f>IFERROR(VLOOKUP($C263,'SINAPI MAIO 2020'!$1:$1048576,4,0),IFERROR(VLOOKUP($C263,'6-COMP. PROPRIA'!$B$1:$I$808,8,0),""))</f>
        <v>13.55</v>
      </c>
      <c r="I263" s="452">
        <f>TRUNC(($H263*'4-BDI'!$E$29),2)</f>
        <v>17.37</v>
      </c>
      <c r="J263" s="453">
        <f t="shared" si="102"/>
        <v>40.65</v>
      </c>
      <c r="K263" s="454">
        <f t="shared" si="103"/>
        <v>52.11</v>
      </c>
      <c r="L263" s="187"/>
    </row>
    <row r="264" spans="2:12" s="203" customFormat="1" ht="45">
      <c r="B264" s="458" t="s">
        <v>6395</v>
      </c>
      <c r="C264" s="450">
        <f>QUANT!C997</f>
        <v>89366</v>
      </c>
      <c r="D264" s="450" t="str">
        <f>QUANT!D997</f>
        <v>SINAPI</v>
      </c>
      <c r="E264" s="639" t="str">
        <f>IFERROR(VLOOKUP($C264,'SINAPI MAIO 2020'!$1:$1048576,2,0),IFERROR(VLOOKUP($C264,'6-COMP. PROPRIA'!$B$1:$I$808,4,0),""))</f>
        <v>JOELHO 90 GRAUS COM BUCHA DE LATÃO, PVC, SOLDÁVEL, DN 25MM, X 3/4 INSTALADO EM RAMAL OU SUB-RAMAL DE ÁGUA - FORNECIMENTO E INSTALAÇÃO. AF_12/2014</v>
      </c>
      <c r="F264" s="638" t="str">
        <f>IFERROR(VLOOKUP($C264,'SINAPI MAIO 2020'!$1:$1048576,3,0),IFERROR(VLOOKUP($C264,'6-COMP. PROPRIA'!$B$1:$I$808,5,0),""))</f>
        <v>UN</v>
      </c>
      <c r="G264" s="452">
        <f>QUANT!K997</f>
        <v>3</v>
      </c>
      <c r="H264" s="452">
        <f>IFERROR(VLOOKUP($C264,'SINAPI MAIO 2020'!$1:$1048576,4,0),IFERROR(VLOOKUP($C264,'6-COMP. PROPRIA'!$B$1:$I$808,8,0),""))</f>
        <v>11.43</v>
      </c>
      <c r="I264" s="452">
        <f>TRUNC(($H264*'4-BDI'!$E$29),2)</f>
        <v>14.65</v>
      </c>
      <c r="J264" s="453">
        <f t="shared" si="102"/>
        <v>34.29</v>
      </c>
      <c r="K264" s="454">
        <f t="shared" si="103"/>
        <v>43.95</v>
      </c>
      <c r="L264" s="187"/>
    </row>
    <row r="265" spans="2:12" s="203" customFormat="1" ht="30">
      <c r="B265" s="458" t="s">
        <v>6396</v>
      </c>
      <c r="C265" s="450" t="str">
        <f>QUANT!C998</f>
        <v>CP-HID-7</v>
      </c>
      <c r="D265" s="450" t="str">
        <f>QUANT!D998</f>
        <v>PROPRIA</v>
      </c>
      <c r="E265" s="639" t="str">
        <f>IFERROR(VLOOKUP($C265,'SINAPI MAIO 2020'!$1:$1048576,2,0),IFERROR(VLOOKUP($C265,'6-COMP. PROPRIA'!$B$1:$I$808,4,0),""))</f>
        <v>TE PVC, SOLDAVEL, COM BUCHA DE LATAO NA BOLSA CENTRAL, 90 GRAUS, 25 MM X 1/2", PARA AGUA FRIA PREDIAL</v>
      </c>
      <c r="F265" s="638" t="str">
        <f>IFERROR(VLOOKUP($C265,'SINAPI MAIO 2020'!$1:$1048576,3,0),IFERROR(VLOOKUP($C265,'6-COMP. PROPRIA'!$B$1:$I$808,5,0),""))</f>
        <v>UN</v>
      </c>
      <c r="G265" s="452">
        <f>QUANT!K998</f>
        <v>1</v>
      </c>
      <c r="H265" s="452">
        <f>IFERROR(VLOOKUP($C265,'SINAPI MAIO 2020'!$1:$1048576,4,0),IFERROR(VLOOKUP($C265,'6-COMP. PROPRIA'!$B$1:$I$808,8,0),""))</f>
        <v>17.66</v>
      </c>
      <c r="I265" s="452">
        <f>TRUNC(($H265*'4-BDI'!$E$29),2)</f>
        <v>22.64</v>
      </c>
      <c r="J265" s="453">
        <f t="shared" si="102"/>
        <v>17.66</v>
      </c>
      <c r="K265" s="454">
        <f t="shared" si="103"/>
        <v>22.64</v>
      </c>
      <c r="L265" s="187"/>
    </row>
    <row r="266" spans="2:12" s="203" customFormat="1" ht="30">
      <c r="B266" s="458" t="s">
        <v>6397</v>
      </c>
      <c r="C266" s="450" t="str">
        <f>QUANT!C999</f>
        <v>CP-HID-8</v>
      </c>
      <c r="D266" s="450" t="str">
        <f>QUANT!D999</f>
        <v>PROPRIA</v>
      </c>
      <c r="E266" s="639" t="str">
        <f>IFERROR(VLOOKUP($C266,'SINAPI MAIO 2020'!$1:$1048576,2,0),IFERROR(VLOOKUP($C266,'6-COMP. PROPRIA'!$B$1:$I$808,4,0),""))</f>
        <v>JOELHO DE REDUCAO, PVC, ROSCAVEL COM BUCHA DE LATAO, 90 GRAUS,  25 MM -1/2", PARA AGUA FRIA PREDIAL</v>
      </c>
      <c r="F266" s="638" t="str">
        <f>IFERROR(VLOOKUP($C266,'SINAPI MAIO 2020'!$1:$1048576,3,0),IFERROR(VLOOKUP($C266,'6-COMP. PROPRIA'!$B$1:$I$808,5,0),""))</f>
        <v>UN</v>
      </c>
      <c r="G266" s="452">
        <f>QUANT!K999</f>
        <v>14</v>
      </c>
      <c r="H266" s="452">
        <f>IFERROR(VLOOKUP($C266,'SINAPI MAIO 2020'!$1:$1048576,4,0),IFERROR(VLOOKUP($C266,'6-COMP. PROPRIA'!$B$1:$I$808,8,0),""))</f>
        <v>22.13</v>
      </c>
      <c r="I266" s="452">
        <f>TRUNC(($H266*'4-BDI'!$E$29),2)</f>
        <v>28.37</v>
      </c>
      <c r="J266" s="453">
        <f t="shared" si="102"/>
        <v>309.82</v>
      </c>
      <c r="K266" s="454">
        <f t="shared" si="103"/>
        <v>397.18</v>
      </c>
      <c r="L266" s="187"/>
    </row>
    <row r="267" spans="2:12" s="203" customFormat="1" ht="15.75">
      <c r="B267" s="746" t="s">
        <v>12564</v>
      </c>
      <c r="C267" s="747"/>
      <c r="D267" s="747"/>
      <c r="E267" s="747"/>
      <c r="F267" s="747"/>
      <c r="G267" s="747"/>
      <c r="H267" s="747"/>
      <c r="I267" s="456"/>
      <c r="J267" s="457">
        <f>TRUNC(SUM(J252:J266),2)</f>
        <v>978.57</v>
      </c>
      <c r="K267" s="457">
        <f>TRUNC(SUM(K252:K266),2)</f>
        <v>1254.23</v>
      </c>
      <c r="L267" s="187"/>
    </row>
    <row r="268" spans="2:12" s="203" customFormat="1" ht="15.75">
      <c r="B268" s="482" t="s">
        <v>6431</v>
      </c>
      <c r="C268" s="483"/>
      <c r="D268" s="484"/>
      <c r="E268" s="485" t="str">
        <f>QUANT!E1001</f>
        <v>CAIXA D ÁGUA</v>
      </c>
      <c r="F268" s="486"/>
      <c r="G268" s="487"/>
      <c r="H268" s="488"/>
      <c r="I268" s="488"/>
      <c r="J268" s="489"/>
      <c r="K268" s="457"/>
      <c r="L268" s="187"/>
    </row>
    <row r="269" spans="2:12" s="203" customFormat="1" ht="15">
      <c r="B269" s="458" t="s">
        <v>6432</v>
      </c>
      <c r="C269" s="450" t="str">
        <f>QUANT!C1003</f>
        <v>CP-HID-9</v>
      </c>
      <c r="D269" s="450" t="str">
        <f>QUANT!D1003</f>
        <v>PROPRIA</v>
      </c>
      <c r="E269" s="639" t="str">
        <f>IFERROR(VLOOKUP($C269,'SINAPI MAIO 2020'!$1:$1048576,2,0),IFERROR(VLOOKUP($C269,'6-COMP. PROPRIA'!$B$1:$I$808,4,0),""))</f>
        <v xml:space="preserve">RESERVATÓRIO METÁLICO TUBULAR 20.000 L COM CISTERNA </v>
      </c>
      <c r="F269" s="638" t="str">
        <f>IFERROR(VLOOKUP($C269,'SINAPI MAIO 2020'!$1:$1048576,3,0),IFERROR(VLOOKUP($C269,'6-COMP. PROPRIA'!$B$1:$I$808,5,0),""))</f>
        <v>UNI</v>
      </c>
      <c r="G269" s="452">
        <f>QUANT!K1003</f>
        <v>1</v>
      </c>
      <c r="H269" s="452">
        <f>IFERROR(VLOOKUP($C269,'SINAPI MAIO 2020'!$1:$1048576,4,0),IFERROR(VLOOKUP($C269,'6-COMP. PROPRIA'!$B$1:$I$808,8,0),""))</f>
        <v>42409.560000000005</v>
      </c>
      <c r="I269" s="452">
        <f>TRUNC(($H269*'4-BDI'!$E$29),2)</f>
        <v>54386.01</v>
      </c>
      <c r="J269" s="453">
        <f t="shared" ref="J269" si="104">TRUNC((G269*H269),2)</f>
        <v>42409.56</v>
      </c>
      <c r="K269" s="454">
        <f t="shared" ref="K269" si="105">TRUNC((I269*G269),2)</f>
        <v>54386.01</v>
      </c>
      <c r="L269" s="187"/>
    </row>
    <row r="270" spans="2:12" s="203" customFormat="1" ht="15.75">
      <c r="B270" s="746" t="s">
        <v>12564</v>
      </c>
      <c r="C270" s="747"/>
      <c r="D270" s="747"/>
      <c r="E270" s="747"/>
      <c r="F270" s="747"/>
      <c r="G270" s="747"/>
      <c r="H270" s="747"/>
      <c r="I270" s="456"/>
      <c r="J270" s="457">
        <f>TRUNC(SUM(J269:J269),2)</f>
        <v>42409.56</v>
      </c>
      <c r="K270" s="457">
        <f>TRUNC(SUM(K269:K269),2)</f>
        <v>54386.01</v>
      </c>
      <c r="L270" s="187"/>
    </row>
    <row r="271" spans="2:12" s="203" customFormat="1" ht="15.75">
      <c r="B271" s="746" t="s">
        <v>4710</v>
      </c>
      <c r="C271" s="747"/>
      <c r="D271" s="747"/>
      <c r="E271" s="747"/>
      <c r="F271" s="747"/>
      <c r="G271" s="747"/>
      <c r="H271" s="747"/>
      <c r="I271" s="456"/>
      <c r="J271" s="457">
        <f>TRUNC(SUM(J270+J267+J250+J221),2)</f>
        <v>51129.47</v>
      </c>
      <c r="K271" s="457">
        <f>TRUNC(SUM(K270+K267+K250+K221),2)</f>
        <v>65566.45</v>
      </c>
      <c r="L271" s="187"/>
    </row>
    <row r="272" spans="2:12" ht="15.75">
      <c r="B272" s="440" t="s">
        <v>6398</v>
      </c>
      <c r="C272" s="441"/>
      <c r="D272" s="442"/>
      <c r="E272" s="443" t="str">
        <f>QUANT!E1005</f>
        <v>INSTALAÇÕES SANITÁRIAS</v>
      </c>
      <c r="F272" s="444"/>
      <c r="G272" s="445"/>
      <c r="H272" s="446"/>
      <c r="I272" s="446"/>
      <c r="J272" s="447"/>
      <c r="K272" s="448"/>
      <c r="L272" s="187"/>
    </row>
    <row r="273" spans="2:12" s="201" customFormat="1" ht="15.75">
      <c r="B273" s="482" t="s">
        <v>6399</v>
      </c>
      <c r="C273" s="483"/>
      <c r="D273" s="484"/>
      <c r="E273" s="485" t="str">
        <f>QUANT!E1007</f>
        <v>RASGOS EM PISO</v>
      </c>
      <c r="F273" s="486"/>
      <c r="G273" s="487"/>
      <c r="H273" s="488"/>
      <c r="I273" s="488"/>
      <c r="J273" s="489"/>
      <c r="K273" s="457"/>
      <c r="L273" s="187"/>
    </row>
    <row r="274" spans="2:12" s="203" customFormat="1" ht="15">
      <c r="B274" s="458" t="s">
        <v>6400</v>
      </c>
      <c r="C274" s="450" t="str">
        <f>QUANT!C1008</f>
        <v>CP-DEM-2</v>
      </c>
      <c r="D274" s="450" t="str">
        <f>QUANT!D1008</f>
        <v>PROPRIA</v>
      </c>
      <c r="E274" s="639" t="str">
        <f>IFERROR(VLOOKUP($C274,'SINAPI MAIO 2020'!$1:$1048576,2,0),IFERROR(VLOOKUP($C274,'6-COMP. PROPRIA'!$B$1:$I$808,4,0),""))</f>
        <v>DEMOLIÇÃO DE CONCRETO SIMPLES</v>
      </c>
      <c r="F274" s="638" t="str">
        <f>IFERROR(VLOOKUP($C274,'SINAPI MAIO 2020'!$1:$1048576,3,0),IFERROR(VLOOKUP($C274,'6-COMP. PROPRIA'!$B$1:$I$808,5,0),""))</f>
        <v>M3</v>
      </c>
      <c r="G274" s="452">
        <f>QUANT!K1008</f>
        <v>8.3904000000000006E-2</v>
      </c>
      <c r="H274" s="452">
        <f>IFERROR(VLOOKUP($C274,'SINAPI MAIO 2020'!$1:$1048576,4,0),IFERROR(VLOOKUP($C274,'6-COMP. PROPRIA'!$B$1:$I$808,8,0),""))</f>
        <v>209.89</v>
      </c>
      <c r="I274" s="452">
        <f>TRUNC(($H274*'4-BDI'!$E$29),2)</f>
        <v>269.16000000000003</v>
      </c>
      <c r="J274" s="453">
        <f t="shared" ref="J274" si="106">TRUNC((G274*H274),2)</f>
        <v>17.61</v>
      </c>
      <c r="K274" s="454">
        <f t="shared" ref="K274" si="107">TRUNC((I274*G274),2)</f>
        <v>22.58</v>
      </c>
      <c r="L274" s="187"/>
    </row>
    <row r="275" spans="2:12" s="203" customFormat="1" ht="30">
      <c r="B275" s="458" t="s">
        <v>6401</v>
      </c>
      <c r="C275" s="450">
        <f>QUANT!C1015</f>
        <v>93358</v>
      </c>
      <c r="D275" s="450" t="str">
        <f>QUANT!D1015</f>
        <v>SINAPI</v>
      </c>
      <c r="E275" s="639" t="str">
        <f>IFERROR(VLOOKUP($C275,'SINAPI MAIO 2020'!$1:$1048576,2,0),IFERROR(VLOOKUP($C275,'6-COMP. PROPRIA'!$B$1:$I$808,4,0),""))</f>
        <v>ESCAVAÇÃO MANUAL DE VALA COM PROFUNDIDADE MENOR OU IGUAL A 1,30 M. AF_03/2016</v>
      </c>
      <c r="F275" s="638" t="str">
        <f>IFERROR(VLOOKUP($C275,'SINAPI MAIO 2020'!$1:$1048576,3,0),IFERROR(VLOOKUP($C275,'6-COMP. PROPRIA'!$B$1:$I$808,5,0),""))</f>
        <v>M3</v>
      </c>
      <c r="G275" s="452">
        <f>QUANT!K1015</f>
        <v>4.5869699999999991</v>
      </c>
      <c r="H275" s="452">
        <f>IFERROR(VLOOKUP($C275,'SINAPI MAIO 2020'!$1:$1048576,4,0),IFERROR(VLOOKUP($C275,'6-COMP. PROPRIA'!$B$1:$I$808,8,0),""))</f>
        <v>56.84</v>
      </c>
      <c r="I275" s="452">
        <f>TRUNC(($H275*'4-BDI'!$E$29),2)</f>
        <v>72.89</v>
      </c>
      <c r="J275" s="453">
        <f t="shared" ref="J275:J279" si="108">TRUNC((G275*H275),2)</f>
        <v>260.72000000000003</v>
      </c>
      <c r="K275" s="454">
        <f t="shared" ref="K275:K279" si="109">TRUNC((I275*G275),2)</f>
        <v>334.34</v>
      </c>
      <c r="L275" s="187"/>
    </row>
    <row r="276" spans="2:12" s="203" customFormat="1" ht="15">
      <c r="B276" s="458" t="s">
        <v>6402</v>
      </c>
      <c r="C276" s="450">
        <f>QUANT!C1024</f>
        <v>96995</v>
      </c>
      <c r="D276" s="450" t="str">
        <f>QUANT!D1024</f>
        <v>SINAPI</v>
      </c>
      <c r="E276" s="639" t="str">
        <f>IFERROR(VLOOKUP($C276,'SINAPI MAIO 2020'!$1:$1048576,2,0),IFERROR(VLOOKUP($C276,'6-COMP. PROPRIA'!$B$1:$I$808,4,0),""))</f>
        <v>REATERRO MANUAL APILOADO COM SOQUETE. AF_10/2017</v>
      </c>
      <c r="F276" s="638" t="str">
        <f>IFERROR(VLOOKUP($C276,'SINAPI MAIO 2020'!$1:$1048576,3,0),IFERROR(VLOOKUP($C276,'6-COMP. PROPRIA'!$B$1:$I$808,5,0),""))</f>
        <v>M3</v>
      </c>
      <c r="G276" s="452">
        <f>QUANT!K1024</f>
        <v>0.14884450000000005</v>
      </c>
      <c r="H276" s="452">
        <f>IFERROR(VLOOKUP($C276,'SINAPI MAIO 2020'!$1:$1048576,4,0),IFERROR(VLOOKUP($C276,'6-COMP. PROPRIA'!$B$1:$I$808,8,0),""))</f>
        <v>34.46</v>
      </c>
      <c r="I276" s="452">
        <f>TRUNC(($H276*'4-BDI'!$E$29),2)</f>
        <v>44.19</v>
      </c>
      <c r="J276" s="453">
        <f t="shared" si="108"/>
        <v>5.12</v>
      </c>
      <c r="K276" s="454">
        <f t="shared" si="109"/>
        <v>6.57</v>
      </c>
      <c r="L276" s="187"/>
    </row>
    <row r="277" spans="2:12" s="203" customFormat="1" ht="30">
      <c r="B277" s="458" t="s">
        <v>6403</v>
      </c>
      <c r="C277" s="450">
        <f>QUANT!C1032</f>
        <v>94975</v>
      </c>
      <c r="D277" s="450" t="str">
        <f>QUANT!D1032</f>
        <v>SINAPI</v>
      </c>
      <c r="E277" s="639" t="str">
        <f>IFERROR(VLOOKUP($C277,'SINAPI MAIO 2020'!$1:$1048576,2,0),IFERROR(VLOOKUP($C277,'6-COMP. PROPRIA'!$B$1:$I$808,4,0),""))</f>
        <v>CONCRETO FCK = 15MPA, TRAÇO 1:3,4:3,5 (CIMENTO/ AREIA MÉDIA/ BRITA 1)  - PREPARO MANUAL. AF_07/2016</v>
      </c>
      <c r="F277" s="638" t="str">
        <f>IFERROR(VLOOKUP($C277,'SINAPI MAIO 2020'!$1:$1048576,3,0),IFERROR(VLOOKUP($C277,'6-COMP. PROPRIA'!$B$1:$I$808,5,0),""))</f>
        <v>M3</v>
      </c>
      <c r="G277" s="452">
        <f>QUANT!K1032</f>
        <v>0.27827177400000003</v>
      </c>
      <c r="H277" s="452">
        <f>IFERROR(VLOOKUP($C277,'SINAPI MAIO 2020'!$1:$1048576,4,0),IFERROR(VLOOKUP($C277,'6-COMP. PROPRIA'!$B$1:$I$808,8,0),""))</f>
        <v>378.3</v>
      </c>
      <c r="I277" s="452">
        <f>TRUNC(($H277*'4-BDI'!$E$29),2)</f>
        <v>485.13</v>
      </c>
      <c r="J277" s="453">
        <f t="shared" si="108"/>
        <v>105.27</v>
      </c>
      <c r="K277" s="454">
        <f t="shared" si="109"/>
        <v>134.99</v>
      </c>
      <c r="L277" s="187"/>
    </row>
    <row r="278" spans="2:12" s="203" customFormat="1" ht="15">
      <c r="B278" s="458" t="s">
        <v>6404</v>
      </c>
      <c r="C278" s="450">
        <f>QUANT!C1038</f>
        <v>72897</v>
      </c>
      <c r="D278" s="450" t="str">
        <f>QUANT!D1038</f>
        <v>SINAPI</v>
      </c>
      <c r="E278" s="639" t="str">
        <f>IFERROR(VLOOKUP($C278,'SINAPI MAIO 2020'!$1:$1048576,2,0),IFERROR(VLOOKUP($C278,'6-COMP. PROPRIA'!$B$1:$I$808,4,0),""))</f>
        <v>CARGA MANUAL DE ENTULHO EM CAMINHAO BASCULANTE 6 M3</v>
      </c>
      <c r="F278" s="638" t="str">
        <f>IFERROR(VLOOKUP($C278,'SINAPI MAIO 2020'!$1:$1048576,3,0),IFERROR(VLOOKUP($C278,'6-COMP. PROPRIA'!$B$1:$I$808,5,0),""))</f>
        <v>M3</v>
      </c>
      <c r="G278" s="452">
        <f>QUANT!K1038</f>
        <v>5.8786383499999992</v>
      </c>
      <c r="H278" s="452">
        <f>IFERROR(VLOOKUP($C278,'SINAPI MAIO 2020'!$1:$1048576,4,0),IFERROR(VLOOKUP($C278,'6-COMP. PROPRIA'!$B$1:$I$808,8,0),""))</f>
        <v>17.510000000000002</v>
      </c>
      <c r="I278" s="452">
        <f>TRUNC(($H278*'4-BDI'!$E$29),2)</f>
        <v>22.45</v>
      </c>
      <c r="J278" s="453">
        <f t="shared" si="108"/>
        <v>102.93</v>
      </c>
      <c r="K278" s="454">
        <f t="shared" si="109"/>
        <v>131.97</v>
      </c>
      <c r="L278" s="187"/>
    </row>
    <row r="279" spans="2:12" s="203" customFormat="1" ht="30">
      <c r="B279" s="458" t="s">
        <v>6405</v>
      </c>
      <c r="C279" s="450">
        <f>QUANT!C1042</f>
        <v>97914</v>
      </c>
      <c r="D279" s="450" t="str">
        <f>QUANT!D1042</f>
        <v>SINAPI</v>
      </c>
      <c r="E279" s="639" t="str">
        <f>IFERROR(VLOOKUP($C279,'SINAPI MAIO 2020'!$1:$1048576,2,0),IFERROR(VLOOKUP($C279,'6-COMP. PROPRIA'!$B$1:$I$808,4,0),""))</f>
        <v>TRANSPORTE COM CAMINHÃO BASCULANTE DE 6 M3, EM VIA URBANA PAVIMENTADA, DMT ATÉ 30 KM (UNIDADE: M3XKM). AF_01/2018</v>
      </c>
      <c r="F279" s="638" t="str">
        <f>IFERROR(VLOOKUP($C279,'SINAPI MAIO 2020'!$1:$1048576,3,0),IFERROR(VLOOKUP($C279,'6-COMP. PROPRIA'!$B$1:$I$808,5,0),""))</f>
        <v>M3XKM</v>
      </c>
      <c r="G279" s="452">
        <f>QUANT!K1042</f>
        <v>146.96595874999997</v>
      </c>
      <c r="H279" s="452">
        <f>IFERROR(VLOOKUP($C279,'SINAPI MAIO 2020'!$1:$1048576,4,0),IFERROR(VLOOKUP($C279,'6-COMP. PROPRIA'!$B$1:$I$808,8,0),""))</f>
        <v>1.07</v>
      </c>
      <c r="I279" s="452">
        <f>TRUNC(($H279*'4-BDI'!$E$29),2)</f>
        <v>1.37</v>
      </c>
      <c r="J279" s="453">
        <f t="shared" si="108"/>
        <v>157.25</v>
      </c>
      <c r="K279" s="454">
        <f t="shared" si="109"/>
        <v>201.34</v>
      </c>
      <c r="L279" s="187"/>
    </row>
    <row r="280" spans="2:12" s="203" customFormat="1" ht="15.75">
      <c r="B280" s="746" t="s">
        <v>12564</v>
      </c>
      <c r="C280" s="747"/>
      <c r="D280" s="747"/>
      <c r="E280" s="747"/>
      <c r="F280" s="747"/>
      <c r="G280" s="747"/>
      <c r="H280" s="747"/>
      <c r="I280" s="456"/>
      <c r="J280" s="457">
        <f>TRUNC(SUM(J274:J279),2)</f>
        <v>648.9</v>
      </c>
      <c r="K280" s="457">
        <f>TRUNC(SUM(K274:K279),2)</f>
        <v>831.79</v>
      </c>
      <c r="L280" s="187"/>
    </row>
    <row r="281" spans="2:12" s="201" customFormat="1" ht="15.75">
      <c r="B281" s="482" t="s">
        <v>6406</v>
      </c>
      <c r="C281" s="483"/>
      <c r="D281" s="484"/>
      <c r="E281" s="485" t="str">
        <f>QUANT!E1046</f>
        <v xml:space="preserve">ESGOTO </v>
      </c>
      <c r="F281" s="486"/>
      <c r="G281" s="487"/>
      <c r="H281" s="488"/>
      <c r="I281" s="488"/>
      <c r="J281" s="489"/>
      <c r="K281" s="457"/>
      <c r="L281" s="187"/>
    </row>
    <row r="282" spans="2:12" s="203" customFormat="1" ht="45">
      <c r="B282" s="458" t="s">
        <v>6407</v>
      </c>
      <c r="C282" s="450">
        <f>QUANT!C1048</f>
        <v>97906</v>
      </c>
      <c r="D282" s="450" t="str">
        <f>QUANT!D1048</f>
        <v>SINAPI</v>
      </c>
      <c r="E282" s="639" t="str">
        <f>IFERROR(VLOOKUP($C282,'SINAPI MAIO 2020'!$1:$1048576,2,0),IFERROR(VLOOKUP($C282,'6-COMP. PROPRIA'!$B$1:$I$808,4,0),""))</f>
        <v>CAIXA ENTERRADA HIDRÁULICA RETANGULAR, EM ALVENARIA COM BLOCOS DE CONCRETO, DIMENSÕES INTERNAS: 0,6X0,6X0,6 M PARA REDE DE ESGOTO. AF_05/2018</v>
      </c>
      <c r="F282" s="638" t="str">
        <f>IFERROR(VLOOKUP($C282,'SINAPI MAIO 2020'!$1:$1048576,3,0),IFERROR(VLOOKUP($C282,'6-COMP. PROPRIA'!$B$1:$I$808,5,0),""))</f>
        <v>UN</v>
      </c>
      <c r="G282" s="452">
        <f>QUANT!K1048</f>
        <v>10</v>
      </c>
      <c r="H282" s="452">
        <f>IFERROR(VLOOKUP($C282,'SINAPI MAIO 2020'!$1:$1048576,4,0),IFERROR(VLOOKUP($C282,'6-COMP. PROPRIA'!$B$1:$I$808,8,0),""))</f>
        <v>313.43</v>
      </c>
      <c r="I282" s="452">
        <f>TRUNC(($H282*'4-BDI'!$E$29),2)</f>
        <v>401.94</v>
      </c>
      <c r="J282" s="453">
        <f t="shared" ref="J282" si="110">TRUNC((G282*H282),2)</f>
        <v>3134.3</v>
      </c>
      <c r="K282" s="454">
        <f t="shared" ref="K282" si="111">TRUNC((I282*G282),2)</f>
        <v>4019.4</v>
      </c>
      <c r="L282" s="187"/>
    </row>
    <row r="283" spans="2:12" s="203" customFormat="1" ht="34.5" customHeight="1">
      <c r="B283" s="458" t="s">
        <v>6408</v>
      </c>
      <c r="C283" s="450" t="str">
        <f>QUANT!C1051</f>
        <v>CP-SNT-1</v>
      </c>
      <c r="D283" s="450" t="str">
        <f>QUANT!D1051</f>
        <v>PROPRIA</v>
      </c>
      <c r="E283" s="639" t="str">
        <f>IFERROR(VLOOKUP($C283,'SINAPI MAIO 2020'!$1:$1048576,2,0),IFERROR(VLOOKUP($C283,'6-COMP. PROPRIA'!$B$1:$I$808,4,0),""))</f>
        <v>CAIXA SIFONADA PVC, 150 X 150 X 50 MM, COM GRELHA REDONDA BRANCA</v>
      </c>
      <c r="F283" s="638" t="str">
        <f>IFERROR(VLOOKUP($C283,'SINAPI MAIO 2020'!$1:$1048576,3,0),IFERROR(VLOOKUP($C283,'6-COMP. PROPRIA'!$B$1:$I$808,5,0),""))</f>
        <v>UN</v>
      </c>
      <c r="G283" s="452">
        <f>QUANT!K1051</f>
        <v>7</v>
      </c>
      <c r="H283" s="452">
        <f>IFERROR(VLOOKUP($C283,'SINAPI MAIO 2020'!$1:$1048576,4,0),IFERROR(VLOOKUP($C283,'6-COMP. PROPRIA'!$B$1:$I$808,8,0),""))</f>
        <v>41.45</v>
      </c>
      <c r="I283" s="452">
        <f>TRUNC(($H283*'4-BDI'!$E$29),2)</f>
        <v>53.15</v>
      </c>
      <c r="J283" s="453">
        <f t="shared" ref="J283:J293" si="112">TRUNC((G283*H283),2)</f>
        <v>290.14999999999998</v>
      </c>
      <c r="K283" s="454">
        <f t="shared" ref="K283:K293" si="113">TRUNC((I283*G283),2)</f>
        <v>372.05</v>
      </c>
      <c r="L283" s="187"/>
    </row>
    <row r="284" spans="2:12" s="203" customFormat="1" ht="45">
      <c r="B284" s="458" t="s">
        <v>6409</v>
      </c>
      <c r="C284" s="450">
        <f>QUANT!C1052</f>
        <v>89710</v>
      </c>
      <c r="D284" s="450" t="str">
        <f>QUANT!D1052</f>
        <v>SINAPI</v>
      </c>
      <c r="E284" s="639" t="str">
        <f>IFERROR(VLOOKUP($C284,'SINAPI MAIO 2020'!$1:$1048576,2,0),IFERROR(VLOOKUP($C284,'6-COMP. PROPRIA'!$B$1:$I$808,4,0),""))</f>
        <v>RALO SECO, PVC, DN 100 X 40 MM, JUNTA SOLDÁVEL, FORNECIDO E INSTALADO EM RAMAL DE DESCARGA OU EM RAMAL DE ESGOTO SANITÁRIO. AF_12/2014</v>
      </c>
      <c r="F284" s="638" t="str">
        <f>IFERROR(VLOOKUP($C284,'SINAPI MAIO 2020'!$1:$1048576,3,0),IFERROR(VLOOKUP($C284,'6-COMP. PROPRIA'!$B$1:$I$808,5,0),""))</f>
        <v>UN</v>
      </c>
      <c r="G284" s="452">
        <f>QUANT!K1052</f>
        <v>4</v>
      </c>
      <c r="H284" s="452">
        <f>IFERROR(VLOOKUP($C284,'SINAPI MAIO 2020'!$1:$1048576,4,0),IFERROR(VLOOKUP($C284,'6-COMP. PROPRIA'!$B$1:$I$808,8,0),""))</f>
        <v>8.73</v>
      </c>
      <c r="I284" s="452">
        <f>TRUNC(($H284*'4-BDI'!$E$29),2)</f>
        <v>11.19</v>
      </c>
      <c r="J284" s="453">
        <f t="shared" si="112"/>
        <v>34.92</v>
      </c>
      <c r="K284" s="454">
        <f t="shared" si="113"/>
        <v>44.76</v>
      </c>
      <c r="L284" s="187"/>
    </row>
    <row r="285" spans="2:12" s="203" customFormat="1" ht="45">
      <c r="B285" s="458" t="s">
        <v>6410</v>
      </c>
      <c r="C285" s="450">
        <f>QUANT!C1053</f>
        <v>89728</v>
      </c>
      <c r="D285" s="450" t="str">
        <f>QUANT!D1053</f>
        <v>SINAPI</v>
      </c>
      <c r="E285" s="639" t="str">
        <f>IFERROR(VLOOKUP($C285,'SINAPI MAIO 2020'!$1:$1048576,2,0),IFERROR(VLOOKUP($C285,'6-COMP. PROPRIA'!$B$1:$I$808,4,0),""))</f>
        <v>CURVA CURTA 90 GRAUS, PVC, SERIE NORMAL, ESGOTO PREDIAL, DN 40 MM, JUNTA SOLDÁVEL, FORNECIDO E INSTALADO EM RAMAL DE DESCARGA OU RAMAL DE ESGOTO SANITÁRIO. AF_12/2014</v>
      </c>
      <c r="F285" s="638" t="str">
        <f>IFERROR(VLOOKUP($C285,'SINAPI MAIO 2020'!$1:$1048576,3,0),IFERROR(VLOOKUP($C285,'6-COMP. PROPRIA'!$B$1:$I$808,5,0),""))</f>
        <v>UN</v>
      </c>
      <c r="G285" s="452">
        <f>QUANT!K1053</f>
        <v>13</v>
      </c>
      <c r="H285" s="452">
        <f>IFERROR(VLOOKUP($C285,'SINAPI MAIO 2020'!$1:$1048576,4,0),IFERROR(VLOOKUP($C285,'6-COMP. PROPRIA'!$B$1:$I$808,8,0),""))</f>
        <v>7.98</v>
      </c>
      <c r="I285" s="452">
        <f>TRUNC(($H285*'4-BDI'!$E$29),2)</f>
        <v>10.23</v>
      </c>
      <c r="J285" s="453">
        <f t="shared" si="112"/>
        <v>103.74</v>
      </c>
      <c r="K285" s="454">
        <f t="shared" si="113"/>
        <v>132.99</v>
      </c>
      <c r="L285" s="187"/>
    </row>
    <row r="286" spans="2:12" s="203" customFormat="1" ht="45">
      <c r="B286" s="458" t="s">
        <v>6411</v>
      </c>
      <c r="C286" s="450">
        <f>QUANT!C1054</f>
        <v>89803</v>
      </c>
      <c r="D286" s="450" t="str">
        <f>QUANT!D1054</f>
        <v>SINAPI</v>
      </c>
      <c r="E286" s="639" t="str">
        <f>IFERROR(VLOOKUP($C286,'SINAPI MAIO 2020'!$1:$1048576,2,0),IFERROR(VLOOKUP($C286,'6-COMP. PROPRIA'!$B$1:$I$808,4,0),""))</f>
        <v>CURVA CURTA 90 GRAUS, PVC, SERIE NORMAL, ESGOTO PREDIAL, DN 50 MM, JUNTA ELÁSTICA, FORNECIDO E INSTALADO EM PRUMADA DE ESGOTO SANITÁRIO OU VENTILAÇÃO. AF_12/2014</v>
      </c>
      <c r="F286" s="638" t="str">
        <f>IFERROR(VLOOKUP($C286,'SINAPI MAIO 2020'!$1:$1048576,3,0),IFERROR(VLOOKUP($C286,'6-COMP. PROPRIA'!$B$1:$I$808,5,0),""))</f>
        <v>UN</v>
      </c>
      <c r="G286" s="452">
        <f>QUANT!K1054</f>
        <v>1</v>
      </c>
      <c r="H286" s="452">
        <f>IFERROR(VLOOKUP($C286,'SINAPI MAIO 2020'!$1:$1048576,4,0),IFERROR(VLOOKUP($C286,'6-COMP. PROPRIA'!$B$1:$I$808,8,0),""))</f>
        <v>10.43</v>
      </c>
      <c r="I286" s="452">
        <f>TRUNC(($H286*'4-BDI'!$E$29),2)</f>
        <v>13.37</v>
      </c>
      <c r="J286" s="453">
        <f t="shared" si="112"/>
        <v>10.43</v>
      </c>
      <c r="K286" s="454">
        <f t="shared" si="113"/>
        <v>13.37</v>
      </c>
      <c r="L286" s="187"/>
    </row>
    <row r="287" spans="2:12" s="203" customFormat="1" ht="45">
      <c r="B287" s="458" t="s">
        <v>6412</v>
      </c>
      <c r="C287" s="450">
        <f>QUANT!C1055</f>
        <v>89746</v>
      </c>
      <c r="D287" s="450" t="str">
        <f>QUANT!D1055</f>
        <v>SINAPI</v>
      </c>
      <c r="E287" s="639" t="str">
        <f>IFERROR(VLOOKUP($C287,'SINAPI MAIO 2020'!$1:$1048576,2,0),IFERROR(VLOOKUP($C287,'6-COMP. PROPRIA'!$B$1:$I$808,4,0),""))</f>
        <v>JOELHO 45 GRAUS, PVC, SERIE NORMAL, ESGOTO PREDIAL, DN 100 MM, JUNTA ELÁSTICA, FORNECIDO E INSTALADO EM RAMAL DE DESCARGA OU RAMAL DE ESGOTO SANITÁRIO. AF_12/2014</v>
      </c>
      <c r="F287" s="638" t="str">
        <f>IFERROR(VLOOKUP($C287,'SINAPI MAIO 2020'!$1:$1048576,3,0),IFERROR(VLOOKUP($C287,'6-COMP. PROPRIA'!$B$1:$I$808,5,0),""))</f>
        <v>UN</v>
      </c>
      <c r="G287" s="452">
        <f>QUANT!K1055</f>
        <v>10</v>
      </c>
      <c r="H287" s="452">
        <f>IFERROR(VLOOKUP($C287,'SINAPI MAIO 2020'!$1:$1048576,4,0),IFERROR(VLOOKUP($C287,'6-COMP. PROPRIA'!$B$1:$I$808,8,0),""))</f>
        <v>18.22</v>
      </c>
      <c r="I287" s="452">
        <f>TRUNC(($H287*'4-BDI'!$E$29),2)</f>
        <v>23.36</v>
      </c>
      <c r="J287" s="453">
        <f t="shared" si="112"/>
        <v>182.2</v>
      </c>
      <c r="K287" s="454">
        <f t="shared" si="113"/>
        <v>233.6</v>
      </c>
      <c r="L287" s="187"/>
    </row>
    <row r="288" spans="2:12" s="203" customFormat="1" ht="45">
      <c r="B288" s="458" t="s">
        <v>6413</v>
      </c>
      <c r="C288" s="450">
        <f>QUANT!C1056</f>
        <v>89726</v>
      </c>
      <c r="D288" s="450" t="str">
        <f>QUANT!D1056</f>
        <v>SINAPI</v>
      </c>
      <c r="E288" s="639" t="str">
        <f>IFERROR(VLOOKUP($C288,'SINAPI MAIO 2020'!$1:$1048576,2,0),IFERROR(VLOOKUP($C288,'6-COMP. PROPRIA'!$B$1:$I$808,4,0),""))</f>
        <v>JOELHO 45 GRAUS, PVC, SERIE NORMAL, ESGOTO PREDIAL, DN 40 MM, JUNTA SOLDÁVEL, FORNECIDO E INSTALADO EM RAMAL DE DESCARGA OU RAMAL DE ESGOTO SANITÁRIO. AF_12/2014</v>
      </c>
      <c r="F288" s="638" t="str">
        <f>IFERROR(VLOOKUP($C288,'SINAPI MAIO 2020'!$1:$1048576,3,0),IFERROR(VLOOKUP($C288,'6-COMP. PROPRIA'!$B$1:$I$808,5,0),""))</f>
        <v>UN</v>
      </c>
      <c r="G288" s="452">
        <f>QUANT!K1056</f>
        <v>13</v>
      </c>
      <c r="H288" s="452">
        <f>IFERROR(VLOOKUP($C288,'SINAPI MAIO 2020'!$1:$1048576,4,0),IFERROR(VLOOKUP($C288,'6-COMP. PROPRIA'!$B$1:$I$808,8,0),""))</f>
        <v>5.74</v>
      </c>
      <c r="I288" s="452">
        <f>TRUNC(($H288*'4-BDI'!$E$29),2)</f>
        <v>7.36</v>
      </c>
      <c r="J288" s="453">
        <f t="shared" si="112"/>
        <v>74.62</v>
      </c>
      <c r="K288" s="454">
        <f t="shared" si="113"/>
        <v>95.68</v>
      </c>
      <c r="L288" s="187"/>
    </row>
    <row r="289" spans="2:12" s="203" customFormat="1" ht="45">
      <c r="B289" s="458" t="s">
        <v>6414</v>
      </c>
      <c r="C289" s="450">
        <f>QUANT!C1057</f>
        <v>89732</v>
      </c>
      <c r="D289" s="450" t="str">
        <f>QUANT!D1057</f>
        <v>SINAPI</v>
      </c>
      <c r="E289" s="639" t="str">
        <f>IFERROR(VLOOKUP($C289,'SINAPI MAIO 2020'!$1:$1048576,2,0),IFERROR(VLOOKUP($C289,'6-COMP. PROPRIA'!$B$1:$I$808,4,0),""))</f>
        <v>JOELHO 45 GRAUS, PVC, SERIE NORMAL, ESGOTO PREDIAL, DN 50 MM, JUNTA ELÁSTICA, FORNECIDO E INSTALADO EM RAMAL DE DESCARGA OU RAMAL DE ESGOTO SANITÁRIO. AF_12/2014</v>
      </c>
      <c r="F289" s="638" t="str">
        <f>IFERROR(VLOOKUP($C289,'SINAPI MAIO 2020'!$1:$1048576,3,0),IFERROR(VLOOKUP($C289,'6-COMP. PROPRIA'!$B$1:$I$808,5,0),""))</f>
        <v>UN</v>
      </c>
      <c r="G289" s="452">
        <f>QUANT!K1057</f>
        <v>8</v>
      </c>
      <c r="H289" s="452">
        <f>IFERROR(VLOOKUP($C289,'SINAPI MAIO 2020'!$1:$1048576,4,0),IFERROR(VLOOKUP($C289,'6-COMP. PROPRIA'!$B$1:$I$808,8,0),""))</f>
        <v>8.7100000000000009</v>
      </c>
      <c r="I289" s="452">
        <f>TRUNC(($H289*'4-BDI'!$E$29),2)</f>
        <v>11.16</v>
      </c>
      <c r="J289" s="453">
        <f t="shared" si="112"/>
        <v>69.680000000000007</v>
      </c>
      <c r="K289" s="454">
        <f t="shared" si="113"/>
        <v>89.28</v>
      </c>
      <c r="L289" s="187"/>
    </row>
    <row r="290" spans="2:12" s="203" customFormat="1" ht="45">
      <c r="B290" s="458" t="s">
        <v>6415</v>
      </c>
      <c r="C290" s="450">
        <f>QUANT!C1058</f>
        <v>89744</v>
      </c>
      <c r="D290" s="450" t="str">
        <f>QUANT!D1058</f>
        <v>SINAPI</v>
      </c>
      <c r="E290" s="639" t="str">
        <f>IFERROR(VLOOKUP($C290,'SINAPI MAIO 2020'!$1:$1048576,2,0),IFERROR(VLOOKUP($C290,'6-COMP. PROPRIA'!$B$1:$I$808,4,0),""))</f>
        <v>JOELHO 90 GRAUS, PVC, SERIE NORMAL, ESGOTO PREDIAL, DN 100 MM, JUNTA ELÁSTICA, FORNECIDO E INSTALADO EM RAMAL DE DESCARGA OU RAMAL DE ESGOTO SANITÁRIO. AF_12/2014</v>
      </c>
      <c r="F290" s="638" t="str">
        <f>IFERROR(VLOOKUP($C290,'SINAPI MAIO 2020'!$1:$1048576,3,0),IFERROR(VLOOKUP($C290,'6-COMP. PROPRIA'!$B$1:$I$808,5,0),""))</f>
        <v>UN</v>
      </c>
      <c r="G290" s="452">
        <f>QUANT!K1058</f>
        <v>9</v>
      </c>
      <c r="H290" s="452">
        <f>IFERROR(VLOOKUP($C290,'SINAPI MAIO 2020'!$1:$1048576,4,0),IFERROR(VLOOKUP($C290,'6-COMP. PROPRIA'!$B$1:$I$808,8,0),""))</f>
        <v>18.260000000000002</v>
      </c>
      <c r="I290" s="452">
        <f>TRUNC(($H290*'4-BDI'!$E$29),2)</f>
        <v>23.41</v>
      </c>
      <c r="J290" s="453">
        <f t="shared" si="112"/>
        <v>164.34</v>
      </c>
      <c r="K290" s="454">
        <f t="shared" si="113"/>
        <v>210.69</v>
      </c>
      <c r="L290" s="187"/>
    </row>
    <row r="291" spans="2:12" s="203" customFormat="1" ht="45">
      <c r="B291" s="458" t="s">
        <v>6416</v>
      </c>
      <c r="C291" s="450">
        <f>QUANT!C1059</f>
        <v>89731</v>
      </c>
      <c r="D291" s="450" t="str">
        <f>QUANT!D1059</f>
        <v>SINAPI</v>
      </c>
      <c r="E291" s="639" t="str">
        <f>IFERROR(VLOOKUP($C291,'SINAPI MAIO 2020'!$1:$1048576,2,0),IFERROR(VLOOKUP($C291,'6-COMP. PROPRIA'!$B$1:$I$808,4,0),""))</f>
        <v>JOELHO 90 GRAUS, PVC, SERIE NORMAL, ESGOTO PREDIAL, DN 50 MM, JUNTA ELÁSTICA, FORNECIDO E INSTALADO EM RAMAL DE DESCARGA OU RAMAL DE ESGOTO SANITÁRIO. AF_12/2014</v>
      </c>
      <c r="F291" s="638" t="str">
        <f>IFERROR(VLOOKUP($C291,'SINAPI MAIO 2020'!$1:$1048576,3,0),IFERROR(VLOOKUP($C291,'6-COMP. PROPRIA'!$B$1:$I$808,5,0),""))</f>
        <v>UN</v>
      </c>
      <c r="G291" s="452">
        <f>QUANT!K1059</f>
        <v>1</v>
      </c>
      <c r="H291" s="452">
        <f>IFERROR(VLOOKUP($C291,'SINAPI MAIO 2020'!$1:$1048576,4,0),IFERROR(VLOOKUP($C291,'6-COMP. PROPRIA'!$B$1:$I$808,8,0),""))</f>
        <v>8.2799999999999994</v>
      </c>
      <c r="I291" s="452">
        <f>TRUNC(($H291*'4-BDI'!$E$29),2)</f>
        <v>10.61</v>
      </c>
      <c r="J291" s="453">
        <f t="shared" si="112"/>
        <v>8.2799999999999994</v>
      </c>
      <c r="K291" s="454">
        <f t="shared" si="113"/>
        <v>10.61</v>
      </c>
      <c r="L291" s="187"/>
    </row>
    <row r="292" spans="2:12" s="203" customFormat="1" ht="15">
      <c r="B292" s="458" t="s">
        <v>6417</v>
      </c>
      <c r="C292" s="450" t="str">
        <f>QUANT!C1060</f>
        <v>CP-SNT-2</v>
      </c>
      <c r="D292" s="450" t="str">
        <f>QUANT!D1060</f>
        <v>PROPRIA</v>
      </c>
      <c r="E292" s="639" t="str">
        <f>IFERROR(VLOOKUP($C292,'SINAPI MAIO 2020'!$1:$1048576,2,0),IFERROR(VLOOKUP($C292,'6-COMP. PROPRIA'!$B$1:$I$808,4,0),""))</f>
        <v>JUNÇÃO PVC SIMPLES 100MM-50MM - FORNECIMENTO E INSTALAÇÃO</v>
      </c>
      <c r="F292" s="638" t="str">
        <f>IFERROR(VLOOKUP($C292,'SINAPI MAIO 2020'!$1:$1048576,3,0),IFERROR(VLOOKUP($C292,'6-COMP. PROPRIA'!$B$1:$I$808,5,0),""))</f>
        <v>UN</v>
      </c>
      <c r="G292" s="452">
        <f>QUANT!K1060</f>
        <v>7</v>
      </c>
      <c r="H292" s="452">
        <f>IFERROR(VLOOKUP($C292,'SINAPI MAIO 2020'!$1:$1048576,4,0),IFERROR(VLOOKUP($C292,'6-COMP. PROPRIA'!$B$1:$I$808,8,0),""))</f>
        <v>31.54</v>
      </c>
      <c r="I292" s="452">
        <f>TRUNC(($H292*'4-BDI'!$E$29),2)</f>
        <v>40.44</v>
      </c>
      <c r="J292" s="453">
        <f t="shared" si="112"/>
        <v>220.78</v>
      </c>
      <c r="K292" s="454">
        <f t="shared" si="113"/>
        <v>283.08</v>
      </c>
      <c r="L292" s="187"/>
    </row>
    <row r="293" spans="2:12" s="203" customFormat="1" ht="45">
      <c r="B293" s="458" t="s">
        <v>6418</v>
      </c>
      <c r="C293" s="450">
        <f>QUANT!C1061</f>
        <v>89834</v>
      </c>
      <c r="D293" s="450" t="str">
        <f>QUANT!D1061</f>
        <v>SINAPI</v>
      </c>
      <c r="E293" s="639" t="str">
        <f>IFERROR(VLOOKUP($C293,'SINAPI MAIO 2020'!$1:$1048576,2,0),IFERROR(VLOOKUP($C293,'6-COMP. PROPRIA'!$B$1:$I$808,4,0),""))</f>
        <v>JUNÇÃO SIMPLES, PVC, SERIE NORMAL, ESGOTO PREDIAL, DN 100 X 100 MM, JUNTA ELÁSTICA, FORNECIDO E INSTALADO EM PRUMADA DE ESGOTO SANITÁRIO OU VENTILAÇÃO. AF_12/2014</v>
      </c>
      <c r="F293" s="638" t="str">
        <f>IFERROR(VLOOKUP($C293,'SINAPI MAIO 2020'!$1:$1048576,3,0),IFERROR(VLOOKUP($C293,'6-COMP. PROPRIA'!$B$1:$I$808,5,0),""))</f>
        <v>UN</v>
      </c>
      <c r="G293" s="452">
        <f>QUANT!K1061</f>
        <v>4</v>
      </c>
      <c r="H293" s="452">
        <f>IFERROR(VLOOKUP($C293,'SINAPI MAIO 2020'!$1:$1048576,4,0),IFERROR(VLOOKUP($C293,'6-COMP. PROPRIA'!$B$1:$I$808,8,0),""))</f>
        <v>29.23</v>
      </c>
      <c r="I293" s="452">
        <f>TRUNC(($H293*'4-BDI'!$E$29),2)</f>
        <v>37.479999999999997</v>
      </c>
      <c r="J293" s="453">
        <f t="shared" si="112"/>
        <v>116.92</v>
      </c>
      <c r="K293" s="454">
        <f t="shared" si="113"/>
        <v>149.91999999999999</v>
      </c>
      <c r="L293" s="187"/>
    </row>
    <row r="294" spans="2:12" s="203" customFormat="1" ht="45">
      <c r="B294" s="458" t="s">
        <v>6419</v>
      </c>
      <c r="C294" s="450">
        <f>QUANT!C1062</f>
        <v>89714</v>
      </c>
      <c r="D294" s="450" t="str">
        <f>QUANT!D1062</f>
        <v>SINAPI</v>
      </c>
      <c r="E294" s="639" t="str">
        <f>IFERROR(VLOOKUP($C294,'SINAPI MAIO 2020'!$1:$1048576,2,0),IFERROR(VLOOKUP($C294,'6-COMP. PROPRIA'!$B$1:$I$808,4,0),""))</f>
        <v>TUBO PVC, SERIE NORMAL, ESGOTO PREDIAL, DN 100 MM, FORNECIDO E INSTALADO EM RAMAL DE DESCARGA OU RAMAL DE ESGOTO SANITÁRIO. AF_12/2014</v>
      </c>
      <c r="F294" s="638" t="str">
        <f>IFERROR(VLOOKUP($C294,'SINAPI MAIO 2020'!$1:$1048576,3,0),IFERROR(VLOOKUP($C294,'6-COMP. PROPRIA'!$B$1:$I$808,5,0),""))</f>
        <v>M</v>
      </c>
      <c r="G294" s="452">
        <f>QUANT!K1062</f>
        <v>108.98</v>
      </c>
      <c r="H294" s="452">
        <f>IFERROR(VLOOKUP($C294,'SINAPI MAIO 2020'!$1:$1048576,4,0),IFERROR(VLOOKUP($C294,'6-COMP. PROPRIA'!$B$1:$I$808,8,0),""))</f>
        <v>41.47</v>
      </c>
      <c r="I294" s="452">
        <f>TRUNC(($H294*'4-BDI'!$E$29),2)</f>
        <v>53.18</v>
      </c>
      <c r="J294" s="453">
        <f t="shared" ref="J294:J298" si="114">TRUNC((G294*H294),2)</f>
        <v>4519.3999999999996</v>
      </c>
      <c r="K294" s="454">
        <f t="shared" ref="K294:K298" si="115">TRUNC((I294*G294),2)</f>
        <v>5795.55</v>
      </c>
      <c r="L294" s="187"/>
    </row>
    <row r="295" spans="2:12" s="203" customFormat="1" ht="45">
      <c r="B295" s="458" t="s">
        <v>6420</v>
      </c>
      <c r="C295" s="450">
        <f>QUANT!C1063</f>
        <v>89849</v>
      </c>
      <c r="D295" s="450" t="str">
        <f>QUANT!D1063</f>
        <v>SINAPI</v>
      </c>
      <c r="E295" s="639" t="str">
        <f>IFERROR(VLOOKUP($C295,'SINAPI MAIO 2020'!$1:$1048576,2,0),IFERROR(VLOOKUP($C295,'6-COMP. PROPRIA'!$B$1:$I$808,4,0),""))</f>
        <v>TUBO PVC, SERIE NORMAL, ESGOTO PREDIAL, DN 150 MM, FORNECIDO E INSTALADO EM SUBCOLETOR AÉREO DE ESGOTO SANITÁRIO. AF_12/2014</v>
      </c>
      <c r="F295" s="638" t="str">
        <f>IFERROR(VLOOKUP($C295,'SINAPI MAIO 2020'!$1:$1048576,3,0),IFERROR(VLOOKUP($C295,'6-COMP. PROPRIA'!$B$1:$I$808,5,0),""))</f>
        <v>M</v>
      </c>
      <c r="G295" s="452">
        <f>QUANT!K1063</f>
        <v>5</v>
      </c>
      <c r="H295" s="452">
        <f>IFERROR(VLOOKUP($C295,'SINAPI MAIO 2020'!$1:$1048576,4,0),IFERROR(VLOOKUP($C295,'6-COMP. PROPRIA'!$B$1:$I$808,8,0),""))</f>
        <v>42.3</v>
      </c>
      <c r="I295" s="452">
        <f>TRUNC(($H295*'4-BDI'!$E$29),2)</f>
        <v>54.24</v>
      </c>
      <c r="J295" s="453">
        <f t="shared" si="114"/>
        <v>211.5</v>
      </c>
      <c r="K295" s="454">
        <f t="shared" si="115"/>
        <v>271.2</v>
      </c>
      <c r="L295" s="187"/>
    </row>
    <row r="296" spans="2:12" s="203" customFormat="1" ht="45">
      <c r="B296" s="458" t="s">
        <v>6421</v>
      </c>
      <c r="C296" s="450">
        <f>QUANT!C1064</f>
        <v>89711</v>
      </c>
      <c r="D296" s="450" t="str">
        <f>QUANT!D1064</f>
        <v>SINAPI</v>
      </c>
      <c r="E296" s="639" t="str">
        <f>IFERROR(VLOOKUP($C296,'SINAPI MAIO 2020'!$1:$1048576,2,0),IFERROR(VLOOKUP($C296,'6-COMP. PROPRIA'!$B$1:$I$808,4,0),""))</f>
        <v>TUBO PVC, SERIE NORMAL, ESGOTO PREDIAL, DN 40 MM, FORNECIDO E INSTALADO EM RAMAL DE DESCARGA OU RAMAL DE ESGOTO SANITÁRIO. AF_12/2014</v>
      </c>
      <c r="F296" s="638" t="str">
        <f>IFERROR(VLOOKUP($C296,'SINAPI MAIO 2020'!$1:$1048576,3,0),IFERROR(VLOOKUP($C296,'6-COMP. PROPRIA'!$B$1:$I$808,5,0),""))</f>
        <v>M</v>
      </c>
      <c r="G296" s="452">
        <f>QUANT!K1064</f>
        <v>26.23</v>
      </c>
      <c r="H296" s="452">
        <f>IFERROR(VLOOKUP($C296,'SINAPI MAIO 2020'!$1:$1048576,4,0),IFERROR(VLOOKUP($C296,'6-COMP. PROPRIA'!$B$1:$I$808,8,0),""))</f>
        <v>13.49</v>
      </c>
      <c r="I296" s="452">
        <f>TRUNC(($H296*'4-BDI'!$E$29),2)</f>
        <v>17.29</v>
      </c>
      <c r="J296" s="453">
        <f t="shared" si="114"/>
        <v>353.84</v>
      </c>
      <c r="K296" s="454">
        <f t="shared" si="115"/>
        <v>453.51</v>
      </c>
      <c r="L296" s="187"/>
    </row>
    <row r="297" spans="2:12" s="203" customFormat="1" ht="45">
      <c r="B297" s="458" t="s">
        <v>6422</v>
      </c>
      <c r="C297" s="450">
        <f>QUANT!C1065</f>
        <v>89712</v>
      </c>
      <c r="D297" s="450" t="str">
        <f>QUANT!D1065</f>
        <v>SINAPI</v>
      </c>
      <c r="E297" s="639" t="str">
        <f>IFERROR(VLOOKUP($C297,'SINAPI MAIO 2020'!$1:$1048576,2,0),IFERROR(VLOOKUP($C297,'6-COMP. PROPRIA'!$B$1:$I$808,4,0),""))</f>
        <v>TUBO PVC, SERIE NORMAL, ESGOTO PREDIAL, DN 50 MM, FORNECIDO E INSTALADO EM RAMAL DE DESCARGA OU RAMAL DE ESGOTO SANITÁRIO. AF_12/2014</v>
      </c>
      <c r="F297" s="638" t="str">
        <f>IFERROR(VLOOKUP($C297,'SINAPI MAIO 2020'!$1:$1048576,3,0),IFERROR(VLOOKUP($C297,'6-COMP. PROPRIA'!$B$1:$I$808,5,0),""))</f>
        <v>M</v>
      </c>
      <c r="G297" s="452">
        <f>QUANT!K1065</f>
        <v>6.72</v>
      </c>
      <c r="H297" s="452">
        <f>IFERROR(VLOOKUP($C297,'SINAPI MAIO 2020'!$1:$1048576,4,0),IFERROR(VLOOKUP($C297,'6-COMP. PROPRIA'!$B$1:$I$808,8,0),""))</f>
        <v>20.74</v>
      </c>
      <c r="I297" s="452">
        <f>TRUNC(($H297*'4-BDI'!$E$29),2)</f>
        <v>26.59</v>
      </c>
      <c r="J297" s="453">
        <f t="shared" si="114"/>
        <v>139.37</v>
      </c>
      <c r="K297" s="454">
        <f t="shared" si="115"/>
        <v>178.68</v>
      </c>
      <c r="L297" s="187"/>
    </row>
    <row r="298" spans="2:12" s="203" customFormat="1" ht="45">
      <c r="B298" s="458" t="s">
        <v>6423</v>
      </c>
      <c r="C298" s="470">
        <f>QUANT!C1066</f>
        <v>89782</v>
      </c>
      <c r="D298" s="470" t="str">
        <f>QUANT!D1066</f>
        <v>SINAPI</v>
      </c>
      <c r="E298" s="639" t="str">
        <f>IFERROR(VLOOKUP($C298,'SINAPI MAIO 2020'!$1:$1048576,2,0),IFERROR(VLOOKUP($C298,'6-COMP. PROPRIA'!$B$1:$I$808,4,0),""))</f>
        <v>TE, PVC, SERIE NORMAL, ESGOTO PREDIAL, DN 40 X 40 MM, JUNTA SOLDÁVEL, FORNECIDO E INSTALADO EM RAMAL DE DESCARGA OU RAMAL DE ESGOTO SANITÁRIO. AF_12/2014</v>
      </c>
      <c r="F298" s="638" t="str">
        <f>IFERROR(VLOOKUP($C298,'SINAPI MAIO 2020'!$1:$1048576,3,0),IFERROR(VLOOKUP($C298,'6-COMP. PROPRIA'!$B$1:$I$808,5,0),""))</f>
        <v>UN</v>
      </c>
      <c r="G298" s="452">
        <f>QUANT!K1066</f>
        <v>4</v>
      </c>
      <c r="H298" s="452">
        <f>IFERROR(VLOOKUP($C298,'SINAPI MAIO 2020'!$1:$1048576,4,0),IFERROR(VLOOKUP($C298,'6-COMP. PROPRIA'!$B$1:$I$808,8,0),""))</f>
        <v>9.07</v>
      </c>
      <c r="I298" s="452">
        <f>TRUNC(($H298*'4-BDI'!$E$29),2)</f>
        <v>11.63</v>
      </c>
      <c r="J298" s="453">
        <f t="shared" si="114"/>
        <v>36.28</v>
      </c>
      <c r="K298" s="454">
        <f t="shared" si="115"/>
        <v>46.52</v>
      </c>
      <c r="L298" s="187"/>
    </row>
    <row r="299" spans="2:12" s="203" customFormat="1" ht="15.75">
      <c r="B299" s="746" t="s">
        <v>12564</v>
      </c>
      <c r="C299" s="747"/>
      <c r="D299" s="747"/>
      <c r="E299" s="747"/>
      <c r="F299" s="747"/>
      <c r="G299" s="747"/>
      <c r="H299" s="747"/>
      <c r="I299" s="456"/>
      <c r="J299" s="457">
        <f>TRUNC(SUM(J282:J298),2)</f>
        <v>9670.75</v>
      </c>
      <c r="K299" s="457">
        <f>TRUNC(SUM(K282:K298),2)</f>
        <v>12400.89</v>
      </c>
      <c r="L299" s="187"/>
    </row>
    <row r="300" spans="2:12" s="201" customFormat="1" ht="15.75">
      <c r="B300" s="482" t="s">
        <v>6424</v>
      </c>
      <c r="C300" s="483"/>
      <c r="D300" s="484"/>
      <c r="E300" s="485" t="str">
        <f>QUANT!E1068</f>
        <v>VENTILAÇÃO</v>
      </c>
      <c r="F300" s="486"/>
      <c r="G300" s="487"/>
      <c r="H300" s="488"/>
      <c r="I300" s="488"/>
      <c r="J300" s="489"/>
      <c r="K300" s="457"/>
      <c r="L300" s="187"/>
    </row>
    <row r="301" spans="2:12" s="203" customFormat="1" ht="45">
      <c r="B301" s="458" t="s">
        <v>6425</v>
      </c>
      <c r="C301" s="450">
        <f>QUANT!C1070</f>
        <v>89732</v>
      </c>
      <c r="D301" s="450" t="str">
        <f>QUANT!D1070</f>
        <v>SINAPI</v>
      </c>
      <c r="E301" s="639" t="str">
        <f>IFERROR(VLOOKUP($C301,'SINAPI MAIO 2020'!$1:$1048576,2,0),IFERROR(VLOOKUP($C301,'6-COMP. PROPRIA'!$B$1:$I$808,4,0),""))</f>
        <v>JOELHO 45 GRAUS, PVC, SERIE NORMAL, ESGOTO PREDIAL, DN 50 MM, JUNTA ELÁSTICA, FORNECIDO E INSTALADO EM RAMAL DE DESCARGA OU RAMAL DE ESGOTO SANITÁRIO. AF_12/2014</v>
      </c>
      <c r="F301" s="638" t="str">
        <f>IFERROR(VLOOKUP($C301,'SINAPI MAIO 2020'!$1:$1048576,3,0),IFERROR(VLOOKUP($C301,'6-COMP. PROPRIA'!$B$1:$I$808,5,0),""))</f>
        <v>UN</v>
      </c>
      <c r="G301" s="452">
        <f>QUANT!K1070</f>
        <v>5</v>
      </c>
      <c r="H301" s="452">
        <f>IFERROR(VLOOKUP($C301,'SINAPI MAIO 2020'!$1:$1048576,4,0),IFERROR(VLOOKUP($C301,'6-COMP. PROPRIA'!$B$1:$I$808,8,0),""))</f>
        <v>8.7100000000000009</v>
      </c>
      <c r="I301" s="452">
        <f>TRUNC(($H301*'4-BDI'!$E$29),2)</f>
        <v>11.16</v>
      </c>
      <c r="J301" s="453">
        <f t="shared" ref="J301" si="116">TRUNC((G301*H301),2)</f>
        <v>43.55</v>
      </c>
      <c r="K301" s="454">
        <f t="shared" ref="K301" si="117">TRUNC((I301*G301),2)</f>
        <v>55.8</v>
      </c>
      <c r="L301" s="187"/>
    </row>
    <row r="302" spans="2:12" s="203" customFormat="1" ht="45">
      <c r="B302" s="458" t="s">
        <v>6426</v>
      </c>
      <c r="C302" s="450">
        <f>QUANT!C1071</f>
        <v>89731</v>
      </c>
      <c r="D302" s="450" t="str">
        <f>QUANT!D1071</f>
        <v>SINAPI</v>
      </c>
      <c r="E302" s="639" t="str">
        <f>IFERROR(VLOOKUP($C302,'SINAPI MAIO 2020'!$1:$1048576,2,0),IFERROR(VLOOKUP($C302,'6-COMP. PROPRIA'!$B$1:$I$808,4,0),""))</f>
        <v>JOELHO 90 GRAUS, PVC, SERIE NORMAL, ESGOTO PREDIAL, DN 50 MM, JUNTA ELÁSTICA, FORNECIDO E INSTALADO EM RAMAL DE DESCARGA OU RAMAL DE ESGOTO SANITÁRIO. AF_12/2014</v>
      </c>
      <c r="F302" s="638" t="str">
        <f>IFERROR(VLOOKUP($C302,'SINAPI MAIO 2020'!$1:$1048576,3,0),IFERROR(VLOOKUP($C302,'6-COMP. PROPRIA'!$B$1:$I$808,5,0),""))</f>
        <v>UN</v>
      </c>
      <c r="G302" s="452">
        <f>QUANT!K1071</f>
        <v>14</v>
      </c>
      <c r="H302" s="452">
        <f>IFERROR(VLOOKUP($C302,'SINAPI MAIO 2020'!$1:$1048576,4,0),IFERROR(VLOOKUP($C302,'6-COMP. PROPRIA'!$B$1:$I$808,8,0),""))</f>
        <v>8.2799999999999994</v>
      </c>
      <c r="I302" s="452">
        <f>TRUNC(($H302*'4-BDI'!$E$29),2)</f>
        <v>10.61</v>
      </c>
      <c r="J302" s="453">
        <f t="shared" ref="J302:J304" si="118">TRUNC((G302*H302),2)</f>
        <v>115.92</v>
      </c>
      <c r="K302" s="454">
        <f t="shared" ref="K302:K304" si="119">TRUNC((I302*G302),2)</f>
        <v>148.54</v>
      </c>
      <c r="L302" s="187"/>
    </row>
    <row r="303" spans="2:12" s="203" customFormat="1" ht="45">
      <c r="B303" s="458" t="s">
        <v>6427</v>
      </c>
      <c r="C303" s="450">
        <f>QUANT!C1072</f>
        <v>89712</v>
      </c>
      <c r="D303" s="450" t="str">
        <f>QUANT!D1072</f>
        <v>SINAPI</v>
      </c>
      <c r="E303" s="639" t="str">
        <f>IFERROR(VLOOKUP($C303,'SINAPI MAIO 2020'!$1:$1048576,2,0),IFERROR(VLOOKUP($C303,'6-COMP. PROPRIA'!$B$1:$I$808,4,0),""))</f>
        <v>TUBO PVC, SERIE NORMAL, ESGOTO PREDIAL, DN 50 MM, FORNECIDO E INSTALADO EM RAMAL DE DESCARGA OU RAMAL DE ESGOTO SANITÁRIO. AF_12/2014</v>
      </c>
      <c r="F303" s="638" t="str">
        <f>IFERROR(VLOOKUP($C303,'SINAPI MAIO 2020'!$1:$1048576,3,0),IFERROR(VLOOKUP($C303,'6-COMP. PROPRIA'!$B$1:$I$808,5,0),""))</f>
        <v>M</v>
      </c>
      <c r="G303" s="452">
        <f>QUANT!K1072</f>
        <v>27.38</v>
      </c>
      <c r="H303" s="452">
        <f>IFERROR(VLOOKUP($C303,'SINAPI MAIO 2020'!$1:$1048576,4,0),IFERROR(VLOOKUP($C303,'6-COMP. PROPRIA'!$B$1:$I$808,8,0),""))</f>
        <v>20.74</v>
      </c>
      <c r="I303" s="452">
        <f>TRUNC(($H303*'4-BDI'!$E$29),2)</f>
        <v>26.59</v>
      </c>
      <c r="J303" s="453">
        <f t="shared" si="118"/>
        <v>567.86</v>
      </c>
      <c r="K303" s="454">
        <f t="shared" si="119"/>
        <v>728.03</v>
      </c>
      <c r="L303" s="187"/>
    </row>
    <row r="304" spans="2:12" s="203" customFormat="1" ht="45">
      <c r="B304" s="458" t="s">
        <v>6428</v>
      </c>
      <c r="C304" s="450">
        <f>QUANT!C1073</f>
        <v>89784</v>
      </c>
      <c r="D304" s="450" t="str">
        <f>QUANT!D1073</f>
        <v>SINAPI</v>
      </c>
      <c r="E304" s="639" t="str">
        <f>IFERROR(VLOOKUP($C304,'SINAPI MAIO 2020'!$1:$1048576,2,0),IFERROR(VLOOKUP($C304,'6-COMP. PROPRIA'!$B$1:$I$808,4,0),""))</f>
        <v>TE, PVC, SERIE NORMAL, ESGOTO PREDIAL, DN 50 X 50 MM, JUNTA ELÁSTICA, FORNECIDO E INSTALADO EM RAMAL DE DESCARGA OU RAMAL DE ESGOTO SANITÁRIO. AF_12/2014</v>
      </c>
      <c r="F304" s="638" t="str">
        <f>IFERROR(VLOOKUP($C304,'SINAPI MAIO 2020'!$1:$1048576,3,0),IFERROR(VLOOKUP($C304,'6-COMP. PROPRIA'!$B$1:$I$808,5,0),""))</f>
        <v>UN</v>
      </c>
      <c r="G304" s="452">
        <f>QUANT!K1073</f>
        <v>7</v>
      </c>
      <c r="H304" s="452">
        <f>IFERROR(VLOOKUP($C304,'SINAPI MAIO 2020'!$1:$1048576,4,0),IFERROR(VLOOKUP($C304,'6-COMP. PROPRIA'!$B$1:$I$808,8,0),""))</f>
        <v>15.14</v>
      </c>
      <c r="I304" s="452">
        <f>TRUNC(($H304*'4-BDI'!$E$29),2)</f>
        <v>19.41</v>
      </c>
      <c r="J304" s="453">
        <f t="shared" si="118"/>
        <v>105.98</v>
      </c>
      <c r="K304" s="454">
        <f t="shared" si="119"/>
        <v>135.87</v>
      </c>
      <c r="L304" s="187"/>
    </row>
    <row r="305" spans="2:12" s="203" customFormat="1" ht="15.75">
      <c r="B305" s="746" t="s">
        <v>12564</v>
      </c>
      <c r="C305" s="747"/>
      <c r="D305" s="747"/>
      <c r="E305" s="747"/>
      <c r="F305" s="747"/>
      <c r="G305" s="747"/>
      <c r="H305" s="747"/>
      <c r="I305" s="456"/>
      <c r="J305" s="457">
        <f>TRUNC(SUM(J301:J304),2)</f>
        <v>833.31</v>
      </c>
      <c r="K305" s="457">
        <f>TRUNC(SUM(K301:K304),2)</f>
        <v>1068.24</v>
      </c>
      <c r="L305" s="187"/>
    </row>
    <row r="306" spans="2:12" s="201" customFormat="1" ht="15.75">
      <c r="B306" s="482" t="s">
        <v>6429</v>
      </c>
      <c r="C306" s="483"/>
      <c r="D306" s="484"/>
      <c r="E306" s="485" t="str">
        <f>QUANT!E1075</f>
        <v>SISTEMA DE TRATAMENTO DE ESGOTO</v>
      </c>
      <c r="F306" s="486"/>
      <c r="G306" s="487"/>
      <c r="H306" s="488"/>
      <c r="I306" s="488"/>
      <c r="J306" s="489"/>
      <c r="K306" s="457"/>
      <c r="L306" s="187"/>
    </row>
    <row r="307" spans="2:12" s="203" customFormat="1" ht="30">
      <c r="B307" s="458" t="s">
        <v>6537</v>
      </c>
      <c r="C307" s="450">
        <f>QUANT!C1078</f>
        <v>93358</v>
      </c>
      <c r="D307" s="450" t="str">
        <f>QUANT!D1078</f>
        <v>SINAPI</v>
      </c>
      <c r="E307" s="639" t="str">
        <f>IFERROR(VLOOKUP($C307,'SINAPI MAIO 2020'!$1:$1048576,2,0),IFERROR(VLOOKUP($C307,'6-COMP. PROPRIA'!$B$1:$I$808,4,0),""))</f>
        <v>ESCAVAÇÃO MANUAL DE VALA COM PROFUNDIDADE MENOR OU IGUAL A 1,30 M. AF_03/2016</v>
      </c>
      <c r="F307" s="638" t="str">
        <f>IFERROR(VLOOKUP($C307,'SINAPI MAIO 2020'!$1:$1048576,3,0),IFERROR(VLOOKUP($C307,'6-COMP. PROPRIA'!$B$1:$I$808,5,0),""))</f>
        <v>M3</v>
      </c>
      <c r="G307" s="452">
        <f>QUANT!K1078</f>
        <v>24.53125</v>
      </c>
      <c r="H307" s="452">
        <f>IFERROR(VLOOKUP($C307,'SINAPI MAIO 2020'!$1:$1048576,4,0),IFERROR(VLOOKUP($C307,'6-COMP. PROPRIA'!$B$1:$I$808,8,0),""))</f>
        <v>56.84</v>
      </c>
      <c r="I307" s="452">
        <f>TRUNC(($H307*'4-BDI'!$E$29),2)</f>
        <v>72.89</v>
      </c>
      <c r="J307" s="453">
        <f t="shared" ref="J307" si="120">TRUNC((G307*H307),2)</f>
        <v>1394.35</v>
      </c>
      <c r="K307" s="454">
        <f t="shared" ref="K307" si="121">TRUNC((I307*G307),2)</f>
        <v>1788.08</v>
      </c>
      <c r="L307" s="187"/>
    </row>
    <row r="308" spans="2:12" s="203" customFormat="1" ht="15">
      <c r="B308" s="458" t="s">
        <v>6538</v>
      </c>
      <c r="C308" s="450">
        <f>QUANT!C1087</f>
        <v>96995</v>
      </c>
      <c r="D308" s="450" t="str">
        <f>QUANT!D1087</f>
        <v>SINAPI</v>
      </c>
      <c r="E308" s="639" t="str">
        <f>IFERROR(VLOOKUP($C308,'SINAPI MAIO 2020'!$1:$1048576,2,0),IFERROR(VLOOKUP($C308,'6-COMP. PROPRIA'!$B$1:$I$808,4,0),""))</f>
        <v>REATERRO MANUAL APILOADO COM SOQUETE. AF_10/2017</v>
      </c>
      <c r="F308" s="638" t="str">
        <f>IFERROR(VLOOKUP($C308,'SINAPI MAIO 2020'!$1:$1048576,3,0),IFERROR(VLOOKUP($C308,'6-COMP. PROPRIA'!$B$1:$I$808,5,0),""))</f>
        <v>M3</v>
      </c>
      <c r="G308" s="452">
        <f>QUANT!K1087</f>
        <v>3.3205499999999977</v>
      </c>
      <c r="H308" s="452">
        <f>IFERROR(VLOOKUP($C308,'SINAPI MAIO 2020'!$1:$1048576,4,0),IFERROR(VLOOKUP($C308,'6-COMP. PROPRIA'!$B$1:$I$808,8,0),""))</f>
        <v>34.46</v>
      </c>
      <c r="I308" s="452">
        <f>TRUNC(($H308*'4-BDI'!$E$29),2)</f>
        <v>44.19</v>
      </c>
      <c r="J308" s="453">
        <f t="shared" ref="J308:J311" si="122">TRUNC((G308*H308),2)</f>
        <v>114.42</v>
      </c>
      <c r="K308" s="454">
        <f t="shared" ref="K308:K311" si="123">TRUNC((I308*G308),2)</f>
        <v>146.72999999999999</v>
      </c>
      <c r="L308" s="187"/>
    </row>
    <row r="309" spans="2:12" s="203" customFormat="1" ht="15">
      <c r="B309" s="458" t="s">
        <v>6539</v>
      </c>
      <c r="C309" s="450" t="str">
        <f>QUANT!C1095</f>
        <v>CP-SNT-3</v>
      </c>
      <c r="D309" s="450" t="str">
        <f>QUANT!D1095</f>
        <v>PROPRIA</v>
      </c>
      <c r="E309" s="639" t="str">
        <f>IFERROR(VLOOKUP($C309,'SINAPI MAIO 2020'!$1:$1048576,2,0),IFERROR(VLOOKUP($C309,'6-COMP. PROPRIA'!$B$1:$I$808,4,0),""))</f>
        <v xml:space="preserve">FOSSA SÉPTICA  COM ADUELAS DE Ø 2,20 M X H=2,00M </v>
      </c>
      <c r="F309" s="638" t="str">
        <f>IFERROR(VLOOKUP($C309,'SINAPI MAIO 2020'!$1:$1048576,3,0),IFERROR(VLOOKUP($C309,'6-COMP. PROPRIA'!$B$1:$I$808,5,0),""))</f>
        <v>UNI</v>
      </c>
      <c r="G309" s="452">
        <f>QUANT!K1095</f>
        <v>1</v>
      </c>
      <c r="H309" s="452">
        <f>IFERROR(VLOOKUP($C309,'SINAPI MAIO 2020'!$1:$1048576,4,0),IFERROR(VLOOKUP($C309,'6-COMP. PROPRIA'!$B$1:$I$808,8,0),""))</f>
        <v>2184.41</v>
      </c>
      <c r="I309" s="452">
        <f>TRUNC(($H309*'4-BDI'!$E$29),2)</f>
        <v>2801.28</v>
      </c>
      <c r="J309" s="453">
        <f t="shared" si="122"/>
        <v>2184.41</v>
      </c>
      <c r="K309" s="454">
        <f t="shared" si="123"/>
        <v>2801.28</v>
      </c>
      <c r="L309" s="187"/>
    </row>
    <row r="310" spans="2:12" s="203" customFormat="1" ht="15">
      <c r="B310" s="458" t="s">
        <v>6540</v>
      </c>
      <c r="C310" s="450" t="str">
        <f>QUANT!C1096</f>
        <v>CP-SNT-4</v>
      </c>
      <c r="D310" s="450" t="str">
        <f>QUANT!D1096</f>
        <v>PROPRIA</v>
      </c>
      <c r="E310" s="639" t="str">
        <f>IFERROR(VLOOKUP($C310,'SINAPI MAIO 2020'!$1:$1048576,2,0),IFERROR(VLOOKUP($C310,'6-COMP. PROPRIA'!$B$1:$I$808,4,0),""))</f>
        <v>FILTRO ANAERÓBICO COM ADUELAS DE Ø 2,20 M X H=1,00M</v>
      </c>
      <c r="F310" s="638" t="str">
        <f>IFERROR(VLOOKUP($C310,'SINAPI MAIO 2020'!$1:$1048576,3,0),IFERROR(VLOOKUP($C310,'6-COMP. PROPRIA'!$B$1:$I$808,5,0),""))</f>
        <v>UNI</v>
      </c>
      <c r="G310" s="452">
        <f>QUANT!K1096</f>
        <v>1</v>
      </c>
      <c r="H310" s="452">
        <f>IFERROR(VLOOKUP($C310,'SINAPI MAIO 2020'!$1:$1048576,4,0),IFERROR(VLOOKUP($C310,'6-COMP. PROPRIA'!$B$1:$I$808,8,0),""))</f>
        <v>2674.85</v>
      </c>
      <c r="I310" s="452">
        <f>TRUNC(($H310*'4-BDI'!$E$29),2)</f>
        <v>3430.22</v>
      </c>
      <c r="J310" s="453">
        <f t="shared" si="122"/>
        <v>2674.85</v>
      </c>
      <c r="K310" s="454">
        <f t="shared" si="123"/>
        <v>3430.22</v>
      </c>
      <c r="L310" s="187"/>
    </row>
    <row r="311" spans="2:12" s="203" customFormat="1" ht="15">
      <c r="B311" s="458" t="s">
        <v>6541</v>
      </c>
      <c r="C311" s="450" t="str">
        <f>QUANT!C1097</f>
        <v>CP-SNT-5</v>
      </c>
      <c r="D311" s="450" t="str">
        <f>QUANT!D1097</f>
        <v>PROPRIA</v>
      </c>
      <c r="E311" s="639" t="str">
        <f>IFERROR(VLOOKUP($C311,'SINAPI MAIO 2020'!$1:$1048576,2,0),IFERROR(VLOOKUP($C311,'6-COMP. PROPRIA'!$B$1:$I$808,4,0),""))</f>
        <v xml:space="preserve">SUMIDOURO  COM ADUELAS (VAZADA) DE Ø 2,20 M X H=2,00M </v>
      </c>
      <c r="F311" s="638" t="str">
        <f>IFERROR(VLOOKUP($C311,'SINAPI MAIO 2020'!$1:$1048576,3,0),IFERROR(VLOOKUP($C311,'6-COMP. PROPRIA'!$B$1:$I$808,5,0),""))</f>
        <v>UNI</v>
      </c>
      <c r="G311" s="452">
        <f>QUANT!K1097</f>
        <v>1</v>
      </c>
      <c r="H311" s="452">
        <f>IFERROR(VLOOKUP($C311,'SINAPI MAIO 2020'!$1:$1048576,4,0),IFERROR(VLOOKUP($C311,'6-COMP. PROPRIA'!$B$1:$I$808,8,0),""))</f>
        <v>2320.96</v>
      </c>
      <c r="I311" s="452">
        <f>TRUNC(($H311*'4-BDI'!$E$29),2)</f>
        <v>2976.39</v>
      </c>
      <c r="J311" s="453">
        <f t="shared" si="122"/>
        <v>2320.96</v>
      </c>
      <c r="K311" s="454">
        <f t="shared" si="123"/>
        <v>2976.39</v>
      </c>
      <c r="L311" s="187"/>
    </row>
    <row r="312" spans="2:12" s="203" customFormat="1" ht="15">
      <c r="B312" s="458" t="s">
        <v>12573</v>
      </c>
      <c r="C312" s="450">
        <f>QUANT!C1099</f>
        <v>72897</v>
      </c>
      <c r="D312" s="450" t="str">
        <f>QUANT!D1099</f>
        <v>SINAPI</v>
      </c>
      <c r="E312" s="639" t="str">
        <f>IFERROR(VLOOKUP($C312,'SINAPI MAIO 2020'!$1:$1048576,2,0),IFERROR(VLOOKUP($C312,'6-COMP. PROPRIA'!$B$1:$I$808,4,0),""))</f>
        <v>CARGA MANUAL DE ENTULHO EM CAMINHAO BASCULANTE 6 M3</v>
      </c>
      <c r="F312" s="638" t="str">
        <f>IFERROR(VLOOKUP($C312,'SINAPI MAIO 2020'!$1:$1048576,3,0),IFERROR(VLOOKUP($C312,'6-COMP. PROPRIA'!$B$1:$I$808,5,0),""))</f>
        <v>M3</v>
      </c>
      <c r="G312" s="452">
        <f>QUANT!K1099</f>
        <v>24.696100000000008</v>
      </c>
      <c r="H312" s="452">
        <f>IFERROR(VLOOKUP($C312,'SINAPI MAIO 2020'!$1:$1048576,4,0),IFERROR(VLOOKUP($C312,'6-COMP. PROPRIA'!$B$1:$I$808,8,0),""))</f>
        <v>17.510000000000002</v>
      </c>
      <c r="I312" s="452">
        <f>TRUNC(($H312*'4-BDI'!$E$29),2)</f>
        <v>22.45</v>
      </c>
      <c r="J312" s="453">
        <f t="shared" ref="J312:J313" si="124">TRUNC((G312*H312),2)</f>
        <v>432.42</v>
      </c>
      <c r="K312" s="454">
        <f t="shared" ref="K312:K313" si="125">TRUNC((I312*G312),2)</f>
        <v>554.41999999999996</v>
      </c>
      <c r="L312" s="187"/>
    </row>
    <row r="313" spans="2:12" s="203" customFormat="1" ht="30">
      <c r="B313" s="458" t="s">
        <v>12574</v>
      </c>
      <c r="C313" s="450">
        <f>QUANT!C1105</f>
        <v>97914</v>
      </c>
      <c r="D313" s="450" t="str">
        <f>QUANT!D1105</f>
        <v>SINAPI</v>
      </c>
      <c r="E313" s="639" t="str">
        <f>IFERROR(VLOOKUP($C313,'SINAPI MAIO 2020'!$1:$1048576,2,0),IFERROR(VLOOKUP($C313,'6-COMP. PROPRIA'!$B$1:$I$808,4,0),""))</f>
        <v>TRANSPORTE COM CAMINHÃO BASCULANTE DE 6 M3, EM VIA URBANA PAVIMENTADA, DMT ATÉ 30 KM (UNIDADE: M3XKM). AF_01/2018</v>
      </c>
      <c r="F313" s="638" t="str">
        <f>IFERROR(VLOOKUP($C313,'SINAPI MAIO 2020'!$1:$1048576,3,0),IFERROR(VLOOKUP($C313,'6-COMP. PROPRIA'!$B$1:$I$808,5,0),""))</f>
        <v>M3XKM</v>
      </c>
      <c r="G313" s="452">
        <f>QUANT!K1105</f>
        <v>617.40250000000026</v>
      </c>
      <c r="H313" s="452">
        <f>IFERROR(VLOOKUP($C313,'SINAPI MAIO 2020'!$1:$1048576,4,0),IFERROR(VLOOKUP($C313,'6-COMP. PROPRIA'!$B$1:$I$808,8,0),""))</f>
        <v>1.07</v>
      </c>
      <c r="I313" s="452">
        <f>TRUNC(($H313*'4-BDI'!$E$29),2)</f>
        <v>1.37</v>
      </c>
      <c r="J313" s="453">
        <f t="shared" si="124"/>
        <v>660.62</v>
      </c>
      <c r="K313" s="454">
        <f t="shared" si="125"/>
        <v>845.84</v>
      </c>
      <c r="L313" s="187"/>
    </row>
    <row r="314" spans="2:12" s="203" customFormat="1" ht="15.75">
      <c r="B314" s="746" t="s">
        <v>12564</v>
      </c>
      <c r="C314" s="747"/>
      <c r="D314" s="747"/>
      <c r="E314" s="747"/>
      <c r="F314" s="747"/>
      <c r="G314" s="747"/>
      <c r="H314" s="747"/>
      <c r="I314" s="456"/>
      <c r="J314" s="457">
        <f>TRUNC(SUM(J307:J313),2)</f>
        <v>9782.0300000000007</v>
      </c>
      <c r="K314" s="457">
        <f>TRUNC(SUM(K307:K313),2)</f>
        <v>12542.96</v>
      </c>
      <c r="L314" s="187"/>
    </row>
    <row r="315" spans="2:12" s="203" customFormat="1" ht="15.75">
      <c r="B315" s="746" t="s">
        <v>4710</v>
      </c>
      <c r="C315" s="747"/>
      <c r="D315" s="747"/>
      <c r="E315" s="747"/>
      <c r="F315" s="747"/>
      <c r="G315" s="747"/>
      <c r="H315" s="747"/>
      <c r="I315" s="456"/>
      <c r="J315" s="457">
        <f>TRUNC(SUM(J314+J305+J299+J280),2)</f>
        <v>20934.990000000002</v>
      </c>
      <c r="K315" s="457">
        <f>TRUNC(SUM(K314+K305+K299+K280),2)</f>
        <v>26843.88</v>
      </c>
      <c r="L315" s="187"/>
    </row>
    <row r="316" spans="2:12" ht="15.75">
      <c r="B316" s="440" t="s">
        <v>6433</v>
      </c>
      <c r="C316" s="441"/>
      <c r="D316" s="442"/>
      <c r="E316" s="443" t="str">
        <f>QUANT!E1109</f>
        <v>LOUÇAS E METAIS</v>
      </c>
      <c r="F316" s="444"/>
      <c r="G316" s="445"/>
      <c r="H316" s="446"/>
      <c r="I316" s="446"/>
      <c r="J316" s="447"/>
      <c r="K316" s="448"/>
      <c r="L316" s="187"/>
    </row>
    <row r="317" spans="2:12" s="201" customFormat="1" ht="15.75">
      <c r="B317" s="482" t="s">
        <v>6434</v>
      </c>
      <c r="C317" s="483"/>
      <c r="D317" s="484"/>
      <c r="E317" s="485" t="str">
        <f>QUANT!E1110</f>
        <v>BANHEIROS</v>
      </c>
      <c r="F317" s="486"/>
      <c r="G317" s="487"/>
      <c r="H317" s="488"/>
      <c r="I317" s="488"/>
      <c r="J317" s="489"/>
      <c r="K317" s="457"/>
      <c r="L317" s="187"/>
    </row>
    <row r="318" spans="2:12" s="203" customFormat="1" ht="45">
      <c r="B318" s="458" t="s">
        <v>6435</v>
      </c>
      <c r="C318" s="450">
        <f>QUANT!C1111</f>
        <v>95470</v>
      </c>
      <c r="D318" s="450" t="str">
        <f>QUANT!D1111</f>
        <v>SINAPI</v>
      </c>
      <c r="E318" s="639" t="str">
        <f>IFERROR(VLOOKUP($C318,'SINAPI MAIO 2020'!$1:$1048576,2,0),IFERROR(VLOOKUP($C318,'6-COMP. PROPRIA'!$B$1:$I$808,4,0),""))</f>
        <v>VASO SANITARIO SIFONADO CONVENCIONAL COM LOUÇA BRANCA, INCLUSO CONJUNTO DE LIGAÇÃO PARA BACIA SANITÁRIA AJUSTÁVEL - FORNECIMENTO E INSTALAÇÃO. AF_10/2016</v>
      </c>
      <c r="F318" s="638" t="str">
        <f>IFERROR(VLOOKUP($C318,'SINAPI MAIO 2020'!$1:$1048576,3,0),IFERROR(VLOOKUP($C318,'6-COMP. PROPRIA'!$B$1:$I$808,5,0),""))</f>
        <v>UN</v>
      </c>
      <c r="G318" s="452">
        <f>QUANT!K1111</f>
        <v>7</v>
      </c>
      <c r="H318" s="452">
        <f>IFERROR(VLOOKUP($C318,'SINAPI MAIO 2020'!$1:$1048576,4,0),IFERROR(VLOOKUP($C318,'6-COMP. PROPRIA'!$B$1:$I$808,8,0),""))</f>
        <v>163.66</v>
      </c>
      <c r="I318" s="452">
        <f>TRUNC(($H318*'4-BDI'!$E$29),2)</f>
        <v>209.87</v>
      </c>
      <c r="J318" s="453">
        <f t="shared" ref="J318" si="126">TRUNC((G318*H318),2)</f>
        <v>1145.6199999999999</v>
      </c>
      <c r="K318" s="454">
        <f t="shared" ref="K318" si="127">TRUNC((I318*G318),2)</f>
        <v>1469.09</v>
      </c>
      <c r="L318" s="187"/>
    </row>
    <row r="319" spans="2:12" s="203" customFormat="1" ht="60">
      <c r="B319" s="458" t="s">
        <v>6436</v>
      </c>
      <c r="C319" s="450">
        <f>QUANT!C1113</f>
        <v>95472</v>
      </c>
      <c r="D319" s="450" t="str">
        <f>QUANT!D1113</f>
        <v>SINAPI</v>
      </c>
      <c r="E319" s="639" t="str">
        <f>IFERROR(VLOOKUP($C319,'SINAPI MAIO 2020'!$1:$1048576,2,0),IFERROR(VLOOKUP($C319,'6-COMP. PROPRIA'!$B$1:$I$808,4,0),""))</f>
        <v>VASO SANITARIO SIFONADO CONVENCIONAL PARA PCD SEM FURO FRONTAL COM LOUÇA BRANCA SEM ASSENTO, INCLUSO CONJUNTO DE LIGAÇÃO PARA BACIA SANITÁRIA AJUSTÁVEL - FORNECIMENTO E INSTALAÇÃO. AF_01/2020</v>
      </c>
      <c r="F319" s="638" t="str">
        <f>IFERROR(VLOOKUP($C319,'SINAPI MAIO 2020'!$1:$1048576,3,0),IFERROR(VLOOKUP($C319,'6-COMP. PROPRIA'!$B$1:$I$808,5,0),""))</f>
        <v>UN</v>
      </c>
      <c r="G319" s="452">
        <f>QUANT!K1113</f>
        <v>1</v>
      </c>
      <c r="H319" s="452">
        <f>IFERROR(VLOOKUP($C319,'SINAPI MAIO 2020'!$1:$1048576,4,0),IFERROR(VLOOKUP($C319,'6-COMP. PROPRIA'!$B$1:$I$808,8,0),""))</f>
        <v>598.42999999999995</v>
      </c>
      <c r="I319" s="452">
        <f>TRUNC(($H319*'4-BDI'!$E$29),2)</f>
        <v>767.42</v>
      </c>
      <c r="J319" s="453">
        <f t="shared" ref="J319" si="128">TRUNC((G319*H319),2)</f>
        <v>598.42999999999995</v>
      </c>
      <c r="K319" s="454">
        <f t="shared" ref="K319" si="129">TRUNC((I319*G319),2)</f>
        <v>767.42</v>
      </c>
      <c r="L319" s="187"/>
    </row>
    <row r="320" spans="2:12" s="203" customFormat="1" ht="30">
      <c r="B320" s="458" t="s">
        <v>6437</v>
      </c>
      <c r="C320" s="450">
        <f>QUANT!C1115</f>
        <v>100849</v>
      </c>
      <c r="D320" s="450" t="str">
        <f>QUANT!D1115</f>
        <v>SINAPI</v>
      </c>
      <c r="E320" s="639" t="str">
        <f>IFERROR(VLOOKUP($C320,'SINAPI MAIO 2020'!$1:$1048576,2,0),IFERROR(VLOOKUP($C320,'6-COMP. PROPRIA'!$B$1:$I$808,4,0),""))</f>
        <v>ASSENTO SANITÁRIO CONVENCIONAL - FORNECIMENTO E INSTALACAO. AF_01/2020</v>
      </c>
      <c r="F320" s="638" t="str">
        <f>IFERROR(VLOOKUP($C320,'SINAPI MAIO 2020'!$1:$1048576,3,0),IFERROR(VLOOKUP($C320,'6-COMP. PROPRIA'!$B$1:$I$808,5,0),""))</f>
        <v>UN</v>
      </c>
      <c r="G320" s="452">
        <f>QUANT!K1115</f>
        <v>8</v>
      </c>
      <c r="H320" s="452">
        <f>IFERROR(VLOOKUP($C320,'SINAPI MAIO 2020'!$1:$1048576,4,0),IFERROR(VLOOKUP($C320,'6-COMP. PROPRIA'!$B$1:$I$808,8,0),""))</f>
        <v>31</v>
      </c>
      <c r="I320" s="452">
        <f>TRUNC(($H320*'4-BDI'!$E$29),2)</f>
        <v>39.75</v>
      </c>
      <c r="J320" s="453">
        <f t="shared" ref="J320:J324" si="130">TRUNC((G320*H320),2)</f>
        <v>248</v>
      </c>
      <c r="K320" s="454">
        <f t="shared" ref="K320:K324" si="131">TRUNC((I320*G320),2)</f>
        <v>318</v>
      </c>
      <c r="L320" s="187"/>
    </row>
    <row r="321" spans="2:12" s="203" customFormat="1" ht="75">
      <c r="B321" s="458" t="s">
        <v>6438</v>
      </c>
      <c r="C321" s="450">
        <f>QUANT!C1117</f>
        <v>86941</v>
      </c>
      <c r="D321" s="450" t="str">
        <f>QUANT!D1117</f>
        <v>SINAPI</v>
      </c>
      <c r="E321" s="639" t="str">
        <f>IFERROR(VLOOKUP($C321,'SINAPI MAIO 2020'!$1:$1048576,2,0),IFERROR(VLOOKUP($C321,'6-COMP. PROPRIA'!$B$1:$I$808,4,0),""))</f>
        <v>LAVATÓRIO LOUÇA BRANCA COM COLUNA, 45 X 55CM OU EQUIVALENTE, PADRÃO MÉDIO, INCLUSO SIFÃO TIPO GARRAFA, VÁLVULA E ENGATE FLEXÍVEL DE 40CM EM METAL CROMADO, COM TORNEIRA CROMADA DE MESA, PADRÃO MÉDIO - FORNECIMENTO E INSTALAÇÃO. AF_01/2020</v>
      </c>
      <c r="F321" s="638" t="str">
        <f>IFERROR(VLOOKUP($C321,'SINAPI MAIO 2020'!$1:$1048576,3,0),IFERROR(VLOOKUP($C321,'6-COMP. PROPRIA'!$B$1:$I$808,5,0),""))</f>
        <v>UN</v>
      </c>
      <c r="G321" s="452">
        <f>QUANT!K1117</f>
        <v>6</v>
      </c>
      <c r="H321" s="452">
        <f>IFERROR(VLOOKUP($C321,'SINAPI MAIO 2020'!$1:$1048576,4,0),IFERROR(VLOOKUP($C321,'6-COMP. PROPRIA'!$B$1:$I$808,8,0),""))</f>
        <v>571.85</v>
      </c>
      <c r="I321" s="452">
        <f>TRUNC(($H321*'4-BDI'!$E$29),2)</f>
        <v>733.34</v>
      </c>
      <c r="J321" s="453">
        <f t="shared" si="130"/>
        <v>3431.1</v>
      </c>
      <c r="K321" s="454">
        <f t="shared" si="131"/>
        <v>4400.04</v>
      </c>
      <c r="L321" s="187"/>
    </row>
    <row r="322" spans="2:12" s="203" customFormat="1" ht="75">
      <c r="B322" s="458" t="s">
        <v>6439</v>
      </c>
      <c r="C322" s="450">
        <f>QUANT!C1119</f>
        <v>86943</v>
      </c>
      <c r="D322" s="450" t="str">
        <f>QUANT!D1119</f>
        <v>SINAPI</v>
      </c>
      <c r="E322" s="639" t="str">
        <f>IFERROR(VLOOKUP($C322,'SINAPI MAIO 2020'!$1:$1048576,2,0),IFERROR(VLOOKUP($C322,'6-COMP. PROPRIA'!$B$1:$I$808,4,0),""))</f>
        <v>LAVATÓRIO LOUÇA BRANCA SUSPENSO, 29,5 X 39CM OU EQUIVALENTE, PADRÃO POPULAR, INCLUSO SIFÃO FLEXÍVEL EM PVC, VÁLVULA E ENGATE FLEXÍVEL 30CM EM PLÁSTICO E TORNEIRA CROMADA DE MESA, PADRÃO POPULAR - FORNECIMENTO E INSTALAÇÃO. AF_01/2020</v>
      </c>
      <c r="F322" s="638" t="str">
        <f>IFERROR(VLOOKUP($C322,'SINAPI MAIO 2020'!$1:$1048576,3,0),IFERROR(VLOOKUP($C322,'6-COMP. PROPRIA'!$B$1:$I$808,5,0),""))</f>
        <v>UN</v>
      </c>
      <c r="G322" s="452">
        <f>QUANT!K1119</f>
        <v>1</v>
      </c>
      <c r="H322" s="452">
        <f>IFERROR(VLOOKUP($C322,'SINAPI MAIO 2020'!$1:$1048576,4,0),IFERROR(VLOOKUP($C322,'6-COMP. PROPRIA'!$B$1:$I$808,8,0),""))</f>
        <v>175.83</v>
      </c>
      <c r="I322" s="452">
        <f>TRUNC(($H322*'4-BDI'!$E$29),2)</f>
        <v>225.48</v>
      </c>
      <c r="J322" s="453">
        <f t="shared" si="130"/>
        <v>175.83</v>
      </c>
      <c r="K322" s="454">
        <f t="shared" si="131"/>
        <v>225.48</v>
      </c>
      <c r="L322" s="187"/>
    </row>
    <row r="323" spans="2:12" s="203" customFormat="1" ht="30">
      <c r="B323" s="458" t="s">
        <v>6440</v>
      </c>
      <c r="C323" s="450">
        <f>QUANT!C1121</f>
        <v>100860</v>
      </c>
      <c r="D323" s="450" t="str">
        <f>QUANT!D1121</f>
        <v>SINAPI</v>
      </c>
      <c r="E323" s="639" t="str">
        <f>IFERROR(VLOOKUP($C323,'SINAPI MAIO 2020'!$1:$1048576,2,0),IFERROR(VLOOKUP($C323,'6-COMP. PROPRIA'!$B$1:$I$808,4,0),""))</f>
        <v>CHUVEIRO ELÉTRICO COMUM CORPO PLÁSTICO, TIPO DUCHA  FORNECIMENTO E INSTALAÇÃO. AF_01/2020</v>
      </c>
      <c r="F323" s="638" t="str">
        <f>IFERROR(VLOOKUP($C323,'SINAPI MAIO 2020'!$1:$1048576,3,0),IFERROR(VLOOKUP($C323,'6-COMP. PROPRIA'!$B$1:$I$808,5,0),""))</f>
        <v>UN</v>
      </c>
      <c r="G323" s="452">
        <f>QUANT!K1121</f>
        <v>2</v>
      </c>
      <c r="H323" s="452">
        <f>IFERROR(VLOOKUP($C323,'SINAPI MAIO 2020'!$1:$1048576,4,0),IFERROR(VLOOKUP($C323,'6-COMP. PROPRIA'!$B$1:$I$808,8,0),""))</f>
        <v>71.239999999999995</v>
      </c>
      <c r="I323" s="452">
        <f>TRUNC(($H323*'4-BDI'!$E$29),2)</f>
        <v>91.35</v>
      </c>
      <c r="J323" s="453">
        <f t="shared" si="130"/>
        <v>142.47999999999999</v>
      </c>
      <c r="K323" s="454">
        <f t="shared" si="131"/>
        <v>182.7</v>
      </c>
      <c r="L323" s="187"/>
    </row>
    <row r="324" spans="2:12" s="203" customFormat="1" ht="45">
      <c r="B324" s="458" t="s">
        <v>14829</v>
      </c>
      <c r="C324" s="450">
        <f>QUANT!C1123</f>
        <v>86921</v>
      </c>
      <c r="D324" s="450" t="str">
        <f>QUANT!D1123</f>
        <v>SINAPI</v>
      </c>
      <c r="E324" s="639" t="str">
        <f>IFERROR(VLOOKUP($C324,'SINAPI MAIO 2020'!$1:$1048576,2,0),IFERROR(VLOOKUP($C324,'6-COMP. PROPRIA'!$B$1:$I$808,4,0),""))</f>
        <v>TANQUE DE LOUÇA BRANCA COM COLUNA, 30L OU EQUIVALENTE, INCLUSO SIFÃO FLEXÍVEL EM PVC, VÁLVULA PLÁSTICA E TORNEIRA DE PLÁSTICO - FORNECIMENTO E INSTALAÇÃO. AF_01/2020</v>
      </c>
      <c r="F324" s="638" t="str">
        <f>IFERROR(VLOOKUP($C324,'SINAPI MAIO 2020'!$1:$1048576,3,0),IFERROR(VLOOKUP($C324,'6-COMP. PROPRIA'!$B$1:$I$808,5,0),""))</f>
        <v>UN</v>
      </c>
      <c r="G324" s="452">
        <f>QUANT!K1123</f>
        <v>1</v>
      </c>
      <c r="H324" s="452">
        <f>IFERROR(VLOOKUP($C324,'SINAPI MAIO 2020'!$1:$1048576,4,0),IFERROR(VLOOKUP($C324,'6-COMP. PROPRIA'!$B$1:$I$808,8,0),""))</f>
        <v>621.58000000000004</v>
      </c>
      <c r="I324" s="452">
        <f>TRUNC(($H324*'4-BDI'!$E$29),2)</f>
        <v>797.11</v>
      </c>
      <c r="J324" s="453">
        <f t="shared" si="130"/>
        <v>621.58000000000004</v>
      </c>
      <c r="K324" s="454">
        <f t="shared" si="131"/>
        <v>797.11</v>
      </c>
      <c r="L324" s="187"/>
    </row>
    <row r="325" spans="2:12" s="203" customFormat="1" ht="15.75">
      <c r="B325" s="746" t="s">
        <v>12564</v>
      </c>
      <c r="C325" s="747"/>
      <c r="D325" s="747"/>
      <c r="E325" s="747"/>
      <c r="F325" s="747"/>
      <c r="G325" s="747"/>
      <c r="H325" s="747"/>
      <c r="I325" s="456"/>
      <c r="J325" s="457">
        <f>TRUNC(SUM(J318:J324),2)</f>
        <v>6363.04</v>
      </c>
      <c r="K325" s="457">
        <f>TRUNC(SUM(K318:K324),2)</f>
        <v>8159.84</v>
      </c>
      <c r="L325" s="187"/>
    </row>
    <row r="326" spans="2:12" s="203" customFormat="1" ht="15.75">
      <c r="B326" s="482" t="s">
        <v>6441</v>
      </c>
      <c r="C326" s="483"/>
      <c r="D326" s="484"/>
      <c r="E326" s="485" t="str">
        <f>QUANT!E1125</f>
        <v>COZINHA</v>
      </c>
      <c r="F326" s="486"/>
      <c r="G326" s="487"/>
      <c r="H326" s="488"/>
      <c r="I326" s="488"/>
      <c r="J326" s="489"/>
      <c r="K326" s="457"/>
      <c r="L326" s="187"/>
    </row>
    <row r="327" spans="2:12" s="203" customFormat="1" ht="75">
      <c r="B327" s="458" t="s">
        <v>6442</v>
      </c>
      <c r="C327" s="450">
        <f>QUANT!C1127</f>
        <v>86941</v>
      </c>
      <c r="D327" s="450" t="str">
        <f>QUANT!D1127</f>
        <v>SINAPI</v>
      </c>
      <c r="E327" s="639" t="str">
        <f>IFERROR(VLOOKUP($C327,'SINAPI MAIO 2020'!$1:$1048576,2,0),IFERROR(VLOOKUP($C327,'6-COMP. PROPRIA'!$B$1:$I$808,4,0),""))</f>
        <v>LAVATÓRIO LOUÇA BRANCA COM COLUNA, 45 X 55CM OU EQUIVALENTE, PADRÃO MÉDIO, INCLUSO SIFÃO TIPO GARRAFA, VÁLVULA E ENGATE FLEXÍVEL DE 40CM EM METAL CROMADO, COM TORNEIRA CROMADA DE MESA, PADRÃO MÉDIO - FORNECIMENTO E INSTALAÇÃO. AF_01/2020</v>
      </c>
      <c r="F327" s="638" t="str">
        <f>IFERROR(VLOOKUP($C327,'SINAPI MAIO 2020'!$1:$1048576,3,0),IFERROR(VLOOKUP($C327,'6-COMP. PROPRIA'!$B$1:$I$808,5,0),""))</f>
        <v>UN</v>
      </c>
      <c r="G327" s="452">
        <f>QUANT!K1127</f>
        <v>1</v>
      </c>
      <c r="H327" s="452">
        <f>IFERROR(VLOOKUP($C327,'SINAPI MAIO 2020'!$1:$1048576,4,0),IFERROR(VLOOKUP($C327,'6-COMP. PROPRIA'!$B$1:$I$808,8,0),""))</f>
        <v>571.85</v>
      </c>
      <c r="I327" s="452">
        <f>TRUNC(($H327*'4-BDI'!$E$29),2)</f>
        <v>733.34</v>
      </c>
      <c r="J327" s="453">
        <f t="shared" ref="J327" si="132">TRUNC((G327*H327),2)</f>
        <v>571.85</v>
      </c>
      <c r="K327" s="454">
        <f t="shared" ref="K327" si="133">TRUNC((I327*G327),2)</f>
        <v>733.34</v>
      </c>
      <c r="L327" s="187"/>
    </row>
    <row r="328" spans="2:12" s="203" customFormat="1" ht="45">
      <c r="B328" s="458" t="s">
        <v>6443</v>
      </c>
      <c r="C328" s="450">
        <f>QUANT!C1130</f>
        <v>86910</v>
      </c>
      <c r="D328" s="450" t="str">
        <f>QUANT!D1130</f>
        <v>SINAPI</v>
      </c>
      <c r="E328" s="639" t="str">
        <f>IFERROR(VLOOKUP($C328,'SINAPI MAIO 2020'!$1:$1048576,2,0),IFERROR(VLOOKUP($C328,'6-COMP. PROPRIA'!$B$1:$I$808,4,0),""))</f>
        <v>TORNEIRA CROMADA TUBO MÓVEL, DE PAREDE, 1/2 OU 3/4, PARA PIA DE COZINHA, PADRÃO MÉDIO - FORNECIMENTO E INSTALAÇÃO. AF_01/2020</v>
      </c>
      <c r="F328" s="638" t="str">
        <f>IFERROR(VLOOKUP($C328,'SINAPI MAIO 2020'!$1:$1048576,3,0),IFERROR(VLOOKUP($C328,'6-COMP. PROPRIA'!$B$1:$I$808,5,0),""))</f>
        <v>UN</v>
      </c>
      <c r="G328" s="452">
        <f>QUANT!K1130</f>
        <v>3</v>
      </c>
      <c r="H328" s="452">
        <f>IFERROR(VLOOKUP($C328,'SINAPI MAIO 2020'!$1:$1048576,4,0),IFERROR(VLOOKUP($C328,'6-COMP. PROPRIA'!$B$1:$I$808,8,0),""))</f>
        <v>94.08</v>
      </c>
      <c r="I328" s="452">
        <f>TRUNC(($H328*'4-BDI'!$E$29),2)</f>
        <v>120.64</v>
      </c>
      <c r="J328" s="453">
        <f t="shared" ref="J328" si="134">TRUNC((G328*H328),2)</f>
        <v>282.24</v>
      </c>
      <c r="K328" s="454">
        <f t="shared" ref="K328" si="135">TRUNC((I328*G328),2)</f>
        <v>361.92</v>
      </c>
      <c r="L328" s="187"/>
    </row>
    <row r="329" spans="2:12" s="203" customFormat="1" ht="45">
      <c r="B329" s="458" t="s">
        <v>6444</v>
      </c>
      <c r="C329" s="450">
        <f>QUANT!C1132</f>
        <v>86935</v>
      </c>
      <c r="D329" s="450" t="str">
        <f>QUANT!D1132</f>
        <v>SINAPI</v>
      </c>
      <c r="E329" s="639" t="str">
        <f>IFERROR(VLOOKUP($C329,'SINAPI MAIO 2020'!$1:$1048576,2,0),IFERROR(VLOOKUP($C329,'6-COMP. PROPRIA'!$B$1:$I$808,4,0),""))</f>
        <v>CUBA DE EMBUTIR DE AÇO INOXIDÁVEL MÉDIA, INCLUSO VÁLVULA TIPO AMERICANA EM METAL CROMADO E SIFÃO FLEXÍVEL EM PVC - FORNECIMENTO E INSTALAÇÃO. AF_01/2020</v>
      </c>
      <c r="F329" s="638" t="str">
        <f>IFERROR(VLOOKUP($C329,'SINAPI MAIO 2020'!$1:$1048576,3,0),IFERROR(VLOOKUP($C329,'6-COMP. PROPRIA'!$B$1:$I$808,5,0),""))</f>
        <v>UN</v>
      </c>
      <c r="G329" s="452">
        <f>QUANT!K1132</f>
        <v>3</v>
      </c>
      <c r="H329" s="452">
        <f>IFERROR(VLOOKUP($C329,'SINAPI MAIO 2020'!$1:$1048576,4,0),IFERROR(VLOOKUP($C329,'6-COMP. PROPRIA'!$B$1:$I$808,8,0),""))</f>
        <v>219.18</v>
      </c>
      <c r="I329" s="452">
        <f>TRUNC(($H329*'4-BDI'!$E$29),2)</f>
        <v>281.07</v>
      </c>
      <c r="J329" s="453">
        <f t="shared" ref="J329" si="136">TRUNC((G329*H329),2)</f>
        <v>657.54</v>
      </c>
      <c r="K329" s="454">
        <f t="shared" ref="K329" si="137">TRUNC((I329*G329),2)</f>
        <v>843.21</v>
      </c>
      <c r="L329" s="187"/>
    </row>
    <row r="330" spans="2:12" s="203" customFormat="1" ht="15.75">
      <c r="B330" s="746" t="s">
        <v>12564</v>
      </c>
      <c r="C330" s="747"/>
      <c r="D330" s="747"/>
      <c r="E330" s="747"/>
      <c r="F330" s="747"/>
      <c r="G330" s="747"/>
      <c r="H330" s="747"/>
      <c r="I330" s="456"/>
      <c r="J330" s="457">
        <f>TRUNC(SUM(J327:J329),2)</f>
        <v>1511.63</v>
      </c>
      <c r="K330" s="457">
        <f>TRUNC(SUM(K327:K329),2)</f>
        <v>1938.47</v>
      </c>
      <c r="L330" s="187"/>
    </row>
    <row r="331" spans="2:12" s="203" customFormat="1" ht="15.75">
      <c r="B331" s="746" t="s">
        <v>4710</v>
      </c>
      <c r="C331" s="747"/>
      <c r="D331" s="747"/>
      <c r="E331" s="747"/>
      <c r="F331" s="747"/>
      <c r="G331" s="747"/>
      <c r="H331" s="747"/>
      <c r="I331" s="456"/>
      <c r="J331" s="457">
        <f>TRUNC(SUM(J330+J325),2)</f>
        <v>7874.67</v>
      </c>
      <c r="K331" s="457">
        <f>TRUNC(SUM(K330+K325),2)</f>
        <v>10098.31</v>
      </c>
      <c r="L331" s="187"/>
    </row>
    <row r="332" spans="2:12" ht="15.75">
      <c r="B332" s="440" t="s">
        <v>6445</v>
      </c>
      <c r="C332" s="441"/>
      <c r="D332" s="442"/>
      <c r="E332" s="443" t="str">
        <f>QUANT!E1135</f>
        <v>INSTALAÇÕES DE GÁS</v>
      </c>
      <c r="F332" s="444"/>
      <c r="G332" s="445"/>
      <c r="H332" s="446"/>
      <c r="I332" s="446"/>
      <c r="J332" s="447"/>
      <c r="K332" s="448"/>
      <c r="L332" s="187"/>
    </row>
    <row r="333" spans="2:12" s="203" customFormat="1" ht="30">
      <c r="B333" s="458" t="s">
        <v>6446</v>
      </c>
      <c r="C333" s="450" t="str">
        <f>QUANT!C1137</f>
        <v>CP-GAS-1</v>
      </c>
      <c r="D333" s="450" t="str">
        <f>QUANT!D1137</f>
        <v>PROPRIA</v>
      </c>
      <c r="E333" s="639" t="str">
        <f>IFERROR(VLOOKUP($C333,'SINAPI MAIO 2020'!$1:$1048576,2,0),IFERROR(VLOOKUP($C333,'6-COMP. PROPRIA'!$B$1:$I$808,4,0),""))</f>
        <v>FORNECIMENTO E INSTALAÇÃO DE CASA DE GÁS MODELO PADRÃO DE 2,00X1,00</v>
      </c>
      <c r="F333" s="638" t="str">
        <f>IFERROR(VLOOKUP($C333,'SINAPI MAIO 2020'!$1:$1048576,3,0),IFERROR(VLOOKUP($C333,'6-COMP. PROPRIA'!$B$1:$I$808,5,0),""))</f>
        <v>UNI</v>
      </c>
      <c r="G333" s="452">
        <f>QUANT!K1137</f>
        <v>1</v>
      </c>
      <c r="H333" s="452">
        <f>IFERROR(VLOOKUP($C333,'SINAPI MAIO 2020'!$1:$1048576,4,0),IFERROR(VLOOKUP($C333,'6-COMP. PROPRIA'!$B$1:$I$808,8,0),""))</f>
        <v>2413.2399999999998</v>
      </c>
      <c r="I333" s="452">
        <f>TRUNC(($H333*'4-BDI'!$E$29),2)</f>
        <v>3094.73</v>
      </c>
      <c r="J333" s="453">
        <f t="shared" ref="J333" si="138">TRUNC((G333*H333),2)</f>
        <v>2413.2399999999998</v>
      </c>
      <c r="K333" s="454">
        <f t="shared" ref="K333" si="139">TRUNC((I333*G333),2)</f>
        <v>3094.73</v>
      </c>
      <c r="L333" s="187"/>
    </row>
    <row r="334" spans="2:12" s="203" customFormat="1" ht="45">
      <c r="B334" s="458" t="s">
        <v>6447</v>
      </c>
      <c r="C334" s="450">
        <f>QUANT!C1138</f>
        <v>92688</v>
      </c>
      <c r="D334" s="450" t="str">
        <f>QUANT!D1138</f>
        <v>SINAPI</v>
      </c>
      <c r="E334" s="639" t="str">
        <f>IFERROR(VLOOKUP($C334,'SINAPI MAIO 2020'!$1:$1048576,2,0),IFERROR(VLOOKUP($C334,'6-COMP. PROPRIA'!$B$1:$I$808,4,0),""))</f>
        <v>TUBO DE AÇO GALVANIZADO COM COSTURA, CLASSE MÉDIA, CONEXÃO ROSQUEADA, DN 20 (3/4"), INSTALADO EM RAMAIS E SUB-RAMAIS DE GÁS - FORNECIMENTO E INSTALAÇÃO. AF_12/2015</v>
      </c>
      <c r="F334" s="638" t="str">
        <f>IFERROR(VLOOKUP($C334,'SINAPI MAIO 2020'!$1:$1048576,3,0),IFERROR(VLOOKUP($C334,'6-COMP. PROPRIA'!$B$1:$I$808,5,0),""))</f>
        <v>M</v>
      </c>
      <c r="G334" s="452">
        <f>QUANT!K1138</f>
        <v>11.5</v>
      </c>
      <c r="H334" s="452">
        <f>IFERROR(VLOOKUP($C334,'SINAPI MAIO 2020'!$1:$1048576,4,0),IFERROR(VLOOKUP($C334,'6-COMP. PROPRIA'!$B$1:$I$808,8,0),""))</f>
        <v>24.65</v>
      </c>
      <c r="I334" s="452">
        <f>TRUNC(($H334*'4-BDI'!$E$29),2)</f>
        <v>31.61</v>
      </c>
      <c r="J334" s="453">
        <f t="shared" ref="J334:J347" si="140">TRUNC((G334*H334),2)</f>
        <v>283.47000000000003</v>
      </c>
      <c r="K334" s="454">
        <f t="shared" ref="K334:K347" si="141">TRUNC((I334*G334),2)</f>
        <v>363.51</v>
      </c>
      <c r="L334" s="187"/>
    </row>
    <row r="335" spans="2:12" s="203" customFormat="1" ht="30">
      <c r="B335" s="458" t="s">
        <v>6448</v>
      </c>
      <c r="C335" s="450">
        <f>QUANT!C1139</f>
        <v>92873</v>
      </c>
      <c r="D335" s="450" t="str">
        <f>QUANT!D1139</f>
        <v>SINAPI</v>
      </c>
      <c r="E335" s="639" t="str">
        <f>IFERROR(VLOOKUP($C335,'SINAPI MAIO 2020'!$1:$1048576,2,0),IFERROR(VLOOKUP($C335,'6-COMP. PROPRIA'!$B$1:$I$808,4,0),""))</f>
        <v>LANÇAMENTO COM USO DE BALDES, ADENSAMENTO E ACABAMENTO DE CONCRETO EM ESTRUTURAS. AF_12/2015</v>
      </c>
      <c r="F335" s="638" t="str">
        <f>IFERROR(VLOOKUP($C335,'SINAPI MAIO 2020'!$1:$1048576,3,0),IFERROR(VLOOKUP($C335,'6-COMP. PROPRIA'!$B$1:$I$808,5,0),""))</f>
        <v>M3</v>
      </c>
      <c r="G335" s="452">
        <f>QUANT!K1139</f>
        <v>0.06</v>
      </c>
      <c r="H335" s="452">
        <f>IFERROR(VLOOKUP($C335,'SINAPI MAIO 2020'!$1:$1048576,4,0),IFERROR(VLOOKUP($C335,'6-COMP. PROPRIA'!$B$1:$I$808,8,0),""))</f>
        <v>146.37</v>
      </c>
      <c r="I335" s="452">
        <f>TRUNC(($H335*'4-BDI'!$E$29),2)</f>
        <v>187.7</v>
      </c>
      <c r="J335" s="453">
        <f t="shared" si="140"/>
        <v>8.7799999999999994</v>
      </c>
      <c r="K335" s="454">
        <f t="shared" si="141"/>
        <v>11.26</v>
      </c>
      <c r="L335" s="187"/>
    </row>
    <row r="336" spans="2:12" s="203" customFormat="1" ht="45">
      <c r="B336" s="458" t="s">
        <v>6449</v>
      </c>
      <c r="C336" s="450" t="str">
        <f>QUANT!C1140</f>
        <v>CP-GAS-2</v>
      </c>
      <c r="D336" s="450" t="str">
        <f>QUANT!D1140</f>
        <v>PROPRIA</v>
      </c>
      <c r="E336" s="639" t="str">
        <f>IFERROR(VLOOKUP($C336,'SINAPI MAIO 2020'!$1:$1048576,2,0),IFERROR(VLOOKUP($C336,'6-COMP. PROPRIA'!$B$1:$I$808,4,0),""))</f>
        <v>FITA ADESIVA ANTICORROSIVA DE PVC FLEXIVEL, COR PRETA, PARA PROTECAO TUBULACAO, 50 MM X 30 M (L X C), E= *0,25* MM - FORNECIMETNO E INSTALAÇÃO</v>
      </c>
      <c r="F336" s="638" t="str">
        <f>IFERROR(VLOOKUP($C336,'SINAPI MAIO 2020'!$1:$1048576,3,0),IFERROR(VLOOKUP($C336,'6-COMP. PROPRIA'!$B$1:$I$808,5,0),""))</f>
        <v>M</v>
      </c>
      <c r="G336" s="452">
        <f>QUANT!K1140</f>
        <v>5</v>
      </c>
      <c r="H336" s="452">
        <f>IFERROR(VLOOKUP($C336,'SINAPI MAIO 2020'!$1:$1048576,4,0),IFERROR(VLOOKUP($C336,'6-COMP. PROPRIA'!$B$1:$I$808,8,0),""))</f>
        <v>14.23</v>
      </c>
      <c r="I336" s="452">
        <f>TRUNC(($H336*'4-BDI'!$E$29),2)</f>
        <v>18.239999999999998</v>
      </c>
      <c r="J336" s="453">
        <f t="shared" si="140"/>
        <v>71.150000000000006</v>
      </c>
      <c r="K336" s="454">
        <f t="shared" si="141"/>
        <v>91.2</v>
      </c>
      <c r="L336" s="187"/>
    </row>
    <row r="337" spans="2:12" s="203" customFormat="1" ht="30">
      <c r="B337" s="458" t="s">
        <v>6450</v>
      </c>
      <c r="C337" s="450" t="str">
        <f>QUANT!C1141</f>
        <v>CP-GAS-3</v>
      </c>
      <c r="D337" s="450" t="str">
        <f>QUANT!D1141</f>
        <v>PROPRIA</v>
      </c>
      <c r="E337" s="639" t="str">
        <f>IFERROR(VLOOKUP($C337,'SINAPI MAIO 2020'!$1:$1048576,2,0),IFERROR(VLOOKUP($C337,'6-COMP. PROPRIA'!$B$1:$I$808,4,0),""))</f>
        <v>VALVULA DE RETENCAO VERTICAL, DE BRONZE (PN-16), 3/4", 200 PSI, EXTREMIDADES COM ROSCA - FORNECIMENTO E INSTALAÇÃO</v>
      </c>
      <c r="F337" s="638" t="str">
        <f>IFERROR(VLOOKUP($C337,'SINAPI MAIO 2020'!$1:$1048576,3,0),IFERROR(VLOOKUP($C337,'6-COMP. PROPRIA'!$B$1:$I$808,5,0),""))</f>
        <v>UNI</v>
      </c>
      <c r="G337" s="452">
        <f>QUANT!K1141</f>
        <v>1</v>
      </c>
      <c r="H337" s="452">
        <f>IFERROR(VLOOKUP($C337,'SINAPI MAIO 2020'!$1:$1048576,4,0),IFERROR(VLOOKUP($C337,'6-COMP. PROPRIA'!$B$1:$I$808,8,0),""))</f>
        <v>52.07</v>
      </c>
      <c r="I337" s="452">
        <f>TRUNC(($H337*'4-BDI'!$E$29),2)</f>
        <v>66.77</v>
      </c>
      <c r="J337" s="453">
        <f t="shared" si="140"/>
        <v>52.07</v>
      </c>
      <c r="K337" s="454">
        <f t="shared" si="141"/>
        <v>66.77</v>
      </c>
      <c r="L337" s="187"/>
    </row>
    <row r="338" spans="2:12" s="203" customFormat="1" ht="45">
      <c r="B338" s="458" t="s">
        <v>6451</v>
      </c>
      <c r="C338" s="450">
        <f>QUANT!C1142</f>
        <v>92905</v>
      </c>
      <c r="D338" s="450" t="str">
        <f>QUANT!D1142</f>
        <v>SINAPI</v>
      </c>
      <c r="E338" s="639" t="str">
        <f>IFERROR(VLOOKUP($C338,'SINAPI MAIO 2020'!$1:$1048576,2,0),IFERROR(VLOOKUP($C338,'6-COMP. PROPRIA'!$B$1:$I$808,4,0),""))</f>
        <v>UNIÃO, EM FERRO GALVANIZADO, CONEXÃO ROSQUEADA, DN 20 (3/4"), INSTALADO EM RAMAIS E SUB-RAMAIS DE GÁS - FORNECIMENTO E INSTALAÇÃO. AF_12/2015</v>
      </c>
      <c r="F338" s="638" t="str">
        <f>IFERROR(VLOOKUP($C338,'SINAPI MAIO 2020'!$1:$1048576,3,0),IFERROR(VLOOKUP($C338,'6-COMP. PROPRIA'!$B$1:$I$808,5,0),""))</f>
        <v>UN</v>
      </c>
      <c r="G338" s="452">
        <f>QUANT!K1142</f>
        <v>8</v>
      </c>
      <c r="H338" s="452">
        <f>IFERROR(VLOOKUP($C338,'SINAPI MAIO 2020'!$1:$1048576,4,0),IFERROR(VLOOKUP($C338,'6-COMP. PROPRIA'!$B$1:$I$808,8,0),""))</f>
        <v>25.75</v>
      </c>
      <c r="I338" s="452">
        <f>TRUNC(($H338*'4-BDI'!$E$29),2)</f>
        <v>33.020000000000003</v>
      </c>
      <c r="J338" s="453">
        <f t="shared" si="140"/>
        <v>206</v>
      </c>
      <c r="K338" s="454">
        <f t="shared" si="141"/>
        <v>264.16000000000003</v>
      </c>
      <c r="L338" s="187"/>
    </row>
    <row r="339" spans="2:12" s="203" customFormat="1" ht="45">
      <c r="B339" s="458" t="s">
        <v>6452</v>
      </c>
      <c r="C339" s="450">
        <f>QUANT!C1143</f>
        <v>92694</v>
      </c>
      <c r="D339" s="450" t="str">
        <f>QUANT!D1143</f>
        <v>SINAPI</v>
      </c>
      <c r="E339" s="639" t="str">
        <f>IFERROR(VLOOKUP($C339,'SINAPI MAIO 2020'!$1:$1048576,2,0),IFERROR(VLOOKUP($C339,'6-COMP. PROPRIA'!$B$1:$I$808,4,0),""))</f>
        <v>NIPLE, EM FERRO GALVANIZADO, CONEXÃO ROSQUEADA, DN 20 (3/4"), INSTALADO EM RAMAIS E SUB-RAMAIS DE GÁS - FORNECIMENTO E INSTALAÇÃO. AF_12/2015</v>
      </c>
      <c r="F339" s="638" t="str">
        <f>IFERROR(VLOOKUP($C339,'SINAPI MAIO 2020'!$1:$1048576,3,0),IFERROR(VLOOKUP($C339,'6-COMP. PROPRIA'!$B$1:$I$808,5,0),""))</f>
        <v>UN</v>
      </c>
      <c r="G339" s="452">
        <f>QUANT!K1143</f>
        <v>6</v>
      </c>
      <c r="H339" s="452">
        <f>IFERROR(VLOOKUP($C339,'SINAPI MAIO 2020'!$1:$1048576,4,0),IFERROR(VLOOKUP($C339,'6-COMP. PROPRIA'!$B$1:$I$808,8,0),""))</f>
        <v>13.55</v>
      </c>
      <c r="I339" s="452">
        <f>TRUNC(($H339*'4-BDI'!$E$29),2)</f>
        <v>17.37</v>
      </c>
      <c r="J339" s="453">
        <f t="shared" si="140"/>
        <v>81.3</v>
      </c>
      <c r="K339" s="454">
        <f t="shared" si="141"/>
        <v>104.22</v>
      </c>
      <c r="L339" s="187"/>
    </row>
    <row r="340" spans="2:12" s="203" customFormat="1" ht="45">
      <c r="B340" s="458" t="s">
        <v>6453</v>
      </c>
      <c r="C340" s="450">
        <f>QUANT!C1144</f>
        <v>92692</v>
      </c>
      <c r="D340" s="450" t="str">
        <f>QUANT!D1144</f>
        <v>SINAPI</v>
      </c>
      <c r="E340" s="639" t="str">
        <f>IFERROR(VLOOKUP($C340,'SINAPI MAIO 2020'!$1:$1048576,2,0),IFERROR(VLOOKUP($C340,'6-COMP. PROPRIA'!$B$1:$I$808,4,0),""))</f>
        <v>NIPLE, EM FERRO GALVANIZADO, CONEXÃO ROSQUEADA, DN 15 (1/2"), INSTALADO EM RAMAIS E SUB-RAMAIS DE GÁS - FORNECIMENTO E INSTALAÇÃO. AF_12/2015</v>
      </c>
      <c r="F340" s="638" t="str">
        <f>IFERROR(VLOOKUP($C340,'SINAPI MAIO 2020'!$1:$1048576,3,0),IFERROR(VLOOKUP($C340,'6-COMP. PROPRIA'!$B$1:$I$808,5,0),""))</f>
        <v>UN</v>
      </c>
      <c r="G340" s="452">
        <f>QUANT!K1144</f>
        <v>8</v>
      </c>
      <c r="H340" s="452">
        <f>IFERROR(VLOOKUP($C340,'SINAPI MAIO 2020'!$1:$1048576,4,0),IFERROR(VLOOKUP($C340,'6-COMP. PROPRIA'!$B$1:$I$808,8,0),""))</f>
        <v>8.44</v>
      </c>
      <c r="I340" s="452">
        <f>TRUNC(($H340*'4-BDI'!$E$29),2)</f>
        <v>10.82</v>
      </c>
      <c r="J340" s="453">
        <f t="shared" si="140"/>
        <v>67.52</v>
      </c>
      <c r="K340" s="454">
        <f t="shared" si="141"/>
        <v>86.56</v>
      </c>
      <c r="L340" s="187"/>
    </row>
    <row r="341" spans="2:12" s="203" customFormat="1" ht="30">
      <c r="B341" s="458" t="s">
        <v>6454</v>
      </c>
      <c r="C341" s="450" t="str">
        <f>QUANT!C1145</f>
        <v>CP-GAS-3</v>
      </c>
      <c r="D341" s="450" t="str">
        <f>QUANT!D1145</f>
        <v>PROPRIA</v>
      </c>
      <c r="E341" s="639" t="str">
        <f>IFERROR(VLOOKUP($C341,'SINAPI MAIO 2020'!$1:$1048576,2,0),IFERROR(VLOOKUP($C341,'6-COMP. PROPRIA'!$B$1:$I$808,4,0),""))</f>
        <v>VALVULA DE RETENCAO VERTICAL, DE BRONZE (PN-16), 3/4", 200 PSI, EXTREMIDADES COM ROSCA - FORNECIMENTO E INSTALAÇÃO</v>
      </c>
      <c r="F341" s="638" t="str">
        <f>IFERROR(VLOOKUP($C341,'SINAPI MAIO 2020'!$1:$1048576,3,0),IFERROR(VLOOKUP($C341,'6-COMP. PROPRIA'!$B$1:$I$808,5,0),""))</f>
        <v>UNI</v>
      </c>
      <c r="G341" s="452">
        <f>QUANT!K1145</f>
        <v>1</v>
      </c>
      <c r="H341" s="452">
        <f>IFERROR(VLOOKUP($C341,'SINAPI MAIO 2020'!$1:$1048576,4,0),IFERROR(VLOOKUP($C341,'6-COMP. PROPRIA'!$B$1:$I$808,8,0),""))</f>
        <v>52.07</v>
      </c>
      <c r="I341" s="452">
        <f>TRUNC(($H341*'4-BDI'!$E$29),2)</f>
        <v>66.77</v>
      </c>
      <c r="J341" s="453">
        <f t="shared" si="140"/>
        <v>52.07</v>
      </c>
      <c r="K341" s="454">
        <f t="shared" si="141"/>
        <v>66.77</v>
      </c>
      <c r="L341" s="187"/>
    </row>
    <row r="342" spans="2:12" s="203" customFormat="1" ht="45">
      <c r="B342" s="458" t="s">
        <v>6455</v>
      </c>
      <c r="C342" s="450">
        <f>QUANT!C1146</f>
        <v>92953</v>
      </c>
      <c r="D342" s="450" t="str">
        <f>QUANT!D1146</f>
        <v>SINAPI</v>
      </c>
      <c r="E342" s="639" t="str">
        <f>IFERROR(VLOOKUP($C342,'SINAPI MAIO 2020'!$1:$1048576,2,0),IFERROR(VLOOKUP($C342,'6-COMP. PROPRIA'!$B$1:$I$808,4,0),""))</f>
        <v>LUVA DE REDUÇÃO, EM FERRO GALVANIZADO, 3/4" X 1/2", CONEXÃO ROSQUEADA, INSTALADO EM RAMAIS E SUB-RAMAIS DE GÁS - FORNECIMENTO E INSTALAÇÃO. AF_12/2015</v>
      </c>
      <c r="F342" s="638" t="str">
        <f>IFERROR(VLOOKUP($C342,'SINAPI MAIO 2020'!$1:$1048576,3,0),IFERROR(VLOOKUP($C342,'6-COMP. PROPRIA'!$B$1:$I$808,5,0),""))</f>
        <v>UN</v>
      </c>
      <c r="G342" s="452">
        <f>QUANT!K1146</f>
        <v>4</v>
      </c>
      <c r="H342" s="452">
        <f>IFERROR(VLOOKUP($C342,'SINAPI MAIO 2020'!$1:$1048576,4,0),IFERROR(VLOOKUP($C342,'6-COMP. PROPRIA'!$B$1:$I$808,8,0),""))</f>
        <v>14.42</v>
      </c>
      <c r="I342" s="452">
        <f>TRUNC(($H342*'4-BDI'!$E$29),2)</f>
        <v>18.489999999999998</v>
      </c>
      <c r="J342" s="453">
        <f t="shared" si="140"/>
        <v>57.68</v>
      </c>
      <c r="K342" s="454">
        <f t="shared" si="141"/>
        <v>73.959999999999994</v>
      </c>
      <c r="L342" s="187"/>
    </row>
    <row r="343" spans="2:12" s="203" customFormat="1" ht="45">
      <c r="B343" s="458" t="s">
        <v>6456</v>
      </c>
      <c r="C343" s="450">
        <f>QUANT!C1147</f>
        <v>92701</v>
      </c>
      <c r="D343" s="450" t="str">
        <f>QUANT!D1147</f>
        <v>SINAPI</v>
      </c>
      <c r="E343" s="639" t="str">
        <f>IFERROR(VLOOKUP($C343,'SINAPI MAIO 2020'!$1:$1048576,2,0),IFERROR(VLOOKUP($C343,'6-COMP. PROPRIA'!$B$1:$I$808,4,0),""))</f>
        <v>JOELHO 90 GRAUS, EM FERRO GALVANIZADO, CONEXÃO ROSQUEADA, DN 20 (3/4"), INSTALADO EM RAMAIS E SUB-RAMAIS DE GÁS - FORNECIMENTO E INSTALAÇÃO. AF_12/2015</v>
      </c>
      <c r="F343" s="638" t="str">
        <f>IFERROR(VLOOKUP($C343,'SINAPI MAIO 2020'!$1:$1048576,3,0),IFERROR(VLOOKUP($C343,'6-COMP. PROPRIA'!$B$1:$I$808,5,0),""))</f>
        <v>UN</v>
      </c>
      <c r="G343" s="452">
        <f>QUANT!K1147</f>
        <v>8</v>
      </c>
      <c r="H343" s="452">
        <f>IFERROR(VLOOKUP($C343,'SINAPI MAIO 2020'!$1:$1048576,4,0),IFERROR(VLOOKUP($C343,'6-COMP. PROPRIA'!$B$1:$I$808,8,0),""))</f>
        <v>19.510000000000002</v>
      </c>
      <c r="I343" s="452">
        <f>TRUNC(($H343*'4-BDI'!$E$29),2)</f>
        <v>25.01</v>
      </c>
      <c r="J343" s="453">
        <f t="shared" si="140"/>
        <v>156.08000000000001</v>
      </c>
      <c r="K343" s="454">
        <f t="shared" si="141"/>
        <v>200.08</v>
      </c>
      <c r="L343" s="187"/>
    </row>
    <row r="344" spans="2:12" s="203" customFormat="1" ht="30">
      <c r="B344" s="458" t="s">
        <v>6457</v>
      </c>
      <c r="C344" s="450" t="str">
        <f>QUANT!C1148</f>
        <v>CP-GAS-4</v>
      </c>
      <c r="D344" s="450" t="str">
        <f>QUANT!D1148</f>
        <v>PROPRIA</v>
      </c>
      <c r="E344" s="639" t="str">
        <f>IFERROR(VLOOKUP($C344,'SINAPI MAIO 2020'!$1:$1048576,2,0),IFERROR(VLOOKUP($C344,'6-COMP. PROPRIA'!$B$1:$I$808,4,0),""))</f>
        <v xml:space="preserve">REGUALADOR DE 1º ESTÁGIO PARA 10KG - FORNECIMENTO E INSTALAÇÃO </v>
      </c>
      <c r="F344" s="638" t="str">
        <f>IFERROR(VLOOKUP($C344,'SINAPI MAIO 2020'!$1:$1048576,3,0),IFERROR(VLOOKUP($C344,'6-COMP. PROPRIA'!$B$1:$I$808,5,0),""))</f>
        <v>UNI</v>
      </c>
      <c r="G344" s="452">
        <f>QUANT!K1148</f>
        <v>1</v>
      </c>
      <c r="H344" s="452">
        <f>IFERROR(VLOOKUP($C344,'SINAPI MAIO 2020'!$1:$1048576,4,0),IFERROR(VLOOKUP($C344,'6-COMP. PROPRIA'!$B$1:$I$808,8,0),""))</f>
        <v>82.48</v>
      </c>
      <c r="I344" s="452">
        <f>TRUNC(($H344*'4-BDI'!$E$29),2)</f>
        <v>105.77</v>
      </c>
      <c r="J344" s="453">
        <f t="shared" si="140"/>
        <v>82.48</v>
      </c>
      <c r="K344" s="454">
        <f t="shared" si="141"/>
        <v>105.77</v>
      </c>
      <c r="L344" s="187"/>
    </row>
    <row r="345" spans="2:12" s="203" customFormat="1" ht="45">
      <c r="B345" s="458" t="s">
        <v>6458</v>
      </c>
      <c r="C345" s="450" t="str">
        <f>QUANT!C1149</f>
        <v>CP-GAS-5</v>
      </c>
      <c r="D345" s="450" t="str">
        <f>QUANT!D1149</f>
        <v>PROPRIA</v>
      </c>
      <c r="E345" s="639" t="str">
        <f>IFERROR(VLOOKUP($C345,'SINAPI MAIO 2020'!$1:$1048576,2,0),IFERROR(VLOOKUP($C345,'6-COMP. PROPRIA'!$B$1:$I$808,4,0),""))</f>
        <v>MANOMETRO COM CAIXA EM ACO PINTADO, ESCALA *10* KGF/CM2 (*10* BAR), DIAMETRO NOMINAL DE 100 MM, CONEXAO DE 1/2" - FORNECIMENTO E INSTALAÇÃO</v>
      </c>
      <c r="F345" s="638" t="str">
        <f>IFERROR(VLOOKUP($C345,'SINAPI MAIO 2020'!$1:$1048576,3,0),IFERROR(VLOOKUP($C345,'6-COMP. PROPRIA'!$B$1:$I$808,5,0),""))</f>
        <v>UNI</v>
      </c>
      <c r="G345" s="452">
        <f>QUANT!K1149</f>
        <v>1</v>
      </c>
      <c r="H345" s="452">
        <f>IFERROR(VLOOKUP($C345,'SINAPI MAIO 2020'!$1:$1048576,4,0),IFERROR(VLOOKUP($C345,'6-COMP. PROPRIA'!$B$1:$I$808,8,0),""))</f>
        <v>153.33000000000001</v>
      </c>
      <c r="I345" s="452">
        <f>TRUNC(($H345*'4-BDI'!$E$29),2)</f>
        <v>196.63</v>
      </c>
      <c r="J345" s="453">
        <f t="shared" si="140"/>
        <v>153.33000000000001</v>
      </c>
      <c r="K345" s="454">
        <f t="shared" si="141"/>
        <v>196.63</v>
      </c>
      <c r="L345" s="187"/>
    </row>
    <row r="346" spans="2:12" s="203" customFormat="1" ht="60">
      <c r="B346" s="458" t="s">
        <v>6459</v>
      </c>
      <c r="C346" s="450" t="str">
        <f>QUANT!C1150</f>
        <v>CP-GAS-6</v>
      </c>
      <c r="D346" s="450" t="str">
        <f>QUANT!D1150</f>
        <v>PROPRIA</v>
      </c>
      <c r="E346" s="639" t="str">
        <f>IFERROR(VLOOKUP($C346,'SINAPI MAIO 2020'!$1:$1048576,2,0),IFERROR(VLOOKUP($C346,'6-COMP. PROPRIA'!$B$1:$I$808,4,0),""))</f>
        <v>PLACA DE SINALIZACAO DE SEGURANCA CONTRA INCENDIO, FOTOLUMINESCENTE, RETANGULAR, *20 X 40* CM, EM PVC *2* MM ANTI-CHAMAS (SIMBOLOS, CORES E PICTOGRAMAS CONFORME NBR 13434) - FORNECIMENTO E INSTALAÇÃO</v>
      </c>
      <c r="F346" s="638" t="str">
        <f>IFERROR(VLOOKUP($C346,'SINAPI MAIO 2020'!$1:$1048576,3,0),IFERROR(VLOOKUP($C346,'6-COMP. PROPRIA'!$B$1:$I$808,5,0),""))</f>
        <v>UNI</v>
      </c>
      <c r="G346" s="452">
        <f>QUANT!K1150</f>
        <v>1</v>
      </c>
      <c r="H346" s="452">
        <f>IFERROR(VLOOKUP($C346,'SINAPI MAIO 2020'!$1:$1048576,4,0),IFERROR(VLOOKUP($C346,'6-COMP. PROPRIA'!$B$1:$I$808,8,0),""))</f>
        <v>37.4</v>
      </c>
      <c r="I346" s="452">
        <f>TRUNC(($H346*'4-BDI'!$E$29),2)</f>
        <v>47.96</v>
      </c>
      <c r="J346" s="453">
        <f t="shared" si="140"/>
        <v>37.4</v>
      </c>
      <c r="K346" s="454">
        <f t="shared" si="141"/>
        <v>47.96</v>
      </c>
      <c r="L346" s="187"/>
    </row>
    <row r="347" spans="2:12" s="203" customFormat="1" ht="60">
      <c r="B347" s="458" t="s">
        <v>6460</v>
      </c>
      <c r="C347" s="450" t="str">
        <f>QUANT!C1151</f>
        <v>CP-GAS-7</v>
      </c>
      <c r="D347" s="450" t="str">
        <f>QUANT!D1151</f>
        <v>PROPRIA</v>
      </c>
      <c r="E347" s="639" t="str">
        <f>IFERROR(VLOOKUP($C347,'SINAPI MAIO 2020'!$1:$1048576,2,0),IFERROR(VLOOKUP($C347,'6-COMP. PROPRIA'!$B$1:$I$808,4,0),""))</f>
        <v>PLACA DE SINALIZACAO DE SEGURANCA CONTRA INCENDIO - ALERTA, TRIANGULAR, BASE DE *30* CM, EM PVC *2* MM ANTI-CHAMAS (SIMBOLOS, CORES E PICTOGRAMAS CONFORME NBR 13434) - FORNECIMENTO E INSTALAÇÃO</v>
      </c>
      <c r="F347" s="638" t="str">
        <f>IFERROR(VLOOKUP($C347,'SINAPI MAIO 2020'!$1:$1048576,3,0),IFERROR(VLOOKUP($C347,'6-COMP. PROPRIA'!$B$1:$I$808,5,0),""))</f>
        <v>UNI</v>
      </c>
      <c r="G347" s="452">
        <f>QUANT!K1151</f>
        <v>1</v>
      </c>
      <c r="H347" s="452">
        <f>IFERROR(VLOOKUP($C347,'SINAPI MAIO 2020'!$1:$1048576,4,0),IFERROR(VLOOKUP($C347,'6-COMP. PROPRIA'!$B$1:$I$808,8,0),""))</f>
        <v>38.44</v>
      </c>
      <c r="I347" s="452">
        <f>TRUNC(($H347*'4-BDI'!$E$29),2)</f>
        <v>49.29</v>
      </c>
      <c r="J347" s="453">
        <f t="shared" si="140"/>
        <v>38.44</v>
      </c>
      <c r="K347" s="454">
        <f t="shared" si="141"/>
        <v>49.29</v>
      </c>
      <c r="L347" s="187"/>
    </row>
    <row r="348" spans="2:12" s="203" customFormat="1" ht="15.75">
      <c r="B348" s="746" t="s">
        <v>4710</v>
      </c>
      <c r="C348" s="747"/>
      <c r="D348" s="747"/>
      <c r="E348" s="747"/>
      <c r="F348" s="747"/>
      <c r="G348" s="747"/>
      <c r="H348" s="747"/>
      <c r="I348" s="456"/>
      <c r="J348" s="457">
        <f>TRUNC(SUM(J333:J347),2)</f>
        <v>3761.01</v>
      </c>
      <c r="K348" s="457">
        <f>TRUNC(SUM(K333:K347),2)</f>
        <v>4822.87</v>
      </c>
      <c r="L348" s="187"/>
    </row>
    <row r="349" spans="2:12" ht="15.75">
      <c r="B349" s="440" t="s">
        <v>6461</v>
      </c>
      <c r="C349" s="441"/>
      <c r="D349" s="442"/>
      <c r="E349" s="443" t="str">
        <f>QUANT!E1153</f>
        <v xml:space="preserve">INSTALAÇÕES ELÉTRICAS </v>
      </c>
      <c r="F349" s="444"/>
      <c r="G349" s="445"/>
      <c r="H349" s="446"/>
      <c r="I349" s="446"/>
      <c r="J349" s="447"/>
      <c r="K349" s="448"/>
      <c r="L349" s="187"/>
    </row>
    <row r="350" spans="2:12" s="203" customFormat="1" ht="15.75">
      <c r="B350" s="482" t="s">
        <v>6462</v>
      </c>
      <c r="C350" s="483"/>
      <c r="D350" s="484"/>
      <c r="E350" s="485" t="str">
        <f>QUANT!E1155</f>
        <v>RASGO</v>
      </c>
      <c r="F350" s="486"/>
      <c r="G350" s="487"/>
      <c r="H350" s="488"/>
      <c r="I350" s="488"/>
      <c r="J350" s="489"/>
      <c r="K350" s="457"/>
      <c r="L350" s="187"/>
    </row>
    <row r="351" spans="2:12" s="203" customFormat="1" ht="30">
      <c r="B351" s="458" t="s">
        <v>6463</v>
      </c>
      <c r="C351" s="450">
        <f>QUANT!C1156</f>
        <v>97622</v>
      </c>
      <c r="D351" s="450" t="str">
        <f>QUANT!D1156</f>
        <v>SINAPI</v>
      </c>
      <c r="E351" s="639" t="str">
        <f>IFERROR(VLOOKUP($C351,'SINAPI MAIO 2020'!$1:$1048576,2,0),IFERROR(VLOOKUP($C351,'6-COMP. PROPRIA'!$B$1:$I$808,4,0),""))</f>
        <v>DEMOLIÇÃO DE ALVENARIA DE BLOCO FURADO, DE FORMA MANUAL, SEM REAPROVEITAMENTO. AF_12/2017</v>
      </c>
      <c r="F351" s="638" t="str">
        <f>IFERROR(VLOOKUP($C351,'SINAPI MAIO 2020'!$1:$1048576,3,0),IFERROR(VLOOKUP($C351,'6-COMP. PROPRIA'!$B$1:$I$808,5,0),""))</f>
        <v>M3</v>
      </c>
      <c r="G351" s="452">
        <f>QUANT!K1156</f>
        <v>0.51370000000000005</v>
      </c>
      <c r="H351" s="452">
        <f>IFERROR(VLOOKUP($C351,'SINAPI MAIO 2020'!$1:$1048576,4,0),IFERROR(VLOOKUP($C351,'6-COMP. PROPRIA'!$B$1:$I$808,8,0),""))</f>
        <v>37.39</v>
      </c>
      <c r="I351" s="452">
        <f>TRUNC(($H351*'4-BDI'!$E$29),2)</f>
        <v>47.94</v>
      </c>
      <c r="J351" s="453">
        <f t="shared" ref="J351" si="142">TRUNC((G351*H351),2)</f>
        <v>19.2</v>
      </c>
      <c r="K351" s="454">
        <f t="shared" ref="K351" si="143">TRUNC((I351*G351),2)</f>
        <v>24.62</v>
      </c>
      <c r="L351" s="187"/>
    </row>
    <row r="352" spans="2:12" s="203" customFormat="1" ht="30">
      <c r="B352" s="458" t="s">
        <v>6464</v>
      </c>
      <c r="C352" s="450">
        <f>QUANT!C1164</f>
        <v>94975</v>
      </c>
      <c r="D352" s="450" t="str">
        <f>QUANT!D1164</f>
        <v>SINAPI</v>
      </c>
      <c r="E352" s="639" t="str">
        <f>IFERROR(VLOOKUP($C352,'SINAPI MAIO 2020'!$1:$1048576,2,0),IFERROR(VLOOKUP($C352,'6-COMP. PROPRIA'!$B$1:$I$808,4,0),""))</f>
        <v>CONCRETO FCK = 15MPA, TRAÇO 1:3,4:3,5 (CIMENTO/ AREIA MÉDIA/ BRITA 1)  - PREPARO MANUAL. AF_07/2016</v>
      </c>
      <c r="F352" s="638" t="str">
        <f>IFERROR(VLOOKUP($C352,'SINAPI MAIO 2020'!$1:$1048576,3,0),IFERROR(VLOOKUP($C352,'6-COMP. PROPRIA'!$B$1:$I$808,5,0),""))</f>
        <v>M3</v>
      </c>
      <c r="G352" s="452">
        <f>QUANT!K1164</f>
        <v>0.47881460000000009</v>
      </c>
      <c r="H352" s="452">
        <f>IFERROR(VLOOKUP($C352,'SINAPI MAIO 2020'!$1:$1048576,4,0),IFERROR(VLOOKUP($C352,'6-COMP. PROPRIA'!$B$1:$I$808,8,0),""))</f>
        <v>378.3</v>
      </c>
      <c r="I352" s="452">
        <f>TRUNC(($H352*'4-BDI'!$E$29),2)</f>
        <v>485.13</v>
      </c>
      <c r="J352" s="453">
        <f t="shared" ref="J352:J357" si="144">TRUNC((G352*H352),2)</f>
        <v>181.13</v>
      </c>
      <c r="K352" s="454">
        <f t="shared" ref="K352:K357" si="145">TRUNC((I352*G352),2)</f>
        <v>232.28</v>
      </c>
      <c r="L352" s="187"/>
    </row>
    <row r="353" spans="2:12" s="203" customFormat="1" ht="30">
      <c r="B353" s="458" t="s">
        <v>6465</v>
      </c>
      <c r="C353" s="450">
        <f>QUANT!C1173</f>
        <v>93358</v>
      </c>
      <c r="D353" s="450" t="str">
        <f>QUANT!D1173</f>
        <v>SINAPI</v>
      </c>
      <c r="E353" s="639" t="str">
        <f>IFERROR(VLOOKUP($C353,'SINAPI MAIO 2020'!$1:$1048576,2,0),IFERROR(VLOOKUP($C353,'6-COMP. PROPRIA'!$B$1:$I$808,4,0),""))</f>
        <v>ESCAVAÇÃO MANUAL DE VALA COM PROFUNDIDADE MENOR OU IGUAL A 1,30 M. AF_03/2016</v>
      </c>
      <c r="F353" s="638" t="str">
        <f>IFERROR(VLOOKUP($C353,'SINAPI MAIO 2020'!$1:$1048576,3,0),IFERROR(VLOOKUP($C353,'6-COMP. PROPRIA'!$B$1:$I$808,5,0),""))</f>
        <v>M3</v>
      </c>
      <c r="G353" s="452">
        <f>QUANT!K1173</f>
        <v>1.0394999999999999</v>
      </c>
      <c r="H353" s="452">
        <f>IFERROR(VLOOKUP($C353,'SINAPI MAIO 2020'!$1:$1048576,4,0),IFERROR(VLOOKUP($C353,'6-COMP. PROPRIA'!$B$1:$I$808,8,0),""))</f>
        <v>56.84</v>
      </c>
      <c r="I353" s="452">
        <f>TRUNC(($H353*'4-BDI'!$E$29),2)</f>
        <v>72.89</v>
      </c>
      <c r="J353" s="453">
        <f t="shared" si="144"/>
        <v>59.08</v>
      </c>
      <c r="K353" s="454">
        <f t="shared" si="145"/>
        <v>75.760000000000005</v>
      </c>
      <c r="L353" s="187"/>
    </row>
    <row r="354" spans="2:12" s="203" customFormat="1" ht="15">
      <c r="B354" s="458" t="s">
        <v>6466</v>
      </c>
      <c r="C354" s="450" t="str">
        <f>QUANT!C1189</f>
        <v>CP-DEM-2</v>
      </c>
      <c r="D354" s="450" t="str">
        <f>QUANT!D1189</f>
        <v>PROPRIA</v>
      </c>
      <c r="E354" s="639" t="str">
        <f>IFERROR(VLOOKUP($C354,'SINAPI MAIO 2020'!$1:$1048576,2,0),IFERROR(VLOOKUP($C354,'6-COMP. PROPRIA'!$B$1:$I$808,4,0),""))</f>
        <v>DEMOLIÇÃO DE CONCRETO SIMPLES</v>
      </c>
      <c r="F354" s="638" t="str">
        <f>IFERROR(VLOOKUP($C354,'SINAPI MAIO 2020'!$1:$1048576,3,0),IFERROR(VLOOKUP($C354,'6-COMP. PROPRIA'!$B$1:$I$808,5,0),""))</f>
        <v>M3</v>
      </c>
      <c r="G354" s="452">
        <f>QUANT!K1189</f>
        <v>0.12825</v>
      </c>
      <c r="H354" s="452">
        <f>IFERROR(VLOOKUP($C354,'SINAPI MAIO 2020'!$1:$1048576,4,0),IFERROR(VLOOKUP($C354,'6-COMP. PROPRIA'!$B$1:$I$808,8,0),""))</f>
        <v>209.89</v>
      </c>
      <c r="I354" s="452">
        <f>TRUNC(($H354*'4-BDI'!$E$29),2)</f>
        <v>269.16000000000003</v>
      </c>
      <c r="J354" s="453">
        <f t="shared" si="144"/>
        <v>26.91</v>
      </c>
      <c r="K354" s="454">
        <f t="shared" si="145"/>
        <v>34.51</v>
      </c>
      <c r="L354" s="187"/>
    </row>
    <row r="355" spans="2:12" s="203" customFormat="1" ht="15">
      <c r="B355" s="458" t="s">
        <v>6544</v>
      </c>
      <c r="C355" s="450">
        <f>QUANT!C1197</f>
        <v>96995</v>
      </c>
      <c r="D355" s="450" t="str">
        <f>QUANT!D1197</f>
        <v>SINAPI</v>
      </c>
      <c r="E355" s="639" t="str">
        <f>IFERROR(VLOOKUP($C355,'SINAPI MAIO 2020'!$1:$1048576,2,0),IFERROR(VLOOKUP($C355,'6-COMP. PROPRIA'!$B$1:$I$808,4,0),""))</f>
        <v>REATERRO MANUAL APILOADO COM SOQUETE. AF_10/2017</v>
      </c>
      <c r="F355" s="638" t="str">
        <f>IFERROR(VLOOKUP($C355,'SINAPI MAIO 2020'!$1:$1048576,3,0),IFERROR(VLOOKUP($C355,'6-COMP. PROPRIA'!$B$1:$I$808,5,0),""))</f>
        <v>M3</v>
      </c>
      <c r="G355" s="452">
        <f>QUANT!K1197</f>
        <v>0.1994999999999999</v>
      </c>
      <c r="H355" s="452">
        <f>IFERROR(VLOOKUP($C355,'SINAPI MAIO 2020'!$1:$1048576,4,0),IFERROR(VLOOKUP($C355,'6-COMP. PROPRIA'!$B$1:$I$808,8,0),""))</f>
        <v>34.46</v>
      </c>
      <c r="I355" s="452">
        <f>TRUNC(($H355*'4-BDI'!$E$29),2)</f>
        <v>44.19</v>
      </c>
      <c r="J355" s="453">
        <f t="shared" si="144"/>
        <v>6.87</v>
      </c>
      <c r="K355" s="454">
        <f t="shared" si="145"/>
        <v>8.81</v>
      </c>
      <c r="L355" s="187"/>
    </row>
    <row r="356" spans="2:12" s="203" customFormat="1" ht="15">
      <c r="B356" s="458" t="s">
        <v>6545</v>
      </c>
      <c r="C356" s="450">
        <f>QUANT!C1202</f>
        <v>72897</v>
      </c>
      <c r="D356" s="450" t="str">
        <f>QUANT!D1202</f>
        <v>SINAPI</v>
      </c>
      <c r="E356" s="639" t="str">
        <f>IFERROR(VLOOKUP($C356,'SINAPI MAIO 2020'!$1:$1048576,2,0),IFERROR(VLOOKUP($C356,'6-COMP. PROPRIA'!$B$1:$I$808,4,0),""))</f>
        <v>CARGA MANUAL DE ENTULHO EM CAMINHAO BASCULANTE 6 M3</v>
      </c>
      <c r="F356" s="638" t="str">
        <f>IFERROR(VLOOKUP($C356,'SINAPI MAIO 2020'!$1:$1048576,3,0),IFERROR(VLOOKUP($C356,'6-COMP. PROPRIA'!$B$1:$I$808,5,0),""))</f>
        <v>M3</v>
      </c>
      <c r="G356" s="452">
        <f>QUANT!K1202</f>
        <v>1.9265349999999999</v>
      </c>
      <c r="H356" s="452">
        <f>IFERROR(VLOOKUP($C356,'SINAPI MAIO 2020'!$1:$1048576,4,0),IFERROR(VLOOKUP($C356,'6-COMP. PROPRIA'!$B$1:$I$808,8,0),""))</f>
        <v>17.510000000000002</v>
      </c>
      <c r="I356" s="452">
        <f>TRUNC(($H356*'4-BDI'!$E$29),2)</f>
        <v>22.45</v>
      </c>
      <c r="J356" s="453">
        <f t="shared" si="144"/>
        <v>33.729999999999997</v>
      </c>
      <c r="K356" s="454">
        <f t="shared" si="145"/>
        <v>43.25</v>
      </c>
      <c r="L356" s="187"/>
    </row>
    <row r="357" spans="2:12" s="203" customFormat="1" ht="30">
      <c r="B357" s="458" t="s">
        <v>6546</v>
      </c>
      <c r="C357" s="450">
        <f>QUANT!C1206</f>
        <v>97914</v>
      </c>
      <c r="D357" s="450" t="str">
        <f>QUANT!D1206</f>
        <v>SINAPI</v>
      </c>
      <c r="E357" s="639" t="str">
        <f>IFERROR(VLOOKUP($C357,'SINAPI MAIO 2020'!$1:$1048576,2,0),IFERROR(VLOOKUP($C357,'6-COMP. PROPRIA'!$B$1:$I$808,4,0),""))</f>
        <v>TRANSPORTE COM CAMINHÃO BASCULANTE DE 6 M3, EM VIA URBANA PAVIMENTADA, DMT ATÉ 30 KM (UNIDADE: M3XKM). AF_01/2018</v>
      </c>
      <c r="F357" s="638" t="str">
        <f>IFERROR(VLOOKUP($C357,'SINAPI MAIO 2020'!$1:$1048576,3,0),IFERROR(VLOOKUP($C357,'6-COMP. PROPRIA'!$B$1:$I$808,5,0),""))</f>
        <v>M3XKM</v>
      </c>
      <c r="G357" s="452">
        <f>QUANT!K1206</f>
        <v>48.163374999999995</v>
      </c>
      <c r="H357" s="452">
        <f>IFERROR(VLOOKUP($C357,'SINAPI MAIO 2020'!$1:$1048576,4,0),IFERROR(VLOOKUP($C357,'6-COMP. PROPRIA'!$B$1:$I$808,8,0),""))</f>
        <v>1.07</v>
      </c>
      <c r="I357" s="452">
        <f>TRUNC(($H357*'4-BDI'!$E$29),2)</f>
        <v>1.37</v>
      </c>
      <c r="J357" s="453">
        <f t="shared" si="144"/>
        <v>51.53</v>
      </c>
      <c r="K357" s="454">
        <f t="shared" si="145"/>
        <v>65.98</v>
      </c>
      <c r="L357" s="187"/>
    </row>
    <row r="358" spans="2:12" s="203" customFormat="1" ht="15.75">
      <c r="B358" s="746" t="s">
        <v>12564</v>
      </c>
      <c r="C358" s="747"/>
      <c r="D358" s="747"/>
      <c r="E358" s="747"/>
      <c r="F358" s="747"/>
      <c r="G358" s="747"/>
      <c r="H358" s="747"/>
      <c r="I358" s="456"/>
      <c r="J358" s="457">
        <f>TRUNC(SUM(J351:J357),2)</f>
        <v>378.45</v>
      </c>
      <c r="K358" s="457">
        <f>TRUNC(SUM(K351:K357),2)</f>
        <v>485.21</v>
      </c>
      <c r="L358" s="187"/>
    </row>
    <row r="359" spans="2:12" s="203" customFormat="1" ht="15.75">
      <c r="B359" s="482" t="s">
        <v>6467</v>
      </c>
      <c r="C359" s="483"/>
      <c r="D359" s="484"/>
      <c r="E359" s="485" t="str">
        <f>QUANT!E1211</f>
        <v>CAIXA</v>
      </c>
      <c r="F359" s="486"/>
      <c r="G359" s="487"/>
      <c r="H359" s="488"/>
      <c r="I359" s="488"/>
      <c r="J359" s="489"/>
      <c r="K359" s="457"/>
      <c r="L359" s="187"/>
    </row>
    <row r="360" spans="2:12" s="203" customFormat="1" ht="30">
      <c r="B360" s="458" t="s">
        <v>6468</v>
      </c>
      <c r="C360" s="450">
        <f>QUANT!C1213</f>
        <v>91941</v>
      </c>
      <c r="D360" s="450" t="str">
        <f>QUANT!D1213</f>
        <v>SINAPI</v>
      </c>
      <c r="E360" s="639" t="str">
        <f>IFERROR(VLOOKUP($C360,'SINAPI MAIO 2020'!$1:$1048576,2,0),IFERROR(VLOOKUP($C360,'6-COMP. PROPRIA'!$B$1:$I$808,4,0),""))</f>
        <v>CAIXA RETANGULAR 4" X 2" BAIXA (0,30 M DO PISO), PVC, INSTALADA EM PAREDE - FORNECIMENTO E INSTALAÇÃO. AF_12/2015</v>
      </c>
      <c r="F360" s="638" t="str">
        <f>IFERROR(VLOOKUP($C360,'SINAPI MAIO 2020'!$1:$1048576,3,0),IFERROR(VLOOKUP($C360,'6-COMP. PROPRIA'!$B$1:$I$808,5,0),""))</f>
        <v>UN</v>
      </c>
      <c r="G360" s="452">
        <f>QUANT!K1213</f>
        <v>30</v>
      </c>
      <c r="H360" s="452">
        <f>IFERROR(VLOOKUP($C360,'SINAPI MAIO 2020'!$1:$1048576,4,0),IFERROR(VLOOKUP($C360,'6-COMP. PROPRIA'!$B$1:$I$808,8,0),""))</f>
        <v>6.79</v>
      </c>
      <c r="I360" s="452">
        <f>TRUNC(($H360*'4-BDI'!$E$29),2)</f>
        <v>8.6999999999999993</v>
      </c>
      <c r="J360" s="453">
        <f t="shared" ref="J360" si="146">TRUNC((G360*H360),2)</f>
        <v>203.7</v>
      </c>
      <c r="K360" s="454">
        <f t="shared" ref="K360" si="147">TRUNC((I360*G360),2)</f>
        <v>261</v>
      </c>
      <c r="L360" s="187"/>
    </row>
    <row r="361" spans="2:12" s="203" customFormat="1" ht="30">
      <c r="B361" s="458" t="s">
        <v>6469</v>
      </c>
      <c r="C361" s="450">
        <f>QUANT!C1214</f>
        <v>91940</v>
      </c>
      <c r="D361" s="450" t="str">
        <f>QUANT!D1214</f>
        <v>SINAPI</v>
      </c>
      <c r="E361" s="639" t="str">
        <f>IFERROR(VLOOKUP($C361,'SINAPI MAIO 2020'!$1:$1048576,2,0),IFERROR(VLOOKUP($C361,'6-COMP. PROPRIA'!$B$1:$I$808,4,0),""))</f>
        <v>CAIXA RETANGULAR 4" X 2" MÉDIA (1,30 M DO PISO), PVC, INSTALADA EM PAREDE - FORNECIMENTO E INSTALAÇÃO. AF_12/2015</v>
      </c>
      <c r="F361" s="638" t="str">
        <f>IFERROR(VLOOKUP($C361,'SINAPI MAIO 2020'!$1:$1048576,3,0),IFERROR(VLOOKUP($C361,'6-COMP. PROPRIA'!$B$1:$I$808,5,0),""))</f>
        <v>UN</v>
      </c>
      <c r="G361" s="452">
        <f>QUANT!K1214</f>
        <v>29</v>
      </c>
      <c r="H361" s="452">
        <f>IFERROR(VLOOKUP($C361,'SINAPI MAIO 2020'!$1:$1048576,4,0),IFERROR(VLOOKUP($C361,'6-COMP. PROPRIA'!$B$1:$I$808,8,0),""))</f>
        <v>10.119999999999999</v>
      </c>
      <c r="I361" s="452">
        <f>TRUNC(($H361*'4-BDI'!$E$29),2)</f>
        <v>12.97</v>
      </c>
      <c r="J361" s="453">
        <f t="shared" ref="J361:J364" si="148">TRUNC((G361*H361),2)</f>
        <v>293.48</v>
      </c>
      <c r="K361" s="454">
        <f t="shared" ref="K361:K364" si="149">TRUNC((I361*G361),2)</f>
        <v>376.13</v>
      </c>
      <c r="L361" s="187"/>
    </row>
    <row r="362" spans="2:12" s="203" customFormat="1" ht="30">
      <c r="B362" s="458" t="s">
        <v>6470</v>
      </c>
      <c r="C362" s="450">
        <f>QUANT!C1215</f>
        <v>92867</v>
      </c>
      <c r="D362" s="450" t="str">
        <f>QUANT!D1215</f>
        <v>SINAPI</v>
      </c>
      <c r="E362" s="639" t="str">
        <f>IFERROR(VLOOKUP($C362,'SINAPI MAIO 2020'!$1:$1048576,2,0),IFERROR(VLOOKUP($C362,'6-COMP. PROPRIA'!$B$1:$I$808,4,0),""))</f>
        <v>CAIXA RETANGULAR 4" X 2" ALTA (2,00 M DO PISO), METÁLICA, INSTALADA EM PAREDE - FORNECIMENTO E INSTALAÇÃO. AF_12/2015</v>
      </c>
      <c r="F362" s="638" t="str">
        <f>IFERROR(VLOOKUP($C362,'SINAPI MAIO 2020'!$1:$1048576,3,0),IFERROR(VLOOKUP($C362,'6-COMP. PROPRIA'!$B$1:$I$808,5,0),""))</f>
        <v>UN</v>
      </c>
      <c r="G362" s="452">
        <f>QUANT!K1215</f>
        <v>30</v>
      </c>
      <c r="H362" s="452">
        <f>IFERROR(VLOOKUP($C362,'SINAPI MAIO 2020'!$1:$1048576,4,0),IFERROR(VLOOKUP($C362,'6-COMP. PROPRIA'!$B$1:$I$808,8,0),""))</f>
        <v>18.62</v>
      </c>
      <c r="I362" s="452">
        <f>TRUNC(($H362*'4-BDI'!$E$29),2)</f>
        <v>23.87</v>
      </c>
      <c r="J362" s="453">
        <f t="shared" si="148"/>
        <v>558.6</v>
      </c>
      <c r="K362" s="454">
        <f t="shared" si="149"/>
        <v>716.1</v>
      </c>
      <c r="L362" s="187"/>
    </row>
    <row r="363" spans="2:12" s="203" customFormat="1" ht="30">
      <c r="B363" s="458" t="s">
        <v>6471</v>
      </c>
      <c r="C363" s="450">
        <f>QUANT!C1216</f>
        <v>91937</v>
      </c>
      <c r="D363" s="450" t="str">
        <f>QUANT!D1216</f>
        <v>SINAPI</v>
      </c>
      <c r="E363" s="639" t="str">
        <f>IFERROR(VLOOKUP($C363,'SINAPI MAIO 2020'!$1:$1048576,2,0),IFERROR(VLOOKUP($C363,'6-COMP. PROPRIA'!$B$1:$I$808,4,0),""))</f>
        <v>CAIXA OCTOGONAL 3" X 3", PVC, INSTALADA EM LAJE - FORNECIMENTO E INSTALAÇÃO. AF_12/2015</v>
      </c>
      <c r="F363" s="638" t="str">
        <f>IFERROR(VLOOKUP($C363,'SINAPI MAIO 2020'!$1:$1048576,3,0),IFERROR(VLOOKUP($C363,'6-COMP. PROPRIA'!$B$1:$I$808,5,0),""))</f>
        <v>UN</v>
      </c>
      <c r="G363" s="452">
        <f>QUANT!K1216</f>
        <v>136</v>
      </c>
      <c r="H363" s="452">
        <f>IFERROR(VLOOKUP($C363,'SINAPI MAIO 2020'!$1:$1048576,4,0),IFERROR(VLOOKUP($C363,'6-COMP. PROPRIA'!$B$1:$I$808,8,0),""))</f>
        <v>7.66</v>
      </c>
      <c r="I363" s="452">
        <f>TRUNC(($H363*'4-BDI'!$E$29),2)</f>
        <v>9.82</v>
      </c>
      <c r="J363" s="453">
        <f t="shared" si="148"/>
        <v>1041.76</v>
      </c>
      <c r="K363" s="454">
        <f t="shared" si="149"/>
        <v>1335.52</v>
      </c>
      <c r="L363" s="187"/>
    </row>
    <row r="364" spans="2:12" s="203" customFormat="1" ht="45">
      <c r="B364" s="458" t="s">
        <v>6472</v>
      </c>
      <c r="C364" s="450">
        <f>QUANT!C1217</f>
        <v>97892</v>
      </c>
      <c r="D364" s="450" t="str">
        <f>QUANT!D1217</f>
        <v>SINAPI</v>
      </c>
      <c r="E364" s="639" t="str">
        <f>IFERROR(VLOOKUP($C364,'SINAPI MAIO 2020'!$1:$1048576,2,0),IFERROR(VLOOKUP($C364,'6-COMP. PROPRIA'!$B$1:$I$808,4,0),""))</f>
        <v>CAIXA ENTERRADA ELÉTRICA RETANGULAR, EM ALVENARIA COM BLOCOS DE CONCRETO, FUNDO COM BRITA, DIMENSÕES INTERNAS: 0,6X0,6X0,6 M. AF_05/2018</v>
      </c>
      <c r="F364" s="638" t="str">
        <f>IFERROR(VLOOKUP($C364,'SINAPI MAIO 2020'!$1:$1048576,3,0),IFERROR(VLOOKUP($C364,'6-COMP. PROPRIA'!$B$1:$I$808,5,0),""))</f>
        <v>UN</v>
      </c>
      <c r="G364" s="452">
        <f>QUANT!K1217</f>
        <v>7</v>
      </c>
      <c r="H364" s="452">
        <f>IFERROR(VLOOKUP($C364,'SINAPI MAIO 2020'!$1:$1048576,4,0),IFERROR(VLOOKUP($C364,'6-COMP. PROPRIA'!$B$1:$I$808,8,0),""))</f>
        <v>268.14999999999998</v>
      </c>
      <c r="I364" s="452">
        <f>TRUNC(($H364*'4-BDI'!$E$29),2)</f>
        <v>343.87</v>
      </c>
      <c r="J364" s="453">
        <f t="shared" si="148"/>
        <v>1877.05</v>
      </c>
      <c r="K364" s="454">
        <f t="shared" si="149"/>
        <v>2407.09</v>
      </c>
      <c r="L364" s="187"/>
    </row>
    <row r="365" spans="2:12" s="203" customFormat="1" ht="15.75">
      <c r="B365" s="746" t="s">
        <v>12564</v>
      </c>
      <c r="C365" s="747"/>
      <c r="D365" s="747"/>
      <c r="E365" s="747"/>
      <c r="F365" s="747"/>
      <c r="G365" s="747"/>
      <c r="H365" s="747"/>
      <c r="I365" s="456"/>
      <c r="J365" s="457">
        <f>TRUNC(SUM(J360:J364),2)</f>
        <v>3974.59</v>
      </c>
      <c r="K365" s="457">
        <f>TRUNC(SUM(K360:K364),2)</f>
        <v>5095.84</v>
      </c>
      <c r="L365" s="187"/>
    </row>
    <row r="366" spans="2:12" s="203" customFormat="1" ht="15.75">
      <c r="B366" s="482" t="s">
        <v>6473</v>
      </c>
      <c r="C366" s="483"/>
      <c r="D366" s="484"/>
      <c r="E366" s="485" t="str">
        <f>QUANT!E1220</f>
        <v>ELÉTRICA</v>
      </c>
      <c r="F366" s="486"/>
      <c r="G366" s="487"/>
      <c r="H366" s="488"/>
      <c r="I366" s="488"/>
      <c r="J366" s="489"/>
      <c r="K366" s="457"/>
      <c r="L366" s="187"/>
    </row>
    <row r="367" spans="2:12" s="203" customFormat="1" ht="45">
      <c r="B367" s="458" t="s">
        <v>6474</v>
      </c>
      <c r="C367" s="450">
        <f>QUANT!C1221</f>
        <v>91933</v>
      </c>
      <c r="D367" s="450" t="str">
        <f>QUANT!D1221</f>
        <v>SINAPI</v>
      </c>
      <c r="E367" s="639" t="str">
        <f>IFERROR(VLOOKUP($C367,'SINAPI MAIO 2020'!$1:$1048576,2,0),IFERROR(VLOOKUP($C367,'6-COMP. PROPRIA'!$B$1:$I$808,4,0),""))</f>
        <v>CABO DE COBRE FLEXÍVEL ISOLADO, 10 MM², ANTI-CHAMA 0,6/1,0 KV, PARA CIRCUITOS TERMINAIS - FORNECIMENTO E INSTALAÇÃO. AF_12/2015</v>
      </c>
      <c r="F367" s="638" t="str">
        <f>IFERROR(VLOOKUP($C367,'SINAPI MAIO 2020'!$1:$1048576,3,0),IFERROR(VLOOKUP($C367,'6-COMP. PROPRIA'!$B$1:$I$808,5,0),""))</f>
        <v>M</v>
      </c>
      <c r="G367" s="452">
        <f>QUANT!K1221</f>
        <v>205.2</v>
      </c>
      <c r="H367" s="452">
        <f>IFERROR(VLOOKUP($C367,'SINAPI MAIO 2020'!$1:$1048576,4,0),IFERROR(VLOOKUP($C367,'6-COMP. PROPRIA'!$B$1:$I$808,8,0),""))</f>
        <v>10.37</v>
      </c>
      <c r="I367" s="452">
        <f>TRUNC(($H367*'4-BDI'!$E$29),2)</f>
        <v>13.29</v>
      </c>
      <c r="J367" s="453">
        <f t="shared" ref="J367" si="150">TRUNC((G367*H367),2)</f>
        <v>2127.92</v>
      </c>
      <c r="K367" s="454">
        <f t="shared" ref="K367" si="151">TRUNC((I367*G367),2)</f>
        <v>2727.1</v>
      </c>
      <c r="L367" s="187"/>
    </row>
    <row r="368" spans="2:12" s="203" customFormat="1" ht="30">
      <c r="B368" s="458" t="s">
        <v>6475</v>
      </c>
      <c r="C368" s="450">
        <f>QUANT!C1222</f>
        <v>92982</v>
      </c>
      <c r="D368" s="450" t="str">
        <f>QUANT!D1222</f>
        <v>SINAPI</v>
      </c>
      <c r="E368" s="639" t="str">
        <f>IFERROR(VLOOKUP($C368,'SINAPI MAIO 2020'!$1:$1048576,2,0),IFERROR(VLOOKUP($C368,'6-COMP. PROPRIA'!$B$1:$I$808,4,0),""))</f>
        <v>CABO DE COBRE FLEXÍVEL ISOLADO, 16 MM², ANTI-CHAMA 0,6/1,0 KV, PARA DISTRIBUIÇÃO - FORNECIMENTO E INSTALAÇÃO. AF_12/2015</v>
      </c>
      <c r="F368" s="638" t="str">
        <f>IFERROR(VLOOKUP($C368,'SINAPI MAIO 2020'!$1:$1048576,3,0),IFERROR(VLOOKUP($C368,'6-COMP. PROPRIA'!$B$1:$I$808,5,0),""))</f>
        <v>M</v>
      </c>
      <c r="G368" s="452">
        <f>QUANT!K1222</f>
        <v>13.2</v>
      </c>
      <c r="H368" s="452">
        <f>IFERROR(VLOOKUP($C368,'SINAPI MAIO 2020'!$1:$1048576,4,0),IFERROR(VLOOKUP($C368,'6-COMP. PROPRIA'!$B$1:$I$808,8,0),""))</f>
        <v>10.8</v>
      </c>
      <c r="I368" s="452">
        <f>TRUNC(($H368*'4-BDI'!$E$29),2)</f>
        <v>13.84</v>
      </c>
      <c r="J368" s="453">
        <f t="shared" ref="J368:J404" si="152">TRUNC((G368*H368),2)</f>
        <v>142.56</v>
      </c>
      <c r="K368" s="454">
        <f t="shared" ref="K368:K404" si="153">TRUNC((I368*G368),2)</f>
        <v>182.68</v>
      </c>
      <c r="L368" s="187"/>
    </row>
    <row r="369" spans="2:12" s="203" customFormat="1" ht="30">
      <c r="B369" s="458" t="s">
        <v>6476</v>
      </c>
      <c r="C369" s="450">
        <f>QUANT!C1223</f>
        <v>92986</v>
      </c>
      <c r="D369" s="450" t="str">
        <f>QUANT!D1223</f>
        <v>SINAPI</v>
      </c>
      <c r="E369" s="639" t="str">
        <f>IFERROR(VLOOKUP($C369,'SINAPI MAIO 2020'!$1:$1048576,2,0),IFERROR(VLOOKUP($C369,'6-COMP. PROPRIA'!$B$1:$I$808,4,0),""))</f>
        <v>CABO DE COBRE FLEXÍVEL ISOLADO, 35 MM², ANTI-CHAMA 0,6/1,0 KV, PARA DISTRIBUIÇÃO - FORNECIMENTO E INSTALAÇÃO. AF_12/2015</v>
      </c>
      <c r="F369" s="638" t="str">
        <f>IFERROR(VLOOKUP($C369,'SINAPI MAIO 2020'!$1:$1048576,3,0),IFERROR(VLOOKUP($C369,'6-COMP. PROPRIA'!$B$1:$I$808,5,0),""))</f>
        <v>M</v>
      </c>
      <c r="G369" s="452">
        <f>QUANT!K1223</f>
        <v>55.6</v>
      </c>
      <c r="H369" s="452">
        <f>IFERROR(VLOOKUP($C369,'SINAPI MAIO 2020'!$1:$1048576,4,0),IFERROR(VLOOKUP($C369,'6-COMP. PROPRIA'!$B$1:$I$808,8,0),""))</f>
        <v>23.9</v>
      </c>
      <c r="I369" s="452">
        <f>TRUNC(($H369*'4-BDI'!$E$29),2)</f>
        <v>30.64</v>
      </c>
      <c r="J369" s="453">
        <f t="shared" si="152"/>
        <v>1328.84</v>
      </c>
      <c r="K369" s="454">
        <f t="shared" si="153"/>
        <v>1703.58</v>
      </c>
      <c r="L369" s="187"/>
    </row>
    <row r="370" spans="2:12" s="203" customFormat="1" ht="45">
      <c r="B370" s="458" t="s">
        <v>6477</v>
      </c>
      <c r="C370" s="450">
        <f>QUANT!C1224</f>
        <v>91929</v>
      </c>
      <c r="D370" s="450" t="str">
        <f>QUANT!D1224</f>
        <v>SINAPI</v>
      </c>
      <c r="E370" s="639" t="str">
        <f>IFERROR(VLOOKUP($C370,'SINAPI MAIO 2020'!$1:$1048576,2,0),IFERROR(VLOOKUP($C370,'6-COMP. PROPRIA'!$B$1:$I$808,4,0),""))</f>
        <v>CABO DE COBRE FLEXÍVEL ISOLADO, 4 MM², ANTI-CHAMA 0,6/1,0 KV, PARA CIRCUITOS TERMINAIS - FORNECIMENTO E INSTALAÇÃO. AF_12/2015</v>
      </c>
      <c r="F370" s="638" t="str">
        <f>IFERROR(VLOOKUP($C370,'SINAPI MAIO 2020'!$1:$1048576,3,0),IFERROR(VLOOKUP($C370,'6-COMP. PROPRIA'!$B$1:$I$808,5,0),""))</f>
        <v>M</v>
      </c>
      <c r="G370" s="452">
        <f>QUANT!K1224</f>
        <v>14.1</v>
      </c>
      <c r="H370" s="452">
        <f>IFERROR(VLOOKUP($C370,'SINAPI MAIO 2020'!$1:$1048576,4,0),IFERROR(VLOOKUP($C370,'6-COMP. PROPRIA'!$B$1:$I$808,8,0),""))</f>
        <v>4.9000000000000004</v>
      </c>
      <c r="I370" s="452">
        <f>TRUNC(($H370*'4-BDI'!$E$29),2)</f>
        <v>6.28</v>
      </c>
      <c r="J370" s="453">
        <f t="shared" si="152"/>
        <v>69.09</v>
      </c>
      <c r="K370" s="454">
        <f t="shared" si="153"/>
        <v>88.54</v>
      </c>
      <c r="L370" s="187"/>
    </row>
    <row r="371" spans="2:12" s="203" customFormat="1" ht="30">
      <c r="B371" s="458" t="s">
        <v>6478</v>
      </c>
      <c r="C371" s="450">
        <f>QUANT!C1225</f>
        <v>92988</v>
      </c>
      <c r="D371" s="450" t="str">
        <f>QUANT!D1225</f>
        <v>SINAPI</v>
      </c>
      <c r="E371" s="639" t="str">
        <f>IFERROR(VLOOKUP($C371,'SINAPI MAIO 2020'!$1:$1048576,2,0),IFERROR(VLOOKUP($C371,'6-COMP. PROPRIA'!$B$1:$I$808,4,0),""))</f>
        <v>CABO DE COBRE FLEXÍVEL ISOLADO, 50 MM², ANTI-CHAMA 0,6/1,0 KV, PARA DISTRIBUIÇÃO - FORNECIMENTO E INSTALAÇÃO. AF_12/2015</v>
      </c>
      <c r="F371" s="638" t="str">
        <f>IFERROR(VLOOKUP($C371,'SINAPI MAIO 2020'!$1:$1048576,3,0),IFERROR(VLOOKUP($C371,'6-COMP. PROPRIA'!$B$1:$I$808,5,0),""))</f>
        <v>M</v>
      </c>
      <c r="G371" s="452">
        <f>QUANT!K1225</f>
        <v>32.1</v>
      </c>
      <c r="H371" s="452">
        <f>IFERROR(VLOOKUP($C371,'SINAPI MAIO 2020'!$1:$1048576,4,0),IFERROR(VLOOKUP($C371,'6-COMP. PROPRIA'!$B$1:$I$808,8,0),""))</f>
        <v>33.49</v>
      </c>
      <c r="I371" s="452">
        <f>TRUNC(($H371*'4-BDI'!$E$29),2)</f>
        <v>42.94</v>
      </c>
      <c r="J371" s="453">
        <f t="shared" si="152"/>
        <v>1075.02</v>
      </c>
      <c r="K371" s="454">
        <f t="shared" si="153"/>
        <v>1378.37</v>
      </c>
      <c r="L371" s="187"/>
    </row>
    <row r="372" spans="2:12" s="203" customFormat="1" ht="30">
      <c r="B372" s="458" t="s">
        <v>6479</v>
      </c>
      <c r="C372" s="450">
        <f>QUANT!C1226</f>
        <v>92990</v>
      </c>
      <c r="D372" s="450" t="str">
        <f>QUANT!D1226</f>
        <v>SINAPI</v>
      </c>
      <c r="E372" s="639" t="str">
        <f>IFERROR(VLOOKUP($C372,'SINAPI MAIO 2020'!$1:$1048576,2,0),IFERROR(VLOOKUP($C372,'6-COMP. PROPRIA'!$B$1:$I$808,4,0),""))</f>
        <v>CABO DE COBRE FLEXÍVEL ISOLADO, 70 MM², ANTI-CHAMA 0,6/1,0 KV, PARA DISTRIBUIÇÃO - FORNECIMENTO E INSTALAÇÃO. AF_12/2015</v>
      </c>
      <c r="F372" s="638" t="str">
        <f>IFERROR(VLOOKUP($C372,'SINAPI MAIO 2020'!$1:$1048576,3,0),IFERROR(VLOOKUP($C372,'6-COMP. PROPRIA'!$B$1:$I$808,5,0),""))</f>
        <v>M</v>
      </c>
      <c r="G372" s="452">
        <f>QUANT!K1226</f>
        <v>11.5</v>
      </c>
      <c r="H372" s="452">
        <f>IFERROR(VLOOKUP($C372,'SINAPI MAIO 2020'!$1:$1048576,4,0),IFERROR(VLOOKUP($C372,'6-COMP. PROPRIA'!$B$1:$I$808,8,0),""))</f>
        <v>45.88</v>
      </c>
      <c r="I372" s="452">
        <f>TRUNC(($H372*'4-BDI'!$E$29),2)</f>
        <v>58.83</v>
      </c>
      <c r="J372" s="453">
        <f t="shared" si="152"/>
        <v>527.62</v>
      </c>
      <c r="K372" s="454">
        <f t="shared" si="153"/>
        <v>676.54</v>
      </c>
      <c r="L372" s="187"/>
    </row>
    <row r="373" spans="2:12" s="203" customFormat="1" ht="45">
      <c r="B373" s="458" t="s">
        <v>6480</v>
      </c>
      <c r="C373" s="450">
        <f>QUANT!C1227</f>
        <v>91926</v>
      </c>
      <c r="D373" s="450" t="str">
        <f>QUANT!D1227</f>
        <v>SINAPI</v>
      </c>
      <c r="E373" s="639" t="str">
        <f>IFERROR(VLOOKUP($C373,'SINAPI MAIO 2020'!$1:$1048576,2,0),IFERROR(VLOOKUP($C373,'6-COMP. PROPRIA'!$B$1:$I$808,4,0),""))</f>
        <v>CABO DE COBRE FLEXÍVEL ISOLADO, 2,5 MM², ANTI-CHAMA 450/750 V, PARA CIRCUITOS TERMINAIS - FORNECIMENTO E INSTALAÇÃO. AF_12/2015</v>
      </c>
      <c r="F373" s="638" t="str">
        <f>IFERROR(VLOOKUP($C373,'SINAPI MAIO 2020'!$1:$1048576,3,0),IFERROR(VLOOKUP($C373,'6-COMP. PROPRIA'!$B$1:$I$808,5,0),""))</f>
        <v>M</v>
      </c>
      <c r="G373" s="452">
        <f>QUANT!K1227</f>
        <v>2522.1999999999998</v>
      </c>
      <c r="H373" s="452">
        <f>IFERROR(VLOOKUP($C373,'SINAPI MAIO 2020'!$1:$1048576,4,0),IFERROR(VLOOKUP($C373,'6-COMP. PROPRIA'!$B$1:$I$808,8,0),""))</f>
        <v>2.67</v>
      </c>
      <c r="I373" s="452">
        <f>TRUNC(($H373*'4-BDI'!$E$29),2)</f>
        <v>3.42</v>
      </c>
      <c r="J373" s="453">
        <f t="shared" si="152"/>
        <v>6734.27</v>
      </c>
      <c r="K373" s="454">
        <f t="shared" si="153"/>
        <v>8625.92</v>
      </c>
      <c r="L373" s="187"/>
    </row>
    <row r="374" spans="2:12" s="203" customFormat="1" ht="45">
      <c r="B374" s="458" t="s">
        <v>6481</v>
      </c>
      <c r="C374" s="450">
        <f>QUANT!C1228</f>
        <v>91928</v>
      </c>
      <c r="D374" s="450" t="str">
        <f>QUANT!D1228</f>
        <v>SINAPI</v>
      </c>
      <c r="E374" s="639" t="str">
        <f>IFERROR(VLOOKUP($C374,'SINAPI MAIO 2020'!$1:$1048576,2,0),IFERROR(VLOOKUP($C374,'6-COMP. PROPRIA'!$B$1:$I$808,4,0),""))</f>
        <v>CABO DE COBRE FLEXÍVEL ISOLADO, 4 MM², ANTI-CHAMA 450/750 V, PARA CIRCUITOS TERMINAIS - FORNECIMENTO E INSTALAÇÃO. AF_12/2015</v>
      </c>
      <c r="F374" s="638" t="str">
        <f>IFERROR(VLOOKUP($C374,'SINAPI MAIO 2020'!$1:$1048576,3,0),IFERROR(VLOOKUP($C374,'6-COMP. PROPRIA'!$B$1:$I$808,5,0),""))</f>
        <v>M</v>
      </c>
      <c r="G374" s="452">
        <f>QUANT!K1228</f>
        <v>248.14</v>
      </c>
      <c r="H374" s="452">
        <f>IFERROR(VLOOKUP($C374,'SINAPI MAIO 2020'!$1:$1048576,4,0),IFERROR(VLOOKUP($C374,'6-COMP. PROPRIA'!$B$1:$I$808,8,0),""))</f>
        <v>4.32</v>
      </c>
      <c r="I374" s="452">
        <f>TRUNC(($H374*'4-BDI'!$E$29),2)</f>
        <v>5.53</v>
      </c>
      <c r="J374" s="453">
        <f t="shared" si="152"/>
        <v>1071.96</v>
      </c>
      <c r="K374" s="454">
        <f t="shared" si="153"/>
        <v>1372.21</v>
      </c>
      <c r="L374" s="187"/>
    </row>
    <row r="375" spans="2:12" s="203" customFormat="1" ht="45">
      <c r="B375" s="458" t="s">
        <v>6482</v>
      </c>
      <c r="C375" s="450">
        <f>QUANT!C1229</f>
        <v>91930</v>
      </c>
      <c r="D375" s="450" t="str">
        <f>QUANT!D1229</f>
        <v>SINAPI</v>
      </c>
      <c r="E375" s="639" t="str">
        <f>IFERROR(VLOOKUP($C375,'SINAPI MAIO 2020'!$1:$1048576,2,0),IFERROR(VLOOKUP($C375,'6-COMP. PROPRIA'!$B$1:$I$808,4,0),""))</f>
        <v>CABO DE COBRE FLEXÍVEL ISOLADO, 6 MM², ANTI-CHAMA 450/750 V, PARA CIRCUITOS TERMINAIS - FORNECIMENTO E INSTALAÇÃO. AF_12/2015</v>
      </c>
      <c r="F375" s="638" t="str">
        <f>IFERROR(VLOOKUP($C375,'SINAPI MAIO 2020'!$1:$1048576,3,0),IFERROR(VLOOKUP($C375,'6-COMP. PROPRIA'!$B$1:$I$808,5,0),""))</f>
        <v>M</v>
      </c>
      <c r="G375" s="452">
        <f>QUANT!K1229</f>
        <v>686.24</v>
      </c>
      <c r="H375" s="452">
        <f>IFERROR(VLOOKUP($C375,'SINAPI MAIO 2020'!$1:$1048576,4,0),IFERROR(VLOOKUP($C375,'6-COMP. PROPRIA'!$B$1:$I$808,8,0),""))</f>
        <v>5.92</v>
      </c>
      <c r="I375" s="452">
        <f>TRUNC(($H375*'4-BDI'!$E$29),2)</f>
        <v>7.59</v>
      </c>
      <c r="J375" s="453">
        <f t="shared" si="152"/>
        <v>4062.54</v>
      </c>
      <c r="K375" s="454">
        <f t="shared" si="153"/>
        <v>5208.5600000000004</v>
      </c>
      <c r="L375" s="187"/>
    </row>
    <row r="376" spans="2:12" s="203" customFormat="1" ht="30">
      <c r="B376" s="458" t="s">
        <v>6484</v>
      </c>
      <c r="C376" s="450">
        <f>QUANT!C1230</f>
        <v>91953</v>
      </c>
      <c r="D376" s="450" t="str">
        <f>QUANT!D1230</f>
        <v>SINAPI</v>
      </c>
      <c r="E376" s="639" t="str">
        <f>IFERROR(VLOOKUP($C376,'SINAPI MAIO 2020'!$1:$1048576,2,0),IFERROR(VLOOKUP($C376,'6-COMP. PROPRIA'!$B$1:$I$808,4,0),""))</f>
        <v>INTERRUPTOR SIMPLES (1 MÓDULO), 10A/250V, INCLUINDO SUPORTE E PLACA - FORNECIMENTO E INSTALAÇÃO. AF_12/2015</v>
      </c>
      <c r="F376" s="638" t="str">
        <f>IFERROR(VLOOKUP($C376,'SINAPI MAIO 2020'!$1:$1048576,3,0),IFERROR(VLOOKUP($C376,'6-COMP. PROPRIA'!$B$1:$I$808,5,0),""))</f>
        <v>UN</v>
      </c>
      <c r="G376" s="452">
        <f>QUANT!K1230</f>
        <v>12</v>
      </c>
      <c r="H376" s="452">
        <f>IFERROR(VLOOKUP($C376,'SINAPI MAIO 2020'!$1:$1048576,4,0),IFERROR(VLOOKUP($C376,'6-COMP. PROPRIA'!$B$1:$I$808,8,0),""))</f>
        <v>16.38</v>
      </c>
      <c r="I376" s="452">
        <f>TRUNC(($H376*'4-BDI'!$E$29),2)</f>
        <v>21</v>
      </c>
      <c r="J376" s="453">
        <f t="shared" si="152"/>
        <v>196.56</v>
      </c>
      <c r="K376" s="454">
        <f t="shared" si="153"/>
        <v>252</v>
      </c>
      <c r="L376" s="187"/>
    </row>
    <row r="377" spans="2:12" s="203" customFormat="1" ht="30">
      <c r="B377" s="458" t="s">
        <v>6485</v>
      </c>
      <c r="C377" s="450">
        <f>QUANT!C1231</f>
        <v>91959</v>
      </c>
      <c r="D377" s="450" t="str">
        <f>QUANT!D1231</f>
        <v>SINAPI</v>
      </c>
      <c r="E377" s="639" t="str">
        <f>IFERROR(VLOOKUP($C377,'SINAPI MAIO 2020'!$1:$1048576,2,0),IFERROR(VLOOKUP($C377,'6-COMP. PROPRIA'!$B$1:$I$808,4,0),""))</f>
        <v>INTERRUPTOR SIMPLES (2 MÓDULOS), 10A/250V, INCLUINDO SUPORTE E PLACA - FORNECIMENTO E INSTALAÇÃO. AF_12/2015</v>
      </c>
      <c r="F377" s="638" t="str">
        <f>IFERROR(VLOOKUP($C377,'SINAPI MAIO 2020'!$1:$1048576,3,0),IFERROR(VLOOKUP($C377,'6-COMP. PROPRIA'!$B$1:$I$808,5,0),""))</f>
        <v>UN</v>
      </c>
      <c r="G377" s="452">
        <f>QUANT!K1231</f>
        <v>1</v>
      </c>
      <c r="H377" s="452">
        <f>IFERROR(VLOOKUP($C377,'SINAPI MAIO 2020'!$1:$1048576,4,0),IFERROR(VLOOKUP($C377,'6-COMP. PROPRIA'!$B$1:$I$808,8,0),""))</f>
        <v>25.89</v>
      </c>
      <c r="I377" s="452">
        <f>TRUNC(($H377*'4-BDI'!$E$29),2)</f>
        <v>33.200000000000003</v>
      </c>
      <c r="J377" s="453">
        <f t="shared" si="152"/>
        <v>25.89</v>
      </c>
      <c r="K377" s="454">
        <f t="shared" si="153"/>
        <v>33.200000000000003</v>
      </c>
      <c r="L377" s="187"/>
    </row>
    <row r="378" spans="2:12" s="203" customFormat="1" ht="30">
      <c r="B378" s="458" t="s">
        <v>6486</v>
      </c>
      <c r="C378" s="450">
        <f>QUANT!C1232</f>
        <v>91967</v>
      </c>
      <c r="D378" s="450" t="str">
        <f>QUANT!D1232</f>
        <v>SINAPI</v>
      </c>
      <c r="E378" s="639" t="str">
        <f>IFERROR(VLOOKUP($C378,'SINAPI MAIO 2020'!$1:$1048576,2,0),IFERROR(VLOOKUP($C378,'6-COMP. PROPRIA'!$B$1:$I$808,4,0),""))</f>
        <v>INTERRUPTOR SIMPLES (3 MÓDULOS), 10A/250V, INCLUINDO SUPORTE E PLACA - FORNECIMENTO E INSTALAÇÃO. AF_12/2015</v>
      </c>
      <c r="F378" s="638" t="str">
        <f>IFERROR(VLOOKUP($C378,'SINAPI MAIO 2020'!$1:$1048576,3,0),IFERROR(VLOOKUP($C378,'6-COMP. PROPRIA'!$B$1:$I$808,5,0),""))</f>
        <v>UN</v>
      </c>
      <c r="G378" s="452">
        <f>QUANT!K1232</f>
        <v>8</v>
      </c>
      <c r="H378" s="452">
        <f>IFERROR(VLOOKUP($C378,'SINAPI MAIO 2020'!$1:$1048576,4,0),IFERROR(VLOOKUP($C378,'6-COMP. PROPRIA'!$B$1:$I$808,8,0),""))</f>
        <v>35.42</v>
      </c>
      <c r="I378" s="452">
        <f>TRUNC(($H378*'4-BDI'!$E$29),2)</f>
        <v>45.42</v>
      </c>
      <c r="J378" s="453">
        <f t="shared" si="152"/>
        <v>283.36</v>
      </c>
      <c r="K378" s="454">
        <f t="shared" si="153"/>
        <v>363.36</v>
      </c>
      <c r="L378" s="187"/>
    </row>
    <row r="379" spans="2:12" s="203" customFormat="1" ht="30">
      <c r="B379" s="458" t="s">
        <v>6487</v>
      </c>
      <c r="C379" s="450">
        <f>QUANT!C1233</f>
        <v>91992</v>
      </c>
      <c r="D379" s="450" t="str">
        <f>QUANT!D1233</f>
        <v>SINAPI</v>
      </c>
      <c r="E379" s="639" t="str">
        <f>IFERROR(VLOOKUP($C379,'SINAPI MAIO 2020'!$1:$1048576,2,0),IFERROR(VLOOKUP($C379,'6-COMP. PROPRIA'!$B$1:$I$808,4,0),""))</f>
        <v>TOMADA ALTA DE EMBUTIR (1 MÓDULO), 2P+T 10 A, INCLUINDO SUPORTE E PLACA - FORNECIMENTO E INSTALAÇÃO. AF_12/2015</v>
      </c>
      <c r="F379" s="638" t="str">
        <f>IFERROR(VLOOKUP($C379,'SINAPI MAIO 2020'!$1:$1048576,3,0),IFERROR(VLOOKUP($C379,'6-COMP. PROPRIA'!$B$1:$I$808,5,0),""))</f>
        <v>UN</v>
      </c>
      <c r="G379" s="452">
        <f>QUANT!K1233</f>
        <v>14</v>
      </c>
      <c r="H379" s="452">
        <f>IFERROR(VLOOKUP($C379,'SINAPI MAIO 2020'!$1:$1048576,4,0),IFERROR(VLOOKUP($C379,'6-COMP. PROPRIA'!$B$1:$I$808,8,0),""))</f>
        <v>25.81</v>
      </c>
      <c r="I379" s="452">
        <f>TRUNC(($H379*'4-BDI'!$E$29),2)</f>
        <v>33.090000000000003</v>
      </c>
      <c r="J379" s="453">
        <f t="shared" si="152"/>
        <v>361.34</v>
      </c>
      <c r="K379" s="454">
        <f t="shared" si="153"/>
        <v>463.26</v>
      </c>
      <c r="L379" s="187"/>
    </row>
    <row r="380" spans="2:12" s="203" customFormat="1" ht="30">
      <c r="B380" s="458" t="s">
        <v>6488</v>
      </c>
      <c r="C380" s="450">
        <f>QUANT!C1234</f>
        <v>91996</v>
      </c>
      <c r="D380" s="450" t="str">
        <f>QUANT!D1234</f>
        <v>SINAPI</v>
      </c>
      <c r="E380" s="639" t="str">
        <f>IFERROR(VLOOKUP($C380,'SINAPI MAIO 2020'!$1:$1048576,2,0),IFERROR(VLOOKUP($C380,'6-COMP. PROPRIA'!$B$1:$I$808,4,0),""))</f>
        <v>TOMADA MÉDIA DE EMBUTIR (1 MÓDULO), 2P+T 10 A, INCLUINDO SUPORTE E PLACA - FORNECIMENTO E INSTALAÇÃO. AF_12/2015</v>
      </c>
      <c r="F380" s="638" t="str">
        <f>IFERROR(VLOOKUP($C380,'SINAPI MAIO 2020'!$1:$1048576,3,0),IFERROR(VLOOKUP($C380,'6-COMP. PROPRIA'!$B$1:$I$808,5,0),""))</f>
        <v>UN</v>
      </c>
      <c r="G380" s="452">
        <f>QUANT!K1234</f>
        <v>6</v>
      </c>
      <c r="H380" s="452">
        <f>IFERROR(VLOOKUP($C380,'SINAPI MAIO 2020'!$1:$1048576,4,0),IFERROR(VLOOKUP($C380,'6-COMP. PROPRIA'!$B$1:$I$808,8,0),""))</f>
        <v>19.670000000000002</v>
      </c>
      <c r="I380" s="452">
        <f>TRUNC(($H380*'4-BDI'!$E$29),2)</f>
        <v>25.22</v>
      </c>
      <c r="J380" s="453">
        <f t="shared" si="152"/>
        <v>118.02</v>
      </c>
      <c r="K380" s="454">
        <f t="shared" si="153"/>
        <v>151.32</v>
      </c>
      <c r="L380" s="187"/>
    </row>
    <row r="381" spans="2:12" s="203" customFormat="1" ht="30">
      <c r="B381" s="458" t="s">
        <v>6489</v>
      </c>
      <c r="C381" s="450">
        <f>QUANT!C1235</f>
        <v>91993</v>
      </c>
      <c r="D381" s="450" t="str">
        <f>QUANT!D1235</f>
        <v>SINAPI</v>
      </c>
      <c r="E381" s="639" t="str">
        <f>IFERROR(VLOOKUP($C381,'SINAPI MAIO 2020'!$1:$1048576,2,0),IFERROR(VLOOKUP($C381,'6-COMP. PROPRIA'!$B$1:$I$808,4,0),""))</f>
        <v>TOMADA ALTA DE EMBUTIR (1 MÓDULO), 2P+T 20 A, INCLUINDO SUPORTE E PLACA - FORNECIMENTO E INSTALAÇÃO. AF_12/2015</v>
      </c>
      <c r="F381" s="638" t="str">
        <f>IFERROR(VLOOKUP($C381,'SINAPI MAIO 2020'!$1:$1048576,3,0),IFERROR(VLOOKUP($C381,'6-COMP. PROPRIA'!$B$1:$I$808,5,0),""))</f>
        <v>UN</v>
      </c>
      <c r="G381" s="452">
        <f>QUANT!K1235</f>
        <v>16</v>
      </c>
      <c r="H381" s="452">
        <f>IFERROR(VLOOKUP($C381,'SINAPI MAIO 2020'!$1:$1048576,4,0),IFERROR(VLOOKUP($C381,'6-COMP. PROPRIA'!$B$1:$I$808,8,0),""))</f>
        <v>27.12</v>
      </c>
      <c r="I381" s="452">
        <f>TRUNC(($H381*'4-BDI'!$E$29),2)</f>
        <v>34.770000000000003</v>
      </c>
      <c r="J381" s="453">
        <f t="shared" si="152"/>
        <v>433.92</v>
      </c>
      <c r="K381" s="454">
        <f t="shared" si="153"/>
        <v>556.32000000000005</v>
      </c>
      <c r="L381" s="187"/>
    </row>
    <row r="382" spans="2:12" s="203" customFormat="1" ht="30">
      <c r="B382" s="458" t="s">
        <v>6490</v>
      </c>
      <c r="C382" s="450">
        <f>QUANT!C1236</f>
        <v>92008</v>
      </c>
      <c r="D382" s="450" t="str">
        <f>QUANT!D1236</f>
        <v>SINAPI</v>
      </c>
      <c r="E382" s="639" t="str">
        <f>IFERROR(VLOOKUP($C382,'SINAPI MAIO 2020'!$1:$1048576,2,0),IFERROR(VLOOKUP($C382,'6-COMP. PROPRIA'!$B$1:$I$808,4,0),""))</f>
        <v>TOMADA BAIXA DE EMBUTIR (2 MÓDULOS), 2P+T 10 A, INCLUINDO SUPORTE E PLACA - FORNECIMENTO E INSTALAÇÃO. AF_12/2015</v>
      </c>
      <c r="F382" s="638" t="str">
        <f>IFERROR(VLOOKUP($C382,'SINAPI MAIO 2020'!$1:$1048576,3,0),IFERROR(VLOOKUP($C382,'6-COMP. PROPRIA'!$B$1:$I$808,5,0),""))</f>
        <v>UN</v>
      </c>
      <c r="G382" s="452">
        <f>QUANT!K1236</f>
        <v>22</v>
      </c>
      <c r="H382" s="452">
        <f>IFERROR(VLOOKUP($C382,'SINAPI MAIO 2020'!$1:$1048576,4,0),IFERROR(VLOOKUP($C382,'6-COMP. PROPRIA'!$B$1:$I$808,8,0),""))</f>
        <v>27.66</v>
      </c>
      <c r="I382" s="452">
        <f>TRUNC(($H382*'4-BDI'!$E$29),2)</f>
        <v>35.47</v>
      </c>
      <c r="J382" s="453">
        <f t="shared" si="152"/>
        <v>608.52</v>
      </c>
      <c r="K382" s="454">
        <f t="shared" si="153"/>
        <v>780.34</v>
      </c>
      <c r="L382" s="187"/>
    </row>
    <row r="383" spans="2:12" s="203" customFormat="1" ht="30">
      <c r="B383" s="458" t="s">
        <v>6491</v>
      </c>
      <c r="C383" s="450">
        <f>QUANT!C1237</f>
        <v>92009</v>
      </c>
      <c r="D383" s="450" t="str">
        <f>QUANT!D1237</f>
        <v>SINAPI</v>
      </c>
      <c r="E383" s="639" t="str">
        <f>IFERROR(VLOOKUP($C383,'SINAPI MAIO 2020'!$1:$1048576,2,0),IFERROR(VLOOKUP($C383,'6-COMP. PROPRIA'!$B$1:$I$808,4,0),""))</f>
        <v>TOMADA BAIXA DE EMBUTIR (2 MÓDULOS), 2P+T 20 A, INCLUINDO SUPORTE E PLACA - FORNECIMENTO E INSTALAÇÃO. AF_12/2015</v>
      </c>
      <c r="F383" s="638" t="str">
        <f>IFERROR(VLOOKUP($C383,'SINAPI MAIO 2020'!$1:$1048576,3,0),IFERROR(VLOOKUP($C383,'6-COMP. PROPRIA'!$B$1:$I$808,5,0),""))</f>
        <v>UN</v>
      </c>
      <c r="G383" s="452">
        <f>QUANT!K1237</f>
        <v>2</v>
      </c>
      <c r="H383" s="452">
        <f>IFERROR(VLOOKUP($C383,'SINAPI MAIO 2020'!$1:$1048576,4,0),IFERROR(VLOOKUP($C383,'6-COMP. PROPRIA'!$B$1:$I$808,8,0),""))</f>
        <v>30.28</v>
      </c>
      <c r="I383" s="452">
        <f>TRUNC(($H383*'4-BDI'!$E$29),2)</f>
        <v>38.83</v>
      </c>
      <c r="J383" s="453">
        <f t="shared" si="152"/>
        <v>60.56</v>
      </c>
      <c r="K383" s="454">
        <f t="shared" si="153"/>
        <v>77.66</v>
      </c>
      <c r="L383" s="187"/>
    </row>
    <row r="384" spans="2:12" s="203" customFormat="1" ht="30">
      <c r="B384" s="458" t="s">
        <v>6492</v>
      </c>
      <c r="C384" s="450">
        <f>QUANT!C1238</f>
        <v>93653</v>
      </c>
      <c r="D384" s="450" t="str">
        <f>QUANT!D1238</f>
        <v>SINAPI</v>
      </c>
      <c r="E384" s="639" t="str">
        <f>IFERROR(VLOOKUP($C384,'SINAPI MAIO 2020'!$1:$1048576,2,0),IFERROR(VLOOKUP($C384,'6-COMP. PROPRIA'!$B$1:$I$808,4,0),""))</f>
        <v>DISJUNTOR MONOPOLAR TIPO DIN, CORRENTE NOMINAL DE 10A - FORNECIMENTO E INSTALAÇÃO. AF_04/2016</v>
      </c>
      <c r="F384" s="638" t="str">
        <f>IFERROR(VLOOKUP($C384,'SINAPI MAIO 2020'!$1:$1048576,3,0),IFERROR(VLOOKUP($C384,'6-COMP. PROPRIA'!$B$1:$I$808,5,0),""))</f>
        <v>UN</v>
      </c>
      <c r="G384" s="452">
        <f>QUANT!K1238</f>
        <v>22</v>
      </c>
      <c r="H384" s="452">
        <f>IFERROR(VLOOKUP($C384,'SINAPI MAIO 2020'!$1:$1048576,4,0),IFERROR(VLOOKUP($C384,'6-COMP. PROPRIA'!$B$1:$I$808,8,0),""))</f>
        <v>10.16</v>
      </c>
      <c r="I384" s="452">
        <f>TRUNC(($H384*'4-BDI'!$E$29),2)</f>
        <v>13.02</v>
      </c>
      <c r="J384" s="453">
        <f t="shared" si="152"/>
        <v>223.52</v>
      </c>
      <c r="K384" s="454">
        <f t="shared" si="153"/>
        <v>286.44</v>
      </c>
      <c r="L384" s="187"/>
    </row>
    <row r="385" spans="2:12" s="203" customFormat="1" ht="30">
      <c r="B385" s="458" t="s">
        <v>6493</v>
      </c>
      <c r="C385" s="450">
        <f>QUANT!C1239</f>
        <v>93654</v>
      </c>
      <c r="D385" s="450" t="str">
        <f>QUANT!D1239</f>
        <v>SINAPI</v>
      </c>
      <c r="E385" s="639" t="str">
        <f>IFERROR(VLOOKUP($C385,'SINAPI MAIO 2020'!$1:$1048576,2,0),IFERROR(VLOOKUP($C385,'6-COMP. PROPRIA'!$B$1:$I$808,4,0),""))</f>
        <v>DISJUNTOR MONOPOLAR TIPO DIN, CORRENTE NOMINAL DE 16A - FORNECIMENTO E INSTALAÇÃO. AF_04/2016</v>
      </c>
      <c r="F385" s="638" t="str">
        <f>IFERROR(VLOOKUP($C385,'SINAPI MAIO 2020'!$1:$1048576,3,0),IFERROR(VLOOKUP($C385,'6-COMP. PROPRIA'!$B$1:$I$808,5,0),""))</f>
        <v>UN</v>
      </c>
      <c r="G385" s="452">
        <f>QUANT!K1239</f>
        <v>19</v>
      </c>
      <c r="H385" s="452">
        <f>IFERROR(VLOOKUP($C385,'SINAPI MAIO 2020'!$1:$1048576,4,0),IFERROR(VLOOKUP($C385,'6-COMP. PROPRIA'!$B$1:$I$808,8,0),""))</f>
        <v>10.58</v>
      </c>
      <c r="I385" s="452">
        <f>TRUNC(($H385*'4-BDI'!$E$29),2)</f>
        <v>13.56</v>
      </c>
      <c r="J385" s="453">
        <f t="shared" si="152"/>
        <v>201.02</v>
      </c>
      <c r="K385" s="454">
        <f t="shared" si="153"/>
        <v>257.64</v>
      </c>
      <c r="L385" s="187"/>
    </row>
    <row r="386" spans="2:12" s="203" customFormat="1" ht="30">
      <c r="B386" s="458" t="s">
        <v>6494</v>
      </c>
      <c r="C386" s="450">
        <f>QUANT!C1240</f>
        <v>93657</v>
      </c>
      <c r="D386" s="450" t="str">
        <f>QUANT!D1240</f>
        <v>SINAPI</v>
      </c>
      <c r="E386" s="639" t="str">
        <f>IFERROR(VLOOKUP($C386,'SINAPI MAIO 2020'!$1:$1048576,2,0),IFERROR(VLOOKUP($C386,'6-COMP. PROPRIA'!$B$1:$I$808,4,0),""))</f>
        <v>DISJUNTOR MONOPOLAR TIPO DIN, CORRENTE NOMINAL DE 32A - FORNECIMENTO E INSTALAÇÃO. AF_04/2016</v>
      </c>
      <c r="F386" s="638" t="str">
        <f>IFERROR(VLOOKUP($C386,'SINAPI MAIO 2020'!$1:$1048576,3,0),IFERROR(VLOOKUP($C386,'6-COMP. PROPRIA'!$B$1:$I$808,5,0),""))</f>
        <v>UN</v>
      </c>
      <c r="G386" s="452">
        <f>QUANT!K1240</f>
        <v>1</v>
      </c>
      <c r="H386" s="452">
        <f>IFERROR(VLOOKUP($C386,'SINAPI MAIO 2020'!$1:$1048576,4,0),IFERROR(VLOOKUP($C386,'6-COMP. PROPRIA'!$B$1:$I$808,8,0),""))</f>
        <v>12.38</v>
      </c>
      <c r="I386" s="452">
        <f>TRUNC(($H386*'4-BDI'!$E$29),2)</f>
        <v>15.87</v>
      </c>
      <c r="J386" s="453">
        <f t="shared" si="152"/>
        <v>12.38</v>
      </c>
      <c r="K386" s="454">
        <f t="shared" si="153"/>
        <v>15.87</v>
      </c>
      <c r="L386" s="187"/>
    </row>
    <row r="387" spans="2:12" s="203" customFormat="1" ht="30">
      <c r="B387" s="458" t="s">
        <v>6495</v>
      </c>
      <c r="C387" s="450">
        <f>QUANT!C1241</f>
        <v>93664</v>
      </c>
      <c r="D387" s="450" t="str">
        <f>QUANT!D1241</f>
        <v>SINAPI</v>
      </c>
      <c r="E387" s="639" t="str">
        <f>IFERROR(VLOOKUP($C387,'SINAPI MAIO 2020'!$1:$1048576,2,0),IFERROR(VLOOKUP($C387,'6-COMP. PROPRIA'!$B$1:$I$808,4,0),""))</f>
        <v>DISJUNTOR BIPOLAR TIPO DIN, CORRENTE NOMINAL DE 32A - FORNECIMENTO E INSTALAÇÃO. AF_04/2016</v>
      </c>
      <c r="F387" s="638" t="str">
        <f>IFERROR(VLOOKUP($C387,'SINAPI MAIO 2020'!$1:$1048576,3,0),IFERROR(VLOOKUP($C387,'6-COMP. PROPRIA'!$B$1:$I$808,5,0),""))</f>
        <v>UN</v>
      </c>
      <c r="G387" s="452">
        <f>QUANT!K1241</f>
        <v>14</v>
      </c>
      <c r="H387" s="452">
        <f>IFERROR(VLOOKUP($C387,'SINAPI MAIO 2020'!$1:$1048576,4,0),IFERROR(VLOOKUP($C387,'6-COMP. PROPRIA'!$B$1:$I$808,8,0),""))</f>
        <v>55.85</v>
      </c>
      <c r="I387" s="452">
        <f>TRUNC(($H387*'4-BDI'!$E$29),2)</f>
        <v>71.62</v>
      </c>
      <c r="J387" s="453">
        <f t="shared" si="152"/>
        <v>781.9</v>
      </c>
      <c r="K387" s="454">
        <f t="shared" si="153"/>
        <v>1002.68</v>
      </c>
      <c r="L387" s="187"/>
    </row>
    <row r="388" spans="2:12" s="203" customFormat="1" ht="30">
      <c r="B388" s="458" t="s">
        <v>6496</v>
      </c>
      <c r="C388" s="450">
        <f>QUANT!C1242</f>
        <v>93663</v>
      </c>
      <c r="D388" s="450" t="str">
        <f>QUANT!D1242</f>
        <v>SINAPI</v>
      </c>
      <c r="E388" s="639" t="str">
        <f>IFERROR(VLOOKUP($C388,'SINAPI MAIO 2020'!$1:$1048576,2,0),IFERROR(VLOOKUP($C388,'6-COMP. PROPRIA'!$B$1:$I$808,4,0),""))</f>
        <v>DISJUNTOR BIPOLAR TIPO DIN, CORRENTE NOMINAL DE 25A - FORNECIMENTO E INSTALAÇÃO. AF_04/2016</v>
      </c>
      <c r="F388" s="638" t="str">
        <f>IFERROR(VLOOKUP($C388,'SINAPI MAIO 2020'!$1:$1048576,3,0),IFERROR(VLOOKUP($C388,'6-COMP. PROPRIA'!$B$1:$I$808,5,0),""))</f>
        <v>UN</v>
      </c>
      <c r="G388" s="452">
        <f>QUANT!K1242</f>
        <v>1</v>
      </c>
      <c r="H388" s="452">
        <f>IFERROR(VLOOKUP($C388,'SINAPI MAIO 2020'!$1:$1048576,4,0),IFERROR(VLOOKUP($C388,'6-COMP. PROPRIA'!$B$1:$I$808,8,0),""))</f>
        <v>53.89</v>
      </c>
      <c r="I388" s="452">
        <f>TRUNC(($H388*'4-BDI'!$E$29),2)</f>
        <v>69.099999999999994</v>
      </c>
      <c r="J388" s="453">
        <f t="shared" si="152"/>
        <v>53.89</v>
      </c>
      <c r="K388" s="454">
        <f t="shared" si="153"/>
        <v>69.099999999999994</v>
      </c>
      <c r="L388" s="187"/>
    </row>
    <row r="389" spans="2:12" s="203" customFormat="1" ht="30">
      <c r="B389" s="458" t="s">
        <v>6497</v>
      </c>
      <c r="C389" s="470">
        <f>QUANT!C1243</f>
        <v>93670</v>
      </c>
      <c r="D389" s="470" t="str">
        <f>QUANT!D1243</f>
        <v>SINAPI</v>
      </c>
      <c r="E389" s="639" t="str">
        <f>IFERROR(VLOOKUP($C389,'SINAPI MAIO 2020'!$1:$1048576,2,0),IFERROR(VLOOKUP($C389,'6-COMP. PROPRIA'!$B$1:$I$808,4,0),""))</f>
        <v>DISJUNTOR TRIPOLAR TIPO DIN, CORRENTE NOMINAL DE 25A - FORNECIMENTO E INSTALAÇÃO. AF_04/2016</v>
      </c>
      <c r="F389" s="638" t="str">
        <f>IFERROR(VLOOKUP($C389,'SINAPI MAIO 2020'!$1:$1048576,3,0),IFERROR(VLOOKUP($C389,'6-COMP. PROPRIA'!$B$1:$I$808,5,0),""))</f>
        <v>UN</v>
      </c>
      <c r="G389" s="452">
        <f>QUANT!K1243</f>
        <v>2</v>
      </c>
      <c r="H389" s="452">
        <f>IFERROR(VLOOKUP($C389,'SINAPI MAIO 2020'!$1:$1048576,4,0),IFERROR(VLOOKUP($C389,'6-COMP. PROPRIA'!$B$1:$I$808,8,0),""))</f>
        <v>67.709999999999994</v>
      </c>
      <c r="I389" s="452">
        <f>TRUNC(($H389*'4-BDI'!$E$29),2)</f>
        <v>86.83</v>
      </c>
      <c r="J389" s="453">
        <f t="shared" si="152"/>
        <v>135.41999999999999</v>
      </c>
      <c r="K389" s="454">
        <f t="shared" si="153"/>
        <v>173.66</v>
      </c>
      <c r="L389" s="187"/>
    </row>
    <row r="390" spans="2:12" s="203" customFormat="1" ht="30">
      <c r="B390" s="458" t="s">
        <v>6498</v>
      </c>
      <c r="C390" s="450">
        <f>QUANT!C1244</f>
        <v>93672</v>
      </c>
      <c r="D390" s="450" t="str">
        <f>QUANT!D1244</f>
        <v>SINAPI</v>
      </c>
      <c r="E390" s="639" t="str">
        <f>IFERROR(VLOOKUP($C390,'SINAPI MAIO 2020'!$1:$1048576,2,0),IFERROR(VLOOKUP($C390,'6-COMP. PROPRIA'!$B$1:$I$808,4,0),""))</f>
        <v>DISJUNTOR TRIPOLAR TIPO DIN, CORRENTE NOMINAL DE 40A - FORNECIMENTO E INSTALAÇÃO. AF_04/2016</v>
      </c>
      <c r="F390" s="638" t="str">
        <f>IFERROR(VLOOKUP($C390,'SINAPI MAIO 2020'!$1:$1048576,3,0),IFERROR(VLOOKUP($C390,'6-COMP. PROPRIA'!$B$1:$I$808,5,0),""))</f>
        <v>UN</v>
      </c>
      <c r="G390" s="452">
        <f>QUANT!K1244</f>
        <v>2</v>
      </c>
      <c r="H390" s="452">
        <f>IFERROR(VLOOKUP($C390,'SINAPI MAIO 2020'!$1:$1048576,4,0),IFERROR(VLOOKUP($C390,'6-COMP. PROPRIA'!$B$1:$I$808,8,0),""))</f>
        <v>75.290000000000006</v>
      </c>
      <c r="I390" s="452">
        <f>TRUNC(($H390*'4-BDI'!$E$29),2)</f>
        <v>96.55</v>
      </c>
      <c r="J390" s="453">
        <f t="shared" si="152"/>
        <v>150.58000000000001</v>
      </c>
      <c r="K390" s="454">
        <f t="shared" si="153"/>
        <v>193.1</v>
      </c>
      <c r="L390" s="187"/>
    </row>
    <row r="391" spans="2:12" s="203" customFormat="1" ht="15">
      <c r="B391" s="458" t="s">
        <v>6499</v>
      </c>
      <c r="C391" s="450" t="str">
        <f>QUANT!C1245</f>
        <v>CP-ELE-1</v>
      </c>
      <c r="D391" s="450" t="str">
        <f>QUANT!D1245</f>
        <v>PROPRIA</v>
      </c>
      <c r="E391" s="639" t="str">
        <f>IFERROR(VLOOKUP($C391,'SINAPI MAIO 2020'!$1:$1048576,2,0),IFERROR(VLOOKUP($C391,'6-COMP. PROPRIA'!$B$1:$I$808,4,0),""))</f>
        <v>DISJUNTOR TIPO DIN/IEC, TRIPOLAR 80 A</v>
      </c>
      <c r="F391" s="638" t="str">
        <f>IFERROR(VLOOKUP($C391,'SINAPI MAIO 2020'!$1:$1048576,3,0),IFERROR(VLOOKUP($C391,'6-COMP. PROPRIA'!$B$1:$I$808,5,0),""))</f>
        <v>UN</v>
      </c>
      <c r="G391" s="452">
        <f>QUANT!K1245</f>
        <v>1</v>
      </c>
      <c r="H391" s="452">
        <f>IFERROR(VLOOKUP($C391,'SINAPI MAIO 2020'!$1:$1048576,4,0),IFERROR(VLOOKUP($C391,'6-COMP. PROPRIA'!$B$1:$I$808,8,0),""))</f>
        <v>158.28</v>
      </c>
      <c r="I391" s="452">
        <f>TRUNC(($H391*'4-BDI'!$E$29),2)</f>
        <v>202.97</v>
      </c>
      <c r="J391" s="453">
        <f t="shared" si="152"/>
        <v>158.28</v>
      </c>
      <c r="K391" s="454">
        <f t="shared" si="153"/>
        <v>202.97</v>
      </c>
      <c r="L391" s="187"/>
    </row>
    <row r="392" spans="2:12" s="203" customFormat="1" ht="45">
      <c r="B392" s="458" t="s">
        <v>6500</v>
      </c>
      <c r="C392" s="450" t="str">
        <f>QUANT!C1246</f>
        <v>CP-ELE-2</v>
      </c>
      <c r="D392" s="450" t="str">
        <f>QUANT!D1246</f>
        <v>PROPRIA</v>
      </c>
      <c r="E392" s="639" t="str">
        <f>IFERROR(VLOOKUP($C392,'SINAPI MAIO 2020'!$1:$1048576,2,0),IFERROR(VLOOKUP($C392,'6-COMP. PROPRIA'!$B$1:$I$808,4,0),""))</f>
        <v>DISPOSITIVO DPS CLASSE II, 1 POLO, TENSAO MAXIMA DE 175 V, CORRENTE MAXIMA DE *45* KA (TIPO AC) - FORNECIMENTO E INSTALAÇAO</v>
      </c>
      <c r="F392" s="638" t="str">
        <f>IFERROR(VLOOKUP($C392,'SINAPI MAIO 2020'!$1:$1048576,3,0),IFERROR(VLOOKUP($C392,'6-COMP. PROPRIA'!$B$1:$I$808,5,0),""))</f>
        <v>UNI</v>
      </c>
      <c r="G392" s="452">
        <f>QUANT!K1246</f>
        <v>24</v>
      </c>
      <c r="H392" s="452">
        <f>IFERROR(VLOOKUP($C392,'SINAPI MAIO 2020'!$1:$1048576,4,0),IFERROR(VLOOKUP($C392,'6-COMP. PROPRIA'!$B$1:$I$808,8,0),""))</f>
        <v>138.77000000000001</v>
      </c>
      <c r="I392" s="452">
        <f>TRUNC(($H392*'4-BDI'!$E$29),2)</f>
        <v>177.95</v>
      </c>
      <c r="J392" s="453">
        <f t="shared" si="152"/>
        <v>3330.48</v>
      </c>
      <c r="K392" s="454">
        <f t="shared" si="153"/>
        <v>4270.8</v>
      </c>
      <c r="L392" s="187"/>
    </row>
    <row r="393" spans="2:12" s="203" customFormat="1" ht="30">
      <c r="B393" s="458" t="s">
        <v>6501</v>
      </c>
      <c r="C393" s="450" t="str">
        <f>QUANT!C1247</f>
        <v>CP-ELE-3</v>
      </c>
      <c r="D393" s="450" t="str">
        <f>QUANT!D1247</f>
        <v>PROPRIA</v>
      </c>
      <c r="E393" s="639" t="str">
        <f>IFERROR(VLOOKUP($C393,'SINAPI MAIO 2020'!$1:$1048576,2,0),IFERROR(VLOOKUP($C393,'6-COMP. PROPRIA'!$B$1:$I$808,4,0),""))</f>
        <v>DISPOSITIVO DR, 2 POLOS, SENSIBILIDADE DE 30 MA, CORRENTE DE 25 A, TIPO AC</v>
      </c>
      <c r="F393" s="638" t="str">
        <f>IFERROR(VLOOKUP($C393,'SINAPI MAIO 2020'!$1:$1048576,3,0),IFERROR(VLOOKUP($C393,'6-COMP. PROPRIA'!$B$1:$I$808,5,0),""))</f>
        <v>UN</v>
      </c>
      <c r="G393" s="452">
        <f>QUANT!K1247</f>
        <v>1</v>
      </c>
      <c r="H393" s="452">
        <f>IFERROR(VLOOKUP($C393,'SINAPI MAIO 2020'!$1:$1048576,4,0),IFERROR(VLOOKUP($C393,'6-COMP. PROPRIA'!$B$1:$I$808,8,0),""))</f>
        <v>148.66</v>
      </c>
      <c r="I393" s="452">
        <f>TRUNC(($H393*'4-BDI'!$E$29),2)</f>
        <v>190.64</v>
      </c>
      <c r="J393" s="453">
        <f t="shared" si="152"/>
        <v>148.66</v>
      </c>
      <c r="K393" s="454">
        <f t="shared" si="153"/>
        <v>190.64</v>
      </c>
      <c r="L393" s="187"/>
    </row>
    <row r="394" spans="2:12" s="203" customFormat="1" ht="30">
      <c r="B394" s="458" t="s">
        <v>6502</v>
      </c>
      <c r="C394" s="450" t="str">
        <f>QUANT!C1248</f>
        <v>CP-ELE-4</v>
      </c>
      <c r="D394" s="450" t="str">
        <f>QUANT!D1248</f>
        <v>PROPRIA</v>
      </c>
      <c r="E394" s="639" t="str">
        <f>IFERROR(VLOOKUP($C394,'SINAPI MAIO 2020'!$1:$1048576,2,0),IFERROR(VLOOKUP($C394,'6-COMP. PROPRIA'!$B$1:$I$808,4,0),""))</f>
        <v>DISPOSITIVO DR, 2 POLOS, SENSIBILIDADE DE 30 MA, CORRENTE DE 40 A, TIPO AC</v>
      </c>
      <c r="F394" s="638" t="str">
        <f>IFERROR(VLOOKUP($C394,'SINAPI MAIO 2020'!$1:$1048576,3,0),IFERROR(VLOOKUP($C394,'6-COMP. PROPRIA'!$B$1:$I$808,5,0),""))</f>
        <v>UN</v>
      </c>
      <c r="G394" s="452">
        <f>QUANT!K1248</f>
        <v>2</v>
      </c>
      <c r="H394" s="452">
        <f>IFERROR(VLOOKUP($C394,'SINAPI MAIO 2020'!$1:$1048576,4,0),IFERROR(VLOOKUP($C394,'6-COMP. PROPRIA'!$B$1:$I$808,8,0),""))</f>
        <v>150.94</v>
      </c>
      <c r="I394" s="452">
        <f>TRUNC(($H394*'4-BDI'!$E$29),2)</f>
        <v>193.56</v>
      </c>
      <c r="J394" s="453">
        <f t="shared" si="152"/>
        <v>301.88</v>
      </c>
      <c r="K394" s="454">
        <f t="shared" si="153"/>
        <v>387.12</v>
      </c>
      <c r="L394" s="187"/>
    </row>
    <row r="395" spans="2:12" s="203" customFormat="1" ht="45">
      <c r="B395" s="458" t="s">
        <v>6503</v>
      </c>
      <c r="C395" s="450">
        <f>QUANT!C1249</f>
        <v>91836</v>
      </c>
      <c r="D395" s="450" t="str">
        <f>QUANT!D1249</f>
        <v>SINAPI</v>
      </c>
      <c r="E395" s="639" t="str">
        <f>IFERROR(VLOOKUP($C395,'SINAPI MAIO 2020'!$1:$1048576,2,0),IFERROR(VLOOKUP($C395,'6-COMP. PROPRIA'!$B$1:$I$808,4,0),""))</f>
        <v>ELETRODUTO FLEXÍVEL CORRUGADO, PVC, DN 32 MM (1"), PARA CIRCUITOS TERMINAIS, INSTALADO EM FORRO - FORNECIMENTO E INSTALAÇÃO. AF_12/2015</v>
      </c>
      <c r="F395" s="638" t="str">
        <f>IFERROR(VLOOKUP($C395,'SINAPI MAIO 2020'!$1:$1048576,3,0),IFERROR(VLOOKUP($C395,'6-COMP. PROPRIA'!$B$1:$I$808,5,0),""))</f>
        <v>M</v>
      </c>
      <c r="G395" s="452">
        <f>QUANT!K1249</f>
        <v>26.1</v>
      </c>
      <c r="H395" s="452">
        <f>IFERROR(VLOOKUP($C395,'SINAPI MAIO 2020'!$1:$1048576,4,0),IFERROR(VLOOKUP($C395,'6-COMP. PROPRIA'!$B$1:$I$808,8,0),""))</f>
        <v>7.74</v>
      </c>
      <c r="I395" s="452">
        <f>TRUNC(($H395*'4-BDI'!$E$29),2)</f>
        <v>9.92</v>
      </c>
      <c r="J395" s="453">
        <f t="shared" si="152"/>
        <v>202.01</v>
      </c>
      <c r="K395" s="454">
        <f t="shared" si="153"/>
        <v>258.91000000000003</v>
      </c>
      <c r="L395" s="187"/>
    </row>
    <row r="396" spans="2:12" s="203" customFormat="1" ht="45">
      <c r="B396" s="458" t="s">
        <v>6504</v>
      </c>
      <c r="C396" s="450">
        <f>QUANT!C1250</f>
        <v>91854</v>
      </c>
      <c r="D396" s="450" t="str">
        <f>QUANT!D1250</f>
        <v>SINAPI</v>
      </c>
      <c r="E396" s="639" t="str">
        <f>IFERROR(VLOOKUP($C396,'SINAPI MAIO 2020'!$1:$1048576,2,0),IFERROR(VLOOKUP($C396,'6-COMP. PROPRIA'!$B$1:$I$808,4,0),""))</f>
        <v>ELETRODUTO FLEXÍVEL CORRUGADO, PVC, DN 25 MM (3/4"), PARA CIRCUITOS TERMINAIS, INSTALADO EM PAREDE - FORNECIMENTO E INSTALAÇÃO. AF_12/2015</v>
      </c>
      <c r="F396" s="638" t="str">
        <f>IFERROR(VLOOKUP($C396,'SINAPI MAIO 2020'!$1:$1048576,3,0),IFERROR(VLOOKUP($C396,'6-COMP. PROPRIA'!$B$1:$I$808,5,0),""))</f>
        <v>M</v>
      </c>
      <c r="G396" s="452">
        <f>QUANT!K1250</f>
        <v>190</v>
      </c>
      <c r="H396" s="452">
        <f>IFERROR(VLOOKUP($C396,'SINAPI MAIO 2020'!$1:$1048576,4,0),IFERROR(VLOOKUP($C396,'6-COMP. PROPRIA'!$B$1:$I$808,8,0),""))</f>
        <v>6.1</v>
      </c>
      <c r="I396" s="452">
        <f>TRUNC(($H396*'4-BDI'!$E$29),2)</f>
        <v>7.82</v>
      </c>
      <c r="J396" s="453">
        <f t="shared" si="152"/>
        <v>1159</v>
      </c>
      <c r="K396" s="454">
        <f t="shared" si="153"/>
        <v>1485.8</v>
      </c>
      <c r="L396" s="187"/>
    </row>
    <row r="397" spans="2:12" s="203" customFormat="1" ht="45">
      <c r="B397" s="458" t="s">
        <v>6505</v>
      </c>
      <c r="C397" s="450">
        <f>QUANT!C1251</f>
        <v>91834</v>
      </c>
      <c r="D397" s="450" t="str">
        <f>QUANT!D1251</f>
        <v>SINAPI</v>
      </c>
      <c r="E397" s="639" t="str">
        <f>IFERROR(VLOOKUP($C397,'SINAPI MAIO 2020'!$1:$1048576,2,0),IFERROR(VLOOKUP($C397,'6-COMP. PROPRIA'!$B$1:$I$808,4,0),""))</f>
        <v>ELETRODUTO FLEXÍVEL CORRUGADO, PVC, DN 25 MM (3/4"), PARA CIRCUITOS TERMINAIS, INSTALADO EM FORRO - FORNECIMENTO E INSTALAÇÃO. AF_12/2015</v>
      </c>
      <c r="F397" s="638" t="str">
        <f>IFERROR(VLOOKUP($C397,'SINAPI MAIO 2020'!$1:$1048576,3,0),IFERROR(VLOOKUP($C397,'6-COMP. PROPRIA'!$B$1:$I$808,5,0),""))</f>
        <v>M</v>
      </c>
      <c r="G397" s="452">
        <f>QUANT!K1251</f>
        <v>494.1</v>
      </c>
      <c r="H397" s="452">
        <f>IFERROR(VLOOKUP($C397,'SINAPI MAIO 2020'!$1:$1048576,4,0),IFERROR(VLOOKUP($C397,'6-COMP. PROPRIA'!$B$1:$I$808,8,0),""))</f>
        <v>6</v>
      </c>
      <c r="I397" s="452">
        <f>TRUNC(($H397*'4-BDI'!$E$29),2)</f>
        <v>7.69</v>
      </c>
      <c r="J397" s="453">
        <f t="shared" si="152"/>
        <v>2964.6</v>
      </c>
      <c r="K397" s="454">
        <f t="shared" si="153"/>
        <v>3799.62</v>
      </c>
      <c r="L397" s="187"/>
    </row>
    <row r="398" spans="2:12" s="203" customFormat="1" ht="30">
      <c r="B398" s="458" t="s">
        <v>6506</v>
      </c>
      <c r="C398" s="450">
        <f>QUANT!C1252</f>
        <v>93008</v>
      </c>
      <c r="D398" s="450" t="str">
        <f>QUANT!D1252</f>
        <v>SINAPI</v>
      </c>
      <c r="E398" s="639" t="str">
        <f>IFERROR(VLOOKUP($C398,'SINAPI MAIO 2020'!$1:$1048576,2,0),IFERROR(VLOOKUP($C398,'6-COMP. PROPRIA'!$B$1:$I$808,4,0),""))</f>
        <v>ELETRODUTO RÍGIDO ROSCÁVEL, PVC, DN 50 MM (1 1/2") - FORNECIMENTO E INSTALAÇÃO. AF_12/2015</v>
      </c>
      <c r="F398" s="638" t="str">
        <f>IFERROR(VLOOKUP($C398,'SINAPI MAIO 2020'!$1:$1048576,3,0),IFERROR(VLOOKUP($C398,'6-COMP. PROPRIA'!$B$1:$I$808,5,0),""))</f>
        <v>M</v>
      </c>
      <c r="G398" s="452">
        <f>QUANT!K1252</f>
        <v>59.96</v>
      </c>
      <c r="H398" s="452">
        <f>IFERROR(VLOOKUP($C398,'SINAPI MAIO 2020'!$1:$1048576,4,0),IFERROR(VLOOKUP($C398,'6-COMP. PROPRIA'!$B$1:$I$808,8,0),""))</f>
        <v>10.28</v>
      </c>
      <c r="I398" s="452">
        <f>TRUNC(($H398*'4-BDI'!$E$29),2)</f>
        <v>13.18</v>
      </c>
      <c r="J398" s="453">
        <f t="shared" si="152"/>
        <v>616.38</v>
      </c>
      <c r="K398" s="454">
        <f t="shared" si="153"/>
        <v>790.27</v>
      </c>
      <c r="L398" s="187"/>
    </row>
    <row r="399" spans="2:12" s="203" customFormat="1" ht="30">
      <c r="B399" s="458" t="s">
        <v>6507</v>
      </c>
      <c r="C399" s="450">
        <f>QUANT!C1253</f>
        <v>93009</v>
      </c>
      <c r="D399" s="450" t="str">
        <f>QUANT!D1253</f>
        <v>SINAPI</v>
      </c>
      <c r="E399" s="639" t="str">
        <f>IFERROR(VLOOKUP($C399,'SINAPI MAIO 2020'!$1:$1048576,2,0),IFERROR(VLOOKUP($C399,'6-COMP. PROPRIA'!$B$1:$I$808,4,0),""))</f>
        <v>ELETRODUTO RÍGIDO ROSCÁVEL, PVC, DN 60 MM (2") - FORNECIMENTO E INSTALAÇÃO. AF_12/2015</v>
      </c>
      <c r="F399" s="638" t="str">
        <f>IFERROR(VLOOKUP($C399,'SINAPI MAIO 2020'!$1:$1048576,3,0),IFERROR(VLOOKUP($C399,'6-COMP. PROPRIA'!$B$1:$I$808,5,0),""))</f>
        <v>M</v>
      </c>
      <c r="G399" s="452">
        <f>QUANT!K1253</f>
        <v>5.51</v>
      </c>
      <c r="H399" s="452">
        <f>IFERROR(VLOOKUP($C399,'SINAPI MAIO 2020'!$1:$1048576,4,0),IFERROR(VLOOKUP($C399,'6-COMP. PROPRIA'!$B$1:$I$808,8,0),""))</f>
        <v>15.05</v>
      </c>
      <c r="I399" s="452">
        <f>TRUNC(($H399*'4-BDI'!$E$29),2)</f>
        <v>19.3</v>
      </c>
      <c r="J399" s="453">
        <f t="shared" si="152"/>
        <v>82.92</v>
      </c>
      <c r="K399" s="454">
        <f t="shared" si="153"/>
        <v>106.34</v>
      </c>
      <c r="L399" s="187"/>
    </row>
    <row r="400" spans="2:12" s="203" customFormat="1" ht="30">
      <c r="B400" s="458" t="s">
        <v>6508</v>
      </c>
      <c r="C400" s="450">
        <f>QUANT!C1254</f>
        <v>93011</v>
      </c>
      <c r="D400" s="450" t="str">
        <f>QUANT!D1254</f>
        <v>SINAPI</v>
      </c>
      <c r="E400" s="639" t="str">
        <f>IFERROR(VLOOKUP($C400,'SINAPI MAIO 2020'!$1:$1048576,2,0),IFERROR(VLOOKUP($C400,'6-COMP. PROPRIA'!$B$1:$I$808,4,0),""))</f>
        <v>ELETRODUTO RÍGIDO ROSCÁVEL, PVC, DN 85 MM (3") - FORNECIMENTO E INSTALAÇÃO. AF_12/2015</v>
      </c>
      <c r="F400" s="638" t="str">
        <f>IFERROR(VLOOKUP($C400,'SINAPI MAIO 2020'!$1:$1048576,3,0),IFERROR(VLOOKUP($C400,'6-COMP. PROPRIA'!$B$1:$I$808,5,0),""))</f>
        <v>M</v>
      </c>
      <c r="G400" s="452">
        <f>QUANT!K1254</f>
        <v>17.57</v>
      </c>
      <c r="H400" s="452">
        <f>IFERROR(VLOOKUP($C400,'SINAPI MAIO 2020'!$1:$1048576,4,0),IFERROR(VLOOKUP($C400,'6-COMP. PROPRIA'!$B$1:$I$808,8,0),""))</f>
        <v>25.44</v>
      </c>
      <c r="I400" s="452">
        <f>TRUNC(($H400*'4-BDI'!$E$29),2)</f>
        <v>32.619999999999997</v>
      </c>
      <c r="J400" s="453">
        <f t="shared" si="152"/>
        <v>446.98</v>
      </c>
      <c r="K400" s="454">
        <f t="shared" si="153"/>
        <v>573.13</v>
      </c>
      <c r="L400" s="187"/>
    </row>
    <row r="401" spans="2:12" s="203" customFormat="1" ht="60">
      <c r="B401" s="458" t="s">
        <v>6509</v>
      </c>
      <c r="C401" s="450" t="str">
        <f>QUANT!C1255</f>
        <v>74131/4</v>
      </c>
      <c r="D401" s="450" t="str">
        <f>QUANT!D1255</f>
        <v>SINAPI</v>
      </c>
      <c r="E401" s="639" t="str">
        <f>IFERROR(VLOOKUP($C401,'SINAPI MAIO 2020'!$1:$1048576,2,0),IFERROR(VLOOKUP($C401,'6-COMP. PROPRIA'!$B$1:$I$808,4,0),""))</f>
        <v>QUADRO DE DISTRIBUICAO DE ENERGIA DE EMBUTIR, EM CHAPA METALICA, PARA 18 DISJUNTORES TERMOMAGNETICOS MONOPOLARES, COM BARRAMENTO TRIFASICO E NEUTRO, FORNECIMENTO E INSTALACAO</v>
      </c>
      <c r="F401" s="638" t="str">
        <f>IFERROR(VLOOKUP($C401,'SINAPI MAIO 2020'!$1:$1048576,3,0),IFERROR(VLOOKUP($C401,'6-COMP. PROPRIA'!$B$1:$I$808,5,0),""))</f>
        <v>UN</v>
      </c>
      <c r="G401" s="452">
        <f>QUANT!K1255</f>
        <v>2</v>
      </c>
      <c r="H401" s="452">
        <f>IFERROR(VLOOKUP($C401,'SINAPI MAIO 2020'!$1:$1048576,4,0),IFERROR(VLOOKUP($C401,'6-COMP. PROPRIA'!$B$1:$I$808,8,0),""))</f>
        <v>458.96</v>
      </c>
      <c r="I401" s="452">
        <f>TRUNC(($H401*'4-BDI'!$E$29),2)</f>
        <v>588.57000000000005</v>
      </c>
      <c r="J401" s="453">
        <f t="shared" si="152"/>
        <v>917.92</v>
      </c>
      <c r="K401" s="454">
        <f t="shared" si="153"/>
        <v>1177.1400000000001</v>
      </c>
      <c r="L401" s="187"/>
    </row>
    <row r="402" spans="2:12" s="203" customFormat="1" ht="60">
      <c r="B402" s="458" t="s">
        <v>6510</v>
      </c>
      <c r="C402" s="450" t="str">
        <f>QUANT!C1256</f>
        <v>74131/5</v>
      </c>
      <c r="D402" s="450" t="str">
        <f>QUANT!D1256</f>
        <v>SINAPI</v>
      </c>
      <c r="E402" s="639" t="str">
        <f>IFERROR(VLOOKUP($C402,'SINAPI MAIO 2020'!$1:$1048576,2,0),IFERROR(VLOOKUP($C402,'6-COMP. PROPRIA'!$B$1:$I$808,4,0),""))</f>
        <v>QUADRO DE DISTRIBUICAO DE ENERGIA DE EMBUTIR, EM CHAPA METALICA, PARA 24 DISJUNTORES TERMOMAGNETICOS MONOPOLARES, COM BARRAMENTO TRIFASICO E NEUTRO, FORNECIMENTO E INSTALACAO</v>
      </c>
      <c r="F402" s="638" t="str">
        <f>IFERROR(VLOOKUP($C402,'SINAPI MAIO 2020'!$1:$1048576,3,0),IFERROR(VLOOKUP($C402,'6-COMP. PROPRIA'!$B$1:$I$808,5,0),""))</f>
        <v>UN</v>
      </c>
      <c r="G402" s="452">
        <f>QUANT!K1256</f>
        <v>3</v>
      </c>
      <c r="H402" s="452">
        <f>IFERROR(VLOOKUP($C402,'SINAPI MAIO 2020'!$1:$1048576,4,0),IFERROR(VLOOKUP($C402,'6-COMP. PROPRIA'!$B$1:$I$808,8,0),""))</f>
        <v>526.41999999999996</v>
      </c>
      <c r="I402" s="452">
        <f>TRUNC(($H402*'4-BDI'!$E$29),2)</f>
        <v>675.08</v>
      </c>
      <c r="J402" s="453">
        <f t="shared" si="152"/>
        <v>1579.26</v>
      </c>
      <c r="K402" s="454">
        <f t="shared" si="153"/>
        <v>2025.24</v>
      </c>
      <c r="L402" s="187"/>
    </row>
    <row r="403" spans="2:12" s="203" customFormat="1" ht="45">
      <c r="B403" s="458" t="s">
        <v>6511</v>
      </c>
      <c r="C403" s="450" t="str">
        <f>QUANT!C1257</f>
        <v>CP-ELE-6</v>
      </c>
      <c r="D403" s="450" t="str">
        <f>QUANT!D1257</f>
        <v>PROPRIA</v>
      </c>
      <c r="E403" s="639" t="str">
        <f>IFERROR(VLOOKUP($C403,'SINAPI MAIO 2020'!$1:$1048576,2,0),IFERROR(VLOOKUP($C403,'6-COMP. PROPRIA'!$B$1:$I$808,4,0),""))</f>
        <v>LUMINARIA DE TETO PLAFON/PLAFONIER EM PLASTICO COM BASE E27, POTENCIA MAXIMA 45 W (INCLUI LAMPADA) - FORNECIMENTO E INSTALAÇÃO</v>
      </c>
      <c r="F403" s="638" t="str">
        <f>IFERROR(VLOOKUP($C403,'SINAPI MAIO 2020'!$1:$1048576,3,0),IFERROR(VLOOKUP($C403,'6-COMP. PROPRIA'!$B$1:$I$808,5,0),""))</f>
        <v>UNI</v>
      </c>
      <c r="G403" s="452">
        <f>QUANT!K1257</f>
        <v>104</v>
      </c>
      <c r="H403" s="452">
        <f>IFERROR(VLOOKUP($C403,'SINAPI MAIO 2020'!$1:$1048576,4,0),IFERROR(VLOOKUP($C403,'6-COMP. PROPRIA'!$B$1:$I$808,8,0),""))</f>
        <v>61.4</v>
      </c>
      <c r="I403" s="452">
        <f>TRUNC(($H403*'4-BDI'!$E$29),2)</f>
        <v>78.73</v>
      </c>
      <c r="J403" s="453">
        <f t="shared" si="152"/>
        <v>6385.6</v>
      </c>
      <c r="K403" s="454">
        <f t="shared" si="153"/>
        <v>8187.92</v>
      </c>
      <c r="L403" s="187"/>
    </row>
    <row r="404" spans="2:12" s="203" customFormat="1" ht="15">
      <c r="B404" s="458" t="s">
        <v>6512</v>
      </c>
      <c r="C404" s="450" t="str">
        <f>QUANT!C1258</f>
        <v>CP-ELE-7</v>
      </c>
      <c r="D404" s="450" t="str">
        <f>QUANT!D1258</f>
        <v>PROPRIA</v>
      </c>
      <c r="E404" s="639" t="str">
        <f>IFERROR(VLOOKUP($C404,'SINAPI MAIO 2020'!$1:$1048576,2,0),IFERROR(VLOOKUP($C404,'6-COMP. PROPRIA'!$B$1:$I$808,4,0),""))</f>
        <v>VENTILADOR DE TETO SIMPLES - FORNECIMENTO E INSTALAÇÃO</v>
      </c>
      <c r="F404" s="638" t="str">
        <f>IFERROR(VLOOKUP($C404,'SINAPI MAIO 2020'!$1:$1048576,3,0),IFERROR(VLOOKUP($C404,'6-COMP. PROPRIA'!$B$1:$I$808,5,0),""))</f>
        <v>UNI</v>
      </c>
      <c r="G404" s="452">
        <f>QUANT!K1258</f>
        <v>32</v>
      </c>
      <c r="H404" s="452">
        <f>IFERROR(VLOOKUP($C404,'SINAPI MAIO 2020'!$1:$1048576,4,0),IFERROR(VLOOKUP($C404,'6-COMP. PROPRIA'!$B$1:$I$808,8,0),""))</f>
        <v>242.71</v>
      </c>
      <c r="I404" s="452">
        <f>TRUNC(($H404*'4-BDI'!$E$29),2)</f>
        <v>311.25</v>
      </c>
      <c r="J404" s="453">
        <f t="shared" si="152"/>
        <v>7766.72</v>
      </c>
      <c r="K404" s="454">
        <f t="shared" si="153"/>
        <v>9960</v>
      </c>
      <c r="L404" s="187"/>
    </row>
    <row r="405" spans="2:12" s="203" customFormat="1" ht="15.75">
      <c r="B405" s="746" t="s">
        <v>12564</v>
      </c>
      <c r="C405" s="747"/>
      <c r="D405" s="747"/>
      <c r="E405" s="747"/>
      <c r="F405" s="747"/>
      <c r="G405" s="747"/>
      <c r="H405" s="747"/>
      <c r="I405" s="456"/>
      <c r="J405" s="457">
        <f>TRUNC(SUM(J367:J404),2)</f>
        <v>46847.39</v>
      </c>
      <c r="K405" s="457">
        <f>TRUNC(SUM(K367:K404),2)</f>
        <v>60055.35</v>
      </c>
      <c r="L405" s="187"/>
    </row>
    <row r="406" spans="2:12" s="203" customFormat="1" ht="15.75">
      <c r="B406" s="746" t="s">
        <v>4710</v>
      </c>
      <c r="C406" s="747"/>
      <c r="D406" s="747"/>
      <c r="E406" s="747"/>
      <c r="F406" s="747"/>
      <c r="G406" s="747"/>
      <c r="H406" s="747"/>
      <c r="I406" s="456"/>
      <c r="J406" s="457">
        <f>TRUNC(SUM(J405+J365+J358),2)</f>
        <v>51200.43</v>
      </c>
      <c r="K406" s="457">
        <f>TRUNC(SUM(K405+K365+K358),2)</f>
        <v>65636.399999999994</v>
      </c>
      <c r="L406" s="187"/>
    </row>
    <row r="407" spans="2:12" s="203" customFormat="1" ht="15.75">
      <c r="B407" s="440" t="s">
        <v>6513</v>
      </c>
      <c r="C407" s="441"/>
      <c r="D407" s="442"/>
      <c r="E407" s="443" t="str">
        <f>QUANT!E1260</f>
        <v xml:space="preserve">POSTO DE TRANSFORMAÇÃO </v>
      </c>
      <c r="F407" s="444"/>
      <c r="G407" s="445"/>
      <c r="H407" s="446"/>
      <c r="I407" s="446"/>
      <c r="J407" s="447"/>
      <c r="K407" s="448"/>
      <c r="L407" s="187"/>
    </row>
    <row r="408" spans="2:12" s="203" customFormat="1" ht="15.75">
      <c r="B408" s="482" t="s">
        <v>6514</v>
      </c>
      <c r="C408" s="483"/>
      <c r="D408" s="484"/>
      <c r="E408" s="485" t="str">
        <f>QUANT!E1262</f>
        <v>ELÉTRICA - QGBT</v>
      </c>
      <c r="F408" s="486"/>
      <c r="G408" s="487"/>
      <c r="H408" s="488"/>
      <c r="I408" s="488"/>
      <c r="J408" s="489"/>
      <c r="K408" s="457"/>
      <c r="L408" s="187"/>
    </row>
    <row r="409" spans="2:12" s="203" customFormat="1" ht="15">
      <c r="B409" s="458" t="s">
        <v>12575</v>
      </c>
      <c r="C409" s="450" t="str">
        <f>QUANT!C1263</f>
        <v>CP-ELE-8</v>
      </c>
      <c r="D409" s="450" t="str">
        <f>QUANT!D1263</f>
        <v>PRÓPRIA</v>
      </c>
      <c r="E409" s="639" t="str">
        <f>IFERROR(VLOOKUP($C409,'SINAPI MAIO 2020'!$1:$1048576,2,0),IFERROR(VLOOKUP($C409,'6-COMP. PROPRIA'!$B$1:$I$808,4,0),""))</f>
        <v xml:space="preserve">DISPOSITIVO DE PROTEÇÃO CONTRA SURTO - 175V - 40KA </v>
      </c>
      <c r="F409" s="638" t="str">
        <f>IFERROR(VLOOKUP($C409,'SINAPI MAIO 2020'!$1:$1048576,3,0),IFERROR(VLOOKUP($C409,'6-COMP. PROPRIA'!$B$1:$I$808,5,0),""))</f>
        <v>UNI</v>
      </c>
      <c r="G409" s="452">
        <f>QUANT!K1263</f>
        <v>4</v>
      </c>
      <c r="H409" s="452">
        <f>IFERROR(VLOOKUP($C409,'SINAPI MAIO 2020'!$1:$1048576,4,0),IFERROR(VLOOKUP($C409,'6-COMP. PROPRIA'!$B$1:$I$808,8,0),""))</f>
        <v>99.51</v>
      </c>
      <c r="I409" s="452">
        <f>TRUNC(($H409*'4-BDI'!$E$29),2)</f>
        <v>127.61</v>
      </c>
      <c r="J409" s="453">
        <f t="shared" ref="J409" si="154">TRUNC((G409*H409),2)</f>
        <v>398.04</v>
      </c>
      <c r="K409" s="454">
        <f t="shared" ref="K409" si="155">TRUNC((I409*G409),2)</f>
        <v>510.44</v>
      </c>
      <c r="L409" s="187"/>
    </row>
    <row r="410" spans="2:12" s="203" customFormat="1" ht="15">
      <c r="B410" s="458" t="s">
        <v>12576</v>
      </c>
      <c r="C410" s="450" t="str">
        <f>QUANT!C1264</f>
        <v>CP-ELE-9</v>
      </c>
      <c r="D410" s="450" t="str">
        <f>QUANT!D1264</f>
        <v>PRÓPRIA</v>
      </c>
      <c r="E410" s="639" t="str">
        <f>IFERROR(VLOOKUP($C410,'SINAPI MAIO 2020'!$1:$1048576,2,0),IFERROR(VLOOKUP($C410,'6-COMP. PROPRIA'!$B$1:$I$808,4,0),""))</f>
        <v>DISJUNTOR TERMOMAGNETICO TRIPOLAR 125A</v>
      </c>
      <c r="F410" s="638" t="str">
        <f>IFERROR(VLOOKUP($C410,'SINAPI MAIO 2020'!$1:$1048576,3,0),IFERROR(VLOOKUP($C410,'6-COMP. PROPRIA'!$B$1:$I$808,5,0),""))</f>
        <v>UN</v>
      </c>
      <c r="G410" s="452">
        <f>QUANT!K1264</f>
        <v>2</v>
      </c>
      <c r="H410" s="452">
        <f>IFERROR(VLOOKUP($C410,'SINAPI MAIO 2020'!$1:$1048576,4,0),IFERROR(VLOOKUP($C410,'6-COMP. PROPRIA'!$B$1:$I$808,8,0),""))</f>
        <v>332.22</v>
      </c>
      <c r="I410" s="452">
        <f>TRUNC(($H410*'4-BDI'!$E$29),2)</f>
        <v>426.03</v>
      </c>
      <c r="J410" s="453">
        <f t="shared" ref="J410:J413" si="156">TRUNC((G410*H410),2)</f>
        <v>664.44</v>
      </c>
      <c r="K410" s="454">
        <f t="shared" ref="K410:K413" si="157">TRUNC((I410*G410),2)</f>
        <v>852.06</v>
      </c>
      <c r="L410" s="187"/>
    </row>
    <row r="411" spans="2:12" s="203" customFormat="1" ht="30">
      <c r="B411" s="458" t="s">
        <v>12577</v>
      </c>
      <c r="C411" s="450" t="str">
        <f>QUANT!C1265</f>
        <v>CP-ELE-11</v>
      </c>
      <c r="D411" s="450" t="str">
        <f>QUANT!D1265</f>
        <v>PRÓPRIA</v>
      </c>
      <c r="E411" s="639" t="str">
        <f>IFERROR(VLOOKUP($C411,'SINAPI MAIO 2020'!$1:$1048576,2,0),IFERROR(VLOOKUP($C411,'6-COMP. PROPRIA'!$B$1:$I$808,4,0),""))</f>
        <v>Quadro de distribuição geral tipo quadro de comando (QGBT) metálico de 600x1000x200</v>
      </c>
      <c r="F411" s="638" t="str">
        <f>IFERROR(VLOOKUP($C411,'SINAPI MAIO 2020'!$1:$1048576,3,0),IFERROR(VLOOKUP($C411,'6-COMP. PROPRIA'!$B$1:$I$808,5,0),""))</f>
        <v>PÇ</v>
      </c>
      <c r="G411" s="452">
        <f>QUANT!K1265</f>
        <v>1</v>
      </c>
      <c r="H411" s="452">
        <f>IFERROR(VLOOKUP($C411,'SINAPI MAIO 2020'!$1:$1048576,4,0),IFERROR(VLOOKUP($C411,'6-COMP. PROPRIA'!$B$1:$I$808,8,0),""))</f>
        <v>1046.02</v>
      </c>
      <c r="I411" s="452">
        <f>TRUNC(($H411*'4-BDI'!$E$29),2)</f>
        <v>1341.41</v>
      </c>
      <c r="J411" s="453">
        <f t="shared" si="156"/>
        <v>1046.02</v>
      </c>
      <c r="K411" s="454">
        <f t="shared" si="157"/>
        <v>1341.41</v>
      </c>
      <c r="L411" s="187"/>
    </row>
    <row r="412" spans="2:12" s="203" customFormat="1" ht="15">
      <c r="B412" s="458" t="s">
        <v>12578</v>
      </c>
      <c r="C412" s="450" t="str">
        <f>QUANT!C1266</f>
        <v>CP-ELE-12</v>
      </c>
      <c r="D412" s="450" t="str">
        <f>QUANT!D1266</f>
        <v>PRÓPRIA</v>
      </c>
      <c r="E412" s="639" t="str">
        <f>IFERROR(VLOOKUP($C412,'SINAPI MAIO 2020'!$1:$1048576,2,0),IFERROR(VLOOKUP($C412,'6-COMP. PROPRIA'!$B$1:$I$808,4,0),""))</f>
        <v>Barramento de cobre para 400A</v>
      </c>
      <c r="F412" s="638" t="str">
        <f>IFERROR(VLOOKUP($C412,'SINAPI MAIO 2020'!$1:$1048576,3,0),IFERROR(VLOOKUP($C412,'6-COMP. PROPRIA'!$B$1:$I$808,5,0),""))</f>
        <v>M</v>
      </c>
      <c r="G412" s="452">
        <f>QUANT!K1266</f>
        <v>3</v>
      </c>
      <c r="H412" s="452">
        <f>IFERROR(VLOOKUP($C412,'SINAPI MAIO 2020'!$1:$1048576,4,0),IFERROR(VLOOKUP($C412,'6-COMP. PROPRIA'!$B$1:$I$808,8,0),""))</f>
        <v>152.16999999999999</v>
      </c>
      <c r="I412" s="452">
        <f>TRUNC(($H412*'4-BDI'!$E$29),2)</f>
        <v>195.14</v>
      </c>
      <c r="J412" s="453">
        <f t="shared" si="156"/>
        <v>456.51</v>
      </c>
      <c r="K412" s="454">
        <f t="shared" si="157"/>
        <v>585.41999999999996</v>
      </c>
      <c r="L412" s="187"/>
    </row>
    <row r="413" spans="2:12" s="203" customFormat="1" ht="30">
      <c r="B413" s="458" t="s">
        <v>12579</v>
      </c>
      <c r="C413" s="490">
        <f>QUANT!C1267</f>
        <v>93670</v>
      </c>
      <c r="D413" s="490" t="str">
        <f>QUANT!D1267</f>
        <v>SINAPI</v>
      </c>
      <c r="E413" s="639" t="str">
        <f>IFERROR(VLOOKUP($C413,'SINAPI MAIO 2020'!$1:$1048576,2,0),IFERROR(VLOOKUP($C413,'6-COMP. PROPRIA'!$B$1:$I$808,4,0),""))</f>
        <v>DISJUNTOR TRIPOLAR TIPO DIN, CORRENTE NOMINAL DE 25A - FORNECIMENTO E INSTALAÇÃO. AF_04/2016</v>
      </c>
      <c r="F413" s="638" t="str">
        <f>IFERROR(VLOOKUP($C413,'SINAPI MAIO 2020'!$1:$1048576,3,0),IFERROR(VLOOKUP($C413,'6-COMP. PROPRIA'!$B$1:$I$808,5,0),""))</f>
        <v>UN</v>
      </c>
      <c r="G413" s="452">
        <f>QUANT!K1267</f>
        <v>1</v>
      </c>
      <c r="H413" s="452">
        <f>IFERROR(VLOOKUP($C413,'SINAPI MAIO 2020'!$1:$1048576,4,0),IFERROR(VLOOKUP($C413,'6-COMP. PROPRIA'!$B$1:$I$808,8,0),""))</f>
        <v>67.709999999999994</v>
      </c>
      <c r="I413" s="452">
        <f>TRUNC(($H413*'4-BDI'!$E$29),2)</f>
        <v>86.83</v>
      </c>
      <c r="J413" s="453">
        <f t="shared" si="156"/>
        <v>67.709999999999994</v>
      </c>
      <c r="K413" s="454">
        <f t="shared" si="157"/>
        <v>86.83</v>
      </c>
      <c r="L413" s="187"/>
    </row>
    <row r="414" spans="2:12" s="203" customFormat="1" ht="30">
      <c r="B414" s="458" t="s">
        <v>12928</v>
      </c>
      <c r="C414" s="490">
        <f>QUANT!C1268</f>
        <v>93672</v>
      </c>
      <c r="D414" s="490" t="str">
        <f>QUANT!D1268</f>
        <v>SINAPI</v>
      </c>
      <c r="E414" s="639" t="str">
        <f>IFERROR(VLOOKUP($C414,'SINAPI MAIO 2020'!$1:$1048576,2,0),IFERROR(VLOOKUP($C414,'6-COMP. PROPRIA'!$B$1:$I$808,4,0),""))</f>
        <v>DISJUNTOR TRIPOLAR TIPO DIN, CORRENTE NOMINAL DE 40A - FORNECIMENTO E INSTALAÇÃO. AF_04/2016</v>
      </c>
      <c r="F414" s="638" t="str">
        <f>IFERROR(VLOOKUP($C414,'SINAPI MAIO 2020'!$1:$1048576,3,0),IFERROR(VLOOKUP($C414,'6-COMP. PROPRIA'!$B$1:$I$808,5,0),""))</f>
        <v>UN</v>
      </c>
      <c r="G414" s="452">
        <f>QUANT!K1268</f>
        <v>2</v>
      </c>
      <c r="H414" s="452">
        <f>IFERROR(VLOOKUP($C414,'SINAPI MAIO 2020'!$1:$1048576,4,0),IFERROR(VLOOKUP($C414,'6-COMP. PROPRIA'!$B$1:$I$808,8,0),""))</f>
        <v>75.290000000000006</v>
      </c>
      <c r="I414" s="452">
        <f>TRUNC(($H414*'4-BDI'!$E$29),2)</f>
        <v>96.55</v>
      </c>
      <c r="J414" s="453">
        <f t="shared" ref="J414" si="158">TRUNC((G414*H414),2)</f>
        <v>150.58000000000001</v>
      </c>
      <c r="K414" s="454">
        <f t="shared" ref="K414" si="159">TRUNC((I414*G414),2)</f>
        <v>193.1</v>
      </c>
      <c r="L414" s="187"/>
    </row>
    <row r="415" spans="2:12" s="203" customFormat="1" ht="15">
      <c r="B415" s="458" t="s">
        <v>12978</v>
      </c>
      <c r="C415" s="450" t="str">
        <f>QUANT!C1269</f>
        <v>CP-ELE-51</v>
      </c>
      <c r="D415" s="450" t="str">
        <f>QUANT!D1269</f>
        <v>PRÓPRIA</v>
      </c>
      <c r="E415" s="639" t="str">
        <f>IFERROR(VLOOKUP($C415,'SINAPI MAIO 2020'!$1:$1048576,2,0),IFERROR(VLOOKUP($C415,'6-COMP. PROPRIA'!$B$1:$I$808,4,0),""))</f>
        <v>Mureta em alvenaria 1 vez dim 3,00x1,20metros para QGBT</v>
      </c>
      <c r="F415" s="638" t="str">
        <f>IFERROR(VLOOKUP($C415,'SINAPI MAIO 2020'!$1:$1048576,3,0),IFERROR(VLOOKUP($C415,'6-COMP. PROPRIA'!$B$1:$I$808,5,0),""))</f>
        <v>UNI</v>
      </c>
      <c r="G415" s="452">
        <f>QUANT!K1269</f>
        <v>1</v>
      </c>
      <c r="H415" s="452">
        <f>IFERROR(VLOOKUP($C415,'SINAPI MAIO 2020'!$1:$1048576,4,0),IFERROR(VLOOKUP($C415,'6-COMP. PROPRIA'!$B$1:$I$808,8,0),""))</f>
        <v>1365.65</v>
      </c>
      <c r="I415" s="452">
        <f>TRUNC(($H415*'4-BDI'!$E$29),2)</f>
        <v>1751.3</v>
      </c>
      <c r="J415" s="453">
        <f t="shared" ref="J415" si="160">TRUNC((G415*H415),2)</f>
        <v>1365.65</v>
      </c>
      <c r="K415" s="454">
        <f t="shared" ref="K415" si="161">TRUNC((I415*G415),2)</f>
        <v>1751.3</v>
      </c>
      <c r="L415" s="187"/>
    </row>
    <row r="416" spans="2:12" s="203" customFormat="1" ht="15.75">
      <c r="B416" s="746" t="s">
        <v>12564</v>
      </c>
      <c r="C416" s="747"/>
      <c r="D416" s="747"/>
      <c r="E416" s="747"/>
      <c r="F416" s="747"/>
      <c r="G416" s="747"/>
      <c r="H416" s="747"/>
      <c r="I416" s="456"/>
      <c r="J416" s="457">
        <f>TRUNC(SUM(J409:J414),2)</f>
        <v>2783.3</v>
      </c>
      <c r="K416" s="457">
        <f>TRUNC(SUM(K409:K415),2)</f>
        <v>5320.56</v>
      </c>
      <c r="L416" s="187"/>
    </row>
    <row r="417" spans="2:12" s="203" customFormat="1" ht="15.75">
      <c r="B417" s="482" t="s">
        <v>6515</v>
      </c>
      <c r="C417" s="483"/>
      <c r="D417" s="484"/>
      <c r="E417" s="485" t="str">
        <f>QUANT!E1272</f>
        <v>INTERLIGAÇÃO DO POSTO DE TRANSFORMAÇÃO AO QGBT PROJETADO</v>
      </c>
      <c r="F417" s="486"/>
      <c r="G417" s="487"/>
      <c r="H417" s="488"/>
      <c r="I417" s="488"/>
      <c r="J417" s="489"/>
      <c r="K417" s="457"/>
      <c r="L417" s="187"/>
    </row>
    <row r="418" spans="2:12" s="203" customFormat="1" ht="15">
      <c r="B418" s="458" t="s">
        <v>12580</v>
      </c>
      <c r="C418" s="450" t="str">
        <f>QUANT!C1274</f>
        <v>CP-ELE-13</v>
      </c>
      <c r="D418" s="450" t="str">
        <f>QUANT!D1274</f>
        <v>PRÓPRIA</v>
      </c>
      <c r="E418" s="639" t="str">
        <f>IFERROR(VLOOKUP($C418,'SINAPI MAIO 2020'!$1:$1048576,2,0),IFERROR(VLOOKUP($C418,'6-COMP. PROPRIA'!$B$1:$I$808,4,0),""))</f>
        <v>Curva PVC roscável Ø4"</v>
      </c>
      <c r="F418" s="638" t="str">
        <f>IFERROR(VLOOKUP($C418,'SINAPI MAIO 2020'!$1:$1048576,3,0),IFERROR(VLOOKUP($C418,'6-COMP. PROPRIA'!$B$1:$I$808,5,0),""))</f>
        <v>UNI</v>
      </c>
      <c r="G418" s="452">
        <f>QUANT!K1274</f>
        <v>1</v>
      </c>
      <c r="H418" s="452">
        <f>IFERROR(VLOOKUP($C418,'SINAPI MAIO 2020'!$1:$1048576,4,0),IFERROR(VLOOKUP($C418,'6-COMP. PROPRIA'!$B$1:$I$808,8,0),""))</f>
        <v>43.38</v>
      </c>
      <c r="I418" s="452">
        <f>TRUNC(($H418*'4-BDI'!$E$29),2)</f>
        <v>55.63</v>
      </c>
      <c r="J418" s="453">
        <f t="shared" ref="J418" si="162">TRUNC((G418*H418),2)</f>
        <v>43.38</v>
      </c>
      <c r="K418" s="454">
        <f t="shared" ref="K418" si="163">TRUNC((I418*G418),2)</f>
        <v>55.63</v>
      </c>
      <c r="L418" s="187"/>
    </row>
    <row r="419" spans="2:12" s="203" customFormat="1" ht="15">
      <c r="B419" s="458" t="s">
        <v>12581</v>
      </c>
      <c r="C419" s="450" t="str">
        <f>QUANT!C1275</f>
        <v>CP-ELE-14</v>
      </c>
      <c r="D419" s="450" t="str">
        <f>QUANT!D1275</f>
        <v>PRÓPRIA</v>
      </c>
      <c r="E419" s="639" t="str">
        <f>IFERROR(VLOOKUP($C419,'SINAPI MAIO 2020'!$1:$1048576,2,0),IFERROR(VLOOKUP($C419,'6-COMP. PROPRIA'!$B$1:$I$808,4,0),""))</f>
        <v>Fita isolante adesiva anti-chama uso ate 750V, em rolo de 19mmx20m (AZUL)</v>
      </c>
      <c r="F419" s="638" t="str">
        <f>IFERROR(VLOOKUP($C419,'SINAPI MAIO 2020'!$1:$1048576,3,0),IFERROR(VLOOKUP($C419,'6-COMP. PROPRIA'!$B$1:$I$808,5,0),""))</f>
        <v>UNI</v>
      </c>
      <c r="G419" s="452">
        <f>QUANT!K1275</f>
        <v>1</v>
      </c>
      <c r="H419" s="452">
        <f>IFERROR(VLOOKUP($C419,'SINAPI MAIO 2020'!$1:$1048576,4,0),IFERROR(VLOOKUP($C419,'6-COMP. PROPRIA'!$B$1:$I$808,8,0),""))</f>
        <v>16.43</v>
      </c>
      <c r="I419" s="452">
        <f>TRUNC(($H419*'4-BDI'!$E$29),2)</f>
        <v>21.06</v>
      </c>
      <c r="J419" s="453">
        <f t="shared" ref="J419:J436" si="164">TRUNC((G419*H419),2)</f>
        <v>16.43</v>
      </c>
      <c r="K419" s="454">
        <f t="shared" ref="K419:K436" si="165">TRUNC((I419*G419),2)</f>
        <v>21.06</v>
      </c>
      <c r="L419" s="187"/>
    </row>
    <row r="420" spans="2:12" s="203" customFormat="1" ht="30">
      <c r="B420" s="458" t="s">
        <v>12582</v>
      </c>
      <c r="C420" s="450" t="str">
        <f>QUANT!C1276</f>
        <v>CP-ELE-15</v>
      </c>
      <c r="D420" s="450" t="str">
        <f>QUANT!D1276</f>
        <v>PRÓPRIA</v>
      </c>
      <c r="E420" s="639" t="str">
        <f>IFERROR(VLOOKUP($C420,'SINAPI MAIO 2020'!$1:$1048576,2,0),IFERROR(VLOOKUP($C420,'6-COMP. PROPRIA'!$B$1:$I$808,4,0),""))</f>
        <v>Fita isolante adesiva anti-chama uso ate 750V, em rolo de 19mmx20m (VERMELHO)</v>
      </c>
      <c r="F420" s="638" t="str">
        <f>IFERROR(VLOOKUP($C420,'SINAPI MAIO 2020'!$1:$1048576,3,0),IFERROR(VLOOKUP($C420,'6-COMP. PROPRIA'!$B$1:$I$808,5,0),""))</f>
        <v>UNI</v>
      </c>
      <c r="G420" s="452">
        <f>QUANT!K1276</f>
        <v>1</v>
      </c>
      <c r="H420" s="452">
        <f>IFERROR(VLOOKUP($C420,'SINAPI MAIO 2020'!$1:$1048576,4,0),IFERROR(VLOOKUP($C420,'6-COMP. PROPRIA'!$B$1:$I$808,8,0),""))</f>
        <v>16.43</v>
      </c>
      <c r="I420" s="452">
        <f>TRUNC(($H420*'4-BDI'!$E$29),2)</f>
        <v>21.06</v>
      </c>
      <c r="J420" s="453">
        <f t="shared" si="164"/>
        <v>16.43</v>
      </c>
      <c r="K420" s="454">
        <f t="shared" si="165"/>
        <v>21.06</v>
      </c>
      <c r="L420" s="187"/>
    </row>
    <row r="421" spans="2:12" s="203" customFormat="1" ht="30">
      <c r="B421" s="458" t="s">
        <v>12583</v>
      </c>
      <c r="C421" s="450" t="str">
        <f>QUANT!C1277</f>
        <v>CP-ELE-16</v>
      </c>
      <c r="D421" s="450" t="str">
        <f>QUANT!D1277</f>
        <v>PRÓPRIA</v>
      </c>
      <c r="E421" s="639" t="str">
        <f>IFERROR(VLOOKUP($C421,'SINAPI MAIO 2020'!$1:$1048576,2,0),IFERROR(VLOOKUP($C421,'6-COMP. PROPRIA'!$B$1:$I$808,4,0),""))</f>
        <v>Fita isolante adesiva anti-chama uso ate 750V, em rolo de 19mmx20m (VERDE)</v>
      </c>
      <c r="F421" s="638" t="str">
        <f>IFERROR(VLOOKUP($C421,'SINAPI MAIO 2020'!$1:$1048576,3,0),IFERROR(VLOOKUP($C421,'6-COMP. PROPRIA'!$B$1:$I$808,5,0),""))</f>
        <v>UNI</v>
      </c>
      <c r="G421" s="452">
        <f>QUANT!K1277</f>
        <v>1</v>
      </c>
      <c r="H421" s="452">
        <f>IFERROR(VLOOKUP($C421,'SINAPI MAIO 2020'!$1:$1048576,4,0),IFERROR(VLOOKUP($C421,'6-COMP. PROPRIA'!$B$1:$I$808,8,0),""))</f>
        <v>16.43</v>
      </c>
      <c r="I421" s="452">
        <f>TRUNC(($H421*'4-BDI'!$E$29),2)</f>
        <v>21.06</v>
      </c>
      <c r="J421" s="453">
        <f t="shared" si="164"/>
        <v>16.43</v>
      </c>
      <c r="K421" s="454">
        <f t="shared" si="165"/>
        <v>21.06</v>
      </c>
      <c r="L421" s="187"/>
    </row>
    <row r="422" spans="2:12" s="203" customFormat="1" ht="15">
      <c r="B422" s="458" t="s">
        <v>12584</v>
      </c>
      <c r="C422" s="450" t="str">
        <f>QUANT!C1278</f>
        <v>CP-ELE-17</v>
      </c>
      <c r="D422" s="450" t="str">
        <f>QUANT!D1278</f>
        <v>PRÓPRIA</v>
      </c>
      <c r="E422" s="639" t="str">
        <f>IFERROR(VLOOKUP($C422,'SINAPI MAIO 2020'!$1:$1048576,2,0),IFERROR(VLOOKUP($C422,'6-COMP. PROPRIA'!$B$1:$I$808,4,0),""))</f>
        <v>Bucha de aluminio Ø4"</v>
      </c>
      <c r="F422" s="638" t="str">
        <f>IFERROR(VLOOKUP($C422,'SINAPI MAIO 2020'!$1:$1048576,3,0),IFERROR(VLOOKUP($C422,'6-COMP. PROPRIA'!$B$1:$I$808,5,0),""))</f>
        <v>UNI</v>
      </c>
      <c r="G422" s="452">
        <f>QUANT!K1278</f>
        <v>1</v>
      </c>
      <c r="H422" s="452">
        <f>IFERROR(VLOOKUP($C422,'SINAPI MAIO 2020'!$1:$1048576,4,0),IFERROR(VLOOKUP($C422,'6-COMP. PROPRIA'!$B$1:$I$808,8,0),""))</f>
        <v>12.8</v>
      </c>
      <c r="I422" s="452">
        <f>TRUNC(($H422*'4-BDI'!$E$29),2)</f>
        <v>16.41</v>
      </c>
      <c r="J422" s="453">
        <f t="shared" si="164"/>
        <v>12.8</v>
      </c>
      <c r="K422" s="454">
        <f t="shared" si="165"/>
        <v>16.41</v>
      </c>
      <c r="L422" s="187"/>
    </row>
    <row r="423" spans="2:12" s="203" customFormat="1" ht="15">
      <c r="B423" s="458" t="s">
        <v>12585</v>
      </c>
      <c r="C423" s="450" t="str">
        <f>QUANT!C1279</f>
        <v>CP-ELE-18</v>
      </c>
      <c r="D423" s="450" t="str">
        <f>QUANT!D1279</f>
        <v>PRÓPRIA</v>
      </c>
      <c r="E423" s="639" t="str">
        <f>IFERROR(VLOOKUP($C423,'SINAPI MAIO 2020'!$1:$1048576,2,0),IFERROR(VLOOKUP($C423,'6-COMP. PROPRIA'!$B$1:$I$808,4,0),""))</f>
        <v>Isolador epoxi 3/4"</v>
      </c>
      <c r="F423" s="638" t="str">
        <f>IFERROR(VLOOKUP($C423,'SINAPI MAIO 2020'!$1:$1048576,3,0),IFERROR(VLOOKUP($C423,'6-COMP. PROPRIA'!$B$1:$I$808,5,0),""))</f>
        <v>PÇ</v>
      </c>
      <c r="G423" s="452">
        <f>QUANT!K1279</f>
        <v>4</v>
      </c>
      <c r="H423" s="452">
        <f>IFERROR(VLOOKUP($C423,'SINAPI MAIO 2020'!$1:$1048576,4,0),IFERROR(VLOOKUP($C423,'6-COMP. PROPRIA'!$B$1:$I$808,8,0),""))</f>
        <v>18.09</v>
      </c>
      <c r="I423" s="452">
        <f>TRUNC(($H423*'4-BDI'!$E$29),2)</f>
        <v>23.19</v>
      </c>
      <c r="J423" s="453">
        <f t="shared" si="164"/>
        <v>72.36</v>
      </c>
      <c r="K423" s="454">
        <f t="shared" si="165"/>
        <v>92.76</v>
      </c>
      <c r="L423" s="187"/>
    </row>
    <row r="424" spans="2:12" s="203" customFormat="1" ht="15">
      <c r="B424" s="458" t="s">
        <v>12586</v>
      </c>
      <c r="C424" s="450" t="str">
        <f>QUANT!C1280</f>
        <v>CP-ELE-19</v>
      </c>
      <c r="D424" s="450" t="str">
        <f>QUANT!D1280</f>
        <v>PRÓPRIA</v>
      </c>
      <c r="E424" s="639" t="str">
        <f>IFERROR(VLOOKUP($C424,'SINAPI MAIO 2020'!$1:$1048576,2,0),IFERROR(VLOOKUP($C424,'6-COMP. PROPRIA'!$B$1:$I$808,4,0),""))</f>
        <v>Chapa acrílica Transparente</v>
      </c>
      <c r="F424" s="638" t="str">
        <f>IFERROR(VLOOKUP($C424,'SINAPI MAIO 2020'!$1:$1048576,3,0),IFERROR(VLOOKUP($C424,'6-COMP. PROPRIA'!$B$1:$I$808,5,0),""))</f>
        <v>UNI</v>
      </c>
      <c r="G424" s="452">
        <f>QUANT!K1280</f>
        <v>1</v>
      </c>
      <c r="H424" s="452">
        <f>IFERROR(VLOOKUP($C424,'SINAPI MAIO 2020'!$1:$1048576,4,0),IFERROR(VLOOKUP($C424,'6-COMP. PROPRIA'!$B$1:$I$808,8,0),""))</f>
        <v>48.96</v>
      </c>
      <c r="I424" s="452">
        <f>TRUNC(($H424*'4-BDI'!$E$29),2)</f>
        <v>62.78</v>
      </c>
      <c r="J424" s="453">
        <f t="shared" si="164"/>
        <v>48.96</v>
      </c>
      <c r="K424" s="454">
        <f t="shared" si="165"/>
        <v>62.78</v>
      </c>
      <c r="L424" s="187"/>
    </row>
    <row r="425" spans="2:12" s="203" customFormat="1" ht="15">
      <c r="B425" s="458" t="s">
        <v>12587</v>
      </c>
      <c r="C425" s="450" t="str">
        <f>QUANT!C1281</f>
        <v>CP-ELE-20</v>
      </c>
      <c r="D425" s="450" t="str">
        <f>QUANT!D1281</f>
        <v>PRÓPRIA</v>
      </c>
      <c r="E425" s="639" t="str">
        <f>IFERROR(VLOOKUP($C425,'SINAPI MAIO 2020'!$1:$1048576,2,0),IFERROR(VLOOKUP($C425,'6-COMP. PROPRIA'!$B$1:$I$808,4,0),""))</f>
        <v>Parafuso sextavado inoxidável de Ø5/16"</v>
      </c>
      <c r="F425" s="638" t="str">
        <f>IFERROR(VLOOKUP($C425,'SINAPI MAIO 2020'!$1:$1048576,3,0),IFERROR(VLOOKUP($C425,'6-COMP. PROPRIA'!$B$1:$I$808,5,0),""))</f>
        <v>PÇ</v>
      </c>
      <c r="G425" s="452">
        <f>QUANT!K1281</f>
        <v>15</v>
      </c>
      <c r="H425" s="452">
        <f>IFERROR(VLOOKUP($C425,'SINAPI MAIO 2020'!$1:$1048576,4,0),IFERROR(VLOOKUP($C425,'6-COMP. PROPRIA'!$B$1:$I$808,8,0),""))</f>
        <v>5.35</v>
      </c>
      <c r="I425" s="452">
        <f>TRUNC(($H425*'4-BDI'!$E$29),2)</f>
        <v>6.86</v>
      </c>
      <c r="J425" s="453">
        <f t="shared" si="164"/>
        <v>80.25</v>
      </c>
      <c r="K425" s="454">
        <f t="shared" si="165"/>
        <v>102.9</v>
      </c>
      <c r="L425" s="187"/>
    </row>
    <row r="426" spans="2:12" s="203" customFormat="1" ht="15">
      <c r="B426" s="458" t="s">
        <v>12588</v>
      </c>
      <c r="C426" s="450" t="str">
        <f>QUANT!C1282</f>
        <v>CP-ELE-21</v>
      </c>
      <c r="D426" s="450" t="str">
        <f>QUANT!D1282</f>
        <v>PRÓPRIA</v>
      </c>
      <c r="E426" s="639" t="str">
        <f>IFERROR(VLOOKUP($C426,'SINAPI MAIO 2020'!$1:$1048576,2,0),IFERROR(VLOOKUP($C426,'6-COMP. PROPRIA'!$B$1:$I$808,4,0),""))</f>
        <v>Parafuso cobreado de Ø 3/8"</v>
      </c>
      <c r="F426" s="638" t="str">
        <f>IFERROR(VLOOKUP($C426,'SINAPI MAIO 2020'!$1:$1048576,3,0),IFERROR(VLOOKUP($C426,'6-COMP. PROPRIA'!$B$1:$I$808,5,0),""))</f>
        <v>PÇ</v>
      </c>
      <c r="G426" s="452">
        <f>QUANT!K1282</f>
        <v>10</v>
      </c>
      <c r="H426" s="452">
        <f>IFERROR(VLOOKUP($C426,'SINAPI MAIO 2020'!$1:$1048576,4,0),IFERROR(VLOOKUP($C426,'6-COMP. PROPRIA'!$B$1:$I$808,8,0),""))</f>
        <v>6.01</v>
      </c>
      <c r="I426" s="452">
        <f>TRUNC(($H426*'4-BDI'!$E$29),2)</f>
        <v>7.7</v>
      </c>
      <c r="J426" s="453">
        <f t="shared" si="164"/>
        <v>60.1</v>
      </c>
      <c r="K426" s="454">
        <f t="shared" si="165"/>
        <v>77</v>
      </c>
      <c r="L426" s="187"/>
    </row>
    <row r="427" spans="2:12" s="203" customFormat="1" ht="30">
      <c r="B427" s="458" t="s">
        <v>12589</v>
      </c>
      <c r="C427" s="450" t="str">
        <f>QUANT!C1283</f>
        <v>CP-ELE-22</v>
      </c>
      <c r="D427" s="450" t="str">
        <f>QUANT!D1283</f>
        <v>PRÓPRIA</v>
      </c>
      <c r="E427" s="639" t="str">
        <f>IFERROR(VLOOKUP($C427,'SINAPI MAIO 2020'!$1:$1048576,2,0),IFERROR(VLOOKUP($C427,'6-COMP. PROPRIA'!$B$1:$I$808,4,0),""))</f>
        <v>TERMINAL METALICO A PRESSAO PARA 1 CABO DE 185 MM2, COM 1 FURO DE FIXACAO</v>
      </c>
      <c r="F427" s="638" t="str">
        <f>IFERROR(VLOOKUP($C427,'SINAPI MAIO 2020'!$1:$1048576,3,0),IFERROR(VLOOKUP($C427,'6-COMP. PROPRIA'!$B$1:$I$808,5,0),""))</f>
        <v>UNI</v>
      </c>
      <c r="G427" s="452">
        <f>QUANT!K1283</f>
        <v>6</v>
      </c>
      <c r="H427" s="452">
        <f>IFERROR(VLOOKUP($C427,'SINAPI MAIO 2020'!$1:$1048576,4,0),IFERROR(VLOOKUP($C427,'6-COMP. PROPRIA'!$B$1:$I$808,8,0),""))</f>
        <v>23.2</v>
      </c>
      <c r="I427" s="452">
        <f>TRUNC(($H427*'4-BDI'!$E$29),2)</f>
        <v>29.75</v>
      </c>
      <c r="J427" s="453">
        <f t="shared" si="164"/>
        <v>139.19999999999999</v>
      </c>
      <c r="K427" s="454">
        <f t="shared" si="165"/>
        <v>178.5</v>
      </c>
      <c r="L427" s="187"/>
    </row>
    <row r="428" spans="2:12" s="203" customFormat="1" ht="30">
      <c r="B428" s="458" t="s">
        <v>12590</v>
      </c>
      <c r="C428" s="450" t="str">
        <f>QUANT!C1284</f>
        <v>CP-ELE-23</v>
      </c>
      <c r="D428" s="450" t="str">
        <f>QUANT!D1284</f>
        <v>PRÓPRIA</v>
      </c>
      <c r="E428" s="639" t="str">
        <f>IFERROR(VLOOKUP($C428,'SINAPI MAIO 2020'!$1:$1048576,2,0),IFERROR(VLOOKUP($C428,'6-COMP. PROPRIA'!$B$1:$I$808,4,0),""))</f>
        <v xml:space="preserve">TERMINAL METALICO A PRESSAO PARA 1 CABO DE 95 MM2, COM 1 FURO DE FIXACAO </v>
      </c>
      <c r="F428" s="638" t="str">
        <f>IFERROR(VLOOKUP($C428,'SINAPI MAIO 2020'!$1:$1048576,3,0),IFERROR(VLOOKUP($C428,'6-COMP. PROPRIA'!$B$1:$I$808,5,0),""))</f>
        <v>UNI</v>
      </c>
      <c r="G428" s="452">
        <f>QUANT!K1284</f>
        <v>2</v>
      </c>
      <c r="H428" s="452">
        <f>IFERROR(VLOOKUP($C428,'SINAPI MAIO 2020'!$1:$1048576,4,0),IFERROR(VLOOKUP($C428,'6-COMP. PROPRIA'!$B$1:$I$808,8,0),""))</f>
        <v>15.32</v>
      </c>
      <c r="I428" s="452">
        <f>TRUNC(($H428*'4-BDI'!$E$29),2)</f>
        <v>19.64</v>
      </c>
      <c r="J428" s="453">
        <f t="shared" si="164"/>
        <v>30.64</v>
      </c>
      <c r="K428" s="454">
        <f t="shared" si="165"/>
        <v>39.28</v>
      </c>
      <c r="L428" s="187"/>
    </row>
    <row r="429" spans="2:12" s="203" customFormat="1" ht="30">
      <c r="B429" s="458" t="s">
        <v>12591</v>
      </c>
      <c r="C429" s="450" t="str">
        <f>QUANT!C1285</f>
        <v>CP-ELE-24</v>
      </c>
      <c r="D429" s="450" t="str">
        <f>QUANT!D1285</f>
        <v>PRÓPRIA</v>
      </c>
      <c r="E429" s="639" t="str">
        <f>IFERROR(VLOOKUP($C429,'SINAPI MAIO 2020'!$1:$1048576,2,0),IFERROR(VLOOKUP($C429,'6-COMP. PROPRIA'!$B$1:$I$808,4,0),""))</f>
        <v xml:space="preserve">DISJUNTOR TERMOMAGNETICO TRIPOLAR 300 A / 600 V, TIPO JXD / ICC - 40 KA </v>
      </c>
      <c r="F429" s="638" t="str">
        <f>IFERROR(VLOOKUP($C429,'SINAPI MAIO 2020'!$1:$1048576,3,0),IFERROR(VLOOKUP($C429,'6-COMP. PROPRIA'!$B$1:$I$808,5,0),""))</f>
        <v>UNI</v>
      </c>
      <c r="G429" s="452">
        <f>QUANT!K1285</f>
        <v>1</v>
      </c>
      <c r="H429" s="452">
        <f>IFERROR(VLOOKUP($C429,'SINAPI MAIO 2020'!$1:$1048576,4,0),IFERROR(VLOOKUP($C429,'6-COMP. PROPRIA'!$B$1:$I$808,8,0),""))</f>
        <v>1181.9000000000001</v>
      </c>
      <c r="I429" s="452">
        <f>TRUNC(($H429*'4-BDI'!$E$29),2)</f>
        <v>1515.66</v>
      </c>
      <c r="J429" s="453">
        <f t="shared" si="164"/>
        <v>1181.9000000000001</v>
      </c>
      <c r="K429" s="454">
        <f t="shared" si="165"/>
        <v>1515.66</v>
      </c>
      <c r="L429" s="187"/>
    </row>
    <row r="430" spans="2:12" s="203" customFormat="1" ht="30">
      <c r="B430" s="458" t="s">
        <v>12592</v>
      </c>
      <c r="C430" s="450">
        <f>QUANT!C1286</f>
        <v>93358</v>
      </c>
      <c r="D430" s="450" t="str">
        <f>QUANT!D1286</f>
        <v>SINAPI</v>
      </c>
      <c r="E430" s="639" t="str">
        <f>IFERROR(VLOOKUP($C430,'SINAPI MAIO 2020'!$1:$1048576,2,0),IFERROR(VLOOKUP($C430,'6-COMP. PROPRIA'!$B$1:$I$808,4,0),""))</f>
        <v>ESCAVAÇÃO MANUAL DE VALA COM PROFUNDIDADE MENOR OU IGUAL A 1,30 M. AF_03/2016</v>
      </c>
      <c r="F430" s="638" t="str">
        <f>IFERROR(VLOOKUP($C430,'SINAPI MAIO 2020'!$1:$1048576,3,0),IFERROR(VLOOKUP($C430,'6-COMP. PROPRIA'!$B$1:$I$808,5,0),""))</f>
        <v>M3</v>
      </c>
      <c r="G430" s="452">
        <f>QUANT!K1286</f>
        <v>2</v>
      </c>
      <c r="H430" s="452">
        <f>IFERROR(VLOOKUP($C430,'SINAPI MAIO 2020'!$1:$1048576,4,0),IFERROR(VLOOKUP($C430,'6-COMP. PROPRIA'!$B$1:$I$808,8,0),""))</f>
        <v>56.84</v>
      </c>
      <c r="I430" s="452">
        <f>TRUNC(($H430*'4-BDI'!$E$29),2)</f>
        <v>72.89</v>
      </c>
      <c r="J430" s="453">
        <f t="shared" si="164"/>
        <v>113.68</v>
      </c>
      <c r="K430" s="454">
        <f t="shared" si="165"/>
        <v>145.78</v>
      </c>
      <c r="L430" s="187"/>
    </row>
    <row r="431" spans="2:12" s="203" customFormat="1" ht="15">
      <c r="B431" s="458" t="s">
        <v>12593</v>
      </c>
      <c r="C431" s="450">
        <f>QUANT!C1287</f>
        <v>96995</v>
      </c>
      <c r="D431" s="450" t="str">
        <f>QUANT!D1287</f>
        <v>SINAPI</v>
      </c>
      <c r="E431" s="639" t="str">
        <f>IFERROR(VLOOKUP($C431,'SINAPI MAIO 2020'!$1:$1048576,2,0),IFERROR(VLOOKUP($C431,'6-COMP. PROPRIA'!$B$1:$I$808,4,0),""))</f>
        <v>REATERRO MANUAL APILOADO COM SOQUETE. AF_10/2017</v>
      </c>
      <c r="F431" s="638" t="str">
        <f>IFERROR(VLOOKUP($C431,'SINAPI MAIO 2020'!$1:$1048576,3,0),IFERROR(VLOOKUP($C431,'6-COMP. PROPRIA'!$B$1:$I$808,5,0),""))</f>
        <v>M3</v>
      </c>
      <c r="G431" s="452">
        <f>QUANT!K1287</f>
        <v>2</v>
      </c>
      <c r="H431" s="452">
        <f>IFERROR(VLOOKUP($C431,'SINAPI MAIO 2020'!$1:$1048576,4,0),IFERROR(VLOOKUP($C431,'6-COMP. PROPRIA'!$B$1:$I$808,8,0),""))</f>
        <v>34.46</v>
      </c>
      <c r="I431" s="452">
        <f>TRUNC(($H431*'4-BDI'!$E$29),2)</f>
        <v>44.19</v>
      </c>
      <c r="J431" s="453">
        <f t="shared" si="164"/>
        <v>68.92</v>
      </c>
      <c r="K431" s="454">
        <f t="shared" si="165"/>
        <v>88.38</v>
      </c>
      <c r="L431" s="187"/>
    </row>
    <row r="432" spans="2:12" s="203" customFormat="1" ht="30">
      <c r="B432" s="458" t="s">
        <v>12594</v>
      </c>
      <c r="C432" s="450">
        <f>QUANT!C1288</f>
        <v>92998</v>
      </c>
      <c r="D432" s="450" t="str">
        <f>QUANT!D1288</f>
        <v>SINAPI</v>
      </c>
      <c r="E432" s="639" t="str">
        <f>IFERROR(VLOOKUP($C432,'SINAPI MAIO 2020'!$1:$1048576,2,0),IFERROR(VLOOKUP($C432,'6-COMP. PROPRIA'!$B$1:$I$808,4,0),""))</f>
        <v>CABO DE COBRE FLEXÍVEL ISOLADO, 185 MM², ANTI-CHAMA 0,6/1,0 KV, PARA DISTRIBUIÇÃO - FORNECIMENTO E INSTALAÇÃO. AF_12/2015</v>
      </c>
      <c r="F432" s="638" t="str">
        <f>IFERROR(VLOOKUP($C432,'SINAPI MAIO 2020'!$1:$1048576,3,0),IFERROR(VLOOKUP($C432,'6-COMP. PROPRIA'!$B$1:$I$808,5,0),""))</f>
        <v>M</v>
      </c>
      <c r="G432" s="452">
        <f>QUANT!K1288</f>
        <v>132</v>
      </c>
      <c r="H432" s="452">
        <f>IFERROR(VLOOKUP($C432,'SINAPI MAIO 2020'!$1:$1048576,4,0),IFERROR(VLOOKUP($C432,'6-COMP. PROPRIA'!$B$1:$I$808,8,0),""))</f>
        <v>118.41</v>
      </c>
      <c r="I432" s="452">
        <f>TRUNC(($H432*'4-BDI'!$E$29),2)</f>
        <v>151.84</v>
      </c>
      <c r="J432" s="453">
        <f t="shared" si="164"/>
        <v>15630.12</v>
      </c>
      <c r="K432" s="454">
        <f t="shared" si="165"/>
        <v>20042.88</v>
      </c>
      <c r="L432" s="187"/>
    </row>
    <row r="433" spans="2:12" s="203" customFormat="1" ht="30">
      <c r="B433" s="458" t="s">
        <v>12595</v>
      </c>
      <c r="C433" s="450">
        <f>QUANT!C1289</f>
        <v>92992</v>
      </c>
      <c r="D433" s="450" t="str">
        <f>QUANT!D1289</f>
        <v>SINAPI</v>
      </c>
      <c r="E433" s="639" t="str">
        <f>IFERROR(VLOOKUP($C433,'SINAPI MAIO 2020'!$1:$1048576,2,0),IFERROR(VLOOKUP($C433,'6-COMP. PROPRIA'!$B$1:$I$808,4,0),""))</f>
        <v>CABO DE COBRE FLEXÍVEL ISOLADO, 95 MM², ANTI-CHAMA 0,6/1,0 KV, PARA DISTRIBUIÇÃO - FORNECIMENTO E INSTALAÇÃO. AF_12/2015</v>
      </c>
      <c r="F433" s="638" t="str">
        <f>IFERROR(VLOOKUP($C433,'SINAPI MAIO 2020'!$1:$1048576,3,0),IFERROR(VLOOKUP($C433,'6-COMP. PROPRIA'!$B$1:$I$808,5,0),""))</f>
        <v>M</v>
      </c>
      <c r="G433" s="452">
        <f>QUANT!K1289</f>
        <v>33</v>
      </c>
      <c r="H433" s="452">
        <f>IFERROR(VLOOKUP($C433,'SINAPI MAIO 2020'!$1:$1048576,4,0),IFERROR(VLOOKUP($C433,'6-COMP. PROPRIA'!$B$1:$I$808,8,0),""))</f>
        <v>60.58</v>
      </c>
      <c r="I433" s="452">
        <f>TRUNC(($H433*'4-BDI'!$E$29),2)</f>
        <v>77.680000000000007</v>
      </c>
      <c r="J433" s="453">
        <f t="shared" si="164"/>
        <v>1999.14</v>
      </c>
      <c r="K433" s="454">
        <f t="shared" si="165"/>
        <v>2563.44</v>
      </c>
      <c r="L433" s="187"/>
    </row>
    <row r="434" spans="2:12" s="203" customFormat="1" ht="30">
      <c r="B434" s="458" t="s">
        <v>12596</v>
      </c>
      <c r="C434" s="450">
        <f>QUANT!C1290</f>
        <v>97670</v>
      </c>
      <c r="D434" s="450" t="str">
        <f>QUANT!D1290</f>
        <v>SINAPI</v>
      </c>
      <c r="E434" s="639" t="str">
        <f>IFERROR(VLOOKUP($C434,'SINAPI MAIO 2020'!$1:$1048576,2,0),IFERROR(VLOOKUP($C434,'6-COMP. PROPRIA'!$B$1:$I$808,4,0),""))</f>
        <v>ELETRODUTO FLEXÍVEL CORRUGADO, PEAD, DN 100 (4) - FORNECIMENTO E INSTALAÇÃO. AF_04/2016</v>
      </c>
      <c r="F434" s="638" t="str">
        <f>IFERROR(VLOOKUP($C434,'SINAPI MAIO 2020'!$1:$1048576,3,0),IFERROR(VLOOKUP($C434,'6-COMP. PROPRIA'!$B$1:$I$808,5,0),""))</f>
        <v>M</v>
      </c>
      <c r="G434" s="452">
        <f>QUANT!K1290</f>
        <v>33</v>
      </c>
      <c r="H434" s="452">
        <f>IFERROR(VLOOKUP($C434,'SINAPI MAIO 2020'!$1:$1048576,4,0),IFERROR(VLOOKUP($C434,'6-COMP. PROPRIA'!$B$1:$I$808,8,0),""))</f>
        <v>18.690000000000001</v>
      </c>
      <c r="I434" s="452">
        <f>TRUNC(($H434*'4-BDI'!$E$29),2)</f>
        <v>23.96</v>
      </c>
      <c r="J434" s="453">
        <f t="shared" si="164"/>
        <v>616.77</v>
      </c>
      <c r="K434" s="454">
        <f t="shared" si="165"/>
        <v>790.68</v>
      </c>
      <c r="L434" s="187"/>
    </row>
    <row r="435" spans="2:12" s="203" customFormat="1" ht="45">
      <c r="B435" s="458" t="s">
        <v>12597</v>
      </c>
      <c r="C435" s="450">
        <f>QUANT!C1291</f>
        <v>97892</v>
      </c>
      <c r="D435" s="450" t="str">
        <f>QUANT!D1291</f>
        <v>SINAPI</v>
      </c>
      <c r="E435" s="639" t="str">
        <f>IFERROR(VLOOKUP($C435,'SINAPI MAIO 2020'!$1:$1048576,2,0),IFERROR(VLOOKUP($C435,'6-COMP. PROPRIA'!$B$1:$I$808,4,0),""))</f>
        <v>CAIXA ENTERRADA ELÉTRICA RETANGULAR, EM ALVENARIA COM BLOCOS DE CONCRETO, FUNDO COM BRITA, DIMENSÕES INTERNAS: 0,6X0,6X0,6 M. AF_05/2018</v>
      </c>
      <c r="F435" s="638" t="str">
        <f>IFERROR(VLOOKUP($C435,'SINAPI MAIO 2020'!$1:$1048576,3,0),IFERROR(VLOOKUP($C435,'6-COMP. PROPRIA'!$B$1:$I$808,5,0),""))</f>
        <v>UN</v>
      </c>
      <c r="G435" s="452">
        <f>QUANT!K1291</f>
        <v>4</v>
      </c>
      <c r="H435" s="452">
        <f>IFERROR(VLOOKUP($C435,'SINAPI MAIO 2020'!$1:$1048576,4,0),IFERROR(VLOOKUP($C435,'6-COMP. PROPRIA'!$B$1:$I$808,8,0),""))</f>
        <v>268.14999999999998</v>
      </c>
      <c r="I435" s="452">
        <f>TRUNC(($H435*'4-BDI'!$E$29),2)</f>
        <v>343.87</v>
      </c>
      <c r="J435" s="453">
        <f t="shared" si="164"/>
        <v>1072.5999999999999</v>
      </c>
      <c r="K435" s="454">
        <f t="shared" si="165"/>
        <v>1375.48</v>
      </c>
      <c r="L435" s="187"/>
    </row>
    <row r="436" spans="2:12" s="203" customFormat="1" ht="30">
      <c r="B436" s="458" t="s">
        <v>12598</v>
      </c>
      <c r="C436" s="450">
        <f>QUANT!C1292</f>
        <v>90446</v>
      </c>
      <c r="D436" s="450" t="str">
        <f>QUANT!D1292</f>
        <v>SINAPI</v>
      </c>
      <c r="E436" s="639" t="str">
        <f>IFERROR(VLOOKUP($C436,'SINAPI MAIO 2020'!$1:$1048576,2,0),IFERROR(VLOOKUP($C436,'6-COMP. PROPRIA'!$B$1:$I$808,4,0),""))</f>
        <v>RASGO EM CONTRAPISO PARA RAMAIS/ DISTRIBUIÇÃO COM DIÂMETROS MAIORES QUE 75 MM. AF_05/2015</v>
      </c>
      <c r="F436" s="638" t="str">
        <f>IFERROR(VLOOKUP($C436,'SINAPI MAIO 2020'!$1:$1048576,3,0),IFERROR(VLOOKUP($C436,'6-COMP. PROPRIA'!$B$1:$I$808,5,0),""))</f>
        <v>M</v>
      </c>
      <c r="G436" s="452">
        <f>QUANT!K1292</f>
        <v>24</v>
      </c>
      <c r="H436" s="452">
        <f>IFERROR(VLOOKUP($C436,'SINAPI MAIO 2020'!$1:$1048576,4,0),IFERROR(VLOOKUP($C436,'6-COMP. PROPRIA'!$B$1:$I$808,8,0),""))</f>
        <v>19.670000000000002</v>
      </c>
      <c r="I436" s="452">
        <f>TRUNC(($H436*'4-BDI'!$E$29),2)</f>
        <v>25.22</v>
      </c>
      <c r="J436" s="453">
        <f t="shared" si="164"/>
        <v>472.08</v>
      </c>
      <c r="K436" s="454">
        <f t="shared" si="165"/>
        <v>605.28</v>
      </c>
      <c r="L436" s="187"/>
    </row>
    <row r="437" spans="2:12" s="203" customFormat="1" ht="15.75">
      <c r="B437" s="746" t="s">
        <v>12564</v>
      </c>
      <c r="C437" s="747"/>
      <c r="D437" s="747"/>
      <c r="E437" s="747"/>
      <c r="F437" s="747"/>
      <c r="G437" s="747"/>
      <c r="H437" s="747"/>
      <c r="I437" s="456"/>
      <c r="J437" s="457">
        <f>TRUNC(SUM(J418:J436),2)</f>
        <v>21692.19</v>
      </c>
      <c r="K437" s="457">
        <f>TRUNC(SUM(K418:K436),2)</f>
        <v>27816.02</v>
      </c>
      <c r="L437" s="187"/>
    </row>
    <row r="438" spans="2:12" s="203" customFormat="1" ht="15.75">
      <c r="B438" s="482" t="s">
        <v>6516</v>
      </c>
      <c r="C438" s="483"/>
      <c r="D438" s="484"/>
      <c r="E438" s="485" t="str">
        <f>QUANT!E1294</f>
        <v>IMPLANTAÇÃO DO POSTO DE TRANSFORMAÇÃO DE 112,5kVA</v>
      </c>
      <c r="F438" s="486"/>
      <c r="G438" s="487"/>
      <c r="H438" s="488"/>
      <c r="I438" s="488"/>
      <c r="J438" s="489"/>
      <c r="K438" s="457"/>
      <c r="L438" s="187"/>
    </row>
    <row r="439" spans="2:12" s="203" customFormat="1" ht="15">
      <c r="B439" s="458" t="s">
        <v>12599</v>
      </c>
      <c r="C439" s="450" t="str">
        <f>QUANT!C1296</f>
        <v>CP-ELE-25</v>
      </c>
      <c r="D439" s="450" t="str">
        <f>QUANT!D1296</f>
        <v>PROPRIA</v>
      </c>
      <c r="E439" s="639" t="str">
        <f>IFERROR(VLOOKUP($C439,'SINAPI MAIO 2020'!$1:$1048576,2,0),IFERROR(VLOOKUP($C439,'6-COMP. PROPRIA'!$B$1:$I$808,4,0),""))</f>
        <v xml:space="preserve">Poste de concreto DT 12/600 </v>
      </c>
      <c r="F439" s="638" t="str">
        <f>IFERROR(VLOOKUP($C439,'SINAPI MAIO 2020'!$1:$1048576,3,0),IFERROR(VLOOKUP($C439,'6-COMP. PROPRIA'!$B$1:$I$808,5,0),""))</f>
        <v>UNI</v>
      </c>
      <c r="G439" s="452">
        <f>QUANT!K1296</f>
        <v>1</v>
      </c>
      <c r="H439" s="452">
        <f>IFERROR(VLOOKUP($C439,'SINAPI MAIO 2020'!$1:$1048576,4,0),IFERROR(VLOOKUP($C439,'6-COMP. PROPRIA'!$B$1:$I$808,8,0),""))</f>
        <v>2133.2399999999998</v>
      </c>
      <c r="I439" s="452">
        <f>TRUNC(($H439*'4-BDI'!$E$29),2)</f>
        <v>2735.66</v>
      </c>
      <c r="J439" s="453">
        <f t="shared" ref="J439" si="166">TRUNC((G439*H439),2)</f>
        <v>2133.2399999999998</v>
      </c>
      <c r="K439" s="454">
        <f t="shared" ref="K439" si="167">TRUNC((I439*G439),2)</f>
        <v>2735.66</v>
      </c>
      <c r="L439" s="187"/>
    </row>
    <row r="440" spans="2:12" s="203" customFormat="1" ht="15">
      <c r="B440" s="458" t="s">
        <v>12600</v>
      </c>
      <c r="C440" s="450" t="str">
        <f>QUANT!C1297</f>
        <v>CP-ELE-26</v>
      </c>
      <c r="D440" s="450" t="str">
        <f>QUANT!D1297</f>
        <v>PROPRIA</v>
      </c>
      <c r="E440" s="639" t="str">
        <f>IFERROR(VLOOKUP($C440,'SINAPI MAIO 2020'!$1:$1048576,2,0),IFERROR(VLOOKUP($C440,'6-COMP. PROPRIA'!$B$1:$I$808,4,0),""))</f>
        <v xml:space="preserve">Alça pre-formada de estai para cabo aço galv. 9,5mm </v>
      </c>
      <c r="F440" s="638" t="str">
        <f>IFERROR(VLOOKUP($C440,'SINAPI MAIO 2020'!$1:$1048576,3,0),IFERROR(VLOOKUP($C440,'6-COMP. PROPRIA'!$B$1:$I$808,5,0),""))</f>
        <v>UNI</v>
      </c>
      <c r="G440" s="452">
        <f>QUANT!K1297</f>
        <v>1</v>
      </c>
      <c r="H440" s="452">
        <f>IFERROR(VLOOKUP($C440,'SINAPI MAIO 2020'!$1:$1048576,4,0),IFERROR(VLOOKUP($C440,'6-COMP. PROPRIA'!$B$1:$I$808,8,0),""))</f>
        <v>24.8</v>
      </c>
      <c r="I440" s="452">
        <f>TRUNC(($H440*'4-BDI'!$E$29),2)</f>
        <v>31.8</v>
      </c>
      <c r="J440" s="453">
        <f t="shared" ref="J440:J474" si="168">TRUNC((G440*H440),2)</f>
        <v>24.8</v>
      </c>
      <c r="K440" s="454">
        <f t="shared" ref="K440:K474" si="169">TRUNC((I440*G440),2)</f>
        <v>31.8</v>
      </c>
      <c r="L440" s="187"/>
    </row>
    <row r="441" spans="2:12" s="203" customFormat="1" ht="15">
      <c r="B441" s="458" t="s">
        <v>12601</v>
      </c>
      <c r="C441" s="450" t="str">
        <f>QUANT!C1298</f>
        <v>CP-ELE-27</v>
      </c>
      <c r="D441" s="450" t="str">
        <f>QUANT!D1298</f>
        <v>PROPRIA</v>
      </c>
      <c r="E441" s="639" t="str">
        <f>IFERROR(VLOOKUP($C441,'SINAPI MAIO 2020'!$1:$1048576,2,0),IFERROR(VLOOKUP($C441,'6-COMP. PROPRIA'!$B$1:$I$808,4,0),""))</f>
        <v>Sapatilha</v>
      </c>
      <c r="F441" s="638" t="str">
        <f>IFERROR(VLOOKUP($C441,'SINAPI MAIO 2020'!$1:$1048576,3,0),IFERROR(VLOOKUP($C441,'6-COMP. PROPRIA'!$B$1:$I$808,5,0),""))</f>
        <v>UNI</v>
      </c>
      <c r="G441" s="452">
        <f>QUANT!K1298</f>
        <v>1</v>
      </c>
      <c r="H441" s="452">
        <f>IFERROR(VLOOKUP($C441,'SINAPI MAIO 2020'!$1:$1048576,4,0),IFERROR(VLOOKUP($C441,'6-COMP. PROPRIA'!$B$1:$I$808,8,0),""))</f>
        <v>11.02</v>
      </c>
      <c r="I441" s="452">
        <f>TRUNC(($H441*'4-BDI'!$E$29),2)</f>
        <v>14.13</v>
      </c>
      <c r="J441" s="453">
        <f t="shared" si="168"/>
        <v>11.02</v>
      </c>
      <c r="K441" s="454">
        <f t="shared" si="169"/>
        <v>14.13</v>
      </c>
      <c r="L441" s="187"/>
    </row>
    <row r="442" spans="2:12" s="203" customFormat="1" ht="15">
      <c r="B442" s="458" t="s">
        <v>12602</v>
      </c>
      <c r="C442" s="450" t="str">
        <f>QUANT!C1299</f>
        <v>CP-ELE-28</v>
      </c>
      <c r="D442" s="450" t="str">
        <f>QUANT!D1299</f>
        <v>PROPRIA</v>
      </c>
      <c r="E442" s="639" t="str">
        <f>IFERROR(VLOOKUP($C442,'SINAPI MAIO 2020'!$1:$1048576,2,0),IFERROR(VLOOKUP($C442,'6-COMP. PROPRIA'!$B$1:$I$808,4,0),""))</f>
        <v>Olhal para parafuso</v>
      </c>
      <c r="F442" s="638" t="str">
        <f>IFERROR(VLOOKUP($C442,'SINAPI MAIO 2020'!$1:$1048576,3,0),IFERROR(VLOOKUP($C442,'6-COMP. PROPRIA'!$B$1:$I$808,5,0),""))</f>
        <v>UNI</v>
      </c>
      <c r="G442" s="452">
        <f>QUANT!K1299</f>
        <v>4</v>
      </c>
      <c r="H442" s="452">
        <f>IFERROR(VLOOKUP($C442,'SINAPI MAIO 2020'!$1:$1048576,4,0),IFERROR(VLOOKUP($C442,'6-COMP. PROPRIA'!$B$1:$I$808,8,0),""))</f>
        <v>17.57</v>
      </c>
      <c r="I442" s="452">
        <f>TRUNC(($H442*'4-BDI'!$E$29),2)</f>
        <v>22.53</v>
      </c>
      <c r="J442" s="453">
        <f t="shared" si="168"/>
        <v>70.28</v>
      </c>
      <c r="K442" s="454">
        <f t="shared" si="169"/>
        <v>90.12</v>
      </c>
      <c r="L442" s="187"/>
    </row>
    <row r="443" spans="2:12" s="203" customFormat="1" ht="15">
      <c r="B443" s="458" t="s">
        <v>12603</v>
      </c>
      <c r="C443" s="450" t="str">
        <f>QUANT!C1300</f>
        <v>CP-ELE-29</v>
      </c>
      <c r="D443" s="450" t="str">
        <f>QUANT!D1300</f>
        <v>PROPRIA</v>
      </c>
      <c r="E443" s="639" t="str">
        <f>IFERROR(VLOOKUP($C443,'SINAPI MAIO 2020'!$1:$1048576,2,0),IFERROR(VLOOKUP($C443,'6-COMP. PROPRIA'!$B$1:$I$808,4,0),""))</f>
        <v xml:space="preserve">Isolador de ancoragem tipo bastão polimero 15KV </v>
      </c>
      <c r="F443" s="638" t="str">
        <f>IFERROR(VLOOKUP($C443,'SINAPI MAIO 2020'!$1:$1048576,3,0),IFERROR(VLOOKUP($C443,'6-COMP. PROPRIA'!$B$1:$I$808,5,0),""))</f>
        <v>UNI</v>
      </c>
      <c r="G443" s="452">
        <f>QUANT!K1300</f>
        <v>3</v>
      </c>
      <c r="H443" s="452">
        <f>IFERROR(VLOOKUP($C443,'SINAPI MAIO 2020'!$1:$1048576,4,0),IFERROR(VLOOKUP($C443,'6-COMP. PROPRIA'!$B$1:$I$808,8,0),""))</f>
        <v>60.73</v>
      </c>
      <c r="I443" s="452">
        <f>TRUNC(($H443*'4-BDI'!$E$29),2)</f>
        <v>77.88</v>
      </c>
      <c r="J443" s="453">
        <f t="shared" si="168"/>
        <v>182.19</v>
      </c>
      <c r="K443" s="454">
        <f t="shared" si="169"/>
        <v>233.64</v>
      </c>
      <c r="L443" s="187"/>
    </row>
    <row r="444" spans="2:12" s="203" customFormat="1" ht="15">
      <c r="B444" s="458" t="s">
        <v>12604</v>
      </c>
      <c r="C444" s="450" t="str">
        <f>QUANT!C1301</f>
        <v>CP-ELE-30</v>
      </c>
      <c r="D444" s="450" t="str">
        <f>QUANT!D1301</f>
        <v>PROPRIA</v>
      </c>
      <c r="E444" s="639" t="str">
        <f>IFERROR(VLOOKUP($C444,'SINAPI MAIO 2020'!$1:$1048576,2,0),IFERROR(VLOOKUP($C444,'6-COMP. PROPRIA'!$B$1:$I$808,4,0),""))</f>
        <v>Manilha sapatilha</v>
      </c>
      <c r="F444" s="638" t="str">
        <f>IFERROR(VLOOKUP($C444,'SINAPI MAIO 2020'!$1:$1048576,3,0),IFERROR(VLOOKUP($C444,'6-COMP. PROPRIA'!$B$1:$I$808,5,0),""))</f>
        <v>UNI</v>
      </c>
      <c r="G444" s="452">
        <f>QUANT!K1301</f>
        <v>3</v>
      </c>
      <c r="H444" s="452">
        <f>IFERROR(VLOOKUP($C444,'SINAPI MAIO 2020'!$1:$1048576,4,0),IFERROR(VLOOKUP($C444,'6-COMP. PROPRIA'!$B$1:$I$808,8,0),""))</f>
        <v>21.23</v>
      </c>
      <c r="I444" s="452">
        <f>TRUNC(($H444*'4-BDI'!$E$29),2)</f>
        <v>27.22</v>
      </c>
      <c r="J444" s="453">
        <f t="shared" si="168"/>
        <v>63.69</v>
      </c>
      <c r="K444" s="454">
        <f t="shared" si="169"/>
        <v>81.66</v>
      </c>
      <c r="L444" s="187"/>
    </row>
    <row r="445" spans="2:12" s="203" customFormat="1" ht="15">
      <c r="B445" s="458" t="s">
        <v>12605</v>
      </c>
      <c r="C445" s="450" t="str">
        <f>QUANT!C1302</f>
        <v>CP-ELE-31</v>
      </c>
      <c r="D445" s="450" t="str">
        <f>QUANT!D1302</f>
        <v>PROPRIA</v>
      </c>
      <c r="E445" s="639" t="str">
        <f>IFERROR(VLOOKUP($C445,'SINAPI MAIO 2020'!$1:$1048576,2,0),IFERROR(VLOOKUP($C445,'6-COMP. PROPRIA'!$B$1:$I$808,4,0),""))</f>
        <v>Gancho olhal</v>
      </c>
      <c r="F445" s="638" t="str">
        <f>IFERROR(VLOOKUP($C445,'SINAPI MAIO 2020'!$1:$1048576,3,0),IFERROR(VLOOKUP($C445,'6-COMP. PROPRIA'!$B$1:$I$808,5,0),""))</f>
        <v>UNI</v>
      </c>
      <c r="G445" s="452">
        <f>QUANT!K1302</f>
        <v>3</v>
      </c>
      <c r="H445" s="452">
        <f>IFERROR(VLOOKUP($C445,'SINAPI MAIO 2020'!$1:$1048576,4,0),IFERROR(VLOOKUP($C445,'6-COMP. PROPRIA'!$B$1:$I$808,8,0),""))</f>
        <v>18.84</v>
      </c>
      <c r="I445" s="452">
        <f>TRUNC(($H445*'4-BDI'!$E$29),2)</f>
        <v>24.16</v>
      </c>
      <c r="J445" s="453">
        <f t="shared" si="168"/>
        <v>56.52</v>
      </c>
      <c r="K445" s="454">
        <f t="shared" si="169"/>
        <v>72.48</v>
      </c>
      <c r="L445" s="187"/>
    </row>
    <row r="446" spans="2:12" s="203" customFormat="1" ht="15">
      <c r="B446" s="458" t="s">
        <v>12606</v>
      </c>
      <c r="C446" s="450" t="str">
        <f>QUANT!C1303</f>
        <v>CP-ELE-32</v>
      </c>
      <c r="D446" s="450" t="str">
        <f>QUANT!D1303</f>
        <v>PROPRIA</v>
      </c>
      <c r="E446" s="639" t="str">
        <f>IFERROR(VLOOKUP($C446,'SINAPI MAIO 2020'!$1:$1048576,2,0),IFERROR(VLOOKUP($C446,'6-COMP. PROPRIA'!$B$1:$I$808,4,0),""))</f>
        <v>Perfil U</v>
      </c>
      <c r="F446" s="638" t="str">
        <f>IFERROR(VLOOKUP($C446,'SINAPI MAIO 2020'!$1:$1048576,3,0),IFERROR(VLOOKUP($C446,'6-COMP. PROPRIA'!$B$1:$I$808,5,0),""))</f>
        <v>UNI</v>
      </c>
      <c r="G446" s="452">
        <f>QUANT!K1303</f>
        <v>1</v>
      </c>
      <c r="H446" s="452">
        <f>IFERROR(VLOOKUP($C446,'SINAPI MAIO 2020'!$1:$1048576,4,0),IFERROR(VLOOKUP($C446,'6-COMP. PROPRIA'!$B$1:$I$808,8,0),""))</f>
        <v>68.22</v>
      </c>
      <c r="I446" s="452">
        <f>TRUNC(($H446*'4-BDI'!$E$29),2)</f>
        <v>87.48</v>
      </c>
      <c r="J446" s="453">
        <f t="shared" si="168"/>
        <v>68.22</v>
      </c>
      <c r="K446" s="454">
        <f t="shared" si="169"/>
        <v>87.48</v>
      </c>
      <c r="L446" s="187"/>
    </row>
    <row r="447" spans="2:12" s="203" customFormat="1" ht="15">
      <c r="B447" s="458" t="s">
        <v>12607</v>
      </c>
      <c r="C447" s="450" t="str">
        <f>QUANT!C1304</f>
        <v>CP-ELE-33</v>
      </c>
      <c r="D447" s="450" t="str">
        <f>QUANT!D1304</f>
        <v>PROPRIA</v>
      </c>
      <c r="E447" s="639" t="str">
        <f>IFERROR(VLOOKUP($C447,'SINAPI MAIO 2020'!$1:$1048576,2,0),IFERROR(VLOOKUP($C447,'6-COMP. PROPRIA'!$B$1:$I$808,4,0),""))</f>
        <v>Fixador de perfil U</v>
      </c>
      <c r="F447" s="638" t="str">
        <f>IFERROR(VLOOKUP($C447,'SINAPI MAIO 2020'!$1:$1048576,3,0),IFERROR(VLOOKUP($C447,'6-COMP. PROPRIA'!$B$1:$I$808,5,0),""))</f>
        <v>UNI</v>
      </c>
      <c r="G447" s="452">
        <f>QUANT!K1304</f>
        <v>1</v>
      </c>
      <c r="H447" s="452">
        <f>IFERROR(VLOOKUP($C447,'SINAPI MAIO 2020'!$1:$1048576,4,0),IFERROR(VLOOKUP($C447,'6-COMP. PROPRIA'!$B$1:$I$808,8,0),""))</f>
        <v>46.85</v>
      </c>
      <c r="I447" s="452">
        <f>TRUNC(($H447*'4-BDI'!$E$29),2)</f>
        <v>60.08</v>
      </c>
      <c r="J447" s="453">
        <f t="shared" si="168"/>
        <v>46.85</v>
      </c>
      <c r="K447" s="454">
        <f t="shared" si="169"/>
        <v>60.08</v>
      </c>
      <c r="L447" s="187"/>
    </row>
    <row r="448" spans="2:12" s="203" customFormat="1" ht="15">
      <c r="B448" s="458" t="s">
        <v>12608</v>
      </c>
      <c r="C448" s="450" t="str">
        <f>QUANT!C1305</f>
        <v>CP-ELE-34</v>
      </c>
      <c r="D448" s="450" t="str">
        <f>QUANT!D1305</f>
        <v>PROPRIA</v>
      </c>
      <c r="E448" s="639" t="str">
        <f>IFERROR(VLOOKUP($C448,'SINAPI MAIO 2020'!$1:$1048576,2,0),IFERROR(VLOOKUP($C448,'6-COMP. PROPRIA'!$B$1:$I$808,4,0),""))</f>
        <v>Mão francesa 619mm</v>
      </c>
      <c r="F448" s="638" t="str">
        <f>IFERROR(VLOOKUP($C448,'SINAPI MAIO 2020'!$1:$1048576,3,0),IFERROR(VLOOKUP($C448,'6-COMP. PROPRIA'!$B$1:$I$808,5,0),""))</f>
        <v>UNI</v>
      </c>
      <c r="G448" s="452">
        <f>QUANT!K1305</f>
        <v>2</v>
      </c>
      <c r="H448" s="452">
        <f>IFERROR(VLOOKUP($C448,'SINAPI MAIO 2020'!$1:$1048576,4,0),IFERROR(VLOOKUP($C448,'6-COMP. PROPRIA'!$B$1:$I$808,8,0),""))</f>
        <v>75.95</v>
      </c>
      <c r="I448" s="452">
        <f>TRUNC(($H448*'4-BDI'!$E$29),2)</f>
        <v>97.39</v>
      </c>
      <c r="J448" s="453">
        <f t="shared" si="168"/>
        <v>151.9</v>
      </c>
      <c r="K448" s="454">
        <f t="shared" si="169"/>
        <v>194.78</v>
      </c>
      <c r="L448" s="187"/>
    </row>
    <row r="449" spans="2:12" s="203" customFormat="1" ht="15">
      <c r="B449" s="458" t="s">
        <v>12609</v>
      </c>
      <c r="C449" s="450" t="str">
        <f>QUANT!C1306</f>
        <v>CP-ELE-35</v>
      </c>
      <c r="D449" s="450" t="str">
        <f>QUANT!D1306</f>
        <v>PROPRIA</v>
      </c>
      <c r="E449" s="639" t="str">
        <f>IFERROR(VLOOKUP($C449,'SINAPI MAIO 2020'!$1:$1048576,2,0),IFERROR(VLOOKUP($C449,'6-COMP. PROPRIA'!$B$1:$I$808,4,0),""))</f>
        <v xml:space="preserve">Cruzeta de concreto 250 daN retangular </v>
      </c>
      <c r="F449" s="638" t="str">
        <f>IFERROR(VLOOKUP($C449,'SINAPI MAIO 2020'!$1:$1048576,3,0),IFERROR(VLOOKUP($C449,'6-COMP. PROPRIA'!$B$1:$I$808,5,0),""))</f>
        <v>UNI</v>
      </c>
      <c r="G449" s="452">
        <f>QUANT!K1306</f>
        <v>1</v>
      </c>
      <c r="H449" s="452">
        <f>IFERROR(VLOOKUP($C449,'SINAPI MAIO 2020'!$1:$1048576,4,0),IFERROR(VLOOKUP($C449,'6-COMP. PROPRIA'!$B$1:$I$808,8,0),""))</f>
        <v>164.41</v>
      </c>
      <c r="I449" s="452">
        <f>TRUNC(($H449*'4-BDI'!$E$29),2)</f>
        <v>210.83</v>
      </c>
      <c r="J449" s="453">
        <f t="shared" si="168"/>
        <v>164.41</v>
      </c>
      <c r="K449" s="454">
        <f t="shared" si="169"/>
        <v>210.83</v>
      </c>
      <c r="L449" s="187"/>
    </row>
    <row r="450" spans="2:12" s="203" customFormat="1" ht="15">
      <c r="B450" s="458" t="s">
        <v>12610</v>
      </c>
      <c r="C450" s="450" t="str">
        <f>QUANT!C1307</f>
        <v>CP-ELE-36</v>
      </c>
      <c r="D450" s="450" t="str">
        <f>QUANT!D1307</f>
        <v>PROPRIA</v>
      </c>
      <c r="E450" s="639" t="str">
        <f>IFERROR(VLOOKUP($C450,'SINAPI MAIO 2020'!$1:$1048576,2,0),IFERROR(VLOOKUP($C450,'6-COMP. PROPRIA'!$B$1:$I$808,4,0),""))</f>
        <v xml:space="preserve">Para Raio de distribuição 12kv - polimerico - 10 KA </v>
      </c>
      <c r="F450" s="638" t="str">
        <f>IFERROR(VLOOKUP($C450,'SINAPI MAIO 2020'!$1:$1048576,3,0),IFERROR(VLOOKUP($C450,'6-COMP. PROPRIA'!$B$1:$I$808,5,0),""))</f>
        <v>UNI</v>
      </c>
      <c r="G450" s="452">
        <f>QUANT!K1307</f>
        <v>3</v>
      </c>
      <c r="H450" s="452">
        <f>IFERROR(VLOOKUP($C450,'SINAPI MAIO 2020'!$1:$1048576,4,0),IFERROR(VLOOKUP($C450,'6-COMP. PROPRIA'!$B$1:$I$808,8,0),""))</f>
        <v>194.15</v>
      </c>
      <c r="I450" s="452">
        <f>TRUNC(($H450*'4-BDI'!$E$29),2)</f>
        <v>248.97</v>
      </c>
      <c r="J450" s="453">
        <f t="shared" si="168"/>
        <v>582.45000000000005</v>
      </c>
      <c r="K450" s="454">
        <f t="shared" si="169"/>
        <v>746.91</v>
      </c>
      <c r="L450" s="187"/>
    </row>
    <row r="451" spans="2:12" s="203" customFormat="1" ht="15">
      <c r="B451" s="458" t="s">
        <v>12611</v>
      </c>
      <c r="C451" s="491" t="str">
        <f>QUANT!C1308</f>
        <v>CP-ELE-37</v>
      </c>
      <c r="D451" s="491" t="str">
        <f>QUANT!D1308</f>
        <v>PROPRIA</v>
      </c>
      <c r="E451" s="639" t="str">
        <f>IFERROR(VLOOKUP($C451,'SINAPI MAIO 2020'!$1:$1048576,2,0),IFERROR(VLOOKUP($C451,'6-COMP. PROPRIA'!$B$1:$I$808,4,0),""))</f>
        <v>Suporte de transformador para poste Duplo "T"</v>
      </c>
      <c r="F451" s="638" t="str">
        <f>IFERROR(VLOOKUP($C451,'SINAPI MAIO 2020'!$1:$1048576,3,0),IFERROR(VLOOKUP($C451,'6-COMP. PROPRIA'!$B$1:$I$808,5,0),""))</f>
        <v>UNI</v>
      </c>
      <c r="G451" s="452">
        <f>QUANT!K1308</f>
        <v>2</v>
      </c>
      <c r="H451" s="452">
        <f>IFERROR(VLOOKUP($C451,'SINAPI MAIO 2020'!$1:$1048576,4,0),IFERROR(VLOOKUP($C451,'6-COMP. PROPRIA'!$B$1:$I$808,8,0),""))</f>
        <v>115.3</v>
      </c>
      <c r="I451" s="452">
        <f>TRUNC(($H451*'4-BDI'!$E$29),2)</f>
        <v>147.86000000000001</v>
      </c>
      <c r="J451" s="453">
        <f t="shared" si="168"/>
        <v>230.6</v>
      </c>
      <c r="K451" s="454">
        <f t="shared" si="169"/>
        <v>295.72000000000003</v>
      </c>
      <c r="L451" s="187"/>
    </row>
    <row r="452" spans="2:12" s="203" customFormat="1" ht="15">
      <c r="B452" s="458" t="s">
        <v>12612</v>
      </c>
      <c r="C452" s="450" t="str">
        <f>QUANT!C1309</f>
        <v>CP-ELE-38</v>
      </c>
      <c r="D452" s="450" t="str">
        <f>QUANT!D1309</f>
        <v>PROPRIA</v>
      </c>
      <c r="E452" s="639" t="str">
        <f>IFERROR(VLOOKUP($C452,'SINAPI MAIO 2020'!$1:$1048576,2,0),IFERROR(VLOOKUP($C452,'6-COMP. PROPRIA'!$B$1:$I$808,4,0),""))</f>
        <v>Arruela quadrada</v>
      </c>
      <c r="F452" s="638" t="str">
        <f>IFERROR(VLOOKUP($C452,'SINAPI MAIO 2020'!$1:$1048576,3,0),IFERROR(VLOOKUP($C452,'6-COMP. PROPRIA'!$B$1:$I$808,5,0),""))</f>
        <v>UNI</v>
      </c>
      <c r="G452" s="452">
        <f>QUANT!K1309</f>
        <v>7</v>
      </c>
      <c r="H452" s="452">
        <f>IFERROR(VLOOKUP($C452,'SINAPI MAIO 2020'!$1:$1048576,4,0),IFERROR(VLOOKUP($C452,'6-COMP. PROPRIA'!$B$1:$I$808,8,0),""))</f>
        <v>3.41</v>
      </c>
      <c r="I452" s="452">
        <f>TRUNC(($H452*'4-BDI'!$E$29),2)</f>
        <v>4.37</v>
      </c>
      <c r="J452" s="453">
        <f t="shared" si="168"/>
        <v>23.87</v>
      </c>
      <c r="K452" s="454">
        <f t="shared" si="169"/>
        <v>30.59</v>
      </c>
      <c r="L452" s="187"/>
    </row>
    <row r="453" spans="2:12" s="203" customFormat="1" ht="15">
      <c r="B453" s="458" t="s">
        <v>12613</v>
      </c>
      <c r="C453" s="450" t="str">
        <f>QUANT!C1310</f>
        <v>CP-ELE-39</v>
      </c>
      <c r="D453" s="450" t="str">
        <f>QUANT!D1310</f>
        <v>PROPRIA</v>
      </c>
      <c r="E453" s="639" t="str">
        <f>IFERROR(VLOOKUP($C453,'SINAPI MAIO 2020'!$1:$1048576,2,0),IFERROR(VLOOKUP($C453,'6-COMP. PROPRIA'!$B$1:$I$808,4,0),""))</f>
        <v>Parafuso cabeça quadrada de 100mm</v>
      </c>
      <c r="F453" s="638" t="str">
        <f>IFERROR(VLOOKUP($C453,'SINAPI MAIO 2020'!$1:$1048576,3,0),IFERROR(VLOOKUP($C453,'6-COMP. PROPRIA'!$B$1:$I$808,5,0),""))</f>
        <v>UNI</v>
      </c>
      <c r="G453" s="452">
        <f>QUANT!K1310</f>
        <v>2</v>
      </c>
      <c r="H453" s="452">
        <f>IFERROR(VLOOKUP($C453,'SINAPI MAIO 2020'!$1:$1048576,4,0),IFERROR(VLOOKUP($C453,'6-COMP. PROPRIA'!$B$1:$I$808,8,0),""))</f>
        <v>9.14</v>
      </c>
      <c r="I453" s="452">
        <f>TRUNC(($H453*'4-BDI'!$E$29),2)</f>
        <v>11.72</v>
      </c>
      <c r="J453" s="453">
        <f t="shared" si="168"/>
        <v>18.28</v>
      </c>
      <c r="K453" s="454">
        <f t="shared" si="169"/>
        <v>23.44</v>
      </c>
      <c r="L453" s="187"/>
    </row>
    <row r="454" spans="2:12" s="203" customFormat="1" ht="15">
      <c r="B454" s="458" t="s">
        <v>12614</v>
      </c>
      <c r="C454" s="450" t="str">
        <f>QUANT!C1311</f>
        <v>CP-ELE-40</v>
      </c>
      <c r="D454" s="450" t="str">
        <f>QUANT!D1311</f>
        <v>PROPRIA</v>
      </c>
      <c r="E454" s="639" t="str">
        <f>IFERROR(VLOOKUP($C454,'SINAPI MAIO 2020'!$1:$1048576,2,0),IFERROR(VLOOKUP($C454,'6-COMP. PROPRIA'!$B$1:$I$808,4,0),""))</f>
        <v>Parafuso de cabeça quadrada de 125mm</v>
      </c>
      <c r="F454" s="638" t="str">
        <f>IFERROR(VLOOKUP($C454,'SINAPI MAIO 2020'!$1:$1048576,3,0),IFERROR(VLOOKUP($C454,'6-COMP. PROPRIA'!$B$1:$I$808,5,0),""))</f>
        <v>UNI</v>
      </c>
      <c r="G454" s="452">
        <f>QUANT!K1311</f>
        <v>1</v>
      </c>
      <c r="H454" s="452">
        <f>IFERROR(VLOOKUP($C454,'SINAPI MAIO 2020'!$1:$1048576,4,0),IFERROR(VLOOKUP($C454,'6-COMP. PROPRIA'!$B$1:$I$808,8,0),""))</f>
        <v>7.25</v>
      </c>
      <c r="I454" s="452">
        <f>TRUNC(($H454*'4-BDI'!$E$29),2)</f>
        <v>9.2899999999999991</v>
      </c>
      <c r="J454" s="453">
        <f t="shared" si="168"/>
        <v>7.25</v>
      </c>
      <c r="K454" s="454">
        <f t="shared" si="169"/>
        <v>9.2899999999999991</v>
      </c>
      <c r="L454" s="187"/>
    </row>
    <row r="455" spans="2:12" s="203" customFormat="1" ht="15">
      <c r="B455" s="458" t="s">
        <v>12615</v>
      </c>
      <c r="C455" s="450" t="str">
        <f>QUANT!C1312</f>
        <v>CP-ELE-41</v>
      </c>
      <c r="D455" s="450" t="str">
        <f>QUANT!D1312</f>
        <v>PROPRIA</v>
      </c>
      <c r="E455" s="639" t="str">
        <f>IFERROR(VLOOKUP($C455,'SINAPI MAIO 2020'!$1:$1048576,2,0),IFERROR(VLOOKUP($C455,'6-COMP. PROPRIA'!$B$1:$I$808,4,0),""))</f>
        <v>Parafuso de cabeça quadrada de 200mm</v>
      </c>
      <c r="F455" s="638" t="str">
        <f>IFERROR(VLOOKUP($C455,'SINAPI MAIO 2020'!$1:$1048576,3,0),IFERROR(VLOOKUP($C455,'6-COMP. PROPRIA'!$B$1:$I$808,5,0),""))</f>
        <v>UNI</v>
      </c>
      <c r="G455" s="452">
        <f>QUANT!K1312</f>
        <v>4</v>
      </c>
      <c r="H455" s="452">
        <f>IFERROR(VLOOKUP($C455,'SINAPI MAIO 2020'!$1:$1048576,4,0),IFERROR(VLOOKUP($C455,'6-COMP. PROPRIA'!$B$1:$I$808,8,0),""))</f>
        <v>8.56</v>
      </c>
      <c r="I455" s="452">
        <f>TRUNC(($H455*'4-BDI'!$E$29),2)</f>
        <v>10.97</v>
      </c>
      <c r="J455" s="453">
        <f t="shared" si="168"/>
        <v>34.24</v>
      </c>
      <c r="K455" s="454">
        <f t="shared" si="169"/>
        <v>43.88</v>
      </c>
      <c r="L455" s="187"/>
    </row>
    <row r="456" spans="2:12" s="203" customFormat="1" ht="15">
      <c r="B456" s="458" t="s">
        <v>12616</v>
      </c>
      <c r="C456" s="450" t="str">
        <f>QUANT!C1313</f>
        <v>CP-ELE-42</v>
      </c>
      <c r="D456" s="450" t="str">
        <f>QUANT!D1313</f>
        <v>PROPRIA</v>
      </c>
      <c r="E456" s="639" t="str">
        <f>IFERROR(VLOOKUP($C456,'SINAPI MAIO 2020'!$1:$1048576,2,0),IFERROR(VLOOKUP($C456,'6-COMP. PROPRIA'!$B$1:$I$808,4,0),""))</f>
        <v>Parafuso de cabeça quadrada de 250mm</v>
      </c>
      <c r="F456" s="638" t="str">
        <f>IFERROR(VLOOKUP($C456,'SINAPI MAIO 2020'!$1:$1048576,3,0),IFERROR(VLOOKUP($C456,'6-COMP. PROPRIA'!$B$1:$I$808,5,0),""))</f>
        <v>UNI</v>
      </c>
      <c r="G456" s="452">
        <f>QUANT!K1313</f>
        <v>3</v>
      </c>
      <c r="H456" s="452">
        <f>IFERROR(VLOOKUP($C456,'SINAPI MAIO 2020'!$1:$1048576,4,0),IFERROR(VLOOKUP($C456,'6-COMP. PROPRIA'!$B$1:$I$808,8,0),""))</f>
        <v>9.11</v>
      </c>
      <c r="I456" s="452">
        <f>TRUNC(($H456*'4-BDI'!$E$29),2)</f>
        <v>11.68</v>
      </c>
      <c r="J456" s="453">
        <f t="shared" si="168"/>
        <v>27.33</v>
      </c>
      <c r="K456" s="454">
        <f t="shared" si="169"/>
        <v>35.04</v>
      </c>
      <c r="L456" s="187"/>
    </row>
    <row r="457" spans="2:12" s="203" customFormat="1" ht="15">
      <c r="B457" s="458" t="s">
        <v>12617</v>
      </c>
      <c r="C457" s="450" t="str">
        <f>QUANT!C1314</f>
        <v>CP-ELE-43</v>
      </c>
      <c r="D457" s="450" t="str">
        <f>QUANT!D1314</f>
        <v>PROPRIA</v>
      </c>
      <c r="E457" s="639" t="str">
        <f>IFERROR(VLOOKUP($C457,'SINAPI MAIO 2020'!$1:$1048576,2,0),IFERROR(VLOOKUP($C457,'6-COMP. PROPRIA'!$B$1:$I$808,4,0),""))</f>
        <v xml:space="preserve">Parafuso de cabeça quadrada de 300mm </v>
      </c>
      <c r="F457" s="638" t="str">
        <f>IFERROR(VLOOKUP($C457,'SINAPI MAIO 2020'!$1:$1048576,3,0),IFERROR(VLOOKUP($C457,'6-COMP. PROPRIA'!$B$1:$I$808,5,0),""))</f>
        <v>UNI</v>
      </c>
      <c r="G457" s="452">
        <f>QUANT!K1314</f>
        <v>1</v>
      </c>
      <c r="H457" s="452">
        <f>IFERROR(VLOOKUP($C457,'SINAPI MAIO 2020'!$1:$1048576,4,0),IFERROR(VLOOKUP($C457,'6-COMP. PROPRIA'!$B$1:$I$808,8,0),""))</f>
        <v>11.15</v>
      </c>
      <c r="I457" s="452">
        <f>TRUNC(($H457*'4-BDI'!$E$29),2)</f>
        <v>14.29</v>
      </c>
      <c r="J457" s="453">
        <f t="shared" si="168"/>
        <v>11.15</v>
      </c>
      <c r="K457" s="454">
        <f t="shared" si="169"/>
        <v>14.29</v>
      </c>
      <c r="L457" s="187"/>
    </row>
    <row r="458" spans="2:12" s="203" customFormat="1" ht="15">
      <c r="B458" s="458" t="s">
        <v>12618</v>
      </c>
      <c r="C458" s="450" t="str">
        <f>QUANT!C1315</f>
        <v>CP-ELE-44</v>
      </c>
      <c r="D458" s="450" t="str">
        <f>QUANT!D1315</f>
        <v>PROPRIA</v>
      </c>
      <c r="E458" s="639" t="str">
        <f>IFERROR(VLOOKUP($C458,'SINAPI MAIO 2020'!$1:$1048576,2,0),IFERROR(VLOOKUP($C458,'6-COMP. PROPRIA'!$B$1:$I$808,4,0),""))</f>
        <v xml:space="preserve">Protetor de bucha AT de transformador 15KV </v>
      </c>
      <c r="F458" s="638" t="str">
        <f>IFERROR(VLOOKUP($C458,'SINAPI MAIO 2020'!$1:$1048576,3,0),IFERROR(VLOOKUP($C458,'6-COMP. PROPRIA'!$B$1:$I$808,5,0),""))</f>
        <v>UNI</v>
      </c>
      <c r="G458" s="452">
        <f>QUANT!K1315</f>
        <v>6</v>
      </c>
      <c r="H458" s="452">
        <f>IFERROR(VLOOKUP($C458,'SINAPI MAIO 2020'!$1:$1048576,4,0),IFERROR(VLOOKUP($C458,'6-COMP. PROPRIA'!$B$1:$I$808,8,0),""))</f>
        <v>29.38</v>
      </c>
      <c r="I458" s="452">
        <f>TRUNC(($H458*'4-BDI'!$E$29),2)</f>
        <v>37.67</v>
      </c>
      <c r="J458" s="453">
        <f t="shared" si="168"/>
        <v>176.28</v>
      </c>
      <c r="K458" s="454">
        <f t="shared" si="169"/>
        <v>226.02</v>
      </c>
      <c r="L458" s="187"/>
    </row>
    <row r="459" spans="2:12" s="203" customFormat="1" ht="15">
      <c r="B459" s="458" t="s">
        <v>12619</v>
      </c>
      <c r="C459" s="450" t="str">
        <f>QUANT!C1316</f>
        <v>CP-ELE-45</v>
      </c>
      <c r="D459" s="450" t="str">
        <f>QUANT!D1316</f>
        <v>PROPRIA</v>
      </c>
      <c r="E459" s="639" t="str">
        <f>IFERROR(VLOOKUP($C459,'SINAPI MAIO 2020'!$1:$1048576,2,0),IFERROR(VLOOKUP($C459,'6-COMP. PROPRIA'!$B$1:$I$808,4,0),""))</f>
        <v xml:space="preserve">Transformador de distribuição de 112,5 KVA trifasico classe 15KV, 220/127V </v>
      </c>
      <c r="F459" s="638" t="str">
        <f>IFERROR(VLOOKUP($C459,'SINAPI MAIO 2020'!$1:$1048576,3,0),IFERROR(VLOOKUP($C459,'6-COMP. PROPRIA'!$B$1:$I$808,5,0),""))</f>
        <v>UNI</v>
      </c>
      <c r="G459" s="452">
        <f>QUANT!K1316</f>
        <v>1</v>
      </c>
      <c r="H459" s="452">
        <f>IFERROR(VLOOKUP($C459,'SINAPI MAIO 2020'!$1:$1048576,4,0),IFERROR(VLOOKUP($C459,'6-COMP. PROPRIA'!$B$1:$I$808,8,0),""))</f>
        <v>8732</v>
      </c>
      <c r="I459" s="452">
        <f>TRUNC(($H459*'4-BDI'!$E$29),2)</f>
        <v>11197.91</v>
      </c>
      <c r="J459" s="453">
        <f t="shared" si="168"/>
        <v>8732</v>
      </c>
      <c r="K459" s="454">
        <f t="shared" si="169"/>
        <v>11197.91</v>
      </c>
      <c r="L459" s="187"/>
    </row>
    <row r="460" spans="2:12" s="203" customFormat="1" ht="15">
      <c r="B460" s="458" t="s">
        <v>12620</v>
      </c>
      <c r="C460" s="450" t="str">
        <f>QUANT!C1317</f>
        <v>CP-ELE-46</v>
      </c>
      <c r="D460" s="450" t="str">
        <f>QUANT!D1317</f>
        <v>PROPRIA</v>
      </c>
      <c r="E460" s="639" t="str">
        <f>IFERROR(VLOOKUP($C460,'SINAPI MAIO 2020'!$1:$1048576,2,0),IFERROR(VLOOKUP($C460,'6-COMP. PROPRIA'!$B$1:$I$808,4,0),""))</f>
        <v xml:space="preserve">Isolador pilar 110KV </v>
      </c>
      <c r="F460" s="638" t="str">
        <f>IFERROR(VLOOKUP($C460,'SINAPI MAIO 2020'!$1:$1048576,3,0),IFERROR(VLOOKUP($C460,'6-COMP. PROPRIA'!$B$1:$I$808,5,0),""))</f>
        <v>UNI</v>
      </c>
      <c r="G460" s="452">
        <f>QUANT!K1317</f>
        <v>3</v>
      </c>
      <c r="H460" s="452">
        <f>IFERROR(VLOOKUP($C460,'SINAPI MAIO 2020'!$1:$1048576,4,0),IFERROR(VLOOKUP($C460,'6-COMP. PROPRIA'!$B$1:$I$808,8,0),""))</f>
        <v>70.73</v>
      </c>
      <c r="I460" s="452">
        <f>TRUNC(($H460*'4-BDI'!$E$29),2)</f>
        <v>90.7</v>
      </c>
      <c r="J460" s="453">
        <f t="shared" si="168"/>
        <v>212.19</v>
      </c>
      <c r="K460" s="454">
        <f t="shared" si="169"/>
        <v>272.10000000000002</v>
      </c>
      <c r="L460" s="187"/>
    </row>
    <row r="461" spans="2:12" s="203" customFormat="1" ht="15">
      <c r="B461" s="458" t="s">
        <v>12621</v>
      </c>
      <c r="C461" s="450" t="str">
        <f>QUANT!C1318</f>
        <v>CP-ELE-47</v>
      </c>
      <c r="D461" s="450" t="str">
        <f>QUANT!D1318</f>
        <v>PROPRIA</v>
      </c>
      <c r="E461" s="639" t="str">
        <f>IFERROR(VLOOKUP($C461,'SINAPI MAIO 2020'!$1:$1048576,2,0),IFERROR(VLOOKUP($C461,'6-COMP. PROPRIA'!$B$1:$I$808,4,0),""))</f>
        <v xml:space="preserve">Pino auto travante, 140mm para isolador pilar </v>
      </c>
      <c r="F461" s="638" t="str">
        <f>IFERROR(VLOOKUP($C461,'SINAPI MAIO 2020'!$1:$1048576,3,0),IFERROR(VLOOKUP($C461,'6-COMP. PROPRIA'!$B$1:$I$808,5,0),""))</f>
        <v>UNI</v>
      </c>
      <c r="G461" s="452">
        <f>QUANT!K1318</f>
        <v>3</v>
      </c>
      <c r="H461" s="452">
        <f>IFERROR(VLOOKUP($C461,'SINAPI MAIO 2020'!$1:$1048576,4,0),IFERROR(VLOOKUP($C461,'6-COMP. PROPRIA'!$B$1:$I$808,8,0),""))</f>
        <v>21.25</v>
      </c>
      <c r="I461" s="452">
        <f>TRUNC(($H461*'4-BDI'!$E$29),2)</f>
        <v>27.25</v>
      </c>
      <c r="J461" s="453">
        <f t="shared" si="168"/>
        <v>63.75</v>
      </c>
      <c r="K461" s="454">
        <f t="shared" si="169"/>
        <v>81.75</v>
      </c>
      <c r="L461" s="187"/>
    </row>
    <row r="462" spans="2:12" s="203" customFormat="1" ht="15">
      <c r="B462" s="458" t="s">
        <v>12622</v>
      </c>
      <c r="C462" s="450" t="str">
        <f>QUANT!C1319</f>
        <v>CP-ELE-48</v>
      </c>
      <c r="D462" s="450" t="str">
        <f>QUANT!D1319</f>
        <v>PROPRIA</v>
      </c>
      <c r="E462" s="639" t="str">
        <f>IFERROR(VLOOKUP($C462,'SINAPI MAIO 2020'!$1:$1048576,2,0),IFERROR(VLOOKUP($C462,'6-COMP. PROPRIA'!$B$1:$I$808,4,0),""))</f>
        <v>Cabo de cobre XLPE-15KV 16mm²</v>
      </c>
      <c r="F462" s="638" t="str">
        <f>IFERROR(VLOOKUP($C462,'SINAPI MAIO 2020'!$1:$1048576,3,0),IFERROR(VLOOKUP($C462,'6-COMP. PROPRIA'!$B$1:$I$808,5,0),""))</f>
        <v>UNI</v>
      </c>
      <c r="G462" s="452">
        <f>QUANT!K1319</f>
        <v>2</v>
      </c>
      <c r="H462" s="452">
        <f>IFERROR(VLOOKUP($C462,'SINAPI MAIO 2020'!$1:$1048576,4,0),IFERROR(VLOOKUP($C462,'6-COMP. PROPRIA'!$B$1:$I$808,8,0),""))</f>
        <v>27.26</v>
      </c>
      <c r="I462" s="452">
        <f>TRUNC(($H462*'4-BDI'!$E$29),2)</f>
        <v>34.950000000000003</v>
      </c>
      <c r="J462" s="453">
        <f t="shared" si="168"/>
        <v>54.52</v>
      </c>
      <c r="K462" s="454">
        <f t="shared" si="169"/>
        <v>69.900000000000006</v>
      </c>
      <c r="L462" s="187"/>
    </row>
    <row r="463" spans="2:12" s="203" customFormat="1" ht="30">
      <c r="B463" s="458" t="s">
        <v>12623</v>
      </c>
      <c r="C463" s="450" t="str">
        <f>QUANT!C1320</f>
        <v>CP-ELE-49</v>
      </c>
      <c r="D463" s="450" t="str">
        <f>QUANT!D1320</f>
        <v>PROPRIA</v>
      </c>
      <c r="E463" s="639" t="str">
        <f>IFERROR(VLOOKUP($C463,'SINAPI MAIO 2020'!$1:$1048576,2,0),IFERROR(VLOOKUP($C463,'6-COMP. PROPRIA'!$B$1:$I$808,4,0),""))</f>
        <v xml:space="preserve">Cabeçote para entrada de linha de alimentação para eletroduto de Ø4" com acabamento anti-corressivo </v>
      </c>
      <c r="F463" s="638" t="str">
        <f>IFERROR(VLOOKUP($C463,'SINAPI MAIO 2020'!$1:$1048576,3,0),IFERROR(VLOOKUP($C463,'6-COMP. PROPRIA'!$B$1:$I$808,5,0),""))</f>
        <v>UNI</v>
      </c>
      <c r="G463" s="452">
        <f>QUANT!K1320</f>
        <v>1</v>
      </c>
      <c r="H463" s="452">
        <f>IFERROR(VLOOKUP($C463,'SINAPI MAIO 2020'!$1:$1048576,4,0),IFERROR(VLOOKUP($C463,'6-COMP. PROPRIA'!$B$1:$I$808,8,0),""))</f>
        <v>65.22</v>
      </c>
      <c r="I463" s="452">
        <f>TRUNC(($H463*'4-BDI'!$E$29),2)</f>
        <v>83.63</v>
      </c>
      <c r="J463" s="453">
        <f t="shared" si="168"/>
        <v>65.22</v>
      </c>
      <c r="K463" s="454">
        <f t="shared" si="169"/>
        <v>83.63</v>
      </c>
      <c r="L463" s="187"/>
    </row>
    <row r="464" spans="2:12" s="203" customFormat="1" ht="15">
      <c r="B464" s="458" t="s">
        <v>12624</v>
      </c>
      <c r="C464" s="450" t="str">
        <f>QUANT!C1321</f>
        <v>CP-ELE-50</v>
      </c>
      <c r="D464" s="450" t="str">
        <f>QUANT!D1321</f>
        <v>PROPRIA</v>
      </c>
      <c r="E464" s="639" t="str">
        <f>IFERROR(VLOOKUP($C464,'SINAPI MAIO 2020'!$1:$1048576,2,0),IFERROR(VLOOKUP($C464,'6-COMP. PROPRIA'!$B$1:$I$808,4,0),""))</f>
        <v xml:space="preserve">Massa calafeTadora </v>
      </c>
      <c r="F464" s="638" t="str">
        <f>IFERROR(VLOOKUP($C464,'SINAPI MAIO 2020'!$1:$1048576,3,0),IFERROR(VLOOKUP($C464,'6-COMP. PROPRIA'!$B$1:$I$808,5,0),""))</f>
        <v>kg</v>
      </c>
      <c r="G464" s="452">
        <f>QUANT!K1321</f>
        <v>1</v>
      </c>
      <c r="H464" s="452">
        <f>IFERROR(VLOOKUP($C464,'SINAPI MAIO 2020'!$1:$1048576,4,0),IFERROR(VLOOKUP($C464,'6-COMP. PROPRIA'!$B$1:$I$808,8,0),""))</f>
        <v>51.26</v>
      </c>
      <c r="I464" s="452">
        <f>TRUNC(($H464*'4-BDI'!$E$29),2)</f>
        <v>65.73</v>
      </c>
      <c r="J464" s="453">
        <f t="shared" si="168"/>
        <v>51.26</v>
      </c>
      <c r="K464" s="454">
        <f t="shared" si="169"/>
        <v>65.73</v>
      </c>
      <c r="L464" s="187"/>
    </row>
    <row r="465" spans="2:12" s="203" customFormat="1" ht="15">
      <c r="B465" s="458" t="s">
        <v>12625</v>
      </c>
      <c r="C465" s="491" t="str">
        <f>QUANT!C1322</f>
        <v>CP-ELE-13</v>
      </c>
      <c r="D465" s="491" t="str">
        <f>QUANT!D1322</f>
        <v>PROPRIA</v>
      </c>
      <c r="E465" s="639" t="str">
        <f>IFERROR(VLOOKUP($C465,'SINAPI MAIO 2020'!$1:$1048576,2,0),IFERROR(VLOOKUP($C465,'6-COMP. PROPRIA'!$B$1:$I$808,4,0),""))</f>
        <v>Curva PVC roscável Ø4"</v>
      </c>
      <c r="F465" s="638" t="str">
        <f>IFERROR(VLOOKUP($C465,'SINAPI MAIO 2020'!$1:$1048576,3,0),IFERROR(VLOOKUP($C465,'6-COMP. PROPRIA'!$B$1:$I$808,5,0),""))</f>
        <v>UNI</v>
      </c>
      <c r="G465" s="452">
        <f>QUANT!K1322</f>
        <v>1</v>
      </c>
      <c r="H465" s="452">
        <f>IFERROR(VLOOKUP($C465,'SINAPI MAIO 2020'!$1:$1048576,4,0),IFERROR(VLOOKUP($C465,'6-COMP. PROPRIA'!$B$1:$I$808,8,0),""))</f>
        <v>43.38</v>
      </c>
      <c r="I465" s="452">
        <f>TRUNC(($H465*'4-BDI'!$E$29),2)</f>
        <v>55.63</v>
      </c>
      <c r="J465" s="453">
        <f t="shared" si="168"/>
        <v>43.38</v>
      </c>
      <c r="K465" s="454">
        <f t="shared" si="169"/>
        <v>55.63</v>
      </c>
      <c r="L465" s="187"/>
    </row>
    <row r="466" spans="2:12" s="203" customFormat="1" ht="36.75" customHeight="1">
      <c r="B466" s="458" t="s">
        <v>12626</v>
      </c>
      <c r="C466" s="450" t="str">
        <f>QUANT!C1323</f>
        <v>CP-ELE-52</v>
      </c>
      <c r="D466" s="450" t="str">
        <f>QUANT!D1323</f>
        <v>PROPRIA</v>
      </c>
      <c r="E466" s="639" t="str">
        <f>IFERROR(VLOOKUP($C466,'SINAPI MAIO 2020'!$1:$1048576,2,0),IFERROR(VLOOKUP($C466,'6-COMP. PROPRIA'!$B$1:$I$808,4,0),""))</f>
        <v>Mureta em alvenaria 1 vez dim 2,20x2,20metros com cobertura de 5% inclinação</v>
      </c>
      <c r="F466" s="638" t="str">
        <f>IFERROR(VLOOKUP($C466,'SINAPI MAIO 2020'!$1:$1048576,3,0),IFERROR(VLOOKUP($C466,'6-COMP. PROPRIA'!$B$1:$I$808,5,0),""))</f>
        <v>UNI</v>
      </c>
      <c r="G466" s="452">
        <f>QUANT!K1323</f>
        <v>1</v>
      </c>
      <c r="H466" s="452">
        <f>IFERROR(VLOOKUP($C466,'SINAPI MAIO 2020'!$1:$1048576,4,0),IFERROR(VLOOKUP($C466,'6-COMP. PROPRIA'!$B$1:$I$808,8,0),""))</f>
        <v>1883.73</v>
      </c>
      <c r="I466" s="452">
        <f>TRUNC(($H466*'4-BDI'!$E$29),2)</f>
        <v>2415.69</v>
      </c>
      <c r="J466" s="453">
        <f t="shared" si="168"/>
        <v>1883.73</v>
      </c>
      <c r="K466" s="454">
        <f t="shared" si="169"/>
        <v>2415.69</v>
      </c>
      <c r="L466" s="187"/>
    </row>
    <row r="467" spans="2:12" s="203" customFormat="1" ht="15">
      <c r="B467" s="458" t="s">
        <v>12627</v>
      </c>
      <c r="C467" s="450" t="str">
        <f>QUANT!C1324</f>
        <v>CP-ELE-53</v>
      </c>
      <c r="D467" s="450" t="str">
        <f>QUANT!D1324</f>
        <v>PROPRIA</v>
      </c>
      <c r="E467" s="639" t="str">
        <f>IFERROR(VLOOKUP($C467,'SINAPI MAIO 2020'!$1:$1048576,2,0),IFERROR(VLOOKUP($C467,'6-COMP. PROPRIA'!$B$1:$I$808,4,0),""))</f>
        <v>Armario de medição direta 800A e proteção energisa - NDU 002</v>
      </c>
      <c r="F467" s="638" t="str">
        <f>IFERROR(VLOOKUP($C467,'SINAPI MAIO 2020'!$1:$1048576,3,0),IFERROR(VLOOKUP($C467,'6-COMP. PROPRIA'!$B$1:$I$808,5,0),""))</f>
        <v>UNI</v>
      </c>
      <c r="G467" s="452">
        <f>QUANT!K1324</f>
        <v>1</v>
      </c>
      <c r="H467" s="452">
        <f>IFERROR(VLOOKUP($C467,'SINAPI MAIO 2020'!$1:$1048576,4,0),IFERROR(VLOOKUP($C467,'6-COMP. PROPRIA'!$B$1:$I$808,8,0),""))</f>
        <v>1485.77</v>
      </c>
      <c r="I467" s="452">
        <f>TRUNC(($H467*'4-BDI'!$E$29),2)</f>
        <v>1905.35</v>
      </c>
      <c r="J467" s="453">
        <f t="shared" si="168"/>
        <v>1485.77</v>
      </c>
      <c r="K467" s="454">
        <f t="shared" si="169"/>
        <v>1905.35</v>
      </c>
      <c r="L467" s="187"/>
    </row>
    <row r="468" spans="2:12" s="203" customFormat="1" ht="30">
      <c r="B468" s="458" t="s">
        <v>12628</v>
      </c>
      <c r="C468" s="450" t="str">
        <f>QUANT!C1325</f>
        <v>CP-ELE-24</v>
      </c>
      <c r="D468" s="450" t="str">
        <f>QUANT!D1325</f>
        <v>PROPRIA</v>
      </c>
      <c r="E468" s="639" t="str">
        <f>IFERROR(VLOOKUP($C468,'SINAPI MAIO 2020'!$1:$1048576,2,0),IFERROR(VLOOKUP($C468,'6-COMP. PROPRIA'!$B$1:$I$808,4,0),""))</f>
        <v xml:space="preserve">DISJUNTOR TERMOMAGNETICO TRIPOLAR 300 A / 600 V, TIPO JXD / ICC - 40 KA </v>
      </c>
      <c r="F468" s="638" t="str">
        <f>IFERROR(VLOOKUP($C468,'SINAPI MAIO 2020'!$1:$1048576,3,0),IFERROR(VLOOKUP($C468,'6-COMP. PROPRIA'!$B$1:$I$808,5,0),""))</f>
        <v>UNI</v>
      </c>
      <c r="G468" s="452">
        <f>QUANT!K1325</f>
        <v>1</v>
      </c>
      <c r="H468" s="452">
        <f>IFERROR(VLOOKUP($C468,'SINAPI MAIO 2020'!$1:$1048576,4,0),IFERROR(VLOOKUP($C468,'6-COMP. PROPRIA'!$B$1:$I$808,8,0),""))</f>
        <v>1181.9000000000001</v>
      </c>
      <c r="I468" s="452">
        <f>TRUNC(($H468*'4-BDI'!$E$29),2)</f>
        <v>1515.66</v>
      </c>
      <c r="J468" s="453">
        <f t="shared" si="168"/>
        <v>1181.9000000000001</v>
      </c>
      <c r="K468" s="454">
        <f t="shared" si="169"/>
        <v>1515.66</v>
      </c>
      <c r="L468" s="187"/>
    </row>
    <row r="469" spans="2:12" s="203" customFormat="1" ht="15">
      <c r="B469" s="458" t="s">
        <v>12629</v>
      </c>
      <c r="C469" s="450" t="str">
        <f>QUANT!C1326</f>
        <v>CP-ELE-54</v>
      </c>
      <c r="D469" s="450" t="str">
        <f>QUANT!D1326</f>
        <v>PROPRIA</v>
      </c>
      <c r="E469" s="639" t="str">
        <f>IFERROR(VLOOKUP($C469,'SINAPI MAIO 2020'!$1:$1048576,2,0),IFERROR(VLOOKUP($C469,'6-COMP. PROPRIA'!$B$1:$I$808,4,0),""))</f>
        <v>Eletroduto aço carbono c/costura a galv a fogo Ø100mm</v>
      </c>
      <c r="F469" s="638" t="str">
        <f>IFERROR(VLOOKUP($C469,'SINAPI MAIO 2020'!$1:$1048576,3,0),IFERROR(VLOOKUP($C469,'6-COMP. PROPRIA'!$B$1:$I$808,5,0),""))</f>
        <v>m</v>
      </c>
      <c r="G469" s="452">
        <f>QUANT!K1326</f>
        <v>7</v>
      </c>
      <c r="H469" s="452">
        <f>IFERROR(VLOOKUP($C469,'SINAPI MAIO 2020'!$1:$1048576,4,0),IFERROR(VLOOKUP($C469,'6-COMP. PROPRIA'!$B$1:$I$808,8,0),""))</f>
        <v>51.77</v>
      </c>
      <c r="I469" s="452">
        <f>TRUNC(($H469*'4-BDI'!$E$29),2)</f>
        <v>66.38</v>
      </c>
      <c r="J469" s="453">
        <f t="shared" si="168"/>
        <v>362.39</v>
      </c>
      <c r="K469" s="454">
        <f t="shared" si="169"/>
        <v>464.66</v>
      </c>
      <c r="L469" s="187"/>
    </row>
    <row r="470" spans="2:12" s="203" customFormat="1" ht="15">
      <c r="B470" s="458" t="s">
        <v>12630</v>
      </c>
      <c r="C470" s="450" t="str">
        <f>QUANT!C1327</f>
        <v>CP-ELE-55</v>
      </c>
      <c r="D470" s="450" t="str">
        <f>QUANT!D1327</f>
        <v>PROPRIA</v>
      </c>
      <c r="E470" s="639" t="str">
        <f>IFERROR(VLOOKUP($C470,'SINAPI MAIO 2020'!$1:$1048576,2,0),IFERROR(VLOOKUP($C470,'6-COMP. PROPRIA'!$B$1:$I$808,4,0),""))</f>
        <v>Grampo de ancoragem p/ cabo coberto 15KV de 50mm²</v>
      </c>
      <c r="F470" s="638" t="str">
        <f>IFERROR(VLOOKUP($C470,'SINAPI MAIO 2020'!$1:$1048576,3,0),IFERROR(VLOOKUP($C470,'6-COMP. PROPRIA'!$B$1:$I$808,5,0),""))</f>
        <v>PÇ</v>
      </c>
      <c r="G470" s="452">
        <f>QUANT!K1327</f>
        <v>3</v>
      </c>
      <c r="H470" s="452">
        <f>IFERROR(VLOOKUP($C470,'SINAPI MAIO 2020'!$1:$1048576,4,0),IFERROR(VLOOKUP($C470,'6-COMP. PROPRIA'!$B$1:$I$808,8,0),""))</f>
        <v>47.84</v>
      </c>
      <c r="I470" s="452">
        <f>TRUNC(($H470*'4-BDI'!$E$29),2)</f>
        <v>61.35</v>
      </c>
      <c r="J470" s="453">
        <f t="shared" si="168"/>
        <v>143.52000000000001</v>
      </c>
      <c r="K470" s="454">
        <f t="shared" si="169"/>
        <v>184.05</v>
      </c>
      <c r="L470" s="187"/>
    </row>
    <row r="471" spans="2:12" s="203" customFormat="1" ht="30">
      <c r="B471" s="458" t="s">
        <v>12631</v>
      </c>
      <c r="C471" s="450">
        <f>QUANT!C1328</f>
        <v>92992</v>
      </c>
      <c r="D471" s="450" t="str">
        <f>QUANT!D1328</f>
        <v>SINAPI</v>
      </c>
      <c r="E471" s="639" t="str">
        <f>IFERROR(VLOOKUP($C471,'SINAPI MAIO 2020'!$1:$1048576,2,0),IFERROR(VLOOKUP($C471,'6-COMP. PROPRIA'!$B$1:$I$808,4,0),""))</f>
        <v>CABO DE COBRE FLEXÍVEL ISOLADO, 95 MM², ANTI-CHAMA 0,6/1,0 KV, PARA DISTRIBUIÇÃO - FORNECIMENTO E INSTALAÇÃO. AF_12/2015</v>
      </c>
      <c r="F471" s="638" t="str">
        <f>IFERROR(VLOOKUP($C471,'SINAPI MAIO 2020'!$1:$1048576,3,0),IFERROR(VLOOKUP($C471,'6-COMP. PROPRIA'!$B$1:$I$808,5,0),""))</f>
        <v>M</v>
      </c>
      <c r="G471" s="452">
        <f>QUANT!K1328</f>
        <v>9</v>
      </c>
      <c r="H471" s="452">
        <f>IFERROR(VLOOKUP($C471,'SINAPI MAIO 2020'!$1:$1048576,4,0),IFERROR(VLOOKUP($C471,'6-COMP. PROPRIA'!$B$1:$I$808,8,0),""))</f>
        <v>60.58</v>
      </c>
      <c r="I471" s="452">
        <f>TRUNC(($H471*'4-BDI'!$E$29),2)</f>
        <v>77.680000000000007</v>
      </c>
      <c r="J471" s="453">
        <f t="shared" si="168"/>
        <v>545.22</v>
      </c>
      <c r="K471" s="454">
        <f t="shared" si="169"/>
        <v>699.12</v>
      </c>
      <c r="L471" s="187"/>
    </row>
    <row r="472" spans="2:12" s="203" customFormat="1" ht="30">
      <c r="B472" s="458" t="s">
        <v>12632</v>
      </c>
      <c r="C472" s="450">
        <f>QUANT!C1329</f>
        <v>92998</v>
      </c>
      <c r="D472" s="450" t="str">
        <f>QUANT!D1329</f>
        <v>SINAPI</v>
      </c>
      <c r="E472" s="639" t="str">
        <f>IFERROR(VLOOKUP($C472,'SINAPI MAIO 2020'!$1:$1048576,2,0),IFERROR(VLOOKUP($C472,'6-COMP. PROPRIA'!$B$1:$I$808,4,0),""))</f>
        <v>CABO DE COBRE FLEXÍVEL ISOLADO, 185 MM², ANTI-CHAMA 0,6/1,0 KV, PARA DISTRIBUIÇÃO - FORNECIMENTO E INSTALAÇÃO. AF_12/2015</v>
      </c>
      <c r="F472" s="638" t="str">
        <f>IFERROR(VLOOKUP($C472,'SINAPI MAIO 2020'!$1:$1048576,3,0),IFERROR(VLOOKUP($C472,'6-COMP. PROPRIA'!$B$1:$I$808,5,0),""))</f>
        <v>M</v>
      </c>
      <c r="G472" s="452">
        <f>QUANT!K1329</f>
        <v>27</v>
      </c>
      <c r="H472" s="452">
        <f>IFERROR(VLOOKUP($C472,'SINAPI MAIO 2020'!$1:$1048576,4,0),IFERROR(VLOOKUP($C472,'6-COMP. PROPRIA'!$B$1:$I$808,8,0),""))</f>
        <v>118.41</v>
      </c>
      <c r="I472" s="452">
        <f>TRUNC(($H472*'4-BDI'!$E$29),2)</f>
        <v>151.84</v>
      </c>
      <c r="J472" s="453">
        <f t="shared" si="168"/>
        <v>3197.07</v>
      </c>
      <c r="K472" s="454">
        <f t="shared" si="169"/>
        <v>4099.68</v>
      </c>
      <c r="L472" s="187"/>
    </row>
    <row r="473" spans="2:12" s="203" customFormat="1" ht="45">
      <c r="B473" s="458" t="s">
        <v>12633</v>
      </c>
      <c r="C473" s="450">
        <f>QUANT!C1330</f>
        <v>91862</v>
      </c>
      <c r="D473" s="450" t="str">
        <f>QUANT!D1330</f>
        <v>SINAPI</v>
      </c>
      <c r="E473" s="639" t="str">
        <f>IFERROR(VLOOKUP($C473,'SINAPI MAIO 2020'!$1:$1048576,2,0),IFERROR(VLOOKUP($C473,'6-COMP. PROPRIA'!$B$1:$I$808,4,0),""))</f>
        <v>ELETRODUTO RÍGIDO ROSCÁVEL, PVC, DN 20 MM (1/2"), PARA CIRCUITOS TERMINAIS, INSTALADO EM FORRO - FORNECIMENTO E INSTALAÇÃO. AF_12/2015</v>
      </c>
      <c r="F473" s="638" t="str">
        <f>IFERROR(VLOOKUP($C473,'SINAPI MAIO 2020'!$1:$1048576,3,0),IFERROR(VLOOKUP($C473,'6-COMP. PROPRIA'!$B$1:$I$808,5,0),""))</f>
        <v>M</v>
      </c>
      <c r="G473" s="452">
        <f>QUANT!K1330</f>
        <v>3</v>
      </c>
      <c r="H473" s="452">
        <f>IFERROR(VLOOKUP($C473,'SINAPI MAIO 2020'!$1:$1048576,4,0),IFERROR(VLOOKUP($C473,'6-COMP. PROPRIA'!$B$1:$I$808,8,0),""))</f>
        <v>6.48</v>
      </c>
      <c r="I473" s="452">
        <f>TRUNC(($H473*'4-BDI'!$E$29),2)</f>
        <v>8.3000000000000007</v>
      </c>
      <c r="J473" s="453">
        <f t="shared" si="168"/>
        <v>19.440000000000001</v>
      </c>
      <c r="K473" s="454">
        <f t="shared" si="169"/>
        <v>24.9</v>
      </c>
      <c r="L473" s="187"/>
    </row>
    <row r="474" spans="2:12" s="203" customFormat="1" ht="45">
      <c r="B474" s="458" t="s">
        <v>12634</v>
      </c>
      <c r="C474" s="450">
        <f>QUANT!C1331</f>
        <v>97889</v>
      </c>
      <c r="D474" s="450" t="str">
        <f>QUANT!D1331</f>
        <v>SINAPI</v>
      </c>
      <c r="E474" s="639" t="str">
        <f>IFERROR(VLOOKUP($C474,'SINAPI MAIO 2020'!$1:$1048576,2,0),IFERROR(VLOOKUP($C474,'6-COMP. PROPRIA'!$B$1:$I$808,4,0),""))</f>
        <v>CAIXA ENTERRADA ELÉTRICA RETANGULAR, EM ALVENARIA COM TIJOLOS CERÂMICOS MACIÇOS, FUNDO COM BRITA, DIMENSÕES INTERNAS: 0,8X0,8X0,6 M. AF_05/2018</v>
      </c>
      <c r="F474" s="638" t="str">
        <f>IFERROR(VLOOKUP($C474,'SINAPI MAIO 2020'!$1:$1048576,3,0),IFERROR(VLOOKUP($C474,'6-COMP. PROPRIA'!$B$1:$I$808,5,0),""))</f>
        <v>UN</v>
      </c>
      <c r="G474" s="452">
        <f>QUANT!K1331</f>
        <v>1</v>
      </c>
      <c r="H474" s="452">
        <f>IFERROR(VLOOKUP($C474,'SINAPI MAIO 2020'!$1:$1048576,4,0),IFERROR(VLOOKUP($C474,'6-COMP. PROPRIA'!$B$1:$I$808,8,0),""))</f>
        <v>483.47</v>
      </c>
      <c r="I474" s="452">
        <f>TRUNC(($H474*'4-BDI'!$E$29),2)</f>
        <v>620</v>
      </c>
      <c r="J474" s="453">
        <f t="shared" si="168"/>
        <v>483.47</v>
      </c>
      <c r="K474" s="454">
        <f t="shared" si="169"/>
        <v>620</v>
      </c>
      <c r="L474" s="187"/>
    </row>
    <row r="475" spans="2:12" s="203" customFormat="1" ht="15.75">
      <c r="B475" s="746" t="s">
        <v>12564</v>
      </c>
      <c r="C475" s="747"/>
      <c r="D475" s="747"/>
      <c r="E475" s="747"/>
      <c r="F475" s="747"/>
      <c r="G475" s="747"/>
      <c r="H475" s="747"/>
      <c r="I475" s="456"/>
      <c r="J475" s="457">
        <f>TRUNC(SUM(J439:J474),2)</f>
        <v>22609.4</v>
      </c>
      <c r="K475" s="457">
        <f>TRUNC(SUM(K439:K474),2)</f>
        <v>28993.599999999999</v>
      </c>
      <c r="L475" s="187"/>
    </row>
    <row r="476" spans="2:12" s="203" customFormat="1" ht="15.75">
      <c r="B476" s="482" t="s">
        <v>6517</v>
      </c>
      <c r="C476" s="483"/>
      <c r="D476" s="484"/>
      <c r="E476" s="485" t="str">
        <f>QUANT!E1333</f>
        <v>Rede de distribuição de média tensão</v>
      </c>
      <c r="F476" s="486"/>
      <c r="G476" s="487"/>
      <c r="H476" s="488"/>
      <c r="I476" s="488"/>
      <c r="J476" s="489"/>
      <c r="K476" s="457"/>
      <c r="L476" s="187"/>
    </row>
    <row r="477" spans="2:12" s="203" customFormat="1" ht="15">
      <c r="B477" s="458" t="s">
        <v>12635</v>
      </c>
      <c r="C477" s="450" t="str">
        <f>QUANT!C1335</f>
        <v>CP-ELE-56</v>
      </c>
      <c r="D477" s="450" t="str">
        <f>QUANT!D1335</f>
        <v>PROPRIA</v>
      </c>
      <c r="E477" s="639" t="str">
        <f>IFERROR(VLOOKUP($C477,'SINAPI MAIO 2020'!$1:$1048576,2,0),IFERROR(VLOOKUP($C477,'6-COMP. PROPRIA'!$B$1:$I$808,4,0),""))</f>
        <v xml:space="preserve">Cabo de aluminio protegido 50mm²-15KV - XLPE </v>
      </c>
      <c r="F477" s="638" t="str">
        <f>IFERROR(VLOOKUP($C477,'SINAPI MAIO 2020'!$1:$1048576,3,0),IFERROR(VLOOKUP($C477,'6-COMP. PROPRIA'!$B$1:$I$808,5,0),""))</f>
        <v>m</v>
      </c>
      <c r="G477" s="452">
        <f>QUANT!K1335</f>
        <v>60</v>
      </c>
      <c r="H477" s="452">
        <f>IFERROR(VLOOKUP($C477,'SINAPI MAIO 2020'!$1:$1048576,4,0),IFERROR(VLOOKUP($C477,'6-COMP. PROPRIA'!$B$1:$I$808,8,0),""))</f>
        <v>16.8</v>
      </c>
      <c r="I477" s="452">
        <f>TRUNC(($H477*'4-BDI'!$E$29),2)</f>
        <v>21.54</v>
      </c>
      <c r="J477" s="453">
        <f t="shared" ref="J477" si="170">TRUNC((G477*H477),2)</f>
        <v>1008</v>
      </c>
      <c r="K477" s="454">
        <f t="shared" ref="K477" si="171">TRUNC((I477*G477),2)</f>
        <v>1292.4000000000001</v>
      </c>
      <c r="L477" s="187"/>
    </row>
    <row r="478" spans="2:12" s="203" customFormat="1" ht="15">
      <c r="B478" s="458" t="s">
        <v>12636</v>
      </c>
      <c r="C478" s="450" t="str">
        <f>QUANT!C1336</f>
        <v>CP-ELE-57</v>
      </c>
      <c r="D478" s="450" t="str">
        <f>QUANT!D1336</f>
        <v>PROPRIA</v>
      </c>
      <c r="E478" s="639" t="str">
        <f>IFERROR(VLOOKUP($C478,'SINAPI MAIO 2020'!$1:$1048576,2,0),IFERROR(VLOOKUP($C478,'6-COMP. PROPRIA'!$B$1:$I$808,4,0),""))</f>
        <v>Cabo de aço galvanizado 9,5m</v>
      </c>
      <c r="F478" s="638" t="str">
        <f>IFERROR(VLOOKUP($C478,'SINAPI MAIO 2020'!$1:$1048576,3,0),IFERROR(VLOOKUP($C478,'6-COMP. PROPRIA'!$B$1:$I$808,5,0),""))</f>
        <v>m</v>
      </c>
      <c r="G478" s="452">
        <f>QUANT!K1336</f>
        <v>20</v>
      </c>
      <c r="H478" s="452">
        <f>IFERROR(VLOOKUP($C478,'SINAPI MAIO 2020'!$1:$1048576,4,0),IFERROR(VLOOKUP($C478,'6-COMP. PROPRIA'!$B$1:$I$808,8,0),""))</f>
        <v>26.14</v>
      </c>
      <c r="I478" s="452">
        <f>TRUNC(($H478*'4-BDI'!$E$29),2)</f>
        <v>33.520000000000003</v>
      </c>
      <c r="J478" s="453">
        <f t="shared" ref="J478:J480" si="172">TRUNC((G478*H478),2)</f>
        <v>522.79999999999995</v>
      </c>
      <c r="K478" s="454">
        <f t="shared" ref="K478:K480" si="173">TRUNC((I478*G478),2)</f>
        <v>670.4</v>
      </c>
      <c r="L478" s="187"/>
    </row>
    <row r="479" spans="2:12" s="203" customFormat="1" ht="15">
      <c r="B479" s="458" t="s">
        <v>12637</v>
      </c>
      <c r="C479" s="450" t="str">
        <f>QUANT!C1337</f>
        <v>CP-ELE-58</v>
      </c>
      <c r="D479" s="450" t="str">
        <f>QUANT!D1337</f>
        <v>PROPRIA</v>
      </c>
      <c r="E479" s="639" t="str">
        <f>IFERROR(VLOOKUP($C479,'SINAPI MAIO 2020'!$1:$1048576,2,0),IFERROR(VLOOKUP($C479,'6-COMP. PROPRIA'!$B$1:$I$808,4,0),""))</f>
        <v xml:space="preserve">Espaçador losangular  para cabo de aluminio - 15 KV </v>
      </c>
      <c r="F479" s="638" t="str">
        <f>IFERROR(VLOOKUP($C479,'SINAPI MAIO 2020'!$1:$1048576,3,0),IFERROR(VLOOKUP($C479,'6-COMP. PROPRIA'!$B$1:$I$808,5,0),""))</f>
        <v>UNI</v>
      </c>
      <c r="G479" s="452">
        <f>QUANT!K1337</f>
        <v>4</v>
      </c>
      <c r="H479" s="452">
        <f>IFERROR(VLOOKUP($C479,'SINAPI MAIO 2020'!$1:$1048576,4,0),IFERROR(VLOOKUP($C479,'6-COMP. PROPRIA'!$B$1:$I$808,8,0),""))</f>
        <v>32.01</v>
      </c>
      <c r="I479" s="452">
        <f>TRUNC(($H479*'4-BDI'!$E$29),2)</f>
        <v>41.04</v>
      </c>
      <c r="J479" s="453">
        <f t="shared" si="172"/>
        <v>128.04</v>
      </c>
      <c r="K479" s="454">
        <f t="shared" si="173"/>
        <v>164.16</v>
      </c>
      <c r="L479" s="187"/>
    </row>
    <row r="480" spans="2:12" s="203" customFormat="1" ht="30">
      <c r="B480" s="458" t="s">
        <v>12638</v>
      </c>
      <c r="C480" s="450" t="str">
        <f>QUANT!C1338</f>
        <v>CP-ELE-59</v>
      </c>
      <c r="D480" s="450" t="str">
        <f>QUANT!D1338</f>
        <v>PROPRIA</v>
      </c>
      <c r="E480" s="639" t="str">
        <f>IFERROR(VLOOKUP($C480,'SINAPI MAIO 2020'!$1:$1048576,2,0),IFERROR(VLOOKUP($C480,'6-COMP. PROPRIA'!$B$1:$I$808,4,0),""))</f>
        <v>Serviço de caminhão linha viva para implantação de 1 poste e serviço de conexão</v>
      </c>
      <c r="F480" s="638" t="str">
        <f>IFERROR(VLOOKUP($C480,'SINAPI MAIO 2020'!$1:$1048576,3,0),IFERROR(VLOOKUP($C480,'6-COMP. PROPRIA'!$B$1:$I$808,5,0),""))</f>
        <v>UNI</v>
      </c>
      <c r="G480" s="452">
        <f>QUANT!K1338</f>
        <v>1</v>
      </c>
      <c r="H480" s="452">
        <f>IFERROR(VLOOKUP($C480,'SINAPI MAIO 2020'!$1:$1048576,4,0),IFERROR(VLOOKUP($C480,'6-COMP. PROPRIA'!$B$1:$I$808,8,0),""))</f>
        <v>2663.55</v>
      </c>
      <c r="I480" s="452">
        <f>TRUNC(($H480*'4-BDI'!$E$29),2)</f>
        <v>3415.73</v>
      </c>
      <c r="J480" s="453">
        <f t="shared" si="172"/>
        <v>2663.55</v>
      </c>
      <c r="K480" s="454">
        <f t="shared" si="173"/>
        <v>3415.73</v>
      </c>
      <c r="L480" s="187"/>
    </row>
    <row r="481" spans="2:12" s="203" customFormat="1" ht="15.75">
      <c r="B481" s="746" t="s">
        <v>12564</v>
      </c>
      <c r="C481" s="747"/>
      <c r="D481" s="747"/>
      <c r="E481" s="747"/>
      <c r="F481" s="747"/>
      <c r="G481" s="747"/>
      <c r="H481" s="747"/>
      <c r="I481" s="456"/>
      <c r="J481" s="457">
        <f>TRUNC(SUM(J477:J480),2)</f>
        <v>4322.3900000000003</v>
      </c>
      <c r="K481" s="457">
        <f>TRUNC(SUM(K477:K480),2)</f>
        <v>5542.69</v>
      </c>
      <c r="L481" s="187"/>
    </row>
    <row r="482" spans="2:12" s="203" customFormat="1" ht="15.75">
      <c r="B482" s="482" t="s">
        <v>6518</v>
      </c>
      <c r="C482" s="483"/>
      <c r="D482" s="484"/>
      <c r="E482" s="485" t="str">
        <f>QUANT!E1340</f>
        <v xml:space="preserve">ATERRAMENTO </v>
      </c>
      <c r="F482" s="486"/>
      <c r="G482" s="487"/>
      <c r="H482" s="488"/>
      <c r="I482" s="488"/>
      <c r="J482" s="489"/>
      <c r="K482" s="457"/>
      <c r="L482" s="187"/>
    </row>
    <row r="483" spans="2:12" s="203" customFormat="1" ht="15">
      <c r="B483" s="458" t="s">
        <v>12639</v>
      </c>
      <c r="C483" s="450" t="str">
        <f>QUANT!C1342</f>
        <v>CP-ELE-60</v>
      </c>
      <c r="D483" s="450" t="str">
        <f>QUANT!D1342</f>
        <v>PROPRIA</v>
      </c>
      <c r="E483" s="639" t="str">
        <f>IFERROR(VLOOKUP($C483,'SINAPI MAIO 2020'!$1:$1048576,2,0),IFERROR(VLOOKUP($C483,'6-COMP. PROPRIA'!$B$1:$I$808,4,0),""))</f>
        <v xml:space="preserve">Arame de aço galvanizado - 14 BWG </v>
      </c>
      <c r="F483" s="638" t="str">
        <f>IFERROR(VLOOKUP($C483,'SINAPI MAIO 2020'!$1:$1048576,3,0),IFERROR(VLOOKUP($C483,'6-COMP. PROPRIA'!$B$1:$I$808,5,0),""))</f>
        <v xml:space="preserve">M     </v>
      </c>
      <c r="G483" s="452">
        <f>QUANT!K1342</f>
        <v>1</v>
      </c>
      <c r="H483" s="452">
        <f>IFERROR(VLOOKUP($C483,'SINAPI MAIO 2020'!$1:$1048576,4,0),IFERROR(VLOOKUP($C483,'6-COMP. PROPRIA'!$B$1:$I$808,8,0),""))</f>
        <v>10.02</v>
      </c>
      <c r="I483" s="452">
        <f>TRUNC(($H483*'4-BDI'!$E$29),2)</f>
        <v>12.84</v>
      </c>
      <c r="J483" s="453">
        <f t="shared" ref="J483" si="174">TRUNC((G483*H483),2)</f>
        <v>10.02</v>
      </c>
      <c r="K483" s="454">
        <f t="shared" ref="K483" si="175">TRUNC((I483*G483),2)</f>
        <v>12.84</v>
      </c>
      <c r="L483" s="187"/>
    </row>
    <row r="484" spans="2:12" s="203" customFormat="1" ht="15">
      <c r="B484" s="458" t="s">
        <v>12640</v>
      </c>
      <c r="C484" s="450" t="str">
        <f>QUANT!C1343</f>
        <v>CP-ELE-61</v>
      </c>
      <c r="D484" s="450" t="str">
        <f>QUANT!D1343</f>
        <v>PROPRIA</v>
      </c>
      <c r="E484" s="639" t="str">
        <f>IFERROR(VLOOKUP($C484,'SINAPI MAIO 2020'!$1:$1048576,2,0),IFERROR(VLOOKUP($C484,'6-COMP. PROPRIA'!$B$1:$I$808,4,0),""))</f>
        <v xml:space="preserve">Caixa de aterramento 50x50cm </v>
      </c>
      <c r="F484" s="638" t="str">
        <f>IFERROR(VLOOKUP($C484,'SINAPI MAIO 2020'!$1:$1048576,3,0),IFERROR(VLOOKUP($C484,'6-COMP. PROPRIA'!$B$1:$I$808,5,0),""))</f>
        <v>UNI</v>
      </c>
      <c r="G484" s="452">
        <f>QUANT!K1343</f>
        <v>4</v>
      </c>
      <c r="H484" s="452">
        <f>IFERROR(VLOOKUP($C484,'SINAPI MAIO 2020'!$1:$1048576,4,0),IFERROR(VLOOKUP($C484,'6-COMP. PROPRIA'!$B$1:$I$808,8,0),""))</f>
        <v>106.79</v>
      </c>
      <c r="I484" s="452">
        <f>TRUNC(($H484*'4-BDI'!$E$29),2)</f>
        <v>136.94</v>
      </c>
      <c r="J484" s="453">
        <f t="shared" ref="J484:J488" si="176">TRUNC((G484*H484),2)</f>
        <v>427.16</v>
      </c>
      <c r="K484" s="454">
        <f t="shared" ref="K484:K488" si="177">TRUNC((I484*G484),2)</f>
        <v>547.76</v>
      </c>
      <c r="L484" s="187"/>
    </row>
    <row r="485" spans="2:12" s="203" customFormat="1" ht="15">
      <c r="B485" s="458" t="s">
        <v>12641</v>
      </c>
      <c r="C485" s="450" t="str">
        <f>QUANT!C1344</f>
        <v>CP-ELE-62</v>
      </c>
      <c r="D485" s="450" t="str">
        <f>QUANT!D1344</f>
        <v>PROPRIA</v>
      </c>
      <c r="E485" s="639" t="str">
        <f>IFERROR(VLOOKUP($C485,'SINAPI MAIO 2020'!$1:$1048576,2,0),IFERROR(VLOOKUP($C485,'6-COMP. PROPRIA'!$B$1:$I$808,4,0),""))</f>
        <v xml:space="preserve">Conector derivação tipo cunha </v>
      </c>
      <c r="F485" s="638" t="str">
        <f>IFERROR(VLOOKUP($C485,'SINAPI MAIO 2020'!$1:$1048576,3,0),IFERROR(VLOOKUP($C485,'6-COMP. PROPRIA'!$B$1:$I$808,5,0),""))</f>
        <v>UNI</v>
      </c>
      <c r="G485" s="452">
        <f>QUANT!K1344</f>
        <v>2</v>
      </c>
      <c r="H485" s="452">
        <f>IFERROR(VLOOKUP($C485,'SINAPI MAIO 2020'!$1:$1048576,4,0),IFERROR(VLOOKUP($C485,'6-COMP. PROPRIA'!$B$1:$I$808,8,0),""))</f>
        <v>15.29</v>
      </c>
      <c r="I485" s="452">
        <f>TRUNC(($H485*'4-BDI'!$E$29),2)</f>
        <v>19.600000000000001</v>
      </c>
      <c r="J485" s="453">
        <f t="shared" si="176"/>
        <v>30.58</v>
      </c>
      <c r="K485" s="454">
        <f t="shared" si="177"/>
        <v>39.200000000000003</v>
      </c>
      <c r="L485" s="187"/>
    </row>
    <row r="486" spans="2:12" s="203" customFormat="1" ht="15">
      <c r="B486" s="458" t="s">
        <v>12642</v>
      </c>
      <c r="C486" s="450" t="str">
        <f>QUANT!C1345</f>
        <v>CP-ELE-63</v>
      </c>
      <c r="D486" s="450" t="str">
        <f>QUANT!D1345</f>
        <v>PROPRIA</v>
      </c>
      <c r="E486" s="639" t="str">
        <f>IFERROR(VLOOKUP($C486,'SINAPI MAIO 2020'!$1:$1048576,2,0),IFERROR(VLOOKUP($C486,'6-COMP. PROPRIA'!$B$1:$I$808,4,0),""))</f>
        <v xml:space="preserve">Haste coperweld 3/8"x3,00 com conector </v>
      </c>
      <c r="F486" s="638" t="str">
        <f>IFERROR(VLOOKUP($C486,'SINAPI MAIO 2020'!$1:$1048576,3,0),IFERROR(VLOOKUP($C486,'6-COMP. PROPRIA'!$B$1:$I$808,5,0),""))</f>
        <v>UNI</v>
      </c>
      <c r="G486" s="452">
        <f>QUANT!K1345</f>
        <v>6</v>
      </c>
      <c r="H486" s="452">
        <f>IFERROR(VLOOKUP($C486,'SINAPI MAIO 2020'!$1:$1048576,4,0),IFERROR(VLOOKUP($C486,'6-COMP. PROPRIA'!$B$1:$I$808,8,0),""))</f>
        <v>52.48</v>
      </c>
      <c r="I486" s="452">
        <f>TRUNC(($H486*'4-BDI'!$E$29),2)</f>
        <v>67.3</v>
      </c>
      <c r="J486" s="453">
        <f t="shared" si="176"/>
        <v>314.88</v>
      </c>
      <c r="K486" s="454">
        <f t="shared" si="177"/>
        <v>403.8</v>
      </c>
      <c r="L486" s="187"/>
    </row>
    <row r="487" spans="2:12" s="203" customFormat="1" ht="15">
      <c r="B487" s="458" t="s">
        <v>12643</v>
      </c>
      <c r="C487" s="450" t="str">
        <f>QUANT!C1346</f>
        <v>CP-ELE-64</v>
      </c>
      <c r="D487" s="450" t="str">
        <f>QUANT!D1346</f>
        <v>PROPRIA</v>
      </c>
      <c r="E487" s="639" t="str">
        <f>IFERROR(VLOOKUP($C487,'SINAPI MAIO 2020'!$1:$1048576,2,0),IFERROR(VLOOKUP($C487,'6-COMP. PROPRIA'!$B$1:$I$808,4,0),""))</f>
        <v>CABO DE COBRE NU 50 MM2 MEIO-DURO</v>
      </c>
      <c r="F487" s="638" t="str">
        <f>IFERROR(VLOOKUP($C487,'SINAPI MAIO 2020'!$1:$1048576,3,0),IFERROR(VLOOKUP($C487,'6-COMP. PROPRIA'!$B$1:$I$808,5,0),""))</f>
        <v xml:space="preserve">M     </v>
      </c>
      <c r="G487" s="452">
        <f>QUANT!K1346</f>
        <v>27</v>
      </c>
      <c r="H487" s="452">
        <f>IFERROR(VLOOKUP($C487,'SINAPI MAIO 2020'!$1:$1048576,4,0),IFERROR(VLOOKUP($C487,'6-COMP. PROPRIA'!$B$1:$I$808,8,0),""))</f>
        <v>46.8</v>
      </c>
      <c r="I487" s="452">
        <f>TRUNC(($H487*'4-BDI'!$E$29),2)</f>
        <v>60.01</v>
      </c>
      <c r="J487" s="453">
        <f t="shared" si="176"/>
        <v>1263.5999999999999</v>
      </c>
      <c r="K487" s="454">
        <f t="shared" si="177"/>
        <v>1620.27</v>
      </c>
      <c r="L487" s="187"/>
    </row>
    <row r="488" spans="2:12" s="203" customFormat="1" ht="45">
      <c r="B488" s="458" t="s">
        <v>12644</v>
      </c>
      <c r="C488" s="450">
        <f>QUANT!C1347</f>
        <v>91933</v>
      </c>
      <c r="D488" s="450" t="str">
        <f>QUANT!D1347</f>
        <v>SINAPI</v>
      </c>
      <c r="E488" s="639" t="str">
        <f>IFERROR(VLOOKUP($C488,'SINAPI MAIO 2020'!$1:$1048576,2,0),IFERROR(VLOOKUP($C488,'6-COMP. PROPRIA'!$B$1:$I$808,4,0),""))</f>
        <v>CABO DE COBRE FLEXÍVEL ISOLADO, 10 MM², ANTI-CHAMA 0,6/1,0 KV, PARA CIRCUITOS TERMINAIS - FORNECIMENTO E INSTALAÇÃO. AF_12/2015</v>
      </c>
      <c r="F488" s="638" t="str">
        <f>IFERROR(VLOOKUP($C488,'SINAPI MAIO 2020'!$1:$1048576,3,0),IFERROR(VLOOKUP($C488,'6-COMP. PROPRIA'!$B$1:$I$808,5,0),""))</f>
        <v>M</v>
      </c>
      <c r="G488" s="452">
        <f>QUANT!K1347</f>
        <v>3</v>
      </c>
      <c r="H488" s="452">
        <f>IFERROR(VLOOKUP($C488,'SINAPI MAIO 2020'!$1:$1048576,4,0),IFERROR(VLOOKUP($C488,'6-COMP. PROPRIA'!$B$1:$I$808,8,0),""))</f>
        <v>10.37</v>
      </c>
      <c r="I488" s="452">
        <f>TRUNC(($H488*'4-BDI'!$E$29),2)</f>
        <v>13.29</v>
      </c>
      <c r="J488" s="453">
        <f t="shared" si="176"/>
        <v>31.11</v>
      </c>
      <c r="K488" s="454">
        <f t="shared" si="177"/>
        <v>39.869999999999997</v>
      </c>
      <c r="L488" s="187"/>
    </row>
    <row r="489" spans="2:12" s="203" customFormat="1" ht="15.75">
      <c r="B489" s="746" t="s">
        <v>12564</v>
      </c>
      <c r="C489" s="747"/>
      <c r="D489" s="747"/>
      <c r="E489" s="747"/>
      <c r="F489" s="747"/>
      <c r="G489" s="747"/>
      <c r="H489" s="747"/>
      <c r="I489" s="456"/>
      <c r="J489" s="457">
        <f>TRUNC(SUM(J483:J488),2)</f>
        <v>2077.35</v>
      </c>
      <c r="K489" s="457">
        <f>TRUNC(SUM(K483:K488),2)</f>
        <v>2663.74</v>
      </c>
      <c r="L489" s="187"/>
    </row>
    <row r="490" spans="2:12" s="203" customFormat="1" ht="15.75">
      <c r="B490" s="482" t="s">
        <v>6519</v>
      </c>
      <c r="C490" s="483"/>
      <c r="D490" s="484"/>
      <c r="E490" s="485" t="str">
        <f>QUANT!E1349</f>
        <v>N1-CE3U PERFIL U CFU</v>
      </c>
      <c r="F490" s="486"/>
      <c r="G490" s="487"/>
      <c r="H490" s="488"/>
      <c r="I490" s="488"/>
      <c r="J490" s="489"/>
      <c r="K490" s="457"/>
      <c r="L490" s="187"/>
    </row>
    <row r="491" spans="2:12" s="203" customFormat="1" ht="15">
      <c r="B491" s="458" t="s">
        <v>12645</v>
      </c>
      <c r="C491" s="450" t="str">
        <f>QUANT!C1351</f>
        <v>CP-ELE-65</v>
      </c>
      <c r="D491" s="450" t="str">
        <f>QUANT!D1351</f>
        <v>PROPRIA</v>
      </c>
      <c r="E491" s="639" t="str">
        <f>IFERROR(VLOOKUP($C491,'SINAPI MAIO 2020'!$1:$1048576,2,0),IFERROR(VLOOKUP($C491,'6-COMP. PROPRIA'!$B$1:$I$808,4,0),""))</f>
        <v xml:space="preserve">Poste de concreto DT 11/600 </v>
      </c>
      <c r="F491" s="638" t="str">
        <f>IFERROR(VLOOKUP($C491,'SINAPI MAIO 2020'!$1:$1048576,3,0),IFERROR(VLOOKUP($C491,'6-COMP. PROPRIA'!$B$1:$I$808,5,0),""))</f>
        <v>UNI</v>
      </c>
      <c r="G491" s="452">
        <f>QUANT!K1351</f>
        <v>1</v>
      </c>
      <c r="H491" s="452">
        <f>IFERROR(VLOOKUP($C491,'SINAPI MAIO 2020'!$1:$1048576,4,0),IFERROR(VLOOKUP($C491,'6-COMP. PROPRIA'!$B$1:$I$808,8,0),""))</f>
        <v>1833.24</v>
      </c>
      <c r="I491" s="452">
        <f>TRUNC(($H491*'4-BDI'!$E$29),2)</f>
        <v>2350.94</v>
      </c>
      <c r="J491" s="453">
        <f t="shared" ref="J491" si="178">TRUNC((G491*H491),2)</f>
        <v>1833.24</v>
      </c>
      <c r="K491" s="454">
        <f t="shared" ref="K491" si="179">TRUNC((I491*G491),2)</f>
        <v>2350.94</v>
      </c>
      <c r="L491" s="187"/>
    </row>
    <row r="492" spans="2:12" s="203" customFormat="1" ht="15">
      <c r="B492" s="458" t="s">
        <v>12646</v>
      </c>
      <c r="C492" s="450" t="str">
        <f>QUANT!C1352</f>
        <v>CP-ELE-26</v>
      </c>
      <c r="D492" s="450" t="str">
        <f>QUANT!D1352</f>
        <v>PROPRIA</v>
      </c>
      <c r="E492" s="639" t="str">
        <f>IFERROR(VLOOKUP($C492,'SINAPI MAIO 2020'!$1:$1048576,2,0),IFERROR(VLOOKUP($C492,'6-COMP. PROPRIA'!$B$1:$I$808,4,0),""))</f>
        <v xml:space="preserve">Alça pre-formada de estai para cabo aço galv. 9,5mm </v>
      </c>
      <c r="F492" s="638" t="str">
        <f>IFERROR(VLOOKUP($C492,'SINAPI MAIO 2020'!$1:$1048576,3,0),IFERROR(VLOOKUP($C492,'6-COMP. PROPRIA'!$B$1:$I$808,5,0),""))</f>
        <v>UNI</v>
      </c>
      <c r="G492" s="452">
        <f>QUANT!K1352</f>
        <v>1</v>
      </c>
      <c r="H492" s="452">
        <f>IFERROR(VLOOKUP($C492,'SINAPI MAIO 2020'!$1:$1048576,4,0),IFERROR(VLOOKUP($C492,'6-COMP. PROPRIA'!$B$1:$I$808,8,0),""))</f>
        <v>24.8</v>
      </c>
      <c r="I492" s="452">
        <f>TRUNC(($H492*'4-BDI'!$E$29),2)</f>
        <v>31.8</v>
      </c>
      <c r="J492" s="453">
        <f t="shared" ref="J492:J515" si="180">TRUNC((G492*H492),2)</f>
        <v>24.8</v>
      </c>
      <c r="K492" s="454">
        <f t="shared" ref="K492:K515" si="181">TRUNC((I492*G492),2)</f>
        <v>31.8</v>
      </c>
      <c r="L492" s="187"/>
    </row>
    <row r="493" spans="2:12" s="203" customFormat="1" ht="15">
      <c r="B493" s="458" t="s">
        <v>12647</v>
      </c>
      <c r="C493" s="450" t="str">
        <f>QUANT!C1353</f>
        <v>CP-ELE-27</v>
      </c>
      <c r="D493" s="450" t="str">
        <f>QUANT!D1353</f>
        <v>PROPRIA</v>
      </c>
      <c r="E493" s="639" t="str">
        <f>IFERROR(VLOOKUP($C493,'SINAPI MAIO 2020'!$1:$1048576,2,0),IFERROR(VLOOKUP($C493,'6-COMP. PROPRIA'!$B$1:$I$808,4,0),""))</f>
        <v>Sapatilha</v>
      </c>
      <c r="F493" s="638" t="str">
        <f>IFERROR(VLOOKUP($C493,'SINAPI MAIO 2020'!$1:$1048576,3,0),IFERROR(VLOOKUP($C493,'6-COMP. PROPRIA'!$B$1:$I$808,5,0),""))</f>
        <v>UNI</v>
      </c>
      <c r="G493" s="452">
        <f>QUANT!K1353</f>
        <v>1</v>
      </c>
      <c r="H493" s="452">
        <f>IFERROR(VLOOKUP($C493,'SINAPI MAIO 2020'!$1:$1048576,4,0),IFERROR(VLOOKUP($C493,'6-COMP. PROPRIA'!$B$1:$I$808,8,0),""))</f>
        <v>11.02</v>
      </c>
      <c r="I493" s="452">
        <f>TRUNC(($H493*'4-BDI'!$E$29),2)</f>
        <v>14.13</v>
      </c>
      <c r="J493" s="453">
        <f t="shared" si="180"/>
        <v>11.02</v>
      </c>
      <c r="K493" s="454">
        <f t="shared" si="181"/>
        <v>14.13</v>
      </c>
      <c r="L493" s="187"/>
    </row>
    <row r="494" spans="2:12" s="203" customFormat="1" ht="15">
      <c r="B494" s="458" t="s">
        <v>12648</v>
      </c>
      <c r="C494" s="450" t="str">
        <f>QUANT!C1354</f>
        <v>CP-ELE-28</v>
      </c>
      <c r="D494" s="450" t="str">
        <f>QUANT!D1354</f>
        <v>PROPRIA</v>
      </c>
      <c r="E494" s="639" t="str">
        <f>IFERROR(VLOOKUP($C494,'SINAPI MAIO 2020'!$1:$1048576,2,0),IFERROR(VLOOKUP($C494,'6-COMP. PROPRIA'!$B$1:$I$808,4,0),""))</f>
        <v>Olhal para parafuso</v>
      </c>
      <c r="F494" s="638" t="str">
        <f>IFERROR(VLOOKUP($C494,'SINAPI MAIO 2020'!$1:$1048576,3,0),IFERROR(VLOOKUP($C494,'6-COMP. PROPRIA'!$B$1:$I$808,5,0),""))</f>
        <v>UNI</v>
      </c>
      <c r="G494" s="452">
        <f>QUANT!K1354</f>
        <v>4</v>
      </c>
      <c r="H494" s="452">
        <f>IFERROR(VLOOKUP($C494,'SINAPI MAIO 2020'!$1:$1048576,4,0),IFERROR(VLOOKUP($C494,'6-COMP. PROPRIA'!$B$1:$I$808,8,0),""))</f>
        <v>17.57</v>
      </c>
      <c r="I494" s="452">
        <f>TRUNC(($H494*'4-BDI'!$E$29),2)</f>
        <v>22.53</v>
      </c>
      <c r="J494" s="453">
        <f t="shared" si="180"/>
        <v>70.28</v>
      </c>
      <c r="K494" s="454">
        <f t="shared" si="181"/>
        <v>90.12</v>
      </c>
      <c r="L494" s="187"/>
    </row>
    <row r="495" spans="2:12" s="203" customFormat="1" ht="15">
      <c r="B495" s="458" t="s">
        <v>12649</v>
      </c>
      <c r="C495" s="450" t="str">
        <f>QUANT!C1355</f>
        <v>CP-ELE-29</v>
      </c>
      <c r="D495" s="450" t="str">
        <f>QUANT!D1355</f>
        <v>PROPRIA</v>
      </c>
      <c r="E495" s="639" t="str">
        <f>IFERROR(VLOOKUP($C495,'SINAPI MAIO 2020'!$1:$1048576,2,0),IFERROR(VLOOKUP($C495,'6-COMP. PROPRIA'!$B$1:$I$808,4,0),""))</f>
        <v xml:space="preserve">Isolador de ancoragem tipo bastão polimero 15KV </v>
      </c>
      <c r="F495" s="638" t="str">
        <f>IFERROR(VLOOKUP($C495,'SINAPI MAIO 2020'!$1:$1048576,3,0),IFERROR(VLOOKUP($C495,'6-COMP. PROPRIA'!$B$1:$I$808,5,0),""))</f>
        <v>UNI</v>
      </c>
      <c r="G495" s="452">
        <f>QUANT!K1355</f>
        <v>3</v>
      </c>
      <c r="H495" s="452">
        <f>IFERROR(VLOOKUP($C495,'SINAPI MAIO 2020'!$1:$1048576,4,0),IFERROR(VLOOKUP($C495,'6-COMP. PROPRIA'!$B$1:$I$808,8,0),""))</f>
        <v>60.73</v>
      </c>
      <c r="I495" s="452">
        <f>TRUNC(($H495*'4-BDI'!$E$29),2)</f>
        <v>77.88</v>
      </c>
      <c r="J495" s="453">
        <f t="shared" si="180"/>
        <v>182.19</v>
      </c>
      <c r="K495" s="454">
        <f t="shared" si="181"/>
        <v>233.64</v>
      </c>
      <c r="L495" s="187"/>
    </row>
    <row r="496" spans="2:12" s="203" customFormat="1" ht="15">
      <c r="B496" s="458" t="s">
        <v>12650</v>
      </c>
      <c r="C496" s="450" t="str">
        <f>QUANT!C1356</f>
        <v>CP-ELE-30</v>
      </c>
      <c r="D496" s="450" t="str">
        <f>QUANT!D1356</f>
        <v>PROPRIA</v>
      </c>
      <c r="E496" s="639" t="str">
        <f>IFERROR(VLOOKUP($C496,'SINAPI MAIO 2020'!$1:$1048576,2,0),IFERROR(VLOOKUP($C496,'6-COMP. PROPRIA'!$B$1:$I$808,4,0),""))</f>
        <v>Manilha sapatilha</v>
      </c>
      <c r="F496" s="638" t="str">
        <f>IFERROR(VLOOKUP($C496,'SINAPI MAIO 2020'!$1:$1048576,3,0),IFERROR(VLOOKUP($C496,'6-COMP. PROPRIA'!$B$1:$I$808,5,0),""))</f>
        <v>UNI</v>
      </c>
      <c r="G496" s="452">
        <f>QUANT!K1356</f>
        <v>3</v>
      </c>
      <c r="H496" s="452">
        <f>IFERROR(VLOOKUP($C496,'SINAPI MAIO 2020'!$1:$1048576,4,0),IFERROR(VLOOKUP($C496,'6-COMP. PROPRIA'!$B$1:$I$808,8,0),""))</f>
        <v>21.23</v>
      </c>
      <c r="I496" s="452">
        <f>TRUNC(($H496*'4-BDI'!$E$29),2)</f>
        <v>27.22</v>
      </c>
      <c r="J496" s="453">
        <f t="shared" si="180"/>
        <v>63.69</v>
      </c>
      <c r="K496" s="454">
        <f t="shared" si="181"/>
        <v>81.66</v>
      </c>
      <c r="L496" s="187"/>
    </row>
    <row r="497" spans="2:12" s="203" customFormat="1" ht="15">
      <c r="B497" s="458" t="s">
        <v>12651</v>
      </c>
      <c r="C497" s="450" t="str">
        <f>QUANT!C1357</f>
        <v>CP-ELE-31</v>
      </c>
      <c r="D497" s="450" t="str">
        <f>QUANT!D1357</f>
        <v>PROPRIA</v>
      </c>
      <c r="E497" s="639" t="str">
        <f>IFERROR(VLOOKUP($C497,'SINAPI MAIO 2020'!$1:$1048576,2,0),IFERROR(VLOOKUP($C497,'6-COMP. PROPRIA'!$B$1:$I$808,4,0),""))</f>
        <v>Gancho olhal</v>
      </c>
      <c r="F497" s="638" t="str">
        <f>IFERROR(VLOOKUP($C497,'SINAPI MAIO 2020'!$1:$1048576,3,0),IFERROR(VLOOKUP($C497,'6-COMP. PROPRIA'!$B$1:$I$808,5,0),""))</f>
        <v>UNI</v>
      </c>
      <c r="G497" s="452">
        <f>QUANT!K1357</f>
        <v>3</v>
      </c>
      <c r="H497" s="452">
        <f>IFERROR(VLOOKUP($C497,'SINAPI MAIO 2020'!$1:$1048576,4,0),IFERROR(VLOOKUP($C497,'6-COMP. PROPRIA'!$B$1:$I$808,8,0),""))</f>
        <v>18.84</v>
      </c>
      <c r="I497" s="452">
        <f>TRUNC(($H497*'4-BDI'!$E$29),2)</f>
        <v>24.16</v>
      </c>
      <c r="J497" s="453">
        <f t="shared" si="180"/>
        <v>56.52</v>
      </c>
      <c r="K497" s="454">
        <f t="shared" si="181"/>
        <v>72.48</v>
      </c>
      <c r="L497" s="187"/>
    </row>
    <row r="498" spans="2:12" s="203" customFormat="1" ht="15">
      <c r="B498" s="458" t="s">
        <v>12652</v>
      </c>
      <c r="C498" s="450" t="str">
        <f>QUANT!C1358</f>
        <v>CP-ELE-32</v>
      </c>
      <c r="D498" s="450" t="str">
        <f>QUANT!D1358</f>
        <v>PROPRIA</v>
      </c>
      <c r="E498" s="639" t="str">
        <f>IFERROR(VLOOKUP($C498,'SINAPI MAIO 2020'!$1:$1048576,2,0),IFERROR(VLOOKUP($C498,'6-COMP. PROPRIA'!$B$1:$I$808,4,0),""))</f>
        <v>Perfil U</v>
      </c>
      <c r="F498" s="638" t="str">
        <f>IFERROR(VLOOKUP($C498,'SINAPI MAIO 2020'!$1:$1048576,3,0),IFERROR(VLOOKUP($C498,'6-COMP. PROPRIA'!$B$1:$I$808,5,0),""))</f>
        <v>UNI</v>
      </c>
      <c r="G498" s="452">
        <f>QUANT!K1358</f>
        <v>1</v>
      </c>
      <c r="H498" s="452">
        <f>IFERROR(VLOOKUP($C498,'SINAPI MAIO 2020'!$1:$1048576,4,0),IFERROR(VLOOKUP($C498,'6-COMP. PROPRIA'!$B$1:$I$808,8,0),""))</f>
        <v>68.22</v>
      </c>
      <c r="I498" s="452">
        <f>TRUNC(($H498*'4-BDI'!$E$29),2)</f>
        <v>87.48</v>
      </c>
      <c r="J498" s="453">
        <f t="shared" si="180"/>
        <v>68.22</v>
      </c>
      <c r="K498" s="454">
        <f t="shared" si="181"/>
        <v>87.48</v>
      </c>
      <c r="L498" s="187"/>
    </row>
    <row r="499" spans="2:12" s="203" customFormat="1" ht="15">
      <c r="B499" s="458" t="s">
        <v>12653</v>
      </c>
      <c r="C499" s="450" t="str">
        <f>QUANT!C1359</f>
        <v>CP-ELE-33</v>
      </c>
      <c r="D499" s="450" t="str">
        <f>QUANT!D1359</f>
        <v>PROPRIA</v>
      </c>
      <c r="E499" s="639" t="str">
        <f>IFERROR(VLOOKUP($C499,'SINAPI MAIO 2020'!$1:$1048576,2,0),IFERROR(VLOOKUP($C499,'6-COMP. PROPRIA'!$B$1:$I$808,4,0),""))</f>
        <v>Fixador de perfil U</v>
      </c>
      <c r="F499" s="638" t="str">
        <f>IFERROR(VLOOKUP($C499,'SINAPI MAIO 2020'!$1:$1048576,3,0),IFERROR(VLOOKUP($C499,'6-COMP. PROPRIA'!$B$1:$I$808,5,0),""))</f>
        <v>UNI</v>
      </c>
      <c r="G499" s="452">
        <f>QUANT!K1359</f>
        <v>1</v>
      </c>
      <c r="H499" s="452">
        <f>IFERROR(VLOOKUP($C499,'SINAPI MAIO 2020'!$1:$1048576,4,0),IFERROR(VLOOKUP($C499,'6-COMP. PROPRIA'!$B$1:$I$808,8,0),""))</f>
        <v>46.85</v>
      </c>
      <c r="I499" s="452">
        <f>TRUNC(($H499*'4-BDI'!$E$29),2)</f>
        <v>60.08</v>
      </c>
      <c r="J499" s="453">
        <f t="shared" si="180"/>
        <v>46.85</v>
      </c>
      <c r="K499" s="454">
        <f t="shared" si="181"/>
        <v>60.08</v>
      </c>
      <c r="L499" s="187"/>
    </row>
    <row r="500" spans="2:12" s="203" customFormat="1" ht="15">
      <c r="B500" s="458" t="s">
        <v>12654</v>
      </c>
      <c r="C500" s="450" t="str">
        <f>QUANT!C1360</f>
        <v>CP-ELE-35</v>
      </c>
      <c r="D500" s="450" t="str">
        <f>QUANT!D1360</f>
        <v>PROPRIA</v>
      </c>
      <c r="E500" s="639" t="str">
        <f>IFERROR(VLOOKUP($C500,'SINAPI MAIO 2020'!$1:$1048576,2,0),IFERROR(VLOOKUP($C500,'6-COMP. PROPRIA'!$B$1:$I$808,4,0),""))</f>
        <v xml:space="preserve">Cruzeta de concreto 250 daN retangular </v>
      </c>
      <c r="F500" s="638" t="str">
        <f>IFERROR(VLOOKUP($C500,'SINAPI MAIO 2020'!$1:$1048576,3,0),IFERROR(VLOOKUP($C500,'6-COMP. PROPRIA'!$B$1:$I$808,5,0),""))</f>
        <v>UNI</v>
      </c>
      <c r="G500" s="452">
        <f>QUANT!K1360</f>
        <v>2</v>
      </c>
      <c r="H500" s="452">
        <f>IFERROR(VLOOKUP($C500,'SINAPI MAIO 2020'!$1:$1048576,4,0),IFERROR(VLOOKUP($C500,'6-COMP. PROPRIA'!$B$1:$I$808,8,0),""))</f>
        <v>164.41</v>
      </c>
      <c r="I500" s="452">
        <f>TRUNC(($H500*'4-BDI'!$E$29),2)</f>
        <v>210.83</v>
      </c>
      <c r="J500" s="453">
        <f t="shared" si="180"/>
        <v>328.82</v>
      </c>
      <c r="K500" s="454">
        <f t="shared" si="181"/>
        <v>421.66</v>
      </c>
      <c r="L500" s="187"/>
    </row>
    <row r="501" spans="2:12" s="203" customFormat="1" ht="15">
      <c r="B501" s="458" t="s">
        <v>12655</v>
      </c>
      <c r="C501" s="450" t="str">
        <f>QUANT!C1361</f>
        <v>CP-ELE-34</v>
      </c>
      <c r="D501" s="450" t="str">
        <f>QUANT!D1361</f>
        <v>PROPRIA</v>
      </c>
      <c r="E501" s="639" t="str">
        <f>IFERROR(VLOOKUP($C501,'SINAPI MAIO 2020'!$1:$1048576,2,0),IFERROR(VLOOKUP($C501,'6-COMP. PROPRIA'!$B$1:$I$808,4,0),""))</f>
        <v>Mão francesa 619mm</v>
      </c>
      <c r="F501" s="638" t="str">
        <f>IFERROR(VLOOKUP($C501,'SINAPI MAIO 2020'!$1:$1048576,3,0),IFERROR(VLOOKUP($C501,'6-COMP. PROPRIA'!$B$1:$I$808,5,0),""))</f>
        <v>UNI</v>
      </c>
      <c r="G501" s="452">
        <f>QUANT!K1361</f>
        <v>4</v>
      </c>
      <c r="H501" s="452">
        <f>IFERROR(VLOOKUP($C501,'SINAPI MAIO 2020'!$1:$1048576,4,0),IFERROR(VLOOKUP($C501,'6-COMP. PROPRIA'!$B$1:$I$808,8,0),""))</f>
        <v>75.95</v>
      </c>
      <c r="I501" s="452">
        <f>TRUNC(($H501*'4-BDI'!$E$29),2)</f>
        <v>97.39</v>
      </c>
      <c r="J501" s="453">
        <f t="shared" si="180"/>
        <v>303.8</v>
      </c>
      <c r="K501" s="454">
        <f t="shared" si="181"/>
        <v>389.56</v>
      </c>
      <c r="L501" s="187"/>
    </row>
    <row r="502" spans="2:12" s="203" customFormat="1" ht="15">
      <c r="B502" s="458" t="s">
        <v>12656</v>
      </c>
      <c r="C502" s="450" t="str">
        <f>QUANT!C1362</f>
        <v>CP-ELE-38</v>
      </c>
      <c r="D502" s="450" t="str">
        <f>QUANT!D1362</f>
        <v>PROPRIA</v>
      </c>
      <c r="E502" s="639" t="str">
        <f>IFERROR(VLOOKUP($C502,'SINAPI MAIO 2020'!$1:$1048576,2,0),IFERROR(VLOOKUP($C502,'6-COMP. PROPRIA'!$B$1:$I$808,4,0),""))</f>
        <v>Arruela quadrada</v>
      </c>
      <c r="F502" s="638" t="str">
        <f>IFERROR(VLOOKUP($C502,'SINAPI MAIO 2020'!$1:$1048576,3,0),IFERROR(VLOOKUP($C502,'6-COMP. PROPRIA'!$B$1:$I$808,5,0),""))</f>
        <v>UNI</v>
      </c>
      <c r="G502" s="452">
        <f>QUANT!K1362</f>
        <v>10</v>
      </c>
      <c r="H502" s="452">
        <f>IFERROR(VLOOKUP($C502,'SINAPI MAIO 2020'!$1:$1048576,4,0),IFERROR(VLOOKUP($C502,'6-COMP. PROPRIA'!$B$1:$I$808,8,0),""))</f>
        <v>3.41</v>
      </c>
      <c r="I502" s="452">
        <f>TRUNC(($H502*'4-BDI'!$E$29),2)</f>
        <v>4.37</v>
      </c>
      <c r="J502" s="453">
        <f t="shared" si="180"/>
        <v>34.1</v>
      </c>
      <c r="K502" s="454">
        <f t="shared" si="181"/>
        <v>43.7</v>
      </c>
      <c r="L502" s="187"/>
    </row>
    <row r="503" spans="2:12" s="203" customFormat="1" ht="15">
      <c r="B503" s="458" t="s">
        <v>12657</v>
      </c>
      <c r="C503" s="450" t="str">
        <f>QUANT!C1363</f>
        <v>CP-ELE-40</v>
      </c>
      <c r="D503" s="450" t="str">
        <f>QUANT!D1363</f>
        <v>PROPRIA</v>
      </c>
      <c r="E503" s="639" t="str">
        <f>IFERROR(VLOOKUP($C503,'SINAPI MAIO 2020'!$1:$1048576,2,0),IFERROR(VLOOKUP($C503,'6-COMP. PROPRIA'!$B$1:$I$808,4,0),""))</f>
        <v>Parafuso de cabeça quadrada de 125mm</v>
      </c>
      <c r="F503" s="638" t="str">
        <f>IFERROR(VLOOKUP($C503,'SINAPI MAIO 2020'!$1:$1048576,3,0),IFERROR(VLOOKUP($C503,'6-COMP. PROPRIA'!$B$1:$I$808,5,0),""))</f>
        <v>UNI</v>
      </c>
      <c r="G503" s="452">
        <f>QUANT!K1363</f>
        <v>1</v>
      </c>
      <c r="H503" s="452">
        <f>IFERROR(VLOOKUP($C503,'SINAPI MAIO 2020'!$1:$1048576,4,0),IFERROR(VLOOKUP($C503,'6-COMP. PROPRIA'!$B$1:$I$808,8,0),""))</f>
        <v>7.25</v>
      </c>
      <c r="I503" s="452">
        <f>TRUNC(($H503*'4-BDI'!$E$29),2)</f>
        <v>9.2899999999999991</v>
      </c>
      <c r="J503" s="453">
        <f t="shared" si="180"/>
        <v>7.25</v>
      </c>
      <c r="K503" s="454">
        <f t="shared" si="181"/>
        <v>9.2899999999999991</v>
      </c>
      <c r="L503" s="187"/>
    </row>
    <row r="504" spans="2:12" s="203" customFormat="1" ht="15">
      <c r="B504" s="458" t="s">
        <v>12658</v>
      </c>
      <c r="C504" s="450" t="str">
        <f>QUANT!C1364</f>
        <v>CP-ELE-41</v>
      </c>
      <c r="D504" s="450" t="str">
        <f>QUANT!D1364</f>
        <v>PROPRIA</v>
      </c>
      <c r="E504" s="639" t="str">
        <f>IFERROR(VLOOKUP($C504,'SINAPI MAIO 2020'!$1:$1048576,2,0),IFERROR(VLOOKUP($C504,'6-COMP. PROPRIA'!$B$1:$I$808,4,0),""))</f>
        <v>Parafuso de cabeça quadrada de 200mm</v>
      </c>
      <c r="F504" s="638" t="str">
        <f>IFERROR(VLOOKUP($C504,'SINAPI MAIO 2020'!$1:$1048576,3,0),IFERROR(VLOOKUP($C504,'6-COMP. PROPRIA'!$B$1:$I$808,5,0),""))</f>
        <v>UNI</v>
      </c>
      <c r="G504" s="452">
        <f>QUANT!K1364</f>
        <v>1</v>
      </c>
      <c r="H504" s="452">
        <f>IFERROR(VLOOKUP($C504,'SINAPI MAIO 2020'!$1:$1048576,4,0),IFERROR(VLOOKUP($C504,'6-COMP. PROPRIA'!$B$1:$I$808,8,0),""))</f>
        <v>8.56</v>
      </c>
      <c r="I504" s="452">
        <f>TRUNC(($H504*'4-BDI'!$E$29),2)</f>
        <v>10.97</v>
      </c>
      <c r="J504" s="453">
        <f t="shared" si="180"/>
        <v>8.56</v>
      </c>
      <c r="K504" s="454">
        <f t="shared" si="181"/>
        <v>10.97</v>
      </c>
      <c r="L504" s="187"/>
    </row>
    <row r="505" spans="2:12" s="203" customFormat="1" ht="15">
      <c r="B505" s="458" t="s">
        <v>12659</v>
      </c>
      <c r="C505" s="450" t="str">
        <f>QUANT!C1365</f>
        <v>CP-ELE-42</v>
      </c>
      <c r="D505" s="450" t="str">
        <f>QUANT!D1365</f>
        <v>PROPRIA</v>
      </c>
      <c r="E505" s="639" t="str">
        <f>IFERROR(VLOOKUP($C505,'SINAPI MAIO 2020'!$1:$1048576,2,0),IFERROR(VLOOKUP($C505,'6-COMP. PROPRIA'!$B$1:$I$808,4,0),""))</f>
        <v>Parafuso de cabeça quadrada de 250mm</v>
      </c>
      <c r="F505" s="638" t="str">
        <f>IFERROR(VLOOKUP($C505,'SINAPI MAIO 2020'!$1:$1048576,3,0),IFERROR(VLOOKUP($C505,'6-COMP. PROPRIA'!$B$1:$I$808,5,0),""))</f>
        <v>UNI</v>
      </c>
      <c r="G505" s="452">
        <f>QUANT!K1365</f>
        <v>2</v>
      </c>
      <c r="H505" s="452">
        <f>IFERROR(VLOOKUP($C505,'SINAPI MAIO 2020'!$1:$1048576,4,0),IFERROR(VLOOKUP($C505,'6-COMP. PROPRIA'!$B$1:$I$808,8,0),""))</f>
        <v>9.11</v>
      </c>
      <c r="I505" s="452">
        <f>TRUNC(($H505*'4-BDI'!$E$29),2)</f>
        <v>11.68</v>
      </c>
      <c r="J505" s="453">
        <f t="shared" si="180"/>
        <v>18.22</v>
      </c>
      <c r="K505" s="454">
        <f t="shared" si="181"/>
        <v>23.36</v>
      </c>
      <c r="L505" s="187"/>
    </row>
    <row r="506" spans="2:12" s="203" customFormat="1" ht="15">
      <c r="B506" s="458" t="s">
        <v>12660</v>
      </c>
      <c r="C506" s="450" t="str">
        <f>QUANT!C1366</f>
        <v>CP-ELE-46</v>
      </c>
      <c r="D506" s="450" t="str">
        <f>QUANT!D1366</f>
        <v>PROPRIA</v>
      </c>
      <c r="E506" s="639" t="str">
        <f>IFERROR(VLOOKUP($C506,'SINAPI MAIO 2020'!$1:$1048576,2,0),IFERROR(VLOOKUP($C506,'6-COMP. PROPRIA'!$B$1:$I$808,4,0),""))</f>
        <v xml:space="preserve">Isolador pilar 110KV </v>
      </c>
      <c r="F506" s="638" t="str">
        <f>IFERROR(VLOOKUP($C506,'SINAPI MAIO 2020'!$1:$1048576,3,0),IFERROR(VLOOKUP($C506,'6-COMP. PROPRIA'!$B$1:$I$808,5,0),""))</f>
        <v>UNI</v>
      </c>
      <c r="G506" s="452">
        <f>QUANT!K1366</f>
        <v>4</v>
      </c>
      <c r="H506" s="452">
        <f>IFERROR(VLOOKUP($C506,'SINAPI MAIO 2020'!$1:$1048576,4,0),IFERROR(VLOOKUP($C506,'6-COMP. PROPRIA'!$B$1:$I$808,8,0),""))</f>
        <v>70.73</v>
      </c>
      <c r="I506" s="452">
        <f>TRUNC(($H506*'4-BDI'!$E$29),2)</f>
        <v>90.7</v>
      </c>
      <c r="J506" s="453">
        <f t="shared" si="180"/>
        <v>282.92</v>
      </c>
      <c r="K506" s="454">
        <f t="shared" si="181"/>
        <v>362.8</v>
      </c>
      <c r="L506" s="187"/>
    </row>
    <row r="507" spans="2:12" s="203" customFormat="1" ht="15">
      <c r="B507" s="458" t="s">
        <v>12661</v>
      </c>
      <c r="C507" s="450" t="str">
        <f>QUANT!C1367</f>
        <v>CP-ELE-47</v>
      </c>
      <c r="D507" s="450" t="str">
        <f>QUANT!D1367</f>
        <v>PROPRIA</v>
      </c>
      <c r="E507" s="639" t="str">
        <f>IFERROR(VLOOKUP($C507,'SINAPI MAIO 2020'!$1:$1048576,2,0),IFERROR(VLOOKUP($C507,'6-COMP. PROPRIA'!$B$1:$I$808,4,0),""))</f>
        <v xml:space="preserve">Pino auto travante, 140mm para isolador pilar </v>
      </c>
      <c r="F507" s="638" t="str">
        <f>IFERROR(VLOOKUP($C507,'SINAPI MAIO 2020'!$1:$1048576,3,0),IFERROR(VLOOKUP($C507,'6-COMP. PROPRIA'!$B$1:$I$808,5,0),""))</f>
        <v>UNI</v>
      </c>
      <c r="G507" s="452">
        <f>QUANT!K1367</f>
        <v>4</v>
      </c>
      <c r="H507" s="452">
        <f>IFERROR(VLOOKUP($C507,'SINAPI MAIO 2020'!$1:$1048576,4,0),IFERROR(VLOOKUP($C507,'6-COMP. PROPRIA'!$B$1:$I$808,8,0),""))</f>
        <v>21.25</v>
      </c>
      <c r="I507" s="452">
        <f>TRUNC(($H507*'4-BDI'!$E$29),2)</f>
        <v>27.25</v>
      </c>
      <c r="J507" s="453">
        <f t="shared" si="180"/>
        <v>85</v>
      </c>
      <c r="K507" s="454">
        <f t="shared" si="181"/>
        <v>109</v>
      </c>
      <c r="L507" s="187"/>
    </row>
    <row r="508" spans="2:12" s="203" customFormat="1" ht="15">
      <c r="B508" s="458" t="s">
        <v>12662</v>
      </c>
      <c r="C508" s="450" t="str">
        <f>QUANT!C1368</f>
        <v>CP-ELE-66</v>
      </c>
      <c r="D508" s="450" t="str">
        <f>QUANT!D1368</f>
        <v>PROPRIA</v>
      </c>
      <c r="E508" s="639" t="str">
        <f>IFERROR(VLOOKUP($C508,'SINAPI MAIO 2020'!$1:$1048576,2,0),IFERROR(VLOOKUP($C508,'6-COMP. PROPRIA'!$B$1:$I$808,4,0),""))</f>
        <v xml:space="preserve">Grampo de linha viva </v>
      </c>
      <c r="F508" s="638" t="str">
        <f>IFERROR(VLOOKUP($C508,'SINAPI MAIO 2020'!$1:$1048576,3,0),IFERROR(VLOOKUP($C508,'6-COMP. PROPRIA'!$B$1:$I$808,5,0),""))</f>
        <v>UNI</v>
      </c>
      <c r="G508" s="452">
        <f>QUANT!K1368</f>
        <v>3</v>
      </c>
      <c r="H508" s="452">
        <f>IFERROR(VLOOKUP($C508,'SINAPI MAIO 2020'!$1:$1048576,4,0),IFERROR(VLOOKUP($C508,'6-COMP. PROPRIA'!$B$1:$I$808,8,0),""))</f>
        <v>45.36</v>
      </c>
      <c r="I508" s="452">
        <f>TRUNC(($H508*'4-BDI'!$E$29),2)</f>
        <v>58.16</v>
      </c>
      <c r="J508" s="453">
        <f t="shared" si="180"/>
        <v>136.08000000000001</v>
      </c>
      <c r="K508" s="454">
        <f t="shared" si="181"/>
        <v>174.48</v>
      </c>
      <c r="L508" s="187"/>
    </row>
    <row r="509" spans="2:12" s="203" customFormat="1" ht="15">
      <c r="B509" s="458" t="s">
        <v>12663</v>
      </c>
      <c r="C509" s="450" t="str">
        <f>QUANT!C1369</f>
        <v>CP-ELE-60</v>
      </c>
      <c r="D509" s="450" t="str">
        <f>QUANT!D1369</f>
        <v>PROPRIA</v>
      </c>
      <c r="E509" s="639" t="str">
        <f>IFERROR(VLOOKUP($C509,'SINAPI MAIO 2020'!$1:$1048576,2,0),IFERROR(VLOOKUP($C509,'6-COMP. PROPRIA'!$B$1:$I$808,4,0),""))</f>
        <v xml:space="preserve">Arame de aço galvanizado - 14 BWG </v>
      </c>
      <c r="F509" s="638" t="str">
        <f>IFERROR(VLOOKUP($C509,'SINAPI MAIO 2020'!$1:$1048576,3,0),IFERROR(VLOOKUP($C509,'6-COMP. PROPRIA'!$B$1:$I$808,5,0),""))</f>
        <v xml:space="preserve">M     </v>
      </c>
      <c r="G509" s="452">
        <f>QUANT!K1369</f>
        <v>3</v>
      </c>
      <c r="H509" s="452">
        <f>IFERROR(VLOOKUP($C509,'SINAPI MAIO 2020'!$1:$1048576,4,0),IFERROR(VLOOKUP($C509,'6-COMP. PROPRIA'!$B$1:$I$808,8,0),""))</f>
        <v>10.02</v>
      </c>
      <c r="I509" s="452">
        <f>TRUNC(($H509*'4-BDI'!$E$29),2)</f>
        <v>12.84</v>
      </c>
      <c r="J509" s="453">
        <f t="shared" si="180"/>
        <v>30.06</v>
      </c>
      <c r="K509" s="454">
        <f t="shared" si="181"/>
        <v>38.520000000000003</v>
      </c>
      <c r="L509" s="187"/>
    </row>
    <row r="510" spans="2:12" s="203" customFormat="1" ht="60">
      <c r="B510" s="458" t="s">
        <v>12664</v>
      </c>
      <c r="C510" s="450" t="str">
        <f>QUANT!C1370</f>
        <v>CP-ELE-67</v>
      </c>
      <c r="D510" s="450" t="str">
        <f>QUANT!D1370</f>
        <v>PROPRIA</v>
      </c>
      <c r="E510" s="639" t="str">
        <f>IFERROR(VLOOKUP($C510,'SINAPI MAIO 2020'!$1:$1048576,2,0),IFERROR(VLOOKUP($C510,'6-COMP. PROPRIA'!$B$1:$I$808,4,0),""))</f>
        <v>CHAVE FUSIVEL PARA REDES DE DISTRIBUICAO, TENSAO DE 15,0 KV, CORRENTE NOMINAL DO PORTA FUSIVEL DE 100 A, CAPACIDADE DE INTERRUPCAO SIMETRICA DE 7,10 KA, CAPACIDADE DE INTERRUPCAO ASSIMETRICA 10,00 KA. COM ELO FUSÍVEL DE 5H</v>
      </c>
      <c r="F510" s="638" t="str">
        <f>IFERROR(VLOOKUP($C510,'SINAPI MAIO 2020'!$1:$1048576,3,0),IFERROR(VLOOKUP($C510,'6-COMP. PROPRIA'!$B$1:$I$808,5,0),""))</f>
        <v>PÇ</v>
      </c>
      <c r="G510" s="452">
        <f>QUANT!K1370</f>
        <v>3</v>
      </c>
      <c r="H510" s="452">
        <f>IFERROR(VLOOKUP($C510,'SINAPI MAIO 2020'!$1:$1048576,4,0),IFERROR(VLOOKUP($C510,'6-COMP. PROPRIA'!$B$1:$I$808,8,0),""))</f>
        <v>332.26</v>
      </c>
      <c r="I510" s="452">
        <f>TRUNC(($H510*'4-BDI'!$E$29),2)</f>
        <v>426.09</v>
      </c>
      <c r="J510" s="453">
        <f t="shared" si="180"/>
        <v>996.78</v>
      </c>
      <c r="K510" s="454">
        <f t="shared" si="181"/>
        <v>1278.27</v>
      </c>
      <c r="L510" s="187"/>
    </row>
    <row r="511" spans="2:12" s="203" customFormat="1" ht="15">
      <c r="B511" s="458" t="s">
        <v>12665</v>
      </c>
      <c r="C511" s="450" t="str">
        <f>QUANT!C1371</f>
        <v>CP-ELE-68</v>
      </c>
      <c r="D511" s="450" t="str">
        <f>QUANT!D1371</f>
        <v>PROPRIA</v>
      </c>
      <c r="E511" s="639" t="str">
        <f>IFERROR(VLOOKUP($C511,'SINAPI MAIO 2020'!$1:$1048576,2,0),IFERROR(VLOOKUP($C511,'6-COMP. PROPRIA'!$B$1:$I$808,4,0),""))</f>
        <v>PARAFUSO DE ROSCA TOTAL</v>
      </c>
      <c r="F511" s="638" t="str">
        <f>IFERROR(VLOOKUP($C511,'SINAPI MAIO 2020'!$1:$1048576,3,0),IFERROR(VLOOKUP($C511,'6-COMP. PROPRIA'!$B$1:$I$808,5,0),""))</f>
        <v xml:space="preserve">M     </v>
      </c>
      <c r="G511" s="452">
        <f>QUANT!K1371</f>
        <v>3</v>
      </c>
      <c r="H511" s="452">
        <f>IFERROR(VLOOKUP($C511,'SINAPI MAIO 2020'!$1:$1048576,4,0),IFERROR(VLOOKUP($C511,'6-COMP. PROPRIA'!$B$1:$I$808,8,0),""))</f>
        <v>14.76</v>
      </c>
      <c r="I511" s="452">
        <f>TRUNC(($H511*'4-BDI'!$E$29),2)</f>
        <v>18.920000000000002</v>
      </c>
      <c r="J511" s="453">
        <f t="shared" si="180"/>
        <v>44.28</v>
      </c>
      <c r="K511" s="454">
        <f t="shared" si="181"/>
        <v>56.76</v>
      </c>
      <c r="L511" s="187"/>
    </row>
    <row r="512" spans="2:12" s="203" customFormat="1" ht="15">
      <c r="B512" s="458" t="s">
        <v>12666</v>
      </c>
      <c r="C512" s="450" t="str">
        <f>QUANT!C1372</f>
        <v>CP-ELE-69</v>
      </c>
      <c r="D512" s="450" t="str">
        <f>QUANT!D1372</f>
        <v>PROPRIA</v>
      </c>
      <c r="E512" s="639" t="str">
        <f>IFERROR(VLOOKUP($C512,'SINAPI MAIO 2020'!$1:$1048576,2,0),IFERROR(VLOOKUP($C512,'6-COMP. PROPRIA'!$B$1:$I$808,4,0),""))</f>
        <v>Suporte DE FIXAÇÃO DE CHAVE FUSIVEL TIPO  L</v>
      </c>
      <c r="F512" s="638" t="str">
        <f>IFERROR(VLOOKUP($C512,'SINAPI MAIO 2020'!$1:$1048576,3,0),IFERROR(VLOOKUP($C512,'6-COMP. PROPRIA'!$B$1:$I$808,5,0),""))</f>
        <v>PÇ</v>
      </c>
      <c r="G512" s="452">
        <f>QUANT!K1372</f>
        <v>3</v>
      </c>
      <c r="H512" s="452">
        <f>IFERROR(VLOOKUP($C512,'SINAPI MAIO 2020'!$1:$1048576,4,0),IFERROR(VLOOKUP($C512,'6-COMP. PROPRIA'!$B$1:$I$808,8,0),""))</f>
        <v>41.01</v>
      </c>
      <c r="I512" s="452">
        <f>TRUNC(($H512*'4-BDI'!$E$29),2)</f>
        <v>52.59</v>
      </c>
      <c r="J512" s="453">
        <f t="shared" si="180"/>
        <v>123.03</v>
      </c>
      <c r="K512" s="454">
        <f t="shared" si="181"/>
        <v>157.77000000000001</v>
      </c>
      <c r="L512" s="187"/>
    </row>
    <row r="513" spans="2:12" s="203" customFormat="1" ht="15">
      <c r="B513" s="458" t="s">
        <v>12667</v>
      </c>
      <c r="C513" s="450" t="str">
        <f>QUANT!C1373</f>
        <v>CP-ELE-55</v>
      </c>
      <c r="D513" s="450" t="str">
        <f>QUANT!D1373</f>
        <v>PROPRIA</v>
      </c>
      <c r="E513" s="639" t="str">
        <f>IFERROR(VLOOKUP($C513,'SINAPI MAIO 2020'!$1:$1048576,2,0),IFERROR(VLOOKUP($C513,'6-COMP. PROPRIA'!$B$1:$I$808,4,0),""))</f>
        <v>Grampo de ancoragem p/ cabo coberto 15KV de 50mm²</v>
      </c>
      <c r="F513" s="638" t="str">
        <f>IFERROR(VLOOKUP($C513,'SINAPI MAIO 2020'!$1:$1048576,3,0),IFERROR(VLOOKUP($C513,'6-COMP. PROPRIA'!$B$1:$I$808,5,0),""))</f>
        <v>PÇ</v>
      </c>
      <c r="G513" s="452">
        <f>QUANT!K1373</f>
        <v>3</v>
      </c>
      <c r="H513" s="452">
        <f>IFERROR(VLOOKUP($C513,'SINAPI MAIO 2020'!$1:$1048576,4,0),IFERROR(VLOOKUP($C513,'6-COMP. PROPRIA'!$B$1:$I$808,8,0),""))</f>
        <v>47.84</v>
      </c>
      <c r="I513" s="452">
        <f>TRUNC(($H513*'4-BDI'!$E$29),2)</f>
        <v>61.35</v>
      </c>
      <c r="J513" s="453">
        <f t="shared" si="180"/>
        <v>143.52000000000001</v>
      </c>
      <c r="K513" s="454">
        <f t="shared" si="181"/>
        <v>184.05</v>
      </c>
      <c r="L513" s="187"/>
    </row>
    <row r="514" spans="2:12" s="203" customFormat="1" ht="15">
      <c r="B514" s="458" t="s">
        <v>12668</v>
      </c>
      <c r="C514" s="450" t="str">
        <f>QUANT!C1374</f>
        <v>CP-ELE-70</v>
      </c>
      <c r="D514" s="450" t="str">
        <f>QUANT!D1374</f>
        <v>PROPRIA</v>
      </c>
      <c r="E514" s="639" t="str">
        <f>IFERROR(VLOOKUP($C514,'SINAPI MAIO 2020'!$1:$1048576,2,0),IFERROR(VLOOKUP($C514,'6-COMP. PROPRIA'!$B$1:$I$808,4,0),""))</f>
        <v>Conector derivação cunha tipo estribo normal - 50mm² x 2AWG</v>
      </c>
      <c r="F514" s="638" t="str">
        <f>IFERROR(VLOOKUP($C514,'SINAPI MAIO 2020'!$1:$1048576,3,0),IFERROR(VLOOKUP($C514,'6-COMP. PROPRIA'!$B$1:$I$808,5,0),""))</f>
        <v>PÇ</v>
      </c>
      <c r="G514" s="452">
        <f>QUANT!K1374</f>
        <v>3</v>
      </c>
      <c r="H514" s="452">
        <f>IFERROR(VLOOKUP($C514,'SINAPI MAIO 2020'!$1:$1048576,4,0),IFERROR(VLOOKUP($C514,'6-COMP. PROPRIA'!$B$1:$I$808,8,0),""))</f>
        <v>38.270000000000003</v>
      </c>
      <c r="I514" s="452">
        <f>TRUNC(($H514*'4-BDI'!$E$29),2)</f>
        <v>49.07</v>
      </c>
      <c r="J514" s="453">
        <f t="shared" si="180"/>
        <v>114.81</v>
      </c>
      <c r="K514" s="454">
        <f t="shared" si="181"/>
        <v>147.21</v>
      </c>
      <c r="L514" s="187"/>
    </row>
    <row r="515" spans="2:12" s="203" customFormat="1" ht="15">
      <c r="B515" s="458" t="s">
        <v>12669</v>
      </c>
      <c r="C515" s="450" t="str">
        <f>QUANT!C1375</f>
        <v>CP-ELE-71</v>
      </c>
      <c r="D515" s="450" t="str">
        <f>QUANT!D1375</f>
        <v>PROPRIA</v>
      </c>
      <c r="E515" s="639" t="str">
        <f>IFERROR(VLOOKUP($C515,'SINAPI MAIO 2020'!$1:$1048576,2,0),IFERROR(VLOOKUP($C515,'6-COMP. PROPRIA'!$B$1:$I$808,4,0),""))</f>
        <v>LAÇO PRÉ-FORMADO DE TOPO PARA DISTRIBUIÇÃO</v>
      </c>
      <c r="F515" s="638" t="str">
        <f>IFERROR(VLOOKUP($C515,'SINAPI MAIO 2020'!$1:$1048576,3,0),IFERROR(VLOOKUP($C515,'6-COMP. PROPRIA'!$B$1:$I$808,5,0),""))</f>
        <v>PÇ</v>
      </c>
      <c r="G515" s="452">
        <f>QUANT!K1375</f>
        <v>3</v>
      </c>
      <c r="H515" s="452">
        <f>IFERROR(VLOOKUP($C515,'SINAPI MAIO 2020'!$1:$1048576,4,0),IFERROR(VLOOKUP($C515,'6-COMP. PROPRIA'!$B$1:$I$808,8,0),""))</f>
        <v>24.37</v>
      </c>
      <c r="I515" s="452">
        <f>TRUNC(($H515*'4-BDI'!$E$29),2)</f>
        <v>31.25</v>
      </c>
      <c r="J515" s="453">
        <f t="shared" si="180"/>
        <v>73.11</v>
      </c>
      <c r="K515" s="454">
        <f t="shared" si="181"/>
        <v>93.75</v>
      </c>
      <c r="L515" s="187"/>
    </row>
    <row r="516" spans="2:12" s="203" customFormat="1" ht="15.75">
      <c r="B516" s="746" t="s">
        <v>12564</v>
      </c>
      <c r="C516" s="747"/>
      <c r="D516" s="747"/>
      <c r="E516" s="747"/>
      <c r="F516" s="747"/>
      <c r="G516" s="747"/>
      <c r="H516" s="747"/>
      <c r="I516" s="456"/>
      <c r="J516" s="457">
        <f>TRUNC(SUM(J491:J515),2)</f>
        <v>5087.1499999999996</v>
      </c>
      <c r="K516" s="457">
        <f>TRUNC(SUM(K491:K515),2)</f>
        <v>6523.48</v>
      </c>
      <c r="L516" s="187"/>
    </row>
    <row r="517" spans="2:12" s="203" customFormat="1" ht="15.75">
      <c r="B517" s="482" t="s">
        <v>6520</v>
      </c>
      <c r="C517" s="483"/>
      <c r="D517" s="484"/>
      <c r="E517" s="485" t="str">
        <f>QUANT!E1377</f>
        <v>SI-1</v>
      </c>
      <c r="F517" s="486"/>
      <c r="G517" s="487"/>
      <c r="H517" s="488"/>
      <c r="I517" s="488"/>
      <c r="J517" s="489"/>
      <c r="K517" s="457"/>
      <c r="L517" s="187"/>
    </row>
    <row r="518" spans="2:12" s="203" customFormat="1" ht="15">
      <c r="B518" s="458" t="s">
        <v>12670</v>
      </c>
      <c r="C518" s="450" t="str">
        <f>QUANT!C1379</f>
        <v>CP-ELE-38</v>
      </c>
      <c r="D518" s="450" t="str">
        <f>QUANT!D1379</f>
        <v>PROPRIA</v>
      </c>
      <c r="E518" s="639" t="str">
        <f>IFERROR(VLOOKUP($C518,'SINAPI MAIO 2020'!$1:$1048576,2,0),IFERROR(VLOOKUP($C518,'6-COMP. PROPRIA'!$B$1:$I$808,4,0),""))</f>
        <v>Arruela quadrada</v>
      </c>
      <c r="F518" s="638" t="str">
        <f>IFERROR(VLOOKUP($C518,'SINAPI MAIO 2020'!$1:$1048576,3,0),IFERROR(VLOOKUP($C518,'6-COMP. PROPRIA'!$B$1:$I$808,5,0),""))</f>
        <v>UNI</v>
      </c>
      <c r="G518" s="452">
        <f>QUANT!K1379</f>
        <v>1</v>
      </c>
      <c r="H518" s="452">
        <f>IFERROR(VLOOKUP($C518,'SINAPI MAIO 2020'!$1:$1048576,4,0),IFERROR(VLOOKUP($C518,'6-COMP. PROPRIA'!$B$1:$I$808,8,0),""))</f>
        <v>3.41</v>
      </c>
      <c r="I518" s="452">
        <f>TRUNC(($H518*'4-BDI'!$E$29),2)</f>
        <v>4.37</v>
      </c>
      <c r="J518" s="453">
        <f t="shared" ref="J518" si="182">TRUNC((G518*H518),2)</f>
        <v>3.41</v>
      </c>
      <c r="K518" s="454">
        <f t="shared" ref="K518" si="183">TRUNC((I518*G518),2)</f>
        <v>4.37</v>
      </c>
      <c r="L518" s="187"/>
    </row>
    <row r="519" spans="2:12" s="203" customFormat="1" ht="15">
      <c r="B519" s="458" t="s">
        <v>12671</v>
      </c>
      <c r="C519" s="450" t="str">
        <f>QUANT!C1380</f>
        <v>CP-ELE-41</v>
      </c>
      <c r="D519" s="450" t="str">
        <f>QUANT!D1380</f>
        <v>PROPRIA</v>
      </c>
      <c r="E519" s="639" t="str">
        <f>IFERROR(VLOOKUP($C519,'SINAPI MAIO 2020'!$1:$1048576,2,0),IFERROR(VLOOKUP($C519,'6-COMP. PROPRIA'!$B$1:$I$808,4,0),""))</f>
        <v>Parafuso de cabeça quadrada de 200mm</v>
      </c>
      <c r="F519" s="638" t="str">
        <f>IFERROR(VLOOKUP($C519,'SINAPI MAIO 2020'!$1:$1048576,3,0),IFERROR(VLOOKUP($C519,'6-COMP. PROPRIA'!$B$1:$I$808,5,0),""))</f>
        <v>UNI</v>
      </c>
      <c r="G519" s="452">
        <f>QUANT!K1380</f>
        <v>2</v>
      </c>
      <c r="H519" s="452">
        <f>IFERROR(VLOOKUP($C519,'SINAPI MAIO 2020'!$1:$1048576,4,0),IFERROR(VLOOKUP($C519,'6-COMP. PROPRIA'!$B$1:$I$808,8,0),""))</f>
        <v>8.56</v>
      </c>
      <c r="I519" s="452">
        <f>TRUNC(($H519*'4-BDI'!$E$29),2)</f>
        <v>10.97</v>
      </c>
      <c r="J519" s="453">
        <f t="shared" ref="J519:J522" si="184">TRUNC((G519*H519),2)</f>
        <v>17.12</v>
      </c>
      <c r="K519" s="454">
        <f t="shared" ref="K519:K522" si="185">TRUNC((I519*G519),2)</f>
        <v>21.94</v>
      </c>
      <c r="L519" s="187"/>
    </row>
    <row r="520" spans="2:12" s="203" customFormat="1" ht="30">
      <c r="B520" s="458" t="s">
        <v>12673</v>
      </c>
      <c r="C520" s="450">
        <f>QUANT!C1381</f>
        <v>88544</v>
      </c>
      <c r="D520" s="450" t="str">
        <f>QUANT!D1381</f>
        <v>SINAPI</v>
      </c>
      <c r="E520" s="639" t="str">
        <f>IFERROR(VLOOKUP($C520,'SINAPI MAIO 2020'!$1:$1048576,2,0),IFERROR(VLOOKUP($C520,'6-COMP. PROPRIA'!$B$1:$I$808,4,0),""))</f>
        <v>ARMACAO SECUNDARIA OU REX COMPLETA PARA DUAS LINHAS-FORNECIMENTO E INSTALACAO.</v>
      </c>
      <c r="F520" s="638" t="str">
        <f>IFERROR(VLOOKUP($C520,'SINAPI MAIO 2020'!$1:$1048576,3,0),IFERROR(VLOOKUP($C520,'6-COMP. PROPRIA'!$B$1:$I$808,5,0),""))</f>
        <v>UN</v>
      </c>
      <c r="G520" s="452">
        <f>QUANT!K1381</f>
        <v>2</v>
      </c>
      <c r="H520" s="452">
        <f>IFERROR(VLOOKUP($C520,'SINAPI MAIO 2020'!$1:$1048576,4,0),IFERROR(VLOOKUP($C520,'6-COMP. PROPRIA'!$B$1:$I$808,8,0),""))</f>
        <v>86.64</v>
      </c>
      <c r="I520" s="452">
        <f>TRUNC(($H520*'4-BDI'!$E$29),2)</f>
        <v>111.1</v>
      </c>
      <c r="J520" s="453">
        <f t="shared" si="184"/>
        <v>173.28</v>
      </c>
      <c r="K520" s="454">
        <f t="shared" si="185"/>
        <v>222.2</v>
      </c>
      <c r="L520" s="187"/>
    </row>
    <row r="521" spans="2:12" s="203" customFormat="1" ht="15">
      <c r="B521" s="458" t="s">
        <v>12672</v>
      </c>
      <c r="C521" s="450" t="str">
        <f>QUANT!C1382</f>
        <v>CP-ELE-72</v>
      </c>
      <c r="D521" s="450" t="str">
        <f>QUANT!D1382</f>
        <v>PROPRIA</v>
      </c>
      <c r="E521" s="639" t="str">
        <f>IFERROR(VLOOKUP($C521,'SINAPI MAIO 2020'!$1:$1048576,2,0),IFERROR(VLOOKUP($C521,'6-COMP. PROPRIA'!$B$1:$I$808,4,0),""))</f>
        <v>Abraçadeira Plástica Serrilhada 390mm</v>
      </c>
      <c r="F521" s="638" t="str">
        <f>IFERROR(VLOOKUP($C521,'SINAPI MAIO 2020'!$1:$1048576,3,0),IFERROR(VLOOKUP($C521,'6-COMP. PROPRIA'!$B$1:$I$808,5,0),""))</f>
        <v>PÇ</v>
      </c>
      <c r="G521" s="452">
        <f>QUANT!K1382</f>
        <v>1</v>
      </c>
      <c r="H521" s="452">
        <f>IFERROR(VLOOKUP($C521,'SINAPI MAIO 2020'!$1:$1048576,4,0),IFERROR(VLOOKUP($C521,'6-COMP. PROPRIA'!$B$1:$I$808,8,0),""))</f>
        <v>20.6</v>
      </c>
      <c r="I521" s="452">
        <f>TRUNC(($H521*'4-BDI'!$E$29),2)</f>
        <v>26.41</v>
      </c>
      <c r="J521" s="453">
        <f t="shared" si="184"/>
        <v>20.6</v>
      </c>
      <c r="K521" s="454">
        <f t="shared" si="185"/>
        <v>26.41</v>
      </c>
      <c r="L521" s="187"/>
    </row>
    <row r="522" spans="2:12" s="203" customFormat="1" ht="30">
      <c r="B522" s="458" t="s">
        <v>12674</v>
      </c>
      <c r="C522" s="450" t="str">
        <f>QUANT!C1383</f>
        <v>CP-ELE-73</v>
      </c>
      <c r="D522" s="450" t="str">
        <f>QUANT!D1383</f>
        <v>PROPRIA</v>
      </c>
      <c r="E522" s="639" t="str">
        <f>IFERROR(VLOOKUP($C522,'SINAPI MAIO 2020'!$1:$1048576,2,0),IFERROR(VLOOKUP($C522,'6-COMP. PROPRIA'!$B$1:$I$808,4,0),""))</f>
        <v>ISOLADOR DE PORCELANA, TIPO ROLDANA, DIMENSOES DE *72* X *72* MM, PARA USO EM BAIXA TENSAO</v>
      </c>
      <c r="F522" s="638" t="str">
        <f>IFERROR(VLOOKUP($C522,'SINAPI MAIO 2020'!$1:$1048576,3,0),IFERROR(VLOOKUP($C522,'6-COMP. PROPRIA'!$B$1:$I$808,5,0),""))</f>
        <v>PÇ</v>
      </c>
      <c r="G522" s="452">
        <f>QUANT!K1383</f>
        <v>2</v>
      </c>
      <c r="H522" s="452">
        <f>IFERROR(VLOOKUP($C522,'SINAPI MAIO 2020'!$1:$1048576,4,0),IFERROR(VLOOKUP($C522,'6-COMP. PROPRIA'!$B$1:$I$808,8,0),""))</f>
        <v>23.54</v>
      </c>
      <c r="I522" s="452">
        <f>TRUNC(($H522*'4-BDI'!$E$29),2)</f>
        <v>30.18</v>
      </c>
      <c r="J522" s="453">
        <f t="shared" si="184"/>
        <v>47.08</v>
      </c>
      <c r="K522" s="454">
        <f t="shared" si="185"/>
        <v>60.36</v>
      </c>
      <c r="L522" s="187"/>
    </row>
    <row r="523" spans="2:12" s="203" customFormat="1" ht="15.75">
      <c r="B523" s="746" t="s">
        <v>12564</v>
      </c>
      <c r="C523" s="747"/>
      <c r="D523" s="747"/>
      <c r="E523" s="747"/>
      <c r="F523" s="747"/>
      <c r="G523" s="747"/>
      <c r="H523" s="747"/>
      <c r="I523" s="456"/>
      <c r="J523" s="457">
        <f>TRUNC(SUM(J518:J522),2)</f>
        <v>261.49</v>
      </c>
      <c r="K523" s="457">
        <f>TRUNC(SUM(K518:K522),2)</f>
        <v>335.28</v>
      </c>
      <c r="L523" s="187"/>
    </row>
    <row r="524" spans="2:12" s="203" customFormat="1" ht="15.75">
      <c r="B524" s="746" t="s">
        <v>4710</v>
      </c>
      <c r="C524" s="747"/>
      <c r="D524" s="747"/>
      <c r="E524" s="747"/>
      <c r="F524" s="747"/>
      <c r="G524" s="747"/>
      <c r="H524" s="747"/>
      <c r="I524" s="456"/>
      <c r="J524" s="457">
        <f>TRUNC(SUM(J523+J516+J489+J481+J475+J437+J416),2)</f>
        <v>58833.27</v>
      </c>
      <c r="K524" s="457">
        <f>TRUNC(SUM(K523+K516+K489+K481+K475+K437+K416),2)</f>
        <v>77195.37</v>
      </c>
      <c r="L524" s="187"/>
    </row>
    <row r="525" spans="2:12" ht="19.5" customHeight="1">
      <c r="B525" s="440" t="s">
        <v>6550</v>
      </c>
      <c r="C525" s="441"/>
      <c r="D525" s="442"/>
      <c r="E525" s="443" t="str">
        <f>QUANT!E1385</f>
        <v>DRENAGEM</v>
      </c>
      <c r="F525" s="444"/>
      <c r="G525" s="445"/>
      <c r="H525" s="446"/>
      <c r="I525" s="446"/>
      <c r="J525" s="447"/>
      <c r="K525" s="448"/>
      <c r="L525" s="187"/>
    </row>
    <row r="526" spans="2:12" s="203" customFormat="1" ht="45">
      <c r="B526" s="458" t="s">
        <v>6551</v>
      </c>
      <c r="C526" s="450">
        <f>QUANT!C1387</f>
        <v>94228</v>
      </c>
      <c r="D526" s="450" t="str">
        <f>QUANT!D1387</f>
        <v>SINAPI</v>
      </c>
      <c r="E526" s="639" t="str">
        <f>IFERROR(VLOOKUP($C526,'SINAPI MAIO 2020'!$1:$1048576,2,0),IFERROR(VLOOKUP($C526,'6-COMP. PROPRIA'!$B$1:$I$808,4,0),""))</f>
        <v>CALHA EM CHAPA DE AÇO GALVANIZADO NÚMERO 24, DESENVOLVIMENTO DE 50 CM, INCLUSO TRANSPORTE VERTICAL. AF_07/2019</v>
      </c>
      <c r="F526" s="638" t="str">
        <f>IFERROR(VLOOKUP($C526,'SINAPI MAIO 2020'!$1:$1048576,3,0),IFERROR(VLOOKUP($C526,'6-COMP. PROPRIA'!$B$1:$I$808,5,0),""))</f>
        <v>M</v>
      </c>
      <c r="G526" s="452">
        <f>QUANT!K1387</f>
        <v>106.48</v>
      </c>
      <c r="H526" s="452">
        <f>IFERROR(VLOOKUP($C526,'SINAPI MAIO 2020'!$1:$1048576,4,0),IFERROR(VLOOKUP($C526,'6-COMP. PROPRIA'!$B$1:$I$808,8,0),""))</f>
        <v>59.9</v>
      </c>
      <c r="I526" s="452">
        <f>TRUNC(($H526*'4-BDI'!$E$29),2)</f>
        <v>76.81</v>
      </c>
      <c r="J526" s="453">
        <f t="shared" ref="J526" si="186">TRUNC((G526*H526),2)</f>
        <v>6378.15</v>
      </c>
      <c r="K526" s="454">
        <f t="shared" ref="K526" si="187">TRUNC((I526*G526),2)</f>
        <v>8178.72</v>
      </c>
      <c r="L526" s="187"/>
    </row>
    <row r="527" spans="2:12" s="203" customFormat="1" ht="30">
      <c r="B527" s="458" t="s">
        <v>6552</v>
      </c>
      <c r="C527" s="450">
        <f>QUANT!C1395</f>
        <v>93358</v>
      </c>
      <c r="D527" s="450" t="str">
        <f>QUANT!D1395</f>
        <v>SINAPI</v>
      </c>
      <c r="E527" s="639" t="str">
        <f>IFERROR(VLOOKUP($C527,'SINAPI MAIO 2020'!$1:$1048576,2,0),IFERROR(VLOOKUP($C527,'6-COMP. PROPRIA'!$B$1:$I$808,4,0),""))</f>
        <v>ESCAVAÇÃO MANUAL DE VALA COM PROFUNDIDADE MENOR OU IGUAL A 1,30 M. AF_03/2016</v>
      </c>
      <c r="F527" s="638" t="str">
        <f>IFERROR(VLOOKUP($C527,'SINAPI MAIO 2020'!$1:$1048576,3,0),IFERROR(VLOOKUP($C527,'6-COMP. PROPRIA'!$B$1:$I$808,5,0),""))</f>
        <v>M3</v>
      </c>
      <c r="G527" s="452">
        <f>QUANT!K1395</f>
        <v>6.3140000000000018</v>
      </c>
      <c r="H527" s="452">
        <f>IFERROR(VLOOKUP($C527,'SINAPI MAIO 2020'!$1:$1048576,4,0),IFERROR(VLOOKUP($C527,'6-COMP. PROPRIA'!$B$1:$I$808,8,0),""))</f>
        <v>56.84</v>
      </c>
      <c r="I527" s="452">
        <f>TRUNC(($H527*'4-BDI'!$E$29),2)</f>
        <v>72.89</v>
      </c>
      <c r="J527" s="453">
        <f t="shared" ref="J527:J534" si="188">TRUNC((G527*H527),2)</f>
        <v>358.88</v>
      </c>
      <c r="K527" s="454">
        <f t="shared" ref="K527:K534" si="189">TRUNC((I527*G527),2)</f>
        <v>460.22</v>
      </c>
      <c r="L527" s="187"/>
    </row>
    <row r="528" spans="2:12" s="203" customFormat="1" ht="45">
      <c r="B528" s="458" t="s">
        <v>6553</v>
      </c>
      <c r="C528" s="450">
        <f>QUANT!C1403</f>
        <v>94106</v>
      </c>
      <c r="D528" s="450" t="str">
        <f>QUANT!D1403</f>
        <v>SINAPI</v>
      </c>
      <c r="E528" s="639" t="str">
        <f>IFERROR(VLOOKUP($C528,'SINAPI MAIO 2020'!$1:$1048576,2,0),IFERROR(VLOOKUP($C528,'6-COMP. PROPRIA'!$B$1:$I$808,4,0),""))</f>
        <v>LASTRO COM PREPARO DE FUNDO, LARGURA MAIOR OU IGUAL A 1,5 M, COM CAMADA DE AREIA, LANÇAMENTO MANUAL, EM LOCAL COM NÍVEL BAIXO DE INTERFERÊNCIA. AF_06/2016</v>
      </c>
      <c r="F528" s="638" t="str">
        <f>IFERROR(VLOOKUP($C528,'SINAPI MAIO 2020'!$1:$1048576,3,0),IFERROR(VLOOKUP($C528,'6-COMP. PROPRIA'!$B$1:$I$808,5,0),""))</f>
        <v>M3</v>
      </c>
      <c r="G528" s="452">
        <f>QUANT!K1403</f>
        <v>0.37884000000000007</v>
      </c>
      <c r="H528" s="452">
        <f>IFERROR(VLOOKUP($C528,'SINAPI MAIO 2020'!$1:$1048576,4,0),IFERROR(VLOOKUP($C528,'6-COMP. PROPRIA'!$B$1:$I$808,8,0),""))</f>
        <v>135.47999999999999</v>
      </c>
      <c r="I528" s="452">
        <f>TRUNC(($H528*'4-BDI'!$E$29),2)</f>
        <v>173.73</v>
      </c>
      <c r="J528" s="453">
        <f t="shared" si="188"/>
        <v>51.32</v>
      </c>
      <c r="K528" s="454">
        <f t="shared" si="189"/>
        <v>65.81</v>
      </c>
      <c r="L528" s="187"/>
    </row>
    <row r="529" spans="2:12" s="203" customFormat="1" ht="45">
      <c r="B529" s="458" t="s">
        <v>6554</v>
      </c>
      <c r="C529" s="450">
        <f>QUANT!C1411</f>
        <v>96536</v>
      </c>
      <c r="D529" s="450" t="str">
        <f>QUANT!D1411</f>
        <v>SINAPI</v>
      </c>
      <c r="E529" s="639" t="str">
        <f>IFERROR(VLOOKUP($C529,'SINAPI MAIO 2020'!$1:$1048576,2,0),IFERROR(VLOOKUP($C529,'6-COMP. PROPRIA'!$B$1:$I$808,4,0),""))</f>
        <v>FABRICAÇÃO, MONTAGEM E DESMONTAGEM DE FÔRMA PARA VIGA BALDRAME, EM MADEIRA SERRADA, E=25 MM, 4 UTILIZAÇÕES. AF_06/2017</v>
      </c>
      <c r="F529" s="638" t="str">
        <f>IFERROR(VLOOKUP($C529,'SINAPI MAIO 2020'!$1:$1048576,3,0),IFERROR(VLOOKUP($C529,'6-COMP. PROPRIA'!$B$1:$I$808,5,0),""))</f>
        <v>M2</v>
      </c>
      <c r="G529" s="452">
        <f>QUANT!K1411</f>
        <v>6.39</v>
      </c>
      <c r="H529" s="452">
        <f>IFERROR(VLOOKUP($C529,'SINAPI MAIO 2020'!$1:$1048576,4,0),IFERROR(VLOOKUP($C529,'6-COMP. PROPRIA'!$B$1:$I$808,8,0),""))</f>
        <v>41.79</v>
      </c>
      <c r="I529" s="452">
        <f>TRUNC(($H529*'4-BDI'!$E$29),2)</f>
        <v>53.59</v>
      </c>
      <c r="J529" s="453">
        <f t="shared" si="188"/>
        <v>267.02999999999997</v>
      </c>
      <c r="K529" s="454">
        <f t="shared" si="189"/>
        <v>342.44</v>
      </c>
      <c r="L529" s="187"/>
    </row>
    <row r="530" spans="2:12" s="203" customFormat="1" ht="30">
      <c r="B530" s="458" t="s">
        <v>6555</v>
      </c>
      <c r="C530" s="450">
        <f>QUANT!C1419</f>
        <v>94975</v>
      </c>
      <c r="D530" s="450" t="str">
        <f>QUANT!D1419</f>
        <v>SINAPI</v>
      </c>
      <c r="E530" s="639" t="str">
        <f>IFERROR(VLOOKUP($C530,'SINAPI MAIO 2020'!$1:$1048576,2,0),IFERROR(VLOOKUP($C530,'6-COMP. PROPRIA'!$B$1:$I$808,4,0),""))</f>
        <v>CONCRETO FCK = 15MPA, TRAÇO 1:3,4:3,5 (CIMENTO/ AREIA MÉDIA/ BRITA 1)  - PREPARO MANUAL. AF_07/2016</v>
      </c>
      <c r="F530" s="638" t="str">
        <f>IFERROR(VLOOKUP($C530,'SINAPI MAIO 2020'!$1:$1048576,3,0),IFERROR(VLOOKUP($C530,'6-COMP. PROPRIA'!$B$1:$I$808,5,0),""))</f>
        <v>M3</v>
      </c>
      <c r="G530" s="452">
        <f>QUANT!K1419</f>
        <v>0.25829999999999997</v>
      </c>
      <c r="H530" s="452">
        <f>IFERROR(VLOOKUP($C530,'SINAPI MAIO 2020'!$1:$1048576,4,0),IFERROR(VLOOKUP($C530,'6-COMP. PROPRIA'!$B$1:$I$808,8,0),""))</f>
        <v>378.3</v>
      </c>
      <c r="I530" s="452">
        <f>TRUNC(($H530*'4-BDI'!$E$29),2)</f>
        <v>485.13</v>
      </c>
      <c r="J530" s="453">
        <f t="shared" si="188"/>
        <v>97.71</v>
      </c>
      <c r="K530" s="454">
        <f t="shared" si="189"/>
        <v>125.3</v>
      </c>
      <c r="L530" s="187"/>
    </row>
    <row r="531" spans="2:12" s="203" customFormat="1" ht="30">
      <c r="B531" s="458" t="s">
        <v>6579</v>
      </c>
      <c r="C531" s="450">
        <f>QUANT!C1428</f>
        <v>92873</v>
      </c>
      <c r="D531" s="450" t="str">
        <f>QUANT!D1428</f>
        <v>SINAPI</v>
      </c>
      <c r="E531" s="639" t="str">
        <f>IFERROR(VLOOKUP($C531,'SINAPI MAIO 2020'!$1:$1048576,2,0),IFERROR(VLOOKUP($C531,'6-COMP. PROPRIA'!$B$1:$I$808,4,0),""))</f>
        <v>LANÇAMENTO COM USO DE BALDES, ADENSAMENTO E ACABAMENTO DE CONCRETO EM ESTRUTURAS. AF_12/2015</v>
      </c>
      <c r="F531" s="638" t="str">
        <f>IFERROR(VLOOKUP($C531,'SINAPI MAIO 2020'!$1:$1048576,3,0),IFERROR(VLOOKUP($C531,'6-COMP. PROPRIA'!$B$1:$I$808,5,0),""))</f>
        <v>M3</v>
      </c>
      <c r="G531" s="452">
        <f>QUANT!K1428</f>
        <v>0.25829999999999997</v>
      </c>
      <c r="H531" s="452">
        <f>IFERROR(VLOOKUP($C531,'SINAPI MAIO 2020'!$1:$1048576,4,0),IFERROR(VLOOKUP($C531,'6-COMP. PROPRIA'!$B$1:$I$808,8,0),""))</f>
        <v>146.37</v>
      </c>
      <c r="I531" s="452">
        <f>TRUNC(($H531*'4-BDI'!$E$29),2)</f>
        <v>187.7</v>
      </c>
      <c r="J531" s="453">
        <f t="shared" si="188"/>
        <v>37.799999999999997</v>
      </c>
      <c r="K531" s="454">
        <f t="shared" si="189"/>
        <v>48.48</v>
      </c>
      <c r="L531" s="187"/>
    </row>
    <row r="532" spans="2:12" s="203" customFormat="1" ht="30">
      <c r="B532" s="458" t="s">
        <v>12675</v>
      </c>
      <c r="C532" s="450" t="str">
        <f>QUANT!C1430</f>
        <v>CP-DRE-1</v>
      </c>
      <c r="D532" s="450" t="str">
        <f>QUANT!D1430</f>
        <v>PROPRIA</v>
      </c>
      <c r="E532" s="639" t="str">
        <f>IFERROR(VLOOKUP($C532,'SINAPI MAIO 2020'!$1:$1048576,2,0),IFERROR(VLOOKUP($C532,'6-COMP. PROPRIA'!$B$1:$I$808,4,0),""))</f>
        <v xml:space="preserve">GRELHA DE FERRO FUNDIDO PARA CANALETA LARG = 30CM, FORNECIMENTO E ASSENTAMENTO </v>
      </c>
      <c r="F532" s="638" t="str">
        <f>IFERROR(VLOOKUP($C532,'SINAPI MAIO 2020'!$1:$1048576,3,0),IFERROR(VLOOKUP($C532,'6-COMP. PROPRIA'!$B$1:$I$808,5,0),""))</f>
        <v>PÇ</v>
      </c>
      <c r="G532" s="452">
        <f>QUANT!K1430</f>
        <v>29.172410000000003</v>
      </c>
      <c r="H532" s="452">
        <f>IFERROR(VLOOKUP($C532,'SINAPI MAIO 2020'!$1:$1048576,4,0),IFERROR(VLOOKUP($C532,'6-COMP. PROPRIA'!$B$1:$I$808,8,0),""))</f>
        <v>251.15</v>
      </c>
      <c r="I532" s="452">
        <f>TRUNC(($H532*'4-BDI'!$E$29),2)</f>
        <v>322.07</v>
      </c>
      <c r="J532" s="453">
        <f t="shared" si="188"/>
        <v>7326.65</v>
      </c>
      <c r="K532" s="454">
        <f t="shared" si="189"/>
        <v>9395.5499999999993</v>
      </c>
      <c r="L532" s="187"/>
    </row>
    <row r="533" spans="2:12" s="203" customFormat="1" ht="15">
      <c r="B533" s="458" t="s">
        <v>12676</v>
      </c>
      <c r="C533" s="450">
        <f>QUANT!C1438</f>
        <v>72897</v>
      </c>
      <c r="D533" s="450" t="str">
        <f>QUANT!D1438</f>
        <v>SINAPI</v>
      </c>
      <c r="E533" s="639" t="str">
        <f>IFERROR(VLOOKUP($C533,'SINAPI MAIO 2020'!$1:$1048576,2,0),IFERROR(VLOOKUP($C533,'6-COMP. PROPRIA'!$B$1:$I$808,4,0),""))</f>
        <v>CARGA MANUAL DE ENTULHO EM CAMINHAO BASCULANTE 6 M3</v>
      </c>
      <c r="F533" s="638" t="str">
        <f>IFERROR(VLOOKUP($C533,'SINAPI MAIO 2020'!$1:$1048576,3,0),IFERROR(VLOOKUP($C533,'6-COMP. PROPRIA'!$B$1:$I$808,5,0),""))</f>
        <v>M3</v>
      </c>
      <c r="G533" s="452">
        <f>QUANT!K1438</f>
        <v>7.8724100000000021</v>
      </c>
      <c r="H533" s="452">
        <f>IFERROR(VLOOKUP($C533,'SINAPI MAIO 2020'!$1:$1048576,4,0),IFERROR(VLOOKUP($C533,'6-COMP. PROPRIA'!$B$1:$I$808,8,0),""))</f>
        <v>17.510000000000002</v>
      </c>
      <c r="I533" s="452">
        <f>TRUNC(($H533*'4-BDI'!$E$29),2)</f>
        <v>22.45</v>
      </c>
      <c r="J533" s="453">
        <f t="shared" si="188"/>
        <v>137.84</v>
      </c>
      <c r="K533" s="454">
        <f t="shared" si="189"/>
        <v>176.73</v>
      </c>
      <c r="L533" s="187"/>
    </row>
    <row r="534" spans="2:12" s="203" customFormat="1" ht="30">
      <c r="B534" s="458" t="s">
        <v>12677</v>
      </c>
      <c r="C534" s="450">
        <f>QUANT!C1443</f>
        <v>97914</v>
      </c>
      <c r="D534" s="450" t="str">
        <f>QUANT!D1443</f>
        <v>SINAPI</v>
      </c>
      <c r="E534" s="639" t="str">
        <f>IFERROR(VLOOKUP($C534,'SINAPI MAIO 2020'!$1:$1048576,2,0),IFERROR(VLOOKUP($C534,'6-COMP. PROPRIA'!$B$1:$I$808,4,0),""))</f>
        <v>TRANSPORTE COM CAMINHÃO BASCULANTE DE 6 M3, EM VIA URBANA PAVIMENTADA, DMT ATÉ 30 KM (UNIDADE: M3XKM). AF_01/2018</v>
      </c>
      <c r="F534" s="638" t="str">
        <f>IFERROR(VLOOKUP($C534,'SINAPI MAIO 2020'!$1:$1048576,3,0),IFERROR(VLOOKUP($C534,'6-COMP. PROPRIA'!$B$1:$I$808,5,0),""))</f>
        <v>M3XKM</v>
      </c>
      <c r="G534" s="452">
        <f>QUANT!K1443</f>
        <v>196.81025000000005</v>
      </c>
      <c r="H534" s="452">
        <f>IFERROR(VLOOKUP($C534,'SINAPI MAIO 2020'!$1:$1048576,4,0),IFERROR(VLOOKUP($C534,'6-COMP. PROPRIA'!$B$1:$I$808,8,0),""))</f>
        <v>1.07</v>
      </c>
      <c r="I534" s="452">
        <f>TRUNC(($H534*'4-BDI'!$E$29),2)</f>
        <v>1.37</v>
      </c>
      <c r="J534" s="453">
        <f t="shared" si="188"/>
        <v>210.58</v>
      </c>
      <c r="K534" s="454">
        <f t="shared" si="189"/>
        <v>269.63</v>
      </c>
      <c r="L534" s="187"/>
    </row>
    <row r="535" spans="2:12" s="203" customFormat="1" ht="15.75">
      <c r="B535" s="746" t="s">
        <v>4710</v>
      </c>
      <c r="C535" s="747"/>
      <c r="D535" s="747"/>
      <c r="E535" s="747"/>
      <c r="F535" s="747"/>
      <c r="G535" s="747"/>
      <c r="H535" s="747"/>
      <c r="I535" s="456"/>
      <c r="J535" s="457">
        <f>TRUNC(SUM(J526:J534),2)</f>
        <v>14865.96</v>
      </c>
      <c r="K535" s="457">
        <f>TRUNC(SUM(K526:K534),2)</f>
        <v>19062.88</v>
      </c>
      <c r="L535" s="187"/>
    </row>
    <row r="536" spans="2:12" s="203" customFormat="1" ht="24" customHeight="1">
      <c r="B536" s="440" t="s">
        <v>6556</v>
      </c>
      <c r="C536" s="441"/>
      <c r="D536" s="442"/>
      <c r="E536" s="443" t="str">
        <f>QUANT!E1448</f>
        <v>COMBATE AO INCÊNDIO</v>
      </c>
      <c r="F536" s="444"/>
      <c r="G536" s="445"/>
      <c r="H536" s="446"/>
      <c r="I536" s="446"/>
      <c r="J536" s="447"/>
      <c r="K536" s="448"/>
      <c r="L536" s="187"/>
    </row>
    <row r="537" spans="2:12" s="203" customFormat="1" ht="33.75" customHeight="1">
      <c r="B537" s="458" t="s">
        <v>12678</v>
      </c>
      <c r="C537" s="450" t="str">
        <f>QUANT!C1449</f>
        <v>73775/2</v>
      </c>
      <c r="D537" s="450" t="str">
        <f>QUANT!D1449</f>
        <v>SINAPI</v>
      </c>
      <c r="E537" s="639" t="str">
        <f>IFERROR(VLOOKUP($C537,'SINAPI MAIO 2020'!$1:$1048576,2,0),IFERROR(VLOOKUP($C537,'6-COMP. PROPRIA'!$B$1:$I$808,4,0),""))</f>
        <v>EXTINTOR INCENDIO AGUA-PRESSURIZADA 10L INCL SUPORTE PAREDE CARGA     COMPLETA FORNECIMENTO E COLOCACAO</v>
      </c>
      <c r="F537" s="638" t="str">
        <f>IFERROR(VLOOKUP($C537,'SINAPI MAIO 2020'!$1:$1048576,3,0),IFERROR(VLOOKUP($C537,'6-COMP. PROPRIA'!$B$1:$I$808,5,0),""))</f>
        <v>UN</v>
      </c>
      <c r="G537" s="452">
        <f>QUANT!K1449</f>
        <v>2</v>
      </c>
      <c r="H537" s="452">
        <f>IFERROR(VLOOKUP($C537,'SINAPI MAIO 2020'!$1:$1048576,4,0),IFERROR(VLOOKUP($C537,'6-COMP. PROPRIA'!$B$1:$I$808,8,0),""))</f>
        <v>157.81</v>
      </c>
      <c r="I537" s="452">
        <f>TRUNC(($H537*'4-BDI'!$E$29),2)</f>
        <v>202.37</v>
      </c>
      <c r="J537" s="453">
        <f t="shared" ref="J537" si="190">TRUNC((G537*H537),2)</f>
        <v>315.62</v>
      </c>
      <c r="K537" s="454">
        <f t="shared" ref="K537" si="191">TRUNC((I537*G537),2)</f>
        <v>404.74</v>
      </c>
      <c r="L537" s="187"/>
    </row>
    <row r="538" spans="2:12" s="203" customFormat="1" ht="31.5" customHeight="1">
      <c r="B538" s="458" t="s">
        <v>12567</v>
      </c>
      <c r="C538" s="450">
        <f>QUANT!C1450</f>
        <v>83635</v>
      </c>
      <c r="D538" s="450" t="str">
        <f>QUANT!D1450</f>
        <v>SINAPI</v>
      </c>
      <c r="E538" s="639" t="str">
        <f>IFERROR(VLOOKUP($C538,'SINAPI MAIO 2020'!$1:$1048576,2,0),IFERROR(VLOOKUP($C538,'6-COMP. PROPRIA'!$B$1:$I$808,4,0),""))</f>
        <v>EXTINTOR INCENDIO TP PO QUIMICO 6KG - FORNECIMENTO E INSTALACAO</v>
      </c>
      <c r="F538" s="638" t="str">
        <f>IFERROR(VLOOKUP($C538,'SINAPI MAIO 2020'!$1:$1048576,3,0),IFERROR(VLOOKUP($C538,'6-COMP. PROPRIA'!$B$1:$I$808,5,0),""))</f>
        <v>UN</v>
      </c>
      <c r="G538" s="452">
        <f>QUANT!K1450</f>
        <v>1</v>
      </c>
      <c r="H538" s="452">
        <f>IFERROR(VLOOKUP($C538,'SINAPI MAIO 2020'!$1:$1048576,4,0),IFERROR(VLOOKUP($C538,'6-COMP. PROPRIA'!$B$1:$I$808,8,0),""))</f>
        <v>178.06</v>
      </c>
      <c r="I538" s="452">
        <f>TRUNC(($H538*'4-BDI'!$E$29),2)</f>
        <v>228.34</v>
      </c>
      <c r="J538" s="453">
        <f t="shared" ref="J538:J544" si="192">TRUNC((G538*H538),2)</f>
        <v>178.06</v>
      </c>
      <c r="K538" s="454">
        <f t="shared" ref="K538:K544" si="193">TRUNC((I538*G538),2)</f>
        <v>228.34</v>
      </c>
      <c r="L538" s="187"/>
    </row>
    <row r="539" spans="2:12" s="203" customFormat="1" ht="23.25" customHeight="1">
      <c r="B539" s="458" t="s">
        <v>12681</v>
      </c>
      <c r="C539" s="450">
        <f>QUANT!C1451</f>
        <v>72554</v>
      </c>
      <c r="D539" s="450" t="str">
        <f>QUANT!D1451</f>
        <v>SINAPI</v>
      </c>
      <c r="E539" s="639" t="str">
        <f>IFERROR(VLOOKUP($C539,'SINAPI MAIO 2020'!$1:$1048576,2,0),IFERROR(VLOOKUP($C539,'6-COMP. PROPRIA'!$B$1:$I$808,4,0),""))</f>
        <v>EXTINTOR DE CO2 6KG - FORNECIMENTO E INSTALACAO</v>
      </c>
      <c r="F539" s="638" t="str">
        <f>IFERROR(VLOOKUP($C539,'SINAPI MAIO 2020'!$1:$1048576,3,0),IFERROR(VLOOKUP($C539,'6-COMP. PROPRIA'!$B$1:$I$808,5,0),""))</f>
        <v>UN</v>
      </c>
      <c r="G539" s="452">
        <f>QUANT!K1451</f>
        <v>1</v>
      </c>
      <c r="H539" s="452">
        <f>IFERROR(VLOOKUP($C539,'SINAPI MAIO 2020'!$1:$1048576,4,0),IFERROR(VLOOKUP($C539,'6-COMP. PROPRIA'!$B$1:$I$808,8,0),""))</f>
        <v>496.08</v>
      </c>
      <c r="I539" s="452">
        <f>TRUNC(($H539*'4-BDI'!$E$29),2)</f>
        <v>636.16999999999996</v>
      </c>
      <c r="J539" s="453">
        <f t="shared" si="192"/>
        <v>496.08</v>
      </c>
      <c r="K539" s="454">
        <f t="shared" si="193"/>
        <v>636.16999999999996</v>
      </c>
      <c r="L539" s="187"/>
    </row>
    <row r="540" spans="2:12" s="203" customFormat="1" ht="60">
      <c r="B540" s="458" t="s">
        <v>12682</v>
      </c>
      <c r="C540" s="450" t="str">
        <f>QUANT!C1452</f>
        <v>CP-CBI-01</v>
      </c>
      <c r="D540" s="450" t="str">
        <f>QUANT!D1452</f>
        <v>PROPRIA</v>
      </c>
      <c r="E540" s="639" t="str">
        <f>IFERROR(VLOOKUP($C540,'SINAPI MAIO 2020'!$1:$1048576,2,0),IFERROR(VLOOKUP($C540,'6-COMP. PROPRIA'!$B$1:$I$808,4,0),""))</f>
        <v>PLACA DE SINALIZACAO DE SEGURANCA CONTRA INCENDIO, FOTOLUMINESCENTE, RETANGULAR, *13 X 26* CM, EM PVC *2* MM ANTI-CHAMAS (SIMBOLOS, CORES E PICTOGRAMAS CONFORME NBR 13434) - FORNECIMENTO E INSTALAÇÃO</v>
      </c>
      <c r="F540" s="638" t="str">
        <f>IFERROR(VLOOKUP($C540,'SINAPI MAIO 2020'!$1:$1048576,3,0),IFERROR(VLOOKUP($C540,'6-COMP. PROPRIA'!$B$1:$I$808,5,0),""))</f>
        <v>UN</v>
      </c>
      <c r="G540" s="452">
        <f>QUANT!K1452</f>
        <v>24</v>
      </c>
      <c r="H540" s="452">
        <f>IFERROR(VLOOKUP($C540,'SINAPI MAIO 2020'!$1:$1048576,4,0),IFERROR(VLOOKUP($C540,'6-COMP. PROPRIA'!$B$1:$I$808,8,0),""))</f>
        <v>37.4</v>
      </c>
      <c r="I540" s="452">
        <f>TRUNC(($H540*'4-BDI'!$E$29),2)</f>
        <v>47.96</v>
      </c>
      <c r="J540" s="453">
        <f t="shared" si="192"/>
        <v>897.6</v>
      </c>
      <c r="K540" s="454">
        <f t="shared" si="193"/>
        <v>1151.04</v>
      </c>
      <c r="L540" s="187"/>
    </row>
    <row r="541" spans="2:12" s="203" customFormat="1" ht="30">
      <c r="B541" s="458" t="s">
        <v>12683</v>
      </c>
      <c r="C541" s="450">
        <f>QUANT!C1453</f>
        <v>84665</v>
      </c>
      <c r="D541" s="450" t="str">
        <f>QUANT!D1453</f>
        <v>SINAPI</v>
      </c>
      <c r="E541" s="639" t="str">
        <f>IFERROR(VLOOKUP($C541,'SINAPI MAIO 2020'!$1:$1048576,2,0),IFERROR(VLOOKUP($C541,'6-COMP. PROPRIA'!$B$1:$I$808,4,0),""))</f>
        <v>PINTURA ACRILICA PARA SINALIZAÇÃO HORIZONTAL EM PISO CIMENTADO</v>
      </c>
      <c r="F541" s="638" t="str">
        <f>IFERROR(VLOOKUP($C541,'SINAPI MAIO 2020'!$1:$1048576,3,0),IFERROR(VLOOKUP($C541,'6-COMP. PROPRIA'!$B$1:$I$808,5,0),""))</f>
        <v>M2</v>
      </c>
      <c r="G541" s="452">
        <f>QUANT!K1453</f>
        <v>4</v>
      </c>
      <c r="H541" s="452">
        <f>IFERROR(VLOOKUP($C541,'SINAPI MAIO 2020'!$1:$1048576,4,0),IFERROR(VLOOKUP($C541,'6-COMP. PROPRIA'!$B$1:$I$808,8,0),""))</f>
        <v>16.75</v>
      </c>
      <c r="I541" s="452">
        <f>TRUNC(($H541*'4-BDI'!$E$29),2)</f>
        <v>21.48</v>
      </c>
      <c r="J541" s="453">
        <f t="shared" si="192"/>
        <v>67</v>
      </c>
      <c r="K541" s="454">
        <f t="shared" si="193"/>
        <v>85.92</v>
      </c>
      <c r="L541" s="187"/>
    </row>
    <row r="542" spans="2:12" s="203" customFormat="1" ht="60">
      <c r="B542" s="458" t="s">
        <v>12679</v>
      </c>
      <c r="C542" s="450">
        <f>QUANT!C1454</f>
        <v>72283</v>
      </c>
      <c r="D542" s="450" t="str">
        <f>QUANT!D1454</f>
        <v>SINAPI</v>
      </c>
      <c r="E542" s="639" t="str">
        <f>IFERROR(VLOOKUP($C542,'SINAPI MAIO 2020'!$1:$1048576,2,0),IFERROR(VLOOKUP($C542,'6-COMP. PROPRIA'!$B$1:$I$808,4,0),""))</f>
        <v>ABRIGO PARA HIDRANTE, 75X45X17CM, COM REGISTRO GLOBO ANGULAR 45º 2.1/2", ADAPTADOR STORZ 2.1/2", MANGUEIRA DE INCÊNDIO 15M, REDUÇÃO 2.1/2X1.1/2" E ESGUICHO EM LATÃO 1.1/2" - FORNECIMENTO E INSTALAÇÃO</v>
      </c>
      <c r="F542" s="638" t="str">
        <f>IFERROR(VLOOKUP($C542,'SINAPI MAIO 2020'!$1:$1048576,3,0),IFERROR(VLOOKUP($C542,'6-COMP. PROPRIA'!$B$1:$I$808,5,0),""))</f>
        <v>UN</v>
      </c>
      <c r="G542" s="452">
        <f>QUANT!K1454</f>
        <v>1</v>
      </c>
      <c r="H542" s="452">
        <f>IFERROR(VLOOKUP($C542,'SINAPI MAIO 2020'!$1:$1048576,4,0),IFERROR(VLOOKUP($C542,'6-COMP. PROPRIA'!$B$1:$I$808,8,0),""))</f>
        <v>928.86</v>
      </c>
      <c r="I542" s="452">
        <f>TRUNC(($H542*'4-BDI'!$E$29),2)</f>
        <v>1191.17</v>
      </c>
      <c r="J542" s="453">
        <f t="shared" si="192"/>
        <v>928.86</v>
      </c>
      <c r="K542" s="454">
        <f t="shared" si="193"/>
        <v>1191.17</v>
      </c>
      <c r="L542" s="187"/>
    </row>
    <row r="543" spans="2:12" s="203" customFormat="1" ht="30">
      <c r="B543" s="458" t="s">
        <v>12680</v>
      </c>
      <c r="C543" s="450" t="str">
        <f>QUANT!C1455</f>
        <v>CP-CBI-02</v>
      </c>
      <c r="D543" s="450" t="str">
        <f>QUANT!D1455</f>
        <v>PROPRIA</v>
      </c>
      <c r="E543" s="639" t="str">
        <f>IFERROR(VLOOKUP($C543,'SINAPI MAIO 2020'!$1:$1048576,2,0),IFERROR(VLOOKUP($C543,'6-COMP. PROPRIA'!$B$1:$I$808,4,0),""))</f>
        <v>CONJUNTO MOTOBOMBA  BC- 21 R 1 1/2 3 CV COM CENTRAL DE COMANDO PARA  HIDRANTE, FORNECIMENTO E INSTALAÇÃO</v>
      </c>
      <c r="F543" s="638" t="str">
        <f>IFERROR(VLOOKUP($C543,'SINAPI MAIO 2020'!$1:$1048576,3,0),IFERROR(VLOOKUP($C543,'6-COMP. PROPRIA'!$B$1:$I$808,5,0),""))</f>
        <v>UN</v>
      </c>
      <c r="G543" s="452">
        <f>QUANT!K1455</f>
        <v>1</v>
      </c>
      <c r="H543" s="452">
        <f>IFERROR(VLOOKUP($C543,'SINAPI MAIO 2020'!$1:$1048576,4,0),IFERROR(VLOOKUP($C543,'6-COMP. PROPRIA'!$B$1:$I$808,8,0),""))</f>
        <v>7967.32</v>
      </c>
      <c r="I543" s="452">
        <f>TRUNC(($H543*'4-BDI'!$E$29),2)</f>
        <v>10217.290000000001</v>
      </c>
      <c r="J543" s="453">
        <f t="shared" si="192"/>
        <v>7967.32</v>
      </c>
      <c r="K543" s="454">
        <f t="shared" si="193"/>
        <v>10217.290000000001</v>
      </c>
      <c r="L543" s="187"/>
    </row>
    <row r="544" spans="2:12" s="203" customFormat="1" ht="45">
      <c r="B544" s="458" t="s">
        <v>12684</v>
      </c>
      <c r="C544" s="450" t="str">
        <f>QUANT!C1456</f>
        <v>CP-CBI-03</v>
      </c>
      <c r="D544" s="450" t="str">
        <f>QUANT!D1456</f>
        <v>PROPRIA</v>
      </c>
      <c r="E544" s="639" t="str">
        <f>IFERROR(VLOOKUP($C544,'SINAPI MAIO 2020'!$1:$1048576,2,0),IFERROR(VLOOKUP($C544,'6-COMP. PROPRIA'!$B$1:$I$808,4,0),""))</f>
        <v>FORNECIMENTO E INSTALAÇÃO DE ABRIGO DE 2,00X1,00 PARA BOMBA DE INCENDIO E BOMBA DE ABASTECIMENTO DA CISTERNA PARA CAIXA D'ÁGUA</v>
      </c>
      <c r="F544" s="638" t="str">
        <f>IFERROR(VLOOKUP($C544,'SINAPI MAIO 2020'!$1:$1048576,3,0),IFERROR(VLOOKUP($C544,'6-COMP. PROPRIA'!$B$1:$I$808,5,0),""))</f>
        <v>UNI</v>
      </c>
      <c r="G544" s="452">
        <f>QUANT!K1456</f>
        <v>1</v>
      </c>
      <c r="H544" s="452">
        <f>IFERROR(VLOOKUP($C544,'SINAPI MAIO 2020'!$1:$1048576,4,0),IFERROR(VLOOKUP($C544,'6-COMP. PROPRIA'!$B$1:$I$808,8,0),""))</f>
        <v>2413</v>
      </c>
      <c r="I544" s="452">
        <f>TRUNC(($H544*'4-BDI'!$E$29),2)</f>
        <v>3094.43</v>
      </c>
      <c r="J544" s="453">
        <f t="shared" si="192"/>
        <v>2413</v>
      </c>
      <c r="K544" s="454">
        <f t="shared" si="193"/>
        <v>3094.43</v>
      </c>
      <c r="L544" s="187"/>
    </row>
    <row r="545" spans="2:16" s="203" customFormat="1" ht="15.75">
      <c r="B545" s="746" t="s">
        <v>4710</v>
      </c>
      <c r="C545" s="747"/>
      <c r="D545" s="747"/>
      <c r="E545" s="747"/>
      <c r="F545" s="747"/>
      <c r="G545" s="747"/>
      <c r="H545" s="747"/>
      <c r="I545" s="456"/>
      <c r="J545" s="457">
        <f>TRUNC(SUM(J537:J544),2)</f>
        <v>13263.54</v>
      </c>
      <c r="K545" s="457">
        <f>TRUNC(SUM(K537:K544),2)</f>
        <v>17009.099999999999</v>
      </c>
      <c r="L545" s="187"/>
    </row>
    <row r="546" spans="2:16" s="203" customFormat="1" ht="19.5" customHeight="1">
      <c r="B546" s="440" t="s">
        <v>6581</v>
      </c>
      <c r="C546" s="441"/>
      <c r="D546" s="442"/>
      <c r="E546" s="443" t="str">
        <f>QUANT!E1458</f>
        <v>SERVIÇOS DIVERSOS</v>
      </c>
      <c r="F546" s="444"/>
      <c r="G546" s="445"/>
      <c r="H546" s="446"/>
      <c r="I546" s="446"/>
      <c r="J546" s="447"/>
      <c r="K546" s="448"/>
      <c r="L546" s="187"/>
    </row>
    <row r="547" spans="2:16" s="203" customFormat="1" ht="31.5" customHeight="1">
      <c r="B547" s="458" t="s">
        <v>6582</v>
      </c>
      <c r="C547" s="450" t="str">
        <f>QUANT!C1461</f>
        <v>CP-SD-1</v>
      </c>
      <c r="D547" s="450" t="str">
        <f>QUANT!D1461</f>
        <v>PROPRIA</v>
      </c>
      <c r="E547" s="639" t="str">
        <f>IFERROR(VLOOKUP($C547,'SINAPI MAIO 2020'!$1:$1048576,2,0),IFERROR(VLOOKUP($C547,'6-COMP. PROPRIA'!$B$1:$I$808,4,0),""))</f>
        <v>FORNECIMENTO E INSTALAÇÃO DE ACABAMENTO PARA VALVULA DE DESCARGA</v>
      </c>
      <c r="F547" s="638" t="str">
        <f>IFERROR(VLOOKUP($C547,'SINAPI MAIO 2020'!$1:$1048576,3,0),IFERROR(VLOOKUP($C547,'6-COMP. PROPRIA'!$B$1:$I$808,5,0),""))</f>
        <v xml:space="preserve">UN    </v>
      </c>
      <c r="G547" s="452">
        <f>QUANT!K1461</f>
        <v>8</v>
      </c>
      <c r="H547" s="452">
        <f>IFERROR(VLOOKUP($C547,'SINAPI MAIO 2020'!$1:$1048576,4,0),IFERROR(VLOOKUP($C547,'6-COMP. PROPRIA'!$B$1:$I$808,8,0),""))</f>
        <v>28.16</v>
      </c>
      <c r="I547" s="452">
        <f>TRUNC(($H547*'4-BDI'!$E$29),2)</f>
        <v>36.11</v>
      </c>
      <c r="J547" s="453">
        <f t="shared" ref="J547" si="194">TRUNC((G547*H547),2)</f>
        <v>225.28</v>
      </c>
      <c r="K547" s="454">
        <f t="shared" ref="K547" si="195">TRUNC((I547*G547),2)</f>
        <v>288.88</v>
      </c>
      <c r="L547" s="187"/>
    </row>
    <row r="548" spans="2:16" s="203" customFormat="1" ht="15">
      <c r="B548" s="458" t="s">
        <v>12686</v>
      </c>
      <c r="C548" s="450" t="str">
        <f>QUANT!C1466</f>
        <v>CP-SD-2</v>
      </c>
      <c r="D548" s="450" t="str">
        <f>QUANT!D1466</f>
        <v>PROPRIA</v>
      </c>
      <c r="E548" s="639" t="str">
        <f>IFERROR(VLOOKUP($C548,'SINAPI MAIO 2020'!$1:$1048576,2,0),IFERROR(VLOOKUP($C548,'6-COMP. PROPRIA'!$B$1:$I$808,4,0),""))</f>
        <v>REQUADRO EM MADEIRA DE QUADRO ESCOLAR</v>
      </c>
      <c r="F548" s="638" t="str">
        <f>IFERROR(VLOOKUP($C548,'SINAPI MAIO 2020'!$1:$1048576,3,0),IFERROR(VLOOKUP($C548,'6-COMP. PROPRIA'!$B$1:$I$808,5,0),""))</f>
        <v>M2</v>
      </c>
      <c r="G548" s="452">
        <f>QUANT!K1466</f>
        <v>28.799999999999997</v>
      </c>
      <c r="H548" s="452">
        <f>IFERROR(VLOOKUP($C548,'SINAPI MAIO 2020'!$1:$1048576,4,0),IFERROR(VLOOKUP($C548,'6-COMP. PROPRIA'!$B$1:$I$808,8,0),""))</f>
        <v>30.11</v>
      </c>
      <c r="I548" s="452">
        <f>TRUNC(($H548*'4-BDI'!$E$29),2)</f>
        <v>38.61</v>
      </c>
      <c r="J548" s="453">
        <f t="shared" ref="J548:J551" si="196">TRUNC((G548*H548),2)</f>
        <v>867.16</v>
      </c>
      <c r="K548" s="454">
        <f t="shared" ref="K548:K551" si="197">TRUNC((I548*G548),2)</f>
        <v>1111.96</v>
      </c>
      <c r="L548" s="187"/>
    </row>
    <row r="549" spans="2:16" s="203" customFormat="1" ht="15">
      <c r="B549" s="458" t="s">
        <v>12685</v>
      </c>
      <c r="C549" s="450" t="str">
        <f>QUANT!C1470</f>
        <v>CP-SD-3</v>
      </c>
      <c r="D549" s="450" t="str">
        <f>QUANT!D1470</f>
        <v>PROPRIA</v>
      </c>
      <c r="E549" s="639" t="str">
        <f>IFERROR(VLOOKUP($C549,'SINAPI MAIO 2020'!$1:$1048576,2,0),IFERROR(VLOOKUP($C549,'6-COMP. PROPRIA'!$B$1:$I$808,4,0),""))</f>
        <v xml:space="preserve">CAMADA VERTICAL DRENANTE C/ PEDRA BRITA NUMS 1 E 2 </v>
      </c>
      <c r="F549" s="638" t="str">
        <f>IFERROR(VLOOKUP($C549,'SINAPI MAIO 2020'!$1:$1048576,3,0),IFERROR(VLOOKUP($C549,'6-COMP. PROPRIA'!$B$1:$I$808,5,0),""))</f>
        <v xml:space="preserve">M3    </v>
      </c>
      <c r="G549" s="452">
        <f>QUANT!K1470</f>
        <v>12.852</v>
      </c>
      <c r="H549" s="452">
        <f>IFERROR(VLOOKUP($C549,'SINAPI MAIO 2020'!$1:$1048576,4,0),IFERROR(VLOOKUP($C549,'6-COMP. PROPRIA'!$B$1:$I$808,8,0),""))</f>
        <v>123.92</v>
      </c>
      <c r="I549" s="452">
        <f>TRUNC(($H549*'4-BDI'!$E$29),2)</f>
        <v>158.91</v>
      </c>
      <c r="J549" s="453">
        <f t="shared" si="196"/>
        <v>1592.61</v>
      </c>
      <c r="K549" s="454">
        <f t="shared" si="197"/>
        <v>2042.31</v>
      </c>
      <c r="L549" s="187"/>
    </row>
    <row r="550" spans="2:16" s="203" customFormat="1" ht="75">
      <c r="B550" s="458" t="s">
        <v>12687</v>
      </c>
      <c r="C550" s="450">
        <f>QUANT!C1476</f>
        <v>99837</v>
      </c>
      <c r="D550" s="450" t="str">
        <f>QUANT!D1476</f>
        <v>SINAPI</v>
      </c>
      <c r="E550" s="639" t="str">
        <f>IFERROR(VLOOKUP($C550,'SINAPI MAIO 2020'!$1:$1048576,2,0),IFERROR(VLOOKUP($C550,'6-COMP. PROPRIA'!$B$1:$I$808,4,0),""))</f>
        <v>GUARDA-CORPO DE AÇO GALVANIZADO DE 1,10M, MONTANTES TUBULARES DE 1.1/4" ESPAÇADOS DE 1,20M, TRAVESSA SUPERIOR DE 1.1/2", GRADIL FORMADO POR TUBOS HORIZONTAIS DE 1" E VERTICAIS DE 3/4", FIXADO COM CHUMBADOR MECÂNICO. AF_04/2019_P</v>
      </c>
      <c r="F550" s="638" t="str">
        <f>IFERROR(VLOOKUP($C550,'SINAPI MAIO 2020'!$1:$1048576,3,0),IFERROR(VLOOKUP($C550,'6-COMP. PROPRIA'!$B$1:$I$808,5,0),""))</f>
        <v>M</v>
      </c>
      <c r="G550" s="452">
        <f>QUANT!K1476</f>
        <v>22</v>
      </c>
      <c r="H550" s="452">
        <f>IFERROR(VLOOKUP($C550,'SINAPI MAIO 2020'!$1:$1048576,4,0),IFERROR(VLOOKUP($C550,'6-COMP. PROPRIA'!$B$1:$I$808,8,0),""))</f>
        <v>367.73</v>
      </c>
      <c r="I550" s="452">
        <f>TRUNC(($H550*'4-BDI'!$E$29),2)</f>
        <v>471.57</v>
      </c>
      <c r="J550" s="453">
        <f t="shared" si="196"/>
        <v>8090.06</v>
      </c>
      <c r="K550" s="454">
        <f t="shared" si="197"/>
        <v>10374.540000000001</v>
      </c>
      <c r="L550" s="187"/>
    </row>
    <row r="551" spans="2:16" s="203" customFormat="1" ht="30">
      <c r="B551" s="458" t="s">
        <v>12688</v>
      </c>
      <c r="C551" s="450" t="str">
        <f>QUANT!C1480</f>
        <v>CP-SD-4</v>
      </c>
      <c r="D551" s="450" t="str">
        <f>QUANT!D1480</f>
        <v>PROPRIA</v>
      </c>
      <c r="E551" s="639" t="str">
        <f>IFERROR(VLOOKUP($C551,'SINAPI MAIO 2020'!$1:$1048576,2,0),IFERROR(VLOOKUP($C551,'6-COMP. PROPRIA'!$B$1:$I$808,4,0),""))</f>
        <v>FORNECIMENTO E INSTALAÇÃO DE PLACA DE INAUGURAÇÃO DE 40X60CM</v>
      </c>
      <c r="F551" s="638" t="str">
        <f>IFERROR(VLOOKUP($C551,'SINAPI MAIO 2020'!$1:$1048576,3,0),IFERROR(VLOOKUP($C551,'6-COMP. PROPRIA'!$B$1:$I$808,5,0),""))</f>
        <v>UNI</v>
      </c>
      <c r="G551" s="452">
        <f>QUANT!K1480</f>
        <v>1</v>
      </c>
      <c r="H551" s="452">
        <f>IFERROR(VLOOKUP($C551,'SINAPI MAIO 2020'!$1:$1048576,4,0),IFERROR(VLOOKUP($C551,'6-COMP. PROPRIA'!$B$1:$I$808,8,0),""))</f>
        <v>920.56</v>
      </c>
      <c r="I551" s="452">
        <f>TRUNC(($H551*'4-BDI'!$E$29),2)</f>
        <v>1180.52</v>
      </c>
      <c r="J551" s="453">
        <f t="shared" si="196"/>
        <v>920.56</v>
      </c>
      <c r="K551" s="454">
        <f t="shared" si="197"/>
        <v>1180.52</v>
      </c>
      <c r="L551" s="187"/>
    </row>
    <row r="552" spans="2:16" s="203" customFormat="1" ht="15.75">
      <c r="B552" s="746" t="s">
        <v>4710</v>
      </c>
      <c r="C552" s="747"/>
      <c r="D552" s="747"/>
      <c r="E552" s="747"/>
      <c r="F552" s="747"/>
      <c r="G552" s="747"/>
      <c r="H552" s="747"/>
      <c r="I552" s="456"/>
      <c r="J552" s="457">
        <f>TRUNC(SUM(J547:J551),2)</f>
        <v>11695.67</v>
      </c>
      <c r="K552" s="457">
        <f>TRUNC(SUM(K547:K551),2)</f>
        <v>14998.21</v>
      </c>
      <c r="L552" s="187"/>
    </row>
    <row r="553" spans="2:16" s="201" customFormat="1" ht="15.75">
      <c r="B553" s="440" t="s">
        <v>12689</v>
      </c>
      <c r="C553" s="441"/>
      <c r="D553" s="442"/>
      <c r="E553" s="443" t="str">
        <f>QUANT!E1482</f>
        <v xml:space="preserve">LIMPEZA DE OBRA </v>
      </c>
      <c r="F553" s="444"/>
      <c r="G553" s="445"/>
      <c r="H553" s="446"/>
      <c r="I553" s="446"/>
      <c r="J553" s="447"/>
      <c r="K553" s="448"/>
      <c r="L553" s="187"/>
      <c r="M553" s="819"/>
      <c r="N553" s="819"/>
      <c r="O553" s="819"/>
      <c r="P553" s="819"/>
    </row>
    <row r="554" spans="2:16" ht="15">
      <c r="B554" s="458" t="s">
        <v>12690</v>
      </c>
      <c r="C554" s="450" t="str">
        <f>QUANT!C1484</f>
        <v>CP-LP-01</v>
      </c>
      <c r="D554" s="450" t="str">
        <f>QUANT!D1484</f>
        <v>PROPRIA</v>
      </c>
      <c r="E554" s="639" t="str">
        <f>IFERROR(VLOOKUP($C554,'SINAPI MAIO 2020'!$1:$1048576,2,0),IFERROR(VLOOKUP($C554,'6-COMP. PROPRIA'!$B$1:$I$808,4,0),""))</f>
        <v>LIMPEZA FINAL DA OBRA</v>
      </c>
      <c r="F554" s="638" t="str">
        <f>IFERROR(VLOOKUP($C554,'SINAPI MAIO 2020'!$1:$1048576,3,0),IFERROR(VLOOKUP($C554,'6-COMP. PROPRIA'!$B$1:$I$808,5,0),""))</f>
        <v>M2</v>
      </c>
      <c r="G554" s="452">
        <f>QUANT!K1484</f>
        <v>1122</v>
      </c>
      <c r="H554" s="452">
        <f>IFERROR(VLOOKUP($C554,'SINAPI MAIO 2020'!$1:$1048576,4,0),IFERROR(VLOOKUP($C554,'6-COMP. PROPRIA'!$B$1:$I$808,8,0),""))</f>
        <v>2.25</v>
      </c>
      <c r="I554" s="452">
        <f>TRUNC(($H554*'4-BDI'!$E$29),2)</f>
        <v>2.88</v>
      </c>
      <c r="J554" s="453">
        <f t="shared" ref="J554" si="198">TRUNC((G554*H554),2)</f>
        <v>2524.5</v>
      </c>
      <c r="K554" s="454">
        <f t="shared" ref="K554" si="199">TRUNC((I554*G554),2)</f>
        <v>3231.36</v>
      </c>
      <c r="L554" s="187"/>
      <c r="M554" s="260"/>
      <c r="N554" s="260"/>
      <c r="O554" s="260"/>
      <c r="P554" s="260"/>
    </row>
    <row r="555" spans="2:16" ht="15.75">
      <c r="B555" s="746" t="s">
        <v>4710</v>
      </c>
      <c r="C555" s="747"/>
      <c r="D555" s="747"/>
      <c r="E555" s="747"/>
      <c r="F555" s="747"/>
      <c r="G555" s="747"/>
      <c r="H555" s="747"/>
      <c r="I555" s="456"/>
      <c r="J555" s="457">
        <f>TRUNC(SUM(J554),2)</f>
        <v>2524.5</v>
      </c>
      <c r="K555" s="457">
        <f>TRUNC(SUM(K554),2)</f>
        <v>3231.36</v>
      </c>
      <c r="L555" s="187"/>
      <c r="M555" s="260"/>
      <c r="N555" s="260"/>
      <c r="O555" s="260"/>
      <c r="P555" s="260"/>
    </row>
    <row r="556" spans="2:16" ht="15.75">
      <c r="B556" s="765"/>
      <c r="C556" s="766"/>
      <c r="D556" s="766"/>
      <c r="E556" s="766"/>
      <c r="F556" s="766"/>
      <c r="G556" s="766"/>
      <c r="H556" s="766"/>
      <c r="I556" s="766"/>
      <c r="J556" s="766"/>
      <c r="K556" s="492"/>
      <c r="M556" s="260"/>
      <c r="N556" s="260"/>
      <c r="O556" s="260"/>
      <c r="P556" s="260"/>
    </row>
    <row r="557" spans="2:16" ht="16.5" thickBot="1">
      <c r="B557" s="767" t="s">
        <v>18</v>
      </c>
      <c r="C557" s="768"/>
      <c r="D557" s="768"/>
      <c r="E557" s="768"/>
      <c r="F557" s="768"/>
      <c r="G557" s="768"/>
      <c r="H557" s="768"/>
      <c r="I557" s="493"/>
      <c r="J557" s="493">
        <f>TRUNC(SUM(J555+J552+J545+J535+J524+J406+J348+J331+J315+J271+J214+J211+J208+J161+J146+J143+J139+J132+J123+J115+J109+J102+J97+J79+J46+J42+J21+J14),2)</f>
        <v>893742.71</v>
      </c>
      <c r="K557" s="494"/>
      <c r="M557" s="260"/>
      <c r="N557" s="260"/>
      <c r="O557" s="260"/>
      <c r="P557" s="260"/>
    </row>
    <row r="558" spans="2:16" ht="16.5" thickBot="1">
      <c r="B558" s="763" t="s">
        <v>10</v>
      </c>
      <c r="C558" s="764"/>
      <c r="D558" s="764"/>
      <c r="E558" s="764"/>
      <c r="F558" s="764"/>
      <c r="G558" s="764"/>
      <c r="H558" s="764"/>
      <c r="I558" s="495"/>
      <c r="J558" s="495"/>
      <c r="K558" s="496">
        <f>TRUNC(SUM(K555+K552+K545+K535+K524+K406+K348+K331+K315+K271+K214++K211+K208+K161+K146+K143+K139+K132+K123+K115+K109+K102+K97+K79+K46+K42+K21+K14),2)</f>
        <v>1148399.32</v>
      </c>
      <c r="M558" s="260"/>
      <c r="N558" s="260"/>
      <c r="O558" s="260"/>
      <c r="P558" s="260"/>
    </row>
    <row r="559" spans="2:16">
      <c r="B559" s="650"/>
      <c r="C559" s="194"/>
      <c r="D559" s="195"/>
      <c r="E559" s="196"/>
      <c r="F559" s="197"/>
      <c r="G559" s="198"/>
      <c r="H559" s="199"/>
      <c r="I559" s="199"/>
      <c r="J559" s="220"/>
      <c r="K559" s="651"/>
      <c r="M559" s="260"/>
      <c r="N559" s="260"/>
      <c r="O559" s="260"/>
      <c r="P559" s="260"/>
    </row>
    <row r="560" spans="2:16" ht="15.75">
      <c r="B560" s="650"/>
      <c r="C560" s="194"/>
      <c r="D560" s="195"/>
      <c r="E560" s="196"/>
      <c r="F560" s="197"/>
      <c r="G560" s="198"/>
      <c r="H560" s="199"/>
      <c r="I560" s="199"/>
      <c r="J560" s="220"/>
      <c r="K560" s="651"/>
      <c r="M560" s="820"/>
      <c r="N560" s="820"/>
      <c r="O560" s="260"/>
      <c r="P560" s="260"/>
    </row>
    <row r="561" spans="2:16" ht="15.75">
      <c r="B561" s="650"/>
      <c r="C561" s="194"/>
      <c r="D561" s="195"/>
      <c r="E561" s="196"/>
      <c r="F561" s="197"/>
      <c r="G561" s="198"/>
      <c r="H561" s="199"/>
      <c r="I561" s="199"/>
      <c r="J561" s="220"/>
      <c r="K561" s="651"/>
      <c r="M561" s="821"/>
      <c r="N561" s="821"/>
      <c r="O561" s="260"/>
      <c r="P561" s="260"/>
    </row>
    <row r="562" spans="2:16">
      <c r="B562" s="650"/>
      <c r="C562" s="194"/>
      <c r="D562" s="195"/>
      <c r="E562" s="196"/>
      <c r="F562" s="197"/>
      <c r="G562" s="198"/>
      <c r="H562" s="199"/>
      <c r="I562" s="199"/>
      <c r="J562" s="220"/>
      <c r="K562" s="651"/>
      <c r="M562" s="260"/>
      <c r="N562" s="260"/>
      <c r="O562" s="260"/>
      <c r="P562" s="260"/>
    </row>
    <row r="563" spans="2:16" ht="15">
      <c r="B563" s="650"/>
      <c r="C563" s="194"/>
      <c r="D563" s="195"/>
      <c r="E563" s="287"/>
      <c r="F563" s="197"/>
      <c r="G563" s="198"/>
      <c r="H563" s="199"/>
      <c r="I563" s="199"/>
      <c r="J563" s="220"/>
      <c r="K563" s="651"/>
      <c r="M563" s="260"/>
      <c r="N563" s="260"/>
      <c r="O563" s="260"/>
      <c r="P563" s="260"/>
    </row>
    <row r="564" spans="2:16">
      <c r="B564" s="650"/>
      <c r="C564" s="194"/>
      <c r="D564" s="195"/>
      <c r="E564" s="196"/>
      <c r="F564" s="197"/>
      <c r="G564" s="198"/>
      <c r="H564" s="199"/>
      <c r="I564" s="199"/>
      <c r="J564" s="220"/>
      <c r="K564" s="651"/>
      <c r="M564" s="260"/>
      <c r="N564" s="260"/>
      <c r="O564" s="260"/>
      <c r="P564" s="260"/>
    </row>
    <row r="565" spans="2:16">
      <c r="B565" s="650"/>
      <c r="C565" s="194"/>
      <c r="D565" s="195"/>
      <c r="E565" s="196"/>
      <c r="F565" s="197"/>
      <c r="G565" s="198"/>
      <c r="H565" s="199"/>
      <c r="I565" s="199"/>
      <c r="J565" s="220"/>
      <c r="K565" s="651"/>
      <c r="M565" s="260"/>
      <c r="N565" s="260"/>
      <c r="O565" s="260"/>
      <c r="P565" s="260"/>
    </row>
    <row r="566" spans="2:16">
      <c r="B566" s="650"/>
      <c r="C566" s="194"/>
      <c r="D566" s="195"/>
      <c r="E566" s="196"/>
      <c r="F566" s="197"/>
      <c r="G566" s="198"/>
      <c r="H566" s="199"/>
      <c r="I566" s="199"/>
      <c r="J566" s="220"/>
      <c r="K566" s="651"/>
    </row>
    <row r="567" spans="2:16">
      <c r="B567" s="650"/>
      <c r="C567" s="194"/>
      <c r="D567" s="195"/>
      <c r="E567" s="196"/>
      <c r="F567" s="197"/>
      <c r="G567" s="198"/>
      <c r="H567" s="199"/>
      <c r="I567" s="199"/>
      <c r="J567" s="220"/>
      <c r="K567" s="651"/>
    </row>
    <row r="568" spans="2:16">
      <c r="B568" s="650"/>
      <c r="C568" s="194"/>
      <c r="D568" s="195"/>
      <c r="E568" s="196"/>
      <c r="F568" s="197"/>
      <c r="G568" s="198"/>
      <c r="H568" s="199"/>
      <c r="I568" s="199"/>
      <c r="J568" s="220"/>
      <c r="K568" s="651"/>
    </row>
    <row r="569" spans="2:16" ht="15">
      <c r="B569" s="650"/>
      <c r="C569" s="194"/>
      <c r="D569" s="195"/>
      <c r="E569" s="287"/>
      <c r="F569" s="394"/>
      <c r="G569" s="395"/>
      <c r="H569" s="396"/>
      <c r="I569" s="396"/>
      <c r="J569" s="397"/>
      <c r="K569" s="651"/>
    </row>
    <row r="570" spans="2:16" ht="15.75">
      <c r="B570" s="650"/>
      <c r="C570" s="194"/>
      <c r="D570" s="195"/>
      <c r="E570" s="497"/>
      <c r="F570" s="498"/>
      <c r="G570" s="499"/>
      <c r="H570" s="500"/>
      <c r="I570" s="500"/>
      <c r="J570" s="501"/>
      <c r="K570" s="651"/>
    </row>
    <row r="571" spans="2:16" ht="15.75">
      <c r="B571" s="650"/>
      <c r="C571" s="194"/>
      <c r="D571" s="195"/>
      <c r="E571" s="497"/>
      <c r="F571" s="498"/>
      <c r="G571" s="497"/>
      <c r="H571" s="500"/>
      <c r="I571" s="500"/>
      <c r="J571" s="501"/>
      <c r="K571" s="651"/>
    </row>
    <row r="572" spans="2:16" ht="15.75">
      <c r="B572" s="650"/>
      <c r="C572" s="194"/>
      <c r="D572" s="195"/>
      <c r="E572" s="640" t="s">
        <v>12935</v>
      </c>
      <c r="F572" s="502"/>
      <c r="G572" s="769" t="s">
        <v>12937</v>
      </c>
      <c r="H572" s="769"/>
      <c r="I572" s="769"/>
      <c r="J572" s="769"/>
      <c r="K572" s="651"/>
    </row>
    <row r="573" spans="2:16" ht="15.75">
      <c r="B573" s="650"/>
      <c r="C573" s="194"/>
      <c r="D573" s="195"/>
      <c r="E573" s="497" t="s">
        <v>12936</v>
      </c>
      <c r="F573" s="502"/>
      <c r="G573" s="770" t="s">
        <v>12938</v>
      </c>
      <c r="H573" s="770"/>
      <c r="I573" s="770"/>
      <c r="J573" s="770"/>
      <c r="K573" s="651"/>
    </row>
    <row r="574" spans="2:16" ht="16.5" thickBot="1">
      <c r="B574" s="652"/>
      <c r="C574" s="653"/>
      <c r="D574" s="654"/>
      <c r="E574" s="655"/>
      <c r="F574" s="656"/>
      <c r="G574" s="657"/>
      <c r="H574" s="658"/>
      <c r="I574" s="658"/>
      <c r="J574" s="659"/>
      <c r="K574" s="660"/>
    </row>
    <row r="575" spans="2:16" ht="15">
      <c r="E575" s="503"/>
      <c r="F575" s="504"/>
      <c r="G575" s="505"/>
      <c r="H575" s="506"/>
      <c r="I575" s="506"/>
      <c r="J575" s="507"/>
      <c r="K575" s="193"/>
    </row>
    <row r="576" spans="2:16">
      <c r="K576" s="193"/>
    </row>
    <row r="577" spans="11:11">
      <c r="K577" s="193"/>
    </row>
  </sheetData>
  <protectedRanges>
    <protectedRange password="C715" sqref="C21 B216:K216 C14 G148 J148:K148 C148 G155 J155:K155 B163:K164 B191:K192 B199:K199 B222:K222 B251:K251 B273:K273 B281:K281 B300:K300 B306:K306 B268:K268 B317:K317 B326:K326 B350:K350 B359:K359 B366:K366 C42 C46 C63 C65:D77 C78:C79 C88 C96:C97 C102 C109 C115 C123 C132 C139 C143 C146 C154:C155 C160:C161 C177 B178:K178 C190 C198 C207:C208 C211 C214 C221 C250 C267 C270:C271 C280 C299 C305 C314:C315 C325 C330:C331 C348 C358 C365 C405:C406 B408:K408 C416 B417:K417 C437 B438:K438 C475 B476:K476 C481 B482:K482 C489 B490:K490 C516 B517:K517 C523:C524 B526:D526 B527:B534 C535 C545 C552 C555" name="Intervalo3" securityDescriptor="O:WDG:WDD:(A;;CC;;;S-1-5-21-331323738-3957049979-2397494211-500)"/>
    <protectedRange sqref="G148 G155 B163:B164 G163:G164 G178 B191:B192 G191:G192 B199 G199 B216 G216 B222 G222 B251 G251 B273 G273 B281 G281 B300 G300 B306 G306 B268 G268 B317 G317 B326 G326 B350 G350 B359 G359 B366 G366 B178 B408 G408 B417 G417 B438 G438 B476 G476 B482 G482 B490 G490 B517 G517 B526:B534" name="Intervalo2"/>
    <protectedRange password="C715" sqref="B141:B142" name="Intervalo3_1" securityDescriptor="O:WDG:WDD:(A;;CC;;;S-1-5-21-331323738-3957049979-2397494211-500)"/>
    <protectedRange sqref="B141:B142" name="Intervalo2_1"/>
    <protectedRange password="C715" sqref="G14:H14 E21 G21:H21 B14:C14 E14 B21:C21 G64:I64 E545:E546 E42 G42:H42 B42:C42 E46 G46:H46 B46:C46 E63 G63:H63 B63:C63 D65:D77 E78:E80 G78:H79 B65:C79 E88 G88:H88 B88:C88 E96:E98 G96:H97 B96:C97 E102 G102:H102 B102:C102 E109 G109:H109 B109:C109 E115 G115:H115 B115:C115 E123 G123:H123 B123:C123 E132 G132:H132 B132:C132 B134:B138 E139 G139:H139 B139:C139 E143 G143:H143 B143:C143 E146 G146:H146 B146:C146 E154 G154:H154 B154:C154 E160:E161 G160:H161 B160:C161 E177 G177:H177 B177:C177 E190 G190:H190 B190:C190 E198 G198:H198 B198:C198 E207:E209 G207:H208 B207:C208 E211:E212 G211:H211 B211:C211 D213 E214:E215 G214:H214 B213:C214 B217:D220 E221 G221:H221 D223:D249 E250 G250:H250 D252:D266 E267:E268 G267:H267 E270:E273 G270:H271 D274:D279 E280:E281 G280:H280 E299:E300 G299:H299 D301:D304 E305:E306 G305:H305 D307:D313 E314:E317 G314:H315 D327:D329 E325:E326 G325:H325 E330:E332 G330:H331 D333:D347 E348:E350 G348:H348 D351:D357 E358:E359 G358:H358 D360:D364 E365:E366 G365:H365 G405:H406 E405:E408 G416:H416 E416:E417 B416:C417 B418:D436 G437:H437 E437:E438 B437:C438 G475:H475 E475:E476 G481:H481 G489:H489 E489:E490 B489:C490 G516:H516 E516:E517 B516:C517 B475:C482 E481:E482 D477:D480 B483:D488 B491:D515 B518:D522 G523:H524 E523:E525 D526:D534 G535:H535 E535:E536 D537:D544 G545:H545 D547:D551 E552 G552:H552 B523:C552 E555 G555:H555 B555:C555 D367:D404 B439:D474 B409:D415 D269 D282:D298 D318:D324 B210:D210 B221:C408" name="Intervalo3_18" securityDescriptor="O:WDG:WDD:(A;;CC;;;S-1-5-21-331323738-3957049979-2397494211-500)"/>
    <protectedRange sqref="G14:H14 B21 G21:H21 B14 G268:I268 B42 G42:H42 B46 G46:H46 G63:H63 G78:H79 B63:B79 G88:H88 B88 G96:H97 B96:B97 G102:H102 B102 G109:H109 B109 G115:H115 B115 G123:H123 B123 G132:H132 B132 G139:H139 B134:B139 G143:H143 B143 G146:H146 B146 G154:H154 B154 G160:H161 B160:B161 G177:H177 B177 G190:H190 B190 G198:H198 B198 G207:H208 G211:H211 G214:H214 G221:H221 B217:B221 G250:H250 B223:B250 G267:H267 B252:B267 G270:H271 G280:H280 B274:B280 G299:H299 G305:H305 B301:B305 G314:H315 G325:H325 G330:H331 G348:H348 G358:H358 G365:H365 G405:H406 G416:H416 G437:H437 G475:H475 G481:H481 G489:H489 G516:H516 G523:H524 G535:H535 G545:H545 G552:H552 G555:H555 B555 B269:B272 B282:B299 B307:B316 B207:B215 B318:B552" name="Intervalo2_16"/>
    <protectedRange password="C715" sqref="B14 B21 B535 B537:B545 B42 B46 B63 B65:B79 B88 B96:B97 B102 B109 B115 B123 B132 B134:B139 B143 B146 B154 B160:B161 B177 B190 B198 B207:B208 B213:B214 B217:B221 B223:B250 B252:B267 B274:B280 B301:B305 B327:B331 B333:B348 B351:B358 B360:B365 B418:B437 B477:B481 B483:B489 B491:B516 B518:B524 B547:B552 B555 B367:B406 B439:B475 B409:B416 B269:B271 B282:B299 B307:B315 B210:B211 B318:B325" name="Intervalo3_1_2_1" securityDescriptor="O:WDG:WDD:(A;;CC;;;S-1-5-21-331323738-3957049979-2397494211-500)"/>
    <protectedRange sqref="B14 B21 B535 B537:B545 B42 B46 B63 B65:B79 B88 B96:B97 B102 B109 B115 B123 B132 B134:B139 B143 B146 B154 B160:B161 B177 B190 B198 B207:B208 B213:B214 B217:B221 B223:B250 B252:B267 B274:B280 B301:B305 B327:B331 B333:B348 B351:B358 B360:B365 B418:B437 B477:B481 B483:B489 B491:B516 B518:B524 B547:B552 B555 B367:B406 B439:B475 B409:B416 B269:B271 B282:B299 B307:B315 B210:B211 B318:B325" name="Intervalo2_1_2"/>
    <protectedRange password="C715" sqref="F21 F14 F42 F46 F63 F78:F79 F88 F96:F97 F102 F109 F115 F123 F132 F139 F143 F146 F154 F160:F161 F177 F190 F198 F207:F208 F211 F214 F221 F250 F267 F270:F271 F280 F299 F305 F314:F315 F325 F330:F331 F348 F358 F365 F405:F406 F416 F437 F475 F481 F489 F516 F523:F524 F535 F545 F552 F555" name="Intervalo3_4_1_1_5" securityDescriptor="O:WDG:WDD:(A;;CC;;;S-1-5-21-331323738-3957049979-2397494211-500)"/>
  </protectedRanges>
  <mergeCells count="70">
    <mergeCell ref="G572:J572"/>
    <mergeCell ref="G573:J573"/>
    <mergeCell ref="B552:H552"/>
    <mergeCell ref="B545:H545"/>
    <mergeCell ref="B524:H524"/>
    <mergeCell ref="B365:H365"/>
    <mergeCell ref="B405:H405"/>
    <mergeCell ref="B523:H523"/>
    <mergeCell ref="B535:H535"/>
    <mergeCell ref="B325:H325"/>
    <mergeCell ref="B330:H330"/>
    <mergeCell ref="B331:H331"/>
    <mergeCell ref="B348:H348"/>
    <mergeCell ref="B358:H358"/>
    <mergeCell ref="B475:H475"/>
    <mergeCell ref="B481:H481"/>
    <mergeCell ref="B489:H489"/>
    <mergeCell ref="B516:H516"/>
    <mergeCell ref="B406:H406"/>
    <mergeCell ref="B416:H416"/>
    <mergeCell ref="B437:H437"/>
    <mergeCell ref="B208:H208"/>
    <mergeCell ref="B211:H211"/>
    <mergeCell ref="B315:H315"/>
    <mergeCell ref="B214:H214"/>
    <mergeCell ref="B221:H221"/>
    <mergeCell ref="B250:H250"/>
    <mergeCell ref="B267:H267"/>
    <mergeCell ref="B271:H271"/>
    <mergeCell ref="B280:H280"/>
    <mergeCell ref="B299:H299"/>
    <mergeCell ref="B305:H305"/>
    <mergeCell ref="B314:H314"/>
    <mergeCell ref="B270:H270"/>
    <mergeCell ref="B14:H14"/>
    <mergeCell ref="B109:H109"/>
    <mergeCell ref="B46:H46"/>
    <mergeCell ref="B558:H558"/>
    <mergeCell ref="B556:J556"/>
    <mergeCell ref="B123:H123"/>
    <mergeCell ref="B132:H132"/>
    <mergeCell ref="B143:H143"/>
    <mergeCell ref="B63:H63"/>
    <mergeCell ref="B555:H555"/>
    <mergeCell ref="B139:H139"/>
    <mergeCell ref="B97:H97"/>
    <mergeCell ref="B557:H557"/>
    <mergeCell ref="B115:H115"/>
    <mergeCell ref="B207:H207"/>
    <mergeCell ref="B21:H21"/>
    <mergeCell ref="B2:K2"/>
    <mergeCell ref="B8:K8"/>
    <mergeCell ref="B3:K3"/>
    <mergeCell ref="B4:K4"/>
    <mergeCell ref="B5:K5"/>
    <mergeCell ref="B6:K6"/>
    <mergeCell ref="B7:K7"/>
    <mergeCell ref="B198:H198"/>
    <mergeCell ref="B42:H42"/>
    <mergeCell ref="B160:H160"/>
    <mergeCell ref="B190:H190"/>
    <mergeCell ref="B146:H146"/>
    <mergeCell ref="B102:H102"/>
    <mergeCell ref="B79:H79"/>
    <mergeCell ref="B78:H78"/>
    <mergeCell ref="B88:H88"/>
    <mergeCell ref="B96:H96"/>
    <mergeCell ref="B154:H154"/>
    <mergeCell ref="B177:H177"/>
    <mergeCell ref="B161:H161"/>
  </mergeCells>
  <phoneticPr fontId="29" type="noConversion"/>
  <printOptions horizontalCentered="1"/>
  <pageMargins left="0.59055118110236227" right="0.19685039370078741" top="0.59055118110236227" bottom="0.59055118110236227" header="0" footer="0"/>
  <pageSetup paperSize="9" scale="40" orientation="portrait" r:id="rId1"/>
  <headerFooter>
    <oddFooter>Página &amp;P de &amp;N</oddFooter>
  </headerFooter>
  <colBreaks count="1" manualBreakCount="1">
    <brk id="11" min="1" max="577" man="1"/>
  </colBreaks>
  <drawing r:id="rId2"/>
</worksheet>
</file>

<file path=xl/worksheets/sheet5.xml><?xml version="1.0" encoding="utf-8"?>
<worksheet xmlns="http://schemas.openxmlformats.org/spreadsheetml/2006/main" xmlns:r="http://schemas.openxmlformats.org/officeDocument/2006/relationships">
  <dimension ref="B1:N83"/>
  <sheetViews>
    <sheetView view="pageBreakPreview" zoomScale="55" zoomScaleNormal="70" zoomScaleSheetLayoutView="55" workbookViewId="0">
      <selection activeCell="D91" sqref="D91"/>
    </sheetView>
  </sheetViews>
  <sheetFormatPr defaultRowHeight="12.75"/>
  <cols>
    <col min="2" max="2" width="10.85546875" customWidth="1"/>
    <col min="3" max="3" width="58.140625" customWidth="1"/>
    <col min="4" max="4" width="27.42578125" style="9" bestFit="1" customWidth="1"/>
    <col min="5" max="5" width="16.7109375" customWidth="1"/>
    <col min="6" max="7" width="24.5703125" style="6" bestFit="1" customWidth="1"/>
    <col min="8" max="10" width="25.5703125" style="6" bestFit="1" customWidth="1"/>
    <col min="11" max="11" width="23.28515625" style="6" bestFit="1" customWidth="1"/>
    <col min="12" max="12" width="27.42578125" bestFit="1" customWidth="1"/>
    <col min="13" max="13" width="18.5703125" customWidth="1"/>
    <col min="14" max="14" width="10.140625" bestFit="1" customWidth="1"/>
  </cols>
  <sheetData>
    <row r="1" spans="2:13" ht="47.25" customHeight="1" thickBot="1"/>
    <row r="2" spans="2:13" ht="97.5" customHeight="1" thickBot="1">
      <c r="B2" s="778"/>
      <c r="C2" s="779"/>
      <c r="D2" s="779"/>
      <c r="E2" s="779"/>
      <c r="F2" s="779"/>
      <c r="G2" s="779"/>
      <c r="H2" s="779"/>
      <c r="I2" s="779"/>
      <c r="J2" s="779"/>
      <c r="K2" s="779"/>
      <c r="L2" s="780"/>
    </row>
    <row r="3" spans="2:13" ht="15">
      <c r="B3" s="731" t="str">
        <f>'2-ORÇAMENTO'!B3:G3</f>
        <v xml:space="preserve">OBRA: REFORMA E AMPLIAÇÃO DA UNIDADE ESCOLAR </v>
      </c>
      <c r="C3" s="732"/>
      <c r="D3" s="732"/>
      <c r="E3" s="732"/>
      <c r="F3" s="732"/>
      <c r="G3" s="732"/>
      <c r="H3" s="297"/>
      <c r="I3" s="297"/>
      <c r="J3" s="297"/>
      <c r="K3" s="297"/>
      <c r="L3" s="222"/>
    </row>
    <row r="4" spans="2:13" ht="15">
      <c r="B4" s="725" t="str">
        <f>'2-ORÇAMENTO'!B4:G4</f>
        <v xml:space="preserve">LOCAL: EMEB "PROFESSORA JUVENÍLIA MONTEIRO DE OLIVEIRA </v>
      </c>
      <c r="C4" s="726"/>
      <c r="D4" s="726"/>
      <c r="E4" s="726"/>
      <c r="F4" s="726"/>
      <c r="G4" s="726"/>
      <c r="H4" s="298"/>
      <c r="I4" s="298"/>
      <c r="J4" s="298"/>
      <c r="K4" s="298"/>
      <c r="L4" s="19"/>
    </row>
    <row r="5" spans="2:13" ht="15">
      <c r="B5" s="725" t="str">
        <f>'2-ORÇAMENTO'!B5:G5</f>
        <v>ENDEREÇO: RUA PRINCIPAL, BAIRRO: ENGORDADOR</v>
      </c>
      <c r="C5" s="726"/>
      <c r="D5" s="726"/>
      <c r="E5" s="726"/>
      <c r="F5" s="726"/>
      <c r="G5" s="726"/>
      <c r="H5" s="298"/>
      <c r="I5" s="298"/>
      <c r="J5" s="298"/>
      <c r="K5" s="298"/>
      <c r="L5" s="19"/>
    </row>
    <row r="6" spans="2:13" ht="15" customHeight="1">
      <c r="B6" s="725" t="str">
        <f>'2-ORÇAMENTO'!B6:G6</f>
        <v>MUNICÍPIO: VÁRZEA GRANDE - MT</v>
      </c>
      <c r="C6" s="726"/>
      <c r="D6" s="726"/>
      <c r="E6" s="726"/>
      <c r="F6" s="726"/>
      <c r="G6" s="726"/>
      <c r="H6" s="298"/>
      <c r="I6" s="298"/>
      <c r="J6" s="298"/>
      <c r="K6" s="298"/>
      <c r="L6" s="19"/>
    </row>
    <row r="7" spans="2:13" ht="15.75" thickBot="1">
      <c r="B7" s="725" t="str">
        <f>'2-ORÇAMENTO'!B7:G7</f>
        <v>DATA BASE: SINAPI MAIO - COM DESONERAÇÃO / 2020 - BDI - 28,24%</v>
      </c>
      <c r="C7" s="726"/>
      <c r="D7" s="726"/>
      <c r="E7" s="726"/>
      <c r="F7" s="726"/>
      <c r="G7" s="726"/>
      <c r="H7" s="298"/>
      <c r="I7" s="298"/>
      <c r="J7" s="298"/>
      <c r="K7" s="298"/>
      <c r="L7" s="19"/>
    </row>
    <row r="8" spans="2:13" ht="16.5" customHeight="1" thickBot="1">
      <c r="B8" s="734" t="s">
        <v>36</v>
      </c>
      <c r="C8" s="735"/>
      <c r="D8" s="735"/>
      <c r="E8" s="735"/>
      <c r="F8" s="735"/>
      <c r="G8" s="735"/>
      <c r="H8" s="781"/>
      <c r="I8" s="781"/>
      <c r="J8" s="781"/>
      <c r="K8" s="781"/>
      <c r="L8" s="736"/>
    </row>
    <row r="9" spans="2:13" ht="17.25" thickBot="1">
      <c r="B9" s="737" t="s">
        <v>2</v>
      </c>
      <c r="C9" s="739" t="s">
        <v>11</v>
      </c>
      <c r="D9" s="741" t="s">
        <v>9</v>
      </c>
      <c r="E9" s="742"/>
      <c r="F9" s="734" t="s">
        <v>12</v>
      </c>
      <c r="G9" s="735"/>
      <c r="H9" s="781"/>
      <c r="I9" s="781"/>
      <c r="J9" s="781"/>
      <c r="K9" s="781"/>
      <c r="L9" s="736"/>
    </row>
    <row r="10" spans="2:13" ht="16.5" thickBot="1">
      <c r="B10" s="738"/>
      <c r="C10" s="740"/>
      <c r="D10" s="10" t="s">
        <v>13</v>
      </c>
      <c r="E10" s="11" t="s">
        <v>14</v>
      </c>
      <c r="F10" s="12" t="s">
        <v>15</v>
      </c>
      <c r="G10" s="12" t="s">
        <v>16</v>
      </c>
      <c r="H10" s="12" t="s">
        <v>6583</v>
      </c>
      <c r="I10" s="12" t="s">
        <v>6584</v>
      </c>
      <c r="J10" s="12" t="s">
        <v>6585</v>
      </c>
      <c r="K10" s="12" t="s">
        <v>6586</v>
      </c>
      <c r="L10" s="12" t="s">
        <v>9</v>
      </c>
    </row>
    <row r="11" spans="2:13" ht="18">
      <c r="B11" s="708" t="str">
        <f>'2-ORÇAMENTO'!B10</f>
        <v>1.0</v>
      </c>
      <c r="C11" s="710" t="str">
        <f>'2-ORÇAMENTO'!E10</f>
        <v xml:space="preserve">ADMINISTRAÇÃO DE OBRA </v>
      </c>
      <c r="D11" s="723">
        <f>'2-ORÇAMENTO'!K14</f>
        <v>102394.68</v>
      </c>
      <c r="E11" s="772">
        <f>D11/$D$69</f>
        <v>8.9162957707080479E-2</v>
      </c>
      <c r="F11" s="3">
        <f t="shared" ref="F11:K33" si="0">$D11*F12</f>
        <v>8696.6296770417321</v>
      </c>
      <c r="G11" s="3">
        <f t="shared" si="0"/>
        <v>15304.583816072198</v>
      </c>
      <c r="H11" s="3">
        <f t="shared" si="0"/>
        <v>33186.099067990224</v>
      </c>
      <c r="I11" s="3">
        <f t="shared" si="0"/>
        <v>25492.225086812985</v>
      </c>
      <c r="J11" s="3">
        <f t="shared" si="0"/>
        <v>17003.997505143965</v>
      </c>
      <c r="K11" s="3">
        <f t="shared" si="0"/>
        <v>2711.1448469388961</v>
      </c>
      <c r="L11" s="3">
        <f>SUM(F11+G11+H11+I11+J11+K11)</f>
        <v>102394.68000000001</v>
      </c>
    </row>
    <row r="12" spans="2:13" ht="18">
      <c r="B12" s="708"/>
      <c r="C12" s="718"/>
      <c r="D12" s="719"/>
      <c r="E12" s="773"/>
      <c r="F12" s="235">
        <v>8.4932436695360866E-2</v>
      </c>
      <c r="G12" s="235">
        <v>0.14946659158534603</v>
      </c>
      <c r="H12" s="235">
        <v>0.32409983671017117</v>
      </c>
      <c r="I12" s="235">
        <v>0.2489604448865213</v>
      </c>
      <c r="J12" s="235">
        <v>0.16606329064306824</v>
      </c>
      <c r="K12" s="235">
        <v>2.6477399479532496E-2</v>
      </c>
      <c r="L12" s="269">
        <f>SUM(F12,G12,H12,I12,J12,K12)</f>
        <v>1.0000000000000002</v>
      </c>
      <c r="M12" s="4"/>
    </row>
    <row r="13" spans="2:13" ht="18">
      <c r="B13" s="708" t="str">
        <f>'2-ORÇAMENTO'!B15</f>
        <v>2.0</v>
      </c>
      <c r="C13" s="709" t="str">
        <f>'2-ORÇAMENTO'!E15</f>
        <v>INSTALAÇÕES DE CANTEIRO E SERVIÇOS PRELIMINARES</v>
      </c>
      <c r="D13" s="722">
        <f>'2-ORÇAMENTO'!K21</f>
        <v>20479.650000000001</v>
      </c>
      <c r="E13" s="772">
        <f>D13/$D$69</f>
        <v>1.7833213276371499E-2</v>
      </c>
      <c r="F13" s="3">
        <f t="shared" si="0"/>
        <v>20479.650000000001</v>
      </c>
      <c r="G13" s="3">
        <f t="shared" si="0"/>
        <v>0</v>
      </c>
      <c r="H13" s="3">
        <f t="shared" si="0"/>
        <v>0</v>
      </c>
      <c r="I13" s="3">
        <f t="shared" si="0"/>
        <v>0</v>
      </c>
      <c r="J13" s="3">
        <f t="shared" si="0"/>
        <v>0</v>
      </c>
      <c r="K13" s="3">
        <f t="shared" si="0"/>
        <v>0</v>
      </c>
      <c r="L13" s="3">
        <f>SUM(F13+G13+H13+I13+J13+K13)</f>
        <v>20479.650000000001</v>
      </c>
      <c r="M13" s="4"/>
    </row>
    <row r="14" spans="2:13" ht="18">
      <c r="B14" s="708"/>
      <c r="C14" s="710"/>
      <c r="D14" s="723"/>
      <c r="E14" s="773"/>
      <c r="F14" s="235">
        <v>1</v>
      </c>
      <c r="G14" s="268"/>
      <c r="H14" s="321"/>
      <c r="I14" s="321"/>
      <c r="J14" s="321"/>
      <c r="K14" s="321"/>
      <c r="L14" s="269">
        <f>SUM(F14,G14,H14,I14,J14,K14)</f>
        <v>1</v>
      </c>
      <c r="M14" s="4"/>
    </row>
    <row r="15" spans="2:13" ht="18">
      <c r="B15" s="708" t="str">
        <f>'2-ORÇAMENTO'!B22</f>
        <v>3.0</v>
      </c>
      <c r="C15" s="709" t="str">
        <f>'2-ORÇAMENTO'!E22</f>
        <v>DEMOLIÇÕES E RETIRADAS</v>
      </c>
      <c r="D15" s="722">
        <f>'2-ORÇAMENTO'!K42</f>
        <v>64201.56</v>
      </c>
      <c r="E15" s="772">
        <f>D15/$D$69</f>
        <v>5.5905257763475505E-2</v>
      </c>
      <c r="F15" s="3">
        <f t="shared" si="0"/>
        <v>57781.404000000002</v>
      </c>
      <c r="G15" s="3">
        <f t="shared" si="0"/>
        <v>6420.1559999999999</v>
      </c>
      <c r="H15" s="3">
        <f t="shared" si="0"/>
        <v>0</v>
      </c>
      <c r="I15" s="3">
        <f t="shared" si="0"/>
        <v>0</v>
      </c>
      <c r="J15" s="3">
        <f t="shared" si="0"/>
        <v>0</v>
      </c>
      <c r="K15" s="3">
        <f t="shared" si="0"/>
        <v>0</v>
      </c>
      <c r="L15" s="3">
        <f>SUM(F15+G15+H15+I15+J15+K15)</f>
        <v>64201.560000000005</v>
      </c>
      <c r="M15" s="4"/>
    </row>
    <row r="16" spans="2:13" ht="18">
      <c r="B16" s="708"/>
      <c r="C16" s="710"/>
      <c r="D16" s="723"/>
      <c r="E16" s="773"/>
      <c r="F16" s="235">
        <v>0.9</v>
      </c>
      <c r="G16" s="235">
        <v>0.1</v>
      </c>
      <c r="H16" s="320"/>
      <c r="I16" s="320"/>
      <c r="J16" s="320"/>
      <c r="K16" s="320"/>
      <c r="L16" s="269">
        <f>SUM(F16,G16,H16,I16,J16,K16)</f>
        <v>1</v>
      </c>
      <c r="M16" s="4"/>
    </row>
    <row r="17" spans="2:13" ht="18">
      <c r="B17" s="743" t="str">
        <f>'2-ORÇAMENTO'!B43</f>
        <v>4.0</v>
      </c>
      <c r="C17" s="744" t="str">
        <f>'2-ORÇAMENTO'!E43</f>
        <v xml:space="preserve">TERRAPLENAGEM </v>
      </c>
      <c r="D17" s="722">
        <f>'2-ORÇAMENTO'!K46</f>
        <v>17262.080000000002</v>
      </c>
      <c r="E17" s="772">
        <f>D17/$D$69</f>
        <v>1.503142652505228E-2</v>
      </c>
      <c r="F17" s="3">
        <f t="shared" si="0"/>
        <v>13809.664000000002</v>
      </c>
      <c r="G17" s="3">
        <f t="shared" si="0"/>
        <v>3452.4160000000006</v>
      </c>
      <c r="H17" s="3">
        <f t="shared" si="0"/>
        <v>0</v>
      </c>
      <c r="I17" s="3">
        <f t="shared" si="0"/>
        <v>0</v>
      </c>
      <c r="J17" s="3">
        <f t="shared" si="0"/>
        <v>0</v>
      </c>
      <c r="K17" s="3">
        <f t="shared" si="0"/>
        <v>0</v>
      </c>
      <c r="L17" s="3">
        <f>SUM(F17+G17+H17+I17+J17+K17)</f>
        <v>17262.080000000002</v>
      </c>
      <c r="M17" s="4"/>
    </row>
    <row r="18" spans="2:13" ht="18">
      <c r="B18" s="743"/>
      <c r="C18" s="745"/>
      <c r="D18" s="723"/>
      <c r="E18" s="773"/>
      <c r="F18" s="235">
        <v>0.8</v>
      </c>
      <c r="G18" s="235">
        <v>0.2</v>
      </c>
      <c r="H18" s="320"/>
      <c r="I18" s="320"/>
      <c r="J18" s="320"/>
      <c r="K18" s="320"/>
      <c r="L18" s="269">
        <f>SUM(F18,G18,H18,I18,J18,K18)</f>
        <v>1</v>
      </c>
      <c r="M18" s="4"/>
    </row>
    <row r="19" spans="2:13" ht="18">
      <c r="B19" s="708" t="str">
        <f>'2-ORÇAMENTO'!B47</f>
        <v>5.0</v>
      </c>
      <c r="C19" s="718" t="str">
        <f>'2-ORÇAMENTO'!E47</f>
        <v xml:space="preserve">FUNDAÇÕES </v>
      </c>
      <c r="D19" s="719">
        <f>'2-ORÇAMENTO'!K79</f>
        <v>36456.78</v>
      </c>
      <c r="E19" s="772">
        <f>D19/$D$69</f>
        <v>3.1745734576018383E-2</v>
      </c>
      <c r="F19" s="3">
        <f t="shared" si="0"/>
        <v>0</v>
      </c>
      <c r="G19" s="3">
        <f t="shared" si="0"/>
        <v>18228.39</v>
      </c>
      <c r="H19" s="3">
        <f t="shared" si="0"/>
        <v>18228.39</v>
      </c>
      <c r="I19" s="3">
        <f t="shared" si="0"/>
        <v>0</v>
      </c>
      <c r="J19" s="3">
        <f t="shared" si="0"/>
        <v>0</v>
      </c>
      <c r="K19" s="3">
        <f t="shared" si="0"/>
        <v>0</v>
      </c>
      <c r="L19" s="3">
        <f>SUM(F19+G19+H19+I19+J19+K19)</f>
        <v>36456.78</v>
      </c>
      <c r="M19" s="1"/>
    </row>
    <row r="20" spans="2:13" ht="18">
      <c r="B20" s="708"/>
      <c r="C20" s="718"/>
      <c r="D20" s="719"/>
      <c r="E20" s="773"/>
      <c r="F20" s="268">
        <v>0</v>
      </c>
      <c r="G20" s="235">
        <v>0.5</v>
      </c>
      <c r="H20" s="320">
        <v>0.5</v>
      </c>
      <c r="I20" s="320"/>
      <c r="J20" s="320"/>
      <c r="K20" s="320"/>
      <c r="L20" s="269">
        <f>SUM(F20,G20,H20,I20,J20,K20)</f>
        <v>1</v>
      </c>
      <c r="M20" s="4"/>
    </row>
    <row r="21" spans="2:13" ht="18">
      <c r="B21" s="708" t="str">
        <f>'2-ORÇAMENTO'!B80</f>
        <v>6.0</v>
      </c>
      <c r="C21" s="718" t="str">
        <f>'2-ORÇAMENTO'!E80</f>
        <v xml:space="preserve">SUPERESTRUTURA </v>
      </c>
      <c r="D21" s="719">
        <f>'2-ORÇAMENTO'!K97</f>
        <v>34124.39</v>
      </c>
      <c r="E21" s="772">
        <f>D21/$D$69</f>
        <v>2.9714742429488725E-2</v>
      </c>
      <c r="F21" s="3">
        <f t="shared" si="0"/>
        <v>0</v>
      </c>
      <c r="G21" s="3">
        <f t="shared" si="0"/>
        <v>0</v>
      </c>
      <c r="H21" s="3">
        <f t="shared" si="0"/>
        <v>30711.951000000001</v>
      </c>
      <c r="I21" s="3">
        <f t="shared" si="0"/>
        <v>3412.4390000000003</v>
      </c>
      <c r="J21" s="3">
        <f t="shared" si="0"/>
        <v>0</v>
      </c>
      <c r="K21" s="3">
        <f t="shared" si="0"/>
        <v>0</v>
      </c>
      <c r="L21" s="3">
        <f>SUM(F21+G21+H21+I21+J21+K21)</f>
        <v>34124.39</v>
      </c>
    </row>
    <row r="22" spans="2:13" ht="18">
      <c r="B22" s="708"/>
      <c r="C22" s="718"/>
      <c r="D22" s="719"/>
      <c r="E22" s="773"/>
      <c r="F22" s="268">
        <v>0</v>
      </c>
      <c r="G22" s="235">
        <v>0</v>
      </c>
      <c r="H22" s="320">
        <v>0.9</v>
      </c>
      <c r="I22" s="320">
        <v>0.1</v>
      </c>
      <c r="J22" s="320"/>
      <c r="K22" s="320"/>
      <c r="L22" s="269">
        <f>SUM(F22,G22,H22,I22,J22,K22)</f>
        <v>1</v>
      </c>
      <c r="M22" s="4"/>
    </row>
    <row r="23" spans="2:13" ht="18">
      <c r="B23" s="720" t="str">
        <f>'2-ORÇAMENTO'!B98</f>
        <v>7.0</v>
      </c>
      <c r="C23" s="709" t="str">
        <f>'2-ORÇAMENTO'!E98</f>
        <v xml:space="preserve">FECHAMENTO EM ALVENARIA </v>
      </c>
      <c r="D23" s="722">
        <f>'2-ORÇAMENTO'!K102</f>
        <v>20340.23</v>
      </c>
      <c r="E23" s="772">
        <f>D23/$D$69</f>
        <v>1.7711809512391558E-2</v>
      </c>
      <c r="F23" s="3">
        <f t="shared" si="0"/>
        <v>0</v>
      </c>
      <c r="G23" s="3">
        <f t="shared" si="0"/>
        <v>0</v>
      </c>
      <c r="H23" s="3">
        <f t="shared" si="0"/>
        <v>18306.206999999999</v>
      </c>
      <c r="I23" s="3">
        <f t="shared" si="0"/>
        <v>2034.0230000000001</v>
      </c>
      <c r="J23" s="3">
        <f t="shared" si="0"/>
        <v>0</v>
      </c>
      <c r="K23" s="3">
        <f t="shared" si="0"/>
        <v>0</v>
      </c>
      <c r="L23" s="3">
        <f>SUM(F23+G23+H23+I23+J23+K23)</f>
        <v>20340.23</v>
      </c>
      <c r="M23" s="4"/>
    </row>
    <row r="24" spans="2:13" ht="18">
      <c r="B24" s="721"/>
      <c r="C24" s="710"/>
      <c r="D24" s="723"/>
      <c r="E24" s="773"/>
      <c r="F24" s="268">
        <v>0</v>
      </c>
      <c r="G24" s="235">
        <v>0</v>
      </c>
      <c r="H24" s="320">
        <v>0.9</v>
      </c>
      <c r="I24" s="320">
        <v>0.1</v>
      </c>
      <c r="J24" s="320"/>
      <c r="K24" s="320"/>
      <c r="L24" s="269">
        <f>SUM(F24,G24,H24,I24,J24,K24)</f>
        <v>1</v>
      </c>
      <c r="M24" s="4"/>
    </row>
    <row r="25" spans="2:13" ht="18">
      <c r="B25" s="708" t="str">
        <f>'2-ORÇAMENTO'!B103</f>
        <v>8.0</v>
      </c>
      <c r="C25" s="724" t="str">
        <f>'2-ORÇAMENTO'!E103</f>
        <v xml:space="preserve">ESTRUTURA COBERTURA </v>
      </c>
      <c r="D25" s="719">
        <f>'2-ORÇAMENTO'!K109</f>
        <v>84029.26</v>
      </c>
      <c r="E25" s="772">
        <f>D25/$D$69</f>
        <v>7.3170767812715171E-2</v>
      </c>
      <c r="F25" s="3">
        <f t="shared" si="0"/>
        <v>0</v>
      </c>
      <c r="G25" s="3">
        <f t="shared" si="0"/>
        <v>25208.777999999998</v>
      </c>
      <c r="H25" s="3">
        <f t="shared" si="0"/>
        <v>25208.777999999998</v>
      </c>
      <c r="I25" s="3">
        <f t="shared" si="0"/>
        <v>33611.703999999998</v>
      </c>
      <c r="J25" s="3">
        <f t="shared" si="0"/>
        <v>0</v>
      </c>
      <c r="K25" s="3">
        <f t="shared" si="0"/>
        <v>0</v>
      </c>
      <c r="L25" s="3">
        <f>SUM(F25+G25+H25+I25+J25+K25)</f>
        <v>84029.26</v>
      </c>
      <c r="M25" s="4"/>
    </row>
    <row r="26" spans="2:13" ht="18">
      <c r="B26" s="708"/>
      <c r="C26" s="710"/>
      <c r="D26" s="719"/>
      <c r="E26" s="773"/>
      <c r="F26" s="268">
        <v>0</v>
      </c>
      <c r="G26" s="268">
        <v>0.3</v>
      </c>
      <c r="H26" s="321">
        <v>0.3</v>
      </c>
      <c r="I26" s="321">
        <v>0.4</v>
      </c>
      <c r="J26" s="321"/>
      <c r="K26" s="321"/>
      <c r="L26" s="269">
        <f>SUM(F26,G26,H26,I26,J26,K26)</f>
        <v>1</v>
      </c>
      <c r="M26" s="4"/>
    </row>
    <row r="27" spans="2:13" ht="18">
      <c r="B27" s="708" t="str">
        <f>'2-ORÇAMENTO'!B110</f>
        <v>9.0</v>
      </c>
      <c r="C27" s="718" t="str">
        <f>'2-ORÇAMENTO'!E110</f>
        <v xml:space="preserve">COBERTURA </v>
      </c>
      <c r="D27" s="719">
        <f>'2-ORÇAMENTO'!K115</f>
        <v>151840.26999999999</v>
      </c>
      <c r="E27" s="772">
        <f>D27/$D$69</f>
        <v>0.1322190525156354</v>
      </c>
      <c r="F27" s="3">
        <f t="shared" si="0"/>
        <v>0</v>
      </c>
      <c r="G27" s="3">
        <f t="shared" si="0"/>
        <v>45552.080999999998</v>
      </c>
      <c r="H27" s="3">
        <f t="shared" si="0"/>
        <v>45552.080999999998</v>
      </c>
      <c r="I27" s="3">
        <f t="shared" si="0"/>
        <v>60736.108</v>
      </c>
      <c r="J27" s="3">
        <f t="shared" si="0"/>
        <v>0</v>
      </c>
      <c r="K27" s="3">
        <f t="shared" si="0"/>
        <v>0</v>
      </c>
      <c r="L27" s="3">
        <f>SUM(F27+G27+H27+I27+J27+K27)</f>
        <v>151840.26999999999</v>
      </c>
      <c r="M27" s="4"/>
    </row>
    <row r="28" spans="2:13" ht="18">
      <c r="B28" s="708"/>
      <c r="C28" s="718"/>
      <c r="D28" s="719"/>
      <c r="E28" s="773"/>
      <c r="F28" s="268">
        <v>0</v>
      </c>
      <c r="G28" s="235">
        <v>0.3</v>
      </c>
      <c r="H28" s="320">
        <v>0.3</v>
      </c>
      <c r="I28" s="320">
        <v>0.4</v>
      </c>
      <c r="J28" s="320"/>
      <c r="K28" s="320"/>
      <c r="L28" s="269">
        <f>SUM(F28,G28,H28,I28,J28,K28)</f>
        <v>1</v>
      </c>
      <c r="M28" s="4"/>
    </row>
    <row r="29" spans="2:13" ht="18">
      <c r="B29" s="708" t="str">
        <f>'2-ORÇAMENTO'!B116</f>
        <v>10.0</v>
      </c>
      <c r="C29" s="718" t="str">
        <f>'2-ORÇAMENTO'!E116</f>
        <v xml:space="preserve">ESQUADRIAS </v>
      </c>
      <c r="D29" s="719">
        <f>'2-ORÇAMENTO'!K123</f>
        <v>47854.76</v>
      </c>
      <c r="E29" s="772">
        <f>D29/$D$69</f>
        <v>4.1670836238391365E-2</v>
      </c>
      <c r="F29" s="3">
        <f t="shared" si="0"/>
        <v>0</v>
      </c>
      <c r="G29" s="3">
        <f t="shared" si="0"/>
        <v>0</v>
      </c>
      <c r="H29" s="3">
        <f t="shared" si="0"/>
        <v>0</v>
      </c>
      <c r="I29" s="3">
        <f t="shared" si="0"/>
        <v>0</v>
      </c>
      <c r="J29" s="3">
        <f t="shared" si="0"/>
        <v>47854.76</v>
      </c>
      <c r="K29" s="3">
        <f t="shared" si="0"/>
        <v>0</v>
      </c>
      <c r="L29" s="3">
        <f>SUM(F29+G29+H29+I29+J29+K29)</f>
        <v>47854.76</v>
      </c>
    </row>
    <row r="30" spans="2:13" ht="18">
      <c r="B30" s="708"/>
      <c r="C30" s="718"/>
      <c r="D30" s="719"/>
      <c r="E30" s="773"/>
      <c r="F30" s="268">
        <v>0</v>
      </c>
      <c r="G30" s="268">
        <v>0</v>
      </c>
      <c r="H30" s="321"/>
      <c r="I30" s="321"/>
      <c r="J30" s="321">
        <v>1</v>
      </c>
      <c r="K30" s="321"/>
      <c r="L30" s="269">
        <f>SUM(F30,G30,H30,I30,J30,K30)</f>
        <v>1</v>
      </c>
      <c r="M30" s="4"/>
    </row>
    <row r="31" spans="2:13" ht="18">
      <c r="B31" s="708" t="str">
        <f>'2-ORÇAMENTO'!B124</f>
        <v>11.0</v>
      </c>
      <c r="C31" s="717" t="str">
        <f>'2-ORÇAMENTO'!E124</f>
        <v>PISOS INTERNOS, EXTERNOS E CALÇAMENTOS</v>
      </c>
      <c r="D31" s="719">
        <f>'2-ORÇAMENTO'!K132</f>
        <v>82520.740000000005</v>
      </c>
      <c r="E31" s="772">
        <f>D31/$D$69</f>
        <v>7.1857182917872159E-2</v>
      </c>
      <c r="F31" s="3">
        <f t="shared" si="0"/>
        <v>0</v>
      </c>
      <c r="G31" s="3">
        <f t="shared" si="0"/>
        <v>0</v>
      </c>
      <c r="H31" s="3">
        <f t="shared" si="0"/>
        <v>66016.592000000004</v>
      </c>
      <c r="I31" s="3">
        <f t="shared" si="0"/>
        <v>16504.148000000001</v>
      </c>
      <c r="J31" s="3">
        <f t="shared" si="0"/>
        <v>0</v>
      </c>
      <c r="K31" s="3">
        <f t="shared" si="0"/>
        <v>0</v>
      </c>
      <c r="L31" s="3">
        <f>SUM(F31+G31+H31+I31+J31+K31)</f>
        <v>82520.740000000005</v>
      </c>
    </row>
    <row r="32" spans="2:13" ht="18">
      <c r="B32" s="708"/>
      <c r="C32" s="718"/>
      <c r="D32" s="719"/>
      <c r="E32" s="773"/>
      <c r="F32" s="268">
        <v>0</v>
      </c>
      <c r="G32" s="268">
        <v>0</v>
      </c>
      <c r="H32" s="321">
        <v>0.8</v>
      </c>
      <c r="I32" s="321">
        <v>0.2</v>
      </c>
      <c r="J32" s="321"/>
      <c r="K32" s="321"/>
      <c r="L32" s="269">
        <f>SUM(F32,G32,H32,I32,J32,K32)</f>
        <v>1</v>
      </c>
      <c r="M32" s="4"/>
    </row>
    <row r="33" spans="2:13" ht="18">
      <c r="B33" s="708" t="str">
        <f>'2-ORÇAMENTO'!B133</f>
        <v>12.0</v>
      </c>
      <c r="C33" s="709" t="str">
        <f>'2-ORÇAMENTO'!E133</f>
        <v xml:space="preserve">REVESTIMENTOS INTERNOS E EXTERNOS </v>
      </c>
      <c r="D33" s="719">
        <f>'2-ORÇAMENTO'!K139</f>
        <v>36573.879999999997</v>
      </c>
      <c r="E33" s="772">
        <f>D33/$D$69</f>
        <v>3.1847702591812743E-2</v>
      </c>
      <c r="F33" s="3">
        <f t="shared" si="0"/>
        <v>0</v>
      </c>
      <c r="G33" s="3">
        <f t="shared" si="0"/>
        <v>0</v>
      </c>
      <c r="H33" s="3">
        <f t="shared" si="0"/>
        <v>0</v>
      </c>
      <c r="I33" s="3">
        <f t="shared" si="0"/>
        <v>10972.163999999999</v>
      </c>
      <c r="J33" s="3">
        <f t="shared" si="0"/>
        <v>25601.715999999997</v>
      </c>
      <c r="K33" s="3">
        <f t="shared" si="0"/>
        <v>0</v>
      </c>
      <c r="L33" s="3">
        <f>SUM(F33+G33+H33+I33+J33+K33)</f>
        <v>36573.879999999997</v>
      </c>
    </row>
    <row r="34" spans="2:13" ht="18">
      <c r="B34" s="708"/>
      <c r="C34" s="710"/>
      <c r="D34" s="719"/>
      <c r="E34" s="773"/>
      <c r="F34" s="268">
        <v>0</v>
      </c>
      <c r="G34" s="268">
        <v>0</v>
      </c>
      <c r="H34" s="321"/>
      <c r="I34" s="321">
        <v>0.3</v>
      </c>
      <c r="J34" s="321">
        <v>0.7</v>
      </c>
      <c r="K34" s="321"/>
      <c r="L34" s="269">
        <f>SUM(F34,G34,H34,I34,J34,K34)</f>
        <v>1</v>
      </c>
      <c r="M34" s="4"/>
    </row>
    <row r="35" spans="2:13" ht="18">
      <c r="B35" s="708" t="str">
        <f>'2-ORÇAMENTO'!B140</f>
        <v>13.0</v>
      </c>
      <c r="C35" s="709" t="str">
        <f>'2-ORÇAMENTO'!E140</f>
        <v xml:space="preserve">GRANITOS PARA PEITORIS, SOLEIRAS, DIVISÓRIAS E BANCADAS </v>
      </c>
      <c r="D35" s="711">
        <f>'2-ORÇAMENTO'!K143</f>
        <v>8429.16</v>
      </c>
      <c r="E35" s="772">
        <f>D35/$D$69</f>
        <v>7.3399207516075503E-3</v>
      </c>
      <c r="F35" s="3">
        <f t="shared" ref="F35:K35" si="1">$D35*F36</f>
        <v>0</v>
      </c>
      <c r="G35" s="3">
        <f t="shared" si="1"/>
        <v>0</v>
      </c>
      <c r="H35" s="3">
        <f t="shared" si="1"/>
        <v>0</v>
      </c>
      <c r="I35" s="3">
        <f t="shared" si="1"/>
        <v>0</v>
      </c>
      <c r="J35" s="3">
        <f t="shared" si="1"/>
        <v>8429.16</v>
      </c>
      <c r="K35" s="3">
        <f t="shared" si="1"/>
        <v>0</v>
      </c>
      <c r="L35" s="3">
        <f>SUM(F35+G35+H35+I35+J35+K35)</f>
        <v>8429.16</v>
      </c>
      <c r="M35" s="4"/>
    </row>
    <row r="36" spans="2:13" ht="18">
      <c r="B36" s="708"/>
      <c r="C36" s="710"/>
      <c r="D36" s="712"/>
      <c r="E36" s="773"/>
      <c r="F36" s="268">
        <v>0</v>
      </c>
      <c r="G36" s="268">
        <v>0</v>
      </c>
      <c r="H36" s="321"/>
      <c r="I36" s="321"/>
      <c r="J36" s="321">
        <v>1</v>
      </c>
      <c r="K36" s="321"/>
      <c r="L36" s="269">
        <f>SUM(F36,G36,H36,I36,J36,K36)</f>
        <v>1</v>
      </c>
      <c r="M36" s="4"/>
    </row>
    <row r="37" spans="2:13" ht="18">
      <c r="B37" s="708" t="str">
        <f>'2-ORÇAMENTO'!B144</f>
        <v>14.0</v>
      </c>
      <c r="C37" s="709" t="str">
        <f>'2-ORÇAMENTO'!E144</f>
        <v xml:space="preserve">FORROS </v>
      </c>
      <c r="D37" s="711">
        <f>'2-ORÇAMENTO'!K146</f>
        <v>39772.589999999997</v>
      </c>
      <c r="E37" s="772">
        <f>D37/$D$69</f>
        <v>3.4633066484226059E-2</v>
      </c>
      <c r="F37" s="3">
        <f t="shared" ref="F37:K65" si="2">$D37*F38</f>
        <v>0</v>
      </c>
      <c r="G37" s="3">
        <f t="shared" si="2"/>
        <v>0</v>
      </c>
      <c r="H37" s="3">
        <f t="shared" si="2"/>
        <v>0</v>
      </c>
      <c r="I37" s="3">
        <f t="shared" si="2"/>
        <v>0</v>
      </c>
      <c r="J37" s="3">
        <f t="shared" si="2"/>
        <v>39772.589999999997</v>
      </c>
      <c r="K37" s="3">
        <f t="shared" si="2"/>
        <v>0</v>
      </c>
      <c r="L37" s="3">
        <f>SUM(F37+G37+H37+I37+J37+K37)</f>
        <v>39772.589999999997</v>
      </c>
      <c r="M37" s="4"/>
    </row>
    <row r="38" spans="2:13" ht="18">
      <c r="B38" s="708"/>
      <c r="C38" s="710"/>
      <c r="D38" s="712"/>
      <c r="E38" s="773"/>
      <c r="F38" s="268">
        <v>0</v>
      </c>
      <c r="G38" s="268">
        <v>0</v>
      </c>
      <c r="H38" s="321"/>
      <c r="I38" s="321"/>
      <c r="J38" s="321">
        <v>1</v>
      </c>
      <c r="K38" s="321"/>
      <c r="L38" s="269">
        <f>SUM(F38,G38,H38,I38,J38,K38)</f>
        <v>1</v>
      </c>
      <c r="M38" s="4"/>
    </row>
    <row r="39" spans="2:13" ht="18">
      <c r="B39" s="708" t="str">
        <f>'2-ORÇAMENTO'!B147</f>
        <v>15.0</v>
      </c>
      <c r="C39" s="709" t="str">
        <f>'2-ORÇAMENTO'!E147</f>
        <v xml:space="preserve">PINTURA INTERNA E EXTERNA </v>
      </c>
      <c r="D39" s="711">
        <f>'2-ORÇAMENTO'!K161</f>
        <v>22393.02</v>
      </c>
      <c r="E39" s="772">
        <f>D39/$D$69</f>
        <v>1.9499332340252518E-2</v>
      </c>
      <c r="F39" s="3">
        <f t="shared" si="2"/>
        <v>0</v>
      </c>
      <c r="G39" s="3">
        <f t="shared" si="2"/>
        <v>0</v>
      </c>
      <c r="H39" s="3">
        <f t="shared" si="2"/>
        <v>0</v>
      </c>
      <c r="I39" s="3">
        <f t="shared" si="2"/>
        <v>0</v>
      </c>
      <c r="J39" s="3">
        <f t="shared" si="2"/>
        <v>11196.51</v>
      </c>
      <c r="K39" s="3">
        <f t="shared" si="2"/>
        <v>11196.51</v>
      </c>
      <c r="L39" s="3">
        <f>SUM(F39+G39+H39+I39+J39+K39)</f>
        <v>22393.02</v>
      </c>
      <c r="M39" s="4"/>
    </row>
    <row r="40" spans="2:13" ht="18">
      <c r="B40" s="708"/>
      <c r="C40" s="710"/>
      <c r="D40" s="712"/>
      <c r="E40" s="773"/>
      <c r="F40" s="268">
        <v>0</v>
      </c>
      <c r="G40" s="268">
        <v>0</v>
      </c>
      <c r="H40" s="321"/>
      <c r="I40" s="321"/>
      <c r="J40" s="321">
        <v>0.5</v>
      </c>
      <c r="K40" s="321">
        <v>0.5</v>
      </c>
      <c r="L40" s="269">
        <f>SUM(F40,G40,H40,I40,J40,K40)</f>
        <v>1</v>
      </c>
      <c r="M40" s="4"/>
    </row>
    <row r="41" spans="2:13" ht="18">
      <c r="B41" s="708" t="str">
        <f>'2-ORÇAMENTO'!B162</f>
        <v>16.0</v>
      </c>
      <c r="C41" s="709" t="str">
        <f>'2-ORÇAMENTO'!E162</f>
        <v>MURO</v>
      </c>
      <c r="D41" s="711">
        <f>'2-ORÇAMENTO'!K208</f>
        <v>63886.61</v>
      </c>
      <c r="E41" s="772">
        <f>D41/$D$69</f>
        <v>5.5631006469073839E-2</v>
      </c>
      <c r="F41" s="3">
        <f t="shared" si="2"/>
        <v>0</v>
      </c>
      <c r="G41" s="3">
        <f t="shared" si="2"/>
        <v>12777.322</v>
      </c>
      <c r="H41" s="3">
        <f t="shared" si="2"/>
        <v>51109.288</v>
      </c>
      <c r="I41" s="3">
        <f t="shared" si="2"/>
        <v>0</v>
      </c>
      <c r="J41" s="3">
        <f t="shared" si="2"/>
        <v>0</v>
      </c>
      <c r="K41" s="3">
        <f t="shared" si="2"/>
        <v>0</v>
      </c>
      <c r="L41" s="3">
        <f>SUM(F41+G41+H41+I41+J41+K41)</f>
        <v>63886.61</v>
      </c>
      <c r="M41" s="4"/>
    </row>
    <row r="42" spans="2:13" ht="18">
      <c r="B42" s="708"/>
      <c r="C42" s="710"/>
      <c r="D42" s="712"/>
      <c r="E42" s="773"/>
      <c r="F42" s="268">
        <v>0</v>
      </c>
      <c r="G42" s="268">
        <v>0.2</v>
      </c>
      <c r="H42" s="321">
        <v>0.8</v>
      </c>
      <c r="I42" s="321"/>
      <c r="J42" s="321"/>
      <c r="K42" s="321"/>
      <c r="L42" s="269">
        <f>SUM(F42,G42,H42,I42,J42,K42)</f>
        <v>1</v>
      </c>
      <c r="M42" s="4"/>
    </row>
    <row r="43" spans="2:13" ht="18">
      <c r="B43" s="708" t="str">
        <f>'2-ORÇAMENTO'!B209</f>
        <v>17.0</v>
      </c>
      <c r="C43" s="709" t="str">
        <f>'2-ORÇAMENTO'!E209</f>
        <v>PINTURA DAS ESQUADRIAS</v>
      </c>
      <c r="D43" s="711">
        <f>'2-ORÇAMENTO'!K211</f>
        <v>8739.75</v>
      </c>
      <c r="E43" s="772">
        <f>D43/$D$69</f>
        <v>7.6103754572059475E-3</v>
      </c>
      <c r="F43" s="3">
        <f t="shared" si="2"/>
        <v>0</v>
      </c>
      <c r="G43" s="3">
        <f t="shared" si="2"/>
        <v>0</v>
      </c>
      <c r="H43" s="3">
        <f t="shared" si="2"/>
        <v>0</v>
      </c>
      <c r="I43" s="3">
        <f t="shared" si="2"/>
        <v>0</v>
      </c>
      <c r="J43" s="3">
        <f t="shared" si="2"/>
        <v>0</v>
      </c>
      <c r="K43" s="3">
        <f t="shared" si="2"/>
        <v>8739.75</v>
      </c>
      <c r="L43" s="3">
        <f>SUM(F43+G43+H43+I43+J43+K43)</f>
        <v>8739.75</v>
      </c>
      <c r="M43" s="4"/>
    </row>
    <row r="44" spans="2:13" ht="18">
      <c r="B44" s="708"/>
      <c r="C44" s="710"/>
      <c r="D44" s="712"/>
      <c r="E44" s="773"/>
      <c r="F44" s="268">
        <v>0</v>
      </c>
      <c r="G44" s="268">
        <v>0</v>
      </c>
      <c r="H44" s="321"/>
      <c r="I44" s="321"/>
      <c r="J44" s="321"/>
      <c r="K44" s="321">
        <v>1</v>
      </c>
      <c r="L44" s="269">
        <f>SUM(F44,G44,H44,I44,J44,K44)</f>
        <v>1</v>
      </c>
      <c r="M44" s="4"/>
    </row>
    <row r="45" spans="2:13" ht="18">
      <c r="B45" s="708" t="str">
        <f>'2-ORÇAMENTO'!B212</f>
        <v>18.0</v>
      </c>
      <c r="C45" s="709" t="str">
        <f>'2-ORÇAMENTO'!E212</f>
        <v xml:space="preserve">PASSEIO </v>
      </c>
      <c r="D45" s="711">
        <f>'2-ORÇAMENTO'!K214</f>
        <v>2635.08</v>
      </c>
      <c r="E45" s="772">
        <f>D45/$D$69</f>
        <v>2.2945677118652421E-3</v>
      </c>
      <c r="F45" s="3">
        <f t="shared" si="2"/>
        <v>0</v>
      </c>
      <c r="G45" s="3">
        <f t="shared" si="2"/>
        <v>0</v>
      </c>
      <c r="H45" s="3">
        <f t="shared" si="2"/>
        <v>0</v>
      </c>
      <c r="I45" s="3">
        <f t="shared" si="2"/>
        <v>0</v>
      </c>
      <c r="J45" s="3">
        <f t="shared" si="2"/>
        <v>0</v>
      </c>
      <c r="K45" s="3">
        <f t="shared" si="2"/>
        <v>2635.08</v>
      </c>
      <c r="L45" s="3">
        <f>SUM(F45+G45+H45+I45+J45+K45)</f>
        <v>2635.08</v>
      </c>
      <c r="M45" s="4"/>
    </row>
    <row r="46" spans="2:13" ht="18">
      <c r="B46" s="708"/>
      <c r="C46" s="710"/>
      <c r="D46" s="712"/>
      <c r="E46" s="773"/>
      <c r="F46" s="268">
        <v>0</v>
      </c>
      <c r="G46" s="268">
        <v>0</v>
      </c>
      <c r="H46" s="321"/>
      <c r="I46" s="321"/>
      <c r="J46" s="321"/>
      <c r="K46" s="321">
        <v>1</v>
      </c>
      <c r="L46" s="269">
        <f>SUM(F46,G46,H46,I46,J46,K46)</f>
        <v>1</v>
      </c>
      <c r="M46" s="4"/>
    </row>
    <row r="47" spans="2:13" ht="18">
      <c r="B47" s="708" t="str">
        <f>'2-ORÇAMENTO'!B215</f>
        <v>19.0</v>
      </c>
      <c r="C47" s="709" t="str">
        <f>'2-ORÇAMENTO'!E215</f>
        <v>INSTALAÇÕES DE AGUA FRIA</v>
      </c>
      <c r="D47" s="711">
        <f>'2-ORÇAMENTO'!K271</f>
        <v>65566.45</v>
      </c>
      <c r="E47" s="772">
        <f>D47/$D$69</f>
        <v>5.7093772922122588E-2</v>
      </c>
      <c r="F47" s="3">
        <f t="shared" si="2"/>
        <v>0</v>
      </c>
      <c r="G47" s="3">
        <f t="shared" si="2"/>
        <v>19669.934999999998</v>
      </c>
      <c r="H47" s="3">
        <f t="shared" si="2"/>
        <v>32783.224999999999</v>
      </c>
      <c r="I47" s="3">
        <f t="shared" si="2"/>
        <v>13113.29</v>
      </c>
      <c r="J47" s="3">
        <f t="shared" si="2"/>
        <v>0</v>
      </c>
      <c r="K47" s="3">
        <f t="shared" si="2"/>
        <v>0</v>
      </c>
      <c r="L47" s="3">
        <f>SUM(F47+G47+H47+I47+J47+K47)</f>
        <v>65566.45</v>
      </c>
      <c r="M47" s="4"/>
    </row>
    <row r="48" spans="2:13" ht="18">
      <c r="B48" s="708"/>
      <c r="C48" s="710"/>
      <c r="D48" s="712"/>
      <c r="E48" s="773"/>
      <c r="F48" s="268">
        <v>0</v>
      </c>
      <c r="G48" s="268">
        <v>0.3</v>
      </c>
      <c r="H48" s="321">
        <v>0.5</v>
      </c>
      <c r="I48" s="321">
        <v>0.2</v>
      </c>
      <c r="J48" s="321"/>
      <c r="K48" s="321"/>
      <c r="L48" s="269">
        <f>SUM(F48,G48,H48,I48,J48,K48)</f>
        <v>1</v>
      </c>
      <c r="M48" s="4"/>
    </row>
    <row r="49" spans="2:13" ht="18">
      <c r="B49" s="708" t="str">
        <f>'2-ORÇAMENTO'!B272</f>
        <v>20.0</v>
      </c>
      <c r="C49" s="709" t="str">
        <f>'2-ORÇAMENTO'!E272</f>
        <v>INSTALAÇÕES SANITÁRIAS</v>
      </c>
      <c r="D49" s="711">
        <f>'2-ORÇAMENTO'!K315</f>
        <v>26843.88</v>
      </c>
      <c r="E49" s="772">
        <f>D49/$D$69</f>
        <v>2.3375039964321817E-2</v>
      </c>
      <c r="F49" s="3">
        <f t="shared" si="2"/>
        <v>0</v>
      </c>
      <c r="G49" s="3">
        <f t="shared" si="2"/>
        <v>13421.94</v>
      </c>
      <c r="H49" s="3">
        <f t="shared" si="2"/>
        <v>13421.94</v>
      </c>
      <c r="I49" s="3">
        <f t="shared" si="2"/>
        <v>0</v>
      </c>
      <c r="J49" s="3">
        <f t="shared" si="2"/>
        <v>0</v>
      </c>
      <c r="K49" s="3">
        <f t="shared" si="2"/>
        <v>0</v>
      </c>
      <c r="L49" s="3">
        <f>SUM(F49+G49+H49+I49+J49+K49)</f>
        <v>26843.88</v>
      </c>
      <c r="M49" s="4"/>
    </row>
    <row r="50" spans="2:13" ht="18">
      <c r="B50" s="708"/>
      <c r="C50" s="710"/>
      <c r="D50" s="712"/>
      <c r="E50" s="773"/>
      <c r="F50" s="268">
        <v>0</v>
      </c>
      <c r="G50" s="268">
        <v>0.5</v>
      </c>
      <c r="H50" s="321">
        <v>0.5</v>
      </c>
      <c r="I50" s="321"/>
      <c r="J50" s="321"/>
      <c r="K50" s="321"/>
      <c r="L50" s="269">
        <f>SUM(F50,G50,H50,I50,J50,K50)</f>
        <v>1</v>
      </c>
      <c r="M50" s="4"/>
    </row>
    <row r="51" spans="2:13" ht="18">
      <c r="B51" s="708" t="str">
        <f>'2-ORÇAMENTO'!B316</f>
        <v>21.0</v>
      </c>
      <c r="C51" s="709" t="str">
        <f>'2-ORÇAMENTO'!E316</f>
        <v>LOUÇAS E METAIS</v>
      </c>
      <c r="D51" s="711">
        <f>'2-ORÇAMENTO'!K331</f>
        <v>10098.31</v>
      </c>
      <c r="E51" s="772">
        <f>D51/$D$69</f>
        <v>8.7933785958702933E-3</v>
      </c>
      <c r="F51" s="3">
        <f t="shared" si="2"/>
        <v>0</v>
      </c>
      <c r="G51" s="3">
        <f t="shared" si="2"/>
        <v>0</v>
      </c>
      <c r="H51" s="3">
        <f t="shared" si="2"/>
        <v>0</v>
      </c>
      <c r="I51" s="3">
        <f t="shared" si="2"/>
        <v>7068.8169999999991</v>
      </c>
      <c r="J51" s="3">
        <f t="shared" si="2"/>
        <v>3029.4929999999999</v>
      </c>
      <c r="K51" s="3">
        <f t="shared" si="2"/>
        <v>0</v>
      </c>
      <c r="L51" s="3">
        <f>SUM(F51+G51+H51+I51+J51+K51)</f>
        <v>10098.31</v>
      </c>
      <c r="M51" s="4"/>
    </row>
    <row r="52" spans="2:13" ht="18">
      <c r="B52" s="708"/>
      <c r="C52" s="710"/>
      <c r="D52" s="712"/>
      <c r="E52" s="773"/>
      <c r="F52" s="268">
        <v>0</v>
      </c>
      <c r="G52" s="268">
        <v>0</v>
      </c>
      <c r="H52" s="321"/>
      <c r="I52" s="321">
        <v>0.7</v>
      </c>
      <c r="J52" s="321">
        <v>0.3</v>
      </c>
      <c r="K52" s="321"/>
      <c r="L52" s="269">
        <f>SUM(F52,G52,H52,I52,J52,K52)</f>
        <v>1</v>
      </c>
      <c r="M52" s="4"/>
    </row>
    <row r="53" spans="2:13" ht="18">
      <c r="B53" s="708" t="str">
        <f>'2-ORÇAMENTO'!B332</f>
        <v>22.0</v>
      </c>
      <c r="C53" s="709" t="str">
        <f>'2-ORÇAMENTO'!E332</f>
        <v>INSTALAÇÕES DE GÁS</v>
      </c>
      <c r="D53" s="711">
        <f>'2-ORÇAMENTO'!K348</f>
        <v>4822.87</v>
      </c>
      <c r="E53" s="772">
        <f>D53/$D$69</f>
        <v>4.199645468267954E-3</v>
      </c>
      <c r="F53" s="3">
        <f t="shared" si="2"/>
        <v>0</v>
      </c>
      <c r="G53" s="3">
        <f t="shared" si="2"/>
        <v>0</v>
      </c>
      <c r="H53" s="3">
        <f t="shared" si="2"/>
        <v>0</v>
      </c>
      <c r="I53" s="3">
        <f t="shared" si="2"/>
        <v>4822.87</v>
      </c>
      <c r="J53" s="3">
        <f t="shared" si="2"/>
        <v>0</v>
      </c>
      <c r="K53" s="3">
        <f t="shared" si="2"/>
        <v>0</v>
      </c>
      <c r="L53" s="3">
        <f>SUM(F53+G53+H53+I53+J53+K53)</f>
        <v>4822.87</v>
      </c>
      <c r="M53" s="4"/>
    </row>
    <row r="54" spans="2:13" ht="18">
      <c r="B54" s="708"/>
      <c r="C54" s="710"/>
      <c r="D54" s="712"/>
      <c r="E54" s="773"/>
      <c r="F54" s="268">
        <v>0</v>
      </c>
      <c r="G54" s="268">
        <v>0</v>
      </c>
      <c r="H54" s="321"/>
      <c r="I54" s="321">
        <v>1</v>
      </c>
      <c r="J54" s="321"/>
      <c r="K54" s="321"/>
      <c r="L54" s="269">
        <f>SUM(F54,G54,H54,I54,J54,K54)</f>
        <v>1</v>
      </c>
      <c r="M54" s="4"/>
    </row>
    <row r="55" spans="2:13" ht="18">
      <c r="B55" s="708" t="str">
        <f>'2-ORÇAMENTO'!B349</f>
        <v>23.0</v>
      </c>
      <c r="C55" s="709" t="str">
        <f>'2-ORÇAMENTO'!E349</f>
        <v xml:space="preserve">INSTALAÇÕES ELÉTRICAS </v>
      </c>
      <c r="D55" s="711">
        <f>'2-ORÇAMENTO'!K406</f>
        <v>65636.399999999994</v>
      </c>
      <c r="E55" s="772">
        <f>D55/$D$69</f>
        <v>5.7154683790652187E-2</v>
      </c>
      <c r="F55" s="3">
        <f t="shared" si="2"/>
        <v>0</v>
      </c>
      <c r="G55" s="3">
        <f t="shared" si="2"/>
        <v>0</v>
      </c>
      <c r="H55" s="3">
        <f t="shared" si="2"/>
        <v>19690.919999999998</v>
      </c>
      <c r="I55" s="3">
        <f t="shared" si="2"/>
        <v>45945.479999999996</v>
      </c>
      <c r="J55" s="3">
        <f t="shared" si="2"/>
        <v>0</v>
      </c>
      <c r="K55" s="3">
        <f t="shared" si="2"/>
        <v>0</v>
      </c>
      <c r="L55" s="3">
        <f>SUM(F55+G55+H55+I55+J55+K55)</f>
        <v>65636.399999999994</v>
      </c>
      <c r="M55" s="4"/>
    </row>
    <row r="56" spans="2:13" ht="18">
      <c r="B56" s="708"/>
      <c r="C56" s="710"/>
      <c r="D56" s="712"/>
      <c r="E56" s="773"/>
      <c r="F56" s="268">
        <v>0</v>
      </c>
      <c r="G56" s="268">
        <v>0</v>
      </c>
      <c r="H56" s="321">
        <v>0.3</v>
      </c>
      <c r="I56" s="321">
        <v>0.7</v>
      </c>
      <c r="J56" s="321"/>
      <c r="K56" s="321"/>
      <c r="L56" s="269">
        <f>SUM(F56,G56,H56,I56,J56,K56)</f>
        <v>1</v>
      </c>
      <c r="M56" s="4"/>
    </row>
    <row r="57" spans="2:13" ht="18">
      <c r="B57" s="708" t="str">
        <f>'2-ORÇAMENTO'!B407</f>
        <v>24.0</v>
      </c>
      <c r="C57" s="709" t="str">
        <f>'2-ORÇAMENTO'!E407</f>
        <v xml:space="preserve">POSTO DE TRANSFORMAÇÃO </v>
      </c>
      <c r="D57" s="711">
        <f>'2-ORÇAMENTO'!K524</f>
        <v>77195.37</v>
      </c>
      <c r="E57" s="772">
        <f>D57/$D$69</f>
        <v>6.7219971882254329E-2</v>
      </c>
      <c r="F57" s="3">
        <f t="shared" si="2"/>
        <v>0</v>
      </c>
      <c r="G57" s="3">
        <f t="shared" si="2"/>
        <v>0</v>
      </c>
      <c r="H57" s="3">
        <f t="shared" si="2"/>
        <v>0</v>
      </c>
      <c r="I57" s="3">
        <f t="shared" si="2"/>
        <v>46317.221999999994</v>
      </c>
      <c r="J57" s="3">
        <f t="shared" si="2"/>
        <v>30878.148000000001</v>
      </c>
      <c r="K57" s="3">
        <f t="shared" si="2"/>
        <v>0</v>
      </c>
      <c r="L57" s="3">
        <f>SUM(F57+G57+H57+I57+J57+K57)</f>
        <v>77195.37</v>
      </c>
      <c r="M57" s="4"/>
    </row>
    <row r="58" spans="2:13" ht="18">
      <c r="B58" s="708"/>
      <c r="C58" s="710"/>
      <c r="D58" s="712"/>
      <c r="E58" s="773"/>
      <c r="F58" s="268">
        <v>0</v>
      </c>
      <c r="G58" s="268">
        <v>0</v>
      </c>
      <c r="H58" s="321"/>
      <c r="I58" s="321">
        <v>0.6</v>
      </c>
      <c r="J58" s="321">
        <v>0.4</v>
      </c>
      <c r="K58" s="321"/>
      <c r="L58" s="269">
        <f>SUM(F58,G58,H58,I58,J58,K58)</f>
        <v>1</v>
      </c>
      <c r="M58" s="4"/>
    </row>
    <row r="59" spans="2:13" ht="18">
      <c r="B59" s="708" t="str">
        <f>'2-ORÇAMENTO'!B525</f>
        <v>25.0</v>
      </c>
      <c r="C59" s="709" t="str">
        <f>'2-ORÇAMENTO'!E525</f>
        <v>DRENAGEM</v>
      </c>
      <c r="D59" s="711">
        <f>'2-ORÇAMENTO'!K535</f>
        <v>19062.88</v>
      </c>
      <c r="E59" s="772">
        <f>D59/$D$69</f>
        <v>1.6599522194074446E-2</v>
      </c>
      <c r="F59" s="3">
        <f t="shared" si="2"/>
        <v>0</v>
      </c>
      <c r="G59" s="3">
        <f t="shared" si="2"/>
        <v>0</v>
      </c>
      <c r="H59" s="3">
        <f t="shared" si="2"/>
        <v>9531.44</v>
      </c>
      <c r="I59" s="3">
        <f t="shared" si="2"/>
        <v>9531.44</v>
      </c>
      <c r="J59" s="3">
        <f t="shared" si="2"/>
        <v>0</v>
      </c>
      <c r="K59" s="3">
        <f t="shared" si="2"/>
        <v>0</v>
      </c>
      <c r="L59" s="3">
        <f>SUM(F59+G59+H59+I59+J59+K59)</f>
        <v>19062.88</v>
      </c>
      <c r="M59" s="4"/>
    </row>
    <row r="60" spans="2:13" ht="18">
      <c r="B60" s="708"/>
      <c r="C60" s="710"/>
      <c r="D60" s="712"/>
      <c r="E60" s="773"/>
      <c r="F60" s="268">
        <v>0</v>
      </c>
      <c r="G60" s="268">
        <v>0</v>
      </c>
      <c r="H60" s="321">
        <v>0.5</v>
      </c>
      <c r="I60" s="321">
        <v>0.5</v>
      </c>
      <c r="J60" s="321"/>
      <c r="K60" s="321"/>
      <c r="L60" s="269">
        <f>SUM(F60,G60,H60,I60,J60,K60)</f>
        <v>1</v>
      </c>
      <c r="M60" s="4"/>
    </row>
    <row r="61" spans="2:13" ht="18">
      <c r="B61" s="708" t="str">
        <f>'2-ORÇAMENTO'!B536</f>
        <v>26.0</v>
      </c>
      <c r="C61" s="709" t="str">
        <f>'2-ORÇAMENTO'!E536</f>
        <v>COMBATE AO INCÊNDIO</v>
      </c>
      <c r="D61" s="711">
        <f>'2-ORÇAMENTO'!K545</f>
        <v>17009.099999999999</v>
      </c>
      <c r="E61" s="772">
        <f>D61/$D$69</f>
        <v>1.4811137296737513E-2</v>
      </c>
      <c r="F61" s="3">
        <f t="shared" si="2"/>
        <v>0</v>
      </c>
      <c r="G61" s="3">
        <f t="shared" si="2"/>
        <v>0</v>
      </c>
      <c r="H61" s="3">
        <f t="shared" si="2"/>
        <v>0</v>
      </c>
      <c r="I61" s="3">
        <f t="shared" si="2"/>
        <v>3401.8199999999997</v>
      </c>
      <c r="J61" s="3">
        <f t="shared" si="2"/>
        <v>8504.5499999999993</v>
      </c>
      <c r="K61" s="3">
        <f t="shared" si="2"/>
        <v>5102.7299999999996</v>
      </c>
      <c r="L61" s="3">
        <f>SUM(F61+G61+H61+I61+J61+K61)</f>
        <v>17009.099999999999</v>
      </c>
      <c r="M61" s="4"/>
    </row>
    <row r="62" spans="2:13" ht="18">
      <c r="B62" s="708"/>
      <c r="C62" s="710"/>
      <c r="D62" s="712"/>
      <c r="E62" s="773"/>
      <c r="F62" s="268">
        <v>0</v>
      </c>
      <c r="G62" s="268">
        <v>0</v>
      </c>
      <c r="H62" s="321"/>
      <c r="I62" s="321">
        <v>0.2</v>
      </c>
      <c r="J62" s="321">
        <v>0.5</v>
      </c>
      <c r="K62" s="321">
        <v>0.3</v>
      </c>
      <c r="L62" s="269">
        <f>SUM(F62,G62,H62,I62,J62,K62)</f>
        <v>1</v>
      </c>
      <c r="M62" s="4"/>
    </row>
    <row r="63" spans="2:13" ht="18">
      <c r="B63" s="708" t="str">
        <f>'2-ORÇAMENTO'!B546</f>
        <v>27.0</v>
      </c>
      <c r="C63" s="709" t="str">
        <f>'2-ORÇAMENTO'!E546</f>
        <v>SERVIÇOS DIVERSOS</v>
      </c>
      <c r="D63" s="711">
        <f>'2-ORÇAMENTO'!K552</f>
        <v>14998.21</v>
      </c>
      <c r="E63" s="772">
        <f>D63/$D$69</f>
        <v>1.3060100035586924E-2</v>
      </c>
      <c r="F63" s="3">
        <f t="shared" si="2"/>
        <v>0</v>
      </c>
      <c r="G63" s="3">
        <f t="shared" si="2"/>
        <v>0</v>
      </c>
      <c r="H63" s="3">
        <f t="shared" si="2"/>
        <v>0</v>
      </c>
      <c r="I63" s="3">
        <f t="shared" si="2"/>
        <v>0</v>
      </c>
      <c r="J63" s="3">
        <f t="shared" si="2"/>
        <v>13498.388999999999</v>
      </c>
      <c r="K63" s="3">
        <f t="shared" si="2"/>
        <v>1499.8209999999999</v>
      </c>
      <c r="L63" s="3">
        <f>SUM(F63+G63+H63+I63+J63+K63)</f>
        <v>14998.21</v>
      </c>
      <c r="M63" s="4"/>
    </row>
    <row r="64" spans="2:13" ht="18">
      <c r="B64" s="708"/>
      <c r="C64" s="710"/>
      <c r="D64" s="712"/>
      <c r="E64" s="773"/>
      <c r="F64" s="268">
        <v>0</v>
      </c>
      <c r="G64" s="268">
        <v>0</v>
      </c>
      <c r="H64" s="321"/>
      <c r="I64" s="321"/>
      <c r="J64" s="321">
        <v>0.9</v>
      </c>
      <c r="K64" s="321">
        <v>0.1</v>
      </c>
      <c r="L64" s="269">
        <f>SUM(F64,G64,H64,I64,J64,K64)</f>
        <v>1</v>
      </c>
      <c r="M64" s="4"/>
    </row>
    <row r="65" spans="2:14" ht="18">
      <c r="B65" s="708" t="str">
        <f>'2-ORÇAMENTO'!B553</f>
        <v>28.0</v>
      </c>
      <c r="C65" s="709" t="str">
        <f>'2-ORÇAMENTO'!E553</f>
        <v xml:space="preserve">LIMPEZA DE OBRA </v>
      </c>
      <c r="D65" s="711">
        <f>'2-ORÇAMENTO'!K555</f>
        <v>3231.36</v>
      </c>
      <c r="E65" s="772">
        <f>D65/$D$69</f>
        <v>2.8137947695754469E-3</v>
      </c>
      <c r="F65" s="3">
        <f t="shared" si="2"/>
        <v>0</v>
      </c>
      <c r="G65" s="3">
        <f t="shared" si="2"/>
        <v>0</v>
      </c>
      <c r="H65" s="3">
        <f t="shared" si="2"/>
        <v>0</v>
      </c>
      <c r="I65" s="3">
        <f t="shared" si="2"/>
        <v>0</v>
      </c>
      <c r="J65" s="3">
        <f t="shared" si="2"/>
        <v>0</v>
      </c>
      <c r="K65" s="3">
        <f t="shared" si="2"/>
        <v>3231.36</v>
      </c>
      <c r="L65" s="3">
        <f>SUM(F65+G65+H65+I65+J65+K65)</f>
        <v>3231.36</v>
      </c>
      <c r="M65" s="4"/>
    </row>
    <row r="66" spans="2:14" ht="18.75" thickBot="1">
      <c r="B66" s="708"/>
      <c r="C66" s="710"/>
      <c r="D66" s="712"/>
      <c r="E66" s="773"/>
      <c r="F66" s="268">
        <v>0</v>
      </c>
      <c r="G66" s="268">
        <v>0</v>
      </c>
      <c r="H66" s="321"/>
      <c r="I66" s="321"/>
      <c r="J66" s="321"/>
      <c r="K66" s="321">
        <v>1</v>
      </c>
      <c r="L66" s="269">
        <f>SUM(F66,G66,H66,I66,J66,K66)</f>
        <v>1</v>
      </c>
      <c r="M66" s="4"/>
    </row>
    <row r="67" spans="2:14" ht="18.75" thickBot="1">
      <c r="B67" s="776" t="s">
        <v>19</v>
      </c>
      <c r="C67" s="777"/>
      <c r="D67" s="226"/>
      <c r="E67" s="223"/>
      <c r="F67" s="232">
        <f t="shared" ref="F67:K67" si="3">SUM(F37,F35,F33,F31,F29,F27,F25,F23,F21,F19,F17,F15,F13,F11,F39,F41,F43,F45,F47,F49,F51,F53,F55,F59,F61,F63,F65+F57)</f>
        <v>100767.34767704172</v>
      </c>
      <c r="G67" s="232">
        <f t="shared" si="3"/>
        <v>160035.60181607219</v>
      </c>
      <c r="H67" s="232">
        <f t="shared" si="3"/>
        <v>363746.91106799018</v>
      </c>
      <c r="I67" s="232">
        <f t="shared" si="3"/>
        <v>282963.750086813</v>
      </c>
      <c r="J67" s="232">
        <f t="shared" si="3"/>
        <v>205769.31350514392</v>
      </c>
      <c r="K67" s="232">
        <f t="shared" si="3"/>
        <v>35116.395846938896</v>
      </c>
      <c r="L67" s="232">
        <f>SUM(L11,L13,L15,L17,L19,L21,L23,L25,L27,L29,L31,L33,L35,L37+L39+L41+L43+L45+L47+L49+L51+L53+L55+L57+L59+L61+L63+L65)</f>
        <v>1148399.32</v>
      </c>
      <c r="N67" s="2"/>
    </row>
    <row r="68" spans="2:14" ht="18.75" thickBot="1">
      <c r="B68" s="776" t="s">
        <v>4491</v>
      </c>
      <c r="C68" s="777"/>
      <c r="D68" s="225"/>
      <c r="E68" s="224"/>
      <c r="F68" s="233">
        <f>F67/$D$69</f>
        <v>8.7745913744569012E-2</v>
      </c>
      <c r="G68" s="230">
        <f>G67/$D$69</f>
        <v>0.1393553610046305</v>
      </c>
      <c r="H68" s="230">
        <f t="shared" ref="H68:J68" si="4">H67/$D$69</f>
        <v>0.31674253435467914</v>
      </c>
      <c r="I68" s="230">
        <f t="shared" si="4"/>
        <v>0.2463983957137949</v>
      </c>
      <c r="J68" s="230">
        <f t="shared" si="4"/>
        <v>0.17917923663098642</v>
      </c>
      <c r="K68" s="230">
        <f>K67/$D$69</f>
        <v>3.0578558551339872E-2</v>
      </c>
      <c r="L68" s="230">
        <f>L67/$D$69</f>
        <v>1</v>
      </c>
      <c r="M68" s="4"/>
      <c r="N68" s="2"/>
    </row>
    <row r="69" spans="2:14" ht="18.75" thickBot="1">
      <c r="B69" s="774" t="s">
        <v>15732</v>
      </c>
      <c r="C69" s="775"/>
      <c r="D69" s="227">
        <f>SUM(D11:D66)</f>
        <v>1148399.32</v>
      </c>
      <c r="E69" s="228">
        <f>SUM(E11:E66)</f>
        <v>0.99999999999999967</v>
      </c>
      <c r="F69" s="234">
        <f>F67</f>
        <v>100767.34767704172</v>
      </c>
      <c r="G69" s="231">
        <f>G67+F69</f>
        <v>260802.94949311391</v>
      </c>
      <c r="H69" s="231">
        <f>H67+G69</f>
        <v>624549.86056110403</v>
      </c>
      <c r="I69" s="231">
        <f t="shared" ref="I69:K69" si="5">I67+H69</f>
        <v>907513.61064791703</v>
      </c>
      <c r="J69" s="231">
        <f t="shared" si="5"/>
        <v>1113282.9241530609</v>
      </c>
      <c r="K69" s="231">
        <f t="shared" si="5"/>
        <v>1148399.3199999998</v>
      </c>
      <c r="L69" s="229">
        <f>L67</f>
        <v>1148399.32</v>
      </c>
    </row>
    <row r="70" spans="2:14" ht="18" customHeight="1">
      <c r="B70" s="14"/>
      <c r="C70" s="206"/>
      <c r="D70" s="15"/>
      <c r="E70" s="206"/>
      <c r="F70" s="270"/>
      <c r="G70" s="270"/>
      <c r="H70" s="270"/>
      <c r="I70" s="270"/>
      <c r="J70" s="270"/>
      <c r="K70" s="270"/>
      <c r="L70" s="19"/>
    </row>
    <row r="71" spans="2:14" ht="14.25" customHeight="1">
      <c r="B71" s="14"/>
      <c r="C71" s="23"/>
      <c r="D71" s="16"/>
      <c r="E71" s="206"/>
      <c r="F71" s="270"/>
      <c r="G71" s="270"/>
      <c r="H71" s="270"/>
      <c r="I71" s="270"/>
      <c r="J71" s="270"/>
      <c r="K71" s="270"/>
      <c r="L71" s="19"/>
    </row>
    <row r="72" spans="2:14" ht="14.25" customHeight="1">
      <c r="B72" s="14"/>
      <c r="C72" s="23"/>
      <c r="D72" s="16"/>
      <c r="E72" s="206"/>
      <c r="F72" s="270"/>
      <c r="G72" s="270"/>
      <c r="H72" s="270"/>
      <c r="I72" s="270"/>
      <c r="J72" s="270"/>
      <c r="K72" s="270"/>
      <c r="L72" s="19"/>
    </row>
    <row r="73" spans="2:14" ht="14.25" customHeight="1">
      <c r="B73" s="14"/>
      <c r="C73" s="23"/>
      <c r="D73" s="16"/>
      <c r="E73" s="206"/>
      <c r="F73" s="270"/>
      <c r="G73" s="270"/>
      <c r="H73" s="270"/>
      <c r="I73" s="270"/>
      <c r="J73" s="270"/>
      <c r="K73" s="270"/>
      <c r="L73" s="19"/>
    </row>
    <row r="74" spans="2:14" ht="14.25" hidden="1" customHeight="1">
      <c r="B74" s="14"/>
      <c r="C74" s="23"/>
      <c r="D74" s="16"/>
      <c r="E74" s="206"/>
      <c r="F74" s="270"/>
      <c r="G74" s="270"/>
      <c r="H74" s="270"/>
      <c r="I74" s="270"/>
      <c r="J74" s="270"/>
      <c r="K74" s="270"/>
      <c r="L74" s="19"/>
    </row>
    <row r="75" spans="2:14" ht="14.25" hidden="1" customHeight="1">
      <c r="B75" s="14"/>
      <c r="C75" s="23"/>
      <c r="D75" s="16"/>
      <c r="E75" s="206"/>
      <c r="F75" s="270"/>
      <c r="G75" s="270"/>
      <c r="H75" s="270"/>
      <c r="I75" s="270"/>
      <c r="J75" s="270"/>
      <c r="K75" s="270"/>
      <c r="L75" s="19"/>
    </row>
    <row r="76" spans="2:14" ht="14.25" hidden="1" customHeight="1">
      <c r="B76" s="14"/>
      <c r="C76" s="23"/>
      <c r="D76" s="16"/>
      <c r="E76" s="206"/>
      <c r="F76" s="270"/>
      <c r="G76" s="270"/>
      <c r="H76" s="270"/>
      <c r="I76" s="270"/>
      <c r="J76" s="270"/>
      <c r="K76" s="270"/>
      <c r="L76" s="19"/>
    </row>
    <row r="77" spans="2:14" ht="14.25" customHeight="1">
      <c r="B77" s="14"/>
      <c r="C77" s="23"/>
      <c r="D77" s="16"/>
      <c r="E77" s="206"/>
      <c r="F77" s="270"/>
      <c r="G77" s="270"/>
      <c r="H77" s="270"/>
      <c r="I77" s="270"/>
      <c r="J77" s="270"/>
      <c r="K77" s="270"/>
      <c r="L77" s="19"/>
    </row>
    <row r="78" spans="2:14" ht="14.25" customHeight="1">
      <c r="B78" s="14"/>
      <c r="C78" s="23"/>
      <c r="D78" s="16"/>
      <c r="E78" s="206"/>
      <c r="F78" s="270"/>
      <c r="G78" s="270"/>
      <c r="H78" s="270"/>
      <c r="I78" s="270"/>
      <c r="J78" s="270"/>
      <c r="K78" s="270"/>
      <c r="L78" s="19"/>
    </row>
    <row r="79" spans="2:14" ht="14.25" customHeight="1">
      <c r="B79" s="14"/>
      <c r="C79" s="287"/>
      <c r="D79" s="197"/>
      <c r="E79" s="287"/>
      <c r="F79" s="199"/>
      <c r="G79" s="199"/>
      <c r="H79" s="220"/>
      <c r="I79" s="270"/>
      <c r="J79" s="270"/>
      <c r="K79" s="270"/>
      <c r="L79" s="19"/>
    </row>
    <row r="80" spans="2:14" ht="14.25" customHeight="1">
      <c r="B80" s="14"/>
      <c r="C80" s="392" t="s">
        <v>12935</v>
      </c>
      <c r="D80" s="394"/>
      <c r="E80" s="771" t="s">
        <v>12937</v>
      </c>
      <c r="F80" s="771"/>
      <c r="G80" s="771"/>
      <c r="H80" s="771"/>
      <c r="I80" s="270"/>
      <c r="J80" s="270"/>
      <c r="K80" s="270"/>
      <c r="L80" s="19"/>
    </row>
    <row r="81" spans="2:12" ht="15">
      <c r="B81" s="24"/>
      <c r="C81" s="393" t="s">
        <v>12936</v>
      </c>
      <c r="D81" s="394"/>
      <c r="E81" s="707" t="s">
        <v>12938</v>
      </c>
      <c r="F81" s="707"/>
      <c r="G81" s="707"/>
      <c r="H81" s="707"/>
      <c r="I81" s="296"/>
      <c r="J81" s="296"/>
      <c r="K81" s="296"/>
      <c r="L81" s="17"/>
    </row>
    <row r="82" spans="2:12" ht="15.75" thickBot="1">
      <c r="B82" s="236"/>
      <c r="C82" s="21"/>
      <c r="D82" s="21"/>
      <c r="E82" s="22"/>
      <c r="F82" s="221"/>
      <c r="G82" s="13"/>
      <c r="H82" s="13"/>
      <c r="I82" s="13"/>
      <c r="J82" s="13"/>
      <c r="K82" s="13"/>
      <c r="L82" s="18"/>
    </row>
    <row r="83" spans="2:12">
      <c r="B83" s="206"/>
      <c r="C83" s="206"/>
      <c r="D83" s="15"/>
      <c r="E83" s="206"/>
      <c r="F83" s="270"/>
      <c r="G83" s="270"/>
      <c r="H83" s="270"/>
      <c r="I83" s="270"/>
      <c r="J83" s="270"/>
      <c r="K83" s="270"/>
      <c r="L83" s="206"/>
    </row>
  </sheetData>
  <mergeCells count="128">
    <mergeCell ref="C33:C34"/>
    <mergeCell ref="D33:D34"/>
    <mergeCell ref="B31:B32"/>
    <mergeCell ref="E33:E34"/>
    <mergeCell ref="E31:E32"/>
    <mergeCell ref="B3:G3"/>
    <mergeCell ref="B4:G4"/>
    <mergeCell ref="B5:G5"/>
    <mergeCell ref="B6:G6"/>
    <mergeCell ref="C15:C16"/>
    <mergeCell ref="B15:B16"/>
    <mergeCell ref="B11:B12"/>
    <mergeCell ref="C11:C12"/>
    <mergeCell ref="D11:D12"/>
    <mergeCell ref="E11:E12"/>
    <mergeCell ref="B7:G7"/>
    <mergeCell ref="B8:L8"/>
    <mergeCell ref="B9:B10"/>
    <mergeCell ref="C9:C10"/>
    <mergeCell ref="D9:E9"/>
    <mergeCell ref="F9:L9"/>
    <mergeCell ref="E27:E28"/>
    <mergeCell ref="B29:B30"/>
    <mergeCell ref="B27:B28"/>
    <mergeCell ref="C29:C30"/>
    <mergeCell ref="D29:D30"/>
    <mergeCell ref="D25:D26"/>
    <mergeCell ref="B21:B22"/>
    <mergeCell ref="C21:C22"/>
    <mergeCell ref="D21:D22"/>
    <mergeCell ref="E21:E22"/>
    <mergeCell ref="B23:B24"/>
    <mergeCell ref="C23:C24"/>
    <mergeCell ref="D23:D24"/>
    <mergeCell ref="E23:E24"/>
    <mergeCell ref="B2:L2"/>
    <mergeCell ref="B33:B34"/>
    <mergeCell ref="C31:C32"/>
    <mergeCell ref="D31:D32"/>
    <mergeCell ref="B19:B20"/>
    <mergeCell ref="C19:C20"/>
    <mergeCell ref="D19:D20"/>
    <mergeCell ref="E19:E20"/>
    <mergeCell ref="B13:B14"/>
    <mergeCell ref="C13:C14"/>
    <mergeCell ref="D13:D14"/>
    <mergeCell ref="B25:B26"/>
    <mergeCell ref="C25:C26"/>
    <mergeCell ref="E25:E26"/>
    <mergeCell ref="D15:D16"/>
    <mergeCell ref="E13:E14"/>
    <mergeCell ref="E15:E16"/>
    <mergeCell ref="B17:B18"/>
    <mergeCell ref="C17:C18"/>
    <mergeCell ref="D17:D18"/>
    <mergeCell ref="E17:E18"/>
    <mergeCell ref="E29:E30"/>
    <mergeCell ref="C27:C28"/>
    <mergeCell ref="D27:D28"/>
    <mergeCell ref="E39:E40"/>
    <mergeCell ref="B41:B42"/>
    <mergeCell ref="C41:C42"/>
    <mergeCell ref="D41:D42"/>
    <mergeCell ref="E41:E42"/>
    <mergeCell ref="E35:E36"/>
    <mergeCell ref="E37:E38"/>
    <mergeCell ref="B35:B36"/>
    <mergeCell ref="B37:B38"/>
    <mergeCell ref="C37:C38"/>
    <mergeCell ref="D37:D38"/>
    <mergeCell ref="C35:C36"/>
    <mergeCell ref="D35:D36"/>
    <mergeCell ref="B39:B40"/>
    <mergeCell ref="C39:C40"/>
    <mergeCell ref="D39:D40"/>
    <mergeCell ref="E47:E48"/>
    <mergeCell ref="B49:B50"/>
    <mergeCell ref="C49:C50"/>
    <mergeCell ref="D49:D50"/>
    <mergeCell ref="E49:E50"/>
    <mergeCell ref="C43:C44"/>
    <mergeCell ref="D43:D44"/>
    <mergeCell ref="E43:E44"/>
    <mergeCell ref="B45:B46"/>
    <mergeCell ref="C45:C46"/>
    <mergeCell ref="D45:D46"/>
    <mergeCell ref="E45:E46"/>
    <mergeCell ref="B43:B44"/>
    <mergeCell ref="B47:B48"/>
    <mergeCell ref="C47:C48"/>
    <mergeCell ref="D47:D48"/>
    <mergeCell ref="E55:E56"/>
    <mergeCell ref="B59:B60"/>
    <mergeCell ref="C59:C60"/>
    <mergeCell ref="D59:D60"/>
    <mergeCell ref="E59:E60"/>
    <mergeCell ref="B51:B52"/>
    <mergeCell ref="C51:C52"/>
    <mergeCell ref="D51:D52"/>
    <mergeCell ref="E51:E52"/>
    <mergeCell ref="B53:B54"/>
    <mergeCell ref="C53:C54"/>
    <mergeCell ref="D53:D54"/>
    <mergeCell ref="E53:E54"/>
    <mergeCell ref="B57:B58"/>
    <mergeCell ref="C57:C58"/>
    <mergeCell ref="D57:D58"/>
    <mergeCell ref="E57:E58"/>
    <mergeCell ref="B55:B56"/>
    <mergeCell ref="C55:C56"/>
    <mergeCell ref="D55:D56"/>
    <mergeCell ref="E80:H80"/>
    <mergeCell ref="E81:H81"/>
    <mergeCell ref="E65:E66"/>
    <mergeCell ref="B61:B62"/>
    <mergeCell ref="C61:C62"/>
    <mergeCell ref="D61:D62"/>
    <mergeCell ref="E61:E62"/>
    <mergeCell ref="B63:B64"/>
    <mergeCell ref="C63:C64"/>
    <mergeCell ref="D63:D64"/>
    <mergeCell ref="E63:E64"/>
    <mergeCell ref="B69:C69"/>
    <mergeCell ref="B68:C68"/>
    <mergeCell ref="B67:C67"/>
    <mergeCell ref="B65:B66"/>
    <mergeCell ref="C65:C66"/>
    <mergeCell ref="D65:D66"/>
  </mergeCells>
  <phoneticPr fontId="29" type="noConversion"/>
  <conditionalFormatting sqref="F1:L1 F67:L1048576 F3:L38">
    <cfRule type="containsText" dxfId="259" priority="336" operator="containsText" text="%">
      <formula>NOT(ISERROR(SEARCH("%",F1)))</formula>
    </cfRule>
  </conditionalFormatting>
  <conditionalFormatting sqref="F67:F69 L30 G13:K13 G15:K15 G19:K19 G21:K21 G23:K23 G25:K25 G27:K27 G29:K29 G31:K31 G33:K33 G35:K35 G37:K37 F19:F38 F67:K67 F11:F16 G11:L12">
    <cfRule type="containsText" dxfId="258" priority="334" operator="containsText" text="%">
      <formula>NOT(ISERROR(SEARCH("%",F11)))</formula>
    </cfRule>
  </conditionalFormatting>
  <conditionalFormatting sqref="L30 F67:F69 G15:K15 G19:K19 G21:K21 G23:K23 G25:K25 G27:K27 G29:K29 G31:K31 G33:K33 G35:K35 G37:K37 F19:F38 F67:K67 F11:F16 G11:K13">
    <cfRule type="containsText" dxfId="257" priority="328" operator="containsText" text="%">
      <formula>NOT(ISERROR(SEARCH("%",F11)))</formula>
    </cfRule>
  </conditionalFormatting>
  <conditionalFormatting sqref="G16:K16">
    <cfRule type="containsText" dxfId="256" priority="327" operator="containsText" text="%">
      <formula>NOT(ISERROR(SEARCH("%",G16)))</formula>
    </cfRule>
  </conditionalFormatting>
  <conditionalFormatting sqref="G16:K16">
    <cfRule type="containsText" dxfId="255" priority="326" operator="containsText" text="%">
      <formula>NOT(ISERROR(SEARCH("%",G16)))</formula>
    </cfRule>
  </conditionalFormatting>
  <conditionalFormatting sqref="G20:K20">
    <cfRule type="containsText" dxfId="254" priority="319" operator="containsText" text="%">
      <formula>NOT(ISERROR(SEARCH("%",G20)))</formula>
    </cfRule>
  </conditionalFormatting>
  <conditionalFormatting sqref="G20:K20">
    <cfRule type="containsText" dxfId="253" priority="318" operator="containsText" text="%">
      <formula>NOT(ISERROR(SEARCH("%",G20)))</formula>
    </cfRule>
  </conditionalFormatting>
  <conditionalFormatting sqref="G20:K20">
    <cfRule type="containsText" dxfId="252" priority="317" operator="containsText" text="%">
      <formula>NOT(ISERROR(SEARCH("%",G20)))</formula>
    </cfRule>
  </conditionalFormatting>
  <conditionalFormatting sqref="G20:K20">
    <cfRule type="containsText" dxfId="251" priority="316" operator="containsText" text="%">
      <formula>NOT(ISERROR(SEARCH("%",G20)))</formula>
    </cfRule>
  </conditionalFormatting>
  <conditionalFormatting sqref="G22:K24">
    <cfRule type="containsText" dxfId="250" priority="315" operator="containsText" text="%">
      <formula>NOT(ISERROR(SEARCH("%",G22)))</formula>
    </cfRule>
  </conditionalFormatting>
  <conditionalFormatting sqref="G22:K24">
    <cfRule type="containsText" dxfId="249" priority="314" operator="containsText" text="%">
      <formula>NOT(ISERROR(SEARCH("%",G22)))</formula>
    </cfRule>
  </conditionalFormatting>
  <conditionalFormatting sqref="G22:K24">
    <cfRule type="containsText" dxfId="248" priority="313" operator="containsText" text="%">
      <formula>NOT(ISERROR(SEARCH("%",G22)))</formula>
    </cfRule>
  </conditionalFormatting>
  <conditionalFormatting sqref="G22:K24">
    <cfRule type="containsText" dxfId="247" priority="312" operator="containsText" text="%">
      <formula>NOT(ISERROR(SEARCH("%",G22)))</formula>
    </cfRule>
  </conditionalFormatting>
  <conditionalFormatting sqref="G28:K28">
    <cfRule type="containsText" dxfId="246" priority="307" operator="containsText" text="%">
      <formula>NOT(ISERROR(SEARCH("%",G28)))</formula>
    </cfRule>
  </conditionalFormatting>
  <conditionalFormatting sqref="G28:K28">
    <cfRule type="containsText" dxfId="245" priority="306" operator="containsText" text="%">
      <formula>NOT(ISERROR(SEARCH("%",G28)))</formula>
    </cfRule>
  </conditionalFormatting>
  <conditionalFormatting sqref="G28:K28">
    <cfRule type="containsText" dxfId="244" priority="305" operator="containsText" text="%">
      <formula>NOT(ISERROR(SEARCH("%",G28)))</formula>
    </cfRule>
  </conditionalFormatting>
  <conditionalFormatting sqref="G28:K28">
    <cfRule type="containsText" dxfId="243" priority="304" operator="containsText" text="%">
      <formula>NOT(ISERROR(SEARCH("%",G28)))</formula>
    </cfRule>
  </conditionalFormatting>
  <conditionalFormatting sqref="F17:F18 G17:K17">
    <cfRule type="containsText" dxfId="242" priority="286" operator="containsText" text="%">
      <formula>NOT(ISERROR(SEARCH("%",F17)))</formula>
    </cfRule>
  </conditionalFormatting>
  <conditionalFormatting sqref="F17:F18 G17:K17">
    <cfRule type="containsText" dxfId="241" priority="285" operator="containsText" text="%">
      <formula>NOT(ISERROR(SEARCH("%",F17)))</formula>
    </cfRule>
  </conditionalFormatting>
  <conditionalFormatting sqref="F18">
    <cfRule type="containsText" dxfId="240" priority="284" operator="containsText" text="%">
      <formula>NOT(ISERROR(SEARCH("%",F18)))</formula>
    </cfRule>
  </conditionalFormatting>
  <conditionalFormatting sqref="F18">
    <cfRule type="containsText" dxfId="239" priority="283" operator="containsText" text="%">
      <formula>NOT(ISERROR(SEARCH("%",F18)))</formula>
    </cfRule>
  </conditionalFormatting>
  <conditionalFormatting sqref="G18:K18">
    <cfRule type="containsText" dxfId="238" priority="282" operator="containsText" text="%">
      <formula>NOT(ISERROR(SEARCH("%",G18)))</formula>
    </cfRule>
  </conditionalFormatting>
  <conditionalFormatting sqref="G18:K18">
    <cfRule type="containsText" dxfId="237" priority="281" operator="containsText" text="%">
      <formula>NOT(ISERROR(SEARCH("%",G18)))</formula>
    </cfRule>
  </conditionalFormatting>
  <conditionalFormatting sqref="G18:K18">
    <cfRule type="containsText" dxfId="236" priority="280" operator="containsText" text="%">
      <formula>NOT(ISERROR(SEARCH("%",G18)))</formula>
    </cfRule>
  </conditionalFormatting>
  <conditionalFormatting sqref="G18:K18">
    <cfRule type="containsText" dxfId="235" priority="279" operator="containsText" text="%">
      <formula>NOT(ISERROR(SEARCH("%",G18)))</formula>
    </cfRule>
  </conditionalFormatting>
  <conditionalFormatting sqref="G67:K67">
    <cfRule type="containsText" dxfId="234" priority="275" operator="containsText" text="%">
      <formula>NOT(ISERROR(SEARCH("%",G67)))</formula>
    </cfRule>
  </conditionalFormatting>
  <conditionalFormatting sqref="G67:K67">
    <cfRule type="containsText" dxfId="233" priority="274" operator="containsText" text="%">
      <formula>NOT(ISERROR(SEARCH("%",G67)))</formula>
    </cfRule>
  </conditionalFormatting>
  <conditionalFormatting sqref="L67">
    <cfRule type="containsText" dxfId="232" priority="267" operator="containsText" text="%">
      <formula>NOT(ISERROR(SEARCH("%",L67)))</formula>
    </cfRule>
  </conditionalFormatting>
  <conditionalFormatting sqref="L67">
    <cfRule type="containsText" dxfId="231" priority="266" operator="containsText" text="%">
      <formula>NOT(ISERROR(SEARCH("%",L67)))</formula>
    </cfRule>
  </conditionalFormatting>
  <conditionalFormatting sqref="G11:K12">
    <cfRule type="containsText" dxfId="230" priority="265" operator="containsText" text="%">
      <formula>NOT(ISERROR(SEARCH("%",G11)))</formula>
    </cfRule>
  </conditionalFormatting>
  <conditionalFormatting sqref="L11:L12">
    <cfRule type="containsText" dxfId="229" priority="261" operator="containsText" text="%">
      <formula>NOT(ISERROR(SEARCH("%",L11)))</formula>
    </cfRule>
  </conditionalFormatting>
  <conditionalFormatting sqref="L37 L35 L33 L31 L29 L27 L25 L21 L19 L17 L15 L13">
    <cfRule type="containsText" dxfId="228" priority="260" operator="containsText" text="%">
      <formula>NOT(ISERROR(SEARCH("%",L13)))</formula>
    </cfRule>
  </conditionalFormatting>
  <conditionalFormatting sqref="L37 L35 L33 L31 L29 L27 L25 L21 L19 L17 L15 L13">
    <cfRule type="containsText" dxfId="227" priority="259" operator="containsText" text="%">
      <formula>NOT(ISERROR(SEARCH("%",L13)))</formula>
    </cfRule>
  </conditionalFormatting>
  <conditionalFormatting sqref="F17:K17">
    <cfRule type="containsText" dxfId="226" priority="258" operator="containsText" text="%">
      <formula>NOT(ISERROR(SEARCH("%",F17)))</formula>
    </cfRule>
  </conditionalFormatting>
  <conditionalFormatting sqref="F17:K17">
    <cfRule type="containsText" dxfId="225" priority="257" operator="containsText" text="%">
      <formula>NOT(ISERROR(SEARCH("%",F17)))</formula>
    </cfRule>
  </conditionalFormatting>
  <conditionalFormatting sqref="G37:K37 G35:K35 G33:K33 G31:K31 G29:K29 G27:K27 G25:K25 G21:K21 G17:K17 G15:K15 G13:K13 G19:K19">
    <cfRule type="containsText" dxfId="224" priority="256" operator="containsText" text="%">
      <formula>NOT(ISERROR(SEARCH("%",G13)))</formula>
    </cfRule>
  </conditionalFormatting>
  <conditionalFormatting sqref="G37:K37 G35:K35 G33:K33 G31:K31 G29:K29 G27:K27 G25:K25 G21:K21 G17:K17 G15:K15 G13:K13 G19:K19">
    <cfRule type="containsText" dxfId="223" priority="255" operator="containsText" text="%">
      <formula>NOT(ISERROR(SEARCH("%",G13)))</formula>
    </cfRule>
  </conditionalFormatting>
  <conditionalFormatting sqref="G14:K14">
    <cfRule type="containsText" dxfId="222" priority="254" operator="containsText" text="%">
      <formula>NOT(ISERROR(SEARCH("%",G14)))</formula>
    </cfRule>
  </conditionalFormatting>
  <conditionalFormatting sqref="G14:K14">
    <cfRule type="containsText" dxfId="221" priority="253" operator="containsText" text="%">
      <formula>NOT(ISERROR(SEARCH("%",G14)))</formula>
    </cfRule>
  </conditionalFormatting>
  <conditionalFormatting sqref="L23">
    <cfRule type="containsText" dxfId="220" priority="252" operator="containsText" text="%">
      <formula>NOT(ISERROR(SEARCH("%",L23)))</formula>
    </cfRule>
  </conditionalFormatting>
  <conditionalFormatting sqref="L23">
    <cfRule type="containsText" dxfId="219" priority="251" operator="containsText" text="%">
      <formula>NOT(ISERROR(SEARCH("%",L23)))</formula>
    </cfRule>
  </conditionalFormatting>
  <conditionalFormatting sqref="G23:K23">
    <cfRule type="containsText" dxfId="218" priority="250" operator="containsText" text="%">
      <formula>NOT(ISERROR(SEARCH("%",G23)))</formula>
    </cfRule>
  </conditionalFormatting>
  <conditionalFormatting sqref="G23:K23">
    <cfRule type="containsText" dxfId="217" priority="249" operator="containsText" text="%">
      <formula>NOT(ISERROR(SEARCH("%",G23)))</formula>
    </cfRule>
  </conditionalFormatting>
  <conditionalFormatting sqref="G23:K23">
    <cfRule type="containsText" dxfId="216" priority="248" operator="containsText" text="%">
      <formula>NOT(ISERROR(SEARCH("%",G23)))</formula>
    </cfRule>
  </conditionalFormatting>
  <conditionalFormatting sqref="G23:K23">
    <cfRule type="containsText" dxfId="215" priority="247" operator="containsText" text="%">
      <formula>NOT(ISERROR(SEARCH("%",G23)))</formula>
    </cfRule>
  </conditionalFormatting>
  <conditionalFormatting sqref="L23">
    <cfRule type="containsText" dxfId="214" priority="246" operator="containsText" text="%">
      <formula>NOT(ISERROR(SEARCH("%",L23)))</formula>
    </cfRule>
  </conditionalFormatting>
  <conditionalFormatting sqref="L23">
    <cfRule type="containsText" dxfId="213" priority="245" operator="containsText" text="%">
      <formula>NOT(ISERROR(SEARCH("%",L23)))</formula>
    </cfRule>
  </conditionalFormatting>
  <conditionalFormatting sqref="F39:K40">
    <cfRule type="containsText" dxfId="212" priority="244" operator="containsText" text="%">
      <formula>NOT(ISERROR(SEARCH("%",F39)))</formula>
    </cfRule>
  </conditionalFormatting>
  <conditionalFormatting sqref="F39:F40 G39:K39">
    <cfRule type="containsText" dxfId="211" priority="243" operator="containsText" text="%">
      <formula>NOT(ISERROR(SEARCH("%",F39)))</formula>
    </cfRule>
  </conditionalFormatting>
  <conditionalFormatting sqref="F39:F40 G39:K39">
    <cfRule type="containsText" dxfId="210" priority="242" operator="containsText" text="%">
      <formula>NOT(ISERROR(SEARCH("%",F39)))</formula>
    </cfRule>
  </conditionalFormatting>
  <conditionalFormatting sqref="G51:K51">
    <cfRule type="containsText" dxfId="209" priority="197" operator="containsText" text="%">
      <formula>NOT(ISERROR(SEARCH("%",G51)))</formula>
    </cfRule>
  </conditionalFormatting>
  <conditionalFormatting sqref="G51:K51">
    <cfRule type="containsText" dxfId="208" priority="196" operator="containsText" text="%">
      <formula>NOT(ISERROR(SEARCH("%",G51)))</formula>
    </cfRule>
  </conditionalFormatting>
  <conditionalFormatting sqref="G39:K39">
    <cfRule type="containsText" dxfId="207" priority="239" operator="containsText" text="%">
      <formula>NOT(ISERROR(SEARCH("%",G39)))</formula>
    </cfRule>
  </conditionalFormatting>
  <conditionalFormatting sqref="G39:K39">
    <cfRule type="containsText" dxfId="206" priority="238" operator="containsText" text="%">
      <formula>NOT(ISERROR(SEARCH("%",G39)))</formula>
    </cfRule>
  </conditionalFormatting>
  <conditionalFormatting sqref="F41:K42">
    <cfRule type="containsText" dxfId="205" priority="237" operator="containsText" text="%">
      <formula>NOT(ISERROR(SEARCH("%",F41)))</formula>
    </cfRule>
  </conditionalFormatting>
  <conditionalFormatting sqref="F41:F42 G41:K41">
    <cfRule type="containsText" dxfId="204" priority="236" operator="containsText" text="%">
      <formula>NOT(ISERROR(SEARCH("%",F41)))</formula>
    </cfRule>
  </conditionalFormatting>
  <conditionalFormatting sqref="F41:F42 G41:K41">
    <cfRule type="containsText" dxfId="203" priority="235" operator="containsText" text="%">
      <formula>NOT(ISERROR(SEARCH("%",F41)))</formula>
    </cfRule>
  </conditionalFormatting>
  <conditionalFormatting sqref="G41:K41">
    <cfRule type="containsText" dxfId="202" priority="232" operator="containsText" text="%">
      <formula>NOT(ISERROR(SEARCH("%",G41)))</formula>
    </cfRule>
  </conditionalFormatting>
  <conditionalFormatting sqref="G41:K41">
    <cfRule type="containsText" dxfId="201" priority="231" operator="containsText" text="%">
      <formula>NOT(ISERROR(SEARCH("%",G41)))</formula>
    </cfRule>
  </conditionalFormatting>
  <conditionalFormatting sqref="F43:K44">
    <cfRule type="containsText" dxfId="200" priority="230" operator="containsText" text="%">
      <formula>NOT(ISERROR(SEARCH("%",F43)))</formula>
    </cfRule>
  </conditionalFormatting>
  <conditionalFormatting sqref="F43:F44 G43:K43">
    <cfRule type="containsText" dxfId="199" priority="229" operator="containsText" text="%">
      <formula>NOT(ISERROR(SEARCH("%",F43)))</formula>
    </cfRule>
  </conditionalFormatting>
  <conditionalFormatting sqref="F43:F44 G43:K43">
    <cfRule type="containsText" dxfId="198" priority="228" operator="containsText" text="%">
      <formula>NOT(ISERROR(SEARCH("%",F43)))</formula>
    </cfRule>
  </conditionalFormatting>
  <conditionalFormatting sqref="G43:K43">
    <cfRule type="containsText" dxfId="197" priority="225" operator="containsText" text="%">
      <formula>NOT(ISERROR(SEARCH("%",G43)))</formula>
    </cfRule>
  </conditionalFormatting>
  <conditionalFormatting sqref="G43:K43">
    <cfRule type="containsText" dxfId="196" priority="224" operator="containsText" text="%">
      <formula>NOT(ISERROR(SEARCH("%",G43)))</formula>
    </cfRule>
  </conditionalFormatting>
  <conditionalFormatting sqref="F45:K46">
    <cfRule type="containsText" dxfId="195" priority="223" operator="containsText" text="%">
      <formula>NOT(ISERROR(SEARCH("%",F45)))</formula>
    </cfRule>
  </conditionalFormatting>
  <conditionalFormatting sqref="F45:F46 G45:K45">
    <cfRule type="containsText" dxfId="194" priority="222" operator="containsText" text="%">
      <formula>NOT(ISERROR(SEARCH("%",F45)))</formula>
    </cfRule>
  </conditionalFormatting>
  <conditionalFormatting sqref="F45:F46 G45:K45">
    <cfRule type="containsText" dxfId="193" priority="221" operator="containsText" text="%">
      <formula>NOT(ISERROR(SEARCH("%",F45)))</formula>
    </cfRule>
  </conditionalFormatting>
  <conditionalFormatting sqref="G45:K45">
    <cfRule type="containsText" dxfId="192" priority="218" operator="containsText" text="%">
      <formula>NOT(ISERROR(SEARCH("%",G45)))</formula>
    </cfRule>
  </conditionalFormatting>
  <conditionalFormatting sqref="G45:K45">
    <cfRule type="containsText" dxfId="191" priority="217" operator="containsText" text="%">
      <formula>NOT(ISERROR(SEARCH("%",G45)))</formula>
    </cfRule>
  </conditionalFormatting>
  <conditionalFormatting sqref="F47:K48">
    <cfRule type="containsText" dxfId="190" priority="216" operator="containsText" text="%">
      <formula>NOT(ISERROR(SEARCH("%",F47)))</formula>
    </cfRule>
  </conditionalFormatting>
  <conditionalFormatting sqref="F47:F48 G47:K47">
    <cfRule type="containsText" dxfId="189" priority="215" operator="containsText" text="%">
      <formula>NOT(ISERROR(SEARCH("%",F47)))</formula>
    </cfRule>
  </conditionalFormatting>
  <conditionalFormatting sqref="F47:F48 G47:K47">
    <cfRule type="containsText" dxfId="188" priority="214" operator="containsText" text="%">
      <formula>NOT(ISERROR(SEARCH("%",F47)))</formula>
    </cfRule>
  </conditionalFormatting>
  <conditionalFormatting sqref="G47:K47">
    <cfRule type="containsText" dxfId="187" priority="211" operator="containsText" text="%">
      <formula>NOT(ISERROR(SEARCH("%",G47)))</formula>
    </cfRule>
  </conditionalFormatting>
  <conditionalFormatting sqref="G47:K47">
    <cfRule type="containsText" dxfId="186" priority="210" operator="containsText" text="%">
      <formula>NOT(ISERROR(SEARCH("%",G47)))</formula>
    </cfRule>
  </conditionalFormatting>
  <conditionalFormatting sqref="F49:K50">
    <cfRule type="containsText" dxfId="185" priority="209" operator="containsText" text="%">
      <formula>NOT(ISERROR(SEARCH("%",F49)))</formula>
    </cfRule>
  </conditionalFormatting>
  <conditionalFormatting sqref="F49:F50 G49:K49">
    <cfRule type="containsText" dxfId="184" priority="208" operator="containsText" text="%">
      <formula>NOT(ISERROR(SEARCH("%",F49)))</formula>
    </cfRule>
  </conditionalFormatting>
  <conditionalFormatting sqref="F49:F50 G49:K49">
    <cfRule type="containsText" dxfId="183" priority="207" operator="containsText" text="%">
      <formula>NOT(ISERROR(SEARCH("%",F49)))</formula>
    </cfRule>
  </conditionalFormatting>
  <conditionalFormatting sqref="G49:K49">
    <cfRule type="containsText" dxfId="182" priority="204" operator="containsText" text="%">
      <formula>NOT(ISERROR(SEARCH("%",G49)))</formula>
    </cfRule>
  </conditionalFormatting>
  <conditionalFormatting sqref="G49:K49">
    <cfRule type="containsText" dxfId="181" priority="203" operator="containsText" text="%">
      <formula>NOT(ISERROR(SEARCH("%",G49)))</formula>
    </cfRule>
  </conditionalFormatting>
  <conditionalFormatting sqref="F51:K52">
    <cfRule type="containsText" dxfId="180" priority="202" operator="containsText" text="%">
      <formula>NOT(ISERROR(SEARCH("%",F51)))</formula>
    </cfRule>
  </conditionalFormatting>
  <conditionalFormatting sqref="F51:F52 G51:K51">
    <cfRule type="containsText" dxfId="179" priority="201" operator="containsText" text="%">
      <formula>NOT(ISERROR(SEARCH("%",F51)))</formula>
    </cfRule>
  </conditionalFormatting>
  <conditionalFormatting sqref="F51:F52 G51:K51">
    <cfRule type="containsText" dxfId="178" priority="200" operator="containsText" text="%">
      <formula>NOT(ISERROR(SEARCH("%",F51)))</formula>
    </cfRule>
  </conditionalFormatting>
  <conditionalFormatting sqref="F61:F62 G61:K61">
    <cfRule type="containsText" dxfId="177" priority="173" operator="containsText" text="%">
      <formula>NOT(ISERROR(SEARCH("%",F61)))</formula>
    </cfRule>
  </conditionalFormatting>
  <conditionalFormatting sqref="F61:F62 G61:K61">
    <cfRule type="containsText" dxfId="176" priority="172" operator="containsText" text="%">
      <formula>NOT(ISERROR(SEARCH("%",F61)))</formula>
    </cfRule>
  </conditionalFormatting>
  <conditionalFormatting sqref="F53:K54">
    <cfRule type="containsText" dxfId="175" priority="195" operator="containsText" text="%">
      <formula>NOT(ISERROR(SEARCH("%",F53)))</formula>
    </cfRule>
  </conditionalFormatting>
  <conditionalFormatting sqref="F53:F54 G53:K53">
    <cfRule type="containsText" dxfId="174" priority="194" operator="containsText" text="%">
      <formula>NOT(ISERROR(SEARCH("%",F53)))</formula>
    </cfRule>
  </conditionalFormatting>
  <conditionalFormatting sqref="F53:F54 G53:K53">
    <cfRule type="containsText" dxfId="173" priority="193" operator="containsText" text="%">
      <formula>NOT(ISERROR(SEARCH("%",F53)))</formula>
    </cfRule>
  </conditionalFormatting>
  <conditionalFormatting sqref="G61:K61">
    <cfRule type="containsText" dxfId="172" priority="169" operator="containsText" text="%">
      <formula>NOT(ISERROR(SEARCH("%",G61)))</formula>
    </cfRule>
  </conditionalFormatting>
  <conditionalFormatting sqref="G61:K61">
    <cfRule type="containsText" dxfId="171" priority="168" operator="containsText" text="%">
      <formula>NOT(ISERROR(SEARCH("%",G61)))</formula>
    </cfRule>
  </conditionalFormatting>
  <conditionalFormatting sqref="G53:K53">
    <cfRule type="containsText" dxfId="170" priority="190" operator="containsText" text="%">
      <formula>NOT(ISERROR(SEARCH("%",G53)))</formula>
    </cfRule>
  </conditionalFormatting>
  <conditionalFormatting sqref="G53:K53">
    <cfRule type="containsText" dxfId="169" priority="189" operator="containsText" text="%">
      <formula>NOT(ISERROR(SEARCH("%",G53)))</formula>
    </cfRule>
  </conditionalFormatting>
  <conditionalFormatting sqref="F55:K56">
    <cfRule type="containsText" dxfId="168" priority="188" operator="containsText" text="%">
      <formula>NOT(ISERROR(SEARCH("%",F55)))</formula>
    </cfRule>
  </conditionalFormatting>
  <conditionalFormatting sqref="F55:F56 G55:K55">
    <cfRule type="containsText" dxfId="167" priority="187" operator="containsText" text="%">
      <formula>NOT(ISERROR(SEARCH("%",F55)))</formula>
    </cfRule>
  </conditionalFormatting>
  <conditionalFormatting sqref="F55:F56 G55:K55">
    <cfRule type="containsText" dxfId="166" priority="186" operator="containsText" text="%">
      <formula>NOT(ISERROR(SEARCH("%",F55)))</formula>
    </cfRule>
  </conditionalFormatting>
  <conditionalFormatting sqref="G55:K55">
    <cfRule type="containsText" dxfId="165" priority="183" operator="containsText" text="%">
      <formula>NOT(ISERROR(SEARCH("%",G55)))</formula>
    </cfRule>
  </conditionalFormatting>
  <conditionalFormatting sqref="G55:K55">
    <cfRule type="containsText" dxfId="164" priority="182" operator="containsText" text="%">
      <formula>NOT(ISERROR(SEARCH("%",G55)))</formula>
    </cfRule>
  </conditionalFormatting>
  <conditionalFormatting sqref="F59:K60">
    <cfRule type="containsText" dxfId="163" priority="181" operator="containsText" text="%">
      <formula>NOT(ISERROR(SEARCH("%",F59)))</formula>
    </cfRule>
  </conditionalFormatting>
  <conditionalFormatting sqref="F59:F60 G59:K59">
    <cfRule type="containsText" dxfId="162" priority="180" operator="containsText" text="%">
      <formula>NOT(ISERROR(SEARCH("%",F59)))</formula>
    </cfRule>
  </conditionalFormatting>
  <conditionalFormatting sqref="F59:F60 G59:K59">
    <cfRule type="containsText" dxfId="161" priority="179" operator="containsText" text="%">
      <formula>NOT(ISERROR(SEARCH("%",F59)))</formula>
    </cfRule>
  </conditionalFormatting>
  <conditionalFormatting sqref="G59:K59">
    <cfRule type="containsText" dxfId="160" priority="176" operator="containsText" text="%">
      <formula>NOT(ISERROR(SEARCH("%",G59)))</formula>
    </cfRule>
  </conditionalFormatting>
  <conditionalFormatting sqref="G59:K59">
    <cfRule type="containsText" dxfId="159" priority="175" operator="containsText" text="%">
      <formula>NOT(ISERROR(SEARCH("%",G59)))</formula>
    </cfRule>
  </conditionalFormatting>
  <conditionalFormatting sqref="F61:K62">
    <cfRule type="containsText" dxfId="158" priority="174" operator="containsText" text="%">
      <formula>NOT(ISERROR(SEARCH("%",F61)))</formula>
    </cfRule>
  </conditionalFormatting>
  <conditionalFormatting sqref="F63:K64">
    <cfRule type="containsText" dxfId="157" priority="167" operator="containsText" text="%">
      <formula>NOT(ISERROR(SEARCH("%",F63)))</formula>
    </cfRule>
  </conditionalFormatting>
  <conditionalFormatting sqref="F63:F64 G63:K63">
    <cfRule type="containsText" dxfId="156" priority="166" operator="containsText" text="%">
      <formula>NOT(ISERROR(SEARCH("%",F63)))</formula>
    </cfRule>
  </conditionalFormatting>
  <conditionalFormatting sqref="F63:F64 G63:K63">
    <cfRule type="containsText" dxfId="155" priority="165" operator="containsText" text="%">
      <formula>NOT(ISERROR(SEARCH("%",F63)))</formula>
    </cfRule>
  </conditionalFormatting>
  <conditionalFormatting sqref="G63:K63">
    <cfRule type="containsText" dxfId="154" priority="162" operator="containsText" text="%">
      <formula>NOT(ISERROR(SEARCH("%",G63)))</formula>
    </cfRule>
  </conditionalFormatting>
  <conditionalFormatting sqref="G63:K63">
    <cfRule type="containsText" dxfId="153" priority="161" operator="containsText" text="%">
      <formula>NOT(ISERROR(SEARCH("%",G63)))</formula>
    </cfRule>
  </conditionalFormatting>
  <conditionalFormatting sqref="F65:K66">
    <cfRule type="containsText" dxfId="152" priority="160" operator="containsText" text="%">
      <formula>NOT(ISERROR(SEARCH("%",F65)))</formula>
    </cfRule>
  </conditionalFormatting>
  <conditionalFormatting sqref="F65:F66 G65:K65">
    <cfRule type="containsText" dxfId="151" priority="159" operator="containsText" text="%">
      <formula>NOT(ISERROR(SEARCH("%",F65)))</formula>
    </cfRule>
  </conditionalFormatting>
  <conditionalFormatting sqref="F65:F66 G65:K65">
    <cfRule type="containsText" dxfId="150" priority="158" operator="containsText" text="%">
      <formula>NOT(ISERROR(SEARCH("%",F65)))</formula>
    </cfRule>
  </conditionalFormatting>
  <conditionalFormatting sqref="G65:K65">
    <cfRule type="containsText" dxfId="149" priority="155" operator="containsText" text="%">
      <formula>NOT(ISERROR(SEARCH("%",G65)))</formula>
    </cfRule>
  </conditionalFormatting>
  <conditionalFormatting sqref="G65:K65">
    <cfRule type="containsText" dxfId="148" priority="154" operator="containsText" text="%">
      <formula>NOT(ISERROR(SEARCH("%",G65)))</formula>
    </cfRule>
  </conditionalFormatting>
  <conditionalFormatting sqref="L14">
    <cfRule type="containsText" dxfId="147" priority="153" operator="containsText" text="%">
      <formula>NOT(ISERROR(SEARCH("%",L14)))</formula>
    </cfRule>
  </conditionalFormatting>
  <conditionalFormatting sqref="L14">
    <cfRule type="containsText" dxfId="146" priority="152" operator="containsText" text="%">
      <formula>NOT(ISERROR(SEARCH("%",L14)))</formula>
    </cfRule>
  </conditionalFormatting>
  <conditionalFormatting sqref="L16">
    <cfRule type="containsText" dxfId="145" priority="151" operator="containsText" text="%">
      <formula>NOT(ISERROR(SEARCH("%",L16)))</formula>
    </cfRule>
  </conditionalFormatting>
  <conditionalFormatting sqref="L16">
    <cfRule type="containsText" dxfId="144" priority="150" operator="containsText" text="%">
      <formula>NOT(ISERROR(SEARCH("%",L16)))</formula>
    </cfRule>
  </conditionalFormatting>
  <conditionalFormatting sqref="L18">
    <cfRule type="containsText" dxfId="143" priority="149" operator="containsText" text="%">
      <formula>NOT(ISERROR(SEARCH("%",L18)))</formula>
    </cfRule>
  </conditionalFormatting>
  <conditionalFormatting sqref="L18">
    <cfRule type="containsText" dxfId="142" priority="148" operator="containsText" text="%">
      <formula>NOT(ISERROR(SEARCH("%",L18)))</formula>
    </cfRule>
  </conditionalFormatting>
  <conditionalFormatting sqref="L20">
    <cfRule type="containsText" dxfId="141" priority="147" operator="containsText" text="%">
      <formula>NOT(ISERROR(SEARCH("%",L20)))</formula>
    </cfRule>
  </conditionalFormatting>
  <conditionalFormatting sqref="L20">
    <cfRule type="containsText" dxfId="140" priority="146" operator="containsText" text="%">
      <formula>NOT(ISERROR(SEARCH("%",L20)))</formula>
    </cfRule>
  </conditionalFormatting>
  <conditionalFormatting sqref="L22">
    <cfRule type="containsText" dxfId="139" priority="145" operator="containsText" text="%">
      <formula>NOT(ISERROR(SEARCH("%",L22)))</formula>
    </cfRule>
  </conditionalFormatting>
  <conditionalFormatting sqref="L22">
    <cfRule type="containsText" dxfId="138" priority="144" operator="containsText" text="%">
      <formula>NOT(ISERROR(SEARCH("%",L22)))</formula>
    </cfRule>
  </conditionalFormatting>
  <conditionalFormatting sqref="L24">
    <cfRule type="containsText" dxfId="137" priority="143" operator="containsText" text="%">
      <formula>NOT(ISERROR(SEARCH("%",L24)))</formula>
    </cfRule>
  </conditionalFormatting>
  <conditionalFormatting sqref="L24">
    <cfRule type="containsText" dxfId="136" priority="142" operator="containsText" text="%">
      <formula>NOT(ISERROR(SEARCH("%",L24)))</formula>
    </cfRule>
  </conditionalFormatting>
  <conditionalFormatting sqref="L26">
    <cfRule type="containsText" dxfId="135" priority="141" operator="containsText" text="%">
      <formula>NOT(ISERROR(SEARCH("%",L26)))</formula>
    </cfRule>
  </conditionalFormatting>
  <conditionalFormatting sqref="L26">
    <cfRule type="containsText" dxfId="134" priority="140" operator="containsText" text="%">
      <formula>NOT(ISERROR(SEARCH("%",L26)))</formula>
    </cfRule>
  </conditionalFormatting>
  <conditionalFormatting sqref="L28">
    <cfRule type="containsText" dxfId="133" priority="139" operator="containsText" text="%">
      <formula>NOT(ISERROR(SEARCH("%",L28)))</formula>
    </cfRule>
  </conditionalFormatting>
  <conditionalFormatting sqref="L28">
    <cfRule type="containsText" dxfId="132" priority="138" operator="containsText" text="%">
      <formula>NOT(ISERROR(SEARCH("%",L28)))</formula>
    </cfRule>
  </conditionalFormatting>
  <conditionalFormatting sqref="L30">
    <cfRule type="containsText" dxfId="131" priority="137" operator="containsText" text="%">
      <formula>NOT(ISERROR(SEARCH("%",L30)))</formula>
    </cfRule>
  </conditionalFormatting>
  <conditionalFormatting sqref="L32">
    <cfRule type="containsText" dxfId="130" priority="136" operator="containsText" text="%">
      <formula>NOT(ISERROR(SEARCH("%",L32)))</formula>
    </cfRule>
  </conditionalFormatting>
  <conditionalFormatting sqref="L32">
    <cfRule type="containsText" dxfId="129" priority="135" operator="containsText" text="%">
      <formula>NOT(ISERROR(SEARCH("%",L32)))</formula>
    </cfRule>
  </conditionalFormatting>
  <conditionalFormatting sqref="L34">
    <cfRule type="containsText" dxfId="128" priority="134" operator="containsText" text="%">
      <formula>NOT(ISERROR(SEARCH("%",L34)))</formula>
    </cfRule>
  </conditionalFormatting>
  <conditionalFormatting sqref="L34">
    <cfRule type="containsText" dxfId="127" priority="133" operator="containsText" text="%">
      <formula>NOT(ISERROR(SEARCH("%",L34)))</formula>
    </cfRule>
  </conditionalFormatting>
  <conditionalFormatting sqref="L36">
    <cfRule type="containsText" dxfId="126" priority="132" operator="containsText" text="%">
      <formula>NOT(ISERROR(SEARCH("%",L36)))</formula>
    </cfRule>
  </conditionalFormatting>
  <conditionalFormatting sqref="L36">
    <cfRule type="containsText" dxfId="125" priority="131" operator="containsText" text="%">
      <formula>NOT(ISERROR(SEARCH("%",L36)))</formula>
    </cfRule>
  </conditionalFormatting>
  <conditionalFormatting sqref="L38">
    <cfRule type="containsText" dxfId="124" priority="130" operator="containsText" text="%">
      <formula>NOT(ISERROR(SEARCH("%",L38)))</formula>
    </cfRule>
  </conditionalFormatting>
  <conditionalFormatting sqref="L38">
    <cfRule type="containsText" dxfId="123" priority="129" operator="containsText" text="%">
      <formula>NOT(ISERROR(SEARCH("%",L38)))</formula>
    </cfRule>
  </conditionalFormatting>
  <conditionalFormatting sqref="L40">
    <cfRule type="containsText" dxfId="122" priority="128" operator="containsText" text="%">
      <formula>NOT(ISERROR(SEARCH("%",L40)))</formula>
    </cfRule>
  </conditionalFormatting>
  <conditionalFormatting sqref="L40">
    <cfRule type="containsText" dxfId="121" priority="127" operator="containsText" text="%">
      <formula>NOT(ISERROR(SEARCH("%",L40)))</formula>
    </cfRule>
  </conditionalFormatting>
  <conditionalFormatting sqref="L40">
    <cfRule type="containsText" dxfId="120" priority="126" operator="containsText" text="%">
      <formula>NOT(ISERROR(SEARCH("%",L40)))</formula>
    </cfRule>
  </conditionalFormatting>
  <conditionalFormatting sqref="L42">
    <cfRule type="containsText" dxfId="119" priority="125" operator="containsText" text="%">
      <formula>NOT(ISERROR(SEARCH("%",L42)))</formula>
    </cfRule>
  </conditionalFormatting>
  <conditionalFormatting sqref="L42">
    <cfRule type="containsText" dxfId="118" priority="124" operator="containsText" text="%">
      <formula>NOT(ISERROR(SEARCH("%",L42)))</formula>
    </cfRule>
  </conditionalFormatting>
  <conditionalFormatting sqref="L42">
    <cfRule type="containsText" dxfId="117" priority="123" operator="containsText" text="%">
      <formula>NOT(ISERROR(SEARCH("%",L42)))</formula>
    </cfRule>
  </conditionalFormatting>
  <conditionalFormatting sqref="L44">
    <cfRule type="containsText" dxfId="116" priority="122" operator="containsText" text="%">
      <formula>NOT(ISERROR(SEARCH("%",L44)))</formula>
    </cfRule>
  </conditionalFormatting>
  <conditionalFormatting sqref="L44">
    <cfRule type="containsText" dxfId="115" priority="121" operator="containsText" text="%">
      <formula>NOT(ISERROR(SEARCH("%",L44)))</formula>
    </cfRule>
  </conditionalFormatting>
  <conditionalFormatting sqref="L44">
    <cfRule type="containsText" dxfId="114" priority="120" operator="containsText" text="%">
      <formula>NOT(ISERROR(SEARCH("%",L44)))</formula>
    </cfRule>
  </conditionalFormatting>
  <conditionalFormatting sqref="L46">
    <cfRule type="containsText" dxfId="113" priority="119" operator="containsText" text="%">
      <formula>NOT(ISERROR(SEARCH("%",L46)))</formula>
    </cfRule>
  </conditionalFormatting>
  <conditionalFormatting sqref="L46">
    <cfRule type="containsText" dxfId="112" priority="118" operator="containsText" text="%">
      <formula>NOT(ISERROR(SEARCH("%",L46)))</formula>
    </cfRule>
  </conditionalFormatting>
  <conditionalFormatting sqref="L46">
    <cfRule type="containsText" dxfId="111" priority="117" operator="containsText" text="%">
      <formula>NOT(ISERROR(SEARCH("%",L46)))</formula>
    </cfRule>
  </conditionalFormatting>
  <conditionalFormatting sqref="L48">
    <cfRule type="containsText" dxfId="110" priority="116" operator="containsText" text="%">
      <formula>NOT(ISERROR(SEARCH("%",L48)))</formula>
    </cfRule>
  </conditionalFormatting>
  <conditionalFormatting sqref="L48">
    <cfRule type="containsText" dxfId="109" priority="115" operator="containsText" text="%">
      <formula>NOT(ISERROR(SEARCH("%",L48)))</formula>
    </cfRule>
  </conditionalFormatting>
  <conditionalFormatting sqref="L48">
    <cfRule type="containsText" dxfId="108" priority="114" operator="containsText" text="%">
      <formula>NOT(ISERROR(SEARCH("%",L48)))</formula>
    </cfRule>
  </conditionalFormatting>
  <conditionalFormatting sqref="L50">
    <cfRule type="containsText" dxfId="107" priority="113" operator="containsText" text="%">
      <formula>NOT(ISERROR(SEARCH("%",L50)))</formula>
    </cfRule>
  </conditionalFormatting>
  <conditionalFormatting sqref="L50">
    <cfRule type="containsText" dxfId="106" priority="112" operator="containsText" text="%">
      <formula>NOT(ISERROR(SEARCH("%",L50)))</formula>
    </cfRule>
  </conditionalFormatting>
  <conditionalFormatting sqref="L50">
    <cfRule type="containsText" dxfId="105" priority="111" operator="containsText" text="%">
      <formula>NOT(ISERROR(SEARCH("%",L50)))</formula>
    </cfRule>
  </conditionalFormatting>
  <conditionalFormatting sqref="L52">
    <cfRule type="containsText" dxfId="104" priority="110" operator="containsText" text="%">
      <formula>NOT(ISERROR(SEARCH("%",L52)))</formula>
    </cfRule>
  </conditionalFormatting>
  <conditionalFormatting sqref="L52">
    <cfRule type="containsText" dxfId="103" priority="109" operator="containsText" text="%">
      <formula>NOT(ISERROR(SEARCH("%",L52)))</formula>
    </cfRule>
  </conditionalFormatting>
  <conditionalFormatting sqref="L52">
    <cfRule type="containsText" dxfId="102" priority="108" operator="containsText" text="%">
      <formula>NOT(ISERROR(SEARCH("%",L52)))</formula>
    </cfRule>
  </conditionalFormatting>
  <conditionalFormatting sqref="L54">
    <cfRule type="containsText" dxfId="101" priority="107" operator="containsText" text="%">
      <formula>NOT(ISERROR(SEARCH("%",L54)))</formula>
    </cfRule>
  </conditionalFormatting>
  <conditionalFormatting sqref="L54">
    <cfRule type="containsText" dxfId="100" priority="106" operator="containsText" text="%">
      <formula>NOT(ISERROR(SEARCH("%",L54)))</formula>
    </cfRule>
  </conditionalFormatting>
  <conditionalFormatting sqref="L54">
    <cfRule type="containsText" dxfId="99" priority="105" operator="containsText" text="%">
      <formula>NOT(ISERROR(SEARCH("%",L54)))</formula>
    </cfRule>
  </conditionalFormatting>
  <conditionalFormatting sqref="L56">
    <cfRule type="containsText" dxfId="98" priority="104" operator="containsText" text="%">
      <formula>NOT(ISERROR(SEARCH("%",L56)))</formula>
    </cfRule>
  </conditionalFormatting>
  <conditionalFormatting sqref="L56">
    <cfRule type="containsText" dxfId="97" priority="103" operator="containsText" text="%">
      <formula>NOT(ISERROR(SEARCH("%",L56)))</formula>
    </cfRule>
  </conditionalFormatting>
  <conditionalFormatting sqref="L56">
    <cfRule type="containsText" dxfId="96" priority="102" operator="containsText" text="%">
      <formula>NOT(ISERROR(SEARCH("%",L56)))</formula>
    </cfRule>
  </conditionalFormatting>
  <conditionalFormatting sqref="L60">
    <cfRule type="containsText" dxfId="95" priority="101" operator="containsText" text="%">
      <formula>NOT(ISERROR(SEARCH("%",L60)))</formula>
    </cfRule>
  </conditionalFormatting>
  <conditionalFormatting sqref="L60">
    <cfRule type="containsText" dxfId="94" priority="100" operator="containsText" text="%">
      <formula>NOT(ISERROR(SEARCH("%",L60)))</formula>
    </cfRule>
  </conditionalFormatting>
  <conditionalFormatting sqref="L60">
    <cfRule type="containsText" dxfId="93" priority="99" operator="containsText" text="%">
      <formula>NOT(ISERROR(SEARCH("%",L60)))</formula>
    </cfRule>
  </conditionalFormatting>
  <conditionalFormatting sqref="L62">
    <cfRule type="containsText" dxfId="92" priority="98" operator="containsText" text="%">
      <formula>NOT(ISERROR(SEARCH("%",L62)))</formula>
    </cfRule>
  </conditionalFormatting>
  <conditionalFormatting sqref="L62">
    <cfRule type="containsText" dxfId="91" priority="97" operator="containsText" text="%">
      <formula>NOT(ISERROR(SEARCH("%",L62)))</formula>
    </cfRule>
  </conditionalFormatting>
  <conditionalFormatting sqref="L62">
    <cfRule type="containsText" dxfId="90" priority="96" operator="containsText" text="%">
      <formula>NOT(ISERROR(SEARCH("%",L62)))</formula>
    </cfRule>
  </conditionalFormatting>
  <conditionalFormatting sqref="L64">
    <cfRule type="containsText" dxfId="89" priority="95" operator="containsText" text="%">
      <formula>NOT(ISERROR(SEARCH("%",L64)))</formula>
    </cfRule>
  </conditionalFormatting>
  <conditionalFormatting sqref="L64">
    <cfRule type="containsText" dxfId="88" priority="94" operator="containsText" text="%">
      <formula>NOT(ISERROR(SEARCH("%",L64)))</formula>
    </cfRule>
  </conditionalFormatting>
  <conditionalFormatting sqref="L64">
    <cfRule type="containsText" dxfId="87" priority="93" operator="containsText" text="%">
      <formula>NOT(ISERROR(SEARCH("%",L64)))</formula>
    </cfRule>
  </conditionalFormatting>
  <conditionalFormatting sqref="L66">
    <cfRule type="containsText" dxfId="86" priority="92" operator="containsText" text="%">
      <formula>NOT(ISERROR(SEARCH("%",L66)))</formula>
    </cfRule>
  </conditionalFormatting>
  <conditionalFormatting sqref="L66">
    <cfRule type="containsText" dxfId="85" priority="91" operator="containsText" text="%">
      <formula>NOT(ISERROR(SEARCH("%",L66)))</formula>
    </cfRule>
  </conditionalFormatting>
  <conditionalFormatting sqref="L66">
    <cfRule type="containsText" dxfId="84" priority="90" operator="containsText" text="%">
      <formula>NOT(ISERROR(SEARCH("%",L66)))</formula>
    </cfRule>
  </conditionalFormatting>
  <conditionalFormatting sqref="L65">
    <cfRule type="containsText" dxfId="83" priority="4" operator="containsText" text="%">
      <formula>NOT(ISERROR(SEARCH("%",L65)))</formula>
    </cfRule>
  </conditionalFormatting>
  <conditionalFormatting sqref="L65">
    <cfRule type="containsText" dxfId="82" priority="3" operator="containsText" text="%">
      <formula>NOT(ISERROR(SEARCH("%",L65)))</formula>
    </cfRule>
  </conditionalFormatting>
  <conditionalFormatting sqref="F67:K67">
    <cfRule type="containsText" dxfId="81" priority="2" operator="containsText" text="%">
      <formula>NOT(ISERROR(SEARCH("%",F67)))</formula>
    </cfRule>
  </conditionalFormatting>
  <conditionalFormatting sqref="F67:K67">
    <cfRule type="containsText" dxfId="80" priority="1" operator="containsText" text="%">
      <formula>NOT(ISERROR(SEARCH("%",F67)))</formula>
    </cfRule>
  </conditionalFormatting>
  <conditionalFormatting sqref="F57:K58">
    <cfRule type="containsText" dxfId="79" priority="82" operator="containsText" text="%">
      <formula>NOT(ISERROR(SEARCH("%",F57)))</formula>
    </cfRule>
  </conditionalFormatting>
  <conditionalFormatting sqref="F57:F58 G57:K57">
    <cfRule type="containsText" dxfId="78" priority="81" operator="containsText" text="%">
      <formula>NOT(ISERROR(SEARCH("%",F57)))</formula>
    </cfRule>
  </conditionalFormatting>
  <conditionalFormatting sqref="F57:F58 G57:K57">
    <cfRule type="containsText" dxfId="77" priority="80" operator="containsText" text="%">
      <formula>NOT(ISERROR(SEARCH("%",F57)))</formula>
    </cfRule>
  </conditionalFormatting>
  <conditionalFormatting sqref="L21">
    <cfRule type="containsText" dxfId="76" priority="62" operator="containsText" text="%">
      <formula>NOT(ISERROR(SEARCH("%",L21)))</formula>
    </cfRule>
  </conditionalFormatting>
  <conditionalFormatting sqref="L21">
    <cfRule type="containsText" dxfId="75" priority="61" operator="containsText" text="%">
      <formula>NOT(ISERROR(SEARCH("%",L21)))</formula>
    </cfRule>
  </conditionalFormatting>
  <conditionalFormatting sqref="G57:K57">
    <cfRule type="containsText" dxfId="74" priority="77" operator="containsText" text="%">
      <formula>NOT(ISERROR(SEARCH("%",G57)))</formula>
    </cfRule>
  </conditionalFormatting>
  <conditionalFormatting sqref="G57:K57">
    <cfRule type="containsText" dxfId="73" priority="76" operator="containsText" text="%">
      <formula>NOT(ISERROR(SEARCH("%",G57)))</formula>
    </cfRule>
  </conditionalFormatting>
  <conditionalFormatting sqref="L58">
    <cfRule type="containsText" dxfId="72" priority="75" operator="containsText" text="%">
      <formula>NOT(ISERROR(SEARCH("%",L58)))</formula>
    </cfRule>
  </conditionalFormatting>
  <conditionalFormatting sqref="L58">
    <cfRule type="containsText" dxfId="71" priority="74" operator="containsText" text="%">
      <formula>NOT(ISERROR(SEARCH("%",L58)))</formula>
    </cfRule>
  </conditionalFormatting>
  <conditionalFormatting sqref="L58">
    <cfRule type="containsText" dxfId="70" priority="73" operator="containsText" text="%">
      <formula>NOT(ISERROR(SEARCH("%",L58)))</formula>
    </cfRule>
  </conditionalFormatting>
  <conditionalFormatting sqref="L13">
    <cfRule type="containsText" dxfId="69" priority="72" operator="containsText" text="%">
      <formula>NOT(ISERROR(SEARCH("%",L13)))</formula>
    </cfRule>
  </conditionalFormatting>
  <conditionalFormatting sqref="L13">
    <cfRule type="containsText" dxfId="68" priority="71" operator="containsText" text="%">
      <formula>NOT(ISERROR(SEARCH("%",L13)))</formula>
    </cfRule>
  </conditionalFormatting>
  <conditionalFormatting sqref="L15">
    <cfRule type="containsText" dxfId="67" priority="70" operator="containsText" text="%">
      <formula>NOT(ISERROR(SEARCH("%",L15)))</formula>
    </cfRule>
  </conditionalFormatting>
  <conditionalFormatting sqref="L15">
    <cfRule type="containsText" dxfId="66" priority="69" operator="containsText" text="%">
      <formula>NOT(ISERROR(SEARCH("%",L15)))</formula>
    </cfRule>
  </conditionalFormatting>
  <conditionalFormatting sqref="L17">
    <cfRule type="containsText" dxfId="65" priority="68" operator="containsText" text="%">
      <formula>NOT(ISERROR(SEARCH("%",L17)))</formula>
    </cfRule>
  </conditionalFormatting>
  <conditionalFormatting sqref="L17">
    <cfRule type="containsText" dxfId="64" priority="67" operator="containsText" text="%">
      <formula>NOT(ISERROR(SEARCH("%",L17)))</formula>
    </cfRule>
  </conditionalFormatting>
  <conditionalFormatting sqref="L17">
    <cfRule type="containsText" dxfId="63" priority="66" operator="containsText" text="%">
      <formula>NOT(ISERROR(SEARCH("%",L17)))</formula>
    </cfRule>
  </conditionalFormatting>
  <conditionalFormatting sqref="L17">
    <cfRule type="containsText" dxfId="62" priority="65" operator="containsText" text="%">
      <formula>NOT(ISERROR(SEARCH("%",L17)))</formula>
    </cfRule>
  </conditionalFormatting>
  <conditionalFormatting sqref="L19">
    <cfRule type="containsText" dxfId="61" priority="64" operator="containsText" text="%">
      <formula>NOT(ISERROR(SEARCH("%",L19)))</formula>
    </cfRule>
  </conditionalFormatting>
  <conditionalFormatting sqref="L19">
    <cfRule type="containsText" dxfId="60" priority="63" operator="containsText" text="%">
      <formula>NOT(ISERROR(SEARCH("%",L19)))</formula>
    </cfRule>
  </conditionalFormatting>
  <conditionalFormatting sqref="L23">
    <cfRule type="containsText" dxfId="59" priority="60" operator="containsText" text="%">
      <formula>NOT(ISERROR(SEARCH("%",L23)))</formula>
    </cfRule>
  </conditionalFormatting>
  <conditionalFormatting sqref="L23">
    <cfRule type="containsText" dxfId="58" priority="59" operator="containsText" text="%">
      <formula>NOT(ISERROR(SEARCH("%",L23)))</formula>
    </cfRule>
  </conditionalFormatting>
  <conditionalFormatting sqref="L25">
    <cfRule type="containsText" dxfId="57" priority="58" operator="containsText" text="%">
      <formula>NOT(ISERROR(SEARCH("%",L25)))</formula>
    </cfRule>
  </conditionalFormatting>
  <conditionalFormatting sqref="L25">
    <cfRule type="containsText" dxfId="56" priority="57" operator="containsText" text="%">
      <formula>NOT(ISERROR(SEARCH("%",L25)))</formula>
    </cfRule>
  </conditionalFormatting>
  <conditionalFormatting sqref="L27">
    <cfRule type="containsText" dxfId="55" priority="56" operator="containsText" text="%">
      <formula>NOT(ISERROR(SEARCH("%",L27)))</formula>
    </cfRule>
  </conditionalFormatting>
  <conditionalFormatting sqref="L27">
    <cfRule type="containsText" dxfId="54" priority="55" operator="containsText" text="%">
      <formula>NOT(ISERROR(SEARCH("%",L27)))</formula>
    </cfRule>
  </conditionalFormatting>
  <conditionalFormatting sqref="L29">
    <cfRule type="containsText" dxfId="53" priority="54" operator="containsText" text="%">
      <formula>NOT(ISERROR(SEARCH("%",L29)))</formula>
    </cfRule>
  </conditionalFormatting>
  <conditionalFormatting sqref="L29">
    <cfRule type="containsText" dxfId="52" priority="53" operator="containsText" text="%">
      <formula>NOT(ISERROR(SEARCH("%",L29)))</formula>
    </cfRule>
  </conditionalFormatting>
  <conditionalFormatting sqref="L31">
    <cfRule type="containsText" dxfId="51" priority="52" operator="containsText" text="%">
      <formula>NOT(ISERROR(SEARCH("%",L31)))</formula>
    </cfRule>
  </conditionalFormatting>
  <conditionalFormatting sqref="L31">
    <cfRule type="containsText" dxfId="50" priority="51" operator="containsText" text="%">
      <formula>NOT(ISERROR(SEARCH("%",L31)))</formula>
    </cfRule>
  </conditionalFormatting>
  <conditionalFormatting sqref="L33">
    <cfRule type="containsText" dxfId="49" priority="50" operator="containsText" text="%">
      <formula>NOT(ISERROR(SEARCH("%",L33)))</formula>
    </cfRule>
  </conditionalFormatting>
  <conditionalFormatting sqref="L33">
    <cfRule type="containsText" dxfId="48" priority="49" operator="containsText" text="%">
      <formula>NOT(ISERROR(SEARCH("%",L33)))</formula>
    </cfRule>
  </conditionalFormatting>
  <conditionalFormatting sqref="L35">
    <cfRule type="containsText" dxfId="47" priority="48" operator="containsText" text="%">
      <formula>NOT(ISERROR(SEARCH("%",L35)))</formula>
    </cfRule>
  </conditionalFormatting>
  <conditionalFormatting sqref="L35">
    <cfRule type="containsText" dxfId="46" priority="47" operator="containsText" text="%">
      <formula>NOT(ISERROR(SEARCH("%",L35)))</formula>
    </cfRule>
  </conditionalFormatting>
  <conditionalFormatting sqref="L37">
    <cfRule type="containsText" dxfId="45" priority="46" operator="containsText" text="%">
      <formula>NOT(ISERROR(SEARCH("%",L37)))</formula>
    </cfRule>
  </conditionalFormatting>
  <conditionalFormatting sqref="L37">
    <cfRule type="containsText" dxfId="44" priority="45" operator="containsText" text="%">
      <formula>NOT(ISERROR(SEARCH("%",L37)))</formula>
    </cfRule>
  </conditionalFormatting>
  <conditionalFormatting sqref="L39">
    <cfRule type="containsText" dxfId="43" priority="44" operator="containsText" text="%">
      <formula>NOT(ISERROR(SEARCH("%",L39)))</formula>
    </cfRule>
  </conditionalFormatting>
  <conditionalFormatting sqref="L39">
    <cfRule type="containsText" dxfId="42" priority="43" operator="containsText" text="%">
      <formula>NOT(ISERROR(SEARCH("%",L39)))</formula>
    </cfRule>
  </conditionalFormatting>
  <conditionalFormatting sqref="L39">
    <cfRule type="containsText" dxfId="41" priority="42" operator="containsText" text="%">
      <formula>NOT(ISERROR(SEARCH("%",L39)))</formula>
    </cfRule>
  </conditionalFormatting>
  <conditionalFormatting sqref="L41">
    <cfRule type="containsText" dxfId="40" priority="41" operator="containsText" text="%">
      <formula>NOT(ISERROR(SEARCH("%",L41)))</formula>
    </cfRule>
  </conditionalFormatting>
  <conditionalFormatting sqref="L41">
    <cfRule type="containsText" dxfId="39" priority="40" operator="containsText" text="%">
      <formula>NOT(ISERROR(SEARCH("%",L41)))</formula>
    </cfRule>
  </conditionalFormatting>
  <conditionalFormatting sqref="L41">
    <cfRule type="containsText" dxfId="38" priority="39" operator="containsText" text="%">
      <formula>NOT(ISERROR(SEARCH("%",L41)))</formula>
    </cfRule>
  </conditionalFormatting>
  <conditionalFormatting sqref="L43">
    <cfRule type="containsText" dxfId="37" priority="38" operator="containsText" text="%">
      <formula>NOT(ISERROR(SEARCH("%",L43)))</formula>
    </cfRule>
  </conditionalFormatting>
  <conditionalFormatting sqref="L43">
    <cfRule type="containsText" dxfId="36" priority="37" operator="containsText" text="%">
      <formula>NOT(ISERROR(SEARCH("%",L43)))</formula>
    </cfRule>
  </conditionalFormatting>
  <conditionalFormatting sqref="L43">
    <cfRule type="containsText" dxfId="35" priority="36" operator="containsText" text="%">
      <formula>NOT(ISERROR(SEARCH("%",L43)))</formula>
    </cfRule>
  </conditionalFormatting>
  <conditionalFormatting sqref="L45">
    <cfRule type="containsText" dxfId="34" priority="35" operator="containsText" text="%">
      <formula>NOT(ISERROR(SEARCH("%",L45)))</formula>
    </cfRule>
  </conditionalFormatting>
  <conditionalFormatting sqref="L45">
    <cfRule type="containsText" dxfId="33" priority="34" operator="containsText" text="%">
      <formula>NOT(ISERROR(SEARCH("%",L45)))</formula>
    </cfRule>
  </conditionalFormatting>
  <conditionalFormatting sqref="L45">
    <cfRule type="containsText" dxfId="32" priority="33" operator="containsText" text="%">
      <formula>NOT(ISERROR(SEARCH("%",L45)))</formula>
    </cfRule>
  </conditionalFormatting>
  <conditionalFormatting sqref="L47">
    <cfRule type="containsText" dxfId="31" priority="32" operator="containsText" text="%">
      <formula>NOT(ISERROR(SEARCH("%",L47)))</formula>
    </cfRule>
  </conditionalFormatting>
  <conditionalFormatting sqref="L47">
    <cfRule type="containsText" dxfId="30" priority="31" operator="containsText" text="%">
      <formula>NOT(ISERROR(SEARCH("%",L47)))</formula>
    </cfRule>
  </conditionalFormatting>
  <conditionalFormatting sqref="L47">
    <cfRule type="containsText" dxfId="29" priority="30" operator="containsText" text="%">
      <formula>NOT(ISERROR(SEARCH("%",L47)))</formula>
    </cfRule>
  </conditionalFormatting>
  <conditionalFormatting sqref="L49">
    <cfRule type="containsText" dxfId="28" priority="29" operator="containsText" text="%">
      <formula>NOT(ISERROR(SEARCH("%",L49)))</formula>
    </cfRule>
  </conditionalFormatting>
  <conditionalFormatting sqref="L49">
    <cfRule type="containsText" dxfId="27" priority="28" operator="containsText" text="%">
      <formula>NOT(ISERROR(SEARCH("%",L49)))</formula>
    </cfRule>
  </conditionalFormatting>
  <conditionalFormatting sqref="L49">
    <cfRule type="containsText" dxfId="26" priority="27" operator="containsText" text="%">
      <formula>NOT(ISERROR(SEARCH("%",L49)))</formula>
    </cfRule>
  </conditionalFormatting>
  <conditionalFormatting sqref="L51">
    <cfRule type="containsText" dxfId="25" priority="26" operator="containsText" text="%">
      <formula>NOT(ISERROR(SEARCH("%",L51)))</formula>
    </cfRule>
  </conditionalFormatting>
  <conditionalFormatting sqref="L51">
    <cfRule type="containsText" dxfId="24" priority="25" operator="containsText" text="%">
      <formula>NOT(ISERROR(SEARCH("%",L51)))</formula>
    </cfRule>
  </conditionalFormatting>
  <conditionalFormatting sqref="L51">
    <cfRule type="containsText" dxfId="23" priority="24" operator="containsText" text="%">
      <formula>NOT(ISERROR(SEARCH("%",L51)))</formula>
    </cfRule>
  </conditionalFormatting>
  <conditionalFormatting sqref="L53">
    <cfRule type="containsText" dxfId="22" priority="23" operator="containsText" text="%">
      <formula>NOT(ISERROR(SEARCH("%",L53)))</formula>
    </cfRule>
  </conditionalFormatting>
  <conditionalFormatting sqref="L53">
    <cfRule type="containsText" dxfId="21" priority="22" operator="containsText" text="%">
      <formula>NOT(ISERROR(SEARCH("%",L53)))</formula>
    </cfRule>
  </conditionalFormatting>
  <conditionalFormatting sqref="L53">
    <cfRule type="containsText" dxfId="20" priority="21" operator="containsText" text="%">
      <formula>NOT(ISERROR(SEARCH("%",L53)))</formula>
    </cfRule>
  </conditionalFormatting>
  <conditionalFormatting sqref="L55">
    <cfRule type="containsText" dxfId="19" priority="20" operator="containsText" text="%">
      <formula>NOT(ISERROR(SEARCH("%",L55)))</formula>
    </cfRule>
  </conditionalFormatting>
  <conditionalFormatting sqref="L55">
    <cfRule type="containsText" dxfId="18" priority="19" operator="containsText" text="%">
      <formula>NOT(ISERROR(SEARCH("%",L55)))</formula>
    </cfRule>
  </conditionalFormatting>
  <conditionalFormatting sqref="L55">
    <cfRule type="containsText" dxfId="17" priority="18" operator="containsText" text="%">
      <formula>NOT(ISERROR(SEARCH("%",L55)))</formula>
    </cfRule>
  </conditionalFormatting>
  <conditionalFormatting sqref="L57">
    <cfRule type="containsText" dxfId="16" priority="17" operator="containsText" text="%">
      <formula>NOT(ISERROR(SEARCH("%",L57)))</formula>
    </cfRule>
  </conditionalFormatting>
  <conditionalFormatting sqref="L57">
    <cfRule type="containsText" dxfId="15" priority="16" operator="containsText" text="%">
      <formula>NOT(ISERROR(SEARCH("%",L57)))</formula>
    </cfRule>
  </conditionalFormatting>
  <conditionalFormatting sqref="L57">
    <cfRule type="containsText" dxfId="14" priority="15" operator="containsText" text="%">
      <formula>NOT(ISERROR(SEARCH("%",L57)))</formula>
    </cfRule>
  </conditionalFormatting>
  <conditionalFormatting sqref="L59">
    <cfRule type="containsText" dxfId="13" priority="14" operator="containsText" text="%">
      <formula>NOT(ISERROR(SEARCH("%",L59)))</formula>
    </cfRule>
  </conditionalFormatting>
  <conditionalFormatting sqref="L59">
    <cfRule type="containsText" dxfId="12" priority="13" operator="containsText" text="%">
      <formula>NOT(ISERROR(SEARCH("%",L59)))</formula>
    </cfRule>
  </conditionalFormatting>
  <conditionalFormatting sqref="L59">
    <cfRule type="containsText" dxfId="11" priority="12" operator="containsText" text="%">
      <formula>NOT(ISERROR(SEARCH("%",L59)))</formula>
    </cfRule>
  </conditionalFormatting>
  <conditionalFormatting sqref="L61">
    <cfRule type="containsText" dxfId="10" priority="11" operator="containsText" text="%">
      <formula>NOT(ISERROR(SEARCH("%",L61)))</formula>
    </cfRule>
  </conditionalFormatting>
  <conditionalFormatting sqref="L61">
    <cfRule type="containsText" dxfId="9" priority="10" operator="containsText" text="%">
      <formula>NOT(ISERROR(SEARCH("%",L61)))</formula>
    </cfRule>
  </conditionalFormatting>
  <conditionalFormatting sqref="L61">
    <cfRule type="containsText" dxfId="8" priority="9" operator="containsText" text="%">
      <formula>NOT(ISERROR(SEARCH("%",L61)))</formula>
    </cfRule>
  </conditionalFormatting>
  <conditionalFormatting sqref="L63">
    <cfRule type="containsText" dxfId="7" priority="8" operator="containsText" text="%">
      <formula>NOT(ISERROR(SEARCH("%",L63)))</formula>
    </cfRule>
  </conditionalFormatting>
  <conditionalFormatting sqref="L63">
    <cfRule type="containsText" dxfId="6" priority="7" operator="containsText" text="%">
      <formula>NOT(ISERROR(SEARCH("%",L63)))</formula>
    </cfRule>
  </conditionalFormatting>
  <conditionalFormatting sqref="L63">
    <cfRule type="containsText" dxfId="5" priority="6" operator="containsText" text="%">
      <formula>NOT(ISERROR(SEARCH("%",L63)))</formula>
    </cfRule>
  </conditionalFormatting>
  <conditionalFormatting sqref="L65">
    <cfRule type="containsText" dxfId="4" priority="5" operator="containsText" text="%">
      <formula>NOT(ISERROR(SEARCH("%",L65)))</formula>
    </cfRule>
  </conditionalFormatting>
  <printOptions horizontalCentered="1"/>
  <pageMargins left="0.19685039370078741" right="0.19685039370078741" top="0.59055118110236227" bottom="0" header="0" footer="0"/>
  <pageSetup scale="38" orientation="landscape" r:id="rId1"/>
  <rowBreaks count="1" manualBreakCount="1">
    <brk id="82" min="1" max="11" man="1"/>
  </rowBreaks>
  <drawing r:id="rId2"/>
</worksheet>
</file>

<file path=xl/worksheets/sheet6.xml><?xml version="1.0" encoding="utf-8"?>
<worksheet xmlns="http://schemas.openxmlformats.org/spreadsheetml/2006/main" xmlns:r="http://schemas.openxmlformats.org/officeDocument/2006/relationships">
  <dimension ref="B1:E48"/>
  <sheetViews>
    <sheetView view="pageBreakPreview" zoomScale="90" zoomScaleSheetLayoutView="90" workbookViewId="0">
      <selection activeCell="E29" sqref="E29"/>
    </sheetView>
  </sheetViews>
  <sheetFormatPr defaultRowHeight="12.75"/>
  <cols>
    <col min="2" max="2" width="5.85546875" customWidth="1"/>
    <col min="3" max="3" width="82.85546875" bestFit="1" customWidth="1"/>
    <col min="4" max="4" width="20.7109375" bestFit="1" customWidth="1"/>
  </cols>
  <sheetData>
    <row r="1" spans="2:4" ht="38.25" customHeight="1"/>
    <row r="2" spans="2:4">
      <c r="B2" s="783" t="s">
        <v>859</v>
      </c>
      <c r="C2" s="784"/>
      <c r="D2" s="785"/>
    </row>
    <row r="3" spans="2:4">
      <c r="B3" s="786"/>
      <c r="C3" s="787"/>
      <c r="D3" s="788"/>
    </row>
    <row r="4" spans="2:4">
      <c r="B4" s="786"/>
      <c r="C4" s="787"/>
      <c r="D4" s="788"/>
    </row>
    <row r="5" spans="2:4">
      <c r="B5" s="789"/>
      <c r="C5" s="790"/>
      <c r="D5" s="791"/>
    </row>
    <row r="6" spans="2:4" ht="16.5">
      <c r="B6" s="792" t="s">
        <v>22</v>
      </c>
      <c r="C6" s="792"/>
      <c r="D6" s="25" t="s">
        <v>860</v>
      </c>
    </row>
    <row r="7" spans="2:4" ht="15.75">
      <c r="B7" s="793" t="s">
        <v>861</v>
      </c>
      <c r="C7" s="793"/>
      <c r="D7" s="26"/>
    </row>
    <row r="8" spans="2:4" ht="47.25">
      <c r="B8" s="27" t="s">
        <v>862</v>
      </c>
      <c r="C8" s="28" t="s">
        <v>863</v>
      </c>
      <c r="D8" s="29">
        <v>0.04</v>
      </c>
    </row>
    <row r="9" spans="2:4" ht="15.75">
      <c r="B9" s="27"/>
      <c r="C9" s="30" t="s">
        <v>864</v>
      </c>
      <c r="D9" s="31">
        <f>SUM(D8)</f>
        <v>0.04</v>
      </c>
    </row>
    <row r="10" spans="2:4" ht="15.75">
      <c r="B10" s="27"/>
      <c r="C10" s="28"/>
      <c r="D10" s="31"/>
    </row>
    <row r="11" spans="2:4" ht="15.75">
      <c r="B11" s="793" t="s">
        <v>865</v>
      </c>
      <c r="C11" s="793"/>
      <c r="D11" s="31"/>
    </row>
    <row r="12" spans="2:4" ht="15.75">
      <c r="B12" s="27" t="s">
        <v>866</v>
      </c>
      <c r="C12" s="28" t="s">
        <v>867</v>
      </c>
      <c r="D12" s="29">
        <v>1.21E-2</v>
      </c>
    </row>
    <row r="13" spans="2:4" ht="15.75">
      <c r="B13" s="27" t="s">
        <v>868</v>
      </c>
      <c r="C13" s="28" t="s">
        <v>869</v>
      </c>
      <c r="D13" s="29">
        <v>4.0000000000000001E-3</v>
      </c>
    </row>
    <row r="14" spans="2:4" ht="15.75">
      <c r="B14" s="27" t="s">
        <v>868</v>
      </c>
      <c r="C14" s="28" t="s">
        <v>870</v>
      </c>
      <c r="D14" s="29">
        <v>4.0000000000000001E-3</v>
      </c>
    </row>
    <row r="15" spans="2:4" ht="15.75">
      <c r="B15" s="27" t="s">
        <v>871</v>
      </c>
      <c r="C15" s="32" t="s">
        <v>872</v>
      </c>
      <c r="D15" s="29">
        <v>1.2E-2</v>
      </c>
    </row>
    <row r="16" spans="2:4" ht="15.75">
      <c r="B16" s="27" t="s">
        <v>873</v>
      </c>
      <c r="C16" s="28" t="s">
        <v>874</v>
      </c>
      <c r="D16" s="29">
        <v>7.3999999999999996E-2</v>
      </c>
    </row>
    <row r="17" spans="2:5" ht="15.75">
      <c r="B17" s="27"/>
      <c r="C17" s="30" t="s">
        <v>875</v>
      </c>
      <c r="D17" s="31">
        <f>SUM(D12:D16)</f>
        <v>0.1061</v>
      </c>
    </row>
    <row r="18" spans="2:5" ht="15.75">
      <c r="B18" s="27"/>
      <c r="C18" s="33"/>
      <c r="D18" s="31"/>
    </row>
    <row r="19" spans="2:5" ht="15.75">
      <c r="B19" s="793" t="s">
        <v>876</v>
      </c>
      <c r="C19" s="793"/>
      <c r="D19" s="31"/>
    </row>
    <row r="20" spans="2:5" ht="15.75">
      <c r="B20" s="27" t="s">
        <v>877</v>
      </c>
      <c r="C20" s="34" t="s">
        <v>991</v>
      </c>
      <c r="D20" s="31"/>
    </row>
    <row r="21" spans="2:5" ht="15.75">
      <c r="B21" s="27" t="s">
        <v>878</v>
      </c>
      <c r="C21" s="35" t="s">
        <v>879</v>
      </c>
      <c r="D21" s="29">
        <v>0.4</v>
      </c>
    </row>
    <row r="22" spans="2:5" ht="15.75">
      <c r="B22" s="27" t="s">
        <v>880</v>
      </c>
      <c r="C22" s="36" t="s">
        <v>881</v>
      </c>
      <c r="D22" s="29">
        <v>0.05</v>
      </c>
    </row>
    <row r="23" spans="2:5" ht="15.75">
      <c r="B23" s="27" t="s">
        <v>882</v>
      </c>
      <c r="C23" s="37" t="s">
        <v>883</v>
      </c>
      <c r="D23" s="31">
        <f>D22*D21</f>
        <v>2.0000000000000004E-2</v>
      </c>
    </row>
    <row r="24" spans="2:5" ht="15.75">
      <c r="B24" s="27" t="s">
        <v>884</v>
      </c>
      <c r="C24" s="33" t="s">
        <v>885</v>
      </c>
      <c r="D24" s="38">
        <v>6.4999999999999997E-3</v>
      </c>
    </row>
    <row r="25" spans="2:5" ht="15.75">
      <c r="B25" s="27" t="s">
        <v>886</v>
      </c>
      <c r="C25" s="33" t="s">
        <v>887</v>
      </c>
      <c r="D25" s="38">
        <v>0.03</v>
      </c>
    </row>
    <row r="26" spans="2:5" ht="15.75">
      <c r="B26" s="27" t="s">
        <v>989</v>
      </c>
      <c r="C26" s="33" t="s">
        <v>990</v>
      </c>
      <c r="D26" s="38">
        <v>4.4999999999999998E-2</v>
      </c>
    </row>
    <row r="27" spans="2:5" ht="15.75">
      <c r="B27" s="27"/>
      <c r="C27" s="30" t="s">
        <v>888</v>
      </c>
      <c r="D27" s="31">
        <f>SUM(D23:D26)</f>
        <v>0.10150000000000001</v>
      </c>
    </row>
    <row r="28" spans="2:5" ht="15.75">
      <c r="B28" s="39"/>
      <c r="C28" s="39"/>
      <c r="D28" s="31"/>
    </row>
    <row r="29" spans="2:5" ht="15.75">
      <c r="B29" s="793" t="s">
        <v>889</v>
      </c>
      <c r="C29" s="793"/>
      <c r="D29" s="31">
        <f>ROUND((1+D8+D13+D15+D14)*(1+D12)*(1+D16)/(1-D27)-1,4)</f>
        <v>0.28239999999999998</v>
      </c>
      <c r="E29" s="158">
        <f>1+D29</f>
        <v>1.2824</v>
      </c>
    </row>
    <row r="30" spans="2:5">
      <c r="B30" s="782" t="s">
        <v>890</v>
      </c>
      <c r="C30" s="782"/>
      <c r="D30" s="782"/>
    </row>
    <row r="31" spans="2:5">
      <c r="B31" s="782"/>
      <c r="C31" s="782"/>
      <c r="D31" s="782"/>
    </row>
    <row r="32" spans="2:5">
      <c r="B32" s="782"/>
      <c r="C32" s="782"/>
      <c r="D32" s="782"/>
    </row>
    <row r="33" spans="2:4">
      <c r="B33" s="782"/>
      <c r="C33" s="782"/>
      <c r="D33" s="782"/>
    </row>
    <row r="34" spans="2:4">
      <c r="B34" s="782"/>
      <c r="C34" s="782"/>
      <c r="D34" s="782"/>
    </row>
    <row r="35" spans="2:4">
      <c r="B35" s="782"/>
      <c r="C35" s="782"/>
      <c r="D35" s="782"/>
    </row>
    <row r="36" spans="2:4">
      <c r="B36" s="782"/>
      <c r="C36" s="782"/>
      <c r="D36" s="782"/>
    </row>
    <row r="37" spans="2:4">
      <c r="B37" s="782"/>
      <c r="C37" s="782"/>
      <c r="D37" s="782"/>
    </row>
    <row r="38" spans="2:4">
      <c r="B38" s="782"/>
      <c r="C38" s="782"/>
      <c r="D38" s="782"/>
    </row>
    <row r="39" spans="2:4">
      <c r="B39" s="782"/>
      <c r="C39" s="782"/>
      <c r="D39" s="782"/>
    </row>
    <row r="40" spans="2:4">
      <c r="B40" s="782"/>
      <c r="C40" s="782"/>
      <c r="D40" s="782"/>
    </row>
    <row r="41" spans="2:4">
      <c r="B41" s="782"/>
      <c r="C41" s="782"/>
      <c r="D41" s="782"/>
    </row>
    <row r="42" spans="2:4">
      <c r="B42" s="782"/>
      <c r="C42" s="782"/>
      <c r="D42" s="782"/>
    </row>
    <row r="43" spans="2:4">
      <c r="B43" s="782"/>
      <c r="C43" s="782"/>
      <c r="D43" s="782"/>
    </row>
    <row r="44" spans="2:4" ht="56.25" customHeight="1">
      <c r="B44" s="782"/>
      <c r="C44" s="782"/>
      <c r="D44" s="782"/>
    </row>
    <row r="45" spans="2:4">
      <c r="C45" s="8"/>
    </row>
    <row r="46" spans="2:4" ht="20.25" customHeight="1"/>
    <row r="47" spans="2:4">
      <c r="C47" s="248"/>
    </row>
    <row r="48" spans="2:4">
      <c r="C48" s="247"/>
    </row>
  </sheetData>
  <mergeCells count="7">
    <mergeCell ref="B30:D44"/>
    <mergeCell ref="B2:D5"/>
    <mergeCell ref="B6:C6"/>
    <mergeCell ref="B7:C7"/>
    <mergeCell ref="B11:C11"/>
    <mergeCell ref="B19:C19"/>
    <mergeCell ref="B29:C29"/>
  </mergeCells>
  <pageMargins left="0.70866141732283472" right="0.51181102362204722" top="0.78740157480314965" bottom="0.78740157480314965" header="0.31496062992125984" footer="0.31496062992125984"/>
  <pageSetup paperSize="9" scale="80" orientation="portrait" r:id="rId1"/>
  <colBreaks count="1" manualBreakCount="1">
    <brk id="4" max="1048575" man="1"/>
  </colBreaks>
  <legacyDrawing r:id="rId2"/>
</worksheet>
</file>

<file path=xl/worksheets/sheet7.xml><?xml version="1.0" encoding="utf-8"?>
<worksheet xmlns="http://schemas.openxmlformats.org/spreadsheetml/2006/main" xmlns:r="http://schemas.openxmlformats.org/officeDocument/2006/relationships">
  <dimension ref="A2:CA808"/>
  <sheetViews>
    <sheetView showZeros="0" view="pageBreakPreview" topLeftCell="A588" zoomScale="85" zoomScaleNormal="70" zoomScaleSheetLayoutView="85" workbookViewId="0">
      <selection activeCell="P631" sqref="P631"/>
    </sheetView>
  </sheetViews>
  <sheetFormatPr defaultRowHeight="12.75"/>
  <cols>
    <col min="1" max="1" width="10.5703125" style="292" customWidth="1"/>
    <col min="2" max="2" width="16.28515625" style="541" bestFit="1" customWidth="1"/>
    <col min="3" max="3" width="15" style="152" bestFit="1" customWidth="1"/>
    <col min="4" max="4" width="12" style="156" bestFit="1" customWidth="1"/>
    <col min="5" max="5" width="66" style="509" customWidth="1"/>
    <col min="6" max="6" width="34.85546875" style="152" customWidth="1"/>
    <col min="7" max="7" width="12.42578125" style="540" bestFit="1" customWidth="1"/>
    <col min="8" max="8" width="43.140625" style="579" customWidth="1"/>
    <col min="9" max="9" width="18.5703125" style="526" bestFit="1" customWidth="1"/>
    <col min="10" max="10" width="9.85546875" style="508" hidden="1" customWidth="1"/>
    <col min="11" max="11" width="6.42578125" style="508" hidden="1" customWidth="1"/>
    <col min="12" max="12" width="0" style="558" hidden="1" customWidth="1"/>
    <col min="13" max="79" width="9.140625" style="292"/>
    <col min="80" max="16384" width="9.140625" style="508"/>
  </cols>
  <sheetData>
    <row r="2" spans="1:9" ht="102" customHeight="1">
      <c r="B2" s="798"/>
      <c r="C2" s="798"/>
      <c r="D2" s="798"/>
      <c r="E2" s="798"/>
      <c r="F2" s="798"/>
      <c r="G2" s="798"/>
      <c r="H2" s="798"/>
      <c r="I2" s="798"/>
    </row>
    <row r="3" spans="1:9">
      <c r="B3" s="799" t="str">
        <f>'2-ORÇAMENTO'!B3:K3</f>
        <v xml:space="preserve">OBRA: REFORMA E AMPLIAÇÃO DA UNIDADE ESCOLAR </v>
      </c>
      <c r="C3" s="799"/>
      <c r="D3" s="799"/>
      <c r="E3" s="799"/>
      <c r="F3" s="799"/>
      <c r="G3" s="799"/>
      <c r="H3" s="799"/>
      <c r="I3" s="799"/>
    </row>
    <row r="4" spans="1:9">
      <c r="B4" s="799" t="str">
        <f>'2-ORÇAMENTO'!B4:K4</f>
        <v xml:space="preserve">LOCAL: EMEB "PROFESSORA JUVENÍLIA MONTEIRO DE OLIVEIRA </v>
      </c>
      <c r="C4" s="799"/>
      <c r="D4" s="799"/>
      <c r="E4" s="799"/>
      <c r="F4" s="799"/>
      <c r="G4" s="799"/>
      <c r="H4" s="799"/>
      <c r="I4" s="799"/>
    </row>
    <row r="5" spans="1:9">
      <c r="B5" s="799" t="str">
        <f>'2-ORÇAMENTO'!B5:K5</f>
        <v>ENDEREÇO: RUA PRINCIPAL, BAIRRO: ENGORDADOR</v>
      </c>
      <c r="C5" s="799"/>
      <c r="D5" s="799"/>
      <c r="E5" s="799"/>
      <c r="F5" s="799"/>
      <c r="G5" s="799"/>
      <c r="H5" s="799"/>
      <c r="I5" s="799"/>
    </row>
    <row r="6" spans="1:9" ht="15" customHeight="1">
      <c r="B6" s="799" t="str">
        <f>'3-CRONOGRAMA'!B6:G6</f>
        <v>MUNICÍPIO: VÁRZEA GRANDE - MT</v>
      </c>
      <c r="C6" s="799"/>
      <c r="D6" s="799"/>
      <c r="E6" s="799"/>
      <c r="F6" s="799"/>
      <c r="G6" s="799"/>
      <c r="H6" s="799"/>
      <c r="I6" s="799"/>
    </row>
    <row r="7" spans="1:9">
      <c r="B7" s="799" t="str">
        <f>'2-ORÇAMENTO'!B7:K7</f>
        <v>DATA BASE: SINAPI MAIO - COM DESONERAÇÃO / 2020 - BDI - 28,24%</v>
      </c>
      <c r="C7" s="799"/>
      <c r="D7" s="799"/>
      <c r="E7" s="799"/>
      <c r="F7" s="799"/>
      <c r="G7" s="799"/>
      <c r="H7" s="799"/>
      <c r="I7" s="799"/>
    </row>
    <row r="8" spans="1:9">
      <c r="B8" s="800" t="s">
        <v>6580</v>
      </c>
      <c r="C8" s="800"/>
      <c r="D8" s="800"/>
      <c r="E8" s="800"/>
      <c r="F8" s="800"/>
      <c r="G8" s="800"/>
      <c r="H8" s="800"/>
      <c r="I8" s="800"/>
    </row>
    <row r="9" spans="1:9">
      <c r="A9" s="291"/>
      <c r="B9" s="542"/>
      <c r="C9" s="416"/>
      <c r="D9" s="510"/>
      <c r="F9" s="511"/>
      <c r="G9" s="559"/>
      <c r="H9" s="580"/>
      <c r="I9" s="580"/>
    </row>
    <row r="10" spans="1:9">
      <c r="A10" s="291"/>
      <c r="B10" s="542"/>
      <c r="C10" s="416"/>
      <c r="D10" s="510"/>
      <c r="F10" s="511"/>
      <c r="G10" s="559"/>
      <c r="H10" s="580"/>
      <c r="I10" s="580"/>
    </row>
    <row r="11" spans="1:9">
      <c r="A11" s="291"/>
      <c r="B11" s="796" t="s">
        <v>933</v>
      </c>
      <c r="C11" s="796"/>
      <c r="D11" s="796"/>
      <c r="E11" s="796"/>
      <c r="F11" s="796"/>
      <c r="G11" s="796"/>
      <c r="H11" s="796"/>
      <c r="I11" s="796"/>
    </row>
    <row r="12" spans="1:9">
      <c r="A12" s="291"/>
      <c r="B12" s="542"/>
      <c r="C12" s="416"/>
      <c r="D12" s="510"/>
      <c r="F12" s="511"/>
      <c r="G12" s="559"/>
      <c r="H12" s="580"/>
      <c r="I12" s="580"/>
    </row>
    <row r="13" spans="1:9">
      <c r="A13" s="291"/>
      <c r="B13" s="359" t="s">
        <v>12440</v>
      </c>
      <c r="C13" s="513"/>
      <c r="D13" s="513"/>
      <c r="E13" s="154" t="s">
        <v>12439</v>
      </c>
      <c r="F13" s="155" t="s">
        <v>1003</v>
      </c>
      <c r="G13" s="367">
        <v>1</v>
      </c>
      <c r="H13" s="581"/>
      <c r="I13" s="582">
        <f>TRUNC(SUM(I14:I20),2)</f>
        <v>375.41</v>
      </c>
    </row>
    <row r="14" spans="1:9">
      <c r="A14" s="291"/>
      <c r="B14" s="543" t="s">
        <v>837</v>
      </c>
      <c r="C14" s="151" t="s">
        <v>8</v>
      </c>
      <c r="D14" s="351">
        <v>88262</v>
      </c>
      <c r="E14" s="334" t="str">
        <f>IF($D14&lt;&gt;"",VLOOKUP($D14,'SINAPI MAIO 2020'!$1:$1048576,2,FALSE),"")</f>
        <v>CARPINTEIRO DE FORMAS COM ENCARGOS COMPLEMENTARES</v>
      </c>
      <c r="F14" s="335" t="str">
        <f>IF($D14&lt;&gt;"",VLOOKUP($D14,'SINAPI MAIO 2020'!$1:$1048576,3,FALSE),"")</f>
        <v>H</v>
      </c>
      <c r="G14" s="360">
        <v>1</v>
      </c>
      <c r="H14" s="583">
        <f>IF($D14&lt;&gt;"",VLOOKUP($D14,'SINAPI MAIO 2020'!$1:$1048576,4,FALSE),"")</f>
        <v>17.64</v>
      </c>
      <c r="I14" s="584">
        <f>TRUNC(G14*H14,2)</f>
        <v>17.64</v>
      </c>
    </row>
    <row r="15" spans="1:9">
      <c r="A15" s="291"/>
      <c r="B15" s="543" t="s">
        <v>837</v>
      </c>
      <c r="C15" s="151" t="s">
        <v>8</v>
      </c>
      <c r="D15" s="351">
        <v>88316</v>
      </c>
      <c r="E15" s="334" t="str">
        <f>IF($D15&lt;&gt;"",VLOOKUP($D15,'SINAPI MAIO 2020'!$1:$1048576,2,FALSE),"")</f>
        <v>SERVENTE COM ENCARGOS COMPLEMENTARES</v>
      </c>
      <c r="F15" s="335" t="str">
        <f>IF($D15&lt;&gt;"",VLOOKUP($D15,'SINAPI MAIO 2020'!$1:$1048576,3,FALSE),"")</f>
        <v>H</v>
      </c>
      <c r="G15" s="360">
        <v>2</v>
      </c>
      <c r="H15" s="583">
        <f>IF($D15&lt;&gt;"",VLOOKUP($D15,'SINAPI MAIO 2020'!$1:$1048576,4,FALSE),"")</f>
        <v>14.37</v>
      </c>
      <c r="I15" s="584">
        <f t="shared" ref="I15:I20" si="0">TRUNC(G15*H15,2)</f>
        <v>28.74</v>
      </c>
    </row>
    <row r="16" spans="1:9" ht="38.25">
      <c r="A16" s="291"/>
      <c r="B16" s="543" t="s">
        <v>837</v>
      </c>
      <c r="C16" s="151" t="s">
        <v>8</v>
      </c>
      <c r="D16" s="351">
        <v>94962</v>
      </c>
      <c r="E16" s="334" t="str">
        <f>IF($D16&lt;&gt;"",VLOOKUP($D16,'SINAPI MAIO 2020'!$1:$1048576,2,FALSE),"")</f>
        <v>CONCRETO MAGRO PARA LASTRO, TRAÇO 1:4,5:4,5 (CIMENTO/ AREIA MÉDIA/ BRITA 1)  - PREPARO MECÂNICO COM BETONEIRA 400 L. AF_07/2016</v>
      </c>
      <c r="F16" s="335" t="str">
        <f>IF($D16&lt;&gt;"",VLOOKUP($D16,'SINAPI MAIO 2020'!$1:$1048576,3,FALSE),"")</f>
        <v>M3</v>
      </c>
      <c r="G16" s="360">
        <v>0.01</v>
      </c>
      <c r="H16" s="583">
        <f>IF($D16&lt;&gt;"",VLOOKUP($D16,'SINAPI MAIO 2020'!$1:$1048576,4,FALSE),"")</f>
        <v>255.77</v>
      </c>
      <c r="I16" s="584">
        <f t="shared" si="0"/>
        <v>2.5499999999999998</v>
      </c>
    </row>
    <row r="17" spans="1:9" ht="25.5">
      <c r="A17" s="291"/>
      <c r="B17" s="543" t="s">
        <v>835</v>
      </c>
      <c r="C17" s="151" t="s">
        <v>8</v>
      </c>
      <c r="D17" s="351">
        <v>4417</v>
      </c>
      <c r="E17" s="334" t="str">
        <f>IF($D17&lt;&gt;"",VLOOKUP($D17,'SINAPI MAIO 2020'!$1:$1048576,2,FALSE),"")</f>
        <v>SARRAFO DE MADEIRA NAO APARELHADA *2,5 X 7* CM, MACARANDUBA, ANGELIM OU EQUIVALENTE DA REGIAO</v>
      </c>
      <c r="F17" s="335" t="str">
        <f>IF($D17&lt;&gt;"",VLOOKUP($D17,'SINAPI MAIO 2020'!$1:$1048576,3,FALSE),"")</f>
        <v xml:space="preserve">M     </v>
      </c>
      <c r="G17" s="360">
        <v>1</v>
      </c>
      <c r="H17" s="583">
        <f>IF($D17&lt;&gt;"",VLOOKUP($D17,'SINAPI MAIO 2020'!$1:$1048576,4,FALSE),"")</f>
        <v>3.02</v>
      </c>
      <c r="I17" s="584">
        <f t="shared" si="0"/>
        <v>3.02</v>
      </c>
    </row>
    <row r="18" spans="1:9" ht="25.5">
      <c r="A18" s="291"/>
      <c r="B18" s="543" t="s">
        <v>835</v>
      </c>
      <c r="C18" s="151" t="s">
        <v>8</v>
      </c>
      <c r="D18" s="351">
        <v>4491</v>
      </c>
      <c r="E18" s="334" t="str">
        <f>IF($D18&lt;&gt;"",VLOOKUP($D18,'SINAPI MAIO 2020'!$1:$1048576,2,FALSE),"")</f>
        <v>PONTALETE DE MADEIRA NAO APARELHADA *7,5 X 7,5* CM (3 X 3 ") PINUS, MISTA OU EQUIVALENTE DA REGIAO</v>
      </c>
      <c r="F18" s="335" t="str">
        <f>IF($D18&lt;&gt;"",VLOOKUP($D18,'SINAPI MAIO 2020'!$1:$1048576,3,FALSE),"")</f>
        <v xml:space="preserve">M     </v>
      </c>
      <c r="G18" s="360">
        <v>4</v>
      </c>
      <c r="H18" s="583">
        <f>IF($D18&lt;&gt;"",VLOOKUP($D18,'SINAPI MAIO 2020'!$1:$1048576,4,FALSE),"")</f>
        <v>5.56</v>
      </c>
      <c r="I18" s="584">
        <f t="shared" si="0"/>
        <v>22.24</v>
      </c>
    </row>
    <row r="19" spans="1:9" ht="25.5">
      <c r="A19" s="291"/>
      <c r="B19" s="543" t="s">
        <v>835</v>
      </c>
      <c r="C19" s="151" t="s">
        <v>8</v>
      </c>
      <c r="D19" s="351">
        <v>4813</v>
      </c>
      <c r="E19" s="334" t="str">
        <f>IF($D19&lt;&gt;"",VLOOKUP($D19,'SINAPI MAIO 2020'!$1:$1048576,2,FALSE),"")</f>
        <v>PLACA DE OBRA (PARA CONSTRUCAO CIVIL) EM CHAPA GALVANIZADA *N. 22*, ADESIVADA, DE *2,0 X 1,125* M</v>
      </c>
      <c r="F19" s="335" t="str">
        <f>IF($D19&lt;&gt;"",VLOOKUP($D19,'SINAPI MAIO 2020'!$1:$1048576,3,FALSE),"")</f>
        <v xml:space="preserve">M2    </v>
      </c>
      <c r="G19" s="360">
        <v>1</v>
      </c>
      <c r="H19" s="583">
        <f>IF($D19&lt;&gt;"",VLOOKUP($D19,'SINAPI MAIO 2020'!$1:$1048576,4,FALSE),"")</f>
        <v>300</v>
      </c>
      <c r="I19" s="584">
        <f t="shared" si="0"/>
        <v>300</v>
      </c>
    </row>
    <row r="20" spans="1:9">
      <c r="A20" s="291"/>
      <c r="B20" s="543" t="s">
        <v>835</v>
      </c>
      <c r="C20" s="151" t="s">
        <v>8</v>
      </c>
      <c r="D20" s="351">
        <v>5075</v>
      </c>
      <c r="E20" s="334" t="str">
        <f>IF($D20&lt;&gt;"",VLOOKUP($D20,'SINAPI MAIO 2020'!$1:$1048576,2,FALSE),"")</f>
        <v>PREGO DE ACO POLIDO COM CABECA 18 X 30 (2 3/4 X 10)</v>
      </c>
      <c r="F20" s="335" t="str">
        <f>IF($D20&lt;&gt;"",VLOOKUP($D20,'SINAPI MAIO 2020'!$1:$1048576,3,FALSE),"")</f>
        <v xml:space="preserve">KG    </v>
      </c>
      <c r="G20" s="360">
        <v>0.11</v>
      </c>
      <c r="H20" s="583">
        <f>IF($D20&lt;&gt;"",VLOOKUP($D20,'SINAPI MAIO 2020'!$1:$1048576,4,FALSE),"")</f>
        <v>11.18</v>
      </c>
      <c r="I20" s="584">
        <f t="shared" si="0"/>
        <v>1.22</v>
      </c>
    </row>
    <row r="21" spans="1:9">
      <c r="A21" s="291"/>
      <c r="B21" s="542"/>
      <c r="C21" s="416"/>
      <c r="D21" s="510"/>
      <c r="F21" s="511"/>
      <c r="G21" s="559"/>
      <c r="H21" s="580"/>
      <c r="I21" s="580"/>
    </row>
    <row r="22" spans="1:9" ht="12.75" customHeight="1">
      <c r="A22" s="291"/>
      <c r="B22" s="796" t="s">
        <v>994</v>
      </c>
      <c r="C22" s="796"/>
      <c r="D22" s="796"/>
      <c r="E22" s="796"/>
      <c r="F22" s="796"/>
      <c r="G22" s="796"/>
      <c r="H22" s="796"/>
      <c r="I22" s="796"/>
    </row>
    <row r="23" spans="1:9">
      <c r="A23" s="291"/>
      <c r="B23" s="542"/>
      <c r="C23" s="416"/>
      <c r="D23" s="510"/>
      <c r="F23" s="511"/>
      <c r="G23" s="559"/>
      <c r="H23" s="580"/>
      <c r="I23" s="580"/>
    </row>
    <row r="24" spans="1:9">
      <c r="B24" s="359" t="s">
        <v>4688</v>
      </c>
      <c r="C24" s="513"/>
      <c r="D24" s="513"/>
      <c r="E24" s="154" t="s">
        <v>981</v>
      </c>
      <c r="F24" s="155" t="s">
        <v>48</v>
      </c>
      <c r="G24" s="367">
        <v>1</v>
      </c>
      <c r="H24" s="581"/>
      <c r="I24" s="582">
        <f>TRUNC(SUM(I25:I26),2)</f>
        <v>7.35</v>
      </c>
    </row>
    <row r="25" spans="1:9">
      <c r="B25" s="543" t="s">
        <v>837</v>
      </c>
      <c r="C25" s="151" t="s">
        <v>8</v>
      </c>
      <c r="D25" s="156">
        <v>88316</v>
      </c>
      <c r="E25" s="334" t="str">
        <f>IF($D25&lt;&gt;"",VLOOKUP($D25,'SINAPI MAIO 2020'!$1:$1048576,2,FALSE),"")</f>
        <v>SERVENTE COM ENCARGOS COMPLEMENTARES</v>
      </c>
      <c r="F25" s="335" t="str">
        <f>IF($D25&lt;&gt;"",VLOOKUP($D25,'SINAPI MAIO 2020'!$1:$1048576,3,FALSE),"")</f>
        <v>H</v>
      </c>
      <c r="G25" s="360">
        <v>0.25</v>
      </c>
      <c r="H25" s="583">
        <f>IF($D25&lt;&gt;"",VLOOKUP($D25,'SINAPI MAIO 2020'!$1:$1048576,4,FALSE),"")</f>
        <v>14.37</v>
      </c>
      <c r="I25" s="379">
        <f>TRUNC(H25*G25,2)</f>
        <v>3.59</v>
      </c>
    </row>
    <row r="26" spans="1:9">
      <c r="B26" s="543" t="s">
        <v>837</v>
      </c>
      <c r="C26" s="151" t="s">
        <v>8</v>
      </c>
      <c r="D26" s="156">
        <v>88261</v>
      </c>
      <c r="E26" s="334" t="str">
        <f>IF($D26&lt;&gt;"",VLOOKUP($D26,'SINAPI MAIO 2020'!$1:$1048576,2,FALSE),"")</f>
        <v>CARPINTEIRO DE ESQUADRIA COM ENCARGOS COMPLEMENTARES</v>
      </c>
      <c r="F26" s="335" t="str">
        <f>IF($D26&lt;&gt;"",VLOOKUP($D26,'SINAPI MAIO 2020'!$1:$1048576,3,FALSE),"")</f>
        <v>H</v>
      </c>
      <c r="G26" s="360">
        <v>0.2</v>
      </c>
      <c r="H26" s="583">
        <f>IF($D26&lt;&gt;"",VLOOKUP($D26,'SINAPI MAIO 2020'!$1:$1048576,4,FALSE),"")</f>
        <v>18.84</v>
      </c>
      <c r="I26" s="379">
        <f>H26*G26</f>
        <v>3.7680000000000002</v>
      </c>
    </row>
    <row r="27" spans="1:9">
      <c r="B27" s="544"/>
      <c r="C27" s="514"/>
      <c r="D27" s="514"/>
      <c r="E27" s="515"/>
      <c r="F27" s="514"/>
      <c r="G27" s="560"/>
      <c r="H27" s="585"/>
      <c r="I27" s="585"/>
    </row>
    <row r="28" spans="1:9">
      <c r="B28" s="359" t="s">
        <v>12441</v>
      </c>
      <c r="C28" s="513"/>
      <c r="D28" s="513"/>
      <c r="E28" s="154" t="s">
        <v>4664</v>
      </c>
      <c r="F28" s="155" t="s">
        <v>33</v>
      </c>
      <c r="G28" s="367">
        <v>1</v>
      </c>
      <c r="H28" s="581"/>
      <c r="I28" s="582">
        <f>TRUNC(SUM(I29:I30),2)</f>
        <v>209.89</v>
      </c>
    </row>
    <row r="29" spans="1:9">
      <c r="B29" s="543" t="s">
        <v>837</v>
      </c>
      <c r="C29" s="151" t="s">
        <v>8</v>
      </c>
      <c r="D29" s="156">
        <v>88309</v>
      </c>
      <c r="E29" s="334" t="str">
        <f>IF($D29&lt;&gt;"",VLOOKUP($D29,'SINAPI MAIO 2020'!$A$1:G113670,2,FALSE),"")</f>
        <v>PEDREIRO COM ENCARGOS COMPLEMENTARES</v>
      </c>
      <c r="F29" s="335" t="str">
        <f>IF($D29&lt;&gt;"",VLOOKUP($D29,'SINAPI MAIO 2020'!$1:$1048576,3,FALSE),"")</f>
        <v>H</v>
      </c>
      <c r="G29" s="360">
        <v>1.3</v>
      </c>
      <c r="H29" s="583">
        <f>IF($D29&lt;&gt;"",VLOOKUP($D29,'SINAPI MAIO 2020'!$1:$1048576,4,FALSE),"")</f>
        <v>17.760000000000002</v>
      </c>
      <c r="I29" s="379">
        <f>TRUNC(H29*G29,2)</f>
        <v>23.08</v>
      </c>
    </row>
    <row r="30" spans="1:9">
      <c r="B30" s="543" t="s">
        <v>837</v>
      </c>
      <c r="C30" s="151" t="s">
        <v>8</v>
      </c>
      <c r="D30" s="352">
        <v>88316</v>
      </c>
      <c r="E30" s="334" t="str">
        <f>IF($D30&lt;&gt;"",VLOOKUP($D30,'SINAPI MAIO 2020'!$A$1:G113671,2,FALSE),"")</f>
        <v>SERVENTE COM ENCARGOS COMPLEMENTARES</v>
      </c>
      <c r="F30" s="335" t="str">
        <f>IF($D30&lt;&gt;"",VLOOKUP($D30,'SINAPI MAIO 2020'!$1:$1048576,3,FALSE),"")</f>
        <v>H</v>
      </c>
      <c r="G30" s="360">
        <v>13</v>
      </c>
      <c r="H30" s="583">
        <f>IF($D30&lt;&gt;"",VLOOKUP($D30,'SINAPI MAIO 2020'!$1:$1048576,4,FALSE),"")</f>
        <v>14.37</v>
      </c>
      <c r="I30" s="379">
        <f>TRUNC(H30*G30,2)</f>
        <v>186.81</v>
      </c>
    </row>
    <row r="31" spans="1:9">
      <c r="B31" s="544"/>
      <c r="C31" s="514"/>
      <c r="D31" s="514"/>
      <c r="E31" s="515"/>
      <c r="F31" s="514"/>
      <c r="G31" s="560"/>
      <c r="H31" s="585"/>
      <c r="I31" s="585"/>
    </row>
    <row r="32" spans="1:9">
      <c r="B32" s="359" t="s">
        <v>4690</v>
      </c>
      <c r="C32" s="513"/>
      <c r="D32" s="513"/>
      <c r="E32" s="154" t="s">
        <v>4593</v>
      </c>
      <c r="F32" s="155" t="s">
        <v>817</v>
      </c>
      <c r="G32" s="367">
        <v>1</v>
      </c>
      <c r="H32" s="581"/>
      <c r="I32" s="582">
        <f>TRUNC(SUM(I33:I34),2)</f>
        <v>16.07</v>
      </c>
    </row>
    <row r="33" spans="2:9" ht="25.5">
      <c r="B33" s="543" t="s">
        <v>837</v>
      </c>
      <c r="C33" s="151" t="s">
        <v>8</v>
      </c>
      <c r="D33" s="156">
        <v>88267</v>
      </c>
      <c r="E33" s="334" t="str">
        <f>IF($D33&lt;&gt;"",VLOOKUP($D33,'SINAPI MAIO 2020'!$A$1:G113674,2,FALSE),"")</f>
        <v>ENCANADOR OU BOMBEIRO HIDRÁULICO COM ENCARGOS COMPLEMENTARES</v>
      </c>
      <c r="F33" s="335" t="str">
        <f>IF($D33&lt;&gt;"",VLOOKUP($D33,'SINAPI MAIO 2020'!$1:$1048576,3,FALSE),"")</f>
        <v>H</v>
      </c>
      <c r="G33" s="360">
        <v>0.5</v>
      </c>
      <c r="H33" s="583">
        <f>IF($D33&lt;&gt;"",VLOOKUP($D33,'SINAPI MAIO 2020'!$1:$1048576,4,FALSE),"")</f>
        <v>17.79</v>
      </c>
      <c r="I33" s="379">
        <f>TRUNC(H33*G33,2)</f>
        <v>8.89</v>
      </c>
    </row>
    <row r="34" spans="2:9">
      <c r="B34" s="543" t="s">
        <v>837</v>
      </c>
      <c r="C34" s="151" t="s">
        <v>8</v>
      </c>
      <c r="D34" s="352">
        <v>88316</v>
      </c>
      <c r="E34" s="334" t="str">
        <f>IF($D34&lt;&gt;"",VLOOKUP($D34,'SINAPI MAIO 2020'!$A$1:G113675,2,FALSE),"")</f>
        <v>SERVENTE COM ENCARGOS COMPLEMENTARES</v>
      </c>
      <c r="F34" s="335" t="str">
        <f>IF($D34&lt;&gt;"",VLOOKUP($D34,'SINAPI MAIO 2020'!$1:$1048576,3,FALSE),"")</f>
        <v>H</v>
      </c>
      <c r="G34" s="360">
        <v>0.5</v>
      </c>
      <c r="H34" s="583">
        <f>IF($D34&lt;&gt;"",VLOOKUP($D34,'SINAPI MAIO 2020'!$1:$1048576,4,FALSE),"")</f>
        <v>14.37</v>
      </c>
      <c r="I34" s="379">
        <f>TRUNC(H34*G34,2)</f>
        <v>7.18</v>
      </c>
    </row>
    <row r="35" spans="2:9">
      <c r="B35" s="544"/>
      <c r="C35" s="514"/>
      <c r="D35" s="514"/>
      <c r="E35" s="515"/>
      <c r="F35" s="514"/>
      <c r="G35" s="560"/>
      <c r="H35" s="585"/>
      <c r="I35" s="585"/>
    </row>
    <row r="36" spans="2:9">
      <c r="B36" s="359" t="s">
        <v>4689</v>
      </c>
      <c r="C36" s="513"/>
      <c r="D36" s="513"/>
      <c r="E36" s="154" t="s">
        <v>6557</v>
      </c>
      <c r="F36" s="155" t="s">
        <v>17</v>
      </c>
      <c r="G36" s="367">
        <v>1</v>
      </c>
      <c r="H36" s="581"/>
      <c r="I36" s="582">
        <f>TRUNC(SUM(I37:I37),2)</f>
        <v>22.6</v>
      </c>
    </row>
    <row r="37" spans="2:9">
      <c r="B37" s="543" t="s">
        <v>837</v>
      </c>
      <c r="C37" s="151" t="s">
        <v>8</v>
      </c>
      <c r="D37" s="352">
        <v>88261</v>
      </c>
      <c r="E37" s="334" t="str">
        <f>IF($D37&lt;&gt;"",VLOOKUP($D37,'SINAPI MAIO 2020'!$A$1:G113678,2,FALSE),"")</f>
        <v>CARPINTEIRO DE ESQUADRIA COM ENCARGOS COMPLEMENTARES</v>
      </c>
      <c r="F37" s="335" t="str">
        <f>IF($D37&lt;&gt;"",VLOOKUP($D37,'SINAPI MAIO 2020'!$1:$1048576,3,FALSE),"")</f>
        <v>H</v>
      </c>
      <c r="G37" s="360">
        <v>1.2</v>
      </c>
      <c r="H37" s="583">
        <f>IF($D37&lt;&gt;"",VLOOKUP($D37,'SINAPI MAIO 2020'!$1:$1048576,4,FALSE),"")</f>
        <v>18.84</v>
      </c>
      <c r="I37" s="379">
        <f>TRUNC(H37*G37,2)</f>
        <v>22.6</v>
      </c>
    </row>
    <row r="38" spans="2:9">
      <c r="B38" s="544"/>
      <c r="C38" s="514"/>
      <c r="D38" s="514"/>
      <c r="E38" s="515"/>
      <c r="F38" s="514"/>
      <c r="G38" s="560"/>
      <c r="H38" s="585"/>
      <c r="I38" s="585"/>
    </row>
    <row r="39" spans="2:9" ht="12.75" customHeight="1">
      <c r="B39" s="796" t="s">
        <v>917</v>
      </c>
      <c r="C39" s="796"/>
      <c r="D39" s="796"/>
      <c r="E39" s="796"/>
      <c r="F39" s="796"/>
      <c r="G39" s="796"/>
      <c r="H39" s="796"/>
      <c r="I39" s="796"/>
    </row>
    <row r="40" spans="2:9">
      <c r="B40" s="544"/>
      <c r="C40" s="514"/>
      <c r="D40" s="514"/>
      <c r="E40" s="515"/>
      <c r="F40" s="514"/>
      <c r="G40" s="560"/>
      <c r="H40" s="585"/>
      <c r="I40" s="585"/>
    </row>
    <row r="41" spans="2:9" ht="12.75" customHeight="1">
      <c r="B41" s="796" t="s">
        <v>4489</v>
      </c>
      <c r="C41" s="796"/>
      <c r="D41" s="796"/>
      <c r="E41" s="796"/>
      <c r="F41" s="796"/>
      <c r="G41" s="796"/>
      <c r="H41" s="796"/>
      <c r="I41" s="796"/>
    </row>
    <row r="42" spans="2:9" ht="12.75" customHeight="1">
      <c r="B42" s="544"/>
      <c r="C42" s="514"/>
      <c r="D42" s="514"/>
      <c r="E42" s="515"/>
      <c r="F42" s="514"/>
      <c r="G42" s="560"/>
      <c r="H42" s="585"/>
      <c r="I42" s="585"/>
    </row>
    <row r="43" spans="2:9" ht="12.75" customHeight="1">
      <c r="B43" s="544"/>
      <c r="C43" s="514"/>
      <c r="D43" s="514"/>
      <c r="E43" s="515"/>
      <c r="F43" s="514"/>
      <c r="G43" s="560"/>
      <c r="H43" s="585"/>
      <c r="I43" s="585"/>
    </row>
    <row r="44" spans="2:9" ht="12.75" customHeight="1">
      <c r="B44" s="545" t="s">
        <v>6563</v>
      </c>
      <c r="C44" s="513"/>
      <c r="D44" s="513"/>
      <c r="E44" s="154" t="s">
        <v>6565</v>
      </c>
      <c r="F44" s="155" t="s">
        <v>17</v>
      </c>
      <c r="G44" s="367">
        <v>1</v>
      </c>
      <c r="H44" s="581"/>
      <c r="I44" s="582">
        <f>TRUNC(SUM(I45:L51),2)</f>
        <v>151.72</v>
      </c>
    </row>
    <row r="45" spans="2:9" ht="12.75" customHeight="1">
      <c r="B45" s="543" t="s">
        <v>835</v>
      </c>
      <c r="C45" s="151" t="s">
        <v>836</v>
      </c>
      <c r="D45" s="353"/>
      <c r="E45" s="334" t="s">
        <v>6562</v>
      </c>
      <c r="F45" s="335" t="s">
        <v>817</v>
      </c>
      <c r="G45" s="360">
        <v>1.0289999999999999</v>
      </c>
      <c r="H45" s="583">
        <v>135</v>
      </c>
      <c r="I45" s="379">
        <f t="shared" ref="I45:I51" si="1">TRUNC(H45*G45,2)</f>
        <v>138.91</v>
      </c>
    </row>
    <row r="46" spans="2:9" ht="12.75" customHeight="1">
      <c r="B46" s="543" t="s">
        <v>858</v>
      </c>
      <c r="C46" s="151" t="s">
        <v>8</v>
      </c>
      <c r="D46" s="353">
        <v>88316</v>
      </c>
      <c r="E46" s="334" t="str">
        <f>IF($D46&lt;&gt;"",VLOOKUP($D46,'SINAPI MAIO 2020'!$1:$1048576,2,FALSE),"")</f>
        <v>SERVENTE COM ENCARGOS COMPLEMENTARES</v>
      </c>
      <c r="F46" s="335" t="str">
        <f>IF($D46&lt;&gt;"",VLOOKUP($D46,'SINAPI MAIO 2020'!$1:$1048576,3,FALSE),"")</f>
        <v>H</v>
      </c>
      <c r="G46" s="360">
        <v>7.4999999999999997E-2</v>
      </c>
      <c r="H46" s="583">
        <f>IF($D46&lt;&gt;"",VLOOKUP($D46,'SINAPI MAIO 2020'!$1:$1048576,4,FALSE),"")</f>
        <v>14.37</v>
      </c>
      <c r="I46" s="379">
        <f t="shared" si="1"/>
        <v>1.07</v>
      </c>
    </row>
    <row r="47" spans="2:9" ht="12.75" customHeight="1">
      <c r="B47" s="543" t="s">
        <v>858</v>
      </c>
      <c r="C47" s="151" t="s">
        <v>8</v>
      </c>
      <c r="D47" s="353">
        <v>88323</v>
      </c>
      <c r="E47" s="334" t="str">
        <f>IF($D47&lt;&gt;"",VLOOKUP($D47,'SINAPI MAIO 2020'!$1:$1048576,2,FALSE),"")</f>
        <v>TELHADISTA COM ENCARGOS COMPLEMENTARES</v>
      </c>
      <c r="F47" s="335" t="str">
        <f>IF($D47&lt;&gt;"",VLOOKUP($D47,'SINAPI MAIO 2020'!$1:$1048576,3,FALSE),"")</f>
        <v>H</v>
      </c>
      <c r="G47" s="360">
        <v>6.0999999999999999E-2</v>
      </c>
      <c r="H47" s="583">
        <f>IF($D47&lt;&gt;"",VLOOKUP($D47,'SINAPI MAIO 2020'!$1:$1048576,4,FALSE),"")</f>
        <v>18.809999999999999</v>
      </c>
      <c r="I47" s="379">
        <f t="shared" si="1"/>
        <v>1.1399999999999999</v>
      </c>
    </row>
    <row r="48" spans="2:9" ht="12.75" customHeight="1">
      <c r="B48" s="543" t="s">
        <v>858</v>
      </c>
      <c r="C48" s="151" t="s">
        <v>8</v>
      </c>
      <c r="D48" s="353">
        <v>93281</v>
      </c>
      <c r="E48" s="334" t="str">
        <f>IF($D48&lt;&gt;"",VLOOKUP($D48,'SINAPI MAIO 2020'!$1:$1048576,2,FALSE),"")</f>
        <v>GUINCHO ELÉTRICO DE COLUNA, CAPACIDADE 400 KG, COM MOTO FREIO, MOTOR TRIFÁSICO DE 1,25 CV - CHP DIURNO. AF_03/2016</v>
      </c>
      <c r="F48" s="335" t="str">
        <f>IF($D48&lt;&gt;"",VLOOKUP($D48,'SINAPI MAIO 2020'!$1:$1048576,3,FALSE),"")</f>
        <v>CHP</v>
      </c>
      <c r="G48" s="360">
        <v>1.2999999999999999E-2</v>
      </c>
      <c r="H48" s="583">
        <f>IF($D48&lt;&gt;"",VLOOKUP($D48,'SINAPI MAIO 2020'!$1:$1048576,4,FALSE),"")</f>
        <v>14.18</v>
      </c>
      <c r="I48" s="379">
        <f t="shared" si="1"/>
        <v>0.18</v>
      </c>
    </row>
    <row r="49" spans="2:10" ht="12.75" customHeight="1">
      <c r="B49" s="543" t="s">
        <v>858</v>
      </c>
      <c r="C49" s="151" t="s">
        <v>8</v>
      </c>
      <c r="D49" s="353">
        <v>93282</v>
      </c>
      <c r="E49" s="334" t="str">
        <f>IF($D49&lt;&gt;"",VLOOKUP($D49,'SINAPI MAIO 2020'!$1:$1048576,2,FALSE),"")</f>
        <v>GUINCHO ELÉTRICO DE COLUNA, CAPACIDADE 400 KG, COM MOTO FREIO, MOTOR TRIFÁSICO DE 1,25 CV - CHI DIURNO. AF_03/2016</v>
      </c>
      <c r="F49" s="335" t="str">
        <f>IF($D49&lt;&gt;"",VLOOKUP($D49,'SINAPI MAIO 2020'!$1:$1048576,3,FALSE),"")</f>
        <v>CHI</v>
      </c>
      <c r="G49" s="360">
        <v>2.5999999999999999E-2</v>
      </c>
      <c r="H49" s="583">
        <f>IF($D49&lt;&gt;"",VLOOKUP($D49,'SINAPI MAIO 2020'!$1:$1048576,4,FALSE),"")</f>
        <v>13.29</v>
      </c>
      <c r="I49" s="379">
        <f t="shared" si="1"/>
        <v>0.34</v>
      </c>
    </row>
    <row r="50" spans="2:10" ht="12.75" customHeight="1">
      <c r="B50" s="543" t="s">
        <v>835</v>
      </c>
      <c r="C50" s="151" t="s">
        <v>8</v>
      </c>
      <c r="D50" s="353">
        <v>1607</v>
      </c>
      <c r="E50" s="334" t="str">
        <f>IF($D50&lt;&gt;"",VLOOKUP($D50,'SINAPI MAIO 2020'!$1:$1048576,2,FALSE),"")</f>
        <v>CONJUNTO ARRUELAS DE VEDACAO 5/16" PARA TELHA FIBROCIMENTO (UMA ARRUELA METALICA E UMA ARRUELA PVC - CONICAS)</v>
      </c>
      <c r="F50" s="335" t="str">
        <f>IF($D50&lt;&gt;"",VLOOKUP($D50,'SINAPI MAIO 2020'!$1:$1048576,3,FALSE),"")</f>
        <v xml:space="preserve">CJ    </v>
      </c>
      <c r="G50" s="360">
        <v>4.2</v>
      </c>
      <c r="H50" s="583">
        <f>IF($D50&lt;&gt;"",VLOOKUP($D50,'SINAPI MAIO 2020'!$1:$1048576,4,FALSE),"")</f>
        <v>0.15</v>
      </c>
      <c r="I50" s="379">
        <f t="shared" si="1"/>
        <v>0.63</v>
      </c>
    </row>
    <row r="51" spans="2:10" ht="12.75" customHeight="1">
      <c r="B51" s="543" t="s">
        <v>835</v>
      </c>
      <c r="C51" s="151" t="s">
        <v>8</v>
      </c>
      <c r="D51" s="353">
        <v>4302</v>
      </c>
      <c r="E51" s="334" t="str">
        <f>IF($D51&lt;&gt;"",VLOOKUP($D51,'SINAPI MAIO 2020'!$1:$1048576,2,FALSE),"")</f>
        <v>PARAFUSO ZINCADO ROSCA SOBERBA, CABECA SEXTAVADA, 5/16 " X 250 MM, PARA FIXACAO DE TELHA EM MADEIRA</v>
      </c>
      <c r="F51" s="335" t="str">
        <f>IF($D51&lt;&gt;"",VLOOKUP($D51,'SINAPI MAIO 2020'!$1:$1048576,3,FALSE),"")</f>
        <v xml:space="preserve">UN    </v>
      </c>
      <c r="G51" s="360">
        <v>4.2</v>
      </c>
      <c r="H51" s="583">
        <f>IF($D51&lt;&gt;"",VLOOKUP($D51,'SINAPI MAIO 2020'!$1:$1048576,4,FALSE),"")</f>
        <v>2.25</v>
      </c>
      <c r="I51" s="379">
        <f t="shared" si="1"/>
        <v>9.4499999999999993</v>
      </c>
    </row>
    <row r="52" spans="2:10" ht="12.75" customHeight="1">
      <c r="B52" s="544"/>
      <c r="C52" s="514"/>
      <c r="D52" s="514"/>
      <c r="E52" s="515"/>
      <c r="F52" s="514"/>
      <c r="G52" s="560"/>
      <c r="H52" s="585"/>
      <c r="I52" s="585"/>
    </row>
    <row r="53" spans="2:10" ht="12.75" customHeight="1">
      <c r="B53" s="544"/>
      <c r="C53" s="514"/>
      <c r="D53" s="514"/>
      <c r="E53" s="515"/>
      <c r="F53" s="514"/>
      <c r="G53" s="560"/>
      <c r="H53" s="585"/>
      <c r="I53" s="585"/>
    </row>
    <row r="54" spans="2:10" ht="12.75" customHeight="1">
      <c r="B54" s="796" t="s">
        <v>4475</v>
      </c>
      <c r="C54" s="796"/>
      <c r="D54" s="796"/>
      <c r="E54" s="796"/>
      <c r="F54" s="796"/>
      <c r="G54" s="796"/>
      <c r="H54" s="796"/>
      <c r="I54" s="796"/>
    </row>
    <row r="55" spans="2:10" ht="12.75" customHeight="1">
      <c r="B55" s="544"/>
      <c r="C55" s="514"/>
      <c r="D55" s="514"/>
      <c r="E55" s="515"/>
      <c r="F55" s="514"/>
      <c r="G55" s="560"/>
      <c r="H55" s="585"/>
      <c r="I55" s="585"/>
    </row>
    <row r="56" spans="2:10" ht="25.5">
      <c r="B56" s="546" t="s">
        <v>7054</v>
      </c>
      <c r="C56" s="516"/>
      <c r="D56" s="516"/>
      <c r="E56" s="356" t="s">
        <v>4362</v>
      </c>
      <c r="F56" s="517" t="s">
        <v>1003</v>
      </c>
      <c r="G56" s="561"/>
      <c r="H56" s="586"/>
      <c r="I56" s="582">
        <f>TRUNC(SUM(I57:I60),2)</f>
        <v>495.11</v>
      </c>
      <c r="J56" s="518"/>
    </row>
    <row r="57" spans="2:10">
      <c r="B57" s="547" t="s">
        <v>837</v>
      </c>
      <c r="C57" s="354" t="s">
        <v>8</v>
      </c>
      <c r="D57" s="151">
        <v>88309</v>
      </c>
      <c r="E57" s="334" t="str">
        <f>IF($D57&lt;&gt;"",VLOOKUP($D57,'SINAPI MAIO 2020'!$1:$1048576,2,FALSE),"")</f>
        <v>PEDREIRO COM ENCARGOS COMPLEMENTARES</v>
      </c>
      <c r="F57" s="335" t="str">
        <f>IF($D57&lt;&gt;"",VLOOKUP($D57,'SINAPI MAIO 2020'!$1:$1048576,3,FALSE),"")</f>
        <v>H</v>
      </c>
      <c r="G57" s="562">
        <v>1.6</v>
      </c>
      <c r="H57" s="583">
        <f>IF($D57&lt;&gt;"",VLOOKUP($D57,'SINAPI MAIO 2020'!$1:$1048576,4,FALSE),"")</f>
        <v>17.760000000000002</v>
      </c>
      <c r="I57" s="587">
        <f t="shared" ref="I57:I59" si="2">H57*G57</f>
        <v>28.416000000000004</v>
      </c>
    </row>
    <row r="58" spans="2:10">
      <c r="B58" s="547" t="s">
        <v>837</v>
      </c>
      <c r="C58" s="151" t="s">
        <v>8</v>
      </c>
      <c r="D58" s="354">
        <v>88316</v>
      </c>
      <c r="E58" s="334" t="str">
        <f>IF($D58&lt;&gt;"",VLOOKUP($D58,'SINAPI MAIO 2020'!$1:$1048576,2,FALSE),"")</f>
        <v>SERVENTE COM ENCARGOS COMPLEMENTARES</v>
      </c>
      <c r="F58" s="335" t="str">
        <f>IF($D58&lt;&gt;"",VLOOKUP($D58,'SINAPI MAIO 2020'!$1:$1048576,3,FALSE),"")</f>
        <v>H</v>
      </c>
      <c r="G58" s="562">
        <v>1.8</v>
      </c>
      <c r="H58" s="583">
        <f>IF($D58&lt;&gt;"",VLOOKUP($D58,'SINAPI MAIO 2020'!$1:$1048576,4,FALSE),"")</f>
        <v>14.37</v>
      </c>
      <c r="I58" s="587">
        <f t="shared" si="2"/>
        <v>25.866</v>
      </c>
    </row>
    <row r="59" spans="2:10" ht="38.25">
      <c r="B59" s="547" t="s">
        <v>837</v>
      </c>
      <c r="C59" s="151" t="s">
        <v>8</v>
      </c>
      <c r="D59" s="355">
        <v>88627</v>
      </c>
      <c r="E59" s="334" t="str">
        <f>IF($D59&lt;&gt;"",VLOOKUP($D59,'SINAPI MAIO 2020'!$1:$1048576,2,FALSE),"")</f>
        <v>ARGAMASSA TRAÇO 1:0,5:4,5 (EM VOLUME DE CIMENTO, CAL E AREIA MÉDIA ÚMIDA) PARA ASSENTAMENTO DE ALVENARIA, PREPARO MANUAL. AF_08/2019</v>
      </c>
      <c r="F59" s="335" t="str">
        <f>IF($D59&lt;&gt;"",VLOOKUP($D59,'SINAPI MAIO 2020'!$1:$1048576,3,FALSE),"")</f>
        <v>M3</v>
      </c>
      <c r="G59" s="562">
        <v>6.0000000000000001E-3</v>
      </c>
      <c r="H59" s="583">
        <f>IF($D59&lt;&gt;"",VLOOKUP($D59,'SINAPI MAIO 2020'!$1:$1048576,4,FALSE),"")</f>
        <v>409.98</v>
      </c>
      <c r="I59" s="587">
        <f t="shared" si="2"/>
        <v>2.4598800000000001</v>
      </c>
    </row>
    <row r="60" spans="2:10" ht="25.5">
      <c r="B60" s="547" t="s">
        <v>837</v>
      </c>
      <c r="C60" s="354" t="s">
        <v>8</v>
      </c>
      <c r="D60" s="354">
        <v>4930</v>
      </c>
      <c r="E60" s="334" t="str">
        <f>IF($D60&lt;&gt;"",VLOOKUP($D60,'SINAPI MAIO 2020'!$1:$1048576,2,FALSE),"")</f>
        <v>PORTA DE ABRIR EM GRADIL COM BARRA CHATA 3 CM X 1/4", COM REQUADRO E GUARNICAO - COMPLETO - ACABAMENTO NATURAL</v>
      </c>
      <c r="F60" s="335" t="str">
        <f>IF($D60&lt;&gt;"",VLOOKUP($D60,'SINAPI MAIO 2020'!$1:$1048576,3,FALSE),"")</f>
        <v xml:space="preserve">M2    </v>
      </c>
      <c r="G60" s="562">
        <v>1</v>
      </c>
      <c r="H60" s="583">
        <f>IF($D60&lt;&gt;"",VLOOKUP($D60,'SINAPI MAIO 2020'!$1:$1048576,4,FALSE),"")</f>
        <v>438.37</v>
      </c>
      <c r="I60" s="587">
        <f>H60*G60</f>
        <v>438.37</v>
      </c>
    </row>
    <row r="61" spans="2:10" ht="15.75" customHeight="1">
      <c r="B61" s="544"/>
      <c r="C61" s="514"/>
      <c r="D61" s="514"/>
      <c r="E61" s="515"/>
      <c r="F61" s="514"/>
      <c r="G61" s="560"/>
      <c r="H61" s="585"/>
      <c r="I61" s="585"/>
    </row>
    <row r="62" spans="2:10">
      <c r="B62" s="544"/>
      <c r="C62" s="514"/>
      <c r="D62" s="514"/>
      <c r="E62" s="515"/>
      <c r="F62" s="514"/>
      <c r="G62" s="560"/>
      <c r="H62" s="585"/>
      <c r="I62" s="585"/>
    </row>
    <row r="63" spans="2:10" ht="51">
      <c r="B63" s="205" t="s">
        <v>6041</v>
      </c>
      <c r="C63" s="513"/>
      <c r="D63" s="513"/>
      <c r="E63" s="154" t="s">
        <v>6042</v>
      </c>
      <c r="F63" s="155" t="s">
        <v>817</v>
      </c>
      <c r="G63" s="367">
        <v>1</v>
      </c>
      <c r="H63" s="581"/>
      <c r="I63" s="582">
        <f>TRUNC(SUM(I64:I69),2)</f>
        <v>620.84</v>
      </c>
    </row>
    <row r="64" spans="2:10" ht="51" customHeight="1">
      <c r="B64" s="543" t="s">
        <v>837</v>
      </c>
      <c r="C64" s="151" t="s">
        <v>8</v>
      </c>
      <c r="D64" s="156">
        <v>94570</v>
      </c>
      <c r="E64" s="334" t="str">
        <f>IF($D64&lt;&gt;"",VLOOKUP($D64,'SINAPI MAIO 2020'!$1:$1048576,2,FALSE),"")</f>
        <v>JANELA DE ALUMÍNIO DE CORRER COM 2 FOLHAS PARA VIDROS, COM VIDROS, BATENTE, ACABAMENTO COM ACETATO OU BRILHANTE E FERRAGENS. EXCLUSIVE ALIZAR E CONTRAMARCO. FORNECIMENTO E INSTALAÇÃO. AF_12/2019</v>
      </c>
      <c r="F64" s="335" t="str">
        <f>IF($D64&lt;&gt;"",VLOOKUP($D64,'SINAPI MAIO 2020'!$1:$1048576,3,FALSE),"")</f>
        <v>M2</v>
      </c>
      <c r="G64" s="360">
        <f>1.5*1.1</f>
        <v>1.6500000000000001</v>
      </c>
      <c r="H64" s="583">
        <f>IF($D64&lt;&gt;"",VLOOKUP($D64,'SINAPI MAIO 2020'!$1:$1048576,4,FALSE),"")</f>
        <v>261.07</v>
      </c>
      <c r="I64" s="379">
        <f t="shared" ref="I64:I69" si="3">TRUNC(H64*G64,2)</f>
        <v>430.76</v>
      </c>
    </row>
    <row r="65" spans="2:9" ht="25.5">
      <c r="B65" s="543" t="s">
        <v>838</v>
      </c>
      <c r="C65" s="151" t="s">
        <v>8</v>
      </c>
      <c r="D65" s="156">
        <v>41975</v>
      </c>
      <c r="E65" s="334" t="str">
        <f>IF($D65&lt;&gt;"",VLOOKUP($D65,'SINAPI MAIO 2020'!$1:$1048576,2,FALSE),"")</f>
        <v>PEITORIL PRE-MOLDADO EM GRANILITE, MARMORITE OU GRANITINA, L = *15* CM</v>
      </c>
      <c r="F65" s="335" t="str">
        <f>IF($D65&lt;&gt;"",VLOOKUP($D65,'SINAPI MAIO 2020'!$1:$1048576,3,FALSE),"")</f>
        <v xml:space="preserve">M2    </v>
      </c>
      <c r="G65" s="360">
        <v>1.5</v>
      </c>
      <c r="H65" s="583">
        <f>IF($D65&lt;&gt;"",VLOOKUP($D65,'SINAPI MAIO 2020'!$1:$1048576,4,FALSE),"")</f>
        <v>61.73</v>
      </c>
      <c r="I65" s="379">
        <f t="shared" si="3"/>
        <v>92.59</v>
      </c>
    </row>
    <row r="66" spans="2:9" ht="38.25">
      <c r="B66" s="543" t="s">
        <v>838</v>
      </c>
      <c r="C66" s="151" t="s">
        <v>8</v>
      </c>
      <c r="D66" s="156">
        <v>5080</v>
      </c>
      <c r="E66" s="334" t="str">
        <f>IF($D66&lt;&gt;"",VLOOKUP($D66,'SINAPI MAIO 2020'!$1:$1048576,2,FALSE),"")</f>
        <v>PUXADOR CENTRAL, TIPO ALCA, EM ZAMAC CROMADO, COM ROSETAS, COMPRIMENTO *100* MM, PARA PORTA / JANELA EM MADEIRA OU METALICA - INCLUI PARAFUSOS</v>
      </c>
      <c r="F66" s="335" t="str">
        <f>IF($D66&lt;&gt;"",VLOOKUP($D66,'SINAPI MAIO 2020'!$1:$1048576,3,FALSE),"")</f>
        <v xml:space="preserve">UN    </v>
      </c>
      <c r="G66" s="360">
        <v>1</v>
      </c>
      <c r="H66" s="583">
        <f>IF($D66&lt;&gt;"",VLOOKUP($D66,'SINAPI MAIO 2020'!$1:$1048576,4,FALSE),"")</f>
        <v>11.92</v>
      </c>
      <c r="I66" s="379">
        <f t="shared" ref="I66:I67" si="4">TRUNC(H66*G66,2)</f>
        <v>11.92</v>
      </c>
    </row>
    <row r="67" spans="2:9" ht="27" customHeight="1">
      <c r="B67" s="543" t="s">
        <v>838</v>
      </c>
      <c r="C67" s="151" t="s">
        <v>8</v>
      </c>
      <c r="D67" s="156">
        <v>5081</v>
      </c>
      <c r="E67" s="334" t="str">
        <f>IF($D67&lt;&gt;"",VLOOKUP($D67,'SINAPI MAIO 2020'!$1:$1048576,2,FALSE),"")</f>
        <v>BORBOLETA EM LATAO FUNDIDO CROMADO, PARA TRAVAR JANELA TIPO GUILHOTINA</v>
      </c>
      <c r="F67" s="335" t="str">
        <f>IF($D67&lt;&gt;"",VLOOKUP($D67,'SINAPI MAIO 2020'!$1:$1048576,3,FALSE),"")</f>
        <v xml:space="preserve">PAR   </v>
      </c>
      <c r="G67" s="360">
        <v>1</v>
      </c>
      <c r="H67" s="583">
        <f>IF($D67&lt;&gt;"",VLOOKUP($D67,'SINAPI MAIO 2020'!$1:$1048576,4,FALSE),"")</f>
        <v>21.31</v>
      </c>
      <c r="I67" s="379">
        <f t="shared" si="4"/>
        <v>21.31</v>
      </c>
    </row>
    <row r="68" spans="2:9">
      <c r="B68" s="543" t="s">
        <v>837</v>
      </c>
      <c r="C68" s="151" t="s">
        <v>8</v>
      </c>
      <c r="D68" s="156">
        <v>88309</v>
      </c>
      <c r="E68" s="334" t="str">
        <f>IF($D68&lt;&gt;"",VLOOKUP($D68,'SINAPI MAIO 2020'!$1:$1048576,2,FALSE),"")</f>
        <v>PEDREIRO COM ENCARGOS COMPLEMENTARES</v>
      </c>
      <c r="F68" s="335" t="str">
        <f>IF($D68&lt;&gt;"",VLOOKUP($D68,'SINAPI MAIO 2020'!$1:$1048576,3,FALSE),"")</f>
        <v>H</v>
      </c>
      <c r="G68" s="360">
        <v>2</v>
      </c>
      <c r="H68" s="583">
        <f>IF($D68&lt;&gt;"",VLOOKUP($D68,'SINAPI MAIO 2020'!$1:$1048576,4,FALSE),"")</f>
        <v>17.760000000000002</v>
      </c>
      <c r="I68" s="379">
        <f t="shared" si="3"/>
        <v>35.520000000000003</v>
      </c>
    </row>
    <row r="69" spans="2:9">
      <c r="B69" s="543" t="s">
        <v>837</v>
      </c>
      <c r="C69" s="151" t="s">
        <v>8</v>
      </c>
      <c r="D69" s="156">
        <v>88316</v>
      </c>
      <c r="E69" s="334" t="str">
        <f>IF($D69&lt;&gt;"",VLOOKUP($D69,'SINAPI MAIO 2020'!$1:$1048576,2,FALSE),"")</f>
        <v>SERVENTE COM ENCARGOS COMPLEMENTARES</v>
      </c>
      <c r="F69" s="335" t="str">
        <f>IF($D69&lt;&gt;"",VLOOKUP($D69,'SINAPI MAIO 2020'!$1:$1048576,3,FALSE),"")</f>
        <v>H</v>
      </c>
      <c r="G69" s="360">
        <v>2</v>
      </c>
      <c r="H69" s="583">
        <f>IF($D69&lt;&gt;"",VLOOKUP($D69,'SINAPI MAIO 2020'!$1:$1048576,4,FALSE),"")</f>
        <v>14.37</v>
      </c>
      <c r="I69" s="379">
        <f t="shared" si="3"/>
        <v>28.74</v>
      </c>
    </row>
    <row r="70" spans="2:9">
      <c r="B70" s="544"/>
      <c r="C70" s="514"/>
      <c r="D70" s="514"/>
      <c r="E70" s="515"/>
      <c r="F70" s="514"/>
      <c r="G70" s="560"/>
      <c r="H70" s="585"/>
      <c r="I70" s="585"/>
    </row>
    <row r="71" spans="2:9" ht="38.25">
      <c r="B71" s="546" t="s">
        <v>6045</v>
      </c>
      <c r="C71" s="516"/>
      <c r="D71" s="516"/>
      <c r="E71" s="380" t="s">
        <v>7055</v>
      </c>
      <c r="F71" s="376" t="s">
        <v>35</v>
      </c>
      <c r="G71" s="561" t="s">
        <v>5339</v>
      </c>
      <c r="H71" s="586"/>
      <c r="I71" s="582">
        <f>TRUNC(SUM(I72:I76),2)</f>
        <v>709.01</v>
      </c>
    </row>
    <row r="72" spans="2:9">
      <c r="B72" s="547" t="s">
        <v>837</v>
      </c>
      <c r="C72" s="354" t="s">
        <v>8</v>
      </c>
      <c r="D72" s="151">
        <v>88316</v>
      </c>
      <c r="E72" s="334" t="str">
        <f>IF($D72&lt;&gt;"",VLOOKUP($D72,'SINAPI MAIO 2020'!$1:$1048576,2,FALSE),"")</f>
        <v>SERVENTE COM ENCARGOS COMPLEMENTARES</v>
      </c>
      <c r="F72" s="335" t="str">
        <f>IF($D72&lt;&gt;"",VLOOKUP($D72,'SINAPI MAIO 2020'!$1:$1048576,3,FALSE),"")</f>
        <v>H</v>
      </c>
      <c r="G72" s="562">
        <v>5.3</v>
      </c>
      <c r="H72" s="583">
        <f>IF($D72&lt;&gt;"",VLOOKUP($D72,'SINAPI MAIO 2020'!$1:$1048576,4,FALSE),"")</f>
        <v>14.37</v>
      </c>
      <c r="I72" s="587">
        <f t="shared" ref="I72:I74" si="5">H72*G72</f>
        <v>76.160999999999987</v>
      </c>
    </row>
    <row r="73" spans="2:9">
      <c r="B73" s="547" t="s">
        <v>837</v>
      </c>
      <c r="C73" s="151" t="s">
        <v>8</v>
      </c>
      <c r="D73" s="354">
        <v>88309</v>
      </c>
      <c r="E73" s="334" t="str">
        <f>IF($D73&lt;&gt;"",VLOOKUP($D73,'SINAPI MAIO 2020'!$1:$1048576,2,FALSE),"")</f>
        <v>PEDREIRO COM ENCARGOS COMPLEMENTARES</v>
      </c>
      <c r="F73" s="335" t="str">
        <f>IF($D73&lt;&gt;"",VLOOKUP($D73,'SINAPI MAIO 2020'!$1:$1048576,3,FALSE),"")</f>
        <v>H</v>
      </c>
      <c r="G73" s="562">
        <v>1.5209999999999999</v>
      </c>
      <c r="H73" s="583">
        <f>IF($D73&lt;&gt;"",VLOOKUP($D73,'SINAPI MAIO 2020'!$1:$1048576,4,FALSE),"")</f>
        <v>17.760000000000002</v>
      </c>
      <c r="I73" s="587">
        <f t="shared" si="5"/>
        <v>27.01296</v>
      </c>
    </row>
    <row r="74" spans="2:9">
      <c r="B74" s="547" t="s">
        <v>837</v>
      </c>
      <c r="C74" s="151" t="s">
        <v>8</v>
      </c>
      <c r="D74" s="355">
        <v>88315</v>
      </c>
      <c r="E74" s="334" t="str">
        <f>IF($D74&lt;&gt;"",VLOOKUP($D74,'SINAPI MAIO 2020'!$1:$1048576,2,FALSE),"")</f>
        <v>SERRALHEIRO COM ENCARGOS COMPLEMENTARES</v>
      </c>
      <c r="F74" s="335" t="str">
        <f>IF($D74&lt;&gt;"",VLOOKUP($D74,'SINAPI MAIO 2020'!$1:$1048576,3,FALSE),"")</f>
        <v>H</v>
      </c>
      <c r="G74" s="562">
        <v>3.02</v>
      </c>
      <c r="H74" s="583">
        <f>IF($D74&lt;&gt;"",VLOOKUP($D74,'SINAPI MAIO 2020'!$1:$1048576,4,FALSE),"")</f>
        <v>17.68</v>
      </c>
      <c r="I74" s="587">
        <f t="shared" si="5"/>
        <v>53.393599999999999</v>
      </c>
    </row>
    <row r="75" spans="2:9" ht="25.5">
      <c r="B75" s="547" t="s">
        <v>837</v>
      </c>
      <c r="C75" s="354" t="s">
        <v>836</v>
      </c>
      <c r="D75" s="354"/>
      <c r="E75" s="357" t="s">
        <v>14826</v>
      </c>
      <c r="F75" s="358" t="s">
        <v>35</v>
      </c>
      <c r="G75" s="562">
        <v>1</v>
      </c>
      <c r="H75" s="379">
        <v>547.79999999999995</v>
      </c>
      <c r="I75" s="587">
        <f>H75*G75</f>
        <v>547.79999999999995</v>
      </c>
    </row>
    <row r="76" spans="2:9" ht="42" customHeight="1">
      <c r="B76" s="547" t="s">
        <v>837</v>
      </c>
      <c r="C76" s="151" t="s">
        <v>8</v>
      </c>
      <c r="D76" s="354">
        <v>88627</v>
      </c>
      <c r="E76" s="334" t="str">
        <f>IF($D76&lt;&gt;"",VLOOKUP($D76,'SINAPI MAIO 2020'!$1:$1048576,2,FALSE),"")</f>
        <v>ARGAMASSA TRAÇO 1:0,5:4,5 (EM VOLUME DE CIMENTO, CAL E AREIA MÉDIA ÚMIDA) PARA ASSENTAMENTO DE ALVENARIA, PREPARO MANUAL. AF_08/2019</v>
      </c>
      <c r="F76" s="335" t="str">
        <f>IF($D76&lt;&gt;"",VLOOKUP($D76,'SINAPI MAIO 2020'!$1:$1048576,3,FALSE),"")</f>
        <v>M3</v>
      </c>
      <c r="G76" s="562">
        <v>1.1339999999999999E-2</v>
      </c>
      <c r="H76" s="583">
        <f>IF($D76&lt;&gt;"",VLOOKUP($D76,'SINAPI MAIO 2020'!$1:$1048576,4,FALSE),"")</f>
        <v>409.98</v>
      </c>
      <c r="I76" s="587">
        <f t="shared" ref="I76" si="6">H76*G76</f>
        <v>4.6491731999999999</v>
      </c>
    </row>
    <row r="77" spans="2:9">
      <c r="B77" s="544"/>
      <c r="C77" s="514"/>
      <c r="D77" s="514"/>
      <c r="E77" s="515"/>
      <c r="F77" s="514"/>
      <c r="G77" s="560"/>
      <c r="H77" s="585"/>
      <c r="I77" s="585"/>
    </row>
    <row r="78" spans="2:9" ht="12.75" customHeight="1">
      <c r="B78" s="796" t="s">
        <v>4450</v>
      </c>
      <c r="C78" s="796"/>
      <c r="D78" s="796"/>
      <c r="E78" s="796"/>
      <c r="F78" s="796"/>
      <c r="G78" s="796"/>
      <c r="H78" s="796"/>
      <c r="I78" s="796"/>
    </row>
    <row r="79" spans="2:9">
      <c r="B79" s="544"/>
      <c r="C79" s="514"/>
      <c r="D79" s="514"/>
      <c r="E79" s="515"/>
      <c r="F79" s="514"/>
      <c r="G79" s="560"/>
      <c r="H79" s="585"/>
      <c r="I79" s="585"/>
    </row>
    <row r="80" spans="2:9">
      <c r="B80" s="359" t="s">
        <v>12445</v>
      </c>
      <c r="C80" s="513"/>
      <c r="D80" s="513"/>
      <c r="E80" s="154" t="s">
        <v>12444</v>
      </c>
      <c r="F80" s="155" t="s">
        <v>48</v>
      </c>
      <c r="G80" s="367">
        <v>1</v>
      </c>
      <c r="H80" s="581"/>
      <c r="I80" s="582">
        <f>TRUNC(SUM(I81:L81),2)</f>
        <v>5.74</v>
      </c>
    </row>
    <row r="81" spans="2:9">
      <c r="B81" s="543" t="s">
        <v>837</v>
      </c>
      <c r="C81" s="151" t="s">
        <v>8</v>
      </c>
      <c r="D81" s="351">
        <v>88316</v>
      </c>
      <c r="E81" s="334" t="str">
        <f>IF($D81&lt;&gt;"",VLOOKUP($D81,'SINAPI MAIO 2020'!$1:$1048576,2,FALSE),"")</f>
        <v>SERVENTE COM ENCARGOS COMPLEMENTARES</v>
      </c>
      <c r="F81" s="335" t="str">
        <f>IF($D81&lt;&gt;"",VLOOKUP($D81,'SINAPI MAIO 2020'!$1:$1048576,3,FALSE),"")</f>
        <v>H</v>
      </c>
      <c r="G81" s="360">
        <v>0.4</v>
      </c>
      <c r="H81" s="583">
        <f>IF($D81&lt;&gt;"",VLOOKUP($D81,'SINAPI MAIO 2020'!$1:$1048576,4,FALSE),"")</f>
        <v>14.37</v>
      </c>
      <c r="I81" s="587">
        <f t="shared" ref="I81" si="7">H81*G81</f>
        <v>5.7480000000000002</v>
      </c>
    </row>
    <row r="82" spans="2:9">
      <c r="B82" s="544"/>
      <c r="C82" s="514"/>
      <c r="D82" s="514"/>
      <c r="E82" s="515"/>
      <c r="F82" s="514"/>
      <c r="G82" s="560"/>
      <c r="H82" s="585"/>
      <c r="I82" s="585"/>
    </row>
    <row r="83" spans="2:9" ht="25.5">
      <c r="B83" s="359" t="s">
        <v>4701</v>
      </c>
      <c r="C83" s="513"/>
      <c r="D83" s="513"/>
      <c r="E83" s="154" t="s">
        <v>4474</v>
      </c>
      <c r="F83" s="155" t="s">
        <v>48</v>
      </c>
      <c r="G83" s="367">
        <v>1</v>
      </c>
      <c r="H83" s="581"/>
      <c r="I83" s="582">
        <f>TRUNC(SUM(I84:I86),2)</f>
        <v>577.27</v>
      </c>
    </row>
    <row r="84" spans="2:9" ht="38.25">
      <c r="B84" s="543" t="s">
        <v>835</v>
      </c>
      <c r="C84" s="151" t="s">
        <v>8</v>
      </c>
      <c r="D84" s="156">
        <v>11795</v>
      </c>
      <c r="E84" s="334" t="str">
        <f>IF($D84&lt;&gt;"",VLOOKUP($D84,'SINAPI MAIO 2020'!$1:$1048576,2,FALSE),"")</f>
        <v>GRANITO PARA BANCADA, POLIDO, TIPO ANDORINHA/ QUARTZ/ CASTELO/ CORUMBA OU OUTROS EQUIVALENTES DA REGIAO, E=  *2,5* CM</v>
      </c>
      <c r="F84" s="335" t="str">
        <f>IF($D84&lt;&gt;"",VLOOKUP($D84,'SINAPI MAIO 2020'!$1:$1048576,3,FALSE),"")</f>
        <v xml:space="preserve">M2    </v>
      </c>
      <c r="G84" s="360">
        <v>1</v>
      </c>
      <c r="H84" s="583">
        <f>IF($D84&lt;&gt;"",VLOOKUP($D84,'SINAPI MAIO 2020'!$1:$1048576,4,FALSE),"")</f>
        <v>494.33</v>
      </c>
      <c r="I84" s="379">
        <f t="shared" ref="I84:I86" si="8">TRUNC(H84*G84,2)</f>
        <v>494.33</v>
      </c>
    </row>
    <row r="85" spans="2:9">
      <c r="B85" s="543" t="s">
        <v>858</v>
      </c>
      <c r="C85" s="151" t="s">
        <v>8</v>
      </c>
      <c r="D85" s="156">
        <v>88309</v>
      </c>
      <c r="E85" s="334" t="str">
        <f>IF($D85&lt;&gt;"",VLOOKUP($D85,'SINAPI MAIO 2020'!$1:$1048576,2,FALSE),"")</f>
        <v>PEDREIRO COM ENCARGOS COMPLEMENTARES</v>
      </c>
      <c r="F85" s="335" t="str">
        <f>IF($D85&lt;&gt;"",VLOOKUP($D85,'SINAPI MAIO 2020'!$1:$1048576,3,FALSE),"")</f>
        <v>H</v>
      </c>
      <c r="G85" s="360">
        <v>2</v>
      </c>
      <c r="H85" s="583">
        <f>IF($D85&lt;&gt;"",VLOOKUP($D85,'SINAPI MAIO 2020'!$1:$1048576,4,FALSE),"")</f>
        <v>17.760000000000002</v>
      </c>
      <c r="I85" s="379">
        <f t="shared" si="8"/>
        <v>35.520000000000003</v>
      </c>
    </row>
    <row r="86" spans="2:9" ht="38.25">
      <c r="B86" s="543" t="s">
        <v>858</v>
      </c>
      <c r="C86" s="151" t="s">
        <v>8</v>
      </c>
      <c r="D86" s="351">
        <v>100862</v>
      </c>
      <c r="E86" s="334" t="str">
        <f>IF($D86&lt;&gt;"",VLOOKUP($D86,'SINAPI MAIO 2020'!$1:$1048576,2,FALSE),"")</f>
        <v>SUPORTE MÃO FRANCESA EM ACO, ABAS IGUAIS 40 CM, CAPACIDADE MINIMA 70 KG, BRANCO - FORNECIMENTO E INSTALAÇÃO. AF_01/2020</v>
      </c>
      <c r="F86" s="335" t="str">
        <f>IF($D86&lt;&gt;"",VLOOKUP($D86,'SINAPI MAIO 2020'!$1:$1048576,3,FALSE),"")</f>
        <v>UN</v>
      </c>
      <c r="G86" s="360">
        <f>2/1</f>
        <v>2</v>
      </c>
      <c r="H86" s="583">
        <f>IF($D86&lt;&gt;"",VLOOKUP($D86,'SINAPI MAIO 2020'!$1:$1048576,4,FALSE),"")</f>
        <v>23.71</v>
      </c>
      <c r="I86" s="379">
        <f t="shared" si="8"/>
        <v>47.42</v>
      </c>
    </row>
    <row r="87" spans="2:9">
      <c r="B87" s="544"/>
      <c r="C87" s="514"/>
      <c r="D87" s="514"/>
      <c r="E87" s="515"/>
      <c r="F87" s="514"/>
      <c r="G87" s="560"/>
      <c r="H87" s="585"/>
      <c r="I87" s="585"/>
    </row>
    <row r="88" spans="2:9" ht="13.5" customHeight="1">
      <c r="B88" s="796" t="s">
        <v>4663</v>
      </c>
      <c r="C88" s="796"/>
      <c r="D88" s="796"/>
      <c r="E88" s="796"/>
      <c r="F88" s="796"/>
      <c r="G88" s="796"/>
      <c r="H88" s="796"/>
      <c r="I88" s="796"/>
    </row>
    <row r="89" spans="2:9">
      <c r="B89" s="544"/>
      <c r="C89" s="514"/>
      <c r="D89" s="514"/>
      <c r="E89" s="515"/>
      <c r="F89" s="514"/>
      <c r="G89" s="560"/>
      <c r="H89" s="585"/>
      <c r="I89" s="585"/>
    </row>
    <row r="90" spans="2:9">
      <c r="B90" s="359" t="s">
        <v>4712</v>
      </c>
      <c r="C90" s="512"/>
      <c r="D90" s="512"/>
      <c r="E90" s="154" t="s">
        <v>6131</v>
      </c>
      <c r="F90" s="155" t="s">
        <v>48</v>
      </c>
      <c r="G90" s="367"/>
      <c r="H90" s="581"/>
      <c r="I90" s="582">
        <f>TRUNC(SUM(I91:I93),2)</f>
        <v>2.9</v>
      </c>
    </row>
    <row r="91" spans="2:9" ht="25.5">
      <c r="B91" s="543" t="s">
        <v>835</v>
      </c>
      <c r="C91" s="151" t="s">
        <v>8</v>
      </c>
      <c r="D91" s="156">
        <v>3767</v>
      </c>
      <c r="E91" s="334" t="str">
        <f>IF($D91&lt;&gt;"",VLOOKUP($D91,'SINAPI MAIO 2020'!$1:$1048576,2,FALSE),"")</f>
        <v>LIXA EM FOLHA PARA PAREDE OU MADEIRA, NUMERO 120 (COR VERMELHA)</v>
      </c>
      <c r="F91" s="335" t="str">
        <f>IF($D91&lt;&gt;"",VLOOKUP($D91,'SINAPI MAIO 2020'!$1:$1048576,3,FALSE),"")</f>
        <v xml:space="preserve">UN    </v>
      </c>
      <c r="G91" s="563">
        <v>0.75</v>
      </c>
      <c r="H91" s="583">
        <f>IF($D91&lt;&gt;"",VLOOKUP($D91,'SINAPI MAIO 2020'!$1:$1048576,4,FALSE),"")</f>
        <v>0.62</v>
      </c>
      <c r="I91" s="588">
        <f>TRUNC(H91*G91,2)</f>
        <v>0.46</v>
      </c>
    </row>
    <row r="92" spans="2:9">
      <c r="B92" s="543" t="s">
        <v>858</v>
      </c>
      <c r="C92" s="151" t="s">
        <v>8</v>
      </c>
      <c r="D92" s="156">
        <v>88309</v>
      </c>
      <c r="E92" s="334" t="str">
        <f>IF($D92&lt;&gt;"",VLOOKUP($D92,'SINAPI MAIO 2020'!$1:$1048576,2,FALSE),"")</f>
        <v>PEDREIRO COM ENCARGOS COMPLEMENTARES</v>
      </c>
      <c r="F92" s="335" t="str">
        <f>IF($D92&lt;&gt;"",VLOOKUP($D92,'SINAPI MAIO 2020'!$1:$1048576,3,FALSE),"")</f>
        <v>H</v>
      </c>
      <c r="G92" s="563">
        <v>0.08</v>
      </c>
      <c r="H92" s="583">
        <f>IF($D92&lt;&gt;"",VLOOKUP($D92,'SINAPI MAIO 2020'!$1:$1048576,4,FALSE),"")</f>
        <v>17.760000000000002</v>
      </c>
      <c r="I92" s="588">
        <f t="shared" ref="I92:I93" si="9">TRUNC(H92*G92,2)</f>
        <v>1.42</v>
      </c>
    </row>
    <row r="93" spans="2:9">
      <c r="B93" s="543" t="s">
        <v>858</v>
      </c>
      <c r="C93" s="151" t="s">
        <v>8</v>
      </c>
      <c r="D93" s="156">
        <v>88316</v>
      </c>
      <c r="E93" s="334" t="str">
        <f>IF($D93&lt;&gt;"",VLOOKUP($D93,'SINAPI MAIO 2020'!$1:$1048576,2,FALSE),"")</f>
        <v>SERVENTE COM ENCARGOS COMPLEMENTARES</v>
      </c>
      <c r="F93" s="335" t="str">
        <f>IF($D93&lt;&gt;"",VLOOKUP($D93,'SINAPI MAIO 2020'!$1:$1048576,3,FALSE),"")</f>
        <v>H</v>
      </c>
      <c r="G93" s="563">
        <v>7.0999999999999994E-2</v>
      </c>
      <c r="H93" s="583">
        <f>IF($D93&lt;&gt;"",VLOOKUP($D93,'SINAPI MAIO 2020'!$1:$1048576,4,FALSE),"")</f>
        <v>14.37</v>
      </c>
      <c r="I93" s="588">
        <f t="shared" si="9"/>
        <v>1.02</v>
      </c>
    </row>
    <row r="94" spans="2:9">
      <c r="B94" s="544"/>
      <c r="C94" s="514"/>
      <c r="D94" s="514"/>
      <c r="E94" s="515"/>
      <c r="F94" s="514"/>
      <c r="G94" s="560"/>
      <c r="H94" s="585"/>
      <c r="I94" s="585"/>
    </row>
    <row r="95" spans="2:9" ht="25.5">
      <c r="B95" s="359" t="s">
        <v>12449</v>
      </c>
      <c r="C95" s="513"/>
      <c r="D95" s="513"/>
      <c r="E95" s="154" t="s">
        <v>12446</v>
      </c>
      <c r="F95" s="155" t="s">
        <v>48</v>
      </c>
      <c r="G95" s="367">
        <v>1</v>
      </c>
      <c r="H95" s="581"/>
      <c r="I95" s="582">
        <f>TRUNC(SUM(I96:L101),2)</f>
        <v>17.079999999999998</v>
      </c>
    </row>
    <row r="96" spans="2:9">
      <c r="B96" s="543" t="s">
        <v>858</v>
      </c>
      <c r="C96" s="151" t="s">
        <v>8</v>
      </c>
      <c r="D96" s="156">
        <v>88310</v>
      </c>
      <c r="E96" s="334" t="str">
        <f>IF($D96&lt;&gt;"",VLOOKUP($D96,'SINAPI MAIO 2020'!$1:$1048576,2,FALSE),"")</f>
        <v>PINTOR COM ENCARGOS COMPLEMENTARES</v>
      </c>
      <c r="F96" s="335" t="str">
        <f>IF($D96&lt;&gt;"",VLOOKUP($D96,'SINAPI MAIO 2020'!$1:$1048576,3,FALSE),"")</f>
        <v>H</v>
      </c>
      <c r="G96" s="360">
        <v>0.42899999999999999</v>
      </c>
      <c r="H96" s="583">
        <f>IF($D96&lt;&gt;"",VLOOKUP($D96,'SINAPI MAIO 2020'!$1:$1048576,4,FALSE),"")</f>
        <v>18.88</v>
      </c>
      <c r="I96" s="379">
        <f t="shared" ref="I96:I101" si="10">TRUNC(H96*G96,2)</f>
        <v>8.09</v>
      </c>
    </row>
    <row r="97" spans="2:9">
      <c r="B97" s="543" t="s">
        <v>858</v>
      </c>
      <c r="C97" s="151" t="s">
        <v>8</v>
      </c>
      <c r="D97" s="156">
        <v>88316</v>
      </c>
      <c r="E97" s="334" t="str">
        <f>IF($D97&lt;&gt;"",VLOOKUP($D97,'SINAPI MAIO 2020'!$1:$1048576,2,FALSE),"")</f>
        <v>SERVENTE COM ENCARGOS COMPLEMENTARES</v>
      </c>
      <c r="F97" s="335" t="str">
        <f>IF($D97&lt;&gt;"",VLOOKUP($D97,'SINAPI MAIO 2020'!$1:$1048576,3,FALSE),"")</f>
        <v>H</v>
      </c>
      <c r="G97" s="360">
        <v>0.20699999999999999</v>
      </c>
      <c r="H97" s="583">
        <f>IF($D97&lt;&gt;"",VLOOKUP($D97,'SINAPI MAIO 2020'!$1:$1048576,4,FALSE),"")</f>
        <v>14.37</v>
      </c>
      <c r="I97" s="379">
        <f t="shared" si="10"/>
        <v>2.97</v>
      </c>
    </row>
    <row r="98" spans="2:9" ht="25.5">
      <c r="B98" s="543" t="s">
        <v>835</v>
      </c>
      <c r="C98" s="151" t="s">
        <v>8</v>
      </c>
      <c r="D98" s="351">
        <v>4056</v>
      </c>
      <c r="E98" s="334" t="str">
        <f>IF($D98&lt;&gt;"",VLOOKUP($D98,'SINAPI MAIO 2020'!$1:$1048576,2,FALSE),"")</f>
        <v>!EM PROCESSO DE DESATIVACAO!MASSA ACRILICA PARA PAREDES INTERIOR/EXTERIOR</v>
      </c>
      <c r="F98" s="335" t="str">
        <f>IF($D98&lt;&gt;"",VLOOKUP($D98,'SINAPI MAIO 2020'!$1:$1048576,3,FALSE),"")</f>
        <v xml:space="preserve">GL    </v>
      </c>
      <c r="G98" s="360">
        <v>0.03</v>
      </c>
      <c r="H98" s="583">
        <f>IF($D98&lt;&gt;"",VLOOKUP($D98,'SINAPI MAIO 2020'!$1:$1048576,4,FALSE),"")</f>
        <v>28.6</v>
      </c>
      <c r="I98" s="379">
        <f t="shared" si="10"/>
        <v>0.85</v>
      </c>
    </row>
    <row r="99" spans="2:9" ht="25.5">
      <c r="B99" s="543" t="s">
        <v>835</v>
      </c>
      <c r="C99" s="151" t="s">
        <v>8</v>
      </c>
      <c r="D99" s="351">
        <v>3767</v>
      </c>
      <c r="E99" s="334" t="str">
        <f>IF($D99&lt;&gt;"",VLOOKUP($D99,'SINAPI MAIO 2020'!$1:$1048576,2,FALSE),"")</f>
        <v>LIXA EM FOLHA PARA PAREDE OU MADEIRA, NUMERO 120 (COR VERMELHA)</v>
      </c>
      <c r="F99" s="335" t="str">
        <f>IF($D99&lt;&gt;"",VLOOKUP($D99,'SINAPI MAIO 2020'!$1:$1048576,3,FALSE),"")</f>
        <v xml:space="preserve">UN    </v>
      </c>
      <c r="G99" s="360">
        <v>0.06</v>
      </c>
      <c r="H99" s="583">
        <f>IF($D99&lt;&gt;"",VLOOKUP($D99,'SINAPI MAIO 2020'!$1:$1048576,4,FALSE),"")</f>
        <v>0.62</v>
      </c>
      <c r="I99" s="379">
        <f t="shared" si="10"/>
        <v>0.03</v>
      </c>
    </row>
    <row r="100" spans="2:9">
      <c r="B100" s="543" t="s">
        <v>835</v>
      </c>
      <c r="C100" s="151" t="s">
        <v>8</v>
      </c>
      <c r="D100" s="351">
        <v>5318</v>
      </c>
      <c r="E100" s="334" t="str">
        <f>IF($D100&lt;&gt;"",VLOOKUP($D100,'SINAPI MAIO 2020'!$1:$1048576,2,FALSE),"")</f>
        <v>SOLVENTE DILUENTE A BASE DE AGUARRAS</v>
      </c>
      <c r="F100" s="335" t="str">
        <f>IF($D100&lt;&gt;"",VLOOKUP($D100,'SINAPI MAIO 2020'!$1:$1048576,3,FALSE),"")</f>
        <v xml:space="preserve">L     </v>
      </c>
      <c r="G100" s="360">
        <v>3.5999999999999997E-2</v>
      </c>
      <c r="H100" s="583">
        <f>IF($D100&lt;&gt;"",VLOOKUP($D100,'SINAPI MAIO 2020'!$1:$1048576,4,FALSE),"")</f>
        <v>12.12</v>
      </c>
      <c r="I100" s="379">
        <f t="shared" si="10"/>
        <v>0.43</v>
      </c>
    </row>
    <row r="101" spans="2:9">
      <c r="B101" s="543" t="s">
        <v>835</v>
      </c>
      <c r="C101" s="151" t="s">
        <v>8</v>
      </c>
      <c r="D101" s="351">
        <v>7288</v>
      </c>
      <c r="E101" s="334" t="str">
        <f>IF($D101&lt;&gt;"",VLOOKUP($D101,'SINAPI MAIO 2020'!$1:$1048576,2,FALSE),"")</f>
        <v>TINTA ESMALTE SINTETICO PREMIUM FOSCO</v>
      </c>
      <c r="F101" s="335" t="str">
        <f>IF($D101&lt;&gt;"",VLOOKUP($D101,'SINAPI MAIO 2020'!$1:$1048576,3,FALSE),"")</f>
        <v xml:space="preserve">L     </v>
      </c>
      <c r="G101" s="360">
        <v>0.18</v>
      </c>
      <c r="H101" s="583">
        <f>IF($D101&lt;&gt;"",VLOOKUP($D101,'SINAPI MAIO 2020'!$1:$1048576,4,FALSE),"")</f>
        <v>26.22</v>
      </c>
      <c r="I101" s="379">
        <f t="shared" si="10"/>
        <v>4.71</v>
      </c>
    </row>
    <row r="102" spans="2:9">
      <c r="B102" s="544"/>
      <c r="C102" s="514"/>
      <c r="D102" s="514"/>
      <c r="E102" s="515"/>
      <c r="F102" s="514"/>
      <c r="G102" s="560"/>
      <c r="H102" s="585"/>
      <c r="I102" s="585"/>
    </row>
    <row r="103" spans="2:9">
      <c r="B103" s="544"/>
      <c r="C103" s="514"/>
      <c r="D103" s="514"/>
      <c r="E103" s="515"/>
      <c r="F103" s="514"/>
      <c r="G103" s="560"/>
      <c r="H103" s="585"/>
      <c r="I103" s="585"/>
    </row>
    <row r="104" spans="2:9">
      <c r="B104" s="359" t="s">
        <v>12450</v>
      </c>
      <c r="C104" s="513"/>
      <c r="D104" s="513"/>
      <c r="E104" s="154" t="s">
        <v>5307</v>
      </c>
      <c r="F104" s="155" t="s">
        <v>48</v>
      </c>
      <c r="G104" s="367">
        <v>1</v>
      </c>
      <c r="H104" s="581"/>
      <c r="I104" s="582">
        <f>TRUNC(SUM(I105:I107),2)</f>
        <v>12.21</v>
      </c>
    </row>
    <row r="105" spans="2:9">
      <c r="B105" s="543" t="s">
        <v>858</v>
      </c>
      <c r="C105" s="151" t="s">
        <v>8</v>
      </c>
      <c r="D105" s="351">
        <v>7292</v>
      </c>
      <c r="E105" s="334" t="str">
        <f>IF($D105&lt;&gt;"",VLOOKUP($D105,'SINAPI MAIO 2020'!$1:$1048576,2,FALSE),"")</f>
        <v>TINTA ESMALTE SINTETICO PREMIUM BRILHANTE</v>
      </c>
      <c r="F105" s="335" t="str">
        <f>IF($D105&lt;&gt;"",VLOOKUP($D105,'SINAPI MAIO 2020'!$1:$1048576,3,FALSE),"")</f>
        <v xml:space="preserve">L     </v>
      </c>
      <c r="G105" s="360">
        <v>0.33</v>
      </c>
      <c r="H105" s="583">
        <f>IF($D105&lt;&gt;"",VLOOKUP($D105,'SINAPI MAIO 2020'!$1:$1048576,4,FALSE),"")</f>
        <v>23.14</v>
      </c>
      <c r="I105" s="379">
        <f t="shared" ref="I105:I107" si="11">TRUNC(H105*G105,2)</f>
        <v>7.63</v>
      </c>
    </row>
    <row r="106" spans="2:9">
      <c r="B106" s="543" t="s">
        <v>858</v>
      </c>
      <c r="C106" s="151" t="s">
        <v>8</v>
      </c>
      <c r="D106" s="351">
        <v>88310</v>
      </c>
      <c r="E106" s="334" t="str">
        <f>IF($D106&lt;&gt;"",VLOOKUP($D106,'SINAPI MAIO 2020'!$1:$1048576,2,FALSE),"")</f>
        <v>PINTOR COM ENCARGOS COMPLEMENTARES</v>
      </c>
      <c r="F106" s="335" t="str">
        <f>IF($D106&lt;&gt;"",VLOOKUP($D106,'SINAPI MAIO 2020'!$1:$1048576,3,FALSE),"")</f>
        <v>H</v>
      </c>
      <c r="G106" s="360">
        <v>0.19</v>
      </c>
      <c r="H106" s="583">
        <f>IF($D106&lt;&gt;"",VLOOKUP($D106,'SINAPI MAIO 2020'!$1:$1048576,4,FALSE),"")</f>
        <v>18.88</v>
      </c>
      <c r="I106" s="379">
        <f t="shared" si="11"/>
        <v>3.58</v>
      </c>
    </row>
    <row r="107" spans="2:9">
      <c r="B107" s="543" t="s">
        <v>858</v>
      </c>
      <c r="C107" s="151" t="s">
        <v>8</v>
      </c>
      <c r="D107" s="351">
        <v>88316</v>
      </c>
      <c r="E107" s="334" t="str">
        <f>IF($D107&lt;&gt;"",VLOOKUP($D107,'SINAPI MAIO 2020'!$1:$1048576,2,FALSE),"")</f>
        <v>SERVENTE COM ENCARGOS COMPLEMENTARES</v>
      </c>
      <c r="F107" s="335" t="str">
        <f>IF($D107&lt;&gt;"",VLOOKUP($D107,'SINAPI MAIO 2020'!$1:$1048576,3,FALSE),"")</f>
        <v>H</v>
      </c>
      <c r="G107" s="360">
        <v>7.0000000000000007E-2</v>
      </c>
      <c r="H107" s="583">
        <f>IF($D107&lt;&gt;"",VLOOKUP($D107,'SINAPI MAIO 2020'!$1:$1048576,4,FALSE),"")</f>
        <v>14.37</v>
      </c>
      <c r="I107" s="379">
        <f t="shared" si="11"/>
        <v>1</v>
      </c>
    </row>
    <row r="108" spans="2:9">
      <c r="B108" s="544"/>
      <c r="C108" s="514"/>
      <c r="D108" s="514"/>
      <c r="E108" s="515"/>
      <c r="F108" s="514"/>
      <c r="G108" s="560"/>
      <c r="H108" s="585"/>
      <c r="I108" s="585"/>
    </row>
    <row r="109" spans="2:9">
      <c r="B109" s="359" t="s">
        <v>12451</v>
      </c>
      <c r="C109" s="513"/>
      <c r="D109" s="513"/>
      <c r="E109" s="154" t="s">
        <v>4713</v>
      </c>
      <c r="F109" s="155" t="s">
        <v>48</v>
      </c>
      <c r="G109" s="367">
        <v>1</v>
      </c>
      <c r="H109" s="581"/>
      <c r="I109" s="582">
        <f>TRUNC(SUM(I110:L112),2)</f>
        <v>54.85</v>
      </c>
    </row>
    <row r="110" spans="2:9">
      <c r="B110" s="543" t="s">
        <v>858</v>
      </c>
      <c r="C110" s="151" t="s">
        <v>8</v>
      </c>
      <c r="D110" s="156">
        <v>88311</v>
      </c>
      <c r="E110" s="334" t="str">
        <f>IF($D110&lt;&gt;"",VLOOKUP($D110,'SINAPI MAIO 2020'!$1:$1048576,2,FALSE),"")</f>
        <v>PINTOR DE LETREIROS COM ENCARGOS COMPLEMENTARES</v>
      </c>
      <c r="F110" s="335" t="str">
        <f>IF($D110&lt;&gt;"",VLOOKUP($D110,'SINAPI MAIO 2020'!$1:$1048576,3,FALSE),"")</f>
        <v>H</v>
      </c>
      <c r="G110" s="360">
        <v>2</v>
      </c>
      <c r="H110" s="583">
        <f>IF($D110&lt;&gt;"",VLOOKUP($D110,'SINAPI MAIO 2020'!$1:$1048576,4,FALSE),"")</f>
        <v>20.85</v>
      </c>
      <c r="I110" s="379">
        <f t="shared" ref="I110:I112" si="12">TRUNC(H110*G110,2)</f>
        <v>41.7</v>
      </c>
    </row>
    <row r="111" spans="2:9" ht="25.5">
      <c r="B111" s="543" t="s">
        <v>858</v>
      </c>
      <c r="C111" s="151" t="s">
        <v>8</v>
      </c>
      <c r="D111" s="156">
        <v>88415</v>
      </c>
      <c r="E111" s="334" t="str">
        <f>IF($D111&lt;&gt;"",VLOOKUP($D111,'SINAPI MAIO 2020'!$1:$1048576,2,FALSE),"")</f>
        <v>APLICAÇÃO MANUAL DE FUNDO SELADOR ACRÍLICO EM PAREDES EXTERNAS DE CASAS. AF_06/2014</v>
      </c>
      <c r="F111" s="335" t="str">
        <f>IF($D111&lt;&gt;"",VLOOKUP($D111,'SINAPI MAIO 2020'!$1:$1048576,3,FALSE),"")</f>
        <v>M2</v>
      </c>
      <c r="G111" s="360">
        <v>1</v>
      </c>
      <c r="H111" s="583">
        <f>IF($D111&lt;&gt;"",VLOOKUP($D111,'SINAPI MAIO 2020'!$1:$1048576,4,FALSE),"")</f>
        <v>1.85</v>
      </c>
      <c r="I111" s="379">
        <f t="shared" si="12"/>
        <v>1.85</v>
      </c>
    </row>
    <row r="112" spans="2:9" ht="25.5">
      <c r="B112" s="543" t="s">
        <v>858</v>
      </c>
      <c r="C112" s="151" t="s">
        <v>8</v>
      </c>
      <c r="D112" s="351">
        <v>88489</v>
      </c>
      <c r="E112" s="334" t="str">
        <f>IF($D112&lt;&gt;"",VLOOKUP($D112,'SINAPI MAIO 2020'!$1:$1048576,2,FALSE),"")</f>
        <v>APLICAÇÃO MANUAL DE PINTURA COM TINTA LÁTEX ACRÍLICA EM PAREDES, DUAS DEMÃOS. AF_06/2014</v>
      </c>
      <c r="F112" s="335" t="str">
        <f>IF($D112&lt;&gt;"",VLOOKUP($D112,'SINAPI MAIO 2020'!$1:$1048576,3,FALSE),"")</f>
        <v>M2</v>
      </c>
      <c r="G112" s="360">
        <v>1</v>
      </c>
      <c r="H112" s="583">
        <f>IF($D112&lt;&gt;"",VLOOKUP($D112,'SINAPI MAIO 2020'!$1:$1048576,4,FALSE),"")</f>
        <v>11.3</v>
      </c>
      <c r="I112" s="379">
        <f t="shared" si="12"/>
        <v>11.3</v>
      </c>
    </row>
    <row r="113" spans="2:9">
      <c r="B113" s="544"/>
      <c r="C113" s="514"/>
      <c r="D113" s="514"/>
      <c r="E113" s="515"/>
      <c r="F113" s="514"/>
      <c r="G113" s="560"/>
      <c r="H113" s="585"/>
      <c r="I113" s="585"/>
    </row>
    <row r="114" spans="2:9">
      <c r="B114" s="359" t="s">
        <v>12447</v>
      </c>
      <c r="C114" s="513"/>
      <c r="D114" s="513"/>
      <c r="E114" s="154" t="s">
        <v>12448</v>
      </c>
      <c r="F114" s="155" t="s">
        <v>48</v>
      </c>
      <c r="G114" s="367">
        <v>1</v>
      </c>
      <c r="H114" s="581"/>
      <c r="I114" s="582">
        <f>TRUNC(SUM(I115:I118),2)</f>
        <v>7.67</v>
      </c>
    </row>
    <row r="115" spans="2:9">
      <c r="B115" s="543" t="s">
        <v>858</v>
      </c>
      <c r="C115" s="151" t="s">
        <v>8</v>
      </c>
      <c r="D115" s="156">
        <v>88310</v>
      </c>
      <c r="E115" s="334" t="str">
        <f>IF($D115&lt;&gt;"",VLOOKUP($D115,'SINAPI MAIO 2020'!$1:$1048576,2,FALSE),"")</f>
        <v>PINTOR COM ENCARGOS COMPLEMENTARES</v>
      </c>
      <c r="F115" s="335" t="str">
        <f>IF($D115&lt;&gt;"",VLOOKUP($D115,'SINAPI MAIO 2020'!$1:$1048576,3,FALSE),"")</f>
        <v>H</v>
      </c>
      <c r="G115" s="360">
        <v>0.315</v>
      </c>
      <c r="H115" s="583">
        <f>IF($D115&lt;&gt;"",VLOOKUP($D115,'SINAPI MAIO 2020'!$1:$1048576,4,FALSE),"")</f>
        <v>18.88</v>
      </c>
      <c r="I115" s="379">
        <f t="shared" ref="I115:I117" si="13">TRUNC(H115*G115,2)</f>
        <v>5.94</v>
      </c>
    </row>
    <row r="116" spans="2:9">
      <c r="B116" s="543" t="s">
        <v>858</v>
      </c>
      <c r="C116" s="151" t="s">
        <v>8</v>
      </c>
      <c r="D116" s="156">
        <v>88316</v>
      </c>
      <c r="E116" s="334" t="str">
        <f>IF($D116&lt;&gt;"",VLOOKUP($D116,'SINAPI MAIO 2020'!$1:$1048576,2,FALSE),"")</f>
        <v>SERVENTE COM ENCARGOS COMPLEMENTARES</v>
      </c>
      <c r="F116" s="335" t="str">
        <f>IF($D116&lt;&gt;"",VLOOKUP($D116,'SINAPI MAIO 2020'!$1:$1048576,3,FALSE),"")</f>
        <v>H</v>
      </c>
      <c r="G116" s="360">
        <v>0.105</v>
      </c>
      <c r="H116" s="583">
        <f>IF($D116&lt;&gt;"",VLOOKUP($D116,'SINAPI MAIO 2020'!$1:$1048576,4,FALSE),"")</f>
        <v>14.37</v>
      </c>
      <c r="I116" s="379">
        <f t="shared" si="13"/>
        <v>1.5</v>
      </c>
    </row>
    <row r="117" spans="2:9">
      <c r="B117" s="543" t="s">
        <v>835</v>
      </c>
      <c r="C117" s="151" t="s">
        <v>8</v>
      </c>
      <c r="D117" s="351">
        <v>1107</v>
      </c>
      <c r="E117" s="334" t="str">
        <f>IF($D117&lt;&gt;"",VLOOKUP($D117,'SINAPI MAIO 2020'!$1:$1048576,2,FALSE),"")</f>
        <v>CAL VIRGEM COMUM PARA ARGAMASSAS (NBR 6453)</v>
      </c>
      <c r="F117" s="335" t="str">
        <f>IF($D117&lt;&gt;"",VLOOKUP($D117,'SINAPI MAIO 2020'!$1:$1048576,3,FALSE),"")</f>
        <v xml:space="preserve">KG    </v>
      </c>
      <c r="G117" s="360">
        <v>0.44</v>
      </c>
      <c r="H117" s="583">
        <f>IF($D117&lt;&gt;"",VLOOKUP($D117,'SINAPI MAIO 2020'!$1:$1048576,4,FALSE),"")</f>
        <v>0.52</v>
      </c>
      <c r="I117" s="379">
        <f t="shared" si="13"/>
        <v>0.22</v>
      </c>
    </row>
    <row r="118" spans="2:9">
      <c r="B118" s="543" t="s">
        <v>835</v>
      </c>
      <c r="C118" s="151" t="s">
        <v>836</v>
      </c>
      <c r="D118" s="351"/>
      <c r="E118" s="334" t="s">
        <v>14447</v>
      </c>
      <c r="F118" s="335" t="s">
        <v>35</v>
      </c>
      <c r="G118" s="360">
        <v>1.4999999999999999E-2</v>
      </c>
      <c r="H118" s="583">
        <v>1.3</v>
      </c>
      <c r="I118" s="379">
        <f t="shared" ref="I118" si="14">TRUNC(H118*G118,2)</f>
        <v>0.01</v>
      </c>
    </row>
    <row r="119" spans="2:9">
      <c r="B119" s="544"/>
      <c r="C119" s="514"/>
      <c r="D119" s="514"/>
      <c r="E119" s="515"/>
      <c r="F119" s="514"/>
      <c r="G119" s="560"/>
      <c r="H119" s="585"/>
      <c r="I119" s="585"/>
    </row>
    <row r="120" spans="2:9">
      <c r="B120" s="544"/>
      <c r="C120" s="514"/>
      <c r="D120" s="514"/>
      <c r="E120" s="515"/>
      <c r="F120" s="514"/>
      <c r="G120" s="560"/>
      <c r="H120" s="585"/>
      <c r="I120" s="585"/>
    </row>
    <row r="121" spans="2:9">
      <c r="B121" s="796" t="s">
        <v>6150</v>
      </c>
      <c r="C121" s="796"/>
      <c r="D121" s="796"/>
      <c r="E121" s="796"/>
      <c r="F121" s="796"/>
      <c r="G121" s="796"/>
      <c r="H121" s="796"/>
      <c r="I121" s="796"/>
    </row>
    <row r="122" spans="2:9">
      <c r="B122" s="544"/>
      <c r="C122" s="514"/>
      <c r="D122" s="514"/>
      <c r="E122" s="515"/>
      <c r="F122" s="514"/>
      <c r="G122" s="560"/>
      <c r="H122" s="585"/>
      <c r="I122" s="585"/>
    </row>
    <row r="123" spans="2:9">
      <c r="B123" s="545" t="s">
        <v>12452</v>
      </c>
      <c r="C123" s="365"/>
      <c r="D123" s="365"/>
      <c r="E123" s="362" t="s">
        <v>6148</v>
      </c>
      <c r="F123" s="363" t="s">
        <v>998</v>
      </c>
      <c r="G123" s="564"/>
      <c r="H123" s="581"/>
      <c r="I123" s="582">
        <f>TRUNC(SUM(I124:I129),2)</f>
        <v>11.7</v>
      </c>
    </row>
    <row r="124" spans="2:9" ht="25.5">
      <c r="B124" s="548" t="s">
        <v>835</v>
      </c>
      <c r="C124" s="364" t="s">
        <v>8</v>
      </c>
      <c r="D124" s="364">
        <v>6031</v>
      </c>
      <c r="E124" s="334" t="str">
        <f>IF($D124&lt;&gt;"",VLOOKUP($D124,'SINAPI MAIO 2020'!$1:$1048576,2,FALSE),"")</f>
        <v>REGISTRO DE ESFERA PVC, COM BORBOLETA, COM ROSCA EXTERNA, DE 3/4"</v>
      </c>
      <c r="F124" s="335" t="str">
        <f>IF($D124&lt;&gt;"",VLOOKUP($D124,'SINAPI MAIO 2020'!$1:$1048576,3,FALSE),"")</f>
        <v xml:space="preserve">UN    </v>
      </c>
      <c r="G124" s="366">
        <v>1</v>
      </c>
      <c r="H124" s="583">
        <f>IF($D124&lt;&gt;"",VLOOKUP($D124,'SINAPI MAIO 2020'!$1:$1048576,4,FALSE),"")</f>
        <v>7.51</v>
      </c>
      <c r="I124" s="584">
        <f t="shared" ref="I124:I129" si="15">TRUNC(H124*G124,2)</f>
        <v>7.51</v>
      </c>
    </row>
    <row r="125" spans="2:9">
      <c r="B125" s="548" t="s">
        <v>835</v>
      </c>
      <c r="C125" s="364" t="s">
        <v>8</v>
      </c>
      <c r="D125" s="364">
        <v>20080</v>
      </c>
      <c r="E125" s="334" t="str">
        <f>IF($D125&lt;&gt;"",VLOOKUP($D125,'SINAPI MAIO 2020'!$1:$1048576,2,FALSE),"")</f>
        <v>ADESIVO PLASTICO PARA PVC, FRASCO COM 175 GR</v>
      </c>
      <c r="F125" s="335" t="str">
        <f>IF($D125&lt;&gt;"",VLOOKUP($D125,'SINAPI MAIO 2020'!$1:$1048576,3,FALSE),"")</f>
        <v xml:space="preserve">UN    </v>
      </c>
      <c r="G125" s="366">
        <v>0.06</v>
      </c>
      <c r="H125" s="583">
        <f>IF($D125&lt;&gt;"",VLOOKUP($D125,'SINAPI MAIO 2020'!$1:$1048576,4,FALSE),"")</f>
        <v>25.37</v>
      </c>
      <c r="I125" s="584">
        <f t="shared" si="15"/>
        <v>1.52</v>
      </c>
    </row>
    <row r="126" spans="2:9">
      <c r="B126" s="548" t="s">
        <v>835</v>
      </c>
      <c r="C126" s="364" t="s">
        <v>8</v>
      </c>
      <c r="D126" s="364">
        <v>20083</v>
      </c>
      <c r="E126" s="334" t="str">
        <f>IF($D126&lt;&gt;"",VLOOKUP($D126,'SINAPI MAIO 2020'!$1:$1048576,2,FALSE),"")</f>
        <v>SOLUCAO LIMPADORA PARA PVC, FRASCO COM 1000 CM3</v>
      </c>
      <c r="F126" s="335" t="str">
        <f>IF($D126&lt;&gt;"",VLOOKUP($D126,'SINAPI MAIO 2020'!$1:$1048576,3,FALSE),"")</f>
        <v xml:space="preserve">UN    </v>
      </c>
      <c r="G126" s="366">
        <v>1.4E-2</v>
      </c>
      <c r="H126" s="583">
        <f>IF($D126&lt;&gt;"",VLOOKUP($D126,'SINAPI MAIO 2020'!$1:$1048576,4,FALSE),"")</f>
        <v>69.42</v>
      </c>
      <c r="I126" s="584">
        <f t="shared" si="15"/>
        <v>0.97</v>
      </c>
    </row>
    <row r="127" spans="2:9">
      <c r="B127" s="548" t="s">
        <v>835</v>
      </c>
      <c r="C127" s="364" t="s">
        <v>8</v>
      </c>
      <c r="D127" s="364">
        <v>38383</v>
      </c>
      <c r="E127" s="334" t="str">
        <f>IF($D127&lt;&gt;"",VLOOKUP($D127,'SINAPI MAIO 2020'!$1:$1048576,2,FALSE),"")</f>
        <v>LIXA D'AGUA EM FOLHA, GRAO 100</v>
      </c>
      <c r="F127" s="335" t="str">
        <f>IF($D127&lt;&gt;"",VLOOKUP($D127,'SINAPI MAIO 2020'!$1:$1048576,3,FALSE),"")</f>
        <v xml:space="preserve">UN    </v>
      </c>
      <c r="G127" s="366">
        <v>0.02</v>
      </c>
      <c r="H127" s="583">
        <f>IF($D127&lt;&gt;"",VLOOKUP($D127,'SINAPI MAIO 2020'!$1:$1048576,4,FALSE),"")</f>
        <v>1.93</v>
      </c>
      <c r="I127" s="584">
        <f t="shared" si="15"/>
        <v>0.03</v>
      </c>
    </row>
    <row r="128" spans="2:9" ht="25.5">
      <c r="B128" s="548" t="s">
        <v>858</v>
      </c>
      <c r="C128" s="364" t="s">
        <v>8</v>
      </c>
      <c r="D128" s="364">
        <v>88248</v>
      </c>
      <c r="E128" s="334" t="str">
        <f>IF($D128&lt;&gt;"",VLOOKUP($D128,'SINAPI MAIO 2020'!$1:$1048576,2,FALSE),"")</f>
        <v>AUXILIAR DE ENCANADOR OU BOMBEIRO HIDRÁULICO COM ENCARGOS COMPLEMENTARES</v>
      </c>
      <c r="F128" s="335" t="str">
        <f>IF($D128&lt;&gt;"",VLOOKUP($D128,'SINAPI MAIO 2020'!$1:$1048576,3,FALSE),"")</f>
        <v>H</v>
      </c>
      <c r="G128" s="366">
        <v>5.2999999999999999E-2</v>
      </c>
      <c r="H128" s="583">
        <f>IF($D128&lt;&gt;"",VLOOKUP($D128,'SINAPI MAIO 2020'!$1:$1048576,4,FALSE),"")</f>
        <v>13.87</v>
      </c>
      <c r="I128" s="584">
        <f t="shared" si="15"/>
        <v>0.73</v>
      </c>
    </row>
    <row r="129" spans="2:9" ht="25.5">
      <c r="B129" s="548" t="s">
        <v>858</v>
      </c>
      <c r="C129" s="364" t="s">
        <v>8</v>
      </c>
      <c r="D129" s="364">
        <v>88267</v>
      </c>
      <c r="E129" s="334" t="str">
        <f>IF($D129&lt;&gt;"",VLOOKUP($D129,'SINAPI MAIO 2020'!$1:$1048576,2,FALSE),"")</f>
        <v>ENCANADOR OU BOMBEIRO HIDRÁULICO COM ENCARGOS COMPLEMENTARES</v>
      </c>
      <c r="F129" s="335" t="str">
        <f>IF($D129&lt;&gt;"",VLOOKUP($D129,'SINAPI MAIO 2020'!$1:$1048576,3,FALSE),"")</f>
        <v>H</v>
      </c>
      <c r="G129" s="366">
        <v>5.2999999999999999E-2</v>
      </c>
      <c r="H129" s="583">
        <f>IF($D129&lt;&gt;"",VLOOKUP($D129,'SINAPI MAIO 2020'!$1:$1048576,4,FALSE),"")</f>
        <v>17.79</v>
      </c>
      <c r="I129" s="584">
        <f t="shared" si="15"/>
        <v>0.94</v>
      </c>
    </row>
    <row r="130" spans="2:9">
      <c r="B130" s="544"/>
      <c r="C130" s="514"/>
      <c r="D130" s="514"/>
      <c r="E130" s="515"/>
      <c r="F130" s="514"/>
      <c r="G130" s="560"/>
      <c r="H130" s="585"/>
      <c r="I130" s="585"/>
    </row>
    <row r="131" spans="2:9" ht="25.5">
      <c r="B131" s="545" t="s">
        <v>12453</v>
      </c>
      <c r="C131" s="365"/>
      <c r="D131" s="365"/>
      <c r="E131" s="362" t="s">
        <v>12569</v>
      </c>
      <c r="F131" s="363" t="s">
        <v>35</v>
      </c>
      <c r="G131" s="564" t="s">
        <v>5339</v>
      </c>
      <c r="H131" s="581"/>
      <c r="I131" s="582">
        <f>TRUNC(SUM(I132:I135),2)</f>
        <v>4.9800000000000004</v>
      </c>
    </row>
    <row r="132" spans="2:9" ht="25.5">
      <c r="B132" s="548" t="s">
        <v>835</v>
      </c>
      <c r="C132" s="364" t="s">
        <v>8</v>
      </c>
      <c r="D132" s="364">
        <v>20078</v>
      </c>
      <c r="E132" s="334" t="str">
        <f>IF($D132&lt;&gt;"",VLOOKUP($D132,'SINAPI MAIO 2020'!$1:$1048576,2,FALSE),"")</f>
        <v>PASTA LUBRIFICANTE PARA TUBOS E CONEXOES COM JUNTA ELASTICA (USO EM PVC, ACO, POLIETILENO E OUTROS) ( DE *400* G)</v>
      </c>
      <c r="F132" s="335" t="str">
        <f>IF($D132&lt;&gt;"",VLOOKUP($D132,'SINAPI MAIO 2020'!$1:$1048576,3,FALSE),"")</f>
        <v xml:space="preserve">UN    </v>
      </c>
      <c r="G132" s="366">
        <v>0.02</v>
      </c>
      <c r="H132" s="583">
        <f>IF($D132&lt;&gt;"",VLOOKUP($D132,'SINAPI MAIO 2020'!$1:$1048576,4,FALSE),"")</f>
        <v>29.27</v>
      </c>
      <c r="I132" s="584">
        <f>TRUNC(H132*G132,2)</f>
        <v>0.57999999999999996</v>
      </c>
    </row>
    <row r="133" spans="2:9" ht="25.5">
      <c r="B133" s="548" t="s">
        <v>835</v>
      </c>
      <c r="C133" s="364" t="s">
        <v>8</v>
      </c>
      <c r="D133" s="364">
        <v>3538</v>
      </c>
      <c r="E133" s="334" t="str">
        <f>IF($D133&lt;&gt;"",VLOOKUP($D133,'SINAPI MAIO 2020'!$1:$1048576,2,FALSE),"")</f>
        <v>JOELHO DE REDUCAO, PVC SOLDAVEL, 90 GRAUS,  32 MM X 25 MM, PARA AGUA FRIA PREDIAL</v>
      </c>
      <c r="F133" s="335" t="str">
        <f>IF($D133&lt;&gt;"",VLOOKUP($D133,'SINAPI MAIO 2020'!$1:$1048576,3,FALSE),"")</f>
        <v xml:space="preserve">UN    </v>
      </c>
      <c r="G133" s="366">
        <v>1</v>
      </c>
      <c r="H133" s="583">
        <f>IF($D133&lt;&gt;"",VLOOKUP($D133,'SINAPI MAIO 2020'!$1:$1048576,4,FALSE),"")</f>
        <v>2.98</v>
      </c>
      <c r="I133" s="584">
        <f>TRUNC(H133*G133,2)</f>
        <v>2.98</v>
      </c>
    </row>
    <row r="134" spans="2:9" ht="25.5">
      <c r="B134" s="548" t="s">
        <v>858</v>
      </c>
      <c r="C134" s="364" t="s">
        <v>8</v>
      </c>
      <c r="D134" s="364">
        <v>88248</v>
      </c>
      <c r="E134" s="334" t="str">
        <f>IF($D134&lt;&gt;"",VLOOKUP($D134,'SINAPI MAIO 2020'!$1:$1048576,2,FALSE),"")</f>
        <v>AUXILIAR DE ENCANADOR OU BOMBEIRO HIDRÁULICO COM ENCARGOS COMPLEMENTARES</v>
      </c>
      <c r="F134" s="335" t="str">
        <f>IF($D134&lt;&gt;"",VLOOKUP($D134,'SINAPI MAIO 2020'!$1:$1048576,3,FALSE),"")</f>
        <v>H</v>
      </c>
      <c r="G134" s="366">
        <v>4.4999999999999998E-2</v>
      </c>
      <c r="H134" s="583">
        <f>IF($D134&lt;&gt;"",VLOOKUP($D134,'SINAPI MAIO 2020'!$1:$1048576,4,FALSE),"")</f>
        <v>13.87</v>
      </c>
      <c r="I134" s="584">
        <f>TRUNC(H134*G134,2)</f>
        <v>0.62</v>
      </c>
    </row>
    <row r="135" spans="2:9" ht="25.5">
      <c r="B135" s="548" t="s">
        <v>858</v>
      </c>
      <c r="C135" s="364" t="s">
        <v>8</v>
      </c>
      <c r="D135" s="364">
        <v>88267</v>
      </c>
      <c r="E135" s="334" t="str">
        <f>IF($D135&lt;&gt;"",VLOOKUP($D135,'SINAPI MAIO 2020'!$1:$1048576,2,FALSE),"")</f>
        <v>ENCANADOR OU BOMBEIRO HIDRÁULICO COM ENCARGOS COMPLEMENTARES</v>
      </c>
      <c r="F135" s="335" t="str">
        <f>IF($D135&lt;&gt;"",VLOOKUP($D135,'SINAPI MAIO 2020'!$1:$1048576,3,FALSE),"")</f>
        <v>H</v>
      </c>
      <c r="G135" s="366">
        <v>4.4999999999999998E-2</v>
      </c>
      <c r="H135" s="583">
        <f>IF($D135&lt;&gt;"",VLOOKUP($D135,'SINAPI MAIO 2020'!$1:$1048576,4,FALSE),"")</f>
        <v>17.79</v>
      </c>
      <c r="I135" s="584">
        <f>TRUNC(H135*G135,2)</f>
        <v>0.8</v>
      </c>
    </row>
    <row r="136" spans="2:9">
      <c r="B136" s="544"/>
      <c r="C136" s="514"/>
      <c r="D136" s="514"/>
      <c r="E136" s="515"/>
      <c r="F136" s="514"/>
      <c r="G136" s="560"/>
      <c r="H136" s="585"/>
      <c r="I136" s="585"/>
    </row>
    <row r="137" spans="2:9" ht="25.5">
      <c r="B137" s="545" t="s">
        <v>12454</v>
      </c>
      <c r="C137" s="365"/>
      <c r="D137" s="365"/>
      <c r="E137" s="362" t="str">
        <f>E140</f>
        <v>TE DE REDUCAO, PVC, SOLDAVEL, 90 GRAUS, 50 MM X 32 MM, PARA AGUA FRIA PREDIAL</v>
      </c>
      <c r="F137" s="363" t="s">
        <v>35</v>
      </c>
      <c r="G137" s="564" t="s">
        <v>5339</v>
      </c>
      <c r="H137" s="581"/>
      <c r="I137" s="582">
        <f>TRUNC(SUM(I138:I143),2)</f>
        <v>23.65</v>
      </c>
    </row>
    <row r="138" spans="2:9" ht="25.5">
      <c r="B138" s="548" t="s">
        <v>858</v>
      </c>
      <c r="C138" s="364" t="s">
        <v>8</v>
      </c>
      <c r="D138" s="364">
        <v>88248</v>
      </c>
      <c r="E138" s="334" t="str">
        <f>IF($D138&lt;&gt;"",VLOOKUP($D138,'SINAPI MAIO 2020'!$1:$1048576,2,FALSE),"")</f>
        <v>AUXILIAR DE ENCANADOR OU BOMBEIRO HIDRÁULICO COM ENCARGOS COMPLEMENTARES</v>
      </c>
      <c r="F138" s="335" t="str">
        <f>IF($D138&lt;&gt;"",VLOOKUP($D138,'SINAPI MAIO 2020'!$1:$1048576,3,FALSE),"")</f>
        <v>H</v>
      </c>
      <c r="G138" s="366">
        <v>0.22700000000000001</v>
      </c>
      <c r="H138" s="583">
        <f>IF($D138&lt;&gt;"",VLOOKUP($D138,'SINAPI MAIO 2020'!$1:$1048576,4,FALSE),"")</f>
        <v>13.87</v>
      </c>
      <c r="I138" s="584">
        <f>TRUNC(H138*G138,2)</f>
        <v>3.14</v>
      </c>
    </row>
    <row r="139" spans="2:9" ht="25.5">
      <c r="B139" s="548" t="s">
        <v>858</v>
      </c>
      <c r="C139" s="364" t="s">
        <v>8</v>
      </c>
      <c r="D139" s="364">
        <v>88267</v>
      </c>
      <c r="E139" s="334" t="str">
        <f>IF($D139&lt;&gt;"",VLOOKUP($D139,'SINAPI MAIO 2020'!$1:$1048576,2,FALSE),"")</f>
        <v>ENCANADOR OU BOMBEIRO HIDRÁULICO COM ENCARGOS COMPLEMENTARES</v>
      </c>
      <c r="F139" s="335" t="str">
        <f>IF($D139&lt;&gt;"",VLOOKUP($D139,'SINAPI MAIO 2020'!$1:$1048576,3,FALSE),"")</f>
        <v>H</v>
      </c>
      <c r="G139" s="366">
        <v>0.27</v>
      </c>
      <c r="H139" s="583">
        <f>IF($D139&lt;&gt;"",VLOOKUP($D139,'SINAPI MAIO 2020'!$1:$1048576,4,FALSE),"")</f>
        <v>17.79</v>
      </c>
      <c r="I139" s="584">
        <f>TRUNC(H139*G139,2)</f>
        <v>4.8</v>
      </c>
    </row>
    <row r="140" spans="2:9" ht="25.5">
      <c r="B140" s="548" t="s">
        <v>835</v>
      </c>
      <c r="C140" s="364" t="s">
        <v>8</v>
      </c>
      <c r="D140" s="364">
        <v>7130</v>
      </c>
      <c r="E140" s="334" t="str">
        <f>IF($D140&lt;&gt;"",VLOOKUP($D140,'SINAPI MAIO 2020'!$1:$1048576,2,FALSE),"")</f>
        <v>TE DE REDUCAO, PVC, SOLDAVEL, 90 GRAUS, 50 MM X 32 MM, PARA AGUA FRIA PREDIAL</v>
      </c>
      <c r="F140" s="335" t="str">
        <f>IF($D140&lt;&gt;"",VLOOKUP($D140,'SINAPI MAIO 2020'!$1:$1048576,3,FALSE),"")</f>
        <v xml:space="preserve">UN    </v>
      </c>
      <c r="G140" s="366">
        <v>1</v>
      </c>
      <c r="H140" s="583">
        <f>IF($D140&lt;&gt;"",VLOOKUP($D140,'SINAPI MAIO 2020'!$1:$1048576,4,FALSE),"")</f>
        <v>11.07</v>
      </c>
      <c r="I140" s="584">
        <f>TRUNC(H140*G140,2)</f>
        <v>11.07</v>
      </c>
    </row>
    <row r="141" spans="2:9">
      <c r="B141" s="548" t="s">
        <v>835</v>
      </c>
      <c r="C141" s="364" t="s">
        <v>8</v>
      </c>
      <c r="D141" s="364">
        <v>20080</v>
      </c>
      <c r="E141" s="334" t="str">
        <f>IF($D141&lt;&gt;"",VLOOKUP($D141,'SINAPI MAIO 2020'!$1:$1048576,2,FALSE),"")</f>
        <v>ADESIVO PLASTICO PARA PVC, FRASCO COM 175 GR</v>
      </c>
      <c r="F141" s="335" t="str">
        <f>IF($D141&lt;&gt;"",VLOOKUP($D141,'SINAPI MAIO 2020'!$1:$1048576,3,FALSE),"")</f>
        <v xml:space="preserve">UN    </v>
      </c>
      <c r="G141" s="366">
        <v>0.107</v>
      </c>
      <c r="H141" s="583">
        <f>IF($D141&lt;&gt;"",VLOOKUP($D141,'SINAPI MAIO 2020'!$1:$1048576,4,FALSE),"")</f>
        <v>25.37</v>
      </c>
      <c r="I141" s="584">
        <f>TRUNC(H141*G141,2)</f>
        <v>2.71</v>
      </c>
    </row>
    <row r="142" spans="2:9">
      <c r="B142" s="548" t="s">
        <v>835</v>
      </c>
      <c r="C142" s="364" t="s">
        <v>8</v>
      </c>
      <c r="D142" s="351">
        <v>20083</v>
      </c>
      <c r="E142" s="334" t="str">
        <f>IF($D142&lt;&gt;"",VLOOKUP($D142,'SINAPI MAIO 2020'!$1:$1048576,2,FALSE),"")</f>
        <v>SOLUCAO LIMPADORA PARA PVC, FRASCO COM 1000 CM3</v>
      </c>
      <c r="F142" s="335" t="str">
        <f>IF($D142&lt;&gt;"",VLOOKUP($D142,'SINAPI MAIO 2020'!$1:$1048576,3,FALSE),"")</f>
        <v xml:space="preserve">UN    </v>
      </c>
      <c r="G142" s="524">
        <v>2.7E-2</v>
      </c>
      <c r="H142" s="583">
        <f>IF($D142&lt;&gt;"",VLOOKUP($D142,'SINAPI MAIO 2020'!$1:$1048576,4,FALSE),"")</f>
        <v>69.42</v>
      </c>
      <c r="I142" s="584">
        <f t="shared" ref="I142:I143" si="16">TRUNC(H142*G142,2)</f>
        <v>1.87</v>
      </c>
    </row>
    <row r="143" spans="2:9">
      <c r="B143" s="548" t="s">
        <v>835</v>
      </c>
      <c r="C143" s="364" t="s">
        <v>8</v>
      </c>
      <c r="D143" s="351">
        <v>38383</v>
      </c>
      <c r="E143" s="334" t="str">
        <f>IF($D143&lt;&gt;"",VLOOKUP($D143,'SINAPI MAIO 2020'!$1:$1048576,2,FALSE),"")</f>
        <v>LIXA D'AGUA EM FOLHA, GRAO 100</v>
      </c>
      <c r="F143" s="335" t="str">
        <f>IF($D143&lt;&gt;"",VLOOKUP($D143,'SINAPI MAIO 2020'!$1:$1048576,3,FALSE),"")</f>
        <v xml:space="preserve">UN    </v>
      </c>
      <c r="G143" s="524">
        <v>3.4000000000000002E-2</v>
      </c>
      <c r="H143" s="583">
        <f>IF($D143&lt;&gt;"",VLOOKUP($D143,'SINAPI MAIO 2020'!$1:$1048576,4,FALSE),"")</f>
        <v>1.93</v>
      </c>
      <c r="I143" s="584">
        <f t="shared" si="16"/>
        <v>0.06</v>
      </c>
    </row>
    <row r="144" spans="2:9">
      <c r="B144" s="544"/>
      <c r="C144" s="514"/>
      <c r="D144" s="514"/>
      <c r="E144" s="515"/>
      <c r="F144" s="514"/>
      <c r="G144" s="560"/>
      <c r="H144" s="585"/>
      <c r="I144" s="585"/>
    </row>
    <row r="145" spans="2:9" ht="25.5">
      <c r="B145" s="545" t="s">
        <v>12455</v>
      </c>
      <c r="C145" s="365"/>
      <c r="D145" s="365"/>
      <c r="E145" s="362" t="str">
        <f>E149</f>
        <v>VALVULA DE DESCARGA METALICA, BASE 1 1/4 " E ACABAMENTO METALICO CROMADO</v>
      </c>
      <c r="F145" s="363" t="s">
        <v>35</v>
      </c>
      <c r="G145" s="564" t="s">
        <v>5339</v>
      </c>
      <c r="H145" s="581"/>
      <c r="I145" s="582">
        <f>TRUNC(SUM(I146:I149),2)</f>
        <v>154.91</v>
      </c>
    </row>
    <row r="146" spans="2:9" ht="25.5">
      <c r="B146" s="548" t="s">
        <v>858</v>
      </c>
      <c r="C146" s="364" t="s">
        <v>8</v>
      </c>
      <c r="D146" s="364">
        <v>88248</v>
      </c>
      <c r="E146" s="334" t="str">
        <f>IF($D146&lt;&gt;"",VLOOKUP($D146,'SINAPI MAIO 2020'!$1:$1048576,2,FALSE),"")</f>
        <v>AUXILIAR DE ENCANADOR OU BOMBEIRO HIDRÁULICO COM ENCARGOS COMPLEMENTARES</v>
      </c>
      <c r="F146" s="335" t="str">
        <f>IF($D146&lt;&gt;"",VLOOKUP($D146,'SINAPI MAIO 2020'!$1:$1048576,3,FALSE),"")</f>
        <v>H</v>
      </c>
      <c r="G146" s="366">
        <v>0.78900000000000003</v>
      </c>
      <c r="H146" s="583">
        <f>IF($D146&lt;&gt;"",VLOOKUP($D146,'SINAPI MAIO 2020'!$1:$1048576,4,FALSE),"")</f>
        <v>13.87</v>
      </c>
      <c r="I146" s="584">
        <f>TRUNC(H146*G146,2)</f>
        <v>10.94</v>
      </c>
    </row>
    <row r="147" spans="2:9" ht="25.5">
      <c r="B147" s="548" t="s">
        <v>858</v>
      </c>
      <c r="C147" s="364" t="s">
        <v>8</v>
      </c>
      <c r="D147" s="364">
        <v>88267</v>
      </c>
      <c r="E147" s="334" t="str">
        <f>IF($D147&lt;&gt;"",VLOOKUP($D147,'SINAPI MAIO 2020'!$1:$1048576,2,FALSE),"")</f>
        <v>ENCANADOR OU BOMBEIRO HIDRÁULICO COM ENCARGOS COMPLEMENTARES</v>
      </c>
      <c r="F147" s="335" t="str">
        <f>IF($D147&lt;&gt;"",VLOOKUP($D147,'SINAPI MAIO 2020'!$1:$1048576,3,FALSE),"")</f>
        <v>H</v>
      </c>
      <c r="G147" s="366">
        <v>0.78900000000000003</v>
      </c>
      <c r="H147" s="583">
        <f>IF($D147&lt;&gt;"",VLOOKUP($D147,'SINAPI MAIO 2020'!$1:$1048576,4,FALSE),"")</f>
        <v>17.79</v>
      </c>
      <c r="I147" s="584">
        <f>TRUNC(H147*G147,2)</f>
        <v>14.03</v>
      </c>
    </row>
    <row r="148" spans="2:9">
      <c r="B148" s="548" t="s">
        <v>835</v>
      </c>
      <c r="C148" s="364" t="s">
        <v>8</v>
      </c>
      <c r="D148" s="364">
        <v>3148</v>
      </c>
      <c r="E148" s="334" t="str">
        <f>IF($D148&lt;&gt;"",VLOOKUP($D148,'SINAPI MAIO 2020'!$1:$1048576,2,FALSE),"")</f>
        <v>FITA VEDA ROSCA EM ROLOS DE 18 MM X 50 M (L X C)</v>
      </c>
      <c r="F148" s="335" t="str">
        <f>IF($D148&lt;&gt;"",VLOOKUP($D148,'SINAPI MAIO 2020'!$1:$1048576,3,FALSE),"")</f>
        <v xml:space="preserve">UN    </v>
      </c>
      <c r="G148" s="366">
        <v>1.9E-2</v>
      </c>
      <c r="H148" s="583">
        <f>IF($D148&lt;&gt;"",VLOOKUP($D148,'SINAPI MAIO 2020'!$1:$1048576,4,FALSE),"")</f>
        <v>14.97</v>
      </c>
      <c r="I148" s="584">
        <f>TRUNC(H148*G148,2)</f>
        <v>0.28000000000000003</v>
      </c>
    </row>
    <row r="149" spans="2:9" ht="25.5">
      <c r="B149" s="548" t="s">
        <v>835</v>
      </c>
      <c r="C149" s="364" t="s">
        <v>8</v>
      </c>
      <c r="D149" s="364">
        <v>11781</v>
      </c>
      <c r="E149" s="334" t="str">
        <f>IF($D149&lt;&gt;"",VLOOKUP($D149,'SINAPI MAIO 2020'!$1:$1048576,2,FALSE),"")</f>
        <v>VALVULA DE DESCARGA METALICA, BASE 1 1/4 " E ACABAMENTO METALICO CROMADO</v>
      </c>
      <c r="F149" s="335" t="str">
        <f>IF($D149&lt;&gt;"",VLOOKUP($D149,'SINAPI MAIO 2020'!$1:$1048576,3,FALSE),"")</f>
        <v xml:space="preserve">UN    </v>
      </c>
      <c r="G149" s="366">
        <v>1</v>
      </c>
      <c r="H149" s="583">
        <f>IF($D149&lt;&gt;"",VLOOKUP($D149,'SINAPI MAIO 2020'!$1:$1048576,4,FALSE),"")</f>
        <v>129.66</v>
      </c>
      <c r="I149" s="584">
        <f>TRUNC(H149*G149,2)</f>
        <v>129.66</v>
      </c>
    </row>
    <row r="150" spans="2:9">
      <c r="B150" s="543"/>
      <c r="C150" s="151"/>
      <c r="D150" s="351"/>
      <c r="E150" s="417"/>
      <c r="F150" s="151"/>
      <c r="G150" s="524"/>
      <c r="H150" s="585"/>
      <c r="I150" s="379"/>
    </row>
    <row r="151" spans="2:9" ht="25.5">
      <c r="B151" s="545" t="s">
        <v>12456</v>
      </c>
      <c r="C151" s="365"/>
      <c r="D151" s="365"/>
      <c r="E151" s="362" t="str">
        <f>E155</f>
        <v>BUCHA DE REDUCAO DE PVC, SOLDAVEL, LONGA, COM 50 X 32 MM, PARA AGUA FRIA PREDIAL</v>
      </c>
      <c r="F151" s="363" t="s">
        <v>35</v>
      </c>
      <c r="G151" s="564" t="s">
        <v>5339</v>
      </c>
      <c r="H151" s="581"/>
      <c r="I151" s="582">
        <f>TRUNC(SUM(I152:I157),2)</f>
        <v>9.36</v>
      </c>
    </row>
    <row r="152" spans="2:9" ht="25.5">
      <c r="B152" s="548" t="s">
        <v>858</v>
      </c>
      <c r="C152" s="364" t="s">
        <v>8</v>
      </c>
      <c r="D152" s="364">
        <v>88248</v>
      </c>
      <c r="E152" s="334" t="str">
        <f>IF($D152&lt;&gt;"",VLOOKUP($D152,'SINAPI MAIO 2020'!$1:$1048576,2,FALSE),"")</f>
        <v>AUXILIAR DE ENCANADOR OU BOMBEIRO HIDRÁULICO COM ENCARGOS COMPLEMENTARES</v>
      </c>
      <c r="F152" s="335" t="str">
        <f>IF($D152&lt;&gt;"",VLOOKUP($D152,'SINAPI MAIO 2020'!$1:$1048576,3,FALSE),"")</f>
        <v>H</v>
      </c>
      <c r="G152" s="366">
        <v>0.11899999999999999</v>
      </c>
      <c r="H152" s="583">
        <f>IF($D152&lt;&gt;"",VLOOKUP($D152,'SINAPI MAIO 2020'!$1:$1048576,4,FALSE),"")</f>
        <v>13.87</v>
      </c>
      <c r="I152" s="584">
        <f>TRUNC(H152*G152,2)</f>
        <v>1.65</v>
      </c>
    </row>
    <row r="153" spans="2:9" ht="25.5">
      <c r="B153" s="548" t="s">
        <v>858</v>
      </c>
      <c r="C153" s="364" t="s">
        <v>8</v>
      </c>
      <c r="D153" s="364">
        <v>88267</v>
      </c>
      <c r="E153" s="334" t="str">
        <f>IF($D153&lt;&gt;"",VLOOKUP($D153,'SINAPI MAIO 2020'!$1:$1048576,2,FALSE),"")</f>
        <v>ENCANADOR OU BOMBEIRO HIDRÁULICO COM ENCARGOS COMPLEMENTARES</v>
      </c>
      <c r="F153" s="335" t="str">
        <f>IF($D153&lt;&gt;"",VLOOKUP($D153,'SINAPI MAIO 2020'!$1:$1048576,3,FALSE),"")</f>
        <v>H</v>
      </c>
      <c r="G153" s="366">
        <v>0.11899999999999999</v>
      </c>
      <c r="H153" s="583">
        <f>IF($D153&lt;&gt;"",VLOOKUP($D153,'SINAPI MAIO 2020'!$1:$1048576,4,FALSE),"")</f>
        <v>17.79</v>
      </c>
      <c r="I153" s="584">
        <f>TRUNC(H153*G153,2)</f>
        <v>2.11</v>
      </c>
    </row>
    <row r="154" spans="2:9">
      <c r="B154" s="548" t="s">
        <v>835</v>
      </c>
      <c r="C154" s="364" t="s">
        <v>8</v>
      </c>
      <c r="D154" s="364">
        <v>122</v>
      </c>
      <c r="E154" s="334" t="str">
        <f>IF($D154&lt;&gt;"",VLOOKUP($D154,'SINAPI MAIO 2020'!$1:$1048576,2,FALSE),"")</f>
        <v>ADESIVO PLASTICO PARA PVC, FRASCO COM 850 GR</v>
      </c>
      <c r="F154" s="335" t="str">
        <f>IF($D154&lt;&gt;"",VLOOKUP($D154,'SINAPI MAIO 2020'!$1:$1048576,3,FALSE),"")</f>
        <v xml:space="preserve">UN    </v>
      </c>
      <c r="G154" s="366">
        <v>8.9999999999999993E-3</v>
      </c>
      <c r="H154" s="583">
        <f>IF($D154&lt;&gt;"",VLOOKUP($D154,'SINAPI MAIO 2020'!$1:$1048576,4,FALSE),"")</f>
        <v>79.94</v>
      </c>
      <c r="I154" s="584">
        <f>TRUNC(H154*G154,2)</f>
        <v>0.71</v>
      </c>
    </row>
    <row r="155" spans="2:9" ht="25.5">
      <c r="B155" s="548" t="s">
        <v>835</v>
      </c>
      <c r="C155" s="364" t="s">
        <v>8</v>
      </c>
      <c r="D155" s="364">
        <v>820</v>
      </c>
      <c r="E155" s="334" t="str">
        <f>IF($D155&lt;&gt;"",VLOOKUP($D155,'SINAPI MAIO 2020'!$1:$1048576,2,FALSE),"")</f>
        <v>BUCHA DE REDUCAO DE PVC, SOLDAVEL, LONGA, COM 50 X 32 MM, PARA AGUA FRIA PREDIAL</v>
      </c>
      <c r="F155" s="335" t="str">
        <f>IF($D155&lt;&gt;"",VLOOKUP($D155,'SINAPI MAIO 2020'!$1:$1048576,3,FALSE),"")</f>
        <v xml:space="preserve">UN    </v>
      </c>
      <c r="G155" s="366">
        <v>1</v>
      </c>
      <c r="H155" s="583">
        <f>IF($D155&lt;&gt;"",VLOOKUP($D155,'SINAPI MAIO 2020'!$1:$1048576,4,FALSE),"")</f>
        <v>4.0199999999999996</v>
      </c>
      <c r="I155" s="584">
        <f>TRUNC(H155*G155,2)</f>
        <v>4.0199999999999996</v>
      </c>
    </row>
    <row r="156" spans="2:9">
      <c r="B156" s="548" t="s">
        <v>835</v>
      </c>
      <c r="C156" s="364" t="s">
        <v>8</v>
      </c>
      <c r="D156" s="351">
        <v>20083</v>
      </c>
      <c r="E156" s="334" t="str">
        <f>IF($D156&lt;&gt;"",VLOOKUP($D156,'SINAPI MAIO 2020'!$1:$1048576,2,FALSE),"")</f>
        <v>SOLUCAO LIMPADORA PARA PVC, FRASCO COM 1000 CM3</v>
      </c>
      <c r="F156" s="335" t="str">
        <f>IF($D156&lt;&gt;"",VLOOKUP($D156,'SINAPI MAIO 2020'!$1:$1048576,3,FALSE),"")</f>
        <v xml:space="preserve">UN    </v>
      </c>
      <c r="G156" s="524">
        <v>1.0999999999999999E-2</v>
      </c>
      <c r="H156" s="583">
        <f>IF($D156&lt;&gt;"",VLOOKUP($D156,'SINAPI MAIO 2020'!$1:$1048576,4,FALSE),"")</f>
        <v>69.42</v>
      </c>
      <c r="I156" s="584">
        <f t="shared" ref="I156:I157" si="17">TRUNC(H156*G156,2)</f>
        <v>0.76</v>
      </c>
    </row>
    <row r="157" spans="2:9">
      <c r="B157" s="548" t="s">
        <v>835</v>
      </c>
      <c r="C157" s="364" t="s">
        <v>8</v>
      </c>
      <c r="D157" s="351">
        <v>38383</v>
      </c>
      <c r="E157" s="334" t="str">
        <f>IF($D157&lt;&gt;"",VLOOKUP($D157,'SINAPI MAIO 2020'!$1:$1048576,2,FALSE),"")</f>
        <v>LIXA D'AGUA EM FOLHA, GRAO 100</v>
      </c>
      <c r="F157" s="335" t="str">
        <f>IF($D157&lt;&gt;"",VLOOKUP($D157,'SINAPI MAIO 2020'!$1:$1048576,3,FALSE),"")</f>
        <v xml:space="preserve">UN    </v>
      </c>
      <c r="G157" s="524">
        <v>0.06</v>
      </c>
      <c r="H157" s="583">
        <f>IF($D157&lt;&gt;"",VLOOKUP($D157,'SINAPI MAIO 2020'!$1:$1048576,4,FALSE),"")</f>
        <v>1.93</v>
      </c>
      <c r="I157" s="584">
        <f t="shared" si="17"/>
        <v>0.11</v>
      </c>
    </row>
    <row r="158" spans="2:9">
      <c r="B158" s="543"/>
      <c r="C158" s="151"/>
      <c r="D158" s="351"/>
      <c r="E158" s="417"/>
      <c r="F158" s="151"/>
      <c r="G158" s="524"/>
      <c r="H158" s="585"/>
      <c r="I158" s="379"/>
    </row>
    <row r="159" spans="2:9">
      <c r="B159" s="543"/>
      <c r="C159" s="151"/>
      <c r="D159" s="351"/>
      <c r="E159" s="417"/>
      <c r="F159" s="151"/>
      <c r="G159" s="524"/>
      <c r="H159" s="585"/>
      <c r="I159" s="379"/>
    </row>
    <row r="160" spans="2:9" ht="25.5">
      <c r="B160" s="545" t="s">
        <v>12457</v>
      </c>
      <c r="C160" s="365"/>
      <c r="D160" s="365"/>
      <c r="E160" s="362" t="str">
        <f>E164</f>
        <v>BUCHA DE REDUCAO DE PVC, SOLDAVEL, CURTA, COM 50 X 40 MM, PARA AGUA FRIA PREDIAL</v>
      </c>
      <c r="F160" s="363" t="s">
        <v>35</v>
      </c>
      <c r="G160" s="564" t="s">
        <v>5339</v>
      </c>
      <c r="H160" s="581"/>
      <c r="I160" s="582">
        <f>TRUNC(SUM(I161:I166),2)</f>
        <v>7.78</v>
      </c>
    </row>
    <row r="161" spans="2:9" ht="25.5">
      <c r="B161" s="548" t="s">
        <v>858</v>
      </c>
      <c r="C161" s="364" t="s">
        <v>8</v>
      </c>
      <c r="D161" s="364">
        <v>88248</v>
      </c>
      <c r="E161" s="334" t="str">
        <f>IF($D161&lt;&gt;"",VLOOKUP($D161,'SINAPI MAIO 2020'!$1:$1048576,2,FALSE),"")</f>
        <v>AUXILIAR DE ENCANADOR OU BOMBEIRO HIDRÁULICO COM ENCARGOS COMPLEMENTARES</v>
      </c>
      <c r="F161" s="335" t="str">
        <f>IF($D161&lt;&gt;"",VLOOKUP($D161,'SINAPI MAIO 2020'!$1:$1048576,3,FALSE),"")</f>
        <v>H</v>
      </c>
      <c r="G161" s="366">
        <v>0.11899999999999999</v>
      </c>
      <c r="H161" s="583">
        <f>IF($D161&lt;&gt;"",VLOOKUP($D161,'SINAPI MAIO 2020'!$1:$1048576,4,FALSE),"")</f>
        <v>13.87</v>
      </c>
      <c r="I161" s="584">
        <f>TRUNC(H161*G161,2)</f>
        <v>1.65</v>
      </c>
    </row>
    <row r="162" spans="2:9" ht="25.5">
      <c r="B162" s="548" t="s">
        <v>858</v>
      </c>
      <c r="C162" s="364" t="s">
        <v>8</v>
      </c>
      <c r="D162" s="364">
        <v>88267</v>
      </c>
      <c r="E162" s="334" t="str">
        <f>IF($D162&lt;&gt;"",VLOOKUP($D162,'SINAPI MAIO 2020'!$1:$1048576,2,FALSE),"")</f>
        <v>ENCANADOR OU BOMBEIRO HIDRÁULICO COM ENCARGOS COMPLEMENTARES</v>
      </c>
      <c r="F162" s="335" t="str">
        <f>IF($D162&lt;&gt;"",VLOOKUP($D162,'SINAPI MAIO 2020'!$1:$1048576,3,FALSE),"")</f>
        <v>H</v>
      </c>
      <c r="G162" s="366">
        <v>0.11899999999999999</v>
      </c>
      <c r="H162" s="583">
        <f>IF($D162&lt;&gt;"",VLOOKUP($D162,'SINAPI MAIO 2020'!$1:$1048576,4,FALSE),"")</f>
        <v>17.79</v>
      </c>
      <c r="I162" s="584">
        <f>TRUNC(H162*G162,2)</f>
        <v>2.11</v>
      </c>
    </row>
    <row r="163" spans="2:9">
      <c r="B163" s="548" t="s">
        <v>835</v>
      </c>
      <c r="C163" s="364" t="s">
        <v>8</v>
      </c>
      <c r="D163" s="364">
        <v>122</v>
      </c>
      <c r="E163" s="334" t="str">
        <f>IF($D163&lt;&gt;"",VLOOKUP($D163,'SINAPI MAIO 2020'!$1:$1048576,2,FALSE),"")</f>
        <v>ADESIVO PLASTICO PARA PVC, FRASCO COM 850 GR</v>
      </c>
      <c r="F163" s="335" t="str">
        <f>IF($D163&lt;&gt;"",VLOOKUP($D163,'SINAPI MAIO 2020'!$1:$1048576,3,FALSE),"")</f>
        <v xml:space="preserve">UN    </v>
      </c>
      <c r="G163" s="366">
        <v>8.9999999999999993E-3</v>
      </c>
      <c r="H163" s="583">
        <f>IF($D163&lt;&gt;"",VLOOKUP($D163,'SINAPI MAIO 2020'!$1:$1048576,4,FALSE),"")</f>
        <v>79.94</v>
      </c>
      <c r="I163" s="584">
        <f>TRUNC(H163*G163,2)</f>
        <v>0.71</v>
      </c>
    </row>
    <row r="164" spans="2:9" ht="25.5">
      <c r="B164" s="548" t="s">
        <v>835</v>
      </c>
      <c r="C164" s="364" t="s">
        <v>8</v>
      </c>
      <c r="D164" s="364">
        <v>819</v>
      </c>
      <c r="E164" s="334" t="str">
        <f>IF($D164&lt;&gt;"",VLOOKUP($D164,'SINAPI MAIO 2020'!$1:$1048576,2,FALSE),"")</f>
        <v>BUCHA DE REDUCAO DE PVC, SOLDAVEL, CURTA, COM 50 X 40 MM, PARA AGUA FRIA PREDIAL</v>
      </c>
      <c r="F164" s="335" t="str">
        <f>IF($D164&lt;&gt;"",VLOOKUP($D164,'SINAPI MAIO 2020'!$1:$1048576,3,FALSE),"")</f>
        <v xml:space="preserve">UN    </v>
      </c>
      <c r="G164" s="366">
        <v>1</v>
      </c>
      <c r="H164" s="583">
        <f>IF($D164&lt;&gt;"",VLOOKUP($D164,'SINAPI MAIO 2020'!$1:$1048576,4,FALSE),"")</f>
        <v>2.44</v>
      </c>
      <c r="I164" s="584">
        <f>TRUNC(H164*G164,2)</f>
        <v>2.44</v>
      </c>
    </row>
    <row r="165" spans="2:9">
      <c r="B165" s="548" t="s">
        <v>835</v>
      </c>
      <c r="C165" s="364" t="s">
        <v>8</v>
      </c>
      <c r="D165" s="351">
        <v>20083</v>
      </c>
      <c r="E165" s="334" t="str">
        <f>IF($D165&lt;&gt;"",VLOOKUP($D165,'SINAPI MAIO 2020'!$1:$1048576,2,FALSE),"")</f>
        <v>SOLUCAO LIMPADORA PARA PVC, FRASCO COM 1000 CM3</v>
      </c>
      <c r="F165" s="335" t="str">
        <f>IF($D165&lt;&gt;"",VLOOKUP($D165,'SINAPI MAIO 2020'!$1:$1048576,3,FALSE),"")</f>
        <v xml:space="preserve">UN    </v>
      </c>
      <c r="G165" s="524">
        <v>1.0999999999999999E-2</v>
      </c>
      <c r="H165" s="583">
        <f>IF($D165&lt;&gt;"",VLOOKUP($D165,'SINAPI MAIO 2020'!$1:$1048576,4,FALSE),"")</f>
        <v>69.42</v>
      </c>
      <c r="I165" s="584">
        <f t="shared" ref="I165:I166" si="18">TRUNC(H165*G165,2)</f>
        <v>0.76</v>
      </c>
    </row>
    <row r="166" spans="2:9">
      <c r="B166" s="548" t="s">
        <v>835</v>
      </c>
      <c r="C166" s="364" t="s">
        <v>8</v>
      </c>
      <c r="D166" s="351">
        <v>38383</v>
      </c>
      <c r="E166" s="334" t="str">
        <f>IF($D166&lt;&gt;"",VLOOKUP($D166,'SINAPI MAIO 2020'!$1:$1048576,2,FALSE),"")</f>
        <v>LIXA D'AGUA EM FOLHA, GRAO 100</v>
      </c>
      <c r="F166" s="335" t="str">
        <f>IF($D166&lt;&gt;"",VLOOKUP($D166,'SINAPI MAIO 2020'!$1:$1048576,3,FALSE),"")</f>
        <v xml:space="preserve">UN    </v>
      </c>
      <c r="G166" s="524">
        <v>0.06</v>
      </c>
      <c r="H166" s="583">
        <f>IF($D166&lt;&gt;"",VLOOKUP($D166,'SINAPI MAIO 2020'!$1:$1048576,4,FALSE),"")</f>
        <v>1.93</v>
      </c>
      <c r="I166" s="584">
        <f t="shared" si="18"/>
        <v>0.11</v>
      </c>
    </row>
    <row r="167" spans="2:9">
      <c r="B167" s="543"/>
      <c r="C167" s="151"/>
      <c r="D167" s="351"/>
      <c r="E167" s="417"/>
      <c r="F167" s="151"/>
      <c r="G167" s="524"/>
      <c r="H167" s="585"/>
      <c r="I167" s="379"/>
    </row>
    <row r="168" spans="2:9" ht="25.5">
      <c r="B168" s="545" t="s">
        <v>12458</v>
      </c>
      <c r="C168" s="365"/>
      <c r="D168" s="365"/>
      <c r="E168" s="362" t="str">
        <f>E172</f>
        <v>TE PVC, SOLDAVEL, COM BUCHA DE LATAO NA BOLSA CENTRAL, 90 GRAUS, 25 MM X 1/2", PARA AGUA FRIA PREDIAL</v>
      </c>
      <c r="F168" s="363" t="s">
        <v>35</v>
      </c>
      <c r="G168" s="564" t="s">
        <v>5339</v>
      </c>
      <c r="H168" s="581"/>
      <c r="I168" s="582">
        <f>TRUNC(SUM(I169:I174),2)</f>
        <v>17.66</v>
      </c>
    </row>
    <row r="169" spans="2:9" ht="25.5">
      <c r="B169" s="548" t="s">
        <v>858</v>
      </c>
      <c r="C169" s="364" t="s">
        <v>8</v>
      </c>
      <c r="D169" s="364">
        <v>88248</v>
      </c>
      <c r="E169" s="334" t="str">
        <f>IF($D169&lt;&gt;"",VLOOKUP($D169,'SINAPI MAIO 2020'!$1:$1048576,2,FALSE),"")</f>
        <v>AUXILIAR DE ENCANADOR OU BOMBEIRO HIDRÁULICO COM ENCARGOS COMPLEMENTARES</v>
      </c>
      <c r="F169" s="335" t="str">
        <f>IF($D169&lt;&gt;"",VLOOKUP($D169,'SINAPI MAIO 2020'!$1:$1048576,3,FALSE),"")</f>
        <v>H</v>
      </c>
      <c r="G169" s="366">
        <v>0.15</v>
      </c>
      <c r="H169" s="583">
        <f>IF($D169&lt;&gt;"",VLOOKUP($D169,'SINAPI MAIO 2020'!$1:$1048576,4,FALSE),"")</f>
        <v>13.87</v>
      </c>
      <c r="I169" s="584">
        <f>TRUNC(H169*G169,2)</f>
        <v>2.08</v>
      </c>
    </row>
    <row r="170" spans="2:9" ht="25.5">
      <c r="B170" s="548" t="s">
        <v>858</v>
      </c>
      <c r="C170" s="364" t="s">
        <v>8</v>
      </c>
      <c r="D170" s="364">
        <v>88267</v>
      </c>
      <c r="E170" s="334" t="str">
        <f>IF($D170&lt;&gt;"",VLOOKUP($D170,'SINAPI MAIO 2020'!$1:$1048576,2,FALSE),"")</f>
        <v>ENCANADOR OU BOMBEIRO HIDRÁULICO COM ENCARGOS COMPLEMENTARES</v>
      </c>
      <c r="F170" s="335" t="str">
        <f>IF($D170&lt;&gt;"",VLOOKUP($D170,'SINAPI MAIO 2020'!$1:$1048576,3,FALSE),"")</f>
        <v>H</v>
      </c>
      <c r="G170" s="366">
        <v>0.15</v>
      </c>
      <c r="H170" s="583">
        <f>IF($D170&lt;&gt;"",VLOOKUP($D170,'SINAPI MAIO 2020'!$1:$1048576,4,FALSE),"")</f>
        <v>17.79</v>
      </c>
      <c r="I170" s="584">
        <f>TRUNC(H170*G170,2)</f>
        <v>2.66</v>
      </c>
    </row>
    <row r="171" spans="2:9">
      <c r="B171" s="548" t="s">
        <v>835</v>
      </c>
      <c r="C171" s="364" t="s">
        <v>8</v>
      </c>
      <c r="D171" s="364">
        <v>122</v>
      </c>
      <c r="E171" s="334" t="str">
        <f>IF($D171&lt;&gt;"",VLOOKUP($D171,'SINAPI MAIO 2020'!$1:$1048576,2,FALSE),"")</f>
        <v>ADESIVO PLASTICO PARA PVC, FRASCO COM 850 GR</v>
      </c>
      <c r="F171" s="335" t="str">
        <f>IF($D171&lt;&gt;"",VLOOKUP($D171,'SINAPI MAIO 2020'!$1:$1048576,3,FALSE),"")</f>
        <v xml:space="preserve">UN    </v>
      </c>
      <c r="G171" s="366">
        <v>7.0000000000000007E-2</v>
      </c>
      <c r="H171" s="583">
        <f>IF($D171&lt;&gt;"",VLOOKUP($D171,'SINAPI MAIO 2020'!$1:$1048576,4,FALSE),"")</f>
        <v>79.94</v>
      </c>
      <c r="I171" s="584">
        <f>TRUNC(H171*G171,2)</f>
        <v>5.59</v>
      </c>
    </row>
    <row r="172" spans="2:9" ht="30" customHeight="1">
      <c r="B172" s="548" t="s">
        <v>835</v>
      </c>
      <c r="C172" s="364" t="s">
        <v>8</v>
      </c>
      <c r="D172" s="364">
        <v>7137</v>
      </c>
      <c r="E172" s="334" t="str">
        <f>IF($D172&lt;&gt;"",VLOOKUP($D172,'SINAPI MAIO 2020'!$1:$1048576,2,FALSE),"")</f>
        <v>TE PVC, SOLDAVEL, COM BUCHA DE LATAO NA BOLSA CENTRAL, 90 GRAUS, 25 MM X 1/2", PARA AGUA FRIA PREDIAL</v>
      </c>
      <c r="F172" s="335" t="str">
        <f>IF($D172&lt;&gt;"",VLOOKUP($D172,'SINAPI MAIO 2020'!$1:$1048576,3,FALSE),"")</f>
        <v xml:space="preserve">UN    </v>
      </c>
      <c r="G172" s="366">
        <v>1</v>
      </c>
      <c r="H172" s="583">
        <f>IF($D172&lt;&gt;"",VLOOKUP($D172,'SINAPI MAIO 2020'!$1:$1048576,4,FALSE),"")</f>
        <v>6.68</v>
      </c>
      <c r="I172" s="584">
        <f>TRUNC(H172*G172,2)</f>
        <v>6.68</v>
      </c>
    </row>
    <row r="173" spans="2:9">
      <c r="B173" s="548" t="s">
        <v>835</v>
      </c>
      <c r="C173" s="364" t="s">
        <v>8</v>
      </c>
      <c r="D173" s="351">
        <v>20083</v>
      </c>
      <c r="E173" s="334" t="str">
        <f>IF($D173&lt;&gt;"",VLOOKUP($D173,'SINAPI MAIO 2020'!$1:$1048576,2,FALSE),"")</f>
        <v>SOLUCAO LIMPADORA PARA PVC, FRASCO COM 1000 CM3</v>
      </c>
      <c r="F173" s="335" t="str">
        <f>IF($D173&lt;&gt;"",VLOOKUP($D173,'SINAPI MAIO 2020'!$1:$1048576,3,FALSE),"")</f>
        <v xml:space="preserve">UN    </v>
      </c>
      <c r="G173" s="524">
        <v>8.0000000000000002E-3</v>
      </c>
      <c r="H173" s="583">
        <f>IF($D173&lt;&gt;"",VLOOKUP($D173,'SINAPI MAIO 2020'!$1:$1048576,4,FALSE),"")</f>
        <v>69.42</v>
      </c>
      <c r="I173" s="584">
        <f t="shared" ref="I173:I174" si="19">TRUNC(H173*G173,2)</f>
        <v>0.55000000000000004</v>
      </c>
    </row>
    <row r="174" spans="2:9">
      <c r="B174" s="548" t="s">
        <v>835</v>
      </c>
      <c r="C174" s="364" t="s">
        <v>8</v>
      </c>
      <c r="D174" s="351">
        <v>38383</v>
      </c>
      <c r="E174" s="334" t="str">
        <f>IF($D174&lt;&gt;"",VLOOKUP($D174,'SINAPI MAIO 2020'!$1:$1048576,2,FALSE),"")</f>
        <v>LIXA D'AGUA EM FOLHA, GRAO 100</v>
      </c>
      <c r="F174" s="335" t="str">
        <f>IF($D174&lt;&gt;"",VLOOKUP($D174,'SINAPI MAIO 2020'!$1:$1048576,3,FALSE),"")</f>
        <v xml:space="preserve">UN    </v>
      </c>
      <c r="G174" s="524">
        <v>5.2999999999999999E-2</v>
      </c>
      <c r="H174" s="583">
        <f>IF($D174&lt;&gt;"",VLOOKUP($D174,'SINAPI MAIO 2020'!$1:$1048576,4,FALSE),"")</f>
        <v>1.93</v>
      </c>
      <c r="I174" s="584">
        <f t="shared" si="19"/>
        <v>0.1</v>
      </c>
    </row>
    <row r="175" spans="2:9">
      <c r="B175" s="543"/>
      <c r="C175" s="151"/>
      <c r="D175" s="351"/>
      <c r="E175" s="417"/>
      <c r="F175" s="151"/>
      <c r="G175" s="524"/>
      <c r="H175" s="585"/>
      <c r="I175" s="379"/>
    </row>
    <row r="176" spans="2:9" ht="25.5">
      <c r="B176" s="545" t="s">
        <v>12459</v>
      </c>
      <c r="C176" s="365"/>
      <c r="D176" s="365"/>
      <c r="E176" s="362" t="s">
        <v>6149</v>
      </c>
      <c r="F176" s="363" t="s">
        <v>35</v>
      </c>
      <c r="G176" s="564" t="s">
        <v>5339</v>
      </c>
      <c r="H176" s="581"/>
      <c r="I176" s="582">
        <f>TRUNC(SUM(I177:I182),2)</f>
        <v>22.13</v>
      </c>
    </row>
    <row r="177" spans="2:9" ht="25.5">
      <c r="B177" s="548" t="s">
        <v>858</v>
      </c>
      <c r="C177" s="364" t="s">
        <v>8</v>
      </c>
      <c r="D177" s="364">
        <v>88248</v>
      </c>
      <c r="E177" s="334" t="str">
        <f>IF($D177&lt;&gt;"",VLOOKUP($D177,'SINAPI MAIO 2020'!$1:$1048576,2,FALSE),"")</f>
        <v>AUXILIAR DE ENCANADOR OU BOMBEIRO HIDRÁULICO COM ENCARGOS COMPLEMENTARES</v>
      </c>
      <c r="F177" s="335" t="str">
        <f>IF($D177&lt;&gt;"",VLOOKUP($D177,'SINAPI MAIO 2020'!$1:$1048576,3,FALSE),"")</f>
        <v>H</v>
      </c>
      <c r="G177" s="366">
        <v>0.15</v>
      </c>
      <c r="H177" s="583">
        <f>IF($D177&lt;&gt;"",VLOOKUP($D177,'SINAPI MAIO 2020'!$1:$1048576,4,FALSE),"")</f>
        <v>13.87</v>
      </c>
      <c r="I177" s="584">
        <f>TRUNC(H177*G177,2)</f>
        <v>2.08</v>
      </c>
    </row>
    <row r="178" spans="2:9" ht="25.5">
      <c r="B178" s="548" t="s">
        <v>858</v>
      </c>
      <c r="C178" s="364" t="s">
        <v>8</v>
      </c>
      <c r="D178" s="364">
        <v>88267</v>
      </c>
      <c r="E178" s="334" t="str">
        <f>IF($D178&lt;&gt;"",VLOOKUP($D178,'SINAPI MAIO 2020'!$1:$1048576,2,FALSE),"")</f>
        <v>ENCANADOR OU BOMBEIRO HIDRÁULICO COM ENCARGOS COMPLEMENTARES</v>
      </c>
      <c r="F178" s="335" t="str">
        <f>IF($D178&lt;&gt;"",VLOOKUP($D178,'SINAPI MAIO 2020'!$1:$1048576,3,FALSE),"")</f>
        <v>H</v>
      </c>
      <c r="G178" s="366">
        <v>0.15</v>
      </c>
      <c r="H178" s="583">
        <f>IF($D178&lt;&gt;"",VLOOKUP($D178,'SINAPI MAIO 2020'!$1:$1048576,4,FALSE),"")</f>
        <v>17.79</v>
      </c>
      <c r="I178" s="584">
        <f>TRUNC(H178*G178,2)</f>
        <v>2.66</v>
      </c>
    </row>
    <row r="179" spans="2:9">
      <c r="B179" s="548" t="s">
        <v>835</v>
      </c>
      <c r="C179" s="364" t="s">
        <v>8</v>
      </c>
      <c r="D179" s="364">
        <v>122</v>
      </c>
      <c r="E179" s="334" t="str">
        <f>IF($D179&lt;&gt;"",VLOOKUP($D179,'SINAPI MAIO 2020'!$1:$1048576,2,FALSE),"")</f>
        <v>ADESIVO PLASTICO PARA PVC, FRASCO COM 850 GR</v>
      </c>
      <c r="F179" s="335" t="str">
        <f>IF($D179&lt;&gt;"",VLOOKUP($D179,'SINAPI MAIO 2020'!$1:$1048576,3,FALSE),"")</f>
        <v xml:space="preserve">UN    </v>
      </c>
      <c r="G179" s="366">
        <v>7.0000000000000007E-2</v>
      </c>
      <c r="H179" s="583">
        <f>IF($D179&lt;&gt;"",VLOOKUP($D179,'SINAPI MAIO 2020'!$1:$1048576,4,FALSE),"")</f>
        <v>79.94</v>
      </c>
      <c r="I179" s="584">
        <f>TRUNC(H179*G179,2)</f>
        <v>5.59</v>
      </c>
    </row>
    <row r="180" spans="2:9" ht="25.5">
      <c r="B180" s="548" t="s">
        <v>835</v>
      </c>
      <c r="C180" s="364" t="s">
        <v>8</v>
      </c>
      <c r="D180" s="364">
        <v>3497</v>
      </c>
      <c r="E180" s="334" t="str">
        <f>IF($D180&lt;&gt;"",VLOOKUP($D180,'SINAPI MAIO 2020'!$1:$1048576,2,FALSE),"")</f>
        <v>JOELHO DE REDUCAO, PVC, ROSCAVEL COM BUCHA DE LATAO, 90 GRAUS,  3/4" X 1/2", PARA AGUA FRIA PREDIAL</v>
      </c>
      <c r="F180" s="335" t="str">
        <f>IF($D180&lt;&gt;"",VLOOKUP($D180,'SINAPI MAIO 2020'!$1:$1048576,3,FALSE),"")</f>
        <v xml:space="preserve">UN    </v>
      </c>
      <c r="G180" s="366">
        <v>1</v>
      </c>
      <c r="H180" s="583">
        <f>IF($D180&lt;&gt;"",VLOOKUP($D180,'SINAPI MAIO 2020'!$1:$1048576,4,FALSE),"")</f>
        <v>11.15</v>
      </c>
      <c r="I180" s="584">
        <f>TRUNC(H180*G180,2)</f>
        <v>11.15</v>
      </c>
    </row>
    <row r="181" spans="2:9">
      <c r="B181" s="548" t="s">
        <v>835</v>
      </c>
      <c r="C181" s="364" t="s">
        <v>8</v>
      </c>
      <c r="D181" s="351">
        <v>20083</v>
      </c>
      <c r="E181" s="334" t="str">
        <f>IF($D181&lt;&gt;"",VLOOKUP($D181,'SINAPI MAIO 2020'!$1:$1048576,2,FALSE),"")</f>
        <v>SOLUCAO LIMPADORA PARA PVC, FRASCO COM 1000 CM3</v>
      </c>
      <c r="F181" s="335" t="str">
        <f>IF($D181&lt;&gt;"",VLOOKUP($D181,'SINAPI MAIO 2020'!$1:$1048576,3,FALSE),"")</f>
        <v xml:space="preserve">UN    </v>
      </c>
      <c r="G181" s="524">
        <v>8.0000000000000002E-3</v>
      </c>
      <c r="H181" s="583">
        <f>IF($D181&lt;&gt;"",VLOOKUP($D181,'SINAPI MAIO 2020'!$1:$1048576,4,FALSE),"")</f>
        <v>69.42</v>
      </c>
      <c r="I181" s="584">
        <f t="shared" ref="I181:I182" si="20">TRUNC(H181*G181,2)</f>
        <v>0.55000000000000004</v>
      </c>
    </row>
    <row r="182" spans="2:9">
      <c r="B182" s="548" t="s">
        <v>835</v>
      </c>
      <c r="C182" s="364" t="s">
        <v>8</v>
      </c>
      <c r="D182" s="351">
        <v>38383</v>
      </c>
      <c r="E182" s="334" t="str">
        <f>IF($D182&lt;&gt;"",VLOOKUP($D182,'SINAPI MAIO 2020'!$1:$1048576,2,FALSE),"")</f>
        <v>LIXA D'AGUA EM FOLHA, GRAO 100</v>
      </c>
      <c r="F182" s="335" t="str">
        <f>IF($D182&lt;&gt;"",VLOOKUP($D182,'SINAPI MAIO 2020'!$1:$1048576,3,FALSE),"")</f>
        <v xml:space="preserve">UN    </v>
      </c>
      <c r="G182" s="524">
        <v>5.2999999999999999E-2</v>
      </c>
      <c r="H182" s="583">
        <f>IF($D182&lt;&gt;"",VLOOKUP($D182,'SINAPI MAIO 2020'!$1:$1048576,4,FALSE),"")</f>
        <v>1.93</v>
      </c>
      <c r="I182" s="584">
        <f t="shared" si="20"/>
        <v>0.1</v>
      </c>
    </row>
    <row r="183" spans="2:9">
      <c r="B183" s="544"/>
      <c r="C183" s="514"/>
      <c r="D183" s="514"/>
      <c r="E183" s="515"/>
      <c r="F183" s="514"/>
      <c r="G183" s="560"/>
      <c r="H183" s="585"/>
      <c r="I183" s="585"/>
    </row>
    <row r="184" spans="2:9" ht="30">
      <c r="B184" s="205" t="s">
        <v>12561</v>
      </c>
      <c r="C184" s="513"/>
      <c r="D184" s="513"/>
      <c r="E184" s="519" t="s">
        <v>14807</v>
      </c>
      <c r="F184" s="155" t="s">
        <v>817</v>
      </c>
      <c r="G184" s="367">
        <v>1</v>
      </c>
      <c r="H184" s="589"/>
      <c r="I184" s="590">
        <f>SUM(I186:I223)</f>
        <v>42409.560000000005</v>
      </c>
    </row>
    <row r="185" spans="2:9">
      <c r="B185" s="549"/>
      <c r="C185" s="417"/>
      <c r="D185" s="417"/>
      <c r="E185" s="418" t="s">
        <v>14808</v>
      </c>
      <c r="F185" s="417"/>
      <c r="G185" s="565"/>
      <c r="H185" s="565"/>
      <c r="I185" s="565"/>
    </row>
    <row r="186" spans="2:9" ht="25.5">
      <c r="B186" s="543" t="s">
        <v>858</v>
      </c>
      <c r="C186" s="151" t="s">
        <v>8</v>
      </c>
      <c r="D186" s="419">
        <v>93358</v>
      </c>
      <c r="E186" s="334" t="str">
        <f>IF($D186&lt;&gt;"",VLOOKUP($D186,'SINAPI MAIO 2020'!$1:$1048576,2,FALSE),"")</f>
        <v>ESCAVAÇÃO MANUAL DE VALA COM PROFUNDIDADE MENOR OU IGUAL A 1,30 M. AF_03/2016</v>
      </c>
      <c r="F186" s="335" t="str">
        <f>IF($D186&lt;&gt;"",VLOOKUP($D186,'SINAPI MAIO 2020'!$1:$1048576,3,FALSE),"")</f>
        <v>M3</v>
      </c>
      <c r="G186" s="566">
        <v>8.6</v>
      </c>
      <c r="H186" s="583">
        <f>IF($D186&lt;&gt;"",VLOOKUP($D186,'SINAPI MAIO 2020'!$1:$1048576,4,FALSE),"")</f>
        <v>56.84</v>
      </c>
      <c r="I186" s="575">
        <f t="shared" ref="I186:I223" si="21">TRUNC(H186*G186,2)</f>
        <v>488.82</v>
      </c>
    </row>
    <row r="187" spans="2:9" ht="25.5">
      <c r="B187" s="543" t="s">
        <v>858</v>
      </c>
      <c r="C187" s="151" t="s">
        <v>8</v>
      </c>
      <c r="D187" s="419">
        <v>94098</v>
      </c>
      <c r="E187" s="334" t="str">
        <f>IF($D187&lt;&gt;"",VLOOKUP($D187,'SINAPI MAIO 2020'!$1:$1048576,2,FALSE),"")</f>
        <v>PREPARO DE FUNDO DE VALA  COM LARGURA MENOR QUE 1,5 M, EM LOCAL COM NÍVEL ALTO DE INTERFERÊNCIA. AF_06/2016</v>
      </c>
      <c r="F187" s="335" t="str">
        <f>IF($D187&lt;&gt;"",VLOOKUP($D187,'SINAPI MAIO 2020'!$1:$1048576,3,FALSE),"")</f>
        <v>M2</v>
      </c>
      <c r="G187" s="566">
        <v>4.84</v>
      </c>
      <c r="H187" s="583">
        <f>IF($D187&lt;&gt;"",VLOOKUP($D187,'SINAPI MAIO 2020'!$1:$1048576,4,FALSE),"")</f>
        <v>4.7699999999999996</v>
      </c>
      <c r="I187" s="575">
        <f t="shared" si="21"/>
        <v>23.08</v>
      </c>
    </row>
    <row r="188" spans="2:9" ht="25.5">
      <c r="B188" s="543" t="s">
        <v>858</v>
      </c>
      <c r="C188" s="151" t="s">
        <v>8</v>
      </c>
      <c r="D188" s="422">
        <v>93382</v>
      </c>
      <c r="E188" s="334" t="str">
        <f>IF($D188&lt;&gt;"",VLOOKUP($D188,'SINAPI MAIO 2020'!$1:$1048576,2,FALSE),"")</f>
        <v>REATERRO MANUAL DE VALAS COM COMPACTAÇÃO MECANIZADA. AF_04/2016</v>
      </c>
      <c r="F188" s="335" t="str">
        <f>IF($D188&lt;&gt;"",VLOOKUP($D188,'SINAPI MAIO 2020'!$1:$1048576,3,FALSE),"")</f>
        <v>M3</v>
      </c>
      <c r="G188" s="566">
        <v>1.23</v>
      </c>
      <c r="H188" s="583">
        <f>IF($D188&lt;&gt;"",VLOOKUP($D188,'SINAPI MAIO 2020'!$1:$1048576,4,FALSE),"")</f>
        <v>19.22</v>
      </c>
      <c r="I188" s="575">
        <f t="shared" si="21"/>
        <v>23.64</v>
      </c>
    </row>
    <row r="189" spans="2:9" ht="14.25">
      <c r="B189" s="543"/>
      <c r="C189" s="151"/>
      <c r="D189" s="423"/>
      <c r="E189" s="424" t="s">
        <v>14809</v>
      </c>
      <c r="F189" s="421"/>
      <c r="G189" s="425"/>
      <c r="H189" s="591"/>
      <c r="I189" s="575"/>
    </row>
    <row r="190" spans="2:9" ht="51">
      <c r="B190" s="543" t="s">
        <v>858</v>
      </c>
      <c r="C190" s="151" t="s">
        <v>8</v>
      </c>
      <c r="D190" s="426">
        <v>100897</v>
      </c>
      <c r="E190" s="334" t="str">
        <f>IF($D190&lt;&gt;"",VLOOKUP($D190,'SINAPI MAIO 2020'!$1:$1048576,2,FALSE),"")</f>
        <v>ESTACA ESCAVADA MECANICAMENTE, SEM FLUIDO ESTABILIZANTE, COM 40CM DE DIÂMETRO, CONCRETO LANÇADO POR CAMINHÃO BETONEIRA (EXCLUSIVE MOBILIZAÇÃO E DESMOBILIZAÇÃO). AF_01/2020</v>
      </c>
      <c r="F190" s="335" t="str">
        <f>IF($D190&lt;&gt;"",VLOOKUP($D190,'SINAPI MAIO 2020'!$1:$1048576,3,FALSE),"")</f>
        <v>M</v>
      </c>
      <c r="G190" s="566">
        <v>35</v>
      </c>
      <c r="H190" s="583">
        <f>IF($D190&lt;&gt;"",VLOOKUP($D190,'SINAPI MAIO 2020'!$1:$1048576,4,FALSE),"")</f>
        <v>87.16</v>
      </c>
      <c r="I190" s="575">
        <f t="shared" si="21"/>
        <v>3050.6</v>
      </c>
    </row>
    <row r="191" spans="2:9" ht="14.25">
      <c r="B191" s="550" t="s">
        <v>6526</v>
      </c>
      <c r="C191" s="151" t="s">
        <v>836</v>
      </c>
      <c r="D191" s="426"/>
      <c r="E191" s="427" t="s">
        <v>14810</v>
      </c>
      <c r="F191" s="421" t="s">
        <v>817</v>
      </c>
      <c r="G191" s="566">
        <v>5</v>
      </c>
      <c r="H191" s="591">
        <v>45</v>
      </c>
      <c r="I191" s="575">
        <f t="shared" si="21"/>
        <v>225</v>
      </c>
    </row>
    <row r="192" spans="2:9" ht="25.5">
      <c r="B192" s="543" t="s">
        <v>858</v>
      </c>
      <c r="C192" s="151" t="s">
        <v>8</v>
      </c>
      <c r="D192" s="428">
        <v>95241</v>
      </c>
      <c r="E192" s="334" t="str">
        <f>IF($D192&lt;&gt;"",VLOOKUP($D192,'SINAPI MAIO 2020'!$1:$1048576,2,FALSE),"")</f>
        <v>LASTRO DE CONCRETO MAGRO, APLICADO EM PISOS OU RADIERS, ESPESSURA DE 5 CM. AF_07/2016</v>
      </c>
      <c r="F192" s="335" t="str">
        <f>IF($D192&lt;&gt;"",VLOOKUP($D192,'SINAPI MAIO 2020'!$1:$1048576,3,FALSE),"")</f>
        <v>M2</v>
      </c>
      <c r="G192" s="566">
        <v>4.84</v>
      </c>
      <c r="H192" s="583">
        <f>IF($D192&lt;&gt;"",VLOOKUP($D192,'SINAPI MAIO 2020'!$1:$1048576,4,FALSE),"")</f>
        <v>20.23</v>
      </c>
      <c r="I192" s="575">
        <f t="shared" si="21"/>
        <v>97.91</v>
      </c>
    </row>
    <row r="193" spans="2:9" ht="38.25">
      <c r="B193" s="543" t="s">
        <v>858</v>
      </c>
      <c r="C193" s="151" t="s">
        <v>8</v>
      </c>
      <c r="D193" s="426">
        <v>96536</v>
      </c>
      <c r="E193" s="334" t="str">
        <f>IF($D193&lt;&gt;"",VLOOKUP($D193,'SINAPI MAIO 2020'!$1:$1048576,2,FALSE),"")</f>
        <v>FABRICAÇÃO, MONTAGEM E DESMONTAGEM DE FÔRMA PARA VIGA BALDRAME, EM MADEIRA SERRADA, E=25 MM, 4 UTILIZAÇÕES. AF_06/2017</v>
      </c>
      <c r="F193" s="335" t="str">
        <f>IF($D193&lt;&gt;"",VLOOKUP($D193,'SINAPI MAIO 2020'!$1:$1048576,3,FALSE),"")</f>
        <v>M2</v>
      </c>
      <c r="G193" s="566">
        <v>4.4000000000000004</v>
      </c>
      <c r="H193" s="583">
        <f>IF($D193&lt;&gt;"",VLOOKUP($D193,'SINAPI MAIO 2020'!$1:$1048576,4,FALSE),"")</f>
        <v>41.79</v>
      </c>
      <c r="I193" s="575">
        <f t="shared" si="21"/>
        <v>183.87</v>
      </c>
    </row>
    <row r="194" spans="2:9" ht="38.25">
      <c r="B194" s="543" t="s">
        <v>858</v>
      </c>
      <c r="C194" s="151" t="s">
        <v>8</v>
      </c>
      <c r="D194" s="429">
        <v>92919</v>
      </c>
      <c r="E194" s="334" t="str">
        <f>IF($D194&lt;&gt;"",VLOOKUP($D194,'SINAPI MAIO 2020'!$1:$1048576,2,FALSE),"")</f>
        <v>ARMAÇÃO DE ESTRUTURAS DE CONCRETO ARMADO, EXCETO VIGAS, PILARES, LAJES E FUNDAÇÕES, UTILIZANDO AÇO CA-50 DE 10,0 MM - MONTAGEM. AF_12/2015</v>
      </c>
      <c r="F194" s="335" t="str">
        <f>IF($D194&lt;&gt;"",VLOOKUP($D194,'SINAPI MAIO 2020'!$1:$1048576,3,FALSE),"")</f>
        <v>KG</v>
      </c>
      <c r="G194" s="566">
        <v>224</v>
      </c>
      <c r="H194" s="583">
        <f>IF($D194&lt;&gt;"",VLOOKUP($D194,'SINAPI MAIO 2020'!$1:$1048576,4,FALSE),"")</f>
        <v>7.83</v>
      </c>
      <c r="I194" s="575">
        <f t="shared" si="21"/>
        <v>1753.92</v>
      </c>
    </row>
    <row r="195" spans="2:9" ht="38.25">
      <c r="B195" s="543" t="s">
        <v>858</v>
      </c>
      <c r="C195" s="151" t="s">
        <v>8</v>
      </c>
      <c r="D195" s="426">
        <v>92921</v>
      </c>
      <c r="E195" s="334" t="str">
        <f>IF($D195&lt;&gt;"",VLOOKUP($D195,'SINAPI MAIO 2020'!$1:$1048576,2,FALSE),"")</f>
        <v>ARMAÇÃO DE ESTRUTURAS DE CONCRETO ARMADO, EXCETO VIGAS, PILARES, LAJES E FUNDAÇÕES, UTILIZANDO AÇO CA-50 DE 12,5 MM - MONTAGEM. AF_12/2015</v>
      </c>
      <c r="F195" s="335" t="str">
        <f>IF($D195&lt;&gt;"",VLOOKUP($D195,'SINAPI MAIO 2020'!$1:$1048576,3,FALSE),"")</f>
        <v>KG</v>
      </c>
      <c r="G195" s="566">
        <v>98</v>
      </c>
      <c r="H195" s="583">
        <f>IF($D195&lt;&gt;"",VLOOKUP($D195,'SINAPI MAIO 2020'!$1:$1048576,4,FALSE),"")</f>
        <v>6.53</v>
      </c>
      <c r="I195" s="575">
        <f t="shared" si="21"/>
        <v>639.94000000000005</v>
      </c>
    </row>
    <row r="196" spans="2:9" ht="38.25">
      <c r="B196" s="543" t="s">
        <v>858</v>
      </c>
      <c r="C196" s="151" t="s">
        <v>8</v>
      </c>
      <c r="D196" s="426">
        <v>92924</v>
      </c>
      <c r="E196" s="334" t="str">
        <f>IF($D196&lt;&gt;"",VLOOKUP($D196,'SINAPI MAIO 2020'!$1:$1048576,2,FALSE),"")</f>
        <v>ARMAÇÃO DE ESTRUTURAS DE CONCRETO ARMADO, EXCETO VIGAS, PILARES, LAJES E FUNDAÇÕES, UTILIZANDO AÇO CA-50 DE 25,0 MM - MONTAGEM. AF_12/2015</v>
      </c>
      <c r="F196" s="335" t="str">
        <f>IF($D196&lt;&gt;"",VLOOKUP($D196,'SINAPI MAIO 2020'!$1:$1048576,3,FALSE),"")</f>
        <v>KG</v>
      </c>
      <c r="G196" s="566">
        <v>13.87</v>
      </c>
      <c r="H196" s="583">
        <f>IF($D196&lt;&gt;"",VLOOKUP($D196,'SINAPI MAIO 2020'!$1:$1048576,4,FALSE),"")</f>
        <v>6.48</v>
      </c>
      <c r="I196" s="575">
        <f t="shared" si="21"/>
        <v>89.87</v>
      </c>
    </row>
    <row r="197" spans="2:9" ht="38.25">
      <c r="B197" s="543" t="s">
        <v>858</v>
      </c>
      <c r="C197" s="151" t="s">
        <v>8</v>
      </c>
      <c r="D197" s="429">
        <v>92915</v>
      </c>
      <c r="E197" s="334" t="str">
        <f>IF($D197&lt;&gt;"",VLOOKUP($D197,'SINAPI MAIO 2020'!$1:$1048576,2,FALSE),"")</f>
        <v>ARMAÇÃO DE ESTRUTURAS DE CONCRETO ARMADO, EXCETO VIGAS, PILARES, LAJES E FUNDAÇÕES, UTILIZANDO AÇO CA-60 DE 5,0 MM - MONTAGEM. AF_12/2015</v>
      </c>
      <c r="F197" s="335" t="str">
        <f>IF($D197&lt;&gt;"",VLOOKUP($D197,'SINAPI MAIO 2020'!$1:$1048576,3,FALSE),"")</f>
        <v>KG</v>
      </c>
      <c r="G197" s="566">
        <v>13.08</v>
      </c>
      <c r="H197" s="583">
        <f>IF($D197&lt;&gt;"",VLOOKUP($D197,'SINAPI MAIO 2020'!$1:$1048576,4,FALSE),"")</f>
        <v>10.66</v>
      </c>
      <c r="I197" s="575">
        <f t="shared" si="21"/>
        <v>139.43</v>
      </c>
    </row>
    <row r="198" spans="2:9" ht="38.25">
      <c r="B198" s="543" t="s">
        <v>858</v>
      </c>
      <c r="C198" s="151" t="s">
        <v>8</v>
      </c>
      <c r="D198" s="426">
        <v>92720</v>
      </c>
      <c r="E198" s="334" t="str">
        <f>IF($D198&lt;&gt;"",VLOOKUP($D198,'SINAPI MAIO 2020'!$1:$1048576,2,FALSE),"")</f>
        <v>CONCRETAGEM DE PILARES, FCK = 25 MPA, COM USO DE BOMBA EM EDIFICAÇÃO COM SEÇÃO MÉDIA DE PILARES MENOR OU IGUAL A 0,25 M² - LANÇAMENTO, ADENSAMENTO E ACABAMENTO. AF_12/2015</v>
      </c>
      <c r="F198" s="335" t="str">
        <f>IF($D198&lt;&gt;"",VLOOKUP($D198,'SINAPI MAIO 2020'!$1:$1048576,3,FALSE),"")</f>
        <v>M3</v>
      </c>
      <c r="G198" s="566">
        <v>8.1999999999999993</v>
      </c>
      <c r="H198" s="583">
        <f>IF($D198&lt;&gt;"",VLOOKUP($D198,'SINAPI MAIO 2020'!$1:$1048576,4,FALSE),"")</f>
        <v>467.98</v>
      </c>
      <c r="I198" s="575">
        <f t="shared" si="21"/>
        <v>3837.43</v>
      </c>
    </row>
    <row r="199" spans="2:9" ht="14.25">
      <c r="B199" s="550"/>
      <c r="C199" s="151"/>
      <c r="D199" s="426"/>
      <c r="E199" s="424" t="s">
        <v>14811</v>
      </c>
      <c r="F199" s="421"/>
      <c r="G199" s="566"/>
      <c r="H199" s="591"/>
      <c r="I199" s="575"/>
    </row>
    <row r="200" spans="2:9" ht="25.5">
      <c r="B200" s="543" t="s">
        <v>6526</v>
      </c>
      <c r="C200" s="151" t="s">
        <v>836</v>
      </c>
      <c r="D200" s="426"/>
      <c r="E200" s="420" t="s">
        <v>14812</v>
      </c>
      <c r="F200" s="421" t="s">
        <v>817</v>
      </c>
      <c r="G200" s="566">
        <v>1</v>
      </c>
      <c r="H200" s="591">
        <v>15000</v>
      </c>
      <c r="I200" s="575">
        <f t="shared" ref="I200" si="22">TRUNC(H200*G200,2)</f>
        <v>15000</v>
      </c>
    </row>
    <row r="201" spans="2:9">
      <c r="B201" s="543"/>
      <c r="C201" s="151"/>
      <c r="D201" s="351"/>
      <c r="E201" s="424" t="s">
        <v>14813</v>
      </c>
      <c r="F201" s="151"/>
      <c r="G201" s="567"/>
      <c r="H201" s="592"/>
      <c r="I201" s="575"/>
    </row>
    <row r="202" spans="2:9">
      <c r="B202" s="543" t="s">
        <v>6526</v>
      </c>
      <c r="C202" s="351" t="s">
        <v>836</v>
      </c>
      <c r="D202" s="351"/>
      <c r="E202" s="430" t="s">
        <v>14814</v>
      </c>
      <c r="F202" s="431" t="s">
        <v>14815</v>
      </c>
      <c r="G202" s="566">
        <v>2</v>
      </c>
      <c r="H202" s="593">
        <v>242.2</v>
      </c>
      <c r="I202" s="575">
        <f t="shared" si="21"/>
        <v>484.4</v>
      </c>
    </row>
    <row r="203" spans="2:9">
      <c r="B203" s="543" t="s">
        <v>6526</v>
      </c>
      <c r="C203" s="351" t="s">
        <v>836</v>
      </c>
      <c r="D203" s="351"/>
      <c r="E203" s="430" t="s">
        <v>14816</v>
      </c>
      <c r="F203" s="431" t="s">
        <v>14815</v>
      </c>
      <c r="G203" s="566">
        <v>1</v>
      </c>
      <c r="H203" s="593">
        <v>174.25</v>
      </c>
      <c r="I203" s="575">
        <f t="shared" si="21"/>
        <v>174.25</v>
      </c>
    </row>
    <row r="204" spans="2:9">
      <c r="B204" s="543" t="s">
        <v>6526</v>
      </c>
      <c r="C204" s="351" t="s">
        <v>836</v>
      </c>
      <c r="D204" s="351"/>
      <c r="E204" s="430" t="s">
        <v>14817</v>
      </c>
      <c r="F204" s="431" t="s">
        <v>14815</v>
      </c>
      <c r="G204" s="566">
        <v>1</v>
      </c>
      <c r="H204" s="593">
        <v>294.36</v>
      </c>
      <c r="I204" s="575">
        <f t="shared" si="21"/>
        <v>294.36</v>
      </c>
    </row>
    <row r="205" spans="2:9">
      <c r="B205" s="543" t="s">
        <v>6526</v>
      </c>
      <c r="C205" s="351" t="s">
        <v>836</v>
      </c>
      <c r="D205" s="351"/>
      <c r="E205" s="430" t="s">
        <v>14818</v>
      </c>
      <c r="F205" s="431" t="s">
        <v>14815</v>
      </c>
      <c r="G205" s="566">
        <v>1</v>
      </c>
      <c r="H205" s="593">
        <v>256</v>
      </c>
      <c r="I205" s="575">
        <f t="shared" si="21"/>
        <v>256</v>
      </c>
    </row>
    <row r="206" spans="2:9" ht="25.5">
      <c r="B206" s="543" t="s">
        <v>858</v>
      </c>
      <c r="C206" s="151" t="s">
        <v>8</v>
      </c>
      <c r="D206" s="432">
        <v>73665</v>
      </c>
      <c r="E206" s="334" t="str">
        <f>IF($D206&lt;&gt;"",VLOOKUP($D206,'SINAPI MAIO 2020'!$1:$1048576,2,FALSE),"")</f>
        <v>ESCADA TIPO MARINHEIRO EM ACO CA-50 9,52MM INCLUSO PINTURA COM FUNDO ANTICORROSIVO TIPO ZARCAO</v>
      </c>
      <c r="F206" s="335" t="str">
        <f>IF($D206&lt;&gt;"",VLOOKUP($D206,'SINAPI MAIO 2020'!$1:$1048576,3,FALSE),"")</f>
        <v>M</v>
      </c>
      <c r="G206" s="566">
        <v>9</v>
      </c>
      <c r="H206" s="583">
        <f>IF($D206&lt;&gt;"",VLOOKUP($D206,'SINAPI MAIO 2020'!$1:$1048576,4,FALSE),"")</f>
        <v>58.43</v>
      </c>
      <c r="I206" s="575">
        <f t="shared" si="21"/>
        <v>525.87</v>
      </c>
    </row>
    <row r="207" spans="2:9" ht="38.25">
      <c r="B207" s="543" t="s">
        <v>6526</v>
      </c>
      <c r="C207" s="351" t="s">
        <v>836</v>
      </c>
      <c r="D207" s="351"/>
      <c r="E207" s="520" t="s">
        <v>14819</v>
      </c>
      <c r="F207" s="431" t="s">
        <v>24</v>
      </c>
      <c r="G207" s="566">
        <v>1028.08</v>
      </c>
      <c r="H207" s="591">
        <v>3.85</v>
      </c>
      <c r="I207" s="575">
        <f t="shared" si="21"/>
        <v>3958.1</v>
      </c>
    </row>
    <row r="208" spans="2:9">
      <c r="B208" s="543" t="s">
        <v>6526</v>
      </c>
      <c r="C208" s="351" t="s">
        <v>836</v>
      </c>
      <c r="D208" s="351"/>
      <c r="E208" s="430" t="s">
        <v>14820</v>
      </c>
      <c r="F208" s="431" t="s">
        <v>14815</v>
      </c>
      <c r="G208" s="566">
        <v>1</v>
      </c>
      <c r="H208" s="591">
        <v>466</v>
      </c>
      <c r="I208" s="575">
        <f t="shared" si="21"/>
        <v>466</v>
      </c>
    </row>
    <row r="209" spans="2:9" ht="25.5">
      <c r="B209" s="543" t="s">
        <v>6526</v>
      </c>
      <c r="C209" s="351" t="s">
        <v>836</v>
      </c>
      <c r="D209" s="351"/>
      <c r="E209" s="417" t="s">
        <v>14821</v>
      </c>
      <c r="F209" s="431" t="s">
        <v>12725</v>
      </c>
      <c r="G209" s="566">
        <v>101.8</v>
      </c>
      <c r="H209" s="591">
        <v>35</v>
      </c>
      <c r="I209" s="575">
        <f t="shared" si="21"/>
        <v>3563</v>
      </c>
    </row>
    <row r="210" spans="2:9">
      <c r="B210" s="543" t="s">
        <v>858</v>
      </c>
      <c r="C210" s="151" t="s">
        <v>8</v>
      </c>
      <c r="D210" s="431" t="s">
        <v>4442</v>
      </c>
      <c r="E210" s="334" t="str">
        <f>IF($D210&lt;&gt;"",VLOOKUP($D210,'SINAPI MAIO 2020'!$1:$1048576,2,FALSE),"")</f>
        <v>PINTURA ACRILICA EM PISO CIMENTADO DUAS DEMAOS</v>
      </c>
      <c r="F210" s="335" t="str">
        <f>IF($D210&lt;&gt;"",VLOOKUP($D210,'SINAPI MAIO 2020'!$1:$1048576,3,FALSE),"")</f>
        <v>M2</v>
      </c>
      <c r="G210" s="566">
        <v>25</v>
      </c>
      <c r="H210" s="583">
        <f>IF($D210&lt;&gt;"",VLOOKUP($D210,'SINAPI MAIO 2020'!$1:$1048576,4,FALSE),"")</f>
        <v>12.52</v>
      </c>
      <c r="I210" s="575">
        <f t="shared" si="21"/>
        <v>313</v>
      </c>
    </row>
    <row r="211" spans="2:9">
      <c r="B211" s="543" t="s">
        <v>858</v>
      </c>
      <c r="C211" s="151" t="s">
        <v>8</v>
      </c>
      <c r="D211" s="151">
        <v>98397</v>
      </c>
      <c r="E211" s="334" t="str">
        <f>IF($D211&lt;&gt;"",VLOOKUP($D211,'SINAPI MAIO 2020'!$1:$1048576,2,FALSE),"")</f>
        <v>PINTURA ANTICORROSIVA DE DUTO METÁLICO. AF_04/2018</v>
      </c>
      <c r="F211" s="335" t="str">
        <f>IF($D211&lt;&gt;"",VLOOKUP($D211,'SINAPI MAIO 2020'!$1:$1048576,3,FALSE),"")</f>
        <v>M2</v>
      </c>
      <c r="G211" s="566">
        <f>2*117</f>
        <v>234</v>
      </c>
      <c r="H211" s="583">
        <f>IF($D211&lt;&gt;"",VLOOKUP($D211,'SINAPI MAIO 2020'!$1:$1048576,4,FALSE),"")</f>
        <v>7.97</v>
      </c>
      <c r="I211" s="575">
        <f t="shared" si="21"/>
        <v>1864.98</v>
      </c>
    </row>
    <row r="212" spans="2:9" ht="38.25">
      <c r="B212" s="543" t="s">
        <v>837</v>
      </c>
      <c r="C212" s="151" t="s">
        <v>8</v>
      </c>
      <c r="D212" s="151">
        <v>100719</v>
      </c>
      <c r="E212" s="334" t="str">
        <f>IF($D212&lt;&gt;"",VLOOKUP($D212,'SINAPI MAIO 2020'!$1:$1048576,2,FALSE),"")</f>
        <v>PINTURA COM TINTA ALQUÍDICA DE FUNDO (TIPO ZARCÃO) PULVERIZADA SOBRE PERFIL METÁLICO EXECUTADO EM FÁBRICA (POR DEMÃO). AF_01/2020</v>
      </c>
      <c r="F212" s="335" t="str">
        <f>IF($D212&lt;&gt;"",VLOOKUP($D212,'SINAPI MAIO 2020'!$1:$1048576,3,FALSE),"")</f>
        <v>M2</v>
      </c>
      <c r="G212" s="566">
        <v>117</v>
      </c>
      <c r="H212" s="583">
        <f>IF($D212&lt;&gt;"",VLOOKUP($D212,'SINAPI MAIO 2020'!$1:$1048576,4,FALSE),"")</f>
        <v>7.06</v>
      </c>
      <c r="I212" s="575">
        <f t="shared" si="21"/>
        <v>826.02</v>
      </c>
    </row>
    <row r="213" spans="2:9">
      <c r="B213" s="543"/>
      <c r="C213" s="151"/>
      <c r="D213" s="351"/>
      <c r="E213" s="424" t="s">
        <v>14822</v>
      </c>
      <c r="F213" s="151"/>
      <c r="G213" s="567"/>
      <c r="H213" s="592"/>
      <c r="I213" s="575"/>
    </row>
    <row r="214" spans="2:9" ht="25.5">
      <c r="B214" s="543" t="s">
        <v>835</v>
      </c>
      <c r="C214" s="151" t="s">
        <v>8</v>
      </c>
      <c r="D214" s="351">
        <v>3478</v>
      </c>
      <c r="E214" s="334" t="str">
        <f>IF($D214&lt;&gt;"",VLOOKUP($D214,'SINAPI MAIO 2020'!$1:$1048576,2,FALSE),"")</f>
        <v>JOELHO, PVC SOLDAVEL, 45 GRAUS, 75 MM, PARA AGUA FRIA PREDIAL</v>
      </c>
      <c r="F214" s="335" t="str">
        <f>IF($D214&lt;&gt;"",VLOOKUP($D214,'SINAPI MAIO 2020'!$1:$1048576,3,FALSE),"")</f>
        <v xml:space="preserve">UN    </v>
      </c>
      <c r="G214" s="566">
        <v>3</v>
      </c>
      <c r="H214" s="583">
        <f>IF($D214&lt;&gt;"",VLOOKUP($D214,'SINAPI MAIO 2020'!$1:$1048576,4,FALSE),"")</f>
        <v>49.87</v>
      </c>
      <c r="I214" s="575">
        <f t="shared" si="21"/>
        <v>149.61000000000001</v>
      </c>
    </row>
    <row r="215" spans="2:9">
      <c r="B215" s="543" t="s">
        <v>835</v>
      </c>
      <c r="C215" s="151" t="s">
        <v>8</v>
      </c>
      <c r="D215" s="351">
        <v>3505</v>
      </c>
      <c r="E215" s="334" t="str">
        <f>IF($D215&lt;&gt;"",VLOOKUP($D215,'SINAPI MAIO 2020'!$1:$1048576,2,FALSE),"")</f>
        <v>JOELHO PVC, ROSCAVEL, 90 GRAUS, 3/4", PARA AGUA FRIA PREDIAL</v>
      </c>
      <c r="F215" s="335" t="str">
        <f>IF($D215&lt;&gt;"",VLOOKUP($D215,'SINAPI MAIO 2020'!$1:$1048576,3,FALSE),"")</f>
        <v xml:space="preserve">UN    </v>
      </c>
      <c r="G215" s="566">
        <v>5</v>
      </c>
      <c r="H215" s="583">
        <f>IF($D215&lt;&gt;"",VLOOKUP($D215,'SINAPI MAIO 2020'!$1:$1048576,4,FALSE),"")</f>
        <v>2.66</v>
      </c>
      <c r="I215" s="575">
        <f t="shared" si="21"/>
        <v>13.3</v>
      </c>
    </row>
    <row r="216" spans="2:9">
      <c r="B216" s="543" t="s">
        <v>835</v>
      </c>
      <c r="C216" s="151" t="s">
        <v>8</v>
      </c>
      <c r="D216" s="351">
        <v>9857</v>
      </c>
      <c r="E216" s="334" t="str">
        <f>IF($D216&lt;&gt;"",VLOOKUP($D216,'SINAPI MAIO 2020'!$1:$1048576,2,FALSE),"")</f>
        <v>TUBO PVC, ROSCAVEL, 3", AGUA FRIA PREDIAL</v>
      </c>
      <c r="F216" s="335" t="str">
        <f>IF($D216&lt;&gt;"",VLOOKUP($D216,'SINAPI MAIO 2020'!$1:$1048576,3,FALSE),"")</f>
        <v xml:space="preserve">M     </v>
      </c>
      <c r="G216" s="566">
        <v>35</v>
      </c>
      <c r="H216" s="583">
        <f>IF($D216&lt;&gt;"",VLOOKUP($D216,'SINAPI MAIO 2020'!$1:$1048576,4,FALSE),"")</f>
        <v>70.95</v>
      </c>
      <c r="I216" s="575">
        <f t="shared" si="21"/>
        <v>2483.25</v>
      </c>
    </row>
    <row r="217" spans="2:9" ht="51">
      <c r="B217" s="543" t="s">
        <v>837</v>
      </c>
      <c r="C217" s="151" t="s">
        <v>8</v>
      </c>
      <c r="D217" s="351">
        <v>94500</v>
      </c>
      <c r="E217" s="334" t="str">
        <f>IF($D217&lt;&gt;"",VLOOKUP($D217,'SINAPI MAIO 2020'!$1:$1048576,2,FALSE),"")</f>
        <v>REGISTRO DE GAVETA BRUTO, LATÃO, ROSCÁVEL, 3, INSTALADO EM RESERVAÇÃO DE ÁGUA DE EDIFICAÇÃO QUE POSSUA RESERVATÓRIO DE FIBRA/FIBROCIMENTO  FORNECIMENTO E INSTALAÇÃO. AF_06/2016</v>
      </c>
      <c r="F217" s="335" t="str">
        <f>IF($D217&lt;&gt;"",VLOOKUP($D217,'SINAPI MAIO 2020'!$1:$1048576,3,FALSE),"")</f>
        <v>UN</v>
      </c>
      <c r="G217" s="566">
        <v>1</v>
      </c>
      <c r="H217" s="583">
        <f>IF($D217&lt;&gt;"",VLOOKUP($D217,'SINAPI MAIO 2020'!$1:$1048576,4,FALSE),"")</f>
        <v>218.42</v>
      </c>
      <c r="I217" s="575">
        <f t="shared" si="21"/>
        <v>218.42</v>
      </c>
    </row>
    <row r="218" spans="2:9" ht="25.5">
      <c r="B218" s="543" t="s">
        <v>835</v>
      </c>
      <c r="C218" s="151" t="s">
        <v>8</v>
      </c>
      <c r="D218" s="351">
        <v>7144</v>
      </c>
      <c r="E218" s="334" t="str">
        <f>IF($D218&lt;&gt;"",VLOOKUP($D218,'SINAPI MAIO 2020'!$1:$1048576,2,FALSE),"")</f>
        <v>TE SOLDAVEL, PVC, 90 GRAUS, 75 MM, PARA AGUA FRIA PREDIAL (NBR 5648)</v>
      </c>
      <c r="F218" s="335" t="str">
        <f>IF($D218&lt;&gt;"",VLOOKUP($D218,'SINAPI MAIO 2020'!$1:$1048576,3,FALSE),"")</f>
        <v xml:space="preserve">UN    </v>
      </c>
      <c r="G218" s="566">
        <v>2</v>
      </c>
      <c r="H218" s="583">
        <f>IF($D218&lt;&gt;"",VLOOKUP($D218,'SINAPI MAIO 2020'!$1:$1048576,4,FALSE),"")</f>
        <v>45.74</v>
      </c>
      <c r="I218" s="575">
        <f t="shared" si="21"/>
        <v>91.48</v>
      </c>
    </row>
    <row r="219" spans="2:9" ht="38.25">
      <c r="B219" s="543" t="s">
        <v>858</v>
      </c>
      <c r="C219" s="151" t="s">
        <v>8</v>
      </c>
      <c r="D219" s="351">
        <v>90445</v>
      </c>
      <c r="E219" s="334" t="str">
        <f>IF($D219&lt;&gt;"",VLOOKUP($D219,'SINAPI MAIO 2020'!$1:$1048576,2,FALSE),"")</f>
        <v>RASGO EM CONTRAPISO PARA RAMAIS/ DISTRIBUIÇÃO COM DIÂMETROS MAIORES QUE 40 MM E MENORES OU IGUAIS A 75 MM. AF_05/2015</v>
      </c>
      <c r="F219" s="335" t="str">
        <f>IF($D219&lt;&gt;"",VLOOKUP($D219,'SINAPI MAIO 2020'!$1:$1048576,3,FALSE),"")</f>
        <v>M</v>
      </c>
      <c r="G219" s="566">
        <v>35</v>
      </c>
      <c r="H219" s="583">
        <f>IF($D219&lt;&gt;"",VLOOKUP($D219,'SINAPI MAIO 2020'!$1:$1048576,4,FALSE),"")</f>
        <v>18.09</v>
      </c>
      <c r="I219" s="575">
        <f t="shared" si="21"/>
        <v>633.15</v>
      </c>
    </row>
    <row r="220" spans="2:9" ht="38.25">
      <c r="B220" s="543" t="s">
        <v>858</v>
      </c>
      <c r="C220" s="151" t="s">
        <v>8</v>
      </c>
      <c r="D220" s="351">
        <v>87702</v>
      </c>
      <c r="E220" s="334" t="str">
        <f>IF($D220&lt;&gt;"",VLOOKUP($D220,'SINAPI MAIO 2020'!$1:$1048576,2,FALSE),"")</f>
        <v>CONTRAPISO EM ARGAMASSA TRAÇO 1:4 (CIMENTO E AREIA), PREPARO MANUAL, APLICADO EM ÁREAS SECAS SOBRE LAJE, NÃO ADERIDO, ESPESSURA 6CM. AF_06/2014</v>
      </c>
      <c r="F220" s="335" t="str">
        <f>IF($D220&lt;&gt;"",VLOOKUP($D220,'SINAPI MAIO 2020'!$1:$1048576,3,FALSE),"")</f>
        <v>M2</v>
      </c>
      <c r="G220" s="566">
        <v>6</v>
      </c>
      <c r="H220" s="583">
        <f>IF($D220&lt;&gt;"",VLOOKUP($D220,'SINAPI MAIO 2020'!$1:$1048576,4,FALSE),"")</f>
        <v>39.979999999999997</v>
      </c>
      <c r="I220" s="575">
        <f t="shared" si="21"/>
        <v>239.88</v>
      </c>
    </row>
    <row r="221" spans="2:9" ht="25.5">
      <c r="B221" s="543" t="s">
        <v>835</v>
      </c>
      <c r="C221" s="151" t="s">
        <v>8</v>
      </c>
      <c r="D221" s="351">
        <v>3850</v>
      </c>
      <c r="E221" s="334" t="str">
        <f>IF($D221&lt;&gt;"",VLOOKUP($D221,'SINAPI MAIO 2020'!$1:$1048576,2,FALSE),"")</f>
        <v>LUVA DE REDUCAO SOLDAVEL, PVC, 60 MM X 50 MM, PARA AGUA FRIA PREDIAL</v>
      </c>
      <c r="F221" s="335" t="str">
        <f>IF($D221&lt;&gt;"",VLOOKUP($D221,'SINAPI MAIO 2020'!$1:$1048576,3,FALSE),"")</f>
        <v xml:space="preserve">UN    </v>
      </c>
      <c r="G221" s="566">
        <v>5</v>
      </c>
      <c r="H221" s="583">
        <f>IF($D221&lt;&gt;"",VLOOKUP($D221,'SINAPI MAIO 2020'!$1:$1048576,4,FALSE),"")</f>
        <v>8.74</v>
      </c>
      <c r="I221" s="575">
        <f t="shared" si="21"/>
        <v>43.7</v>
      </c>
    </row>
    <row r="222" spans="2:9" ht="25.5">
      <c r="B222" s="543" t="s">
        <v>837</v>
      </c>
      <c r="C222" s="151" t="s">
        <v>8</v>
      </c>
      <c r="D222" s="351">
        <v>88267</v>
      </c>
      <c r="E222" s="334" t="str">
        <f>IF($D222&lt;&gt;"",VLOOKUP($D222,'SINAPI MAIO 2020'!$1:$1048576,2,FALSE),"")</f>
        <v>ENCANADOR OU BOMBEIRO HIDRÁULICO COM ENCARGOS COMPLEMENTARES</v>
      </c>
      <c r="F222" s="335" t="str">
        <f>IF($D222&lt;&gt;"",VLOOKUP($D222,'SINAPI MAIO 2020'!$1:$1048576,3,FALSE),"")</f>
        <v>H</v>
      </c>
      <c r="G222" s="566">
        <v>8</v>
      </c>
      <c r="H222" s="583">
        <f>IF($D222&lt;&gt;"",VLOOKUP($D222,'SINAPI MAIO 2020'!$1:$1048576,4,FALSE),"")</f>
        <v>17.79</v>
      </c>
      <c r="I222" s="575">
        <f t="shared" si="21"/>
        <v>142.32</v>
      </c>
    </row>
    <row r="223" spans="2:9">
      <c r="B223" s="543" t="s">
        <v>837</v>
      </c>
      <c r="C223" s="151" t="s">
        <v>8</v>
      </c>
      <c r="D223" s="351">
        <v>88316</v>
      </c>
      <c r="E223" s="334" t="str">
        <f>IF($D223&lt;&gt;"",VLOOKUP($D223,'SINAPI MAIO 2020'!$1:$1048576,2,FALSE),"")</f>
        <v>SERVENTE COM ENCARGOS COMPLEMENTARES</v>
      </c>
      <c r="F223" s="335" t="str">
        <f>IF($D223&lt;&gt;"",VLOOKUP($D223,'SINAPI MAIO 2020'!$1:$1048576,3,FALSE),"")</f>
        <v>H</v>
      </c>
      <c r="G223" s="566">
        <v>8</v>
      </c>
      <c r="H223" s="583">
        <f>IF($D223&lt;&gt;"",VLOOKUP($D223,'SINAPI MAIO 2020'!$1:$1048576,4,FALSE),"")</f>
        <v>14.37</v>
      </c>
      <c r="I223" s="575">
        <f t="shared" si="21"/>
        <v>114.96</v>
      </c>
    </row>
    <row r="224" spans="2:9">
      <c r="B224" s="544"/>
      <c r="C224" s="514"/>
      <c r="D224" s="514"/>
      <c r="E224" s="515"/>
      <c r="F224" s="514"/>
      <c r="G224" s="560"/>
      <c r="H224" s="585"/>
      <c r="I224" s="585"/>
    </row>
    <row r="225" spans="2:9">
      <c r="B225" s="544"/>
      <c r="C225" s="514"/>
      <c r="D225" s="514"/>
      <c r="E225" s="515"/>
      <c r="F225" s="514"/>
      <c r="G225" s="560"/>
      <c r="H225" s="585"/>
      <c r="I225" s="585"/>
    </row>
    <row r="226" spans="2:9" ht="12.75" customHeight="1">
      <c r="B226" s="796" t="s">
        <v>6160</v>
      </c>
      <c r="C226" s="796"/>
      <c r="D226" s="796"/>
      <c r="E226" s="796"/>
      <c r="F226" s="796"/>
      <c r="G226" s="796"/>
      <c r="H226" s="796"/>
      <c r="I226" s="796"/>
    </row>
    <row r="227" spans="2:9" ht="12.75" customHeight="1">
      <c r="B227" s="544"/>
      <c r="C227" s="514"/>
      <c r="D227" s="514"/>
      <c r="E227" s="515"/>
      <c r="F227" s="514"/>
      <c r="G227" s="560"/>
      <c r="H227" s="585"/>
      <c r="I227" s="585"/>
    </row>
    <row r="228" spans="2:9" ht="25.5">
      <c r="B228" s="545" t="s">
        <v>12461</v>
      </c>
      <c r="C228" s="365"/>
      <c r="D228" s="365"/>
      <c r="E228" s="362" t="str">
        <f>E231</f>
        <v>CAIXA SIFONADA PVC, 150 X 150 X 50 MM, COM GRELHA REDONDA BRANCA</v>
      </c>
      <c r="F228" s="363" t="s">
        <v>35</v>
      </c>
      <c r="G228" s="564" t="s">
        <v>5339</v>
      </c>
      <c r="H228" s="581"/>
      <c r="I228" s="582">
        <f>TRUNC(SUM(I229:I236),2)</f>
        <v>41.45</v>
      </c>
    </row>
    <row r="229" spans="2:9">
      <c r="B229" s="548" t="s">
        <v>835</v>
      </c>
      <c r="C229" s="364" t="s">
        <v>8</v>
      </c>
      <c r="D229" s="364">
        <v>122</v>
      </c>
      <c r="E229" s="334" t="str">
        <f>IF($D229&lt;&gt;"",VLOOKUP($D229,'SINAPI MAIO 2020'!$1:$1048576,2,FALSE),"")</f>
        <v>ADESIVO PLASTICO PARA PVC, FRASCO COM 850 GR</v>
      </c>
      <c r="F229" s="335" t="str">
        <f>IF($D229&lt;&gt;"",VLOOKUP($D229,'SINAPI MAIO 2020'!$1:$1048576,3,FALSE),"")</f>
        <v xml:space="preserve">UN    </v>
      </c>
      <c r="G229" s="366">
        <v>1.4800000000000001E-2</v>
      </c>
      <c r="H229" s="583">
        <f>IF($D229&lt;&gt;"",VLOOKUP($D229,'SINAPI MAIO 2020'!$1:$1048576,4,FALSE),"")</f>
        <v>79.94</v>
      </c>
      <c r="I229" s="584">
        <f t="shared" ref="I229:I236" si="23">TRUNC(H229*G229,2)</f>
        <v>1.18</v>
      </c>
    </row>
    <row r="230" spans="2:9" ht="25.5">
      <c r="B230" s="548" t="s">
        <v>835</v>
      </c>
      <c r="C230" s="364" t="s">
        <v>8</v>
      </c>
      <c r="D230" s="364">
        <v>296</v>
      </c>
      <c r="E230" s="334" t="str">
        <f>IF($D230&lt;&gt;"",VLOOKUP($D230,'SINAPI MAIO 2020'!$1:$1048576,2,FALSE),"")</f>
        <v>ANEL BORRACHA PARA TUBO ESGOTO PREDIAL DN 50 MM (NBR 5688)</v>
      </c>
      <c r="F230" s="335" t="str">
        <f>IF($D230&lt;&gt;"",VLOOKUP($D230,'SINAPI MAIO 2020'!$1:$1048576,3,FALSE),"")</f>
        <v xml:space="preserve">UN    </v>
      </c>
      <c r="G230" s="366">
        <v>1</v>
      </c>
      <c r="H230" s="583">
        <f>IF($D230&lt;&gt;"",VLOOKUP($D230,'SINAPI MAIO 2020'!$1:$1048576,4,FALSE),"")</f>
        <v>1.86</v>
      </c>
      <c r="I230" s="584">
        <f t="shared" si="23"/>
        <v>1.86</v>
      </c>
    </row>
    <row r="231" spans="2:9" ht="25.5">
      <c r="B231" s="548" t="s">
        <v>835</v>
      </c>
      <c r="C231" s="364" t="s">
        <v>8</v>
      </c>
      <c r="D231" s="364">
        <v>11717</v>
      </c>
      <c r="E231" s="334" t="str">
        <f>IF($D231&lt;&gt;"",VLOOKUP($D231,'SINAPI MAIO 2020'!$1:$1048576,2,FALSE),"")</f>
        <v>CAIXA SIFONADA PVC, 150 X 150 X 50 MM, COM GRELHA REDONDA BRANCA</v>
      </c>
      <c r="F231" s="335" t="str">
        <f>IF($D231&lt;&gt;"",VLOOKUP($D231,'SINAPI MAIO 2020'!$1:$1048576,3,FALSE),"")</f>
        <v xml:space="preserve">UN    </v>
      </c>
      <c r="G231" s="366">
        <v>1</v>
      </c>
      <c r="H231" s="583">
        <f>IF($D231&lt;&gt;"",VLOOKUP($D231,'SINAPI MAIO 2020'!$1:$1048576,4,FALSE),"")</f>
        <v>28.25</v>
      </c>
      <c r="I231" s="584">
        <f t="shared" si="23"/>
        <v>28.25</v>
      </c>
    </row>
    <row r="232" spans="2:9" ht="25.5">
      <c r="B232" s="548" t="s">
        <v>835</v>
      </c>
      <c r="C232" s="364" t="s">
        <v>8</v>
      </c>
      <c r="D232" s="364">
        <v>20078</v>
      </c>
      <c r="E232" s="334" t="str">
        <f>IF($D232&lt;&gt;"",VLOOKUP($D232,'SINAPI MAIO 2020'!$1:$1048576,2,FALSE),"")</f>
        <v>PASTA LUBRIFICANTE PARA TUBOS E CONEXOES COM JUNTA ELASTICA (USO EM PVC, ACO, POLIETILENO E OUTROS) ( DE *400* G)</v>
      </c>
      <c r="F232" s="335" t="str">
        <f>IF($D232&lt;&gt;"",VLOOKUP($D232,'SINAPI MAIO 2020'!$1:$1048576,3,FALSE),"")</f>
        <v xml:space="preserve">UN    </v>
      </c>
      <c r="G232" s="366">
        <v>0.02</v>
      </c>
      <c r="H232" s="583">
        <f>IF($D232&lt;&gt;"",VLOOKUP($D232,'SINAPI MAIO 2020'!$1:$1048576,4,FALSE),"")</f>
        <v>29.27</v>
      </c>
      <c r="I232" s="584">
        <f t="shared" si="23"/>
        <v>0.57999999999999996</v>
      </c>
    </row>
    <row r="233" spans="2:9">
      <c r="B233" s="548" t="s">
        <v>835</v>
      </c>
      <c r="C233" s="364" t="s">
        <v>8</v>
      </c>
      <c r="D233" s="364">
        <v>20083</v>
      </c>
      <c r="E233" s="334" t="str">
        <f>IF($D233&lt;&gt;"",VLOOKUP($D233,'SINAPI MAIO 2020'!$1:$1048576,2,FALSE),"")</f>
        <v>SOLUCAO LIMPADORA PARA PVC, FRASCO COM 1000 CM3</v>
      </c>
      <c r="F233" s="335" t="str">
        <f>IF($D233&lt;&gt;"",VLOOKUP($D233,'SINAPI MAIO 2020'!$1:$1048576,3,FALSE),"")</f>
        <v xml:space="preserve">UN    </v>
      </c>
      <c r="G233" s="366">
        <v>2.2499999999999999E-2</v>
      </c>
      <c r="H233" s="583">
        <f>IF($D233&lt;&gt;"",VLOOKUP($D233,'SINAPI MAIO 2020'!$1:$1048576,4,FALSE),"")</f>
        <v>69.42</v>
      </c>
      <c r="I233" s="584">
        <f t="shared" si="23"/>
        <v>1.56</v>
      </c>
    </row>
    <row r="234" spans="2:9">
      <c r="B234" s="548" t="s">
        <v>835</v>
      </c>
      <c r="C234" s="364" t="s">
        <v>8</v>
      </c>
      <c r="D234" s="364">
        <v>38383</v>
      </c>
      <c r="E234" s="334" t="str">
        <f>IF($D234&lt;&gt;"",VLOOKUP($D234,'SINAPI MAIO 2020'!$1:$1048576,2,FALSE),"")</f>
        <v>LIXA D'AGUA EM FOLHA, GRAO 100</v>
      </c>
      <c r="F234" s="335" t="str">
        <f>IF($D234&lt;&gt;"",VLOOKUP($D234,'SINAPI MAIO 2020'!$1:$1048576,3,FALSE),"")</f>
        <v xml:space="preserve">UN    </v>
      </c>
      <c r="G234" s="366">
        <v>6.4000000000000001E-2</v>
      </c>
      <c r="H234" s="583">
        <f>IF($D234&lt;&gt;"",VLOOKUP($D234,'SINAPI MAIO 2020'!$1:$1048576,4,FALSE),"")</f>
        <v>1.93</v>
      </c>
      <c r="I234" s="584">
        <f t="shared" si="23"/>
        <v>0.12</v>
      </c>
    </row>
    <row r="235" spans="2:9" ht="25.5">
      <c r="B235" s="548" t="s">
        <v>858</v>
      </c>
      <c r="C235" s="364" t="s">
        <v>8</v>
      </c>
      <c r="D235" s="364">
        <v>88248</v>
      </c>
      <c r="E235" s="334" t="str">
        <f>IF($D235&lt;&gt;"",VLOOKUP($D235,'SINAPI MAIO 2020'!$1:$1048576,2,FALSE),"")</f>
        <v>AUXILIAR DE ENCANADOR OU BOMBEIRO HIDRÁULICO COM ENCARGOS COMPLEMENTARES</v>
      </c>
      <c r="F235" s="335" t="str">
        <f>IF($D235&lt;&gt;"",VLOOKUP($D235,'SINAPI MAIO 2020'!$1:$1048576,3,FALSE),"")</f>
        <v>H</v>
      </c>
      <c r="G235" s="366">
        <v>0.25</v>
      </c>
      <c r="H235" s="583">
        <f>IF($D235&lt;&gt;"",VLOOKUP($D235,'SINAPI MAIO 2020'!$1:$1048576,4,FALSE),"")</f>
        <v>13.87</v>
      </c>
      <c r="I235" s="584">
        <f t="shared" si="23"/>
        <v>3.46</v>
      </c>
    </row>
    <row r="236" spans="2:9" ht="25.5">
      <c r="B236" s="548" t="s">
        <v>858</v>
      </c>
      <c r="C236" s="364" t="s">
        <v>8</v>
      </c>
      <c r="D236" s="364">
        <v>88267</v>
      </c>
      <c r="E236" s="334" t="str">
        <f>IF($D236&lt;&gt;"",VLOOKUP($D236,'SINAPI MAIO 2020'!$1:$1048576,2,FALSE),"")</f>
        <v>ENCANADOR OU BOMBEIRO HIDRÁULICO COM ENCARGOS COMPLEMENTARES</v>
      </c>
      <c r="F236" s="335" t="str">
        <f>IF($D236&lt;&gt;"",VLOOKUP($D236,'SINAPI MAIO 2020'!$1:$1048576,3,FALSE),"")</f>
        <v>H</v>
      </c>
      <c r="G236" s="366">
        <v>0.25</v>
      </c>
      <c r="H236" s="583">
        <f>IF($D236&lt;&gt;"",VLOOKUP($D236,'SINAPI MAIO 2020'!$1:$1048576,4,FALSE),"")</f>
        <v>17.79</v>
      </c>
      <c r="I236" s="584">
        <f t="shared" si="23"/>
        <v>4.4400000000000004</v>
      </c>
    </row>
    <row r="237" spans="2:9">
      <c r="B237" s="543"/>
      <c r="C237" s="151"/>
      <c r="D237" s="351"/>
      <c r="E237" s="417"/>
      <c r="F237" s="151"/>
      <c r="G237" s="524"/>
      <c r="H237" s="585"/>
      <c r="I237" s="379"/>
    </row>
    <row r="238" spans="2:9">
      <c r="B238" s="545" t="s">
        <v>12462</v>
      </c>
      <c r="C238" s="521"/>
      <c r="D238" s="521"/>
      <c r="E238" s="522" t="s">
        <v>12460</v>
      </c>
      <c r="F238" s="523" t="s">
        <v>35</v>
      </c>
      <c r="G238" s="568">
        <v>1</v>
      </c>
      <c r="H238" s="582"/>
      <c r="I238" s="582">
        <f>TRUNC(SUM(I239:I244),2)</f>
        <v>31.54</v>
      </c>
    </row>
    <row r="239" spans="2:9" ht="25.5">
      <c r="B239" s="548" t="s">
        <v>835</v>
      </c>
      <c r="C239" s="364" t="s">
        <v>8</v>
      </c>
      <c r="D239" s="151">
        <v>298</v>
      </c>
      <c r="E239" s="334" t="str">
        <f>IF($D239&lt;&gt;"",VLOOKUP($D239,'SINAPI MAIO 2020'!$1:$1048576,2,FALSE),"")</f>
        <v>ANEL BORRACHA DN 75 MM, PARA TUBO SERIE REFORCADA ESGOTO PREDIAL</v>
      </c>
      <c r="F239" s="335" t="str">
        <f>IF($D239&lt;&gt;"",VLOOKUP($D239,'SINAPI MAIO 2020'!$1:$1048576,3,FALSE),"")</f>
        <v xml:space="preserve">UN    </v>
      </c>
      <c r="G239" s="569">
        <v>1</v>
      </c>
      <c r="H239" s="583">
        <f>IF($D239&lt;&gt;"",VLOOKUP($D239,'SINAPI MAIO 2020'!$1:$1048576,4,FALSE),"")</f>
        <v>3.01</v>
      </c>
      <c r="I239" s="584">
        <f t="shared" ref="I239:I244" si="24">TRUNC(H239*G239,2)</f>
        <v>3.01</v>
      </c>
    </row>
    <row r="240" spans="2:9" ht="25.5">
      <c r="B240" s="548" t="s">
        <v>835</v>
      </c>
      <c r="C240" s="364" t="s">
        <v>8</v>
      </c>
      <c r="D240" s="151">
        <v>301</v>
      </c>
      <c r="E240" s="334" t="str">
        <f>IF($D240&lt;&gt;"",VLOOKUP($D240,'SINAPI MAIO 2020'!$1:$1048576,2,FALSE),"")</f>
        <v>ANEL BORRACHA PARA TUBO ESGOTO PREDIAL, DN 100 MM (NBR 5688)</v>
      </c>
      <c r="F240" s="335" t="str">
        <f>IF($D240&lt;&gt;"",VLOOKUP($D240,'SINAPI MAIO 2020'!$1:$1048576,3,FALSE),"")</f>
        <v xml:space="preserve">UN    </v>
      </c>
      <c r="G240" s="569">
        <v>1</v>
      </c>
      <c r="H240" s="583">
        <f>IF($D240&lt;&gt;"",VLOOKUP($D240,'SINAPI MAIO 2020'!$1:$1048576,4,FALSE),"")</f>
        <v>3.3</v>
      </c>
      <c r="I240" s="584">
        <f t="shared" si="24"/>
        <v>3.3</v>
      </c>
    </row>
    <row r="241" spans="2:9" ht="25.5">
      <c r="B241" s="548" t="s">
        <v>835</v>
      </c>
      <c r="C241" s="364" t="s">
        <v>8</v>
      </c>
      <c r="D241" s="151">
        <v>20078</v>
      </c>
      <c r="E241" s="334" t="str">
        <f>IF($D241&lt;&gt;"",VLOOKUP($D241,'SINAPI MAIO 2020'!$1:$1048576,2,FALSE),"")</f>
        <v>PASTA LUBRIFICANTE PARA TUBOS E CONEXOES COM JUNTA ELASTICA (USO EM PVC, ACO, POLIETILENO E OUTROS) ( DE *400* G)</v>
      </c>
      <c r="F241" s="335" t="str">
        <f>IF($D241&lt;&gt;"",VLOOKUP($D241,'SINAPI MAIO 2020'!$1:$1048576,3,FALSE),"")</f>
        <v xml:space="preserve">UN    </v>
      </c>
      <c r="G241" s="569">
        <v>9.1999999999999998E-2</v>
      </c>
      <c r="H241" s="583">
        <f>IF($D241&lt;&gt;"",VLOOKUP($D241,'SINAPI MAIO 2020'!$1:$1048576,4,FALSE),"")</f>
        <v>29.27</v>
      </c>
      <c r="I241" s="584">
        <f t="shared" si="24"/>
        <v>2.69</v>
      </c>
    </row>
    <row r="242" spans="2:9" ht="25.5">
      <c r="B242" s="548" t="s">
        <v>835</v>
      </c>
      <c r="C242" s="364" t="s">
        <v>8</v>
      </c>
      <c r="D242" s="151">
        <v>3659</v>
      </c>
      <c r="E242" s="334" t="str">
        <f>IF($D242&lt;&gt;"",VLOOKUP($D242,'SINAPI MAIO 2020'!$1:$1048576,2,FALSE),"")</f>
        <v>JUNCAO SIMPLES, PVC, DN 100 X 50 MM, SERIE NORMAL PARA ESGOTO PREDIAL</v>
      </c>
      <c r="F242" s="335" t="str">
        <f>IF($D242&lt;&gt;"",VLOOKUP($D242,'SINAPI MAIO 2020'!$1:$1048576,3,FALSE),"")</f>
        <v xml:space="preserve">UN    </v>
      </c>
      <c r="G242" s="569">
        <v>1</v>
      </c>
      <c r="H242" s="583">
        <f>IF($D242&lt;&gt;"",VLOOKUP($D242,'SINAPI MAIO 2020'!$1:$1048576,4,FALSE),"")</f>
        <v>11.19</v>
      </c>
      <c r="I242" s="584">
        <f t="shared" si="24"/>
        <v>11.19</v>
      </c>
    </row>
    <row r="243" spans="2:9" ht="31.5" customHeight="1">
      <c r="B243" s="548" t="s">
        <v>858</v>
      </c>
      <c r="C243" s="364" t="s">
        <v>8</v>
      </c>
      <c r="D243" s="151">
        <v>88248</v>
      </c>
      <c r="E243" s="334" t="str">
        <f>IF($D243&lt;&gt;"",VLOOKUP($D243,'SINAPI MAIO 2020'!$1:$1048576,2,FALSE),"")</f>
        <v>AUXILIAR DE ENCANADOR OU BOMBEIRO HIDRÁULICO COM ENCARGOS COMPLEMENTARES</v>
      </c>
      <c r="F243" s="335" t="str">
        <f>IF($D243&lt;&gt;"",VLOOKUP($D243,'SINAPI MAIO 2020'!$1:$1048576,3,FALSE),"")</f>
        <v>H</v>
      </c>
      <c r="G243" s="569">
        <v>0.28000000000000003</v>
      </c>
      <c r="H243" s="583">
        <f>IF($D243&lt;&gt;"",VLOOKUP($D243,'SINAPI MAIO 2020'!$1:$1048576,4,FALSE),"")</f>
        <v>13.87</v>
      </c>
      <c r="I243" s="584">
        <f t="shared" si="24"/>
        <v>3.88</v>
      </c>
    </row>
    <row r="244" spans="2:9" ht="25.5">
      <c r="B244" s="548" t="s">
        <v>858</v>
      </c>
      <c r="C244" s="364" t="s">
        <v>8</v>
      </c>
      <c r="D244" s="151">
        <v>88267</v>
      </c>
      <c r="E244" s="334" t="str">
        <f>IF($D244&lt;&gt;"",VLOOKUP($D244,'SINAPI MAIO 2020'!$1:$1048576,2,FALSE),"")</f>
        <v>ENCANADOR OU BOMBEIRO HIDRÁULICO COM ENCARGOS COMPLEMENTARES</v>
      </c>
      <c r="F244" s="335" t="str">
        <f>IF($D244&lt;&gt;"",VLOOKUP($D244,'SINAPI MAIO 2020'!$1:$1048576,3,FALSE),"")</f>
        <v>H</v>
      </c>
      <c r="G244" s="569">
        <v>0.42</v>
      </c>
      <c r="H244" s="583">
        <f>IF($D244&lt;&gt;"",VLOOKUP($D244,'SINAPI MAIO 2020'!$1:$1048576,4,FALSE),"")</f>
        <v>17.79</v>
      </c>
      <c r="I244" s="584">
        <f t="shared" si="24"/>
        <v>7.47</v>
      </c>
    </row>
    <row r="245" spans="2:9">
      <c r="B245" s="544"/>
      <c r="C245" s="514"/>
      <c r="D245" s="514"/>
      <c r="E245" s="515"/>
      <c r="F245" s="514"/>
      <c r="G245" s="560"/>
      <c r="H245" s="585"/>
      <c r="I245" s="585"/>
    </row>
    <row r="246" spans="2:9">
      <c r="B246" s="545" t="s">
        <v>12463</v>
      </c>
      <c r="C246" s="513"/>
      <c r="D246" s="513"/>
      <c r="E246" s="154" t="s">
        <v>6534</v>
      </c>
      <c r="F246" s="155" t="s">
        <v>817</v>
      </c>
      <c r="G246" s="367">
        <v>1</v>
      </c>
      <c r="H246" s="581"/>
      <c r="I246" s="582">
        <f>TRUNC(SUM(I247:I254),2)</f>
        <v>2184.41</v>
      </c>
    </row>
    <row r="247" spans="2:9" ht="25.5">
      <c r="B247" s="543" t="s">
        <v>6526</v>
      </c>
      <c r="C247" s="351" t="s">
        <v>836</v>
      </c>
      <c r="D247" s="351"/>
      <c r="E247" s="334" t="s">
        <v>6527</v>
      </c>
      <c r="F247" s="335" t="s">
        <v>35</v>
      </c>
      <c r="G247" s="360">
        <v>2</v>
      </c>
      <c r="H247" s="594">
        <v>509.97</v>
      </c>
      <c r="I247" s="379">
        <f t="shared" ref="I247:I254" si="25">TRUNC(H247*G247,2)</f>
        <v>1019.94</v>
      </c>
    </row>
    <row r="248" spans="2:9" ht="25.5">
      <c r="B248" s="543" t="s">
        <v>837</v>
      </c>
      <c r="C248" s="152" t="s">
        <v>8</v>
      </c>
      <c r="D248" s="152">
        <v>95241</v>
      </c>
      <c r="E248" s="334" t="str">
        <f>IF($D248&lt;&gt;"",VLOOKUP($D248,'SINAPI MAIO 2020'!$1:$1048576,2,FALSE),"")</f>
        <v>LASTRO DE CONCRETO MAGRO, APLICADO EM PISOS OU RADIERS, ESPESSURA DE 5 CM. AF_07/2016</v>
      </c>
      <c r="F248" s="335" t="str">
        <f>IF($D248&lt;&gt;"",VLOOKUP($D248,'SINAPI MAIO 2020'!$1:$1048576,3,FALSE),"")</f>
        <v>M2</v>
      </c>
      <c r="G248" s="360">
        <f>2.2*2.2</f>
        <v>4.8400000000000007</v>
      </c>
      <c r="H248" s="583">
        <f>IF($D248&lt;&gt;"",VLOOKUP($D248,'SINAPI MAIO 2020'!$1:$1048576,4,FALSE),"")</f>
        <v>20.23</v>
      </c>
      <c r="I248" s="379">
        <f t="shared" si="25"/>
        <v>97.91</v>
      </c>
    </row>
    <row r="249" spans="2:9" ht="30" customHeight="1">
      <c r="B249" s="543" t="s">
        <v>6526</v>
      </c>
      <c r="C249" s="351" t="s">
        <v>836</v>
      </c>
      <c r="D249" s="368"/>
      <c r="E249" s="334" t="s">
        <v>6528</v>
      </c>
      <c r="F249" s="335" t="s">
        <v>35</v>
      </c>
      <c r="G249" s="360">
        <v>1</v>
      </c>
      <c r="H249" s="594">
        <v>527.66999999999996</v>
      </c>
      <c r="I249" s="379">
        <f t="shared" si="25"/>
        <v>527.66999999999996</v>
      </c>
    </row>
    <row r="250" spans="2:9" ht="25.5">
      <c r="B250" s="543" t="s">
        <v>837</v>
      </c>
      <c r="C250" s="151" t="s">
        <v>8</v>
      </c>
      <c r="D250" s="351">
        <v>11301</v>
      </c>
      <c r="E250" s="334" t="str">
        <f>IF($D250&lt;&gt;"",VLOOKUP($D250,'SINAPI MAIO 2020'!$1:$1048576,2,FALSE),"")</f>
        <v>TAMPAO FOFO ARTICULADO, CLASSE B125 CARGA MAX 12,5 T, REDONDO TAMPA 600 MM, REDE PLUVIAL/ESGOTO</v>
      </c>
      <c r="F250" s="335" t="str">
        <f>IF($D250&lt;&gt;"",VLOOKUP($D250,'SINAPI MAIO 2020'!$1:$1048576,3,FALSE),"")</f>
        <v xml:space="preserve">UN    </v>
      </c>
      <c r="G250" s="360">
        <v>1</v>
      </c>
      <c r="H250" s="583">
        <f>IF($D250&lt;&gt;"",VLOOKUP($D250,'SINAPI MAIO 2020'!$1:$1048576,4,FALSE),"")</f>
        <v>406.18</v>
      </c>
      <c r="I250" s="379">
        <f t="shared" si="25"/>
        <v>406.18</v>
      </c>
    </row>
    <row r="251" spans="2:9" ht="25.5">
      <c r="B251" s="543" t="s">
        <v>835</v>
      </c>
      <c r="C251" s="151" t="s">
        <v>8</v>
      </c>
      <c r="D251" s="351">
        <v>367</v>
      </c>
      <c r="E251" s="334" t="str">
        <f>IF($D251&lt;&gt;"",VLOOKUP($D251,'SINAPI MAIO 2020'!$1:$1048576,2,FALSE),"")</f>
        <v>AREIA GROSSA - POSTO JAZIDA/FORNECEDOR (RETIRADO NA JAZIDA, SEM TRANSPORTE)</v>
      </c>
      <c r="F251" s="335" t="str">
        <f>IF($D251&lt;&gt;"",VLOOKUP($D251,'SINAPI MAIO 2020'!$1:$1048576,3,FALSE),"")</f>
        <v xml:space="preserve">M3    </v>
      </c>
      <c r="G251" s="360">
        <v>0.03</v>
      </c>
      <c r="H251" s="583">
        <f>IF($D251&lt;&gt;"",VLOOKUP($D251,'SINAPI MAIO 2020'!$1:$1048576,4,FALSE),"")</f>
        <v>66.5</v>
      </c>
      <c r="I251" s="379">
        <f t="shared" si="25"/>
        <v>1.99</v>
      </c>
    </row>
    <row r="252" spans="2:9">
      <c r="B252" s="543" t="s">
        <v>835</v>
      </c>
      <c r="C252" s="151" t="s">
        <v>8</v>
      </c>
      <c r="D252" s="368">
        <v>1379</v>
      </c>
      <c r="E252" s="334" t="str">
        <f>IF($D252&lt;&gt;"",VLOOKUP($D252,'SINAPI MAIO 2020'!$1:$1048576,2,FALSE),"")</f>
        <v>CIMENTO PORTLAND COMPOSTO CP II-32</v>
      </c>
      <c r="F252" s="335" t="str">
        <f>IF($D252&lt;&gt;"",VLOOKUP($D252,'SINAPI MAIO 2020'!$1:$1048576,3,FALSE),"")</f>
        <v xml:space="preserve">KG    </v>
      </c>
      <c r="G252" s="360">
        <v>4.5</v>
      </c>
      <c r="H252" s="583">
        <f>IF($D252&lt;&gt;"",VLOOKUP($D252,'SINAPI MAIO 2020'!$1:$1048576,4,FALSE),"")</f>
        <v>0.49</v>
      </c>
      <c r="I252" s="379">
        <f t="shared" si="25"/>
        <v>2.2000000000000002</v>
      </c>
    </row>
    <row r="253" spans="2:9">
      <c r="B253" s="543" t="s">
        <v>837</v>
      </c>
      <c r="C253" s="151" t="s">
        <v>8</v>
      </c>
      <c r="D253" s="368">
        <v>88309</v>
      </c>
      <c r="E253" s="334" t="str">
        <f>IF($D253&lt;&gt;"",VLOOKUP($D253,'SINAPI MAIO 2020'!$1:$1048576,2,FALSE),"")</f>
        <v>PEDREIRO COM ENCARGOS COMPLEMENTARES</v>
      </c>
      <c r="F253" s="335" t="str">
        <f>IF($D253&lt;&gt;"",VLOOKUP($D253,'SINAPI MAIO 2020'!$1:$1048576,3,FALSE),"")</f>
        <v>H</v>
      </c>
      <c r="G253" s="360">
        <v>4</v>
      </c>
      <c r="H253" s="583">
        <f>IF($D253&lt;&gt;"",VLOOKUP($D253,'SINAPI MAIO 2020'!$1:$1048576,4,FALSE),"")</f>
        <v>17.760000000000002</v>
      </c>
      <c r="I253" s="379">
        <f t="shared" si="25"/>
        <v>71.040000000000006</v>
      </c>
    </row>
    <row r="254" spans="2:9">
      <c r="B254" s="543" t="s">
        <v>837</v>
      </c>
      <c r="C254" s="151" t="s">
        <v>8</v>
      </c>
      <c r="D254" s="368">
        <v>88316</v>
      </c>
      <c r="E254" s="334" t="str">
        <f>IF($D254&lt;&gt;"",VLOOKUP($D254,'SINAPI MAIO 2020'!$1:$1048576,2,FALSE),"")</f>
        <v>SERVENTE COM ENCARGOS COMPLEMENTARES</v>
      </c>
      <c r="F254" s="335" t="str">
        <f>IF($D254&lt;&gt;"",VLOOKUP($D254,'SINAPI MAIO 2020'!$1:$1048576,3,FALSE),"")</f>
        <v>H</v>
      </c>
      <c r="G254" s="360">
        <v>4</v>
      </c>
      <c r="H254" s="583">
        <f>IF($D254&lt;&gt;"",VLOOKUP($D254,'SINAPI MAIO 2020'!$1:$1048576,4,FALSE),"")</f>
        <v>14.37</v>
      </c>
      <c r="I254" s="379">
        <f t="shared" si="25"/>
        <v>57.48</v>
      </c>
    </row>
    <row r="255" spans="2:9">
      <c r="B255" s="543"/>
      <c r="C255" s="151"/>
      <c r="D255" s="368"/>
      <c r="E255" s="334"/>
      <c r="F255" s="335"/>
      <c r="G255" s="570"/>
      <c r="H255" s="583"/>
      <c r="I255" s="379"/>
    </row>
    <row r="256" spans="2:9">
      <c r="B256" s="545" t="s">
        <v>12464</v>
      </c>
      <c r="C256" s="513"/>
      <c r="D256" s="513"/>
      <c r="E256" s="154" t="s">
        <v>6535</v>
      </c>
      <c r="F256" s="155" t="s">
        <v>817</v>
      </c>
      <c r="G256" s="367">
        <v>1</v>
      </c>
      <c r="H256" s="581"/>
      <c r="I256" s="582">
        <f>TRUNC(SUM(I257:I267),2)</f>
        <v>2674.85</v>
      </c>
    </row>
    <row r="257" spans="2:10" ht="25.5">
      <c r="B257" s="543" t="s">
        <v>6526</v>
      </c>
      <c r="C257" s="151" t="s">
        <v>980</v>
      </c>
      <c r="D257" s="351" t="s">
        <v>836</v>
      </c>
      <c r="E257" s="334" t="s">
        <v>6529</v>
      </c>
      <c r="F257" s="335" t="s">
        <v>35</v>
      </c>
      <c r="G257" s="360">
        <v>1</v>
      </c>
      <c r="H257" s="594">
        <v>509.97</v>
      </c>
      <c r="I257" s="379">
        <f t="shared" ref="I257:I267" si="26">TRUNC(H257*G257,2)</f>
        <v>509.97</v>
      </c>
    </row>
    <row r="258" spans="2:10" ht="25.5">
      <c r="B258" s="543" t="s">
        <v>837</v>
      </c>
      <c r="C258" s="151" t="s">
        <v>8</v>
      </c>
      <c r="D258" s="151">
        <v>95241</v>
      </c>
      <c r="E258" s="334" t="str">
        <f>IF($D258&lt;&gt;"",VLOOKUP($D258,'SINAPI MAIO 2020'!$1:$1048576,2,FALSE),"")</f>
        <v>LASTRO DE CONCRETO MAGRO, APLICADO EM PISOS OU RADIERS, ESPESSURA DE 5 CM. AF_07/2016</v>
      </c>
      <c r="F258" s="335" t="str">
        <f>IF($D258&lt;&gt;"",VLOOKUP($D258,'SINAPI MAIO 2020'!$1:$1048576,3,FALSE),"")</f>
        <v>M2</v>
      </c>
      <c r="G258" s="360">
        <f>2.2*2.2</f>
        <v>4.8400000000000007</v>
      </c>
      <c r="H258" s="583">
        <f>IF($D258&lt;&gt;"",VLOOKUP($D258,'SINAPI MAIO 2020'!$1:$1048576,4,FALSE),"")</f>
        <v>20.23</v>
      </c>
      <c r="I258" s="379">
        <f t="shared" si="26"/>
        <v>97.91</v>
      </c>
    </row>
    <row r="259" spans="2:10" ht="25.5">
      <c r="B259" s="543" t="s">
        <v>6526</v>
      </c>
      <c r="C259" s="151" t="s">
        <v>980</v>
      </c>
      <c r="D259" s="351" t="s">
        <v>836</v>
      </c>
      <c r="E259" s="334" t="s">
        <v>6530</v>
      </c>
      <c r="F259" s="335" t="s">
        <v>35</v>
      </c>
      <c r="G259" s="360">
        <v>1</v>
      </c>
      <c r="H259" s="594">
        <v>527.66999999999996</v>
      </c>
      <c r="I259" s="379">
        <f t="shared" si="26"/>
        <v>527.66999999999996</v>
      </c>
    </row>
    <row r="260" spans="2:10" ht="25.5">
      <c r="B260" s="543" t="s">
        <v>6526</v>
      </c>
      <c r="C260" s="151" t="s">
        <v>980</v>
      </c>
      <c r="D260" s="351" t="s">
        <v>836</v>
      </c>
      <c r="E260" s="334" t="s">
        <v>6531</v>
      </c>
      <c r="F260" s="335" t="s">
        <v>35</v>
      </c>
      <c r="G260" s="360">
        <v>1</v>
      </c>
      <c r="H260" s="594">
        <v>527.66999999999996</v>
      </c>
      <c r="I260" s="379">
        <f t="shared" si="26"/>
        <v>527.66999999999996</v>
      </c>
    </row>
    <row r="261" spans="2:10" ht="25.5">
      <c r="B261" s="543" t="s">
        <v>6526</v>
      </c>
      <c r="C261" s="151" t="s">
        <v>980</v>
      </c>
      <c r="D261" s="351" t="s">
        <v>836</v>
      </c>
      <c r="E261" s="334" t="s">
        <v>6532</v>
      </c>
      <c r="F261" s="335" t="s">
        <v>33</v>
      </c>
      <c r="G261" s="360">
        <v>3</v>
      </c>
      <c r="H261" s="583">
        <v>36.85</v>
      </c>
      <c r="I261" s="379">
        <f t="shared" si="26"/>
        <v>110.55</v>
      </c>
    </row>
    <row r="262" spans="2:10" ht="25.5">
      <c r="B262" s="543" t="s">
        <v>835</v>
      </c>
      <c r="C262" s="151" t="s">
        <v>8</v>
      </c>
      <c r="D262" s="151">
        <v>4722</v>
      </c>
      <c r="E262" s="334" t="str">
        <f>IF($D262&lt;&gt;"",VLOOKUP($D262,'SINAPI MAIO 2020'!$1:$1048576,2,FALSE),"")</f>
        <v>PEDRA BRITADA N. 3 (38 A 50 MM) POSTO PEDREIRA/FORNECEDOR, SEM FRETE</v>
      </c>
      <c r="F262" s="335" t="str">
        <f>IF($D262&lt;&gt;"",VLOOKUP($D262,'SINAPI MAIO 2020'!$1:$1048576,3,FALSE),"")</f>
        <v xml:space="preserve">M3    </v>
      </c>
      <c r="G262" s="360">
        <f>3.14*1.21*1.2</f>
        <v>4.5592799999999993</v>
      </c>
      <c r="H262" s="583">
        <f>IF($D262&lt;&gt;"",VLOOKUP($D262,'SINAPI MAIO 2020'!$1:$1048576,4,FALSE),"")</f>
        <v>80</v>
      </c>
      <c r="I262" s="379">
        <f t="shared" si="26"/>
        <v>364.74</v>
      </c>
    </row>
    <row r="263" spans="2:10" ht="25.5">
      <c r="B263" s="543" t="s">
        <v>835</v>
      </c>
      <c r="C263" s="151" t="s">
        <v>8</v>
      </c>
      <c r="D263" s="368">
        <v>11301</v>
      </c>
      <c r="E263" s="334" t="str">
        <f>IF($D263&lt;&gt;"",VLOOKUP($D263,'SINAPI MAIO 2020'!$1:$1048576,2,FALSE),"")</f>
        <v>TAMPAO FOFO ARTICULADO, CLASSE B125 CARGA MAX 12,5 T, REDONDO TAMPA 600 MM, REDE PLUVIAL/ESGOTO</v>
      </c>
      <c r="F263" s="335" t="str">
        <f>IF($D263&lt;&gt;"",VLOOKUP($D263,'SINAPI MAIO 2020'!$1:$1048576,3,FALSE),"")</f>
        <v xml:space="preserve">UN    </v>
      </c>
      <c r="G263" s="360">
        <v>1</v>
      </c>
      <c r="H263" s="583">
        <f>IF($D263&lt;&gt;"",VLOOKUP($D263,'SINAPI MAIO 2020'!$1:$1048576,4,FALSE),"")</f>
        <v>406.18</v>
      </c>
      <c r="I263" s="379">
        <f t="shared" si="26"/>
        <v>406.18</v>
      </c>
    </row>
    <row r="264" spans="2:10" ht="25.5">
      <c r="B264" s="543" t="s">
        <v>835</v>
      </c>
      <c r="C264" s="151" t="s">
        <v>8</v>
      </c>
      <c r="D264" s="368">
        <v>367</v>
      </c>
      <c r="E264" s="334" t="str">
        <f>IF($D264&lt;&gt;"",VLOOKUP($D264,'SINAPI MAIO 2020'!$1:$1048576,2,FALSE),"")</f>
        <v>AREIA GROSSA - POSTO JAZIDA/FORNECEDOR (RETIRADO NA JAZIDA, SEM TRANSPORTE)</v>
      </c>
      <c r="F264" s="335" t="str">
        <f>IF($D264&lt;&gt;"",VLOOKUP($D264,'SINAPI MAIO 2020'!$1:$1048576,3,FALSE),"")</f>
        <v xml:space="preserve">M3    </v>
      </c>
      <c r="G264" s="360">
        <v>0.01</v>
      </c>
      <c r="H264" s="583">
        <f>IF($D264&lt;&gt;"",VLOOKUP($D264,'SINAPI MAIO 2020'!$1:$1048576,4,FALSE),"")</f>
        <v>66.5</v>
      </c>
      <c r="I264" s="379">
        <f t="shared" si="26"/>
        <v>0.66</v>
      </c>
    </row>
    <row r="265" spans="2:10">
      <c r="B265" s="543" t="s">
        <v>835</v>
      </c>
      <c r="C265" s="151" t="s">
        <v>8</v>
      </c>
      <c r="D265" s="351">
        <v>1379</v>
      </c>
      <c r="E265" s="334" t="str">
        <f>IF($D265&lt;&gt;"",VLOOKUP($D265,'SINAPI MAIO 2020'!$1:$1048576,2,FALSE),"")</f>
        <v>CIMENTO PORTLAND COMPOSTO CP II-32</v>
      </c>
      <c r="F265" s="335" t="str">
        <f>IF($D265&lt;&gt;"",VLOOKUP($D265,'SINAPI MAIO 2020'!$1:$1048576,3,FALSE),"")</f>
        <v xml:space="preserve">KG    </v>
      </c>
      <c r="G265" s="360">
        <v>2</v>
      </c>
      <c r="H265" s="583">
        <f>IF($D265&lt;&gt;"",VLOOKUP($D265,'SINAPI MAIO 2020'!$1:$1048576,4,FALSE),"")</f>
        <v>0.49</v>
      </c>
      <c r="I265" s="379">
        <f t="shared" si="26"/>
        <v>0.98</v>
      </c>
    </row>
    <row r="266" spans="2:10">
      <c r="B266" s="543" t="s">
        <v>837</v>
      </c>
      <c r="C266" s="152" t="s">
        <v>8</v>
      </c>
      <c r="D266" s="152">
        <v>88309</v>
      </c>
      <c r="E266" s="334" t="str">
        <f>IF($D266&lt;&gt;"",VLOOKUP($D266,'SINAPI MAIO 2020'!$1:$1048576,2,FALSE),"")</f>
        <v>PEDREIRO COM ENCARGOS COMPLEMENTARES</v>
      </c>
      <c r="F266" s="335" t="str">
        <f>IF($D266&lt;&gt;"",VLOOKUP($D266,'SINAPI MAIO 2020'!$1:$1048576,3,FALSE),"")</f>
        <v>H</v>
      </c>
      <c r="G266" s="360">
        <v>4</v>
      </c>
      <c r="H266" s="583">
        <f>IF($D266&lt;&gt;"",VLOOKUP($D266,'SINAPI MAIO 2020'!$1:$1048576,4,FALSE),"")</f>
        <v>17.760000000000002</v>
      </c>
      <c r="I266" s="379">
        <f t="shared" si="26"/>
        <v>71.040000000000006</v>
      </c>
    </row>
    <row r="267" spans="2:10">
      <c r="B267" s="543" t="s">
        <v>837</v>
      </c>
      <c r="C267" s="151" t="s">
        <v>8</v>
      </c>
      <c r="D267" s="368">
        <v>88316</v>
      </c>
      <c r="E267" s="334" t="str">
        <f>IF($D267&lt;&gt;"",VLOOKUP($D267,'SINAPI MAIO 2020'!$1:$1048576,2,FALSE),"")</f>
        <v>SERVENTE COM ENCARGOS COMPLEMENTARES</v>
      </c>
      <c r="F267" s="335" t="str">
        <f>IF($D267&lt;&gt;"",VLOOKUP($D267,'SINAPI MAIO 2020'!$1:$1048576,3,FALSE),"")</f>
        <v>H</v>
      </c>
      <c r="G267" s="360">
        <v>4</v>
      </c>
      <c r="H267" s="583">
        <f>IF($D267&lt;&gt;"",VLOOKUP($D267,'SINAPI MAIO 2020'!$1:$1048576,4,FALSE),"")</f>
        <v>14.37</v>
      </c>
      <c r="I267" s="379">
        <f t="shared" si="26"/>
        <v>57.48</v>
      </c>
    </row>
    <row r="268" spans="2:10">
      <c r="B268" s="543"/>
      <c r="C268" s="151"/>
      <c r="D268" s="351"/>
      <c r="E268" s="417"/>
      <c r="F268" s="151"/>
      <c r="G268" s="524"/>
      <c r="H268" s="594"/>
      <c r="I268" s="379"/>
    </row>
    <row r="269" spans="2:10">
      <c r="B269" s="545" t="s">
        <v>12465</v>
      </c>
      <c r="C269" s="513"/>
      <c r="D269" s="513"/>
      <c r="E269" s="154" t="s">
        <v>6536</v>
      </c>
      <c r="F269" s="155" t="s">
        <v>817</v>
      </c>
      <c r="G269" s="367">
        <v>1</v>
      </c>
      <c r="H269" s="581"/>
      <c r="I269" s="582">
        <f>TRUNC(SUM(I270:I278),2)</f>
        <v>2320.96</v>
      </c>
      <c r="J269" s="352"/>
    </row>
    <row r="270" spans="2:10" ht="38.25">
      <c r="B270" s="543" t="s">
        <v>6526</v>
      </c>
      <c r="C270" s="151" t="s">
        <v>980</v>
      </c>
      <c r="D270" s="351" t="s">
        <v>836</v>
      </c>
      <c r="E270" s="334" t="s">
        <v>6533</v>
      </c>
      <c r="F270" s="335" t="s">
        <v>35</v>
      </c>
      <c r="G270" s="360">
        <v>2</v>
      </c>
      <c r="H270" s="594">
        <v>560.97</v>
      </c>
      <c r="I270" s="379">
        <f t="shared" ref="I270:I278" si="27">TRUNC(H270*G270,2)</f>
        <v>1121.94</v>
      </c>
    </row>
    <row r="271" spans="2:10" ht="25.5">
      <c r="B271" s="543" t="s">
        <v>6526</v>
      </c>
      <c r="C271" s="151" t="s">
        <v>980</v>
      </c>
      <c r="D271" s="368" t="s">
        <v>836</v>
      </c>
      <c r="E271" s="334" t="s">
        <v>6528</v>
      </c>
      <c r="F271" s="335" t="s">
        <v>35</v>
      </c>
      <c r="G271" s="360">
        <v>1</v>
      </c>
      <c r="H271" s="594">
        <v>527.66999999999996</v>
      </c>
      <c r="I271" s="379">
        <f t="shared" si="27"/>
        <v>527.66999999999996</v>
      </c>
    </row>
    <row r="272" spans="2:10" ht="25.5">
      <c r="B272" s="543" t="s">
        <v>837</v>
      </c>
      <c r="C272" s="151" t="s">
        <v>8</v>
      </c>
      <c r="D272" s="351">
        <v>11301</v>
      </c>
      <c r="E272" s="334" t="str">
        <f>IF($D272&lt;&gt;"",VLOOKUP($D272,'SINAPI MAIO 2020'!$1:$1048576,2,FALSE),"")</f>
        <v>TAMPAO FOFO ARTICULADO, CLASSE B125 CARGA MAX 12,5 T, REDONDO TAMPA 600 MM, REDE PLUVIAL/ESGOTO</v>
      </c>
      <c r="F272" s="335" t="str">
        <f>IF($D272&lt;&gt;"",VLOOKUP($D272,'SINAPI MAIO 2020'!$1:$1048576,3,FALSE),"")</f>
        <v xml:space="preserve">UN    </v>
      </c>
      <c r="G272" s="360">
        <v>1</v>
      </c>
      <c r="H272" s="583">
        <f>IF($D272&lt;&gt;"",VLOOKUP($D272,'SINAPI MAIO 2020'!$1:$1048576,4,FALSE),"")</f>
        <v>406.18</v>
      </c>
      <c r="I272" s="379">
        <f t="shared" si="27"/>
        <v>406.18</v>
      </c>
    </row>
    <row r="273" spans="2:10" ht="38.25">
      <c r="B273" s="543" t="s">
        <v>835</v>
      </c>
      <c r="C273" s="151" t="s">
        <v>8</v>
      </c>
      <c r="D273" s="351">
        <v>123</v>
      </c>
      <c r="E273" s="334" t="str">
        <f>IF($D273&lt;&gt;"",VLOOKUP($D273,'SINAPI MAIO 2020'!$1:$1048576,2,FALSE),"")</f>
        <v>ADITIVO IMPERMEABILIZANTE DE PEGA NORMAL PARA ARGAMASSAS E CONCRETOS SEM ARMACAO, LIQUIDO E ISENTO DE CLORETOS</v>
      </c>
      <c r="F273" s="335" t="str">
        <f>IF($D273&lt;&gt;"",VLOOKUP($D273,'SINAPI MAIO 2020'!$1:$1048576,3,FALSE),"")</f>
        <v xml:space="preserve">L     </v>
      </c>
      <c r="G273" s="360">
        <v>1</v>
      </c>
      <c r="H273" s="583">
        <f>IF($D273&lt;&gt;"",VLOOKUP($D273,'SINAPI MAIO 2020'!$1:$1048576,4,FALSE),"")</f>
        <v>5.04</v>
      </c>
      <c r="I273" s="379">
        <f t="shared" si="27"/>
        <v>5.04</v>
      </c>
    </row>
    <row r="274" spans="2:10" ht="25.5">
      <c r="B274" s="543" t="s">
        <v>835</v>
      </c>
      <c r="C274" s="151" t="s">
        <v>8</v>
      </c>
      <c r="D274" s="351">
        <v>367</v>
      </c>
      <c r="E274" s="334" t="str">
        <f>IF($D274&lt;&gt;"",VLOOKUP($D274,'SINAPI MAIO 2020'!$1:$1048576,2,FALSE),"")</f>
        <v>AREIA GROSSA - POSTO JAZIDA/FORNECEDOR (RETIRADO NA JAZIDA, SEM TRANSPORTE)</v>
      </c>
      <c r="F274" s="335" t="str">
        <f>IF($D274&lt;&gt;"",VLOOKUP($D274,'SINAPI MAIO 2020'!$1:$1048576,3,FALSE),"")</f>
        <v xml:space="preserve">M3    </v>
      </c>
      <c r="G274" s="360">
        <v>0.01</v>
      </c>
      <c r="H274" s="583">
        <f>IF($D274&lt;&gt;"",VLOOKUP($D274,'SINAPI MAIO 2020'!$1:$1048576,4,FALSE),"")</f>
        <v>66.5</v>
      </c>
      <c r="I274" s="379">
        <f t="shared" si="27"/>
        <v>0.66</v>
      </c>
    </row>
    <row r="275" spans="2:10">
      <c r="B275" s="543" t="s">
        <v>835</v>
      </c>
      <c r="C275" s="151" t="s">
        <v>8</v>
      </c>
      <c r="D275" s="368">
        <v>1379</v>
      </c>
      <c r="E275" s="334" t="str">
        <f>IF($D275&lt;&gt;"",VLOOKUP($D275,'SINAPI MAIO 2020'!$1:$1048576,2,FALSE),"")</f>
        <v>CIMENTO PORTLAND COMPOSTO CP II-32</v>
      </c>
      <c r="F275" s="335" t="str">
        <f>IF($D275&lt;&gt;"",VLOOKUP($D275,'SINAPI MAIO 2020'!$1:$1048576,3,FALSE),"")</f>
        <v xml:space="preserve">KG    </v>
      </c>
      <c r="G275" s="360">
        <v>2.5</v>
      </c>
      <c r="H275" s="583">
        <f>IF($D275&lt;&gt;"",VLOOKUP($D275,'SINAPI MAIO 2020'!$1:$1048576,4,FALSE),"")</f>
        <v>0.49</v>
      </c>
      <c r="I275" s="379">
        <f t="shared" si="27"/>
        <v>1.22</v>
      </c>
    </row>
    <row r="276" spans="2:10">
      <c r="B276" s="543" t="s">
        <v>837</v>
      </c>
      <c r="C276" s="151" t="s">
        <v>8</v>
      </c>
      <c r="D276" s="368">
        <v>88309</v>
      </c>
      <c r="E276" s="334" t="str">
        <f>IF($D276&lt;&gt;"",VLOOKUP($D276,'SINAPI MAIO 2020'!$1:$1048576,2,FALSE),"")</f>
        <v>PEDREIRO COM ENCARGOS COMPLEMENTARES</v>
      </c>
      <c r="F276" s="335" t="str">
        <f>IF($D276&lt;&gt;"",VLOOKUP($D276,'SINAPI MAIO 2020'!$1:$1048576,3,FALSE),"")</f>
        <v>H</v>
      </c>
      <c r="G276" s="360">
        <v>4</v>
      </c>
      <c r="H276" s="583">
        <f>IF($D276&lt;&gt;"",VLOOKUP($D276,'SINAPI MAIO 2020'!$1:$1048576,4,FALSE),"")</f>
        <v>17.760000000000002</v>
      </c>
      <c r="I276" s="379">
        <f t="shared" si="27"/>
        <v>71.040000000000006</v>
      </c>
    </row>
    <row r="277" spans="2:10">
      <c r="B277" s="543" t="s">
        <v>837</v>
      </c>
      <c r="C277" s="151" t="s">
        <v>8</v>
      </c>
      <c r="D277" s="368">
        <v>88316</v>
      </c>
      <c r="E277" s="334" t="str">
        <f>IF($D277&lt;&gt;"",VLOOKUP($D277,'SINAPI MAIO 2020'!$1:$1048576,2,FALSE),"")</f>
        <v>SERVENTE COM ENCARGOS COMPLEMENTARES</v>
      </c>
      <c r="F277" s="335" t="str">
        <f>IF($D277&lt;&gt;"",VLOOKUP($D277,'SINAPI MAIO 2020'!$1:$1048576,3,FALSE),"")</f>
        <v>H</v>
      </c>
      <c r="G277" s="360">
        <v>4</v>
      </c>
      <c r="H277" s="583">
        <f>IF($D277&lt;&gt;"",VLOOKUP($D277,'SINAPI MAIO 2020'!$1:$1048576,4,FALSE),"")</f>
        <v>14.37</v>
      </c>
      <c r="I277" s="379">
        <f t="shared" si="27"/>
        <v>57.48</v>
      </c>
      <c r="J277" s="352"/>
    </row>
    <row r="278" spans="2:10" ht="46.5" customHeight="1">
      <c r="B278" s="543" t="s">
        <v>837</v>
      </c>
      <c r="C278" s="151" t="s">
        <v>8</v>
      </c>
      <c r="D278" s="368">
        <v>100324</v>
      </c>
      <c r="E278" s="334" t="str">
        <f>IF($D278&lt;&gt;"",VLOOKUP($D278,'SINAPI MAIO 2020'!$1:$1048576,2,FALSE),"")</f>
        <v>LASTRO COM MATERIAL GRANULAR (PEDRA BRITADA N.1 E PEDRA BRITADA N.2), APLICADO EM PISOS OU RADIERS, ESPESSURA DE *10 CM*. AF_07/2019</v>
      </c>
      <c r="F278" s="335" t="str">
        <f>IF($D278&lt;&gt;"",VLOOKUP($D278,'SINAPI MAIO 2020'!$1:$1048576,3,FALSE),"")</f>
        <v>M3</v>
      </c>
      <c r="G278" s="360">
        <f>(((3.14)*((1.1)^2)*0.3))</f>
        <v>1.1398200000000003</v>
      </c>
      <c r="H278" s="583">
        <f>IF($D278&lt;&gt;"",VLOOKUP($D278,'SINAPI MAIO 2020'!$1:$1048576,4,FALSE),"")</f>
        <v>113.82</v>
      </c>
      <c r="I278" s="379">
        <f t="shared" si="27"/>
        <v>129.72999999999999</v>
      </c>
    </row>
    <row r="279" spans="2:10">
      <c r="B279" s="544"/>
      <c r="C279" s="514"/>
      <c r="D279" s="514"/>
      <c r="E279" s="515"/>
      <c r="F279" s="514"/>
      <c r="G279" s="560"/>
      <c r="H279" s="585"/>
      <c r="I279" s="585"/>
    </row>
    <row r="280" spans="2:10">
      <c r="B280" s="795" t="s">
        <v>4477</v>
      </c>
      <c r="C280" s="795"/>
      <c r="D280" s="795"/>
      <c r="E280" s="795"/>
      <c r="F280" s="795"/>
      <c r="G280" s="795"/>
      <c r="H280" s="795"/>
      <c r="I280" s="795"/>
    </row>
    <row r="281" spans="2:10">
      <c r="B281" s="543"/>
      <c r="C281" s="151"/>
      <c r="D281" s="152"/>
      <c r="E281" s="334"/>
      <c r="F281" s="335"/>
      <c r="G281" s="360"/>
      <c r="H281" s="583"/>
      <c r="I281" s="379"/>
    </row>
    <row r="282" spans="2:10">
      <c r="B282" s="543"/>
      <c r="C282" s="151"/>
      <c r="D282" s="351"/>
      <c r="E282" s="417"/>
      <c r="F282" s="151"/>
      <c r="G282" s="524"/>
      <c r="H282" s="585"/>
      <c r="I282" s="379"/>
    </row>
    <row r="283" spans="2:10" ht="25.5">
      <c r="B283" s="359" t="s">
        <v>4693</v>
      </c>
      <c r="C283" s="513"/>
      <c r="D283" s="513"/>
      <c r="E283" s="154" t="s">
        <v>4476</v>
      </c>
      <c r="F283" s="155" t="s">
        <v>817</v>
      </c>
      <c r="G283" s="367">
        <v>1</v>
      </c>
      <c r="H283" s="581"/>
      <c r="I283" s="582">
        <f>TRUNC(SUM(I284:I302),2)</f>
        <v>2413.2399999999998</v>
      </c>
    </row>
    <row r="284" spans="2:10" ht="25.5">
      <c r="B284" s="543" t="s">
        <v>837</v>
      </c>
      <c r="C284" s="151" t="s">
        <v>8</v>
      </c>
      <c r="D284" s="156">
        <v>97086</v>
      </c>
      <c r="E284" s="334" t="str">
        <f>IF($D284&lt;&gt;"",VLOOKUP($D284,'SINAPI MAIO 2020'!$1:$1048576,2,FALSE),"")</f>
        <v>FABRICAÇÃO, MONTAGEM E DESMONTAGEM DE FORMA PARA RADIER, EM MADEIRA SERRADA, 4 UTILIZAÇÕES. AF_09/2017</v>
      </c>
      <c r="F284" s="335" t="str">
        <f>IF($D284&lt;&gt;"",VLOOKUP($D284,'SINAPI MAIO 2020'!$1:$1048576,3,FALSE),"")</f>
        <v>M2</v>
      </c>
      <c r="G284" s="571">
        <f>(2*2+0.9*2)*0.15</f>
        <v>0.87</v>
      </c>
      <c r="H284" s="583">
        <f>IF($D284&lt;&gt;"",VLOOKUP($D284,'SINAPI MAIO 2020'!$1:$1048576,4,FALSE),"")</f>
        <v>74.790000000000006</v>
      </c>
      <c r="I284" s="379">
        <f t="shared" ref="I284:I302" si="28">TRUNC(H284*G284,2)</f>
        <v>65.06</v>
      </c>
    </row>
    <row r="285" spans="2:10" ht="25.5">
      <c r="B285" s="543" t="s">
        <v>837</v>
      </c>
      <c r="C285" s="151" t="s">
        <v>8</v>
      </c>
      <c r="D285" s="156">
        <v>92793</v>
      </c>
      <c r="E285" s="334" t="str">
        <f>IF($D285&lt;&gt;"",VLOOKUP($D285,'SINAPI MAIO 2020'!$1:$1048576,2,FALSE),"")</f>
        <v>CORTE E DOBRA DE AÇO CA-50, DIÂMETRO DE 8,0 MM, UTILIZADO EM ESTRUTURAS DIVERSAS, EXCETO LAJES. AF_12/2015</v>
      </c>
      <c r="F285" s="335" t="str">
        <f>IF($D285&lt;&gt;"",VLOOKUP($D285,'SINAPI MAIO 2020'!$1:$1048576,3,FALSE),"")</f>
        <v>KG</v>
      </c>
      <c r="G285" s="571">
        <f>G286*10</f>
        <v>3</v>
      </c>
      <c r="H285" s="583">
        <f>IF($D285&lt;&gt;"",VLOOKUP($D285,'SINAPI MAIO 2020'!$1:$1048576,4,FALSE),"")</f>
        <v>6.49</v>
      </c>
      <c r="I285" s="379">
        <f t="shared" si="28"/>
        <v>19.47</v>
      </c>
    </row>
    <row r="286" spans="2:10" ht="40.5" customHeight="1">
      <c r="B286" s="543" t="s">
        <v>837</v>
      </c>
      <c r="C286" s="151" t="s">
        <v>8</v>
      </c>
      <c r="D286" s="368">
        <v>94965</v>
      </c>
      <c r="E286" s="334" t="str">
        <f>IF($D286&lt;&gt;"",VLOOKUP($D286,'SINAPI MAIO 2020'!$1:$1048576,2,FALSE),"")</f>
        <v>CONCRETO FCK = 25MPA, TRAÇO 1:2,3:2,7 (CIMENTO/ AREIA MÉDIA/ BRITA 1)  - PREPARO MECÂNICO COM BETONEIRA 400 L. AF_07/2016</v>
      </c>
      <c r="F286" s="335" t="str">
        <f>IF($D286&lt;&gt;"",VLOOKUP($D286,'SINAPI MAIO 2020'!$1:$1048576,3,FALSE),"")</f>
        <v>M3</v>
      </c>
      <c r="G286" s="571">
        <f>2*1*0.15</f>
        <v>0.3</v>
      </c>
      <c r="H286" s="583">
        <f>IF($D286&lt;&gt;"",VLOOKUP($D286,'SINAPI MAIO 2020'!$1:$1048576,4,FALSE),"")</f>
        <v>323.58</v>
      </c>
      <c r="I286" s="379">
        <f t="shared" si="28"/>
        <v>97.07</v>
      </c>
    </row>
    <row r="287" spans="2:10" ht="25.5">
      <c r="B287" s="543" t="s">
        <v>837</v>
      </c>
      <c r="C287" s="151" t="s">
        <v>8</v>
      </c>
      <c r="D287" s="156">
        <v>92873</v>
      </c>
      <c r="E287" s="334" t="str">
        <f>IF($D287&lt;&gt;"",VLOOKUP($D287,'SINAPI MAIO 2020'!$1:$1048576,2,FALSE),"")</f>
        <v>LANÇAMENTO COM USO DE BALDES, ADENSAMENTO E ACABAMENTO DE CONCRETO EM ESTRUTURAS. AF_12/2015</v>
      </c>
      <c r="F287" s="335" t="str">
        <f>IF($D287&lt;&gt;"",VLOOKUP($D287,'SINAPI MAIO 2020'!$1:$1048576,3,FALSE),"")</f>
        <v>M3</v>
      </c>
      <c r="G287" s="571">
        <f>G286</f>
        <v>0.3</v>
      </c>
      <c r="H287" s="583">
        <f>IF($D287&lt;&gt;"",VLOOKUP($D287,'SINAPI MAIO 2020'!$1:$1048576,4,FALSE),"")</f>
        <v>146.37</v>
      </c>
      <c r="I287" s="379">
        <f t="shared" si="28"/>
        <v>43.91</v>
      </c>
    </row>
    <row r="288" spans="2:10">
      <c r="B288" s="543" t="s">
        <v>837</v>
      </c>
      <c r="C288" s="151" t="s">
        <v>8</v>
      </c>
      <c r="D288" s="156">
        <v>88309</v>
      </c>
      <c r="E288" s="334" t="str">
        <f>IF($D288&lt;&gt;"",VLOOKUP($D288,'SINAPI MAIO 2020'!$1:$1048576,2,FALSE),"")</f>
        <v>PEDREIRO COM ENCARGOS COMPLEMENTARES</v>
      </c>
      <c r="F288" s="335" t="str">
        <f>IF($D288&lt;&gt;"",VLOOKUP($D288,'SINAPI MAIO 2020'!$1:$1048576,3,FALSE),"")</f>
        <v>H</v>
      </c>
      <c r="G288" s="571">
        <v>0.3</v>
      </c>
      <c r="H288" s="583">
        <f>IF($D288&lt;&gt;"",VLOOKUP($D288,'SINAPI MAIO 2020'!$1:$1048576,4,FALSE),"")</f>
        <v>17.760000000000002</v>
      </c>
      <c r="I288" s="379">
        <f t="shared" si="28"/>
        <v>5.32</v>
      </c>
    </row>
    <row r="289" spans="2:9">
      <c r="B289" s="543" t="s">
        <v>837</v>
      </c>
      <c r="C289" s="151" t="s">
        <v>8</v>
      </c>
      <c r="D289" s="156">
        <v>88316</v>
      </c>
      <c r="E289" s="334" t="str">
        <f>IF($D289&lt;&gt;"",VLOOKUP($D289,'SINAPI MAIO 2020'!$1:$1048576,2,FALSE),"")</f>
        <v>SERVENTE COM ENCARGOS COMPLEMENTARES</v>
      </c>
      <c r="F289" s="335" t="str">
        <f>IF($D289&lt;&gt;"",VLOOKUP($D289,'SINAPI MAIO 2020'!$1:$1048576,3,FALSE),"")</f>
        <v>H</v>
      </c>
      <c r="G289" s="571">
        <v>0.2</v>
      </c>
      <c r="H289" s="583">
        <f>IF($D289&lt;&gt;"",VLOOKUP($D289,'SINAPI MAIO 2020'!$1:$1048576,4,FALSE),"")</f>
        <v>14.37</v>
      </c>
      <c r="I289" s="379">
        <f t="shared" ref="I289:I291" si="29">TRUNC(H289*G289,2)</f>
        <v>2.87</v>
      </c>
    </row>
    <row r="290" spans="2:9">
      <c r="B290" s="543" t="s">
        <v>835</v>
      </c>
      <c r="C290" s="151" t="s">
        <v>8</v>
      </c>
      <c r="D290" s="156">
        <v>134</v>
      </c>
      <c r="E290" s="334" t="str">
        <f>IF($D290&lt;&gt;"",VLOOKUP($D290,'SINAPI MAIO 2020'!$1:$1048576,2,FALSE),"")</f>
        <v>GRAUTE CIMENTICIO PARA USO GERAL</v>
      </c>
      <c r="F290" s="335" t="str">
        <f>IF($D290&lt;&gt;"",VLOOKUP($D290,'SINAPI MAIO 2020'!$1:$1048576,3,FALSE),"")</f>
        <v xml:space="preserve">KG    </v>
      </c>
      <c r="G290" s="571">
        <v>0.15</v>
      </c>
      <c r="H290" s="583">
        <f>IF($D290&lt;&gt;"",VLOOKUP($D290,'SINAPI MAIO 2020'!$1:$1048576,4,FALSE),"")</f>
        <v>1.18</v>
      </c>
      <c r="I290" s="379">
        <f t="shared" si="29"/>
        <v>0.17</v>
      </c>
    </row>
    <row r="291" spans="2:9">
      <c r="B291" s="543" t="s">
        <v>835</v>
      </c>
      <c r="C291" s="151" t="s">
        <v>8</v>
      </c>
      <c r="D291" s="156">
        <v>1379</v>
      </c>
      <c r="E291" s="334" t="str">
        <f>IF($D291&lt;&gt;"",VLOOKUP($D291,'SINAPI MAIO 2020'!$1:$1048576,2,FALSE),"")</f>
        <v>CIMENTO PORTLAND COMPOSTO CP II-32</v>
      </c>
      <c r="F291" s="335" t="str">
        <f>IF($D291&lt;&gt;"",VLOOKUP($D291,'SINAPI MAIO 2020'!$1:$1048576,3,FALSE),"")</f>
        <v xml:space="preserve">KG    </v>
      </c>
      <c r="G291" s="571">
        <v>0.15</v>
      </c>
      <c r="H291" s="583">
        <f>IF($D291&lt;&gt;"",VLOOKUP($D291,'SINAPI MAIO 2020'!$1:$1048576,4,FALSE),"")</f>
        <v>0.49</v>
      </c>
      <c r="I291" s="379">
        <f t="shared" si="29"/>
        <v>7.0000000000000007E-2</v>
      </c>
    </row>
    <row r="292" spans="2:9" ht="63.75">
      <c r="B292" s="543" t="s">
        <v>837</v>
      </c>
      <c r="C292" s="151" t="s">
        <v>8</v>
      </c>
      <c r="D292" s="156">
        <v>89312</v>
      </c>
      <c r="E292" s="334" t="str">
        <f>IF($D292&lt;&gt;"",VLOOKUP($D292,'SINAPI MAIO 2020'!$1:$1048576,2,FALSE),"")</f>
        <v>ALVENARIA ESTRUTURAL DE BLOCOS CERÂMICOS 14X19X29, (ESPESSURA DE 14 CM), PARA PAREDES COM ÁREA LÍQUIDA MAIOR OU IGUAL A 6M², COM VÃOS, UTILIZANDO COLHER DE PEDREIRO E ARGAMASSA DE ASSENTAMENTO COM PREPARO EM BETONEIRA. AF_12/2014</v>
      </c>
      <c r="F292" s="335" t="str">
        <f>IF($D292&lt;&gt;"",VLOOKUP($D292,'SINAPI MAIO 2020'!$1:$1048576,3,FALSE),"")</f>
        <v>M2</v>
      </c>
      <c r="G292" s="571">
        <f>(0.6*2+1.5)*1.5</f>
        <v>4.0500000000000007</v>
      </c>
      <c r="H292" s="583">
        <f>IF($D292&lt;&gt;"",VLOOKUP($D292,'SINAPI MAIO 2020'!$1:$1048576,4,FALSE),"")</f>
        <v>68.459999999999994</v>
      </c>
      <c r="I292" s="379">
        <f t="shared" si="28"/>
        <v>277.26</v>
      </c>
    </row>
    <row r="293" spans="2:9" ht="51">
      <c r="B293" s="543" t="s">
        <v>837</v>
      </c>
      <c r="C293" s="151" t="s">
        <v>8</v>
      </c>
      <c r="D293" s="156">
        <v>87905</v>
      </c>
      <c r="E293" s="334" t="str">
        <f>IF($D293&lt;&gt;"",VLOOKUP($D293,'SINAPI MAIO 2020'!$1:$1048576,2,FALSE),"")</f>
        <v>CHAPISCO APLICADO EM ALVENARIA (COM PRESENÇA DE VÃOS) E ESTRUTURAS DE CONCRETO DE FACHADA, COM COLHER DE PEDREIRO.  ARGAMASSA TRAÇO 1:3 COM PREPARO EM BETONEIRA 400L. AF_06/2014</v>
      </c>
      <c r="F293" s="335" t="str">
        <f>IF($D293&lt;&gt;"",VLOOKUP($D293,'SINAPI MAIO 2020'!$1:$1048576,3,FALSE),"")</f>
        <v>M2</v>
      </c>
      <c r="G293" s="571">
        <f>G292*2</f>
        <v>8.1000000000000014</v>
      </c>
      <c r="H293" s="583">
        <f>IF($D293&lt;&gt;"",VLOOKUP($D293,'SINAPI MAIO 2020'!$1:$1048576,4,FALSE),"")</f>
        <v>5.93</v>
      </c>
      <c r="I293" s="379">
        <f t="shared" si="28"/>
        <v>48.03</v>
      </c>
    </row>
    <row r="294" spans="2:9" ht="51">
      <c r="B294" s="543" t="s">
        <v>837</v>
      </c>
      <c r="C294" s="151" t="s">
        <v>8</v>
      </c>
      <c r="D294" s="156">
        <v>87529</v>
      </c>
      <c r="E294" s="334" t="str">
        <f>IF($D294&lt;&gt;"",VLOOKUP($D294,'SINAPI MAIO 2020'!$1:$1048576,2,FALSE),"")</f>
        <v>MASSA ÚNICA, PARA RECEBIMENTO DE PINTURA, EM ARGAMASSA TRAÇO 1:2:8, PREPARO MECÂNICO COM BETONEIRA 400L, APLICADA MANUALMENTE EM FACES INTERNAS DE PAREDES, ESPESSURA DE 20MM, COM EXECUÇÃO DE TALISCAS. AF_06/2014</v>
      </c>
      <c r="F294" s="335" t="str">
        <f>IF($D294&lt;&gt;"",VLOOKUP($D294,'SINAPI MAIO 2020'!$1:$1048576,3,FALSE),"")</f>
        <v>M2</v>
      </c>
      <c r="G294" s="571">
        <f>G293</f>
        <v>8.1000000000000014</v>
      </c>
      <c r="H294" s="583">
        <f>IF($D294&lt;&gt;"",VLOOKUP($D294,'SINAPI MAIO 2020'!$1:$1048576,4,FALSE),"")</f>
        <v>23.45</v>
      </c>
      <c r="I294" s="379">
        <f t="shared" si="28"/>
        <v>189.94</v>
      </c>
    </row>
    <row r="295" spans="2:9" ht="25.5">
      <c r="B295" s="543" t="s">
        <v>837</v>
      </c>
      <c r="C295" s="151" t="s">
        <v>8</v>
      </c>
      <c r="D295" s="156">
        <v>88415</v>
      </c>
      <c r="E295" s="334" t="str">
        <f>IF($D295&lt;&gt;"",VLOOKUP($D295,'SINAPI MAIO 2020'!$1:$1048576,2,FALSE),"")</f>
        <v>APLICAÇÃO MANUAL DE FUNDO SELADOR ACRÍLICO EM PAREDES EXTERNAS DE CASAS. AF_06/2014</v>
      </c>
      <c r="F295" s="335" t="str">
        <f>IF($D295&lt;&gt;"",VLOOKUP($D295,'SINAPI MAIO 2020'!$1:$1048576,3,FALSE),"")</f>
        <v>M2</v>
      </c>
      <c r="G295" s="571">
        <f>G294</f>
        <v>8.1000000000000014</v>
      </c>
      <c r="H295" s="583">
        <f>IF($D295&lt;&gt;"",VLOOKUP($D295,'SINAPI MAIO 2020'!$1:$1048576,4,FALSE),"")</f>
        <v>1.85</v>
      </c>
      <c r="I295" s="379">
        <f t="shared" si="28"/>
        <v>14.98</v>
      </c>
    </row>
    <row r="296" spans="2:9" ht="25.5">
      <c r="B296" s="543" t="s">
        <v>837</v>
      </c>
      <c r="C296" s="151" t="s">
        <v>8</v>
      </c>
      <c r="D296" s="156">
        <v>88489</v>
      </c>
      <c r="E296" s="334" t="str">
        <f>IF($D296&lt;&gt;"",VLOOKUP($D296,'SINAPI MAIO 2020'!$1:$1048576,2,FALSE),"")</f>
        <v>APLICAÇÃO MANUAL DE PINTURA COM TINTA LÁTEX ACRÍLICA EM PAREDES, DUAS DEMÃOS. AF_06/2014</v>
      </c>
      <c r="F296" s="335" t="str">
        <f>IF($D296&lt;&gt;"",VLOOKUP($D296,'SINAPI MAIO 2020'!$1:$1048576,3,FALSE),"")</f>
        <v>M2</v>
      </c>
      <c r="G296" s="571">
        <f>G295</f>
        <v>8.1000000000000014</v>
      </c>
      <c r="H296" s="583">
        <f>IF($D296&lt;&gt;"",VLOOKUP($D296,'SINAPI MAIO 2020'!$1:$1048576,4,FALSE),"")</f>
        <v>11.3</v>
      </c>
      <c r="I296" s="379">
        <f t="shared" si="28"/>
        <v>91.53</v>
      </c>
    </row>
    <row r="297" spans="2:9" ht="45.75" customHeight="1">
      <c r="B297" s="543" t="s">
        <v>837</v>
      </c>
      <c r="C297" s="151" t="s">
        <v>8</v>
      </c>
      <c r="D297" s="156">
        <v>37562</v>
      </c>
      <c r="E297" s="334" t="str">
        <f>IF($D297&lt;&gt;"",VLOOKUP($D297,'SINAPI MAIO 2020'!$1:$1048576,2,FALSE),"")</f>
        <v>PORTAO DE CORRER EM GRADIL FIXO DE BARRA DE FERRO CHATA DE 3 X 1/4" NA VERTICAL, SEM REQUADRO, ACABAMENTO NATURAL, COM TRILHOS E ROLDANAS</v>
      </c>
      <c r="F297" s="335" t="s">
        <v>48</v>
      </c>
      <c r="G297" s="571">
        <f>1.5*1.5</f>
        <v>2.25</v>
      </c>
      <c r="H297" s="583">
        <f>IF($D297&lt;&gt;"",VLOOKUP($D297,'SINAPI MAIO 2020'!$1:$1048576,4,FALSE),"")</f>
        <v>517.91</v>
      </c>
      <c r="I297" s="379">
        <f t="shared" si="28"/>
        <v>1165.29</v>
      </c>
    </row>
    <row r="298" spans="2:9" ht="38.25">
      <c r="B298" s="543" t="s">
        <v>837</v>
      </c>
      <c r="C298" s="151" t="s">
        <v>8</v>
      </c>
      <c r="D298" s="156">
        <v>92448</v>
      </c>
      <c r="E298" s="334" t="str">
        <f>IF($D298&lt;&gt;"",VLOOKUP($D298,'SINAPI MAIO 2020'!$1:$1048576,2,FALSE),"")</f>
        <v>MONTAGEM E DESMONTAGEM DE FÔRMA DE VIGA, ESCORAMENTO COM PONTALETE DE MADEIRA, PÉ-DIREITO SIMPLES, EM MADEIRA SERRADA, 4 UTILIZAÇÕES. AF_12/2015</v>
      </c>
      <c r="F298" s="335" t="str">
        <f>IF($D298&lt;&gt;"",VLOOKUP($D298,'SINAPI MAIO 2020'!$1:$1048576,3,FALSE),"")</f>
        <v>M2</v>
      </c>
      <c r="G298" s="571">
        <f>2*1</f>
        <v>2</v>
      </c>
      <c r="H298" s="583">
        <f>IF($D298&lt;&gt;"",VLOOKUP($D298,'SINAPI MAIO 2020'!$1:$1048576,4,FALSE),"")</f>
        <v>77.319999999999993</v>
      </c>
      <c r="I298" s="379">
        <f t="shared" si="28"/>
        <v>154.63999999999999</v>
      </c>
    </row>
    <row r="299" spans="2:9" ht="38.25">
      <c r="B299" s="543" t="s">
        <v>837</v>
      </c>
      <c r="C299" s="151" t="s">
        <v>8</v>
      </c>
      <c r="D299" s="156">
        <v>92786</v>
      </c>
      <c r="E299" s="334" t="str">
        <f>IF($D299&lt;&gt;"",VLOOKUP($D299,'SINAPI MAIO 2020'!$1:$1048576,2,FALSE),"")</f>
        <v>ARMAÇÃO DE LAJE DE UMA ESTRUTURA CONVENCIONAL DE CONCRETO ARMADO EM UMA EDIFICAÇÃO TÉRREA OU SOBRADO UTILIZANDO AÇO CA-50 DE 8,0 MM - MONTAGEM. AF_12/2015</v>
      </c>
      <c r="F299" s="335" t="str">
        <f>IF($D299&lt;&gt;"",VLOOKUP($D299,'SINAPI MAIO 2020'!$1:$1048576,3,FALSE),"")</f>
        <v>KG</v>
      </c>
      <c r="G299" s="571">
        <f>10*G300</f>
        <v>3</v>
      </c>
      <c r="H299" s="583">
        <f>IF($D299&lt;&gt;"",VLOOKUP($D299,'SINAPI MAIO 2020'!$1:$1048576,4,FALSE),"")</f>
        <v>8.5</v>
      </c>
      <c r="I299" s="379">
        <f t="shared" si="28"/>
        <v>25.5</v>
      </c>
    </row>
    <row r="300" spans="2:9" ht="25.5">
      <c r="B300" s="543" t="s">
        <v>837</v>
      </c>
      <c r="C300" s="151" t="s">
        <v>8</v>
      </c>
      <c r="D300" s="368">
        <v>94965</v>
      </c>
      <c r="E300" s="334" t="str">
        <f>IF($D300&lt;&gt;"",VLOOKUP($D300,'SINAPI MAIO 2020'!$1:$1048576,2,FALSE),"")</f>
        <v>CONCRETO FCK = 25MPA, TRAÇO 1:2,3:2,7 (CIMENTO/ AREIA MÉDIA/ BRITA 1)  - PREPARO MECÂNICO COM BETONEIRA 400 L. AF_07/2016</v>
      </c>
      <c r="F300" s="335" t="str">
        <f>IF($D300&lt;&gt;"",VLOOKUP($D300,'SINAPI MAIO 2020'!$1:$1048576,3,FALSE),"")</f>
        <v>M3</v>
      </c>
      <c r="G300" s="571">
        <f>2*1*0.15</f>
        <v>0.3</v>
      </c>
      <c r="H300" s="583">
        <f>IF($D300&lt;&gt;"",VLOOKUP($D300,'SINAPI MAIO 2020'!$1:$1048576,4,FALSE),"")</f>
        <v>323.58</v>
      </c>
      <c r="I300" s="379">
        <f t="shared" si="28"/>
        <v>97.07</v>
      </c>
    </row>
    <row r="301" spans="2:9" ht="25.5">
      <c r="B301" s="543" t="s">
        <v>837</v>
      </c>
      <c r="C301" s="151" t="s">
        <v>8</v>
      </c>
      <c r="D301" s="156">
        <v>92873</v>
      </c>
      <c r="E301" s="334" t="str">
        <f>IF($D301&lt;&gt;"",VLOOKUP($D301,'SINAPI MAIO 2020'!$1:$1048576,2,FALSE),"")</f>
        <v>LANÇAMENTO COM USO DE BALDES, ADENSAMENTO E ACABAMENTO DE CONCRETO EM ESTRUTURAS. AF_12/2015</v>
      </c>
      <c r="F301" s="335" t="str">
        <f>IF($D301&lt;&gt;"",VLOOKUP($D301,'SINAPI MAIO 2020'!$1:$1048576,3,FALSE),"")</f>
        <v>M3</v>
      </c>
      <c r="G301" s="571">
        <f>G300</f>
        <v>0.3</v>
      </c>
      <c r="H301" s="583">
        <f>IF($D301&lt;&gt;"",VLOOKUP($D301,'SINAPI MAIO 2020'!$1:$1048576,4,FALSE),"")</f>
        <v>146.37</v>
      </c>
      <c r="I301" s="379">
        <f t="shared" si="28"/>
        <v>43.91</v>
      </c>
    </row>
    <row r="302" spans="2:9" ht="25.5">
      <c r="B302" s="543" t="s">
        <v>837</v>
      </c>
      <c r="C302" s="151" t="s">
        <v>8</v>
      </c>
      <c r="D302" s="152">
        <v>98561</v>
      </c>
      <c r="E302" s="334" t="str">
        <f>IF($D302&lt;&gt;"",VLOOKUP($D302,'SINAPI MAIO 2020'!$1:$1048576,2,FALSE),"")</f>
        <v>IMPERMEABILIZAÇÃO DE PAREDES COM ARGAMASSA DE CIMENTO E AREIA, COM ADITIVO IMPERMEABILIZANTE, E = 2CM. AF_06/2018</v>
      </c>
      <c r="F302" s="335" t="str">
        <f>IF($D302&lt;&gt;"",VLOOKUP($D302,'SINAPI MAIO 2020'!$1:$1048576,3,FALSE),"")</f>
        <v>M2</v>
      </c>
      <c r="G302" s="571">
        <v>2.5</v>
      </c>
      <c r="H302" s="583">
        <f>IF($D302&lt;&gt;"",VLOOKUP($D302,'SINAPI MAIO 2020'!$1:$1048576,4,FALSE),"")</f>
        <v>28.46</v>
      </c>
      <c r="I302" s="379">
        <f t="shared" si="28"/>
        <v>71.150000000000006</v>
      </c>
    </row>
    <row r="303" spans="2:9">
      <c r="B303" s="543"/>
      <c r="C303" s="151"/>
      <c r="D303" s="351"/>
      <c r="E303" s="417"/>
      <c r="F303" s="151"/>
      <c r="G303" s="524"/>
      <c r="H303" s="585"/>
      <c r="I303" s="379"/>
    </row>
    <row r="304" spans="2:9" ht="38.25">
      <c r="B304" s="359" t="s">
        <v>4694</v>
      </c>
      <c r="C304" s="513"/>
      <c r="D304" s="513"/>
      <c r="E304" s="154" t="s">
        <v>4481</v>
      </c>
      <c r="F304" s="155" t="s">
        <v>17</v>
      </c>
      <c r="G304" s="367">
        <v>1</v>
      </c>
      <c r="H304" s="581"/>
      <c r="I304" s="582">
        <f>TRUNC(SUM(I305:I307),2)</f>
        <v>14.23</v>
      </c>
    </row>
    <row r="305" spans="2:9" ht="25.5">
      <c r="B305" s="543" t="s">
        <v>835</v>
      </c>
      <c r="C305" s="151" t="s">
        <v>8</v>
      </c>
      <c r="D305" s="353">
        <v>39634</v>
      </c>
      <c r="E305" s="334" t="str">
        <f>IF($D305&lt;&gt;"",VLOOKUP($D305,'SINAPI MAIO 2020'!$1:$1048576,2,FALSE),"")</f>
        <v>FITA ADESIVA ANTICORROSIVA DE PVC FLEXIVEL, COR PRETA, PARA PROTECAO TUBULACAO, 50 MM X 30 M (L X C), E= *0,25* MM</v>
      </c>
      <c r="F305" s="335" t="str">
        <f>IF($D305&lt;&gt;"",VLOOKUP($D305,'SINAPI MAIO 2020'!$1:$1048576,3,FALSE),"")</f>
        <v xml:space="preserve">M     </v>
      </c>
      <c r="G305" s="360">
        <v>1</v>
      </c>
      <c r="H305" s="583">
        <f>IF($D305&lt;&gt;"",VLOOKUP($D305,'SINAPI MAIO 2020'!$1:$1048576,4,FALSE),"")</f>
        <v>7.91</v>
      </c>
      <c r="I305" s="379">
        <f t="shared" ref="I305:I307" si="30">TRUNC(H305*G305,2)</f>
        <v>7.91</v>
      </c>
    </row>
    <row r="306" spans="2:9" ht="25.5">
      <c r="B306" s="543" t="s">
        <v>858</v>
      </c>
      <c r="C306" s="151" t="s">
        <v>8</v>
      </c>
      <c r="D306" s="353">
        <v>88248</v>
      </c>
      <c r="E306" s="334" t="str">
        <f>IF($D306&lt;&gt;"",VLOOKUP($D306,'SINAPI MAIO 2020'!$1:$1048576,2,FALSE),"")</f>
        <v>AUXILIAR DE ENCANADOR OU BOMBEIRO HIDRÁULICO COM ENCARGOS COMPLEMENTARES</v>
      </c>
      <c r="F306" s="335" t="str">
        <f>IF($D306&lt;&gt;"",VLOOKUP($D306,'SINAPI MAIO 2020'!$1:$1048576,3,FALSE),"")</f>
        <v>H</v>
      </c>
      <c r="G306" s="524">
        <v>0.2</v>
      </c>
      <c r="H306" s="583">
        <f>IF($D306&lt;&gt;"",VLOOKUP($D306,'SINAPI MAIO 2020'!$1:$1048576,4,FALSE),"")</f>
        <v>13.87</v>
      </c>
      <c r="I306" s="379">
        <f t="shared" si="30"/>
        <v>2.77</v>
      </c>
    </row>
    <row r="307" spans="2:9" ht="25.5">
      <c r="B307" s="543" t="s">
        <v>858</v>
      </c>
      <c r="C307" s="151" t="s">
        <v>8</v>
      </c>
      <c r="D307" s="353">
        <v>88267</v>
      </c>
      <c r="E307" s="334" t="str">
        <f>IF($D307&lt;&gt;"",VLOOKUP($D307,'SINAPI MAIO 2020'!$1:$1048576,2,FALSE),"")</f>
        <v>ENCANADOR OU BOMBEIRO HIDRÁULICO COM ENCARGOS COMPLEMENTARES</v>
      </c>
      <c r="F307" s="335" t="str">
        <f>IF($D307&lt;&gt;"",VLOOKUP($D307,'SINAPI MAIO 2020'!$1:$1048576,3,FALSE),"")</f>
        <v>H</v>
      </c>
      <c r="G307" s="524">
        <v>0.2</v>
      </c>
      <c r="H307" s="583">
        <f>IF($D307&lt;&gt;"",VLOOKUP($D307,'SINAPI MAIO 2020'!$1:$1048576,4,FALSE),"")</f>
        <v>17.79</v>
      </c>
      <c r="I307" s="379">
        <f t="shared" si="30"/>
        <v>3.55</v>
      </c>
    </row>
    <row r="308" spans="2:9">
      <c r="B308" s="543"/>
      <c r="C308" s="151"/>
      <c r="D308" s="351"/>
      <c r="E308" s="417"/>
      <c r="F308" s="151"/>
      <c r="G308" s="524"/>
      <c r="H308" s="585"/>
      <c r="I308" s="379"/>
    </row>
    <row r="309" spans="2:9" ht="25.5">
      <c r="B309" s="359" t="s">
        <v>4695</v>
      </c>
      <c r="C309" s="513"/>
      <c r="D309" s="513"/>
      <c r="E309" s="154" t="s">
        <v>4482</v>
      </c>
      <c r="F309" s="155" t="s">
        <v>817</v>
      </c>
      <c r="G309" s="367">
        <v>1</v>
      </c>
      <c r="H309" s="581"/>
      <c r="I309" s="582">
        <f>TRUNC(SUM(I310:I314),2)</f>
        <v>52.07</v>
      </c>
    </row>
    <row r="310" spans="2:9">
      <c r="B310" s="543" t="s">
        <v>835</v>
      </c>
      <c r="C310" s="151" t="s">
        <v>8</v>
      </c>
      <c r="D310" s="353">
        <v>3148</v>
      </c>
      <c r="E310" s="334" t="str">
        <f>IF($D310&lt;&gt;"",VLOOKUP($D310,'SINAPI MAIO 2020'!$1:$1048576,2,FALSE),"")</f>
        <v>FITA VEDA ROSCA EM ROLOS DE 18 MM X 50 M (L X C)</v>
      </c>
      <c r="F310" s="335" t="str">
        <f>IF($D310&lt;&gt;"",VLOOKUP($D310,'SINAPI MAIO 2020'!$1:$1048576,3,FALSE),"")</f>
        <v xml:space="preserve">UN    </v>
      </c>
      <c r="G310" s="360">
        <v>1.6E-2</v>
      </c>
      <c r="H310" s="583">
        <f>IF($D310&lt;&gt;"",VLOOKUP($D310,'SINAPI MAIO 2020'!$1:$1048576,4,FALSE),"")</f>
        <v>14.97</v>
      </c>
      <c r="I310" s="379">
        <f t="shared" ref="I310:I314" si="31">TRUNC(H310*G310,2)</f>
        <v>0.23</v>
      </c>
    </row>
    <row r="311" spans="2:9">
      <c r="B311" s="543" t="s">
        <v>835</v>
      </c>
      <c r="C311" s="151" t="s">
        <v>8</v>
      </c>
      <c r="D311" s="353">
        <v>11749</v>
      </c>
      <c r="E311" s="334" t="str">
        <f>IF($D311&lt;&gt;"",VLOOKUP($D311,'SINAPI MAIO 2020'!$1:$1048576,2,FALSE),"")</f>
        <v>VALVULA DE ESFERA BRUTA EM BRONZE, BITOLA 3/4 " (REF 1552-B)</v>
      </c>
      <c r="F311" s="335" t="str">
        <f>IF($D311&lt;&gt;"",VLOOKUP($D311,'SINAPI MAIO 2020'!$1:$1048576,3,FALSE),"")</f>
        <v xml:space="preserve">UN    </v>
      </c>
      <c r="G311" s="360">
        <v>1</v>
      </c>
      <c r="H311" s="583">
        <f>IF($D311&lt;&gt;"",VLOOKUP($D311,'SINAPI MAIO 2020'!$1:$1048576,4,FALSE),"")</f>
        <v>32.94</v>
      </c>
      <c r="I311" s="379">
        <f t="shared" si="31"/>
        <v>32.94</v>
      </c>
    </row>
    <row r="312" spans="2:9">
      <c r="B312" s="543" t="s">
        <v>835</v>
      </c>
      <c r="C312" s="151" t="s">
        <v>8</v>
      </c>
      <c r="D312" s="353">
        <v>7307</v>
      </c>
      <c r="E312" s="334" t="str">
        <f>IF($D312&lt;&gt;"",VLOOKUP($D312,'SINAPI MAIO 2020'!$1:$1048576,2,FALSE),"")</f>
        <v>FUNDO ANTICORROSIVO PARA METAIS FERROSOS (ZARCAO)</v>
      </c>
      <c r="F312" s="335" t="str">
        <f>IF($D312&lt;&gt;"",VLOOKUP($D312,'SINAPI MAIO 2020'!$1:$1048576,3,FALSE),"")</f>
        <v xml:space="preserve">L     </v>
      </c>
      <c r="G312" s="524">
        <v>6.0000000000000001E-3</v>
      </c>
      <c r="H312" s="583">
        <f>IF($D312&lt;&gt;"",VLOOKUP($D312,'SINAPI MAIO 2020'!$1:$1048576,4,FALSE),"")</f>
        <v>24.03</v>
      </c>
      <c r="I312" s="379">
        <f t="shared" si="31"/>
        <v>0.14000000000000001</v>
      </c>
    </row>
    <row r="313" spans="2:9" ht="36.75" customHeight="1">
      <c r="B313" s="543" t="s">
        <v>858</v>
      </c>
      <c r="C313" s="151" t="s">
        <v>8</v>
      </c>
      <c r="D313" s="353">
        <v>88248</v>
      </c>
      <c r="E313" s="334" t="str">
        <f>IF($D313&lt;&gt;"",VLOOKUP($D313,'SINAPI MAIO 2020'!$1:$1048576,2,FALSE),"")</f>
        <v>AUXILIAR DE ENCANADOR OU BOMBEIRO HIDRÁULICO COM ENCARGOS COMPLEMENTARES</v>
      </c>
      <c r="F313" s="335" t="str">
        <f>IF($D313&lt;&gt;"",VLOOKUP($D313,'SINAPI MAIO 2020'!$1:$1048576,3,FALSE),"")</f>
        <v>H</v>
      </c>
      <c r="G313" s="524">
        <v>0.59299999999999997</v>
      </c>
      <c r="H313" s="583">
        <f>IF($D313&lt;&gt;"",VLOOKUP($D313,'SINAPI MAIO 2020'!$1:$1048576,4,FALSE),"")</f>
        <v>13.87</v>
      </c>
      <c r="I313" s="379">
        <f t="shared" si="31"/>
        <v>8.2200000000000006</v>
      </c>
    </row>
    <row r="314" spans="2:9" ht="25.5">
      <c r="B314" s="543" t="s">
        <v>858</v>
      </c>
      <c r="C314" s="151" t="s">
        <v>8</v>
      </c>
      <c r="D314" s="353">
        <v>88267</v>
      </c>
      <c r="E314" s="334" t="str">
        <f>IF($D314&lt;&gt;"",VLOOKUP($D314,'SINAPI MAIO 2020'!$1:$1048576,2,FALSE),"")</f>
        <v>ENCANADOR OU BOMBEIRO HIDRÁULICO COM ENCARGOS COMPLEMENTARES</v>
      </c>
      <c r="F314" s="335" t="str">
        <f>IF($D314&lt;&gt;"",VLOOKUP($D314,'SINAPI MAIO 2020'!$1:$1048576,3,FALSE),"")</f>
        <v>H</v>
      </c>
      <c r="G314" s="524">
        <v>0.59299999999999997</v>
      </c>
      <c r="H314" s="583">
        <f>IF($D314&lt;&gt;"",VLOOKUP($D314,'SINAPI MAIO 2020'!$1:$1048576,4,FALSE),"")</f>
        <v>17.79</v>
      </c>
      <c r="I314" s="379">
        <f t="shared" si="31"/>
        <v>10.54</v>
      </c>
    </row>
    <row r="315" spans="2:9">
      <c r="B315" s="543"/>
      <c r="C315" s="151"/>
      <c r="D315" s="351"/>
      <c r="E315" s="417"/>
      <c r="F315" s="151"/>
      <c r="G315" s="524"/>
      <c r="H315" s="585"/>
      <c r="I315" s="379"/>
    </row>
    <row r="316" spans="2:9" ht="25.5" customHeight="1">
      <c r="B316" s="359" t="s">
        <v>4696</v>
      </c>
      <c r="C316" s="513"/>
      <c r="D316" s="513"/>
      <c r="E316" s="154" t="s">
        <v>4480</v>
      </c>
      <c r="F316" s="155" t="s">
        <v>817</v>
      </c>
      <c r="G316" s="367">
        <v>1</v>
      </c>
      <c r="H316" s="581"/>
      <c r="I316" s="582">
        <f>TRUNC(SUM(I317:I320),2)</f>
        <v>82.48</v>
      </c>
    </row>
    <row r="317" spans="2:9" ht="46.5" customHeight="1">
      <c r="B317" s="543" t="s">
        <v>835</v>
      </c>
      <c r="C317" s="151" t="s">
        <v>8</v>
      </c>
      <c r="D317" s="353">
        <v>3146</v>
      </c>
      <c r="E317" s="334" t="str">
        <f>IF($D317&lt;&gt;"",VLOOKUP($D317,'SINAPI MAIO 2020'!$1:$1048576,2,FALSE),"")</f>
        <v>FITA VEDA ROSCA EM ROLOS DE 18 MM X 10 M (L X C)</v>
      </c>
      <c r="F317" s="335" t="str">
        <f>IF($D317&lt;&gt;"",VLOOKUP($D317,'SINAPI MAIO 2020'!$1:$1048576,3,FALSE),"")</f>
        <v xml:space="preserve">UN    </v>
      </c>
      <c r="G317" s="360">
        <v>0.02</v>
      </c>
      <c r="H317" s="583">
        <f>IF($D317&lt;&gt;"",VLOOKUP($D317,'SINAPI MAIO 2020'!$1:$1048576,4,FALSE),"")</f>
        <v>4.0599999999999996</v>
      </c>
      <c r="I317" s="379">
        <f t="shared" ref="I317:I320" si="32">TRUNC(H317*G317,2)</f>
        <v>0.08</v>
      </c>
    </row>
    <row r="318" spans="2:9">
      <c r="B318" s="543" t="s">
        <v>835</v>
      </c>
      <c r="C318" s="151" t="s">
        <v>836</v>
      </c>
      <c r="D318" s="353"/>
      <c r="E318" s="334" t="s">
        <v>4479</v>
      </c>
      <c r="F318" s="335" t="s">
        <v>817</v>
      </c>
      <c r="G318" s="524">
        <v>1</v>
      </c>
      <c r="H318" s="583">
        <v>65</v>
      </c>
      <c r="I318" s="379">
        <f t="shared" si="32"/>
        <v>65</v>
      </c>
    </row>
    <row r="319" spans="2:9" ht="25.5">
      <c r="B319" s="543" t="s">
        <v>858</v>
      </c>
      <c r="C319" s="151" t="s">
        <v>8</v>
      </c>
      <c r="D319" s="353">
        <v>88248</v>
      </c>
      <c r="E319" s="334" t="str">
        <f>IF($D319&lt;&gt;"",VLOOKUP($D319,'SINAPI MAIO 2020'!$1:$1048576,2,FALSE),"")</f>
        <v>AUXILIAR DE ENCANADOR OU BOMBEIRO HIDRÁULICO COM ENCARGOS COMPLEMENTARES</v>
      </c>
      <c r="F319" s="335" t="str">
        <f>IF($D319&lt;&gt;"",VLOOKUP($D319,'SINAPI MAIO 2020'!$1:$1048576,3,FALSE),"")</f>
        <v>H</v>
      </c>
      <c r="G319" s="524">
        <v>0.55000000000000004</v>
      </c>
      <c r="H319" s="583">
        <f>IF($D319&lt;&gt;"",VLOOKUP($D319,'SINAPI MAIO 2020'!$1:$1048576,4,FALSE),"")</f>
        <v>13.87</v>
      </c>
      <c r="I319" s="379">
        <f t="shared" si="32"/>
        <v>7.62</v>
      </c>
    </row>
    <row r="320" spans="2:9" ht="25.5" customHeight="1">
      <c r="B320" s="543" t="s">
        <v>858</v>
      </c>
      <c r="C320" s="151" t="s">
        <v>8</v>
      </c>
      <c r="D320" s="353">
        <v>88267</v>
      </c>
      <c r="E320" s="334" t="str">
        <f>IF($D320&lt;&gt;"",VLOOKUP($D320,'SINAPI MAIO 2020'!$1:$1048576,2,FALSE),"")</f>
        <v>ENCANADOR OU BOMBEIRO HIDRÁULICO COM ENCARGOS COMPLEMENTARES</v>
      </c>
      <c r="F320" s="335" t="str">
        <f>IF($D320&lt;&gt;"",VLOOKUP($D320,'SINAPI MAIO 2020'!$1:$1048576,3,FALSE),"")</f>
        <v>H</v>
      </c>
      <c r="G320" s="524">
        <v>0.55000000000000004</v>
      </c>
      <c r="H320" s="583">
        <f>IF($D320&lt;&gt;"",VLOOKUP($D320,'SINAPI MAIO 2020'!$1:$1048576,4,FALSE),"")</f>
        <v>17.79</v>
      </c>
      <c r="I320" s="379">
        <f t="shared" si="32"/>
        <v>9.7799999999999994</v>
      </c>
    </row>
    <row r="321" spans="2:9">
      <c r="B321" s="543"/>
      <c r="C321" s="151"/>
      <c r="D321" s="351"/>
      <c r="E321" s="417"/>
      <c r="F321" s="151"/>
      <c r="G321" s="524"/>
      <c r="H321" s="585"/>
      <c r="I321" s="379"/>
    </row>
    <row r="322" spans="2:9" ht="38.25">
      <c r="B322" s="359" t="s">
        <v>4697</v>
      </c>
      <c r="C322" s="513"/>
      <c r="D322" s="513"/>
      <c r="E322" s="154" t="s">
        <v>4478</v>
      </c>
      <c r="F322" s="155" t="s">
        <v>817</v>
      </c>
      <c r="G322" s="367">
        <v>1</v>
      </c>
      <c r="H322" s="581"/>
      <c r="I322" s="582">
        <f>TRUNC(SUM(I323:I326),2)</f>
        <v>153.33000000000001</v>
      </c>
    </row>
    <row r="323" spans="2:9">
      <c r="B323" s="543" t="s">
        <v>835</v>
      </c>
      <c r="C323" s="151" t="s">
        <v>8</v>
      </c>
      <c r="D323" s="353">
        <v>3146</v>
      </c>
      <c r="E323" s="334" t="str">
        <f>IF($D323&lt;&gt;"",VLOOKUP($D323,'SINAPI MAIO 2020'!$1:$1048576,2,FALSE),"")</f>
        <v>FITA VEDA ROSCA EM ROLOS DE 18 MM X 10 M (L X C)</v>
      </c>
      <c r="F323" s="335" t="str">
        <f>IF($D323&lt;&gt;"",VLOOKUP($D323,'SINAPI MAIO 2020'!$1:$1048576,3,FALSE),"")</f>
        <v xml:space="preserve">UN    </v>
      </c>
      <c r="G323" s="360">
        <v>0.02</v>
      </c>
      <c r="H323" s="583">
        <f>IF($D323&lt;&gt;"",VLOOKUP($D323,'SINAPI MAIO 2020'!$1:$1048576,4,FALSE),"")</f>
        <v>4.0599999999999996</v>
      </c>
      <c r="I323" s="379">
        <f t="shared" ref="I323:I326" si="33">TRUNC(H323*G323,2)</f>
        <v>0.08</v>
      </c>
    </row>
    <row r="324" spans="2:9" ht="25.5">
      <c r="B324" s="543" t="s">
        <v>835</v>
      </c>
      <c r="C324" s="151" t="s">
        <v>8</v>
      </c>
      <c r="D324" s="353">
        <v>12898</v>
      </c>
      <c r="E324" s="334" t="str">
        <f>IF($D324&lt;&gt;"",VLOOKUP($D324,'SINAPI MAIO 2020'!$1:$1048576,2,FALSE),"")</f>
        <v>MANOMETRO COM CAIXA EM ACO PINTADO, ESCALA *10* KGF/CM2 (*10* BAR), DIAMETRO NOMINAL DE 100 MM, CONEXAO DE 1/2"</v>
      </c>
      <c r="F324" s="335" t="str">
        <f>IF($D324&lt;&gt;"",VLOOKUP($D324,'SINAPI MAIO 2020'!$1:$1048576,3,FALSE),"")</f>
        <v xml:space="preserve">UN    </v>
      </c>
      <c r="G324" s="524">
        <v>1</v>
      </c>
      <c r="H324" s="583">
        <f>IF($D324&lt;&gt;"",VLOOKUP($D324,'SINAPI MAIO 2020'!$1:$1048576,4,FALSE),"")</f>
        <v>132.68</v>
      </c>
      <c r="I324" s="379">
        <f t="shared" si="33"/>
        <v>132.68</v>
      </c>
    </row>
    <row r="325" spans="2:9" ht="25.5">
      <c r="B325" s="543" t="s">
        <v>858</v>
      </c>
      <c r="C325" s="151" t="s">
        <v>8</v>
      </c>
      <c r="D325" s="353">
        <v>88248</v>
      </c>
      <c r="E325" s="334" t="str">
        <f>IF($D325&lt;&gt;"",VLOOKUP($D325,'SINAPI MAIO 2020'!$1:$1048576,2,FALSE),"")</f>
        <v>AUXILIAR DE ENCANADOR OU BOMBEIRO HIDRÁULICO COM ENCARGOS COMPLEMENTARES</v>
      </c>
      <c r="F325" s="335" t="str">
        <f>IF($D325&lt;&gt;"",VLOOKUP($D325,'SINAPI MAIO 2020'!$1:$1048576,3,FALSE),"")</f>
        <v>H</v>
      </c>
      <c r="G325" s="524">
        <v>0.65</v>
      </c>
      <c r="H325" s="583">
        <f>IF($D325&lt;&gt;"",VLOOKUP($D325,'SINAPI MAIO 2020'!$1:$1048576,4,FALSE),"")</f>
        <v>13.87</v>
      </c>
      <c r="I325" s="379">
        <f t="shared" si="33"/>
        <v>9.01</v>
      </c>
    </row>
    <row r="326" spans="2:9" ht="25.5">
      <c r="B326" s="543" t="s">
        <v>858</v>
      </c>
      <c r="C326" s="151" t="s">
        <v>8</v>
      </c>
      <c r="D326" s="353">
        <v>88267</v>
      </c>
      <c r="E326" s="334" t="str">
        <f>IF($D326&lt;&gt;"",VLOOKUP($D326,'SINAPI MAIO 2020'!$1:$1048576,2,FALSE),"")</f>
        <v>ENCANADOR OU BOMBEIRO HIDRÁULICO COM ENCARGOS COMPLEMENTARES</v>
      </c>
      <c r="F326" s="335" t="str">
        <f>IF($D326&lt;&gt;"",VLOOKUP($D326,'SINAPI MAIO 2020'!$1:$1048576,3,FALSE),"")</f>
        <v>H</v>
      </c>
      <c r="G326" s="524">
        <v>0.65</v>
      </c>
      <c r="H326" s="583">
        <f>IF($D326&lt;&gt;"",VLOOKUP($D326,'SINAPI MAIO 2020'!$1:$1048576,4,FALSE),"")</f>
        <v>17.79</v>
      </c>
      <c r="I326" s="379">
        <f t="shared" si="33"/>
        <v>11.56</v>
      </c>
    </row>
    <row r="327" spans="2:9">
      <c r="B327" s="543"/>
      <c r="C327" s="151"/>
      <c r="D327" s="351"/>
      <c r="E327" s="417"/>
      <c r="F327" s="151"/>
      <c r="G327" s="524"/>
      <c r="H327" s="585"/>
      <c r="I327" s="379"/>
    </row>
    <row r="328" spans="2:9">
      <c r="B328" s="543"/>
      <c r="C328" s="151"/>
      <c r="D328" s="351"/>
      <c r="E328" s="417"/>
      <c r="F328" s="151"/>
      <c r="G328" s="524"/>
      <c r="H328" s="585"/>
      <c r="I328" s="379"/>
    </row>
    <row r="329" spans="2:9" ht="51">
      <c r="B329" s="359" t="s">
        <v>4698</v>
      </c>
      <c r="C329" s="513"/>
      <c r="D329" s="513"/>
      <c r="E329" s="154" t="s">
        <v>4486</v>
      </c>
      <c r="F329" s="155" t="s">
        <v>817</v>
      </c>
      <c r="G329" s="367">
        <v>1</v>
      </c>
      <c r="H329" s="581"/>
      <c r="I329" s="582">
        <f>TRUNC(SUM(I330:I332),2)</f>
        <v>37.4</v>
      </c>
    </row>
    <row r="330" spans="2:9" ht="51">
      <c r="B330" s="543" t="s">
        <v>835</v>
      </c>
      <c r="C330" s="151" t="s">
        <v>8</v>
      </c>
      <c r="D330" s="353">
        <v>37558</v>
      </c>
      <c r="E330" s="334" t="str">
        <f>IF($D330&lt;&gt;"",VLOOKUP($D330,'SINAPI MAIO 2020'!$1:$1048576,2,FALSE),"")</f>
        <v>PLACA DE SINALIZACAO DE SEGURANCA CONTRA INCENDIO, FOTOLUMINESCENTE, RETANGULAR, *20 X 40* CM, EM PVC *2* MM ANTI-CHAMAS (SIMBOLOS, CORES E PICTOGRAMAS CONFORME NBR 13434)</v>
      </c>
      <c r="F330" s="335" t="str">
        <f>IF($D330&lt;&gt;"",VLOOKUP($D330,'SINAPI MAIO 2020'!$1:$1048576,3,FALSE),"")</f>
        <v xml:space="preserve">UN    </v>
      </c>
      <c r="G330" s="360">
        <v>1</v>
      </c>
      <c r="H330" s="583">
        <f>IF($D330&lt;&gt;"",VLOOKUP($D330,'SINAPI MAIO 2020'!$1:$1048576,4,FALSE),"")</f>
        <v>18.64</v>
      </c>
      <c r="I330" s="379">
        <f t="shared" ref="I330:I332" si="34">TRUNC(H330*G330,2)</f>
        <v>18.64</v>
      </c>
    </row>
    <row r="331" spans="2:9" ht="25.5">
      <c r="B331" s="543" t="s">
        <v>858</v>
      </c>
      <c r="C331" s="151" t="s">
        <v>8</v>
      </c>
      <c r="D331" s="353">
        <v>88248</v>
      </c>
      <c r="E331" s="334" t="str">
        <f>IF($D331&lt;&gt;"",VLOOKUP($D331,'SINAPI MAIO 2020'!$1:$1048576,2,FALSE),"")</f>
        <v>AUXILIAR DE ENCANADOR OU BOMBEIRO HIDRÁULICO COM ENCARGOS COMPLEMENTARES</v>
      </c>
      <c r="F331" s="335" t="str">
        <f>IF($D331&lt;&gt;"",VLOOKUP($D331,'SINAPI MAIO 2020'!$1:$1048576,3,FALSE),"")</f>
        <v>H</v>
      </c>
      <c r="G331" s="524">
        <v>0.59299999999999997</v>
      </c>
      <c r="H331" s="583">
        <f>IF($D331&lt;&gt;"",VLOOKUP($D331,'SINAPI MAIO 2020'!$1:$1048576,4,FALSE),"")</f>
        <v>13.87</v>
      </c>
      <c r="I331" s="379">
        <f t="shared" si="34"/>
        <v>8.2200000000000006</v>
      </c>
    </row>
    <row r="332" spans="2:9" ht="25.5">
      <c r="B332" s="543" t="s">
        <v>858</v>
      </c>
      <c r="C332" s="151" t="s">
        <v>8</v>
      </c>
      <c r="D332" s="353">
        <v>88267</v>
      </c>
      <c r="E332" s="334" t="str">
        <f>IF($D332&lt;&gt;"",VLOOKUP($D332,'SINAPI MAIO 2020'!$1:$1048576,2,FALSE),"")</f>
        <v>ENCANADOR OU BOMBEIRO HIDRÁULICO COM ENCARGOS COMPLEMENTARES</v>
      </c>
      <c r="F332" s="335" t="str">
        <f>IF($D332&lt;&gt;"",VLOOKUP($D332,'SINAPI MAIO 2020'!$1:$1048576,3,FALSE),"")</f>
        <v>H</v>
      </c>
      <c r="G332" s="524">
        <v>0.59299999999999997</v>
      </c>
      <c r="H332" s="583">
        <f>IF($D332&lt;&gt;"",VLOOKUP($D332,'SINAPI MAIO 2020'!$1:$1048576,4,FALSE),"")</f>
        <v>17.79</v>
      </c>
      <c r="I332" s="379">
        <f t="shared" si="34"/>
        <v>10.54</v>
      </c>
    </row>
    <row r="333" spans="2:9">
      <c r="B333" s="543"/>
      <c r="C333" s="151"/>
      <c r="D333" s="351"/>
      <c r="E333" s="417"/>
      <c r="F333" s="151"/>
      <c r="G333" s="524"/>
      <c r="H333" s="585"/>
      <c r="I333" s="379"/>
    </row>
    <row r="334" spans="2:9" ht="51">
      <c r="B334" s="359" t="s">
        <v>4699</v>
      </c>
      <c r="C334" s="513"/>
      <c r="D334" s="513"/>
      <c r="E334" s="154" t="s">
        <v>4487</v>
      </c>
      <c r="F334" s="155" t="s">
        <v>817</v>
      </c>
      <c r="G334" s="367">
        <v>1</v>
      </c>
      <c r="H334" s="581"/>
      <c r="I334" s="582">
        <f>TRUNC(SUM(I335:I337),2)</f>
        <v>38.44</v>
      </c>
    </row>
    <row r="335" spans="2:9" ht="51">
      <c r="B335" s="543" t="s">
        <v>835</v>
      </c>
      <c r="C335" s="151" t="s">
        <v>8</v>
      </c>
      <c r="D335" s="353">
        <v>37560</v>
      </c>
      <c r="E335" s="334" t="str">
        <f>IF($D335&lt;&gt;"",VLOOKUP($D335,'SINAPI MAIO 2020'!$1:$1048576,2,FALSE),"")</f>
        <v>PLACA DE SINALIZACAO DE SEGURANCA CONTRA INCENDIO - ALERTA, TRIANGULAR, BASE DE *30* CM, EM PVC *2* MM ANTI-CHAMAS (SIMBOLOS, CORES E PICTOGRAMAS CONFORME NBR 13434)</v>
      </c>
      <c r="F335" s="335" t="str">
        <f>IF($D335&lt;&gt;"",VLOOKUP($D335,'SINAPI MAIO 2020'!$1:$1048576,3,FALSE),"")</f>
        <v xml:space="preserve">UN    </v>
      </c>
      <c r="G335" s="360">
        <v>1</v>
      </c>
      <c r="H335" s="583">
        <f>IF($D335&lt;&gt;"",VLOOKUP($D335,'SINAPI MAIO 2020'!$1:$1048576,4,FALSE),"")</f>
        <v>19.68</v>
      </c>
      <c r="I335" s="379">
        <f t="shared" ref="I335:I337" si="35">TRUNC(H335*G335,2)</f>
        <v>19.68</v>
      </c>
    </row>
    <row r="336" spans="2:9" ht="25.5">
      <c r="B336" s="543" t="s">
        <v>858</v>
      </c>
      <c r="C336" s="151" t="s">
        <v>8</v>
      </c>
      <c r="D336" s="353">
        <v>88248</v>
      </c>
      <c r="E336" s="334" t="str">
        <f>IF($D336&lt;&gt;"",VLOOKUP($D336,'SINAPI MAIO 2020'!$1:$1048576,2,FALSE),"")</f>
        <v>AUXILIAR DE ENCANADOR OU BOMBEIRO HIDRÁULICO COM ENCARGOS COMPLEMENTARES</v>
      </c>
      <c r="F336" s="335" t="str">
        <f>IF($D336&lt;&gt;"",VLOOKUP($D336,'SINAPI MAIO 2020'!$1:$1048576,3,FALSE),"")</f>
        <v>H</v>
      </c>
      <c r="G336" s="524">
        <v>0.59299999999999997</v>
      </c>
      <c r="H336" s="583">
        <f>IF($D336&lt;&gt;"",VLOOKUP($D336,'SINAPI MAIO 2020'!$1:$1048576,4,FALSE),"")</f>
        <v>13.87</v>
      </c>
      <c r="I336" s="379">
        <f t="shared" si="35"/>
        <v>8.2200000000000006</v>
      </c>
    </row>
    <row r="337" spans="2:10" ht="25.5">
      <c r="B337" s="543" t="s">
        <v>858</v>
      </c>
      <c r="C337" s="151" t="s">
        <v>8</v>
      </c>
      <c r="D337" s="353">
        <v>88267</v>
      </c>
      <c r="E337" s="334" t="str">
        <f>IF($D337&lt;&gt;"",VLOOKUP($D337,'SINAPI MAIO 2020'!$1:$1048576,2,FALSE),"")</f>
        <v>ENCANADOR OU BOMBEIRO HIDRÁULICO COM ENCARGOS COMPLEMENTARES</v>
      </c>
      <c r="F337" s="335" t="str">
        <f>IF($D337&lt;&gt;"",VLOOKUP($D337,'SINAPI MAIO 2020'!$1:$1048576,3,FALSE),"")</f>
        <v>H</v>
      </c>
      <c r="G337" s="524">
        <v>0.59299999999999997</v>
      </c>
      <c r="H337" s="583">
        <f>IF($D337&lt;&gt;"",VLOOKUP($D337,'SINAPI MAIO 2020'!$1:$1048576,4,FALSE),"")</f>
        <v>17.79</v>
      </c>
      <c r="I337" s="379">
        <f t="shared" si="35"/>
        <v>10.54</v>
      </c>
    </row>
    <row r="338" spans="2:10">
      <c r="B338" s="544"/>
      <c r="C338" s="514"/>
      <c r="D338" s="514"/>
      <c r="E338" s="515"/>
      <c r="F338" s="514"/>
      <c r="G338" s="560"/>
      <c r="H338" s="585"/>
      <c r="I338" s="585"/>
    </row>
    <row r="339" spans="2:10">
      <c r="B339" s="795" t="s">
        <v>4488</v>
      </c>
      <c r="C339" s="795"/>
      <c r="D339" s="795"/>
      <c r="E339" s="795"/>
      <c r="F339" s="795"/>
      <c r="G339" s="795"/>
      <c r="H339" s="795"/>
      <c r="I339" s="795"/>
    </row>
    <row r="340" spans="2:10">
      <c r="D340" s="352"/>
      <c r="E340" s="334"/>
      <c r="F340" s="335"/>
      <c r="G340" s="571"/>
      <c r="H340" s="583"/>
    </row>
    <row r="341" spans="2:10">
      <c r="B341" s="545" t="s">
        <v>12466</v>
      </c>
      <c r="C341" s="521"/>
      <c r="D341" s="521"/>
      <c r="E341" s="522" t="str">
        <f>E345</f>
        <v>DISJUNTOR TIPO DIN/IEC, TRIPOLAR 80 A</v>
      </c>
      <c r="F341" s="523" t="s">
        <v>35</v>
      </c>
      <c r="G341" s="568">
        <v>1</v>
      </c>
      <c r="H341" s="582"/>
      <c r="I341" s="595">
        <f>SUM(I342:I345)</f>
        <v>158.28</v>
      </c>
      <c r="J341" s="352"/>
    </row>
    <row r="342" spans="2:10">
      <c r="B342" s="548" t="s">
        <v>858</v>
      </c>
      <c r="C342" s="364" t="s">
        <v>8</v>
      </c>
      <c r="D342" s="151">
        <v>88247</v>
      </c>
      <c r="E342" s="334" t="str">
        <f>IF($D342&lt;&gt;"",VLOOKUP($D342,'SINAPI MAIO 2020'!$1:$1048576,2,FALSE),"")</f>
        <v>AUXILIAR DE ELETRICISTA COM ENCARGOS COMPLEMENTARES</v>
      </c>
      <c r="F342" s="335" t="str">
        <f>IF($D342&lt;&gt;"",VLOOKUP($D342,'SINAPI MAIO 2020'!$1:$1048576,3,FALSE),"")</f>
        <v>H</v>
      </c>
      <c r="G342" s="569">
        <v>0.56999999999999995</v>
      </c>
      <c r="H342" s="583">
        <f>IF($D342&lt;&gt;"",VLOOKUP($D342,'SINAPI MAIO 2020'!$1:$1048576,4,FALSE),"")</f>
        <v>14.33</v>
      </c>
      <c r="I342" s="584">
        <f t="shared" ref="I342:I345" si="36">TRUNC(H342*G342,2)</f>
        <v>8.16</v>
      </c>
    </row>
    <row r="343" spans="2:10">
      <c r="B343" s="548" t="s">
        <v>858</v>
      </c>
      <c r="C343" s="364" t="s">
        <v>8</v>
      </c>
      <c r="D343" s="151">
        <v>88264</v>
      </c>
      <c r="E343" s="334" t="str">
        <f>IF($D343&lt;&gt;"",VLOOKUP($D343,'SINAPI MAIO 2020'!$1:$1048576,2,FALSE),"")</f>
        <v>ELETRICISTA COM ENCARGOS COMPLEMENTARES</v>
      </c>
      <c r="F343" s="335" t="str">
        <f>IF($D343&lt;&gt;"",VLOOKUP($D343,'SINAPI MAIO 2020'!$1:$1048576,3,FALSE),"")</f>
        <v>H</v>
      </c>
      <c r="G343" s="569">
        <v>0.56999999999999995</v>
      </c>
      <c r="H343" s="583">
        <f>IF($D343&lt;&gt;"",VLOOKUP($D343,'SINAPI MAIO 2020'!$1:$1048576,4,FALSE),"")</f>
        <v>18.38</v>
      </c>
      <c r="I343" s="584">
        <f t="shared" si="36"/>
        <v>10.47</v>
      </c>
    </row>
    <row r="344" spans="2:10" ht="25.5">
      <c r="B344" s="548" t="s">
        <v>835</v>
      </c>
      <c r="C344" s="364" t="s">
        <v>8</v>
      </c>
      <c r="D344" s="151">
        <v>1575</v>
      </c>
      <c r="E344" s="334" t="str">
        <f>IF($D344&lt;&gt;"",VLOOKUP($D344,'SINAPI MAIO 2020'!$1:$1048576,2,FALSE),"")</f>
        <v>TERMINAL A COMPRESSAO EM COBRE ESTANHADO PARA CABO 16 MM2, 1 FURO E 1 COMPRESSAO, PARA PARAFUSO DE FIXACAO M6</v>
      </c>
      <c r="F344" s="335" t="str">
        <f>IF($D344&lt;&gt;"",VLOOKUP($D344,'SINAPI MAIO 2020'!$1:$1048576,3,FALSE),"")</f>
        <v xml:space="preserve">UN    </v>
      </c>
      <c r="G344" s="569">
        <v>1.27</v>
      </c>
      <c r="H344" s="583">
        <f>IF($D344&lt;&gt;"",VLOOKUP($D344,'SINAPI MAIO 2020'!$1:$1048576,4,FALSE),"")</f>
        <v>1.38</v>
      </c>
      <c r="I344" s="584">
        <f t="shared" si="36"/>
        <v>1.75</v>
      </c>
    </row>
    <row r="345" spans="2:10">
      <c r="B345" s="548" t="s">
        <v>835</v>
      </c>
      <c r="C345" s="364" t="s">
        <v>836</v>
      </c>
      <c r="D345" s="151"/>
      <c r="E345" s="334" t="s">
        <v>6169</v>
      </c>
      <c r="F345" s="335" t="s">
        <v>998</v>
      </c>
      <c r="G345" s="569">
        <v>1</v>
      </c>
      <c r="H345" s="583">
        <v>137.9</v>
      </c>
      <c r="I345" s="584">
        <f t="shared" si="36"/>
        <v>137.9</v>
      </c>
    </row>
    <row r="346" spans="2:10">
      <c r="B346" s="543"/>
      <c r="C346" s="151"/>
      <c r="D346" s="351"/>
      <c r="E346" s="417"/>
      <c r="F346" s="151"/>
      <c r="G346" s="524"/>
      <c r="H346" s="585"/>
      <c r="I346" s="379"/>
    </row>
    <row r="347" spans="2:10" ht="38.25">
      <c r="B347" s="359" t="s">
        <v>12467</v>
      </c>
      <c r="C347" s="513"/>
      <c r="D347" s="513"/>
      <c r="E347" s="154" t="s">
        <v>4484</v>
      </c>
      <c r="F347" s="155" t="s">
        <v>817</v>
      </c>
      <c r="G347" s="367">
        <v>1</v>
      </c>
      <c r="H347" s="581"/>
      <c r="I347" s="582">
        <f>TRUNC(SUM(I348:I350),2)</f>
        <v>138.77000000000001</v>
      </c>
    </row>
    <row r="348" spans="2:10" ht="25.5">
      <c r="B348" s="543" t="s">
        <v>835</v>
      </c>
      <c r="C348" s="151" t="s">
        <v>8</v>
      </c>
      <c r="D348" s="151">
        <v>39467</v>
      </c>
      <c r="E348" s="334" t="str">
        <f>IF($D348&lt;&gt;"",VLOOKUP($D348,'SINAPI MAIO 2020'!$1:$1048576,2,FALSE),"")</f>
        <v>DISPOSITIVO DPS CLASSE II, 1 POLO, TENSAO MAXIMA DE 175 V, CORRENTE MAXIMA DE *45* KA (TIPO AC)</v>
      </c>
      <c r="F348" s="335" t="str">
        <f>IF($D348&lt;&gt;"",VLOOKUP($D348,'SINAPI MAIO 2020'!$1:$1048576,3,FALSE),"")</f>
        <v xml:space="preserve">UN    </v>
      </c>
      <c r="G348" s="360">
        <v>1</v>
      </c>
      <c r="H348" s="583">
        <f>IF($D348&lt;&gt;"",VLOOKUP($D348,'SINAPI MAIO 2020'!$1:$1048576,4,FALSE),"")</f>
        <v>89.71</v>
      </c>
      <c r="I348" s="584">
        <f t="shared" ref="I348:I350" si="37">TRUNC(H348*G348,2)</f>
        <v>89.71</v>
      </c>
    </row>
    <row r="349" spans="2:10">
      <c r="B349" s="543" t="s">
        <v>858</v>
      </c>
      <c r="C349" s="151" t="s">
        <v>8</v>
      </c>
      <c r="D349" s="151">
        <v>88247</v>
      </c>
      <c r="E349" s="334" t="str">
        <f>IF($D349&lt;&gt;"",VLOOKUP($D349,'SINAPI MAIO 2020'!$1:$1048576,2,FALSE),"")</f>
        <v>AUXILIAR DE ELETRICISTA COM ENCARGOS COMPLEMENTARES</v>
      </c>
      <c r="F349" s="335" t="str">
        <f>IF($D349&lt;&gt;"",VLOOKUP($D349,'SINAPI MAIO 2020'!$1:$1048576,3,FALSE),"")</f>
        <v>H</v>
      </c>
      <c r="G349" s="524">
        <v>1.5</v>
      </c>
      <c r="H349" s="583">
        <f>IF($D349&lt;&gt;"",VLOOKUP($D349,'SINAPI MAIO 2020'!$1:$1048576,4,FALSE),"")</f>
        <v>14.33</v>
      </c>
      <c r="I349" s="584">
        <f t="shared" si="37"/>
        <v>21.49</v>
      </c>
      <c r="J349" s="352"/>
    </row>
    <row r="350" spans="2:10">
      <c r="B350" s="543" t="s">
        <v>858</v>
      </c>
      <c r="C350" s="151" t="s">
        <v>8</v>
      </c>
      <c r="D350" s="151">
        <v>88264</v>
      </c>
      <c r="E350" s="334" t="str">
        <f>IF($D350&lt;&gt;"",VLOOKUP($D350,'SINAPI MAIO 2020'!$1:$1048576,2,FALSE),"")</f>
        <v>ELETRICISTA COM ENCARGOS COMPLEMENTARES</v>
      </c>
      <c r="F350" s="335" t="str">
        <f>IF($D350&lt;&gt;"",VLOOKUP($D350,'SINAPI MAIO 2020'!$1:$1048576,3,FALSE),"")</f>
        <v>H</v>
      </c>
      <c r="G350" s="524">
        <v>1.5</v>
      </c>
      <c r="H350" s="583">
        <f>IF($D350&lt;&gt;"",VLOOKUP($D350,'SINAPI MAIO 2020'!$1:$1048576,4,FALSE),"")</f>
        <v>18.38</v>
      </c>
      <c r="I350" s="584">
        <f t="shared" si="37"/>
        <v>27.57</v>
      </c>
    </row>
    <row r="351" spans="2:10">
      <c r="B351" s="543"/>
      <c r="C351" s="151"/>
      <c r="D351" s="351"/>
      <c r="E351" s="417"/>
      <c r="F351" s="151"/>
      <c r="G351" s="524"/>
      <c r="H351" s="585"/>
      <c r="I351" s="379"/>
    </row>
    <row r="352" spans="2:10" ht="25.5">
      <c r="B352" s="545" t="s">
        <v>12468</v>
      </c>
      <c r="C352" s="521"/>
      <c r="D352" s="521"/>
      <c r="E352" s="362" t="str">
        <f>E356</f>
        <v>DISPOSITIVO DR, 2 POLOS, SENSIBILIDADE DE 30 MA, CORRENTE DE 25 A, TIPO AC</v>
      </c>
      <c r="F352" s="523" t="s">
        <v>35</v>
      </c>
      <c r="G352" s="568">
        <v>1</v>
      </c>
      <c r="H352" s="582"/>
      <c r="I352" s="582">
        <f>TRUNC(SUM(I353:L356),2)</f>
        <v>148.66</v>
      </c>
    </row>
    <row r="353" spans="2:10">
      <c r="B353" s="548" t="s">
        <v>858</v>
      </c>
      <c r="C353" s="364" t="s">
        <v>8</v>
      </c>
      <c r="D353" s="151">
        <v>88247</v>
      </c>
      <c r="E353" s="334" t="str">
        <f>IF($D353&lt;&gt;"",VLOOKUP($D353,'SINAPI MAIO 2020'!$1:$1048576,2,FALSE),"")</f>
        <v>AUXILIAR DE ELETRICISTA COM ENCARGOS COMPLEMENTARES</v>
      </c>
      <c r="F353" s="335" t="str">
        <f>IF($D353&lt;&gt;"",VLOOKUP($D353,'SINAPI MAIO 2020'!$1:$1048576,3,FALSE),"")</f>
        <v>H</v>
      </c>
      <c r="G353" s="569">
        <v>0.56999999999999995</v>
      </c>
      <c r="H353" s="583">
        <f>IF($D353&lt;&gt;"",VLOOKUP($D353,'SINAPI MAIO 2020'!$1:$1048576,4,FALSE),"")</f>
        <v>14.33</v>
      </c>
      <c r="I353" s="584">
        <f t="shared" ref="I353:I356" si="38">TRUNC(H353*G353,2)</f>
        <v>8.16</v>
      </c>
    </row>
    <row r="354" spans="2:10">
      <c r="B354" s="548" t="s">
        <v>858</v>
      </c>
      <c r="C354" s="364" t="s">
        <v>8</v>
      </c>
      <c r="D354" s="151">
        <v>88264</v>
      </c>
      <c r="E354" s="334" t="str">
        <f>IF($D354&lt;&gt;"",VLOOKUP($D354,'SINAPI MAIO 2020'!$1:$1048576,2,FALSE),"")</f>
        <v>ELETRICISTA COM ENCARGOS COMPLEMENTARES</v>
      </c>
      <c r="F354" s="335" t="str">
        <f>IF($D354&lt;&gt;"",VLOOKUP($D354,'SINAPI MAIO 2020'!$1:$1048576,3,FALSE),"")</f>
        <v>H</v>
      </c>
      <c r="G354" s="569">
        <v>0.56999999999999995</v>
      </c>
      <c r="H354" s="583">
        <f>IF($D354&lt;&gt;"",VLOOKUP($D354,'SINAPI MAIO 2020'!$1:$1048576,4,FALSE),"")</f>
        <v>18.38</v>
      </c>
      <c r="I354" s="584">
        <f t="shared" si="38"/>
        <v>10.47</v>
      </c>
    </row>
    <row r="355" spans="2:10" ht="25.5">
      <c r="B355" s="548" t="s">
        <v>835</v>
      </c>
      <c r="C355" s="364" t="s">
        <v>8</v>
      </c>
      <c r="D355" s="151">
        <v>1575</v>
      </c>
      <c r="E355" s="334" t="str">
        <f>IF($D355&lt;&gt;"",VLOOKUP($D355,'SINAPI MAIO 2020'!$1:$1048576,2,FALSE),"")</f>
        <v>TERMINAL A COMPRESSAO EM COBRE ESTANHADO PARA CABO 16 MM2, 1 FURO E 1 COMPRESSAO, PARA PARAFUSO DE FIXACAO M6</v>
      </c>
      <c r="F355" s="335" t="str">
        <f>IF($D355&lt;&gt;"",VLOOKUP($D355,'SINAPI MAIO 2020'!$1:$1048576,3,FALSE),"")</f>
        <v xml:space="preserve">UN    </v>
      </c>
      <c r="G355" s="569">
        <v>1.27</v>
      </c>
      <c r="H355" s="583">
        <f>IF($D355&lt;&gt;"",VLOOKUP($D355,'SINAPI MAIO 2020'!$1:$1048576,4,FALSE),"")</f>
        <v>1.38</v>
      </c>
      <c r="I355" s="584">
        <f t="shared" si="38"/>
        <v>1.75</v>
      </c>
    </row>
    <row r="356" spans="2:10" ht="25.5">
      <c r="B356" s="548" t="s">
        <v>835</v>
      </c>
      <c r="C356" s="364" t="s">
        <v>8</v>
      </c>
      <c r="D356" s="151">
        <v>39445</v>
      </c>
      <c r="E356" s="334" t="str">
        <f>IF($D356&lt;&gt;"",VLOOKUP($D356,'SINAPI MAIO 2020'!$1:$1048576,2,FALSE),"")</f>
        <v>DISPOSITIVO DR, 2 POLOS, SENSIBILIDADE DE 30 MA, CORRENTE DE 25 A, TIPO AC</v>
      </c>
      <c r="F356" s="335" t="str">
        <f>IF($D356&lt;&gt;"",VLOOKUP($D356,'SINAPI MAIO 2020'!$1:$1048576,3,FALSE),"")</f>
        <v xml:space="preserve">UN    </v>
      </c>
      <c r="G356" s="569">
        <v>1</v>
      </c>
      <c r="H356" s="583">
        <f>IF($D356&lt;&gt;"",VLOOKUP($D356,'SINAPI MAIO 2020'!$1:$1048576,4,FALSE),"")</f>
        <v>128.28</v>
      </c>
      <c r="I356" s="584">
        <f t="shared" si="38"/>
        <v>128.28</v>
      </c>
    </row>
    <row r="357" spans="2:10">
      <c r="B357" s="543"/>
      <c r="C357" s="151"/>
      <c r="D357" s="351"/>
      <c r="E357" s="417"/>
      <c r="F357" s="151"/>
      <c r="G357" s="524"/>
      <c r="H357" s="585"/>
      <c r="I357" s="379"/>
      <c r="J357" s="352"/>
    </row>
    <row r="358" spans="2:10" ht="25.5">
      <c r="B358" s="545" t="s">
        <v>12469</v>
      </c>
      <c r="C358" s="521"/>
      <c r="D358" s="521"/>
      <c r="E358" s="362" t="str">
        <f>E362</f>
        <v>DISPOSITIVO DR, 2 POLOS, SENSIBILIDADE DE 30 MA, CORRENTE DE 40 A, TIPO AC</v>
      </c>
      <c r="F358" s="523" t="s">
        <v>35</v>
      </c>
      <c r="G358" s="568">
        <v>1</v>
      </c>
      <c r="H358" s="582"/>
      <c r="I358" s="582">
        <f>TRUNC(SUM(I359:L362),2)</f>
        <v>150.94</v>
      </c>
    </row>
    <row r="359" spans="2:10">
      <c r="B359" s="548" t="s">
        <v>858</v>
      </c>
      <c r="C359" s="364" t="s">
        <v>8</v>
      </c>
      <c r="D359" s="151">
        <v>88247</v>
      </c>
      <c r="E359" s="334" t="str">
        <f>IF($D359&lt;&gt;"",VLOOKUP($D359,'SINAPI MAIO 2020'!$1:$1048576,2,FALSE),"")</f>
        <v>AUXILIAR DE ELETRICISTA COM ENCARGOS COMPLEMENTARES</v>
      </c>
      <c r="F359" s="335" t="str">
        <f>IF($D359&lt;&gt;"",VLOOKUP($D359,'SINAPI MAIO 2020'!$1:$1048576,3,FALSE),"")</f>
        <v>H</v>
      </c>
      <c r="G359" s="569">
        <v>0.56999999999999995</v>
      </c>
      <c r="H359" s="583">
        <f>IF($D359&lt;&gt;"",VLOOKUP($D359,'SINAPI MAIO 2020'!$1:$1048576,4,FALSE),"")</f>
        <v>14.33</v>
      </c>
      <c r="I359" s="584">
        <f t="shared" ref="I359:I362" si="39">TRUNC(H359*G359,2)</f>
        <v>8.16</v>
      </c>
    </row>
    <row r="360" spans="2:10">
      <c r="B360" s="548" t="s">
        <v>858</v>
      </c>
      <c r="C360" s="364" t="s">
        <v>8</v>
      </c>
      <c r="D360" s="151">
        <v>88264</v>
      </c>
      <c r="E360" s="334" t="str">
        <f>IF($D360&lt;&gt;"",VLOOKUP($D360,'SINAPI MAIO 2020'!$1:$1048576,2,FALSE),"")</f>
        <v>ELETRICISTA COM ENCARGOS COMPLEMENTARES</v>
      </c>
      <c r="F360" s="335" t="str">
        <f>IF($D360&lt;&gt;"",VLOOKUP($D360,'SINAPI MAIO 2020'!$1:$1048576,3,FALSE),"")</f>
        <v>H</v>
      </c>
      <c r="G360" s="569">
        <v>0.56999999999999995</v>
      </c>
      <c r="H360" s="583">
        <f>IF($D360&lt;&gt;"",VLOOKUP($D360,'SINAPI MAIO 2020'!$1:$1048576,4,FALSE),"")</f>
        <v>18.38</v>
      </c>
      <c r="I360" s="584">
        <f t="shared" si="39"/>
        <v>10.47</v>
      </c>
    </row>
    <row r="361" spans="2:10" ht="25.5">
      <c r="B361" s="548" t="s">
        <v>835</v>
      </c>
      <c r="C361" s="364" t="s">
        <v>8</v>
      </c>
      <c r="D361" s="151">
        <v>1575</v>
      </c>
      <c r="E361" s="334" t="str">
        <f>IF($D361&lt;&gt;"",VLOOKUP($D361,'SINAPI MAIO 2020'!$1:$1048576,2,FALSE),"")</f>
        <v>TERMINAL A COMPRESSAO EM COBRE ESTANHADO PARA CABO 16 MM2, 1 FURO E 1 COMPRESSAO, PARA PARAFUSO DE FIXACAO M6</v>
      </c>
      <c r="F361" s="335" t="str">
        <f>IF($D361&lt;&gt;"",VLOOKUP($D361,'SINAPI MAIO 2020'!$1:$1048576,3,FALSE),"")</f>
        <v xml:space="preserve">UN    </v>
      </c>
      <c r="G361" s="569">
        <v>1.27</v>
      </c>
      <c r="H361" s="583">
        <f>IF($D361&lt;&gt;"",VLOOKUP($D361,'SINAPI MAIO 2020'!$1:$1048576,4,FALSE),"")</f>
        <v>1.38</v>
      </c>
      <c r="I361" s="584">
        <f t="shared" si="39"/>
        <v>1.75</v>
      </c>
    </row>
    <row r="362" spans="2:10" ht="25.5">
      <c r="B362" s="548" t="s">
        <v>835</v>
      </c>
      <c r="C362" s="364" t="s">
        <v>8</v>
      </c>
      <c r="D362" s="151">
        <v>39446</v>
      </c>
      <c r="E362" s="334" t="str">
        <f>IF($D362&lt;&gt;"",VLOOKUP($D362,'SINAPI MAIO 2020'!$1:$1048576,2,FALSE),"")</f>
        <v>DISPOSITIVO DR, 2 POLOS, SENSIBILIDADE DE 30 MA, CORRENTE DE 40 A, TIPO AC</v>
      </c>
      <c r="F362" s="335" t="str">
        <f>IF($D362&lt;&gt;"",VLOOKUP($D362,'SINAPI MAIO 2020'!$1:$1048576,3,FALSE),"")</f>
        <v xml:space="preserve">UN    </v>
      </c>
      <c r="G362" s="569">
        <v>1</v>
      </c>
      <c r="H362" s="583">
        <f>IF($D362&lt;&gt;"",VLOOKUP($D362,'SINAPI MAIO 2020'!$1:$1048576,4,FALSE),"")</f>
        <v>130.56</v>
      </c>
      <c r="I362" s="584">
        <f t="shared" si="39"/>
        <v>130.56</v>
      </c>
    </row>
    <row r="363" spans="2:10">
      <c r="B363" s="543"/>
      <c r="C363" s="151"/>
      <c r="D363" s="351"/>
      <c r="E363" s="417"/>
      <c r="F363" s="151"/>
      <c r="G363" s="524"/>
      <c r="H363" s="585"/>
      <c r="I363" s="379"/>
    </row>
    <row r="364" spans="2:10" ht="38.25">
      <c r="B364" s="545" t="s">
        <v>12470</v>
      </c>
      <c r="C364" s="513"/>
      <c r="D364" s="513"/>
      <c r="E364" s="154" t="s">
        <v>4707</v>
      </c>
      <c r="F364" s="155" t="s">
        <v>817</v>
      </c>
      <c r="G364" s="367">
        <v>1</v>
      </c>
      <c r="H364" s="581"/>
      <c r="I364" s="582">
        <f>TRUNC(SUM(I365:L368),2)</f>
        <v>61.4</v>
      </c>
    </row>
    <row r="365" spans="2:10" ht="25.5">
      <c r="B365" s="543" t="s">
        <v>835</v>
      </c>
      <c r="C365" s="151" t="s">
        <v>8</v>
      </c>
      <c r="D365" s="156">
        <v>38781</v>
      </c>
      <c r="E365" s="334" t="str">
        <f>IF($D365&lt;&gt;"",VLOOKUP($D365,'SINAPI MAIO 2020'!$1:$1048576,2,FALSE),"")</f>
        <v>LAMPADA FLUORESCENTE ESPIRAL BRANCA 45 W, BASE E27 (127/220 V)</v>
      </c>
      <c r="F365" s="335" t="str">
        <f>IF($D365&lt;&gt;"",VLOOKUP($D365,'SINAPI MAIO 2020'!$1:$1048576,3,FALSE),"")</f>
        <v xml:space="preserve">UN    </v>
      </c>
      <c r="G365" s="360">
        <v>1</v>
      </c>
      <c r="H365" s="583">
        <f>IF($D365&lt;&gt;"",VLOOKUP($D365,'SINAPI MAIO 2020'!$1:$1048576,4,FALSE),"")</f>
        <v>32.07</v>
      </c>
      <c r="I365" s="379">
        <f>TRUNC(H365*G365,2)</f>
        <v>32.07</v>
      </c>
    </row>
    <row r="366" spans="2:10" ht="25.5">
      <c r="B366" s="543" t="s">
        <v>858</v>
      </c>
      <c r="C366" s="151" t="s">
        <v>8</v>
      </c>
      <c r="D366" s="156">
        <v>38773</v>
      </c>
      <c r="E366" s="334" t="str">
        <f>IF($D366&lt;&gt;"",VLOOKUP($D366,'SINAPI MAIO 2020'!$1:$1048576,2,FALSE),"")</f>
        <v>LUMINARIA DE TETO PLAFON/PLAFONIER EM PLASTICO COM BASE E27, POTENCIA MAXIMA 60 W (NAO INCLUI LAMPADA)</v>
      </c>
      <c r="F366" s="335" t="str">
        <f>IF($D366&lt;&gt;"",VLOOKUP($D366,'SINAPI MAIO 2020'!$1:$1048576,3,FALSE),"")</f>
        <v xml:space="preserve">UN    </v>
      </c>
      <c r="G366" s="524">
        <v>1</v>
      </c>
      <c r="H366" s="583">
        <f>IF($D366&lt;&gt;"",VLOOKUP($D366,'SINAPI MAIO 2020'!$1:$1048576,4,FALSE),"")</f>
        <v>3.17</v>
      </c>
      <c r="I366" s="379">
        <f t="shared" ref="I366:I368" si="40">TRUNC(H366*G366,2)</f>
        <v>3.17</v>
      </c>
    </row>
    <row r="367" spans="2:10">
      <c r="B367" s="543" t="s">
        <v>858</v>
      </c>
      <c r="C367" s="151" t="s">
        <v>8</v>
      </c>
      <c r="D367" s="156">
        <v>88247</v>
      </c>
      <c r="E367" s="334" t="str">
        <f>IF($D367&lt;&gt;"",VLOOKUP($D367,'SINAPI MAIO 2020'!$1:$1048576,2,FALSE),"")</f>
        <v>AUXILIAR DE ELETRICISTA COM ENCARGOS COMPLEMENTARES</v>
      </c>
      <c r="F367" s="335" t="str">
        <f>IF($D367&lt;&gt;"",VLOOKUP($D367,'SINAPI MAIO 2020'!$1:$1048576,3,FALSE),"")</f>
        <v>H</v>
      </c>
      <c r="G367" s="524">
        <v>0.8</v>
      </c>
      <c r="H367" s="583">
        <f>IF($D367&lt;&gt;"",VLOOKUP($D367,'SINAPI MAIO 2020'!$1:$1048576,4,FALSE),"")</f>
        <v>14.33</v>
      </c>
      <c r="I367" s="379">
        <f t="shared" si="40"/>
        <v>11.46</v>
      </c>
    </row>
    <row r="368" spans="2:10">
      <c r="B368" s="543" t="s">
        <v>858</v>
      </c>
      <c r="C368" s="151" t="s">
        <v>8</v>
      </c>
      <c r="D368" s="156">
        <v>88264</v>
      </c>
      <c r="E368" s="334" t="str">
        <f>IF($D368&lt;&gt;"",VLOOKUP($D368,'SINAPI MAIO 2020'!$1:$1048576,2,FALSE),"")</f>
        <v>ELETRICISTA COM ENCARGOS COMPLEMENTARES</v>
      </c>
      <c r="F368" s="335" t="str">
        <f>IF($D368&lt;&gt;"",VLOOKUP($D368,'SINAPI MAIO 2020'!$1:$1048576,3,FALSE),"")</f>
        <v>H</v>
      </c>
      <c r="G368" s="524">
        <v>0.8</v>
      </c>
      <c r="H368" s="583">
        <f>IF($D368&lt;&gt;"",VLOOKUP($D368,'SINAPI MAIO 2020'!$1:$1048576,4,FALSE),"")</f>
        <v>18.38</v>
      </c>
      <c r="I368" s="379">
        <f t="shared" si="40"/>
        <v>14.7</v>
      </c>
    </row>
    <row r="369" spans="2:9">
      <c r="B369" s="543"/>
      <c r="C369" s="151"/>
      <c r="D369" s="351"/>
      <c r="E369" s="417"/>
      <c r="F369" s="151"/>
      <c r="G369" s="524"/>
      <c r="H369" s="585"/>
      <c r="I369" s="379"/>
    </row>
    <row r="370" spans="2:9">
      <c r="B370" s="545" t="s">
        <v>12471</v>
      </c>
      <c r="C370" s="513"/>
      <c r="D370" s="513"/>
      <c r="E370" s="154" t="s">
        <v>4485</v>
      </c>
      <c r="F370" s="155" t="s">
        <v>817</v>
      </c>
      <c r="G370" s="367">
        <v>1</v>
      </c>
      <c r="H370" s="581"/>
      <c r="I370" s="582">
        <f>TRUNC(SUM(I371:I373),2)</f>
        <v>242.71</v>
      </c>
    </row>
    <row r="371" spans="2:9">
      <c r="B371" s="543" t="s">
        <v>835</v>
      </c>
      <c r="C371" s="151" t="s">
        <v>836</v>
      </c>
      <c r="D371" s="353"/>
      <c r="E371" s="334" t="s">
        <v>4483</v>
      </c>
      <c r="F371" s="335" t="s">
        <v>817</v>
      </c>
      <c r="G371" s="360">
        <v>1</v>
      </c>
      <c r="H371" s="583">
        <v>210</v>
      </c>
      <c r="I371" s="379">
        <f t="shared" ref="I371:I373" si="41">TRUNC(H371*G371,2)</f>
        <v>210</v>
      </c>
    </row>
    <row r="372" spans="2:9">
      <c r="B372" s="543" t="s">
        <v>858</v>
      </c>
      <c r="C372" s="151" t="s">
        <v>8</v>
      </c>
      <c r="D372" s="352">
        <v>88247</v>
      </c>
      <c r="E372" s="334" t="str">
        <f>IF($D372&lt;&gt;"",VLOOKUP($D372,'SINAPI MAIO 2020'!$1:$1048576,2,FALSE),"")</f>
        <v>AUXILIAR DE ELETRICISTA COM ENCARGOS COMPLEMENTARES</v>
      </c>
      <c r="F372" s="335" t="str">
        <f>IF($D372&lt;&gt;"",VLOOKUP($D372,'SINAPI MAIO 2020'!$1:$1048576,3,FALSE),"")</f>
        <v>H</v>
      </c>
      <c r="G372" s="524">
        <v>1</v>
      </c>
      <c r="H372" s="583">
        <f>IF($D372&lt;&gt;"",VLOOKUP($D372,'SINAPI MAIO 2020'!$1:$1048576,4,FALSE),"")</f>
        <v>14.33</v>
      </c>
      <c r="I372" s="379">
        <f t="shared" si="41"/>
        <v>14.33</v>
      </c>
    </row>
    <row r="373" spans="2:9">
      <c r="B373" s="543" t="s">
        <v>858</v>
      </c>
      <c r="C373" s="151" t="s">
        <v>8</v>
      </c>
      <c r="D373" s="352">
        <v>88264</v>
      </c>
      <c r="E373" s="334" t="str">
        <f>IF($D373&lt;&gt;"",VLOOKUP($D373,'SINAPI MAIO 2020'!$1:$1048576,2,FALSE),"")</f>
        <v>ELETRICISTA COM ENCARGOS COMPLEMENTARES</v>
      </c>
      <c r="F373" s="335" t="str">
        <f>IF($D373&lt;&gt;"",VLOOKUP($D373,'SINAPI MAIO 2020'!$1:$1048576,3,FALSE),"")</f>
        <v>H</v>
      </c>
      <c r="G373" s="524">
        <v>1</v>
      </c>
      <c r="H373" s="583">
        <f>IF($D373&lt;&gt;"",VLOOKUP($D373,'SINAPI MAIO 2020'!$1:$1048576,4,FALSE),"")</f>
        <v>18.38</v>
      </c>
      <c r="I373" s="379">
        <f t="shared" si="41"/>
        <v>18.38</v>
      </c>
    </row>
    <row r="374" spans="2:9">
      <c r="D374" s="352"/>
      <c r="E374" s="334"/>
      <c r="F374" s="335"/>
      <c r="G374" s="571"/>
      <c r="H374" s="583"/>
    </row>
    <row r="375" spans="2:9">
      <c r="B375" s="551" t="s">
        <v>7062</v>
      </c>
      <c r="D375" s="352"/>
      <c r="E375" s="334"/>
      <c r="F375" s="335"/>
      <c r="G375" s="571"/>
      <c r="H375" s="583"/>
    </row>
    <row r="376" spans="2:9">
      <c r="D376" s="352"/>
      <c r="E376" s="334"/>
      <c r="F376" s="335"/>
      <c r="G376" s="571"/>
      <c r="H376" s="583"/>
    </row>
    <row r="377" spans="2:9">
      <c r="D377" s="352"/>
      <c r="E377" s="334"/>
      <c r="F377" s="335"/>
      <c r="G377" s="571"/>
      <c r="H377" s="583"/>
    </row>
    <row r="378" spans="2:9">
      <c r="B378" s="545" t="s">
        <v>12503</v>
      </c>
      <c r="C378" s="513"/>
      <c r="D378" s="513"/>
      <c r="E378" s="154" t="s">
        <v>7063</v>
      </c>
      <c r="F378" s="155" t="s">
        <v>817</v>
      </c>
      <c r="G378" s="367"/>
      <c r="H378" s="581"/>
      <c r="I378" s="582">
        <f>TRUNC(SUM(I379:I381),2)</f>
        <v>99.51</v>
      </c>
    </row>
    <row r="379" spans="2:9">
      <c r="B379" s="543" t="s">
        <v>837</v>
      </c>
      <c r="C379" s="151" t="s">
        <v>8</v>
      </c>
      <c r="D379" s="353">
        <v>88247</v>
      </c>
      <c r="E379" s="334" t="str">
        <f>IF($D379&lt;&gt;"",VLOOKUP($D379,'SINAPI MAIO 2020'!$1:$1048576,2,FALSE),"")</f>
        <v>AUXILIAR DE ELETRICISTA COM ENCARGOS COMPLEMENTARES</v>
      </c>
      <c r="F379" s="335" t="str">
        <f>IF($D379&lt;&gt;"",VLOOKUP($D379,'SINAPI MAIO 2020'!$1:$1048576,3,FALSE),"")</f>
        <v>H</v>
      </c>
      <c r="G379" s="360">
        <v>0.3</v>
      </c>
      <c r="H379" s="583">
        <f>IF($D379&lt;&gt;"",VLOOKUP($D379,'SINAPI MAIO 2020'!$1:$1048576,4,FALSE),"")</f>
        <v>14.33</v>
      </c>
      <c r="I379" s="379">
        <f t="shared" ref="I379:I381" si="42">TRUNC(H379*G379,2)</f>
        <v>4.29</v>
      </c>
    </row>
    <row r="380" spans="2:9">
      <c r="B380" s="543" t="s">
        <v>837</v>
      </c>
      <c r="C380" s="151" t="s">
        <v>8</v>
      </c>
      <c r="D380" s="352">
        <v>88264</v>
      </c>
      <c r="E380" s="334" t="str">
        <f>IF($D380&lt;&gt;"",VLOOKUP($D380,'SINAPI MAIO 2020'!$1:$1048576,2,FALSE),"")</f>
        <v>ELETRICISTA COM ENCARGOS COMPLEMENTARES</v>
      </c>
      <c r="F380" s="335" t="str">
        <f>IF($D380&lt;&gt;"",VLOOKUP($D380,'SINAPI MAIO 2020'!$1:$1048576,3,FALSE),"")</f>
        <v>H</v>
      </c>
      <c r="G380" s="524">
        <v>0.3</v>
      </c>
      <c r="H380" s="583">
        <f>IF($D380&lt;&gt;"",VLOOKUP($D380,'SINAPI MAIO 2020'!$1:$1048576,4,FALSE),"")</f>
        <v>18.38</v>
      </c>
      <c r="I380" s="379">
        <f t="shared" si="42"/>
        <v>5.51</v>
      </c>
    </row>
    <row r="381" spans="2:9" ht="32.25" customHeight="1">
      <c r="B381" s="543" t="s">
        <v>835</v>
      </c>
      <c r="C381" s="151" t="s">
        <v>8</v>
      </c>
      <c r="D381" s="352">
        <v>39467</v>
      </c>
      <c r="E381" s="334" t="str">
        <f>IF($D381&lt;&gt;"",VLOOKUP($D381,'SINAPI MAIO 2020'!$1:$1048576,2,FALSE),"")</f>
        <v>DISPOSITIVO DPS CLASSE II, 1 POLO, TENSAO MAXIMA DE 175 V, CORRENTE MAXIMA DE *45* KA (TIPO AC)</v>
      </c>
      <c r="F381" s="335" t="str">
        <f>IF($D381&lt;&gt;"",VLOOKUP($D381,'SINAPI MAIO 2020'!$1:$1048576,3,FALSE),"")</f>
        <v xml:space="preserve">UN    </v>
      </c>
      <c r="G381" s="524">
        <v>1</v>
      </c>
      <c r="H381" s="583">
        <f>IF($D381&lt;&gt;"",VLOOKUP($D381,'SINAPI MAIO 2020'!$1:$1048576,4,FALSE),"")</f>
        <v>89.71</v>
      </c>
      <c r="I381" s="379">
        <f t="shared" si="42"/>
        <v>89.71</v>
      </c>
    </row>
    <row r="382" spans="2:9">
      <c r="D382" s="352"/>
      <c r="E382" s="334"/>
      <c r="F382" s="335"/>
      <c r="G382" s="571"/>
      <c r="H382" s="583"/>
    </row>
    <row r="383" spans="2:9">
      <c r="B383" s="361" t="s">
        <v>12504</v>
      </c>
      <c r="C383" s="369"/>
      <c r="D383" s="369"/>
      <c r="E383" s="370" t="s">
        <v>8994</v>
      </c>
      <c r="F383" s="369" t="s">
        <v>35</v>
      </c>
      <c r="G383" s="371"/>
      <c r="H383" s="596"/>
      <c r="I383" s="582">
        <f>TRUNC(SUM(I384:I386),2)</f>
        <v>332.22</v>
      </c>
    </row>
    <row r="384" spans="2:9">
      <c r="B384" s="552" t="s">
        <v>7068</v>
      </c>
      <c r="C384" s="372" t="s">
        <v>8</v>
      </c>
      <c r="D384" s="373">
        <v>88247</v>
      </c>
      <c r="E384" s="334" t="str">
        <f>IF($D384&lt;&gt;"",VLOOKUP($D384,'SINAPI MAIO 2020'!$1:$1048576,2,FALSE),"")</f>
        <v>AUXILIAR DE ELETRICISTA COM ENCARGOS COMPLEMENTARES</v>
      </c>
      <c r="F384" s="335" t="str">
        <f>IF($D384&lt;&gt;"",VLOOKUP($D384,'SINAPI MAIO 2020'!$1:$1048576,3,FALSE),"")</f>
        <v>H</v>
      </c>
      <c r="G384" s="360">
        <v>0.4</v>
      </c>
      <c r="H384" s="583">
        <f>IF($D384&lt;&gt;"",VLOOKUP($D384,'SINAPI MAIO 2020'!$1:$1048576,4,FALSE),"")</f>
        <v>14.33</v>
      </c>
      <c r="I384" s="379">
        <f t="shared" ref="I384:I386" si="43">TRUNC(H384*G384,2)</f>
        <v>5.73</v>
      </c>
    </row>
    <row r="385" spans="2:9">
      <c r="B385" s="552" t="s">
        <v>7068</v>
      </c>
      <c r="C385" s="372" t="s">
        <v>8</v>
      </c>
      <c r="D385" s="373">
        <v>88264</v>
      </c>
      <c r="E385" s="334" t="str">
        <f>IF($D385&lt;&gt;"",VLOOKUP($D385,'SINAPI MAIO 2020'!$1:$1048576,2,FALSE),"")</f>
        <v>ELETRICISTA COM ENCARGOS COMPLEMENTARES</v>
      </c>
      <c r="F385" s="335" t="str">
        <f>IF($D385&lt;&gt;"",VLOOKUP($D385,'SINAPI MAIO 2020'!$1:$1048576,3,FALSE),"")</f>
        <v>H</v>
      </c>
      <c r="G385" s="524">
        <v>0.4</v>
      </c>
      <c r="H385" s="583">
        <f>IF($D385&lt;&gt;"",VLOOKUP($D385,'SINAPI MAIO 2020'!$1:$1048576,4,FALSE),"")</f>
        <v>18.38</v>
      </c>
      <c r="I385" s="379">
        <f t="shared" si="43"/>
        <v>7.35</v>
      </c>
    </row>
    <row r="386" spans="2:9" ht="40.5" customHeight="1">
      <c r="B386" s="552" t="s">
        <v>835</v>
      </c>
      <c r="C386" s="372" t="s">
        <v>8</v>
      </c>
      <c r="D386" s="373">
        <v>2391</v>
      </c>
      <c r="E386" s="334" t="str">
        <f>IF($D386&lt;&gt;"",VLOOKUP($D386,'SINAPI MAIO 2020'!$1:$1048576,2,FALSE),"")</f>
        <v>DISJUNTOR TERMOMAGNETICO TRIPOLAR 125A</v>
      </c>
      <c r="F386" s="335" t="str">
        <f>IF($D386&lt;&gt;"",VLOOKUP($D386,'SINAPI MAIO 2020'!$1:$1048576,3,FALSE),"")</f>
        <v xml:space="preserve">UN    </v>
      </c>
      <c r="G386" s="524">
        <v>1</v>
      </c>
      <c r="H386" s="583">
        <f>IF($D386&lt;&gt;"",VLOOKUP($D386,'SINAPI MAIO 2020'!$1:$1048576,4,FALSE),"")</f>
        <v>319.14</v>
      </c>
      <c r="I386" s="379">
        <f t="shared" si="43"/>
        <v>319.14</v>
      </c>
    </row>
    <row r="387" spans="2:9">
      <c r="D387" s="352"/>
      <c r="E387" s="334"/>
      <c r="F387" s="335"/>
      <c r="G387" s="571"/>
      <c r="H387" s="583"/>
    </row>
    <row r="388" spans="2:9" ht="25.5">
      <c r="B388" s="361" t="s">
        <v>12478</v>
      </c>
      <c r="C388" s="365"/>
      <c r="D388" s="365"/>
      <c r="E388" s="362" t="s">
        <v>7064</v>
      </c>
      <c r="F388" s="363" t="s">
        <v>7065</v>
      </c>
      <c r="G388" s="572"/>
      <c r="H388" s="581"/>
      <c r="I388" s="582">
        <f>TRUNC(SUM(I389:I391),2)</f>
        <v>1046.02</v>
      </c>
    </row>
    <row r="389" spans="2:9">
      <c r="B389" s="548" t="s">
        <v>837</v>
      </c>
      <c r="C389" s="364" t="s">
        <v>8</v>
      </c>
      <c r="D389" s="374">
        <v>88247</v>
      </c>
      <c r="E389" s="334" t="str">
        <f>IF($D389&lt;&gt;"",VLOOKUP($D389,'SINAPI MAIO 2020'!$1:$1048576,2,FALSE),"")</f>
        <v>AUXILIAR DE ELETRICISTA COM ENCARGOS COMPLEMENTARES</v>
      </c>
      <c r="F389" s="335" t="str">
        <f>IF($D389&lt;&gt;"",VLOOKUP($D389,'SINAPI MAIO 2020'!$1:$1048576,3,FALSE),"")</f>
        <v>H</v>
      </c>
      <c r="G389" s="538">
        <v>2.5</v>
      </c>
      <c r="H389" s="583">
        <f>IF($D389&lt;&gt;"",VLOOKUP($D389,'SINAPI MAIO 2020'!$1:$1048576,4,FALSE),"")</f>
        <v>14.33</v>
      </c>
      <c r="I389" s="379">
        <f t="shared" ref="I389:I391" si="44">TRUNC(H389*G389,2)</f>
        <v>35.82</v>
      </c>
    </row>
    <row r="390" spans="2:9">
      <c r="B390" s="548" t="s">
        <v>837</v>
      </c>
      <c r="C390" s="364" t="s">
        <v>8</v>
      </c>
      <c r="D390" s="374">
        <v>88264</v>
      </c>
      <c r="E390" s="334" t="str">
        <f>IF($D390&lt;&gt;"",VLOOKUP($D390,'SINAPI MAIO 2020'!$1:$1048576,2,FALSE),"")</f>
        <v>ELETRICISTA COM ENCARGOS COMPLEMENTARES</v>
      </c>
      <c r="F390" s="335" t="str">
        <f>IF($D390&lt;&gt;"",VLOOKUP($D390,'SINAPI MAIO 2020'!$1:$1048576,3,FALSE),"")</f>
        <v>H</v>
      </c>
      <c r="G390" s="538">
        <v>2.5</v>
      </c>
      <c r="H390" s="583">
        <f>IF($D390&lt;&gt;"",VLOOKUP($D390,'SINAPI MAIO 2020'!$1:$1048576,4,FALSE),"")</f>
        <v>18.38</v>
      </c>
      <c r="I390" s="379">
        <f t="shared" si="44"/>
        <v>45.95</v>
      </c>
    </row>
    <row r="391" spans="2:9" ht="25.5">
      <c r="B391" s="553" t="s">
        <v>835</v>
      </c>
      <c r="C391" s="344" t="s">
        <v>836</v>
      </c>
      <c r="D391" s="345"/>
      <c r="E391" s="346" t="s">
        <v>7066</v>
      </c>
      <c r="F391" s="347" t="s">
        <v>35</v>
      </c>
      <c r="G391" s="538">
        <v>1</v>
      </c>
      <c r="H391" s="583">
        <v>964.25</v>
      </c>
      <c r="I391" s="379">
        <f t="shared" si="44"/>
        <v>964.25</v>
      </c>
    </row>
    <row r="392" spans="2:9">
      <c r="B392" s="553"/>
      <c r="C392" s="344"/>
      <c r="D392" s="345"/>
      <c r="E392" s="346"/>
      <c r="F392" s="347"/>
      <c r="G392" s="538"/>
      <c r="H392" s="583"/>
      <c r="I392" s="583"/>
    </row>
    <row r="393" spans="2:9">
      <c r="B393" s="361" t="s">
        <v>12479</v>
      </c>
      <c r="C393" s="375"/>
      <c r="D393" s="375"/>
      <c r="E393" s="362" t="s">
        <v>7067</v>
      </c>
      <c r="F393" s="375" t="s">
        <v>17</v>
      </c>
      <c r="G393" s="371"/>
      <c r="H393" s="596"/>
      <c r="I393" s="582">
        <f>TRUNC(SUM(I394:I396),2)</f>
        <v>152.16999999999999</v>
      </c>
    </row>
    <row r="394" spans="2:9">
      <c r="B394" s="553" t="s">
        <v>7068</v>
      </c>
      <c r="C394" s="344" t="s">
        <v>8</v>
      </c>
      <c r="D394" s="345">
        <v>88247</v>
      </c>
      <c r="E394" s="334" t="str">
        <f>IF($D394&lt;&gt;"",VLOOKUP($D394,'SINAPI MAIO 2020'!$1:$1048576,2,FALSE),"")</f>
        <v>AUXILIAR DE ELETRICISTA COM ENCARGOS COMPLEMENTARES</v>
      </c>
      <c r="F394" s="335" t="str">
        <f>IF($D394&lt;&gt;"",VLOOKUP($D394,'SINAPI MAIO 2020'!$1:$1048576,3,FALSE),"")</f>
        <v>H</v>
      </c>
      <c r="G394" s="538">
        <v>1</v>
      </c>
      <c r="H394" s="583">
        <f>IF($D394&lt;&gt;"",VLOOKUP($D394,'SINAPI MAIO 2020'!$1:$1048576,4,FALSE),"")</f>
        <v>14.33</v>
      </c>
      <c r="I394" s="379">
        <f t="shared" ref="I394:I396" si="45">TRUNC(H394*G394,2)</f>
        <v>14.33</v>
      </c>
    </row>
    <row r="395" spans="2:9">
      <c r="B395" s="553" t="s">
        <v>7068</v>
      </c>
      <c r="C395" s="344" t="s">
        <v>8</v>
      </c>
      <c r="D395" s="345">
        <v>88264</v>
      </c>
      <c r="E395" s="334" t="str">
        <f>IF($D395&lt;&gt;"",VLOOKUP($D395,'SINAPI MAIO 2020'!$1:$1048576,2,FALSE),"")</f>
        <v>ELETRICISTA COM ENCARGOS COMPLEMENTARES</v>
      </c>
      <c r="F395" s="335" t="str">
        <f>IF($D395&lt;&gt;"",VLOOKUP($D395,'SINAPI MAIO 2020'!$1:$1048576,3,FALSE),"")</f>
        <v>H</v>
      </c>
      <c r="G395" s="538">
        <v>1</v>
      </c>
      <c r="H395" s="583">
        <f>IF($D395&lt;&gt;"",VLOOKUP($D395,'SINAPI MAIO 2020'!$1:$1048576,4,FALSE),"")</f>
        <v>18.38</v>
      </c>
      <c r="I395" s="379">
        <f t="shared" si="45"/>
        <v>18.38</v>
      </c>
    </row>
    <row r="396" spans="2:9">
      <c r="B396" s="553" t="s">
        <v>835</v>
      </c>
      <c r="C396" s="344" t="s">
        <v>836</v>
      </c>
      <c r="D396" s="345"/>
      <c r="E396" s="346" t="s">
        <v>7069</v>
      </c>
      <c r="F396" s="347" t="s">
        <v>17</v>
      </c>
      <c r="G396" s="538">
        <v>1</v>
      </c>
      <c r="H396" s="583">
        <v>119.46</v>
      </c>
      <c r="I396" s="379">
        <f t="shared" si="45"/>
        <v>119.46</v>
      </c>
    </row>
    <row r="397" spans="2:9">
      <c r="D397" s="352"/>
      <c r="E397" s="334"/>
      <c r="F397" s="335"/>
      <c r="G397" s="571"/>
      <c r="H397" s="583"/>
    </row>
    <row r="398" spans="2:9">
      <c r="B398" s="361" t="s">
        <v>12480</v>
      </c>
      <c r="C398" s="376"/>
      <c r="D398" s="376"/>
      <c r="E398" s="377" t="s">
        <v>7070</v>
      </c>
      <c r="F398" s="376" t="s">
        <v>817</v>
      </c>
      <c r="G398" s="378"/>
      <c r="H398" s="596"/>
      <c r="I398" s="582">
        <f>TRUNC(SUM(I399:I401),2)</f>
        <v>43.38</v>
      </c>
    </row>
    <row r="399" spans="2:9" ht="29.25" customHeight="1">
      <c r="B399" s="543" t="s">
        <v>7068</v>
      </c>
      <c r="C399" s="151" t="s">
        <v>8</v>
      </c>
      <c r="D399" s="348">
        <v>88247</v>
      </c>
      <c r="E399" s="334" t="str">
        <f>IF($D399&lt;&gt;"",VLOOKUP($D399,'SINAPI MAIO 2020'!$1:$1048576,2,FALSE),"")</f>
        <v>AUXILIAR DE ELETRICISTA COM ENCARGOS COMPLEMENTARES</v>
      </c>
      <c r="F399" s="335" t="str">
        <f>IF($D399&lt;&gt;"",VLOOKUP($D399,'SINAPI MAIO 2020'!$1:$1048576,3,FALSE),"")</f>
        <v>H</v>
      </c>
      <c r="G399" s="379">
        <v>0.3</v>
      </c>
      <c r="H399" s="583">
        <f>IF($D399&lt;&gt;"",VLOOKUP($D399,'SINAPI MAIO 2020'!$1:$1048576,4,FALSE),"")</f>
        <v>14.33</v>
      </c>
      <c r="I399" s="379">
        <f t="shared" ref="I399:I400" si="46">TRUNC(H399*G399,2)</f>
        <v>4.29</v>
      </c>
    </row>
    <row r="400" spans="2:9" ht="29.25" customHeight="1">
      <c r="B400" s="543" t="s">
        <v>7068</v>
      </c>
      <c r="C400" s="151" t="s">
        <v>8</v>
      </c>
      <c r="D400" s="348">
        <v>88264</v>
      </c>
      <c r="E400" s="334" t="str">
        <f>IF($D400&lt;&gt;"",VLOOKUP($D400,'SINAPI MAIO 2020'!$1:$1048576,2,FALSE),"")</f>
        <v>ELETRICISTA COM ENCARGOS COMPLEMENTARES</v>
      </c>
      <c r="F400" s="335" t="str">
        <f>IF($D400&lt;&gt;"",VLOOKUP($D400,'SINAPI MAIO 2020'!$1:$1048576,3,FALSE),"")</f>
        <v>H</v>
      </c>
      <c r="G400" s="379">
        <v>0.3</v>
      </c>
      <c r="H400" s="583">
        <f>IF($D400&lt;&gt;"",VLOOKUP($D400,'SINAPI MAIO 2020'!$1:$1048576,4,FALSE),"")</f>
        <v>18.38</v>
      </c>
      <c r="I400" s="379">
        <f t="shared" si="46"/>
        <v>5.51</v>
      </c>
    </row>
    <row r="401" spans="2:9" ht="29.25" customHeight="1">
      <c r="B401" s="543" t="s">
        <v>835</v>
      </c>
      <c r="C401" s="151" t="s">
        <v>8</v>
      </c>
      <c r="D401" s="348">
        <v>1878</v>
      </c>
      <c r="E401" s="334" t="str">
        <f>IF($D401&lt;&gt;"",VLOOKUP($D401,'SINAPI MAIO 2020'!$1:$1048576,2,FALSE),"")</f>
        <v>CURVA 90 GRAUS, LONGA, DE PVC RIGIDO ROSCAVEL, DE 4", PARA ELETRODUTO</v>
      </c>
      <c r="F401" s="335" t="str">
        <f>IF($D401&lt;&gt;"",VLOOKUP($D401,'SINAPI MAIO 2020'!$1:$1048576,3,FALSE),"")</f>
        <v xml:space="preserve">UN    </v>
      </c>
      <c r="G401" s="379">
        <v>1</v>
      </c>
      <c r="H401" s="583">
        <f>IF($D401&lt;&gt;"",VLOOKUP($D401,'SINAPI MAIO 2020'!$1:$1048576,4,FALSE),"")</f>
        <v>33.58</v>
      </c>
      <c r="I401" s="379">
        <f t="shared" ref="I401" si="47">TRUNC(H401*G401,2)</f>
        <v>33.58</v>
      </c>
    </row>
    <row r="402" spans="2:9">
      <c r="D402" s="352"/>
      <c r="E402" s="334"/>
      <c r="F402" s="335"/>
      <c r="G402" s="571"/>
      <c r="H402" s="583"/>
    </row>
    <row r="403" spans="2:9" ht="25.5">
      <c r="B403" s="361" t="s">
        <v>12481</v>
      </c>
      <c r="C403" s="376"/>
      <c r="D403" s="376"/>
      <c r="E403" s="377" t="s">
        <v>7072</v>
      </c>
      <c r="F403" s="376" t="s">
        <v>817</v>
      </c>
      <c r="G403" s="378"/>
      <c r="H403" s="596"/>
      <c r="I403" s="582">
        <f>TRUNC(SUM(I404:I406),2)</f>
        <v>16.43</v>
      </c>
    </row>
    <row r="404" spans="2:9" ht="40.5" customHeight="1">
      <c r="B404" s="543" t="s">
        <v>7068</v>
      </c>
      <c r="C404" s="151" t="s">
        <v>8</v>
      </c>
      <c r="D404" s="348">
        <v>88247</v>
      </c>
      <c r="E404" s="334" t="str">
        <f>IF($D404&lt;&gt;"",VLOOKUP($D404,'SINAPI MAIO 2020'!$1:$1048576,2,FALSE),"")</f>
        <v>AUXILIAR DE ELETRICISTA COM ENCARGOS COMPLEMENTARES</v>
      </c>
      <c r="F404" s="335" t="str">
        <f>IF($D404&lt;&gt;"",VLOOKUP($D404,'SINAPI MAIO 2020'!$1:$1048576,3,FALSE),"")</f>
        <v>H</v>
      </c>
      <c r="G404" s="379">
        <v>0.2</v>
      </c>
      <c r="H404" s="583">
        <f>IF($D404&lt;&gt;"",VLOOKUP($D404,'SINAPI MAIO 2020'!$1:$1048576,4,FALSE),"")</f>
        <v>14.33</v>
      </c>
      <c r="I404" s="379">
        <f t="shared" ref="I404" si="48">TRUNC(H404*G404,2)</f>
        <v>2.86</v>
      </c>
    </row>
    <row r="405" spans="2:9">
      <c r="B405" s="543" t="s">
        <v>7068</v>
      </c>
      <c r="C405" s="151" t="s">
        <v>8</v>
      </c>
      <c r="D405" s="348">
        <v>88264</v>
      </c>
      <c r="E405" s="334" t="str">
        <f>IF($D405&lt;&gt;"",VLOOKUP($D405,'SINAPI MAIO 2020'!$1:$1048576,2,FALSE),"")</f>
        <v>ELETRICISTA COM ENCARGOS COMPLEMENTARES</v>
      </c>
      <c r="F405" s="335" t="str">
        <f>IF($D405&lt;&gt;"",VLOOKUP($D405,'SINAPI MAIO 2020'!$1:$1048576,3,FALSE),"")</f>
        <v>H</v>
      </c>
      <c r="G405" s="379">
        <v>0.2</v>
      </c>
      <c r="H405" s="583">
        <f>IF($D405&lt;&gt;"",VLOOKUP($D405,'SINAPI MAIO 2020'!$1:$1048576,4,FALSE),"")</f>
        <v>18.38</v>
      </c>
      <c r="I405" s="379">
        <f t="shared" ref="I405:I406" si="49">TRUNC(H405*G405,2)</f>
        <v>3.67</v>
      </c>
    </row>
    <row r="406" spans="2:9" ht="25.5">
      <c r="B406" s="543" t="s">
        <v>835</v>
      </c>
      <c r="C406" s="151" t="s">
        <v>8</v>
      </c>
      <c r="D406" s="348">
        <v>20111</v>
      </c>
      <c r="E406" s="334" t="str">
        <f>IF($D406&lt;&gt;"",VLOOKUP($D406,'SINAPI MAIO 2020'!$1:$1048576,2,FALSE),"")</f>
        <v>FITA ISOLANTE ADESIVA ANTICHAMA, USO ATE 750 V, EM ROLO DE 19 MM X 20 M</v>
      </c>
      <c r="F406" s="335" t="str">
        <f>IF($D406&lt;&gt;"",VLOOKUP($D406,'SINAPI MAIO 2020'!$1:$1048576,3,FALSE),"")</f>
        <v xml:space="preserve">UN    </v>
      </c>
      <c r="G406" s="379">
        <v>1</v>
      </c>
      <c r="H406" s="583">
        <f>IF($D406&lt;&gt;"",VLOOKUP($D406,'SINAPI MAIO 2020'!$1:$1048576,4,FALSE),"")</f>
        <v>9.9</v>
      </c>
      <c r="I406" s="379">
        <f t="shared" si="49"/>
        <v>9.9</v>
      </c>
    </row>
    <row r="407" spans="2:9">
      <c r="D407" s="352"/>
      <c r="E407" s="334"/>
      <c r="F407" s="335"/>
      <c r="G407" s="571"/>
      <c r="H407" s="583"/>
    </row>
    <row r="408" spans="2:9" ht="25.5">
      <c r="B408" s="361" t="s">
        <v>12482</v>
      </c>
      <c r="C408" s="376"/>
      <c r="D408" s="376"/>
      <c r="E408" s="377" t="s">
        <v>7073</v>
      </c>
      <c r="F408" s="376" t="s">
        <v>817</v>
      </c>
      <c r="G408" s="378"/>
      <c r="H408" s="596"/>
      <c r="I408" s="582">
        <f>TRUNC(SUM(I409:I411),2)</f>
        <v>16.43</v>
      </c>
    </row>
    <row r="409" spans="2:9">
      <c r="B409" s="543" t="s">
        <v>7068</v>
      </c>
      <c r="C409" s="151" t="s">
        <v>8</v>
      </c>
      <c r="D409" s="348">
        <v>88247</v>
      </c>
      <c r="E409" s="334" t="str">
        <f>IF($D409&lt;&gt;"",VLOOKUP($D409,'SINAPI MAIO 2020'!$1:$1048576,2,FALSE),"")</f>
        <v>AUXILIAR DE ELETRICISTA COM ENCARGOS COMPLEMENTARES</v>
      </c>
      <c r="F409" s="335" t="str">
        <f>IF($D409&lt;&gt;"",VLOOKUP($D409,'SINAPI MAIO 2020'!$1:$1048576,3,FALSE),"")</f>
        <v>H</v>
      </c>
      <c r="G409" s="379">
        <v>0.2</v>
      </c>
      <c r="H409" s="583">
        <f>IF($D409&lt;&gt;"",VLOOKUP($D409,'SINAPI MAIO 2020'!$1:$1048576,4,FALSE),"")</f>
        <v>14.33</v>
      </c>
      <c r="I409" s="379">
        <f t="shared" ref="I409" si="50">TRUNC(H409*G409,2)</f>
        <v>2.86</v>
      </c>
    </row>
    <row r="410" spans="2:9">
      <c r="B410" s="543" t="s">
        <v>7068</v>
      </c>
      <c r="C410" s="151" t="s">
        <v>8</v>
      </c>
      <c r="D410" s="348">
        <v>88264</v>
      </c>
      <c r="E410" s="334" t="str">
        <f>IF($D410&lt;&gt;"",VLOOKUP($D410,'SINAPI MAIO 2020'!$1:$1048576,2,FALSE),"")</f>
        <v>ELETRICISTA COM ENCARGOS COMPLEMENTARES</v>
      </c>
      <c r="F410" s="335" t="str">
        <f>IF($D410&lt;&gt;"",VLOOKUP($D410,'SINAPI MAIO 2020'!$1:$1048576,3,FALSE),"")</f>
        <v>H</v>
      </c>
      <c r="G410" s="379">
        <v>0.2</v>
      </c>
      <c r="H410" s="583">
        <f>IF($D410&lt;&gt;"",VLOOKUP($D410,'SINAPI MAIO 2020'!$1:$1048576,4,FALSE),"")</f>
        <v>18.38</v>
      </c>
      <c r="I410" s="379">
        <f t="shared" ref="I410:I411" si="51">TRUNC(H410*G410,2)</f>
        <v>3.67</v>
      </c>
    </row>
    <row r="411" spans="2:9" ht="25.5">
      <c r="B411" s="543" t="s">
        <v>835</v>
      </c>
      <c r="C411" s="151" t="s">
        <v>8</v>
      </c>
      <c r="D411" s="348">
        <v>20111</v>
      </c>
      <c r="E411" s="334" t="str">
        <f>IF($D411&lt;&gt;"",VLOOKUP($D411,'SINAPI MAIO 2020'!$1:$1048576,2,FALSE),"")</f>
        <v>FITA ISOLANTE ADESIVA ANTICHAMA, USO ATE 750 V, EM ROLO DE 19 MM X 20 M</v>
      </c>
      <c r="F411" s="335" t="str">
        <f>IF($D411&lt;&gt;"",VLOOKUP($D411,'SINAPI MAIO 2020'!$1:$1048576,3,FALSE),"")</f>
        <v xml:space="preserve">UN    </v>
      </c>
      <c r="G411" s="379">
        <v>1</v>
      </c>
      <c r="H411" s="583">
        <f>IF($D411&lt;&gt;"",VLOOKUP($D411,'SINAPI MAIO 2020'!$1:$1048576,4,FALSE),"")</f>
        <v>9.9</v>
      </c>
      <c r="I411" s="379">
        <f t="shared" si="51"/>
        <v>9.9</v>
      </c>
    </row>
    <row r="412" spans="2:9">
      <c r="D412" s="352"/>
      <c r="E412" s="334"/>
      <c r="F412" s="335"/>
      <c r="G412" s="571"/>
      <c r="H412" s="583"/>
    </row>
    <row r="413" spans="2:9" ht="25.5">
      <c r="B413" s="361" t="s">
        <v>12483</v>
      </c>
      <c r="C413" s="376"/>
      <c r="D413" s="376"/>
      <c r="E413" s="377" t="s">
        <v>7074</v>
      </c>
      <c r="F413" s="376" t="s">
        <v>817</v>
      </c>
      <c r="G413" s="378"/>
      <c r="H413" s="596"/>
      <c r="I413" s="582">
        <f>TRUNC(SUM(I414:I416),2)</f>
        <v>16.43</v>
      </c>
    </row>
    <row r="414" spans="2:9" ht="25.5" customHeight="1">
      <c r="B414" s="543" t="s">
        <v>7068</v>
      </c>
      <c r="C414" s="151" t="s">
        <v>8</v>
      </c>
      <c r="D414" s="348">
        <v>88247</v>
      </c>
      <c r="E414" s="334" t="str">
        <f>IF($D414&lt;&gt;"",VLOOKUP($D414,'SINAPI MAIO 2020'!$1:$1048576,2,FALSE),"")</f>
        <v>AUXILIAR DE ELETRICISTA COM ENCARGOS COMPLEMENTARES</v>
      </c>
      <c r="F414" s="335" t="str">
        <f>IF($D414&lt;&gt;"",VLOOKUP($D414,'SINAPI MAIO 2020'!$1:$1048576,3,FALSE),"")</f>
        <v>H</v>
      </c>
      <c r="G414" s="379">
        <v>0.2</v>
      </c>
      <c r="H414" s="583">
        <f>IF($D414&lt;&gt;"",VLOOKUP($D414,'SINAPI MAIO 2020'!$1:$1048576,4,FALSE),"")</f>
        <v>14.33</v>
      </c>
      <c r="I414" s="379">
        <f t="shared" ref="I414:I416" si="52">TRUNC(H414*G414,2)</f>
        <v>2.86</v>
      </c>
    </row>
    <row r="415" spans="2:9" ht="25.5" customHeight="1">
      <c r="B415" s="543" t="s">
        <v>7068</v>
      </c>
      <c r="C415" s="151" t="s">
        <v>8</v>
      </c>
      <c r="D415" s="348">
        <v>88264</v>
      </c>
      <c r="E415" s="334" t="str">
        <f>IF($D415&lt;&gt;"",VLOOKUP($D415,'SINAPI MAIO 2020'!$1:$1048576,2,FALSE),"")</f>
        <v>ELETRICISTA COM ENCARGOS COMPLEMENTARES</v>
      </c>
      <c r="F415" s="335" t="str">
        <f>IF($D415&lt;&gt;"",VLOOKUP($D415,'SINAPI MAIO 2020'!$1:$1048576,3,FALSE),"")</f>
        <v>H</v>
      </c>
      <c r="G415" s="379">
        <v>0.2</v>
      </c>
      <c r="H415" s="583">
        <f>IF($D415&lt;&gt;"",VLOOKUP($D415,'SINAPI MAIO 2020'!$1:$1048576,4,FALSE),"")</f>
        <v>18.38</v>
      </c>
      <c r="I415" s="379">
        <f t="shared" si="52"/>
        <v>3.67</v>
      </c>
    </row>
    <row r="416" spans="2:9" ht="25.5" customHeight="1">
      <c r="B416" s="543" t="s">
        <v>835</v>
      </c>
      <c r="C416" s="151" t="s">
        <v>8</v>
      </c>
      <c r="D416" s="348">
        <v>20111</v>
      </c>
      <c r="E416" s="334" t="str">
        <f>IF($D416&lt;&gt;"",VLOOKUP($D416,'SINAPI MAIO 2020'!$1:$1048576,2,FALSE),"")</f>
        <v>FITA ISOLANTE ADESIVA ANTICHAMA, USO ATE 750 V, EM ROLO DE 19 MM X 20 M</v>
      </c>
      <c r="F416" s="335" t="str">
        <f>IF($D416&lt;&gt;"",VLOOKUP($D416,'SINAPI MAIO 2020'!$1:$1048576,3,FALSE),"")</f>
        <v xml:space="preserve">UN    </v>
      </c>
      <c r="G416" s="379">
        <v>1</v>
      </c>
      <c r="H416" s="583">
        <f>IF($D416&lt;&gt;"",VLOOKUP($D416,'SINAPI MAIO 2020'!$1:$1048576,4,FALSE),"")</f>
        <v>9.9</v>
      </c>
      <c r="I416" s="379">
        <f t="shared" si="52"/>
        <v>9.9</v>
      </c>
    </row>
    <row r="417" spans="2:9">
      <c r="D417" s="352"/>
      <c r="E417" s="334"/>
      <c r="F417" s="335"/>
      <c r="G417" s="571"/>
      <c r="H417" s="583"/>
    </row>
    <row r="418" spans="2:9">
      <c r="B418" s="361" t="s">
        <v>12484</v>
      </c>
      <c r="C418" s="376"/>
      <c r="D418" s="376"/>
      <c r="E418" s="377" t="s">
        <v>7075</v>
      </c>
      <c r="F418" s="376" t="s">
        <v>817</v>
      </c>
      <c r="G418" s="378"/>
      <c r="H418" s="596"/>
      <c r="I418" s="582">
        <f>TRUNC(SUM(I419:I421),2)</f>
        <v>12.8</v>
      </c>
    </row>
    <row r="419" spans="2:9">
      <c r="B419" s="543" t="s">
        <v>7068</v>
      </c>
      <c r="C419" s="151" t="s">
        <v>8</v>
      </c>
      <c r="D419" s="348">
        <v>88247</v>
      </c>
      <c r="E419" s="334" t="str">
        <f>IF($D419&lt;&gt;"",VLOOKUP($D419,'SINAPI MAIO 2020'!$1:$1048576,2,FALSE),"")</f>
        <v>AUXILIAR DE ELETRICISTA COM ENCARGOS COMPLEMENTARES</v>
      </c>
      <c r="F419" s="335" t="str">
        <f>IF($D419&lt;&gt;"",VLOOKUP($D419,'SINAPI MAIO 2020'!$1:$1048576,3,FALSE),"")</f>
        <v>H</v>
      </c>
      <c r="G419" s="379">
        <v>0.2</v>
      </c>
      <c r="H419" s="583">
        <f>IF($D419&lt;&gt;"",VLOOKUP($D419,'SINAPI MAIO 2020'!$1:$1048576,4,FALSE),"")</f>
        <v>14.33</v>
      </c>
      <c r="I419" s="379">
        <f t="shared" ref="I419:I421" si="53">TRUNC(H419*G419,2)</f>
        <v>2.86</v>
      </c>
    </row>
    <row r="420" spans="2:9" ht="37.5" customHeight="1">
      <c r="B420" s="543" t="s">
        <v>7068</v>
      </c>
      <c r="C420" s="151" t="s">
        <v>8</v>
      </c>
      <c r="D420" s="348">
        <v>88264</v>
      </c>
      <c r="E420" s="334" t="str">
        <f>IF($D420&lt;&gt;"",VLOOKUP($D420,'SINAPI MAIO 2020'!$1:$1048576,2,FALSE),"")</f>
        <v>ELETRICISTA COM ENCARGOS COMPLEMENTARES</v>
      </c>
      <c r="F420" s="335" t="str">
        <f>IF($D420&lt;&gt;"",VLOOKUP($D420,'SINAPI MAIO 2020'!$1:$1048576,3,FALSE),"")</f>
        <v>H</v>
      </c>
      <c r="G420" s="379">
        <v>0.2</v>
      </c>
      <c r="H420" s="583">
        <f>IF($D420&lt;&gt;"",VLOOKUP($D420,'SINAPI MAIO 2020'!$1:$1048576,4,FALSE),"")</f>
        <v>18.38</v>
      </c>
      <c r="I420" s="379">
        <f t="shared" si="53"/>
        <v>3.67</v>
      </c>
    </row>
    <row r="421" spans="2:9" ht="37.5" customHeight="1">
      <c r="B421" s="543" t="s">
        <v>835</v>
      </c>
      <c r="C421" s="151" t="s">
        <v>8</v>
      </c>
      <c r="D421" s="348">
        <v>39182</v>
      </c>
      <c r="E421" s="334" t="str">
        <f>IF($D421&lt;&gt;"",VLOOKUP($D421,'SINAPI MAIO 2020'!$1:$1048576,2,FALSE),"")</f>
        <v>BUCHA EM ALUMINIO, COM ROSCA, DE 4", PARA ELETRODUTO</v>
      </c>
      <c r="F421" s="335" t="str">
        <f>IF($D421&lt;&gt;"",VLOOKUP($D421,'SINAPI MAIO 2020'!$1:$1048576,3,FALSE),"")</f>
        <v xml:space="preserve">UN    </v>
      </c>
      <c r="G421" s="379">
        <v>1</v>
      </c>
      <c r="H421" s="583">
        <f>IF($D421&lt;&gt;"",VLOOKUP($D421,'SINAPI MAIO 2020'!$1:$1048576,4,FALSE),"")</f>
        <v>6.27</v>
      </c>
      <c r="I421" s="379">
        <f t="shared" si="53"/>
        <v>6.27</v>
      </c>
    </row>
    <row r="422" spans="2:9">
      <c r="D422" s="352"/>
      <c r="E422" s="334"/>
      <c r="F422" s="335"/>
      <c r="G422" s="571"/>
      <c r="H422" s="583"/>
    </row>
    <row r="423" spans="2:9">
      <c r="B423" s="361" t="s">
        <v>12505</v>
      </c>
      <c r="C423" s="376"/>
      <c r="D423" s="376"/>
      <c r="E423" s="377" t="s">
        <v>7076</v>
      </c>
      <c r="F423" s="376" t="s">
        <v>7065</v>
      </c>
      <c r="G423" s="378"/>
      <c r="H423" s="596"/>
      <c r="I423" s="582">
        <f>TRUNC(SUM(I424:I426),2)</f>
        <v>18.09</v>
      </c>
    </row>
    <row r="424" spans="2:9">
      <c r="B424" s="543" t="s">
        <v>7068</v>
      </c>
      <c r="C424" s="151" t="s">
        <v>8</v>
      </c>
      <c r="D424" s="348">
        <v>88247</v>
      </c>
      <c r="E424" s="334" t="str">
        <f>IF($D424&lt;&gt;"",VLOOKUP($D424,'SINAPI MAIO 2020'!$1:$1048576,2,FALSE),"")</f>
        <v>AUXILIAR DE ELETRICISTA COM ENCARGOS COMPLEMENTARES</v>
      </c>
      <c r="F424" s="335" t="str">
        <f>IF($D424&lt;&gt;"",VLOOKUP($D424,'SINAPI MAIO 2020'!$1:$1048576,3,FALSE),"")</f>
        <v>H</v>
      </c>
      <c r="G424" s="379">
        <v>0.2</v>
      </c>
      <c r="H424" s="583">
        <f>IF($D424&lt;&gt;"",VLOOKUP($D424,'SINAPI MAIO 2020'!$1:$1048576,4,FALSE),"")</f>
        <v>14.33</v>
      </c>
      <c r="I424" s="379">
        <f t="shared" ref="I424:I426" si="54">TRUNC(H424*G424,2)</f>
        <v>2.86</v>
      </c>
    </row>
    <row r="425" spans="2:9" ht="25.5" customHeight="1">
      <c r="B425" s="543" t="s">
        <v>7068</v>
      </c>
      <c r="C425" s="151" t="s">
        <v>8</v>
      </c>
      <c r="D425" s="348">
        <v>88264</v>
      </c>
      <c r="E425" s="334" t="str">
        <f>IF($D425&lt;&gt;"",VLOOKUP($D425,'SINAPI MAIO 2020'!$1:$1048576,2,FALSE),"")</f>
        <v>ELETRICISTA COM ENCARGOS COMPLEMENTARES</v>
      </c>
      <c r="F425" s="335" t="str">
        <f>IF($D425&lt;&gt;"",VLOOKUP($D425,'SINAPI MAIO 2020'!$1:$1048576,3,FALSE),"")</f>
        <v>H</v>
      </c>
      <c r="G425" s="379">
        <v>0.2</v>
      </c>
      <c r="H425" s="583">
        <f>IF($D425&lt;&gt;"",VLOOKUP($D425,'SINAPI MAIO 2020'!$1:$1048576,4,FALSE),"")</f>
        <v>18.38</v>
      </c>
      <c r="I425" s="379">
        <f t="shared" si="54"/>
        <v>3.67</v>
      </c>
    </row>
    <row r="426" spans="2:9">
      <c r="B426" s="543" t="s">
        <v>835</v>
      </c>
      <c r="C426" s="151" t="s">
        <v>836</v>
      </c>
      <c r="D426" s="348"/>
      <c r="E426" s="349" t="s">
        <v>7077</v>
      </c>
      <c r="F426" s="350" t="s">
        <v>35</v>
      </c>
      <c r="G426" s="379">
        <v>1</v>
      </c>
      <c r="H426" s="584">
        <v>11.56</v>
      </c>
      <c r="I426" s="379">
        <f t="shared" si="54"/>
        <v>11.56</v>
      </c>
    </row>
    <row r="427" spans="2:9">
      <c r="D427" s="352"/>
      <c r="E427" s="334"/>
      <c r="F427" s="335"/>
      <c r="G427" s="571"/>
      <c r="H427" s="583"/>
    </row>
    <row r="428" spans="2:9">
      <c r="B428" s="361" t="s">
        <v>12506</v>
      </c>
      <c r="C428" s="376"/>
      <c r="D428" s="376"/>
      <c r="E428" s="377" t="s">
        <v>7078</v>
      </c>
      <c r="F428" s="376" t="s">
        <v>817</v>
      </c>
      <c r="G428" s="378"/>
      <c r="H428" s="596"/>
      <c r="I428" s="582">
        <f>TRUNC(SUM(I429:I431),2)</f>
        <v>48.96</v>
      </c>
    </row>
    <row r="429" spans="2:9">
      <c r="B429" s="543" t="s">
        <v>7068</v>
      </c>
      <c r="C429" s="151" t="s">
        <v>8</v>
      </c>
      <c r="D429" s="348">
        <v>88247</v>
      </c>
      <c r="E429" s="334" t="str">
        <f>IF($D429&lt;&gt;"",VLOOKUP($D429,'SINAPI MAIO 2020'!$1:$1048576,2,FALSE),"")</f>
        <v>AUXILIAR DE ELETRICISTA COM ENCARGOS COMPLEMENTARES</v>
      </c>
      <c r="F429" s="335" t="str">
        <f>IF($D429&lt;&gt;"",VLOOKUP($D429,'SINAPI MAIO 2020'!$1:$1048576,3,FALSE),"")</f>
        <v>H</v>
      </c>
      <c r="G429" s="379">
        <v>0.15</v>
      </c>
      <c r="H429" s="583">
        <f>IF($D429&lt;&gt;"",VLOOKUP($D429,'SINAPI MAIO 2020'!$1:$1048576,4,FALSE),"")</f>
        <v>14.33</v>
      </c>
      <c r="I429" s="379">
        <f t="shared" ref="I429:I431" si="55">TRUNC(H429*G429,2)</f>
        <v>2.14</v>
      </c>
    </row>
    <row r="430" spans="2:9">
      <c r="B430" s="543" t="s">
        <v>7068</v>
      </c>
      <c r="C430" s="151" t="s">
        <v>8</v>
      </c>
      <c r="D430" s="348">
        <v>88264</v>
      </c>
      <c r="E430" s="334" t="str">
        <f>IF($D430&lt;&gt;"",VLOOKUP($D430,'SINAPI MAIO 2020'!$1:$1048576,2,FALSE),"")</f>
        <v>ELETRICISTA COM ENCARGOS COMPLEMENTARES</v>
      </c>
      <c r="F430" s="335" t="str">
        <f>IF($D430&lt;&gt;"",VLOOKUP($D430,'SINAPI MAIO 2020'!$1:$1048576,3,FALSE),"")</f>
        <v>H</v>
      </c>
      <c r="G430" s="379">
        <v>0.15</v>
      </c>
      <c r="H430" s="583">
        <f>IF($D430&lt;&gt;"",VLOOKUP($D430,'SINAPI MAIO 2020'!$1:$1048576,4,FALSE),"")</f>
        <v>18.38</v>
      </c>
      <c r="I430" s="379">
        <f t="shared" si="55"/>
        <v>2.75</v>
      </c>
    </row>
    <row r="431" spans="2:9" ht="38.25">
      <c r="B431" s="543" t="s">
        <v>835</v>
      </c>
      <c r="C431" s="151" t="s">
        <v>8</v>
      </c>
      <c r="D431" s="348">
        <v>10851</v>
      </c>
      <c r="E431" s="334" t="str">
        <f>IF($D431&lt;&gt;"",VLOOKUP($D431,'SINAPI MAIO 2020'!$1:$1048576,2,FALSE),"")</f>
        <v>PLACA DE ACRILICO TRANSPARENTE ADESIVADA PARA SINALIZACAO DE PORTAS, BORDA POLIDA, DE *25 X 8*, E = 6 MM (NAO INCLUI ACESSORIOS PARA FIXACAO)</v>
      </c>
      <c r="F431" s="335" t="str">
        <f>IF($D431&lt;&gt;"",VLOOKUP($D431,'SINAPI MAIO 2020'!$1:$1048576,3,FALSE),"")</f>
        <v xml:space="preserve">UN    </v>
      </c>
      <c r="G431" s="379">
        <v>1</v>
      </c>
      <c r="H431" s="583">
        <f>IF($D431&lt;&gt;"",VLOOKUP($D431,'SINAPI MAIO 2020'!$1:$1048576,4,FALSE),"")</f>
        <v>44.07</v>
      </c>
      <c r="I431" s="379">
        <f t="shared" si="55"/>
        <v>44.07</v>
      </c>
    </row>
    <row r="432" spans="2:9">
      <c r="D432" s="352"/>
      <c r="E432" s="334"/>
      <c r="F432" s="335"/>
      <c r="G432" s="571"/>
      <c r="H432" s="583"/>
    </row>
    <row r="433" spans="2:9">
      <c r="B433" s="361" t="s">
        <v>12507</v>
      </c>
      <c r="C433" s="376"/>
      <c r="D433" s="376"/>
      <c r="E433" s="377" t="s">
        <v>7079</v>
      </c>
      <c r="F433" s="376" t="s">
        <v>7065</v>
      </c>
      <c r="G433" s="378"/>
      <c r="H433" s="596"/>
      <c r="I433" s="582">
        <f>TRUNC(SUM(I434:I436),2)</f>
        <v>5.35</v>
      </c>
    </row>
    <row r="434" spans="2:9">
      <c r="B434" s="543" t="s">
        <v>7068</v>
      </c>
      <c r="C434" s="151" t="s">
        <v>8</v>
      </c>
      <c r="D434" s="348">
        <v>88247</v>
      </c>
      <c r="E434" s="334" t="str">
        <f>IF($D434&lt;&gt;"",VLOOKUP($D434,'SINAPI MAIO 2020'!$1:$1048576,2,FALSE),"")</f>
        <v>AUXILIAR DE ELETRICISTA COM ENCARGOS COMPLEMENTARES</v>
      </c>
      <c r="F434" s="335" t="str">
        <f>IF($D434&lt;&gt;"",VLOOKUP($D434,'SINAPI MAIO 2020'!$1:$1048576,3,FALSE),"")</f>
        <v>H</v>
      </c>
      <c r="G434" s="379">
        <v>0.15</v>
      </c>
      <c r="H434" s="583">
        <f>IF($D434&lt;&gt;"",VLOOKUP($D434,'SINAPI MAIO 2020'!$1:$1048576,4,FALSE),"")</f>
        <v>14.33</v>
      </c>
      <c r="I434" s="379">
        <f t="shared" ref="I434:I436" si="56">TRUNC(H434*G434,2)</f>
        <v>2.14</v>
      </c>
    </row>
    <row r="435" spans="2:9">
      <c r="B435" s="543" t="s">
        <v>7068</v>
      </c>
      <c r="C435" s="151" t="s">
        <v>8</v>
      </c>
      <c r="D435" s="348">
        <v>88264</v>
      </c>
      <c r="E435" s="334" t="str">
        <f>IF($D435&lt;&gt;"",VLOOKUP($D435,'SINAPI MAIO 2020'!$1:$1048576,2,FALSE),"")</f>
        <v>ELETRICISTA COM ENCARGOS COMPLEMENTARES</v>
      </c>
      <c r="F435" s="335" t="str">
        <f>IF($D435&lt;&gt;"",VLOOKUP($D435,'SINAPI MAIO 2020'!$1:$1048576,3,FALSE),"")</f>
        <v>H</v>
      </c>
      <c r="G435" s="379">
        <v>0.15</v>
      </c>
      <c r="H435" s="583">
        <f>IF($D435&lt;&gt;"",VLOOKUP($D435,'SINAPI MAIO 2020'!$1:$1048576,4,FALSE),"")</f>
        <v>18.38</v>
      </c>
      <c r="I435" s="379">
        <f t="shared" si="56"/>
        <v>2.75</v>
      </c>
    </row>
    <row r="436" spans="2:9" ht="25.5" customHeight="1">
      <c r="B436" s="543" t="s">
        <v>835</v>
      </c>
      <c r="C436" s="151" t="s">
        <v>8</v>
      </c>
      <c r="D436" s="348">
        <v>11948</v>
      </c>
      <c r="E436" s="334" t="str">
        <f>IF($D436&lt;&gt;"",VLOOKUP($D436,'SINAPI MAIO 2020'!$1:$1048576,2,FALSE),"")</f>
        <v>PARAFUSO ZINCADO, SEXTAVADO, COM ROSCA SOBERBA, DIAMETRO 5/16", COMPRIMENTO 40 MM</v>
      </c>
      <c r="F436" s="335" t="str">
        <f>IF($D436&lt;&gt;"",VLOOKUP($D436,'SINAPI MAIO 2020'!$1:$1048576,3,FALSE),"")</f>
        <v xml:space="preserve">UN    </v>
      </c>
      <c r="G436" s="379">
        <v>1</v>
      </c>
      <c r="H436" s="583">
        <f>IF($D436&lt;&gt;"",VLOOKUP($D436,'SINAPI MAIO 2020'!$1:$1048576,4,FALSE),"")</f>
        <v>0.46</v>
      </c>
      <c r="I436" s="379">
        <f t="shared" si="56"/>
        <v>0.46</v>
      </c>
    </row>
    <row r="437" spans="2:9" ht="25.5" customHeight="1">
      <c r="D437" s="352"/>
      <c r="E437" s="334"/>
      <c r="F437" s="335"/>
      <c r="G437" s="571"/>
      <c r="H437" s="583"/>
    </row>
    <row r="438" spans="2:9">
      <c r="B438" s="361" t="s">
        <v>12508</v>
      </c>
      <c r="C438" s="376"/>
      <c r="D438" s="376"/>
      <c r="E438" s="377" t="s">
        <v>7080</v>
      </c>
      <c r="F438" s="376" t="s">
        <v>7065</v>
      </c>
      <c r="G438" s="378"/>
      <c r="H438" s="596"/>
      <c r="I438" s="582">
        <f>TRUNC(SUM(I439:I441),2)</f>
        <v>6.01</v>
      </c>
    </row>
    <row r="439" spans="2:9">
      <c r="B439" s="543" t="s">
        <v>7068</v>
      </c>
      <c r="C439" s="151" t="s">
        <v>8</v>
      </c>
      <c r="D439" s="348">
        <v>88247</v>
      </c>
      <c r="E439" s="334" t="str">
        <f>IF($D439&lt;&gt;"",VLOOKUP($D439,'SINAPI MAIO 2020'!$1:$1048576,2,FALSE),"")</f>
        <v>AUXILIAR DE ELETRICISTA COM ENCARGOS COMPLEMENTARES</v>
      </c>
      <c r="F439" s="335" t="str">
        <f>IF($D439&lt;&gt;"",VLOOKUP($D439,'SINAPI MAIO 2020'!$1:$1048576,3,FALSE),"")</f>
        <v>H</v>
      </c>
      <c r="G439" s="379">
        <v>0.15</v>
      </c>
      <c r="H439" s="583">
        <f>IF($D439&lt;&gt;"",VLOOKUP($D439,'SINAPI MAIO 2020'!$1:$1048576,4,FALSE),"")</f>
        <v>14.33</v>
      </c>
      <c r="I439" s="379">
        <f t="shared" ref="I439:I441" si="57">TRUNC(H439*G439,2)</f>
        <v>2.14</v>
      </c>
    </row>
    <row r="440" spans="2:9">
      <c r="B440" s="543" t="s">
        <v>7068</v>
      </c>
      <c r="C440" s="151" t="s">
        <v>8</v>
      </c>
      <c r="D440" s="348">
        <v>88264</v>
      </c>
      <c r="E440" s="334" t="str">
        <f>IF($D440&lt;&gt;"",VLOOKUP($D440,'SINAPI MAIO 2020'!$1:$1048576,2,FALSE),"")</f>
        <v>ELETRICISTA COM ENCARGOS COMPLEMENTARES</v>
      </c>
      <c r="F440" s="335" t="str">
        <f>IF($D440&lt;&gt;"",VLOOKUP($D440,'SINAPI MAIO 2020'!$1:$1048576,3,FALSE),"")</f>
        <v>H</v>
      </c>
      <c r="G440" s="379">
        <v>0.15</v>
      </c>
      <c r="H440" s="583">
        <f>IF($D440&lt;&gt;"",VLOOKUP($D440,'SINAPI MAIO 2020'!$1:$1048576,4,FALSE),"")</f>
        <v>18.38</v>
      </c>
      <c r="I440" s="379">
        <f t="shared" si="57"/>
        <v>2.75</v>
      </c>
    </row>
    <row r="441" spans="2:9">
      <c r="B441" s="543" t="s">
        <v>835</v>
      </c>
      <c r="C441" s="151" t="s">
        <v>836</v>
      </c>
      <c r="D441" s="348"/>
      <c r="E441" s="349" t="s">
        <v>7080</v>
      </c>
      <c r="F441" s="350" t="s">
        <v>7065</v>
      </c>
      <c r="G441" s="379">
        <v>1</v>
      </c>
      <c r="H441" s="584">
        <v>1.1200000000000001</v>
      </c>
      <c r="I441" s="379">
        <f t="shared" si="57"/>
        <v>1.1200000000000001</v>
      </c>
    </row>
    <row r="442" spans="2:9">
      <c r="D442" s="352"/>
      <c r="E442" s="334"/>
      <c r="F442" s="335"/>
      <c r="G442" s="571"/>
      <c r="H442" s="583"/>
    </row>
    <row r="443" spans="2:9" ht="25.5">
      <c r="B443" s="361" t="s">
        <v>12509</v>
      </c>
      <c r="C443" s="376"/>
      <c r="D443" s="376"/>
      <c r="E443" s="380" t="s">
        <v>11751</v>
      </c>
      <c r="F443" s="376" t="s">
        <v>817</v>
      </c>
      <c r="G443" s="378"/>
      <c r="H443" s="596"/>
      <c r="I443" s="582">
        <f>TRUNC(SUM(I444:I446),2)</f>
        <v>23.2</v>
      </c>
    </row>
    <row r="444" spans="2:9">
      <c r="B444" s="543" t="s">
        <v>7068</v>
      </c>
      <c r="C444" s="151" t="s">
        <v>8</v>
      </c>
      <c r="D444" s="348">
        <v>88247</v>
      </c>
      <c r="E444" s="334" t="str">
        <f>IF($D444&lt;&gt;"",VLOOKUP($D444,'SINAPI MAIO 2020'!$1:$1048576,2,FALSE),"")</f>
        <v>AUXILIAR DE ELETRICISTA COM ENCARGOS COMPLEMENTARES</v>
      </c>
      <c r="F444" s="335" t="str">
        <f>IF($D444&lt;&gt;"",VLOOKUP($D444,'SINAPI MAIO 2020'!$1:$1048576,3,FALSE),"")</f>
        <v>H</v>
      </c>
      <c r="G444" s="379">
        <v>0.1</v>
      </c>
      <c r="H444" s="583">
        <f>IF($D444&lt;&gt;"",VLOOKUP($D444,'SINAPI MAIO 2020'!$1:$1048576,4,FALSE),"")</f>
        <v>14.33</v>
      </c>
      <c r="I444" s="379">
        <f t="shared" ref="I444:I445" si="58">TRUNC(H444*G444,2)</f>
        <v>1.43</v>
      </c>
    </row>
    <row r="445" spans="2:9">
      <c r="B445" s="543" t="s">
        <v>7068</v>
      </c>
      <c r="C445" s="151" t="s">
        <v>8</v>
      </c>
      <c r="D445" s="348">
        <v>88264</v>
      </c>
      <c r="E445" s="334" t="str">
        <f>IF($D445&lt;&gt;"",VLOOKUP($D445,'SINAPI MAIO 2020'!$1:$1048576,2,FALSE),"")</f>
        <v>ELETRICISTA COM ENCARGOS COMPLEMENTARES</v>
      </c>
      <c r="F445" s="335" t="str">
        <f>IF($D445&lt;&gt;"",VLOOKUP($D445,'SINAPI MAIO 2020'!$1:$1048576,3,FALSE),"")</f>
        <v>H</v>
      </c>
      <c r="G445" s="379">
        <v>0.1</v>
      </c>
      <c r="H445" s="583">
        <f>IF($D445&lt;&gt;"",VLOOKUP($D445,'SINAPI MAIO 2020'!$1:$1048576,4,FALSE),"")</f>
        <v>18.38</v>
      </c>
      <c r="I445" s="379">
        <f t="shared" si="58"/>
        <v>1.83</v>
      </c>
    </row>
    <row r="446" spans="2:9" ht="25.5">
      <c r="B446" s="543" t="s">
        <v>835</v>
      </c>
      <c r="C446" s="151" t="s">
        <v>8</v>
      </c>
      <c r="D446" s="348">
        <v>1593</v>
      </c>
      <c r="E446" s="334" t="str">
        <f>IF($D446&lt;&gt;"",VLOOKUP($D446,'SINAPI MAIO 2020'!$1:$1048576,2,FALSE),"")</f>
        <v>TERMINAL METALICO A PRESSAO PARA 1 CABO DE 185 MM2, COM 1 FURO DE FIXACAO</v>
      </c>
      <c r="F446" s="335" t="str">
        <f>IF($D446&lt;&gt;"",VLOOKUP($D446,'SINAPI MAIO 2020'!$1:$1048576,3,FALSE),"")</f>
        <v xml:space="preserve">UN    </v>
      </c>
      <c r="G446" s="379">
        <v>1</v>
      </c>
      <c r="H446" s="583">
        <f>IF($D446&lt;&gt;"",VLOOKUP($D446,'SINAPI MAIO 2020'!$1:$1048576,4,FALSE),"")</f>
        <v>19.940000000000001</v>
      </c>
      <c r="I446" s="379">
        <f t="shared" ref="I446" si="59">TRUNC(H446*G446,2)</f>
        <v>19.940000000000001</v>
      </c>
    </row>
    <row r="447" spans="2:9">
      <c r="D447" s="352"/>
      <c r="E447" s="334"/>
      <c r="F447" s="335"/>
      <c r="G447" s="571"/>
      <c r="H447" s="583"/>
    </row>
    <row r="448" spans="2:9" ht="25.5">
      <c r="B448" s="361" t="s">
        <v>12510</v>
      </c>
      <c r="C448" s="376"/>
      <c r="D448" s="376"/>
      <c r="E448" s="380" t="s">
        <v>12485</v>
      </c>
      <c r="F448" s="376" t="s">
        <v>817</v>
      </c>
      <c r="G448" s="378"/>
      <c r="H448" s="596"/>
      <c r="I448" s="582">
        <f>TRUNC(SUM(I449:I451),2)</f>
        <v>15.32</v>
      </c>
    </row>
    <row r="449" spans="2:9" ht="25.5" customHeight="1">
      <c r="B449" s="543" t="s">
        <v>7068</v>
      </c>
      <c r="C449" s="151" t="s">
        <v>8</v>
      </c>
      <c r="D449" s="348">
        <v>88247</v>
      </c>
      <c r="E449" s="334" t="str">
        <f>IF($D449&lt;&gt;"",VLOOKUP($D449,'SINAPI MAIO 2020'!$1:$1048576,2,FALSE),"")</f>
        <v>AUXILIAR DE ELETRICISTA COM ENCARGOS COMPLEMENTARES</v>
      </c>
      <c r="F449" s="335" t="str">
        <f>IF($D449&lt;&gt;"",VLOOKUP($D449,'SINAPI MAIO 2020'!$1:$1048576,3,FALSE),"")</f>
        <v>H</v>
      </c>
      <c r="G449" s="379">
        <v>0.1</v>
      </c>
      <c r="H449" s="583">
        <f>IF($D449&lt;&gt;"",VLOOKUP($D449,'SINAPI MAIO 2020'!$1:$1048576,4,FALSE),"")</f>
        <v>14.33</v>
      </c>
      <c r="I449" s="379">
        <f t="shared" ref="I449:I451" si="60">TRUNC(H449*G449,2)</f>
        <v>1.43</v>
      </c>
    </row>
    <row r="450" spans="2:9">
      <c r="B450" s="543" t="s">
        <v>7068</v>
      </c>
      <c r="C450" s="151" t="s">
        <v>8</v>
      </c>
      <c r="D450" s="348">
        <v>88264</v>
      </c>
      <c r="E450" s="334" t="str">
        <f>IF($D450&lt;&gt;"",VLOOKUP($D450,'SINAPI MAIO 2020'!$1:$1048576,2,FALSE),"")</f>
        <v>ELETRICISTA COM ENCARGOS COMPLEMENTARES</v>
      </c>
      <c r="F450" s="335" t="str">
        <f>IF($D450&lt;&gt;"",VLOOKUP($D450,'SINAPI MAIO 2020'!$1:$1048576,3,FALSE),"")</f>
        <v>H</v>
      </c>
      <c r="G450" s="379">
        <v>0.1</v>
      </c>
      <c r="H450" s="583">
        <f>IF($D450&lt;&gt;"",VLOOKUP($D450,'SINAPI MAIO 2020'!$1:$1048576,4,FALSE),"")</f>
        <v>18.38</v>
      </c>
      <c r="I450" s="379">
        <f t="shared" si="60"/>
        <v>1.83</v>
      </c>
    </row>
    <row r="451" spans="2:9" ht="36.75" customHeight="1">
      <c r="B451" s="543" t="s">
        <v>835</v>
      </c>
      <c r="C451" s="151" t="s">
        <v>8</v>
      </c>
      <c r="D451" s="348">
        <v>1590</v>
      </c>
      <c r="E451" s="334" t="str">
        <f>IF($D451&lt;&gt;"",VLOOKUP($D451,'SINAPI MAIO 2020'!$1:$1048576,2,FALSE),"")</f>
        <v>TERMINAL METALICO A PRESSAO PARA 1 CABO DE 95 MM2, COM 1 FURO DE FIXACAO</v>
      </c>
      <c r="F451" s="335" t="str">
        <f>IF($D451&lt;&gt;"",VLOOKUP($D451,'SINAPI MAIO 2020'!$1:$1048576,3,FALSE),"")</f>
        <v xml:space="preserve">UN    </v>
      </c>
      <c r="G451" s="379">
        <v>1</v>
      </c>
      <c r="H451" s="583">
        <f>IF($D451&lt;&gt;"",VLOOKUP($D451,'SINAPI MAIO 2020'!$1:$1048576,4,FALSE),"")</f>
        <v>12.06</v>
      </c>
      <c r="I451" s="379">
        <f t="shared" si="60"/>
        <v>12.06</v>
      </c>
    </row>
    <row r="452" spans="2:9">
      <c r="D452" s="352"/>
      <c r="E452" s="334"/>
      <c r="F452" s="335"/>
      <c r="G452" s="571"/>
      <c r="H452" s="583"/>
    </row>
    <row r="453" spans="2:9" ht="25.5">
      <c r="B453" s="361" t="s">
        <v>12511</v>
      </c>
      <c r="C453" s="376"/>
      <c r="D453" s="376"/>
      <c r="E453" s="377" t="s">
        <v>12486</v>
      </c>
      <c r="F453" s="376" t="s">
        <v>817</v>
      </c>
      <c r="G453" s="378"/>
      <c r="H453" s="596"/>
      <c r="I453" s="582">
        <f>TRUNC(SUM(I454:I456),2)</f>
        <v>1181.9000000000001</v>
      </c>
    </row>
    <row r="454" spans="2:9">
      <c r="B454" s="543" t="s">
        <v>7068</v>
      </c>
      <c r="C454" s="151" t="s">
        <v>8</v>
      </c>
      <c r="D454" s="348">
        <v>88247</v>
      </c>
      <c r="E454" s="334" t="str">
        <f>IF($D454&lt;&gt;"",VLOOKUP($D454,'SINAPI MAIO 2020'!$1:$1048576,2,FALSE),"")</f>
        <v>AUXILIAR DE ELETRICISTA COM ENCARGOS COMPLEMENTARES</v>
      </c>
      <c r="F454" s="335" t="str">
        <f>IF($D454&lt;&gt;"",VLOOKUP($D454,'SINAPI MAIO 2020'!$1:$1048576,3,FALSE),"")</f>
        <v>H</v>
      </c>
      <c r="G454" s="379">
        <v>0.4</v>
      </c>
      <c r="H454" s="583">
        <f>IF($D454&lt;&gt;"",VLOOKUP($D454,'SINAPI MAIO 2020'!$1:$1048576,4,FALSE),"")</f>
        <v>14.33</v>
      </c>
      <c r="I454" s="379">
        <f t="shared" ref="I454:I456" si="61">TRUNC(H454*G454,2)</f>
        <v>5.73</v>
      </c>
    </row>
    <row r="455" spans="2:9" ht="25.5" customHeight="1">
      <c r="B455" s="543" t="s">
        <v>7068</v>
      </c>
      <c r="C455" s="151" t="s">
        <v>8</v>
      </c>
      <c r="D455" s="348">
        <v>88264</v>
      </c>
      <c r="E455" s="334" t="str">
        <f>IF($D455&lt;&gt;"",VLOOKUP($D455,'SINAPI MAIO 2020'!$1:$1048576,2,FALSE),"")</f>
        <v>ELETRICISTA COM ENCARGOS COMPLEMENTARES</v>
      </c>
      <c r="F455" s="335" t="str">
        <f>IF($D455&lt;&gt;"",VLOOKUP($D455,'SINAPI MAIO 2020'!$1:$1048576,3,FALSE),"")</f>
        <v>H</v>
      </c>
      <c r="G455" s="379">
        <v>0.4</v>
      </c>
      <c r="H455" s="583">
        <f>IF($D455&lt;&gt;"",VLOOKUP($D455,'SINAPI MAIO 2020'!$1:$1048576,4,FALSE),"")</f>
        <v>18.38</v>
      </c>
      <c r="I455" s="379">
        <f t="shared" si="61"/>
        <v>7.35</v>
      </c>
    </row>
    <row r="456" spans="2:9" ht="25.5" customHeight="1">
      <c r="B456" s="543" t="s">
        <v>835</v>
      </c>
      <c r="C456" s="151" t="s">
        <v>8</v>
      </c>
      <c r="D456" s="348">
        <v>2378</v>
      </c>
      <c r="E456" s="334" t="str">
        <f>IF($D456&lt;&gt;"",VLOOKUP($D456,'SINAPI MAIO 2020'!$1:$1048576,2,FALSE),"")</f>
        <v>DISJUNTOR TERMOMAGNETICO TRIPOLAR 300 A / 600 V, TIPO JXD / ICC - 40 KA</v>
      </c>
      <c r="F456" s="335" t="str">
        <f>IF($D456&lt;&gt;"",VLOOKUP($D456,'SINAPI MAIO 2020'!$1:$1048576,3,FALSE),"")</f>
        <v xml:space="preserve">UN    </v>
      </c>
      <c r="G456" s="379">
        <v>1</v>
      </c>
      <c r="H456" s="583">
        <f>IF($D456&lt;&gt;"",VLOOKUP($D456,'SINAPI MAIO 2020'!$1:$1048576,4,FALSE),"")</f>
        <v>1168.82</v>
      </c>
      <c r="I456" s="379">
        <f t="shared" si="61"/>
        <v>1168.82</v>
      </c>
    </row>
    <row r="457" spans="2:9">
      <c r="B457" s="551"/>
      <c r="D457" s="525"/>
      <c r="E457" s="334"/>
      <c r="F457" s="335"/>
      <c r="G457" s="526"/>
      <c r="H457" s="583"/>
      <c r="I457" s="583"/>
    </row>
    <row r="458" spans="2:9">
      <c r="D458" s="525"/>
      <c r="E458" s="334"/>
      <c r="F458" s="335"/>
      <c r="G458" s="526"/>
      <c r="H458" s="583"/>
      <c r="I458" s="583"/>
    </row>
    <row r="459" spans="2:9" ht="31.5" customHeight="1">
      <c r="B459" s="361" t="s">
        <v>12512</v>
      </c>
      <c r="C459" s="381"/>
      <c r="D459" s="381"/>
      <c r="E459" s="382" t="s">
        <v>7081</v>
      </c>
      <c r="F459" s="383" t="s">
        <v>817</v>
      </c>
      <c r="G459" s="573"/>
      <c r="H459" s="596"/>
      <c r="I459" s="582">
        <f>TRUNC(SUM(I460:I464),2)</f>
        <v>2133.2399999999998</v>
      </c>
    </row>
    <row r="460" spans="2:9" ht="31.5" customHeight="1">
      <c r="B460" s="543" t="s">
        <v>7068</v>
      </c>
      <c r="C460" s="151" t="s">
        <v>8</v>
      </c>
      <c r="D460" s="348">
        <v>91634</v>
      </c>
      <c r="E460" s="334" t="str">
        <f>IF($D460&lt;&gt;"",VLOOKUP($D460,'SINAPI MAIO 2020'!$1:$1048576,2,FALSE),"")</f>
        <v>GUINDAUTO HIDRÁULICO, CAPACIDADE MÁXIMA DE CARGA 6500 KG, MOMENTO MÁXIMO DE CARGA 5,8 TM, ALCANCE MÁXIMO HORIZONTAL 7,60 M, INCLUSIVE CAMINHÃO TOCO PBT 9.700 KG, POTÊNCIA DE 160 CV - CHP DIURNO. AF_08/2015</v>
      </c>
      <c r="F460" s="335" t="str">
        <f>IF($D460&lt;&gt;"",VLOOKUP($D460,'SINAPI MAIO 2020'!$1:$1048576,3,FALSE),"")</f>
        <v>CHP</v>
      </c>
      <c r="G460" s="379">
        <v>1.5</v>
      </c>
      <c r="H460" s="583">
        <f>IF($D460&lt;&gt;"",VLOOKUP($D460,'SINAPI MAIO 2020'!$1:$1048576,4,FALSE),"")</f>
        <v>117.7</v>
      </c>
      <c r="I460" s="379">
        <f t="shared" ref="I460:I463" si="62">TRUNC(H460*G460,2)</f>
        <v>176.55</v>
      </c>
    </row>
    <row r="461" spans="2:9" ht="31.5" customHeight="1">
      <c r="B461" s="543" t="s">
        <v>7068</v>
      </c>
      <c r="C461" s="151" t="s">
        <v>8</v>
      </c>
      <c r="D461" s="348">
        <v>92873</v>
      </c>
      <c r="E461" s="334" t="str">
        <f>IF($D461&lt;&gt;"",VLOOKUP($D461,'SINAPI MAIO 2020'!$1:$1048576,2,FALSE),"")</f>
        <v>LANÇAMENTO COM USO DE BALDES, ADENSAMENTO E ACABAMENTO DE CONCRETO EM ESTRUTURAS. AF_12/2015</v>
      </c>
      <c r="F461" s="335" t="str">
        <f>IF($D461&lt;&gt;"",VLOOKUP($D461,'SINAPI MAIO 2020'!$1:$1048576,3,FALSE),"")</f>
        <v>M3</v>
      </c>
      <c r="G461" s="379">
        <v>0.3</v>
      </c>
      <c r="H461" s="583">
        <f>IF($D461&lt;&gt;"",VLOOKUP($D461,'SINAPI MAIO 2020'!$1:$1048576,4,FALSE),"")</f>
        <v>146.37</v>
      </c>
      <c r="I461" s="379">
        <f t="shared" si="62"/>
        <v>43.91</v>
      </c>
    </row>
    <row r="462" spans="2:9" ht="31.5" customHeight="1">
      <c r="B462" s="543" t="s">
        <v>7068</v>
      </c>
      <c r="C462" s="151" t="s">
        <v>8</v>
      </c>
      <c r="D462" s="348">
        <v>88316</v>
      </c>
      <c r="E462" s="334" t="str">
        <f>IF($D462&lt;&gt;"",VLOOKUP($D462,'SINAPI MAIO 2020'!$1:$1048576,2,FALSE),"")</f>
        <v>SERVENTE COM ENCARGOS COMPLEMENTARES</v>
      </c>
      <c r="F462" s="335" t="str">
        <f>IF($D462&lt;&gt;"",VLOOKUP($D462,'SINAPI MAIO 2020'!$1:$1048576,3,FALSE),"")</f>
        <v>H</v>
      </c>
      <c r="G462" s="379">
        <v>2</v>
      </c>
      <c r="H462" s="583">
        <f>IF($D462&lt;&gt;"",VLOOKUP($D462,'SINAPI MAIO 2020'!$1:$1048576,4,FALSE),"")</f>
        <v>14.37</v>
      </c>
      <c r="I462" s="379">
        <f t="shared" si="62"/>
        <v>28.74</v>
      </c>
    </row>
    <row r="463" spans="2:9" ht="31.5" customHeight="1">
      <c r="B463" s="543" t="s">
        <v>7068</v>
      </c>
      <c r="C463" s="151" t="s">
        <v>8</v>
      </c>
      <c r="D463" s="348">
        <v>94969</v>
      </c>
      <c r="E463" s="334" t="str">
        <f>IF($D463&lt;&gt;"",VLOOKUP($D463,'SINAPI MAIO 2020'!$1:$1048576,2,FALSE),"")</f>
        <v>CONCRETO FCK = 15MPA, TRAÇO 1:3,4:3,5 (CIMENTO/ AREIA MÉDIA/ BRITA 1)  - PREPARO MECÂNICO COM BETONEIRA 600 L. AF_07/2016</v>
      </c>
      <c r="F463" s="335" t="str">
        <f>IF($D463&lt;&gt;"",VLOOKUP($D463,'SINAPI MAIO 2020'!$1:$1048576,3,FALSE),"")</f>
        <v>M3</v>
      </c>
      <c r="G463" s="379">
        <v>0.3</v>
      </c>
      <c r="H463" s="583">
        <f>IF($D463&lt;&gt;"",VLOOKUP($D463,'SINAPI MAIO 2020'!$1:$1048576,4,FALSE),"")</f>
        <v>280.16000000000003</v>
      </c>
      <c r="I463" s="379">
        <f t="shared" si="62"/>
        <v>84.04</v>
      </c>
    </row>
    <row r="464" spans="2:9" ht="31.5" customHeight="1">
      <c r="B464" s="543" t="s">
        <v>835</v>
      </c>
      <c r="C464" s="151" t="s">
        <v>836</v>
      </c>
      <c r="D464" s="348"/>
      <c r="E464" s="349" t="s">
        <v>7082</v>
      </c>
      <c r="F464" s="350" t="s">
        <v>7065</v>
      </c>
      <c r="G464" s="379">
        <v>1</v>
      </c>
      <c r="H464" s="584">
        <v>1800</v>
      </c>
      <c r="I464" s="584">
        <f>TRUNC(H464*G464,2)</f>
        <v>1800</v>
      </c>
    </row>
    <row r="465" spans="2:9" ht="25.5" customHeight="1">
      <c r="D465" s="525"/>
      <c r="E465" s="334"/>
      <c r="F465" s="335"/>
      <c r="G465" s="526"/>
      <c r="H465" s="583"/>
      <c r="I465" s="583"/>
    </row>
    <row r="466" spans="2:9">
      <c r="B466" s="361" t="s">
        <v>12513</v>
      </c>
      <c r="C466" s="381"/>
      <c r="D466" s="381"/>
      <c r="E466" s="154" t="s">
        <v>7085</v>
      </c>
      <c r="F466" s="383" t="s">
        <v>817</v>
      </c>
      <c r="G466" s="378"/>
      <c r="H466" s="596"/>
      <c r="I466" s="582">
        <f>TRUNC(SUM(I467:I469),2)</f>
        <v>24.8</v>
      </c>
    </row>
    <row r="467" spans="2:9">
      <c r="B467" s="543" t="s">
        <v>7068</v>
      </c>
      <c r="C467" s="151" t="s">
        <v>8</v>
      </c>
      <c r="D467" s="348">
        <v>88247</v>
      </c>
      <c r="E467" s="334" t="str">
        <f>IF($D467&lt;&gt;"",VLOOKUP($D467,'SINAPI MAIO 2020'!$1:$1048576,2,FALSE),"")</f>
        <v>AUXILIAR DE ELETRICISTA COM ENCARGOS COMPLEMENTARES</v>
      </c>
      <c r="F467" s="335" t="str">
        <f>IF($D467&lt;&gt;"",VLOOKUP($D467,'SINAPI MAIO 2020'!$1:$1048576,3,FALSE),"")</f>
        <v>H</v>
      </c>
      <c r="G467" s="379">
        <v>0.3</v>
      </c>
      <c r="H467" s="583">
        <f>IF($D467&lt;&gt;"",VLOOKUP($D467,'SINAPI MAIO 2020'!$1:$1048576,4,FALSE),"")</f>
        <v>14.33</v>
      </c>
      <c r="I467" s="379">
        <f t="shared" ref="I467" si="63">TRUNC(H467*G467,2)</f>
        <v>4.29</v>
      </c>
    </row>
    <row r="468" spans="2:9">
      <c r="B468" s="543" t="s">
        <v>7068</v>
      </c>
      <c r="C468" s="151" t="s">
        <v>8</v>
      </c>
      <c r="D468" s="348">
        <v>88264</v>
      </c>
      <c r="E468" s="334" t="str">
        <f>IF($D468&lt;&gt;"",VLOOKUP($D468,'SINAPI MAIO 2020'!$1:$1048576,2,FALSE),"")</f>
        <v>ELETRICISTA COM ENCARGOS COMPLEMENTARES</v>
      </c>
      <c r="F468" s="335" t="str">
        <f>IF($D468&lt;&gt;"",VLOOKUP($D468,'SINAPI MAIO 2020'!$1:$1048576,3,FALSE),"")</f>
        <v>H</v>
      </c>
      <c r="G468" s="379">
        <v>0.3</v>
      </c>
      <c r="H468" s="583">
        <f>IF($D468&lt;&gt;"",VLOOKUP($D468,'SINAPI MAIO 2020'!$1:$1048576,4,FALSE),"")</f>
        <v>18.38</v>
      </c>
      <c r="I468" s="379">
        <f t="shared" ref="I468:I469" si="64">TRUNC(H468*G468,2)</f>
        <v>5.51</v>
      </c>
    </row>
    <row r="469" spans="2:9">
      <c r="B469" s="543" t="s">
        <v>835</v>
      </c>
      <c r="C469" s="151" t="s">
        <v>836</v>
      </c>
      <c r="D469" s="348"/>
      <c r="E469" s="349" t="s">
        <v>7085</v>
      </c>
      <c r="F469" s="350" t="s">
        <v>7065</v>
      </c>
      <c r="G469" s="379">
        <v>1</v>
      </c>
      <c r="H469" s="584">
        <v>15</v>
      </c>
      <c r="I469" s="379">
        <f t="shared" si="64"/>
        <v>15</v>
      </c>
    </row>
    <row r="470" spans="2:9">
      <c r="D470" s="525"/>
      <c r="E470" s="334"/>
      <c r="F470" s="335"/>
      <c r="G470" s="526"/>
      <c r="H470" s="583"/>
      <c r="I470" s="583"/>
    </row>
    <row r="471" spans="2:9">
      <c r="B471" s="361" t="s">
        <v>12514</v>
      </c>
      <c r="C471" s="381"/>
      <c r="D471" s="381"/>
      <c r="E471" s="154" t="s">
        <v>7086</v>
      </c>
      <c r="F471" s="383" t="s">
        <v>817</v>
      </c>
      <c r="G471" s="378"/>
      <c r="H471" s="596"/>
      <c r="I471" s="582">
        <f>TRUNC(SUM(I472:I474),2)</f>
        <v>11.02</v>
      </c>
    </row>
    <row r="472" spans="2:9">
      <c r="B472" s="543" t="s">
        <v>7068</v>
      </c>
      <c r="C472" s="151" t="s">
        <v>8</v>
      </c>
      <c r="D472" s="348">
        <v>88247</v>
      </c>
      <c r="E472" s="334" t="str">
        <f>IF($D472&lt;&gt;"",VLOOKUP($D472,'SINAPI MAIO 2020'!$1:$1048576,2,FALSE),"")</f>
        <v>AUXILIAR DE ELETRICISTA COM ENCARGOS COMPLEMENTARES</v>
      </c>
      <c r="F472" s="335" t="str">
        <f>IF($D472&lt;&gt;"",VLOOKUP($D472,'SINAPI MAIO 2020'!$1:$1048576,3,FALSE),"")</f>
        <v>H</v>
      </c>
      <c r="G472" s="379">
        <v>0.3</v>
      </c>
      <c r="H472" s="583">
        <f>IF($D472&lt;&gt;"",VLOOKUP($D472,'SINAPI MAIO 2020'!$1:$1048576,4,FALSE),"")</f>
        <v>14.33</v>
      </c>
      <c r="I472" s="379">
        <f t="shared" ref="I472:I473" si="65">TRUNC(H472*G472,2)</f>
        <v>4.29</v>
      </c>
    </row>
    <row r="473" spans="2:9" ht="25.5">
      <c r="B473" s="543" t="s">
        <v>7068</v>
      </c>
      <c r="C473" s="151" t="s">
        <v>8</v>
      </c>
      <c r="D473" s="348">
        <v>88248</v>
      </c>
      <c r="E473" s="334" t="str">
        <f>IF($D473&lt;&gt;"",VLOOKUP($D473,'SINAPI MAIO 2020'!$1:$1048576,2,FALSE),"")</f>
        <v>AUXILIAR DE ENCANADOR OU BOMBEIRO HIDRÁULICO COM ENCARGOS COMPLEMENTARES</v>
      </c>
      <c r="F473" s="335" t="str">
        <f>IF($D473&lt;&gt;"",VLOOKUP($D473,'SINAPI MAIO 2020'!$1:$1048576,3,FALSE),"")</f>
        <v>H</v>
      </c>
      <c r="G473" s="379">
        <v>0.3</v>
      </c>
      <c r="H473" s="583">
        <f>IF($D473&lt;&gt;"",VLOOKUP($D473,'SINAPI MAIO 2020'!$1:$1048576,4,FALSE),"")</f>
        <v>13.87</v>
      </c>
      <c r="I473" s="379">
        <f t="shared" si="65"/>
        <v>4.16</v>
      </c>
    </row>
    <row r="474" spans="2:9" ht="31.5" customHeight="1">
      <c r="B474" s="543" t="s">
        <v>835</v>
      </c>
      <c r="C474" s="151" t="s">
        <v>8</v>
      </c>
      <c r="D474" s="348">
        <v>7581</v>
      </c>
      <c r="E474" s="334" t="str">
        <f>IF($D474&lt;&gt;"",VLOOKUP($D474,'SINAPI MAIO 2020'!$1:$1048576,2,FALSE),"")</f>
        <v>SAPATILHA EM ACO GALVANIZADO PARA CABOS COM DIAMETRO NOMINAL ATE 5/8"</v>
      </c>
      <c r="F474" s="335" t="str">
        <f>IF($D474&lt;&gt;"",VLOOKUP($D474,'SINAPI MAIO 2020'!$1:$1048576,3,FALSE),"")</f>
        <v xml:space="preserve">UN    </v>
      </c>
      <c r="G474" s="379">
        <v>1</v>
      </c>
      <c r="H474" s="583">
        <f>IF($D474&lt;&gt;"",VLOOKUP($D474,'SINAPI MAIO 2020'!$1:$1048576,4,FALSE),"")</f>
        <v>2.57</v>
      </c>
      <c r="I474" s="379">
        <f t="shared" ref="I474" si="66">TRUNC(H474*G474,2)</f>
        <v>2.57</v>
      </c>
    </row>
    <row r="475" spans="2:9">
      <c r="D475" s="525"/>
      <c r="E475" s="334" t="str">
        <f>IF($D475&lt;&gt;"",VLOOKUP($D475,'SINAPI MAIO 2020'!$1:$1048576,2,FALSE),"")</f>
        <v/>
      </c>
      <c r="F475" s="335" t="str">
        <f>IF($D475&lt;&gt;"",VLOOKUP($D475,'SINAPI MAIO 2020'!$1:$1048576,3,FALSE),"")</f>
        <v/>
      </c>
      <c r="G475" s="526"/>
      <c r="H475" s="583"/>
      <c r="I475" s="583"/>
    </row>
    <row r="476" spans="2:9">
      <c r="B476" s="361" t="s">
        <v>12515</v>
      </c>
      <c r="C476" s="381"/>
      <c r="D476" s="381"/>
      <c r="E476" s="154" t="s">
        <v>7087</v>
      </c>
      <c r="F476" s="383" t="s">
        <v>817</v>
      </c>
      <c r="G476" s="378"/>
      <c r="H476" s="596"/>
      <c r="I476" s="582">
        <f>TRUNC(SUM(I477:I479),2)</f>
        <v>17.57</v>
      </c>
    </row>
    <row r="477" spans="2:9">
      <c r="B477" s="543" t="s">
        <v>7068</v>
      </c>
      <c r="C477" s="151" t="s">
        <v>8</v>
      </c>
      <c r="D477" s="348">
        <v>88247</v>
      </c>
      <c r="E477" s="334" t="str">
        <f>IF($D477&lt;&gt;"",VLOOKUP($D477,'SINAPI MAIO 2020'!$1:$1048576,2,FALSE),"")</f>
        <v>AUXILIAR DE ELETRICISTA COM ENCARGOS COMPLEMENTARES</v>
      </c>
      <c r="F477" s="335" t="str">
        <f>IF($D477&lt;&gt;"",VLOOKUP($D477,'SINAPI MAIO 2020'!$1:$1048576,3,FALSE),"")</f>
        <v>H</v>
      </c>
      <c r="G477" s="379">
        <v>0.3</v>
      </c>
      <c r="H477" s="583">
        <f>IF($D477&lt;&gt;"",VLOOKUP($D477,'SINAPI MAIO 2020'!$1:$1048576,4,FALSE),"")</f>
        <v>14.33</v>
      </c>
      <c r="I477" s="379">
        <f t="shared" ref="I477" si="67">TRUNC(H477*G477,2)</f>
        <v>4.29</v>
      </c>
    </row>
    <row r="478" spans="2:9">
      <c r="B478" s="543" t="s">
        <v>7068</v>
      </c>
      <c r="C478" s="151" t="s">
        <v>8</v>
      </c>
      <c r="D478" s="348">
        <v>88264</v>
      </c>
      <c r="E478" s="334" t="str">
        <f>IF($D478&lt;&gt;"",VLOOKUP($D478,'SINAPI MAIO 2020'!$1:$1048576,2,FALSE),"")</f>
        <v>ELETRICISTA COM ENCARGOS COMPLEMENTARES</v>
      </c>
      <c r="F478" s="335" t="str">
        <f>IF($D478&lt;&gt;"",VLOOKUP($D478,'SINAPI MAIO 2020'!$1:$1048576,3,FALSE),"")</f>
        <v>H</v>
      </c>
      <c r="G478" s="379">
        <v>0.3</v>
      </c>
      <c r="H478" s="583">
        <f>IF($D478&lt;&gt;"",VLOOKUP($D478,'SINAPI MAIO 2020'!$1:$1048576,4,FALSE),"")</f>
        <v>18.38</v>
      </c>
      <c r="I478" s="379">
        <f t="shared" ref="I478:I479" si="68">TRUNC(H478*G478,2)</f>
        <v>5.51</v>
      </c>
    </row>
    <row r="479" spans="2:9" ht="25.5" customHeight="1">
      <c r="B479" s="543" t="s">
        <v>835</v>
      </c>
      <c r="C479" s="151" t="s">
        <v>8</v>
      </c>
      <c r="D479" s="348">
        <v>421</v>
      </c>
      <c r="E479" s="334" t="str">
        <f>IF($D479&lt;&gt;"",VLOOKUP($D479,'SINAPI MAIO 2020'!$1:$1048576,2,FALSE),"")</f>
        <v>PORCA OLHAL EM ACO GALVANIZADO, DIAMETRO NOMINAL DE 16 MM</v>
      </c>
      <c r="F479" s="335" t="str">
        <f>IF($D479&lt;&gt;"",VLOOKUP($D479,'SINAPI MAIO 2020'!$1:$1048576,3,FALSE),"")</f>
        <v xml:space="preserve">UN    </v>
      </c>
      <c r="G479" s="379">
        <v>1</v>
      </c>
      <c r="H479" s="583">
        <f>IF($D479&lt;&gt;"",VLOOKUP($D479,'SINAPI MAIO 2020'!$1:$1048576,4,FALSE),"")</f>
        <v>7.77</v>
      </c>
      <c r="I479" s="379">
        <f t="shared" si="68"/>
        <v>7.77</v>
      </c>
    </row>
    <row r="480" spans="2:9">
      <c r="D480" s="525"/>
      <c r="E480" s="334"/>
      <c r="F480" s="335"/>
      <c r="G480" s="526"/>
      <c r="H480" s="583"/>
      <c r="I480" s="583"/>
    </row>
    <row r="481" spans="2:9">
      <c r="B481" s="361" t="s">
        <v>12516</v>
      </c>
      <c r="C481" s="381"/>
      <c r="D481" s="381"/>
      <c r="E481" s="154" t="s">
        <v>7088</v>
      </c>
      <c r="F481" s="383" t="s">
        <v>817</v>
      </c>
      <c r="G481" s="378"/>
      <c r="H481" s="596"/>
      <c r="I481" s="582">
        <f>TRUNC(SUM(I482:I484),2)</f>
        <v>60.73</v>
      </c>
    </row>
    <row r="482" spans="2:9">
      <c r="B482" s="543" t="s">
        <v>7068</v>
      </c>
      <c r="C482" s="151" t="s">
        <v>8</v>
      </c>
      <c r="D482" s="348">
        <v>88247</v>
      </c>
      <c r="E482" s="334" t="str">
        <f>IF($D482&lt;&gt;"",VLOOKUP($D482,'SINAPI MAIO 2020'!$1:$1048576,2,FALSE),"")</f>
        <v>AUXILIAR DE ELETRICISTA COM ENCARGOS COMPLEMENTARES</v>
      </c>
      <c r="F482" s="335" t="str">
        <f>IF($D482&lt;&gt;"",VLOOKUP($D482,'SINAPI MAIO 2020'!$1:$1048576,3,FALSE),"")</f>
        <v>H</v>
      </c>
      <c r="G482" s="379">
        <v>0.3</v>
      </c>
      <c r="H482" s="583">
        <f>IF($D482&lt;&gt;"",VLOOKUP($D482,'SINAPI MAIO 2020'!$1:$1048576,4,FALSE),"")</f>
        <v>14.33</v>
      </c>
      <c r="I482" s="379">
        <f t="shared" ref="I482:I484" si="69">TRUNC(H482*G482,2)</f>
        <v>4.29</v>
      </c>
    </row>
    <row r="483" spans="2:9">
      <c r="B483" s="543" t="s">
        <v>7068</v>
      </c>
      <c r="C483" s="151" t="s">
        <v>8</v>
      </c>
      <c r="D483" s="348">
        <v>88264</v>
      </c>
      <c r="E483" s="334" t="str">
        <f>IF($D483&lt;&gt;"",VLOOKUP($D483,'SINAPI MAIO 2020'!$1:$1048576,2,FALSE),"")</f>
        <v>ELETRICISTA COM ENCARGOS COMPLEMENTARES</v>
      </c>
      <c r="F483" s="335" t="str">
        <f>IF($D483&lt;&gt;"",VLOOKUP($D483,'SINAPI MAIO 2020'!$1:$1048576,3,FALSE),"")</f>
        <v>H</v>
      </c>
      <c r="G483" s="379">
        <v>0.3</v>
      </c>
      <c r="H483" s="583">
        <f>IF($D483&lt;&gt;"",VLOOKUP($D483,'SINAPI MAIO 2020'!$1:$1048576,4,FALSE),"")</f>
        <v>18.38</v>
      </c>
      <c r="I483" s="379">
        <f t="shared" si="69"/>
        <v>5.51</v>
      </c>
    </row>
    <row r="484" spans="2:9">
      <c r="B484" s="543" t="s">
        <v>835</v>
      </c>
      <c r="C484" s="151" t="s">
        <v>836</v>
      </c>
      <c r="D484" s="348"/>
      <c r="E484" s="349" t="s">
        <v>7089</v>
      </c>
      <c r="F484" s="350" t="s">
        <v>7065</v>
      </c>
      <c r="G484" s="379">
        <v>1</v>
      </c>
      <c r="H484" s="584">
        <v>50.93</v>
      </c>
      <c r="I484" s="379">
        <f t="shared" si="69"/>
        <v>50.93</v>
      </c>
    </row>
    <row r="485" spans="2:9">
      <c r="D485" s="525"/>
      <c r="E485" s="334"/>
      <c r="F485" s="526"/>
      <c r="G485" s="526"/>
      <c r="H485" s="583"/>
      <c r="I485" s="583"/>
    </row>
    <row r="486" spans="2:9" ht="51" customHeight="1">
      <c r="B486" s="361" t="s">
        <v>12517</v>
      </c>
      <c r="C486" s="381"/>
      <c r="D486" s="381"/>
      <c r="E486" s="154" t="s">
        <v>7090</v>
      </c>
      <c r="F486" s="383" t="s">
        <v>817</v>
      </c>
      <c r="G486" s="378"/>
      <c r="H486" s="596"/>
      <c r="I486" s="582">
        <f>TRUNC(SUM(I487:I489),2)</f>
        <v>21.23</v>
      </c>
    </row>
    <row r="487" spans="2:9">
      <c r="B487" s="543" t="s">
        <v>7068</v>
      </c>
      <c r="C487" s="151" t="s">
        <v>8</v>
      </c>
      <c r="D487" s="348">
        <v>88247</v>
      </c>
      <c r="E487" s="334" t="str">
        <f>IF($D487&lt;&gt;"",VLOOKUP($D487,'SINAPI MAIO 2020'!$1:$1048576,2,FALSE),"")</f>
        <v>AUXILIAR DE ELETRICISTA COM ENCARGOS COMPLEMENTARES</v>
      </c>
      <c r="F487" s="335" t="str">
        <f>IF($D487&lt;&gt;"",VLOOKUP($D487,'SINAPI MAIO 2020'!$1:$1048576,3,FALSE),"")</f>
        <v>H</v>
      </c>
      <c r="G487" s="379">
        <v>0.3</v>
      </c>
      <c r="H487" s="583">
        <f>IF($D487&lt;&gt;"",VLOOKUP($D487,'SINAPI MAIO 2020'!$1:$1048576,4,FALSE),"")</f>
        <v>14.33</v>
      </c>
      <c r="I487" s="379">
        <f t="shared" ref="I487" si="70">TRUNC(H487*G487,2)</f>
        <v>4.29</v>
      </c>
    </row>
    <row r="488" spans="2:9">
      <c r="B488" s="543" t="s">
        <v>7068</v>
      </c>
      <c r="C488" s="151" t="s">
        <v>8</v>
      </c>
      <c r="D488" s="348">
        <v>88264</v>
      </c>
      <c r="E488" s="334" t="str">
        <f>IF($D488&lt;&gt;"",VLOOKUP($D488,'SINAPI MAIO 2020'!$1:$1048576,2,FALSE),"")</f>
        <v>ELETRICISTA COM ENCARGOS COMPLEMENTARES</v>
      </c>
      <c r="F488" s="335" t="str">
        <f>IF($D488&lt;&gt;"",VLOOKUP($D488,'SINAPI MAIO 2020'!$1:$1048576,3,FALSE),"")</f>
        <v>H</v>
      </c>
      <c r="G488" s="379">
        <v>0.3</v>
      </c>
      <c r="H488" s="583">
        <f>IF($D488&lt;&gt;"",VLOOKUP($D488,'SINAPI MAIO 2020'!$1:$1048576,4,FALSE),"")</f>
        <v>18.38</v>
      </c>
      <c r="I488" s="379">
        <f t="shared" ref="I488:I489" si="71">TRUNC(H488*G488,2)</f>
        <v>5.51</v>
      </c>
    </row>
    <row r="489" spans="2:9">
      <c r="B489" s="543" t="s">
        <v>835</v>
      </c>
      <c r="C489" s="151" t="s">
        <v>836</v>
      </c>
      <c r="D489" s="348"/>
      <c r="E489" s="349" t="s">
        <v>7091</v>
      </c>
      <c r="F489" s="350" t="s">
        <v>7065</v>
      </c>
      <c r="G489" s="379">
        <v>1</v>
      </c>
      <c r="H489" s="584">
        <v>11.43</v>
      </c>
      <c r="I489" s="379">
        <f t="shared" si="71"/>
        <v>11.43</v>
      </c>
    </row>
    <row r="490" spans="2:9">
      <c r="D490" s="525"/>
      <c r="E490" s="334"/>
      <c r="F490" s="526"/>
      <c r="G490" s="526"/>
      <c r="H490" s="583"/>
      <c r="I490" s="583"/>
    </row>
    <row r="491" spans="2:9">
      <c r="B491" s="361" t="s">
        <v>12518</v>
      </c>
      <c r="C491" s="381"/>
      <c r="D491" s="381"/>
      <c r="E491" s="154" t="s">
        <v>7092</v>
      </c>
      <c r="F491" s="383" t="s">
        <v>817</v>
      </c>
      <c r="G491" s="378"/>
      <c r="H491" s="596"/>
      <c r="I491" s="582">
        <f>TRUNC(SUM(I492:I494),2)</f>
        <v>18.84</v>
      </c>
    </row>
    <row r="492" spans="2:9" ht="38.25" customHeight="1">
      <c r="B492" s="543" t="s">
        <v>7068</v>
      </c>
      <c r="C492" s="151" t="s">
        <v>8</v>
      </c>
      <c r="D492" s="348">
        <v>88247</v>
      </c>
      <c r="E492" s="334" t="str">
        <f>IF($D492&lt;&gt;"",VLOOKUP($D492,'SINAPI MAIO 2020'!$1:$1048576,2,FALSE),"")</f>
        <v>AUXILIAR DE ELETRICISTA COM ENCARGOS COMPLEMENTARES</v>
      </c>
      <c r="F492" s="335" t="str">
        <f>IF($D492&lt;&gt;"",VLOOKUP($D492,'SINAPI MAIO 2020'!$1:$1048576,3,FALSE),"")</f>
        <v>H</v>
      </c>
      <c r="G492" s="379">
        <v>0.3</v>
      </c>
      <c r="H492" s="583">
        <f>IF($D492&lt;&gt;"",VLOOKUP($D492,'SINAPI MAIO 2020'!$1:$1048576,4,FALSE),"")</f>
        <v>14.33</v>
      </c>
      <c r="I492" s="379">
        <f t="shared" ref="I492:I493" si="72">TRUNC(H492*G492,2)</f>
        <v>4.29</v>
      </c>
    </row>
    <row r="493" spans="2:9">
      <c r="B493" s="543" t="s">
        <v>7068</v>
      </c>
      <c r="C493" s="151" t="s">
        <v>8</v>
      </c>
      <c r="D493" s="348">
        <v>88264</v>
      </c>
      <c r="E493" s="334" t="str">
        <f>IF($D493&lt;&gt;"",VLOOKUP($D493,'SINAPI MAIO 2020'!$1:$1048576,2,FALSE),"")</f>
        <v>ELETRICISTA COM ENCARGOS COMPLEMENTARES</v>
      </c>
      <c r="F493" s="335" t="str">
        <f>IF($D493&lt;&gt;"",VLOOKUP($D493,'SINAPI MAIO 2020'!$1:$1048576,3,FALSE),"")</f>
        <v>H</v>
      </c>
      <c r="G493" s="379">
        <v>0.3</v>
      </c>
      <c r="H493" s="583">
        <f>IF($D493&lt;&gt;"",VLOOKUP($D493,'SINAPI MAIO 2020'!$1:$1048576,4,FALSE),"")</f>
        <v>18.38</v>
      </c>
      <c r="I493" s="379">
        <f t="shared" si="72"/>
        <v>5.51</v>
      </c>
    </row>
    <row r="494" spans="2:9" ht="33.75" customHeight="1">
      <c r="B494" s="543" t="s">
        <v>835</v>
      </c>
      <c r="C494" s="151" t="s">
        <v>8</v>
      </c>
      <c r="D494" s="348">
        <v>402</v>
      </c>
      <c r="E494" s="334" t="str">
        <f>IF($D494&lt;&gt;"",VLOOKUP($D494,'SINAPI MAIO 2020'!$1:$1048576,2,FALSE),"")</f>
        <v>GANCHO OLHAL EM ACO GALVANIZADO, ESPESSURA 16MM, ABERTURA 21MM</v>
      </c>
      <c r="F494" s="335" t="str">
        <f>IF($D494&lt;&gt;"",VLOOKUP($D494,'SINAPI MAIO 2020'!$1:$1048576,3,FALSE),"")</f>
        <v xml:space="preserve">UN    </v>
      </c>
      <c r="G494" s="379">
        <v>1</v>
      </c>
      <c r="H494" s="583">
        <f>IF($D494&lt;&gt;"",VLOOKUP($D494,'SINAPI MAIO 2020'!$1:$1048576,4,FALSE),"")</f>
        <v>9.0399999999999991</v>
      </c>
      <c r="I494" s="379">
        <f t="shared" ref="I494" si="73">TRUNC(H494*G494,2)</f>
        <v>9.0399999999999991</v>
      </c>
    </row>
    <row r="495" spans="2:9">
      <c r="D495" s="525"/>
      <c r="E495" s="334"/>
      <c r="F495" s="526"/>
      <c r="G495" s="526"/>
      <c r="H495" s="583"/>
      <c r="I495" s="583"/>
    </row>
    <row r="496" spans="2:9">
      <c r="B496" s="361" t="s">
        <v>12519</v>
      </c>
      <c r="C496" s="381"/>
      <c r="D496" s="381"/>
      <c r="E496" s="154" t="s">
        <v>12489</v>
      </c>
      <c r="F496" s="383" t="s">
        <v>817</v>
      </c>
      <c r="G496" s="378"/>
      <c r="H496" s="596"/>
      <c r="I496" s="582">
        <f>TRUNC(SUM(I497:I499),2)</f>
        <v>68.22</v>
      </c>
    </row>
    <row r="497" spans="2:9">
      <c r="B497" s="543" t="s">
        <v>7068</v>
      </c>
      <c r="C497" s="151" t="s">
        <v>8</v>
      </c>
      <c r="D497" s="348">
        <v>88247</v>
      </c>
      <c r="E497" s="334" t="str">
        <f>IF($D497&lt;&gt;"",VLOOKUP($D497,'SINAPI MAIO 2020'!$1:$1048576,2,FALSE),"")</f>
        <v>AUXILIAR DE ELETRICISTA COM ENCARGOS COMPLEMENTARES</v>
      </c>
      <c r="F497" s="335" t="str">
        <f>IF($D497&lt;&gt;"",VLOOKUP($D497,'SINAPI MAIO 2020'!$1:$1048576,3,FALSE),"")</f>
        <v>H</v>
      </c>
      <c r="G497" s="379">
        <v>0.3</v>
      </c>
      <c r="H497" s="583">
        <f>IF($D497&lt;&gt;"",VLOOKUP($D497,'SINAPI MAIO 2020'!$1:$1048576,4,FALSE),"")</f>
        <v>14.33</v>
      </c>
      <c r="I497" s="379">
        <f t="shared" ref="I497" si="74">TRUNC(H497*G497,2)</f>
        <v>4.29</v>
      </c>
    </row>
    <row r="498" spans="2:9">
      <c r="B498" s="543" t="s">
        <v>7068</v>
      </c>
      <c r="C498" s="151" t="s">
        <v>8</v>
      </c>
      <c r="D498" s="348">
        <v>88264</v>
      </c>
      <c r="E498" s="334" t="str">
        <f>IF($D498&lt;&gt;"",VLOOKUP($D498,'SINAPI MAIO 2020'!$1:$1048576,2,FALSE),"")</f>
        <v>ELETRICISTA COM ENCARGOS COMPLEMENTARES</v>
      </c>
      <c r="F498" s="335" t="str">
        <f>IF($D498&lt;&gt;"",VLOOKUP($D498,'SINAPI MAIO 2020'!$1:$1048576,3,FALSE),"")</f>
        <v>H</v>
      </c>
      <c r="G498" s="379">
        <v>0.3</v>
      </c>
      <c r="H498" s="583">
        <f>IF($D498&lt;&gt;"",VLOOKUP($D498,'SINAPI MAIO 2020'!$1:$1048576,4,FALSE),"")</f>
        <v>18.38</v>
      </c>
      <c r="I498" s="379">
        <f t="shared" ref="I498:I499" si="75">TRUNC(H498*G498,2)</f>
        <v>5.51</v>
      </c>
    </row>
    <row r="499" spans="2:9">
      <c r="B499" s="543" t="s">
        <v>835</v>
      </c>
      <c r="C499" s="151" t="s">
        <v>836</v>
      </c>
      <c r="D499" s="348"/>
      <c r="E499" s="349" t="s">
        <v>7093</v>
      </c>
      <c r="F499" s="350" t="s">
        <v>7065</v>
      </c>
      <c r="G499" s="379">
        <v>1</v>
      </c>
      <c r="H499" s="584">
        <v>58.42</v>
      </c>
      <c r="I499" s="379">
        <f t="shared" si="75"/>
        <v>58.42</v>
      </c>
    </row>
    <row r="500" spans="2:9">
      <c r="D500" s="525"/>
      <c r="E500" s="334"/>
      <c r="F500" s="526"/>
      <c r="G500" s="526"/>
      <c r="H500" s="583"/>
      <c r="I500" s="583"/>
    </row>
    <row r="501" spans="2:9">
      <c r="B501" s="361" t="s">
        <v>12520</v>
      </c>
      <c r="C501" s="381"/>
      <c r="D501" s="381"/>
      <c r="E501" s="154" t="s">
        <v>7143</v>
      </c>
      <c r="F501" s="383" t="s">
        <v>817</v>
      </c>
      <c r="G501" s="378"/>
      <c r="H501" s="596"/>
      <c r="I501" s="582">
        <f>TRUNC(SUM(I502:I504),2)</f>
        <v>46.85</v>
      </c>
    </row>
    <row r="502" spans="2:9">
      <c r="B502" s="543" t="s">
        <v>7068</v>
      </c>
      <c r="C502" s="151" t="s">
        <v>8</v>
      </c>
      <c r="D502" s="348">
        <v>88247</v>
      </c>
      <c r="E502" s="334" t="str">
        <f>IF($D502&lt;&gt;"",VLOOKUP($D502,'SINAPI MAIO 2020'!$1:$1048576,2,FALSE),"")</f>
        <v>AUXILIAR DE ELETRICISTA COM ENCARGOS COMPLEMENTARES</v>
      </c>
      <c r="F502" s="335" t="str">
        <f>IF($D502&lt;&gt;"",VLOOKUP($D502,'SINAPI MAIO 2020'!$1:$1048576,3,FALSE),"")</f>
        <v>H</v>
      </c>
      <c r="G502" s="379">
        <v>0.3</v>
      </c>
      <c r="H502" s="583">
        <f>IF($D502&lt;&gt;"",VLOOKUP($D502,'SINAPI MAIO 2020'!$1:$1048576,4,FALSE),"")</f>
        <v>14.33</v>
      </c>
      <c r="I502" s="379">
        <f t="shared" ref="I502:I504" si="76">TRUNC(H502*G502,2)</f>
        <v>4.29</v>
      </c>
    </row>
    <row r="503" spans="2:9">
      <c r="B503" s="543" t="s">
        <v>7068</v>
      </c>
      <c r="C503" s="151" t="s">
        <v>8</v>
      </c>
      <c r="D503" s="348">
        <v>88264</v>
      </c>
      <c r="E503" s="334" t="str">
        <f>IF($D503&lt;&gt;"",VLOOKUP($D503,'SINAPI MAIO 2020'!$1:$1048576,2,FALSE),"")</f>
        <v>ELETRICISTA COM ENCARGOS COMPLEMENTARES</v>
      </c>
      <c r="F503" s="335" t="str">
        <f>IF($D503&lt;&gt;"",VLOOKUP($D503,'SINAPI MAIO 2020'!$1:$1048576,3,FALSE),"")</f>
        <v>H</v>
      </c>
      <c r="G503" s="379">
        <v>0.3</v>
      </c>
      <c r="H503" s="583">
        <f>IF($D503&lt;&gt;"",VLOOKUP($D503,'SINAPI MAIO 2020'!$1:$1048576,4,FALSE),"")</f>
        <v>18.38</v>
      </c>
      <c r="I503" s="379">
        <f t="shared" si="76"/>
        <v>5.51</v>
      </c>
    </row>
    <row r="504" spans="2:9">
      <c r="B504" s="543" t="s">
        <v>835</v>
      </c>
      <c r="C504" s="151" t="s">
        <v>836</v>
      </c>
      <c r="D504" s="348"/>
      <c r="E504" s="349" t="s">
        <v>7094</v>
      </c>
      <c r="F504" s="350" t="s">
        <v>7065</v>
      </c>
      <c r="G504" s="379">
        <v>1</v>
      </c>
      <c r="H504" s="584">
        <v>37.049999999999997</v>
      </c>
      <c r="I504" s="379">
        <f t="shared" si="76"/>
        <v>37.049999999999997</v>
      </c>
    </row>
    <row r="505" spans="2:9">
      <c r="D505" s="525"/>
      <c r="E505" s="334"/>
      <c r="F505" s="526"/>
      <c r="G505" s="526"/>
      <c r="H505" s="583"/>
      <c r="I505" s="583"/>
    </row>
    <row r="506" spans="2:9">
      <c r="B506" s="361" t="s">
        <v>12521</v>
      </c>
      <c r="C506" s="381"/>
      <c r="D506" s="381"/>
      <c r="E506" s="154" t="s">
        <v>7101</v>
      </c>
      <c r="F506" s="383" t="s">
        <v>817</v>
      </c>
      <c r="G506" s="378"/>
      <c r="H506" s="596"/>
      <c r="I506" s="582">
        <f>TRUNC(SUM(I507:I510),2)</f>
        <v>75.95</v>
      </c>
    </row>
    <row r="507" spans="2:9">
      <c r="B507" s="543" t="s">
        <v>7068</v>
      </c>
      <c r="C507" s="151" t="s">
        <v>8</v>
      </c>
      <c r="D507" s="348">
        <v>88247</v>
      </c>
      <c r="E507" s="334" t="str">
        <f>IF($D507&lt;&gt;"",VLOOKUP($D507,'SINAPI MAIO 2020'!$1:$1048576,2,FALSE),"")</f>
        <v>AUXILIAR DE ELETRICISTA COM ENCARGOS COMPLEMENTARES</v>
      </c>
      <c r="F507" s="335" t="str">
        <f>IF($D507&lt;&gt;"",VLOOKUP($D507,'SINAPI MAIO 2020'!$1:$1048576,3,FALSE),"")</f>
        <v>H</v>
      </c>
      <c r="G507" s="379">
        <v>0.3</v>
      </c>
      <c r="H507" s="583">
        <f>IF($D507&lt;&gt;"",VLOOKUP($D507,'SINAPI MAIO 2020'!$1:$1048576,4,FALSE),"")</f>
        <v>14.33</v>
      </c>
      <c r="I507" s="379">
        <f t="shared" ref="I507:I508" si="77">TRUNC(H507*G507,2)</f>
        <v>4.29</v>
      </c>
    </row>
    <row r="508" spans="2:9">
      <c r="B508" s="543" t="s">
        <v>7068</v>
      </c>
      <c r="C508" s="151" t="s">
        <v>8</v>
      </c>
      <c r="D508" s="348">
        <v>88264</v>
      </c>
      <c r="E508" s="334" t="str">
        <f>IF($D508&lt;&gt;"",VLOOKUP($D508,'SINAPI MAIO 2020'!$1:$1048576,2,FALSE),"")</f>
        <v>ELETRICISTA COM ENCARGOS COMPLEMENTARES</v>
      </c>
      <c r="F508" s="335" t="str">
        <f>IF($D508&lt;&gt;"",VLOOKUP($D508,'SINAPI MAIO 2020'!$1:$1048576,3,FALSE),"")</f>
        <v>H</v>
      </c>
      <c r="G508" s="379">
        <v>0.3</v>
      </c>
      <c r="H508" s="583">
        <f>IF($D508&lt;&gt;"",VLOOKUP($D508,'SINAPI MAIO 2020'!$1:$1048576,4,FALSE),"")</f>
        <v>18.38</v>
      </c>
      <c r="I508" s="379">
        <f t="shared" si="77"/>
        <v>5.51</v>
      </c>
    </row>
    <row r="509" spans="2:9" ht="25.5">
      <c r="B509" s="543" t="s">
        <v>835</v>
      </c>
      <c r="C509" s="151" t="s">
        <v>836</v>
      </c>
      <c r="D509" s="348"/>
      <c r="E509" s="349" t="s">
        <v>7102</v>
      </c>
      <c r="F509" s="350" t="s">
        <v>17</v>
      </c>
      <c r="G509" s="379">
        <v>0.3</v>
      </c>
      <c r="H509" s="584">
        <v>185</v>
      </c>
      <c r="I509" s="584">
        <f>TRUNC(H509*G509,2)</f>
        <v>55.5</v>
      </c>
    </row>
    <row r="510" spans="2:9">
      <c r="B510" s="543" t="s">
        <v>835</v>
      </c>
      <c r="C510" s="151" t="s">
        <v>836</v>
      </c>
      <c r="D510" s="348"/>
      <c r="E510" s="349" t="s">
        <v>7103</v>
      </c>
      <c r="F510" s="350" t="s">
        <v>35</v>
      </c>
      <c r="G510" s="379">
        <v>1</v>
      </c>
      <c r="H510" s="584">
        <v>10.65</v>
      </c>
      <c r="I510" s="584">
        <f>TRUNC(H510*G510,2)</f>
        <v>10.65</v>
      </c>
    </row>
    <row r="511" spans="2:9">
      <c r="D511" s="525"/>
      <c r="E511" s="334"/>
      <c r="F511" s="526"/>
      <c r="G511" s="526"/>
      <c r="H511" s="583"/>
      <c r="I511" s="583"/>
    </row>
    <row r="512" spans="2:9">
      <c r="B512" s="361" t="s">
        <v>12522</v>
      </c>
      <c r="C512" s="381"/>
      <c r="D512" s="381"/>
      <c r="E512" s="154" t="s">
        <v>7098</v>
      </c>
      <c r="F512" s="383" t="s">
        <v>817</v>
      </c>
      <c r="G512" s="378"/>
      <c r="H512" s="596"/>
      <c r="I512" s="582">
        <f>TRUNC(SUM(I513:I516),2)</f>
        <v>164.41</v>
      </c>
    </row>
    <row r="513" spans="2:9">
      <c r="B513" s="543" t="s">
        <v>7068</v>
      </c>
      <c r="C513" s="151" t="s">
        <v>8</v>
      </c>
      <c r="D513" s="348">
        <v>88247</v>
      </c>
      <c r="E513" s="334" t="str">
        <f>IF($D513&lt;&gt;"",VLOOKUP($D513,'SINAPI MAIO 2020'!$1:$1048576,2,FALSE),"")</f>
        <v>AUXILIAR DE ELETRICISTA COM ENCARGOS COMPLEMENTARES</v>
      </c>
      <c r="F513" s="335" t="str">
        <f>IF($D513&lt;&gt;"",VLOOKUP($D513,'SINAPI MAIO 2020'!$1:$1048576,3,FALSE),"")</f>
        <v>H</v>
      </c>
      <c r="G513" s="379">
        <v>0.3</v>
      </c>
      <c r="H513" s="583">
        <f>IF($D513&lt;&gt;"",VLOOKUP($D513,'SINAPI MAIO 2020'!$1:$1048576,4,FALSE),"")</f>
        <v>14.33</v>
      </c>
      <c r="I513" s="379">
        <f t="shared" ref="I513:I514" si="78">TRUNC(H513*G513,2)</f>
        <v>4.29</v>
      </c>
    </row>
    <row r="514" spans="2:9">
      <c r="B514" s="543" t="s">
        <v>7068</v>
      </c>
      <c r="C514" s="151" t="s">
        <v>8</v>
      </c>
      <c r="D514" s="348">
        <v>88264</v>
      </c>
      <c r="E514" s="334" t="str">
        <f>IF($D514&lt;&gt;"",VLOOKUP($D514,'SINAPI MAIO 2020'!$1:$1048576,2,FALSE),"")</f>
        <v>ELETRICISTA COM ENCARGOS COMPLEMENTARES</v>
      </c>
      <c r="F514" s="335" t="str">
        <f>IF($D514&lt;&gt;"",VLOOKUP($D514,'SINAPI MAIO 2020'!$1:$1048576,3,FALSE),"")</f>
        <v>H</v>
      </c>
      <c r="G514" s="379">
        <v>0.3</v>
      </c>
      <c r="H514" s="583">
        <f>IF($D514&lt;&gt;"",VLOOKUP($D514,'SINAPI MAIO 2020'!$1:$1048576,4,FALSE),"")</f>
        <v>18.38</v>
      </c>
      <c r="I514" s="379">
        <f t="shared" si="78"/>
        <v>5.51</v>
      </c>
    </row>
    <row r="515" spans="2:9">
      <c r="B515" s="543" t="s">
        <v>7068</v>
      </c>
      <c r="C515" s="151" t="s">
        <v>8</v>
      </c>
      <c r="D515" s="348">
        <v>88281</v>
      </c>
      <c r="E515" s="334" t="str">
        <f>IF($D515&lt;&gt;"",VLOOKUP($D515,'SINAPI MAIO 2020'!$1:$1048576,2,FALSE),"")</f>
        <v>MOTORISTA DE BASCULANTE COM ENCARGOS COMPLEMENTARES</v>
      </c>
      <c r="F515" s="335" t="str">
        <f>IF($D515&lt;&gt;"",VLOOKUP($D515,'SINAPI MAIO 2020'!$1:$1048576,3,FALSE),"")</f>
        <v>H</v>
      </c>
      <c r="G515" s="379">
        <v>1</v>
      </c>
      <c r="H515" s="583">
        <f>IF($D515&lt;&gt;"",VLOOKUP($D515,'SINAPI MAIO 2020'!$1:$1048576,4,FALSE),"")</f>
        <v>13.61</v>
      </c>
      <c r="I515" s="584">
        <f>TRUNC(H515*G515,2)</f>
        <v>13.61</v>
      </c>
    </row>
    <row r="516" spans="2:9">
      <c r="B516" s="543" t="s">
        <v>835</v>
      </c>
      <c r="C516" s="151" t="s">
        <v>836</v>
      </c>
      <c r="D516" s="348"/>
      <c r="E516" s="349" t="s">
        <v>7099</v>
      </c>
      <c r="F516" s="350" t="s">
        <v>7100</v>
      </c>
      <c r="G516" s="379">
        <v>1</v>
      </c>
      <c r="H516" s="584">
        <v>141</v>
      </c>
      <c r="I516" s="597">
        <f>TRUNC(H516*G516,2)</f>
        <v>141</v>
      </c>
    </row>
    <row r="517" spans="2:9">
      <c r="D517" s="525"/>
      <c r="E517" s="334"/>
      <c r="F517" s="526"/>
      <c r="G517" s="526"/>
      <c r="H517" s="583"/>
      <c r="I517" s="583"/>
    </row>
    <row r="518" spans="2:9" ht="25.5" customHeight="1">
      <c r="B518" s="361" t="s">
        <v>12523</v>
      </c>
      <c r="C518" s="381"/>
      <c r="D518" s="381"/>
      <c r="E518" s="154" t="s">
        <v>7095</v>
      </c>
      <c r="F518" s="383" t="s">
        <v>817</v>
      </c>
      <c r="G518" s="378"/>
      <c r="H518" s="596"/>
      <c r="I518" s="582">
        <f>TRUNC(SUM(I519:I522),2)</f>
        <v>194.15</v>
      </c>
    </row>
    <row r="519" spans="2:9" ht="25.5" customHeight="1">
      <c r="B519" s="543" t="s">
        <v>7068</v>
      </c>
      <c r="C519" s="151" t="s">
        <v>8</v>
      </c>
      <c r="D519" s="348">
        <v>88247</v>
      </c>
      <c r="E519" s="334" t="str">
        <f>IF($D519&lt;&gt;"",VLOOKUP($D519,'SINAPI MAIO 2020'!$1:$1048576,2,FALSE),"")</f>
        <v>AUXILIAR DE ELETRICISTA COM ENCARGOS COMPLEMENTARES</v>
      </c>
      <c r="F519" s="335" t="str">
        <f>IF($D519&lt;&gt;"",VLOOKUP($D519,'SINAPI MAIO 2020'!$1:$1048576,3,FALSE),"")</f>
        <v>H</v>
      </c>
      <c r="G519" s="379">
        <v>0.3</v>
      </c>
      <c r="H519" s="583">
        <f>IF($D519&lt;&gt;"",VLOOKUP($D519,'SINAPI MAIO 2020'!$1:$1048576,4,FALSE),"")</f>
        <v>14.33</v>
      </c>
      <c r="I519" s="379">
        <f t="shared" ref="I519" si="79">TRUNC(H519*G519,2)</f>
        <v>4.29</v>
      </c>
    </row>
    <row r="520" spans="2:9" ht="25.5" customHeight="1">
      <c r="B520" s="543" t="s">
        <v>7068</v>
      </c>
      <c r="C520" s="151" t="s">
        <v>8</v>
      </c>
      <c r="D520" s="348">
        <v>88264</v>
      </c>
      <c r="E520" s="334" t="str">
        <f>IF($D520&lt;&gt;"",VLOOKUP($D520,'SINAPI MAIO 2020'!$1:$1048576,2,FALSE),"")</f>
        <v>ELETRICISTA COM ENCARGOS COMPLEMENTARES</v>
      </c>
      <c r="F520" s="335" t="str">
        <f>IF($D520&lt;&gt;"",VLOOKUP($D520,'SINAPI MAIO 2020'!$1:$1048576,3,FALSE),"")</f>
        <v>H</v>
      </c>
      <c r="G520" s="379">
        <v>0.3</v>
      </c>
      <c r="H520" s="583">
        <f>IF($D520&lt;&gt;"",VLOOKUP($D520,'SINAPI MAIO 2020'!$1:$1048576,4,FALSE),"")</f>
        <v>18.38</v>
      </c>
      <c r="I520" s="379">
        <f t="shared" ref="I520:I522" si="80">TRUNC(H520*G520,2)</f>
        <v>5.51</v>
      </c>
    </row>
    <row r="521" spans="2:9" ht="30" customHeight="1">
      <c r="B521" s="543" t="s">
        <v>835</v>
      </c>
      <c r="C521" s="151" t="s">
        <v>8</v>
      </c>
      <c r="D521" s="348">
        <v>3396</v>
      </c>
      <c r="E521" s="334" t="str">
        <f>IF($D521&lt;&gt;"",VLOOKUP($D521,'SINAPI MAIO 2020'!$1:$1048576,2,FALSE),"")</f>
        <v>SUPORTE ISOLADOR SIMPLES DIAMETRO NOMINAL 5/16", COM ROSCA SOBERBA E BUCHA</v>
      </c>
      <c r="F521" s="335" t="str">
        <f>IF($D521&lt;&gt;"",VLOOKUP($D521,'SINAPI MAIO 2020'!$1:$1048576,3,FALSE),"")</f>
        <v xml:space="preserve">UN    </v>
      </c>
      <c r="G521" s="379">
        <v>1</v>
      </c>
      <c r="H521" s="583">
        <f>IF($D521&lt;&gt;"",VLOOKUP($D521,'SINAPI MAIO 2020'!$1:$1048576,4,FALSE),"")</f>
        <v>6.07</v>
      </c>
      <c r="I521" s="379">
        <f>TRUNC(H521*G521,2)</f>
        <v>6.07</v>
      </c>
    </row>
    <row r="522" spans="2:9" ht="51" customHeight="1">
      <c r="B522" s="543" t="s">
        <v>835</v>
      </c>
      <c r="C522" s="151" t="s">
        <v>836</v>
      </c>
      <c r="D522" s="348"/>
      <c r="E522" s="349" t="s">
        <v>7096</v>
      </c>
      <c r="F522" s="350" t="s">
        <v>7097</v>
      </c>
      <c r="G522" s="379">
        <v>1</v>
      </c>
      <c r="H522" s="584">
        <v>178.28</v>
      </c>
      <c r="I522" s="379">
        <f t="shared" si="80"/>
        <v>178.28</v>
      </c>
    </row>
    <row r="523" spans="2:9">
      <c r="D523" s="525"/>
      <c r="E523" s="334"/>
      <c r="F523" s="526"/>
      <c r="G523" s="526"/>
      <c r="H523" s="583"/>
      <c r="I523" s="583"/>
    </row>
    <row r="524" spans="2:9">
      <c r="B524" s="361" t="s">
        <v>12524</v>
      </c>
      <c r="C524" s="381"/>
      <c r="D524" s="381"/>
      <c r="E524" s="154" t="s">
        <v>12490</v>
      </c>
      <c r="F524" s="383" t="s">
        <v>817</v>
      </c>
      <c r="G524" s="378"/>
      <c r="H524" s="596"/>
      <c r="I524" s="582">
        <f>TRUNC(SUM(I525:I527),2)</f>
        <v>115.3</v>
      </c>
    </row>
    <row r="525" spans="2:9">
      <c r="B525" s="543" t="s">
        <v>7068</v>
      </c>
      <c r="C525" s="151" t="s">
        <v>8</v>
      </c>
      <c r="D525" s="348">
        <v>88247</v>
      </c>
      <c r="E525" s="334" t="str">
        <f>IF($D525&lt;&gt;"",VLOOKUP($D525,'SINAPI MAIO 2020'!$1:$1048576,2,FALSE),"")</f>
        <v>AUXILIAR DE ELETRICISTA COM ENCARGOS COMPLEMENTARES</v>
      </c>
      <c r="F525" s="335" t="str">
        <f>IF($D525&lt;&gt;"",VLOOKUP($D525,'SINAPI MAIO 2020'!$1:$1048576,3,FALSE),"")</f>
        <v>H</v>
      </c>
      <c r="G525" s="379">
        <v>0.3</v>
      </c>
      <c r="H525" s="583">
        <f>IF($D525&lt;&gt;"",VLOOKUP($D525,'SINAPI MAIO 2020'!$1:$1048576,4,FALSE),"")</f>
        <v>14.33</v>
      </c>
      <c r="I525" s="379">
        <f t="shared" ref="I525" si="81">TRUNC(H525*G525,2)</f>
        <v>4.29</v>
      </c>
    </row>
    <row r="526" spans="2:9">
      <c r="B526" s="543" t="s">
        <v>7068</v>
      </c>
      <c r="C526" s="151" t="s">
        <v>8</v>
      </c>
      <c r="D526" s="348">
        <v>88264</v>
      </c>
      <c r="E526" s="334" t="str">
        <f>IF($D526&lt;&gt;"",VLOOKUP($D526,'SINAPI MAIO 2020'!$1:$1048576,2,FALSE),"")</f>
        <v>ELETRICISTA COM ENCARGOS COMPLEMENTARES</v>
      </c>
      <c r="F526" s="335" t="str">
        <f>IF($D526&lt;&gt;"",VLOOKUP($D526,'SINAPI MAIO 2020'!$1:$1048576,3,FALSE),"")</f>
        <v>H</v>
      </c>
      <c r="G526" s="379">
        <v>0.3</v>
      </c>
      <c r="H526" s="583">
        <f>IF($D526&lt;&gt;"",VLOOKUP($D526,'SINAPI MAIO 2020'!$1:$1048576,4,FALSE),"")</f>
        <v>18.38</v>
      </c>
      <c r="I526" s="379">
        <f t="shared" ref="I526:I527" si="82">TRUNC(H526*G526,2)</f>
        <v>5.51</v>
      </c>
    </row>
    <row r="527" spans="2:9" ht="25.5">
      <c r="B527" s="543" t="s">
        <v>835</v>
      </c>
      <c r="C527" s="151" t="s">
        <v>8</v>
      </c>
      <c r="D527" s="348">
        <v>7576</v>
      </c>
      <c r="E527" s="334" t="str">
        <f>IF($D527&lt;&gt;"",VLOOKUP($D527,'SINAPI MAIO 2020'!$1:$1048576,2,FALSE),"")</f>
        <v>SUPORTE EM ACO GALVANIZADO PARA TRANSFORMADOR PARA POSTE DUPLO T 185 X 95 MM, CHAPA DE 5/16"</v>
      </c>
      <c r="F527" s="335" t="str">
        <f>IF($D527&lt;&gt;"",VLOOKUP($D527,'SINAPI MAIO 2020'!$1:$1048576,3,FALSE),"")</f>
        <v xml:space="preserve">UN    </v>
      </c>
      <c r="G527" s="379">
        <v>1</v>
      </c>
      <c r="H527" s="583">
        <f>IF($D527&lt;&gt;"",VLOOKUP($D527,'SINAPI MAIO 2020'!$1:$1048576,4,FALSE),"")</f>
        <v>105.5</v>
      </c>
      <c r="I527" s="379">
        <f t="shared" si="82"/>
        <v>105.5</v>
      </c>
    </row>
    <row r="528" spans="2:9">
      <c r="B528" s="543"/>
      <c r="C528" s="151"/>
      <c r="D528" s="348"/>
      <c r="E528" s="349"/>
      <c r="F528" s="350"/>
      <c r="G528" s="379"/>
      <c r="H528" s="584"/>
      <c r="I528" s="584"/>
    </row>
    <row r="529" spans="2:9">
      <c r="B529" s="361" t="s">
        <v>12525</v>
      </c>
      <c r="C529" s="381"/>
      <c r="D529" s="381"/>
      <c r="E529" s="154" t="s">
        <v>7105</v>
      </c>
      <c r="F529" s="383" t="s">
        <v>817</v>
      </c>
      <c r="G529" s="378"/>
      <c r="H529" s="596"/>
      <c r="I529" s="582">
        <f>TRUNC(SUM(I530:I532),2)</f>
        <v>3.41</v>
      </c>
    </row>
    <row r="530" spans="2:9">
      <c r="B530" s="543" t="s">
        <v>7068</v>
      </c>
      <c r="C530" s="151" t="s">
        <v>8</v>
      </c>
      <c r="D530" s="348">
        <v>88247</v>
      </c>
      <c r="E530" s="334" t="str">
        <f>IF($D530&lt;&gt;"",VLOOKUP($D530,'SINAPI MAIO 2020'!$1:$1048576,2,FALSE),"")</f>
        <v>AUXILIAR DE ELETRICISTA COM ENCARGOS COMPLEMENTARES</v>
      </c>
      <c r="F530" s="335" t="str">
        <f>IF($D530&lt;&gt;"",VLOOKUP($D530,'SINAPI MAIO 2020'!$1:$1048576,3,FALSE),"")</f>
        <v>H</v>
      </c>
      <c r="G530" s="379">
        <v>0.1</v>
      </c>
      <c r="H530" s="583">
        <f>IF($D530&lt;&gt;"",VLOOKUP($D530,'SINAPI MAIO 2020'!$1:$1048576,4,FALSE),"")</f>
        <v>14.33</v>
      </c>
      <c r="I530" s="379">
        <f t="shared" ref="I530:I531" si="83">TRUNC(H530*G530,2)</f>
        <v>1.43</v>
      </c>
    </row>
    <row r="531" spans="2:9">
      <c r="B531" s="543" t="s">
        <v>7068</v>
      </c>
      <c r="C531" s="151" t="s">
        <v>8</v>
      </c>
      <c r="D531" s="348">
        <v>88264</v>
      </c>
      <c r="E531" s="334" t="str">
        <f>IF($D531&lt;&gt;"",VLOOKUP($D531,'SINAPI MAIO 2020'!$1:$1048576,2,FALSE),"")</f>
        <v>ELETRICISTA COM ENCARGOS COMPLEMENTARES</v>
      </c>
      <c r="F531" s="335" t="str">
        <f>IF($D531&lt;&gt;"",VLOOKUP($D531,'SINAPI MAIO 2020'!$1:$1048576,3,FALSE),"")</f>
        <v>H</v>
      </c>
      <c r="G531" s="379">
        <v>0.1</v>
      </c>
      <c r="H531" s="583">
        <f>IF($D531&lt;&gt;"",VLOOKUP($D531,'SINAPI MAIO 2020'!$1:$1048576,4,FALSE),"")</f>
        <v>18.38</v>
      </c>
      <c r="I531" s="379">
        <f t="shared" si="83"/>
        <v>1.83</v>
      </c>
    </row>
    <row r="532" spans="2:9" ht="25.5">
      <c r="B532" s="543" t="s">
        <v>835</v>
      </c>
      <c r="C532" s="151" t="s">
        <v>8</v>
      </c>
      <c r="D532" s="348">
        <v>379</v>
      </c>
      <c r="E532" s="334" t="str">
        <f>IF($D532&lt;&gt;"",VLOOKUP($D532,'SINAPI MAIO 2020'!$1:$1048576,2,FALSE),"")</f>
        <v>ARRUELA QUADRADA EM ACO GALVANIZADO, DIMENSAO = 38 MM, ESPESSURA = 3MM, DIAMETRO DO FURO= 18 MM</v>
      </c>
      <c r="F532" s="335" t="str">
        <f>IF($D532&lt;&gt;"",VLOOKUP($D532,'SINAPI MAIO 2020'!$1:$1048576,3,FALSE),"")</f>
        <v xml:space="preserve">UN    </v>
      </c>
      <c r="G532" s="379">
        <v>0.3</v>
      </c>
      <c r="H532" s="583">
        <f>IF($D532&lt;&gt;"",VLOOKUP($D532,'SINAPI MAIO 2020'!$1:$1048576,4,FALSE),"")</f>
        <v>0.52</v>
      </c>
      <c r="I532" s="379">
        <f>TRUNC(H532*G532,2)</f>
        <v>0.15</v>
      </c>
    </row>
    <row r="533" spans="2:9">
      <c r="B533" s="543"/>
      <c r="C533" s="151"/>
      <c r="D533" s="348"/>
      <c r="E533" s="349"/>
      <c r="F533" s="350"/>
      <c r="G533" s="379"/>
      <c r="H533" s="584"/>
      <c r="I533" s="584"/>
    </row>
    <row r="534" spans="2:9">
      <c r="B534" s="361" t="s">
        <v>12526</v>
      </c>
      <c r="C534" s="381"/>
      <c r="D534" s="381"/>
      <c r="E534" s="154" t="s">
        <v>7106</v>
      </c>
      <c r="F534" s="383" t="s">
        <v>817</v>
      </c>
      <c r="G534" s="378"/>
      <c r="H534" s="596"/>
      <c r="I534" s="582">
        <f>TRUNC(SUM(I535:I537),2)</f>
        <v>9.14</v>
      </c>
    </row>
    <row r="535" spans="2:9">
      <c r="B535" s="543" t="s">
        <v>7068</v>
      </c>
      <c r="C535" s="151" t="s">
        <v>8</v>
      </c>
      <c r="D535" s="348">
        <v>88247</v>
      </c>
      <c r="E535" s="334" t="str">
        <f>IF($D535&lt;&gt;"",VLOOKUP($D535,'SINAPI MAIO 2020'!$1:$1048576,2,FALSE),"")</f>
        <v>AUXILIAR DE ELETRICISTA COM ENCARGOS COMPLEMENTARES</v>
      </c>
      <c r="F535" s="335" t="str">
        <f>IF($D535&lt;&gt;"",VLOOKUP($D535,'SINAPI MAIO 2020'!$1:$1048576,3,FALSE),"")</f>
        <v>H</v>
      </c>
      <c r="G535" s="379">
        <v>0.1</v>
      </c>
      <c r="H535" s="583">
        <f>IF($D535&lt;&gt;"",VLOOKUP($D535,'SINAPI MAIO 2020'!$1:$1048576,4,FALSE),"")</f>
        <v>14.33</v>
      </c>
      <c r="I535" s="379">
        <f t="shared" ref="I535:I537" si="84">TRUNC(H535*G535,2)</f>
        <v>1.43</v>
      </c>
    </row>
    <row r="536" spans="2:9">
      <c r="B536" s="543" t="s">
        <v>7068</v>
      </c>
      <c r="C536" s="151" t="s">
        <v>8</v>
      </c>
      <c r="D536" s="348">
        <v>88264</v>
      </c>
      <c r="E536" s="334" t="str">
        <f>IF($D536&lt;&gt;"",VLOOKUP($D536,'SINAPI MAIO 2020'!$1:$1048576,2,FALSE),"")</f>
        <v>ELETRICISTA COM ENCARGOS COMPLEMENTARES</v>
      </c>
      <c r="F536" s="335" t="str">
        <f>IF($D536&lt;&gt;"",VLOOKUP($D536,'SINAPI MAIO 2020'!$1:$1048576,3,FALSE),"")</f>
        <v>H</v>
      </c>
      <c r="G536" s="379">
        <v>0.1</v>
      </c>
      <c r="H536" s="583">
        <f>IF($D536&lt;&gt;"",VLOOKUP($D536,'SINAPI MAIO 2020'!$1:$1048576,4,FALSE),"")</f>
        <v>18.38</v>
      </c>
      <c r="I536" s="379">
        <f t="shared" si="84"/>
        <v>1.83</v>
      </c>
    </row>
    <row r="537" spans="2:9">
      <c r="B537" s="543" t="s">
        <v>835</v>
      </c>
      <c r="C537" s="151" t="s">
        <v>836</v>
      </c>
      <c r="D537" s="348"/>
      <c r="E537" s="349" t="s">
        <v>7107</v>
      </c>
      <c r="F537" s="350" t="s">
        <v>7065</v>
      </c>
      <c r="G537" s="379">
        <v>1</v>
      </c>
      <c r="H537" s="584">
        <v>5.88</v>
      </c>
      <c r="I537" s="379">
        <f t="shared" si="84"/>
        <v>5.88</v>
      </c>
    </row>
    <row r="538" spans="2:9">
      <c r="B538" s="543"/>
      <c r="C538" s="151"/>
      <c r="D538" s="348"/>
      <c r="E538" s="349"/>
      <c r="F538" s="350"/>
      <c r="G538" s="379"/>
      <c r="H538" s="584"/>
      <c r="I538" s="584"/>
    </row>
    <row r="539" spans="2:9">
      <c r="B539" s="361" t="s">
        <v>12527</v>
      </c>
      <c r="C539" s="381"/>
      <c r="D539" s="381"/>
      <c r="E539" s="154" t="s">
        <v>7108</v>
      </c>
      <c r="F539" s="383" t="s">
        <v>817</v>
      </c>
      <c r="G539" s="378"/>
      <c r="H539" s="596"/>
      <c r="I539" s="582">
        <f>TRUNC(SUM(I540:I542),2)</f>
        <v>7.25</v>
      </c>
    </row>
    <row r="540" spans="2:9">
      <c r="B540" s="543" t="s">
        <v>7068</v>
      </c>
      <c r="C540" s="151" t="s">
        <v>8</v>
      </c>
      <c r="D540" s="348">
        <v>88247</v>
      </c>
      <c r="E540" s="334" t="str">
        <f>IF($D540&lt;&gt;"",VLOOKUP($D540,'SINAPI MAIO 2020'!$1:$1048576,2,FALSE),"")</f>
        <v>AUXILIAR DE ELETRICISTA COM ENCARGOS COMPLEMENTARES</v>
      </c>
      <c r="F540" s="335" t="str">
        <f>IF($D540&lt;&gt;"",VLOOKUP($D540,'SINAPI MAIO 2020'!$1:$1048576,3,FALSE),"")</f>
        <v>H</v>
      </c>
      <c r="G540" s="379">
        <v>0.1</v>
      </c>
      <c r="H540" s="583">
        <f>IF($D540&lt;&gt;"",VLOOKUP($D540,'SINAPI MAIO 2020'!$1:$1048576,4,FALSE),"")</f>
        <v>14.33</v>
      </c>
      <c r="I540" s="379">
        <f t="shared" ref="I540:I541" si="85">TRUNC(H540*G540,2)</f>
        <v>1.43</v>
      </c>
    </row>
    <row r="541" spans="2:9">
      <c r="B541" s="543" t="s">
        <v>7068</v>
      </c>
      <c r="C541" s="151" t="s">
        <v>8</v>
      </c>
      <c r="D541" s="348">
        <v>88264</v>
      </c>
      <c r="E541" s="334" t="str">
        <f>IF($D541&lt;&gt;"",VLOOKUP($D541,'SINAPI MAIO 2020'!$1:$1048576,2,FALSE),"")</f>
        <v>ELETRICISTA COM ENCARGOS COMPLEMENTARES</v>
      </c>
      <c r="F541" s="335" t="str">
        <f>IF($D541&lt;&gt;"",VLOOKUP($D541,'SINAPI MAIO 2020'!$1:$1048576,3,FALSE),"")</f>
        <v>H</v>
      </c>
      <c r="G541" s="379">
        <v>0.1</v>
      </c>
      <c r="H541" s="583">
        <f>IF($D541&lt;&gt;"",VLOOKUP($D541,'SINAPI MAIO 2020'!$1:$1048576,4,FALSE),"")</f>
        <v>18.38</v>
      </c>
      <c r="I541" s="379">
        <f t="shared" si="85"/>
        <v>1.83</v>
      </c>
    </row>
    <row r="542" spans="2:9" ht="25.5">
      <c r="B542" s="543" t="s">
        <v>835</v>
      </c>
      <c r="C542" s="151" t="s">
        <v>8</v>
      </c>
      <c r="D542" s="348">
        <v>430</v>
      </c>
      <c r="E542" s="334" t="str">
        <f>IF($D542&lt;&gt;"",VLOOKUP($D542,'SINAPI MAIO 2020'!$1:$1048576,2,FALSE),"")</f>
        <v>PARAFUSO M16 EM ACO GALVANIZADO, COMPRIMENTO = 125 MM, DIAMETRO = 16 MM, ROSCA MAQUINA, CABECA QUADRADA</v>
      </c>
      <c r="F542" s="335" t="str">
        <f>IF($D542&lt;&gt;"",VLOOKUP($D542,'SINAPI MAIO 2020'!$1:$1048576,3,FALSE),"")</f>
        <v xml:space="preserve">UN    </v>
      </c>
      <c r="G542" s="379">
        <v>1</v>
      </c>
      <c r="H542" s="583">
        <f>IF($D542&lt;&gt;"",VLOOKUP($D542,'SINAPI MAIO 2020'!$1:$1048576,4,FALSE),"")</f>
        <v>3.99</v>
      </c>
      <c r="I542" s="379">
        <f>TRUNC(H542*G542,2)</f>
        <v>3.99</v>
      </c>
    </row>
    <row r="543" spans="2:9">
      <c r="B543" s="543"/>
      <c r="C543" s="151"/>
      <c r="D543" s="348"/>
      <c r="E543" s="349"/>
      <c r="F543" s="350"/>
      <c r="G543" s="379"/>
      <c r="H543" s="584"/>
      <c r="I543" s="584"/>
    </row>
    <row r="544" spans="2:9">
      <c r="B544" s="361" t="s">
        <v>12528</v>
      </c>
      <c r="C544" s="381"/>
      <c r="D544" s="381"/>
      <c r="E544" s="154" t="s">
        <v>7109</v>
      </c>
      <c r="F544" s="383" t="s">
        <v>817</v>
      </c>
      <c r="G544" s="378"/>
      <c r="H544" s="596"/>
      <c r="I544" s="582">
        <f>TRUNC(SUM(I545:I547),2)</f>
        <v>8.56</v>
      </c>
    </row>
    <row r="545" spans="2:9">
      <c r="B545" s="543" t="s">
        <v>7068</v>
      </c>
      <c r="C545" s="151" t="s">
        <v>8</v>
      </c>
      <c r="D545" s="348">
        <v>88247</v>
      </c>
      <c r="E545" s="334" t="str">
        <f>IF($D545&lt;&gt;"",VLOOKUP($D545,'SINAPI MAIO 2020'!$1:$1048576,2,FALSE),"")</f>
        <v>AUXILIAR DE ELETRICISTA COM ENCARGOS COMPLEMENTARES</v>
      </c>
      <c r="F545" s="335" t="str">
        <f>IF($D545&lt;&gt;"",VLOOKUP($D545,'SINAPI MAIO 2020'!$1:$1048576,3,FALSE),"")</f>
        <v>H</v>
      </c>
      <c r="G545" s="379">
        <v>0.1</v>
      </c>
      <c r="H545" s="583">
        <f>IF($D545&lt;&gt;"",VLOOKUP($D545,'SINAPI MAIO 2020'!$1:$1048576,4,FALSE),"")</f>
        <v>14.33</v>
      </c>
      <c r="I545" s="379">
        <f t="shared" ref="I545:I546" si="86">TRUNC(H545*G545,2)</f>
        <v>1.43</v>
      </c>
    </row>
    <row r="546" spans="2:9">
      <c r="B546" s="543" t="s">
        <v>7068</v>
      </c>
      <c r="C546" s="151" t="s">
        <v>8</v>
      </c>
      <c r="D546" s="348">
        <v>88264</v>
      </c>
      <c r="E546" s="334" t="str">
        <f>IF($D546&lt;&gt;"",VLOOKUP($D546,'SINAPI MAIO 2020'!$1:$1048576,2,FALSE),"")</f>
        <v>ELETRICISTA COM ENCARGOS COMPLEMENTARES</v>
      </c>
      <c r="F546" s="335" t="str">
        <f>IF($D546&lt;&gt;"",VLOOKUP($D546,'SINAPI MAIO 2020'!$1:$1048576,3,FALSE),"")</f>
        <v>H</v>
      </c>
      <c r="G546" s="379">
        <v>0.1</v>
      </c>
      <c r="H546" s="583">
        <f>IF($D546&lt;&gt;"",VLOOKUP($D546,'SINAPI MAIO 2020'!$1:$1048576,4,FALSE),"")</f>
        <v>18.38</v>
      </c>
      <c r="I546" s="379">
        <f t="shared" si="86"/>
        <v>1.83</v>
      </c>
    </row>
    <row r="547" spans="2:9" ht="25.5">
      <c r="B547" s="543" t="s">
        <v>835</v>
      </c>
      <c r="C547" s="151" t="s">
        <v>8</v>
      </c>
      <c r="D547" s="348">
        <v>431</v>
      </c>
      <c r="E547" s="334" t="str">
        <f>IF($D547&lt;&gt;"",VLOOKUP($D547,'SINAPI MAIO 2020'!$1:$1048576,2,FALSE),"")</f>
        <v>PARAFUSO M16 EM ACO GALVANIZADO, COMPRIMENTO = 200 MM, DIAMETRO = 16 MM, ROSCA MAQUINA, CABECA QUADRADA</v>
      </c>
      <c r="F547" s="335" t="str">
        <f>IF($D547&lt;&gt;"",VLOOKUP($D547,'SINAPI MAIO 2020'!$1:$1048576,3,FALSE),"")</f>
        <v xml:space="preserve">UN    </v>
      </c>
      <c r="G547" s="379">
        <v>1</v>
      </c>
      <c r="H547" s="583">
        <f>IF($D547&lt;&gt;"",VLOOKUP($D547,'SINAPI MAIO 2020'!$1:$1048576,4,FALSE),"")</f>
        <v>5.3</v>
      </c>
      <c r="I547" s="379">
        <f>TRUNC(H547*G547,2)</f>
        <v>5.3</v>
      </c>
    </row>
    <row r="548" spans="2:9">
      <c r="B548" s="543"/>
      <c r="C548" s="151"/>
      <c r="D548" s="348"/>
      <c r="E548" s="349"/>
      <c r="F548" s="350"/>
      <c r="G548" s="379"/>
      <c r="H548" s="584"/>
      <c r="I548" s="584"/>
    </row>
    <row r="549" spans="2:9">
      <c r="B549" s="361" t="s">
        <v>12529</v>
      </c>
      <c r="C549" s="381"/>
      <c r="D549" s="381"/>
      <c r="E549" s="154" t="s">
        <v>7110</v>
      </c>
      <c r="F549" s="383" t="s">
        <v>817</v>
      </c>
      <c r="G549" s="378"/>
      <c r="H549" s="596"/>
      <c r="I549" s="582">
        <f>TRUNC(SUM(I550:I552),2)</f>
        <v>9.11</v>
      </c>
    </row>
    <row r="550" spans="2:9">
      <c r="B550" s="543" t="s">
        <v>7068</v>
      </c>
      <c r="C550" s="151" t="s">
        <v>8</v>
      </c>
      <c r="D550" s="348">
        <v>88247</v>
      </c>
      <c r="E550" s="334" t="str">
        <f>IF($D550&lt;&gt;"",VLOOKUP($D550,'SINAPI MAIO 2020'!$1:$1048576,2,FALSE),"")</f>
        <v>AUXILIAR DE ELETRICISTA COM ENCARGOS COMPLEMENTARES</v>
      </c>
      <c r="F550" s="335" t="str">
        <f>IF($D550&lt;&gt;"",VLOOKUP($D550,'SINAPI MAIO 2020'!$1:$1048576,3,FALSE),"")</f>
        <v>H</v>
      </c>
      <c r="G550" s="379">
        <v>0.1</v>
      </c>
      <c r="H550" s="583">
        <f>IF($D550&lt;&gt;"",VLOOKUP($D550,'SINAPI MAIO 2020'!$1:$1048576,4,FALSE),"")</f>
        <v>14.33</v>
      </c>
      <c r="I550" s="379">
        <f t="shared" ref="I550:I551" si="87">TRUNC(H550*G550,2)</f>
        <v>1.43</v>
      </c>
    </row>
    <row r="551" spans="2:9">
      <c r="B551" s="543" t="s">
        <v>7068</v>
      </c>
      <c r="C551" s="151" t="s">
        <v>8</v>
      </c>
      <c r="D551" s="348">
        <v>88264</v>
      </c>
      <c r="E551" s="334" t="str">
        <f>IF($D551&lt;&gt;"",VLOOKUP($D551,'SINAPI MAIO 2020'!$1:$1048576,2,FALSE),"")</f>
        <v>ELETRICISTA COM ENCARGOS COMPLEMENTARES</v>
      </c>
      <c r="F551" s="335" t="str">
        <f>IF($D551&lt;&gt;"",VLOOKUP($D551,'SINAPI MAIO 2020'!$1:$1048576,3,FALSE),"")</f>
        <v>H</v>
      </c>
      <c r="G551" s="379">
        <v>0.1</v>
      </c>
      <c r="H551" s="583">
        <f>IF($D551&lt;&gt;"",VLOOKUP($D551,'SINAPI MAIO 2020'!$1:$1048576,4,FALSE),"")</f>
        <v>18.38</v>
      </c>
      <c r="I551" s="379">
        <f t="shared" si="87"/>
        <v>1.83</v>
      </c>
    </row>
    <row r="552" spans="2:9" ht="25.5">
      <c r="B552" s="543" t="s">
        <v>835</v>
      </c>
      <c r="C552" s="151" t="s">
        <v>8</v>
      </c>
      <c r="D552" s="348">
        <v>432</v>
      </c>
      <c r="E552" s="334" t="str">
        <f>IF($D552&lt;&gt;"",VLOOKUP($D552,'SINAPI MAIO 2020'!$1:$1048576,2,FALSE),"")</f>
        <v>PARAFUSO M16 EM ACO GALVANIZADO, COMPRIMENTO = 250 MM, DIAMETRO = 16 MM, ROSCA MAQUINA, CABECA QUADRADA</v>
      </c>
      <c r="F552" s="335" t="str">
        <f>IF($D552&lt;&gt;"",VLOOKUP($D552,'SINAPI MAIO 2020'!$1:$1048576,3,FALSE),"")</f>
        <v xml:space="preserve">UN    </v>
      </c>
      <c r="G552" s="379">
        <v>1</v>
      </c>
      <c r="H552" s="583">
        <f>IF($D552&lt;&gt;"",VLOOKUP($D552,'SINAPI MAIO 2020'!$1:$1048576,4,FALSE),"")</f>
        <v>5.85</v>
      </c>
      <c r="I552" s="379">
        <f>TRUNC(H552*G552,2)</f>
        <v>5.85</v>
      </c>
    </row>
    <row r="553" spans="2:9">
      <c r="B553" s="543"/>
      <c r="C553" s="151"/>
      <c r="D553" s="348"/>
      <c r="E553" s="349"/>
      <c r="F553" s="350"/>
      <c r="G553" s="379"/>
      <c r="H553" s="584"/>
      <c r="I553" s="584"/>
    </row>
    <row r="554" spans="2:9" ht="12.75" customHeight="1">
      <c r="B554" s="361" t="s">
        <v>12530</v>
      </c>
      <c r="C554" s="381"/>
      <c r="D554" s="381"/>
      <c r="E554" s="154" t="s">
        <v>7111</v>
      </c>
      <c r="F554" s="383" t="s">
        <v>817</v>
      </c>
      <c r="G554" s="378"/>
      <c r="H554" s="596"/>
      <c r="I554" s="582">
        <f>TRUNC(SUM(I555:I557),2)</f>
        <v>11.15</v>
      </c>
    </row>
    <row r="555" spans="2:9">
      <c r="B555" s="543" t="s">
        <v>7068</v>
      </c>
      <c r="C555" s="151" t="s">
        <v>8</v>
      </c>
      <c r="D555" s="348">
        <v>88247</v>
      </c>
      <c r="E555" s="334" t="str">
        <f>IF($D555&lt;&gt;"",VLOOKUP($D555,'SINAPI MAIO 2020'!$1:$1048576,2,FALSE),"")</f>
        <v>AUXILIAR DE ELETRICISTA COM ENCARGOS COMPLEMENTARES</v>
      </c>
      <c r="F555" s="335" t="str">
        <f>IF($D555&lt;&gt;"",VLOOKUP($D555,'SINAPI MAIO 2020'!$1:$1048576,3,FALSE),"")</f>
        <v>H</v>
      </c>
      <c r="G555" s="379">
        <v>0.1</v>
      </c>
      <c r="H555" s="583">
        <f>IF($D555&lt;&gt;"",VLOOKUP($D555,'SINAPI MAIO 2020'!$1:$1048576,4,FALSE),"")</f>
        <v>14.33</v>
      </c>
      <c r="I555" s="379">
        <f t="shared" ref="I555:I556" si="88">TRUNC(H555*G555,2)</f>
        <v>1.43</v>
      </c>
    </row>
    <row r="556" spans="2:9">
      <c r="B556" s="543" t="s">
        <v>7068</v>
      </c>
      <c r="C556" s="151" t="s">
        <v>8</v>
      </c>
      <c r="D556" s="348">
        <v>88264</v>
      </c>
      <c r="E556" s="334" t="str">
        <f>IF($D556&lt;&gt;"",VLOOKUP($D556,'SINAPI MAIO 2020'!$1:$1048576,2,FALSE),"")</f>
        <v>ELETRICISTA COM ENCARGOS COMPLEMENTARES</v>
      </c>
      <c r="F556" s="335" t="str">
        <f>IF($D556&lt;&gt;"",VLOOKUP($D556,'SINAPI MAIO 2020'!$1:$1048576,3,FALSE),"")</f>
        <v>H</v>
      </c>
      <c r="G556" s="379">
        <v>0.1</v>
      </c>
      <c r="H556" s="583">
        <f>IF($D556&lt;&gt;"",VLOOKUP($D556,'SINAPI MAIO 2020'!$1:$1048576,4,FALSE),"")</f>
        <v>18.38</v>
      </c>
      <c r="I556" s="379">
        <f t="shared" si="88"/>
        <v>1.83</v>
      </c>
    </row>
    <row r="557" spans="2:9" ht="25.5">
      <c r="B557" s="543" t="s">
        <v>835</v>
      </c>
      <c r="C557" s="151" t="s">
        <v>8</v>
      </c>
      <c r="D557" s="348">
        <v>429</v>
      </c>
      <c r="E557" s="334" t="str">
        <f>IF($D557&lt;&gt;"",VLOOKUP($D557,'SINAPI MAIO 2020'!$1:$1048576,2,FALSE),"")</f>
        <v>PARAFUSO M16 EM ACO GALVANIZADO, COMPRIMENTO = 300 MM, DIAMETRO = 16 MM, ROSCA DUPLA</v>
      </c>
      <c r="F557" s="335" t="str">
        <f>IF($D557&lt;&gt;"",VLOOKUP($D557,'SINAPI MAIO 2020'!$1:$1048576,3,FALSE),"")</f>
        <v xml:space="preserve">UN    </v>
      </c>
      <c r="G557" s="379">
        <v>1</v>
      </c>
      <c r="H557" s="583">
        <f>IF($D557&lt;&gt;"",VLOOKUP($D557,'SINAPI MAIO 2020'!$1:$1048576,4,FALSE),"")</f>
        <v>7.89</v>
      </c>
      <c r="I557" s="379">
        <f>TRUNC(H557*G557,2)</f>
        <v>7.89</v>
      </c>
    </row>
    <row r="558" spans="2:9">
      <c r="B558" s="543"/>
      <c r="C558" s="151"/>
      <c r="D558" s="348"/>
      <c r="E558" s="349"/>
      <c r="F558" s="350"/>
      <c r="G558" s="379"/>
      <c r="H558" s="584"/>
      <c r="I558" s="584"/>
    </row>
    <row r="559" spans="2:9">
      <c r="B559" s="361" t="s">
        <v>12531</v>
      </c>
      <c r="C559" s="381"/>
      <c r="D559" s="381"/>
      <c r="E559" s="154" t="s">
        <v>7112</v>
      </c>
      <c r="F559" s="383" t="s">
        <v>817</v>
      </c>
      <c r="G559" s="378"/>
      <c r="H559" s="596"/>
      <c r="I559" s="582">
        <f>TRUNC(SUM(I560:I562),2)</f>
        <v>29.38</v>
      </c>
    </row>
    <row r="560" spans="2:9">
      <c r="B560" s="543" t="s">
        <v>7068</v>
      </c>
      <c r="C560" s="151" t="s">
        <v>8</v>
      </c>
      <c r="D560" s="348">
        <v>88247</v>
      </c>
      <c r="E560" s="334" t="str">
        <f>IF($D560&lt;&gt;"",VLOOKUP($D560,'SINAPI MAIO 2020'!$1:$1048576,2,FALSE),"")</f>
        <v>AUXILIAR DE ELETRICISTA COM ENCARGOS COMPLEMENTARES</v>
      </c>
      <c r="F560" s="335" t="str">
        <f>IF($D560&lt;&gt;"",VLOOKUP($D560,'SINAPI MAIO 2020'!$1:$1048576,3,FALSE),"")</f>
        <v>H</v>
      </c>
      <c r="G560" s="379">
        <v>0.3</v>
      </c>
      <c r="H560" s="583">
        <f>IF($D560&lt;&gt;"",VLOOKUP($D560,'SINAPI MAIO 2020'!$1:$1048576,4,FALSE),"")</f>
        <v>14.33</v>
      </c>
      <c r="I560" s="379">
        <f t="shared" ref="I560:I562" si="89">TRUNC(H560*G560,2)</f>
        <v>4.29</v>
      </c>
    </row>
    <row r="561" spans="2:9">
      <c r="B561" s="543" t="s">
        <v>7068</v>
      </c>
      <c r="C561" s="151" t="s">
        <v>8</v>
      </c>
      <c r="D561" s="348">
        <v>88264</v>
      </c>
      <c r="E561" s="334" t="str">
        <f>IF($D561&lt;&gt;"",VLOOKUP($D561,'SINAPI MAIO 2020'!$1:$1048576,2,FALSE),"")</f>
        <v>ELETRICISTA COM ENCARGOS COMPLEMENTARES</v>
      </c>
      <c r="F561" s="335" t="str">
        <f>IF($D561&lt;&gt;"",VLOOKUP($D561,'SINAPI MAIO 2020'!$1:$1048576,3,FALSE),"")</f>
        <v>H</v>
      </c>
      <c r="G561" s="379">
        <v>0.3</v>
      </c>
      <c r="H561" s="583">
        <f>IF($D561&lt;&gt;"",VLOOKUP($D561,'SINAPI MAIO 2020'!$1:$1048576,4,FALSE),"")</f>
        <v>18.38</v>
      </c>
      <c r="I561" s="379">
        <f t="shared" si="89"/>
        <v>5.51</v>
      </c>
    </row>
    <row r="562" spans="2:9">
      <c r="B562" s="543" t="s">
        <v>835</v>
      </c>
      <c r="C562" s="151" t="s">
        <v>836</v>
      </c>
      <c r="D562" s="348"/>
      <c r="E562" s="349" t="s">
        <v>7113</v>
      </c>
      <c r="F562" s="350" t="s">
        <v>7065</v>
      </c>
      <c r="G562" s="379">
        <v>1</v>
      </c>
      <c r="H562" s="584">
        <v>19.579999999999998</v>
      </c>
      <c r="I562" s="379">
        <f t="shared" si="89"/>
        <v>19.579999999999998</v>
      </c>
    </row>
    <row r="563" spans="2:9">
      <c r="B563" s="543"/>
      <c r="C563" s="151"/>
      <c r="D563" s="348"/>
      <c r="E563" s="349"/>
      <c r="F563" s="350"/>
      <c r="G563" s="379"/>
      <c r="H563" s="584"/>
      <c r="I563" s="584"/>
    </row>
    <row r="564" spans="2:9" ht="25.5">
      <c r="B564" s="361" t="s">
        <v>12532</v>
      </c>
      <c r="C564" s="381"/>
      <c r="D564" s="381"/>
      <c r="E564" s="154" t="s">
        <v>7114</v>
      </c>
      <c r="F564" s="383" t="s">
        <v>817</v>
      </c>
      <c r="G564" s="378"/>
      <c r="H564" s="596"/>
      <c r="I564" s="582">
        <f>TRUNC(SUM(I565:I567),2)</f>
        <v>8732</v>
      </c>
    </row>
    <row r="565" spans="2:9">
      <c r="B565" s="543" t="s">
        <v>7068</v>
      </c>
      <c r="C565" s="151" t="s">
        <v>8</v>
      </c>
      <c r="D565" s="348">
        <v>88316</v>
      </c>
      <c r="E565" s="334" t="str">
        <f>IF($D565&lt;&gt;"",VLOOKUP($D565,'SINAPI MAIO 2020'!$1:$1048576,2,FALSE),"")</f>
        <v>SERVENTE COM ENCARGOS COMPLEMENTARES</v>
      </c>
      <c r="F565" s="335" t="str">
        <f>IF($D565&lt;&gt;"",VLOOKUP($D565,'SINAPI MAIO 2020'!$1:$1048576,3,FALSE),"")</f>
        <v>H</v>
      </c>
      <c r="G565" s="379">
        <v>2.5</v>
      </c>
      <c r="H565" s="583">
        <f>IF($D565&lt;&gt;"",VLOOKUP($D565,'SINAPI MAIO 2020'!$1:$1048576,4,FALSE),"")</f>
        <v>14.37</v>
      </c>
      <c r="I565" s="379">
        <f t="shared" ref="I565:I566" si="90">TRUNC(H565*G565,2)</f>
        <v>35.92</v>
      </c>
    </row>
    <row r="566" spans="2:9">
      <c r="B566" s="543" t="s">
        <v>7068</v>
      </c>
      <c r="C566" s="151" t="s">
        <v>8</v>
      </c>
      <c r="D566" s="348">
        <v>88264</v>
      </c>
      <c r="E566" s="334" t="str">
        <f>IF($D566&lt;&gt;"",VLOOKUP($D566,'SINAPI MAIO 2020'!$1:$1048576,2,FALSE),"")</f>
        <v>ELETRICISTA COM ENCARGOS COMPLEMENTARES</v>
      </c>
      <c r="F566" s="335" t="str">
        <f>IF($D566&lt;&gt;"",VLOOKUP($D566,'SINAPI MAIO 2020'!$1:$1048576,3,FALSE),"")</f>
        <v>H</v>
      </c>
      <c r="G566" s="379">
        <v>2.5</v>
      </c>
      <c r="H566" s="583">
        <f>IF($D566&lt;&gt;"",VLOOKUP($D566,'SINAPI MAIO 2020'!$1:$1048576,4,FALSE),"")</f>
        <v>18.38</v>
      </c>
      <c r="I566" s="379">
        <f t="shared" si="90"/>
        <v>45.95</v>
      </c>
    </row>
    <row r="567" spans="2:9" ht="38.25">
      <c r="B567" s="543" t="s">
        <v>835</v>
      </c>
      <c r="C567" s="151" t="s">
        <v>8</v>
      </c>
      <c r="D567" s="348">
        <v>7619</v>
      </c>
      <c r="E567" s="334" t="str">
        <f>IF($D567&lt;&gt;"",VLOOKUP($D567,'SINAPI MAIO 2020'!$1:$1048576,2,FALSE),"")</f>
        <v>TRANSFORMADOR TRIFASICO DE DISTRIBUICAO, POTENCIA DE 112,5 KVA, TENSAO NOMINAL DE 15 KV, TENSAO SECUNDARIA DE 220/127V, EM OLEO ISOLANTE TIPO MINERAL</v>
      </c>
      <c r="F567" s="335" t="str">
        <f>IF($D567&lt;&gt;"",VLOOKUP($D567,'SINAPI MAIO 2020'!$1:$1048576,3,FALSE),"")</f>
        <v xml:space="preserve">UN    </v>
      </c>
      <c r="G567" s="379">
        <v>1</v>
      </c>
      <c r="H567" s="583">
        <f>IF($D567&lt;&gt;"",VLOOKUP($D567,'SINAPI MAIO 2020'!$1:$1048576,4,FALSE),"")</f>
        <v>8650.1299999999992</v>
      </c>
      <c r="I567" s="379">
        <f>TRUNC(H567*G567,2)</f>
        <v>8650.1299999999992</v>
      </c>
    </row>
    <row r="568" spans="2:9">
      <c r="B568" s="543"/>
      <c r="C568" s="151"/>
      <c r="D568" s="348"/>
      <c r="E568" s="349"/>
      <c r="F568" s="350"/>
      <c r="G568" s="379"/>
      <c r="H568" s="584"/>
      <c r="I568" s="584"/>
    </row>
    <row r="569" spans="2:9">
      <c r="B569" s="361" t="s">
        <v>12533</v>
      </c>
      <c r="C569" s="381"/>
      <c r="D569" s="381"/>
      <c r="E569" s="154" t="s">
        <v>7115</v>
      </c>
      <c r="F569" s="383" t="s">
        <v>817</v>
      </c>
      <c r="G569" s="378"/>
      <c r="H569" s="596"/>
      <c r="I569" s="582">
        <f>TRUNC(SUM(I570:I572),2)</f>
        <v>70.73</v>
      </c>
    </row>
    <row r="570" spans="2:9">
      <c r="B570" s="543" t="s">
        <v>7068</v>
      </c>
      <c r="C570" s="151" t="s">
        <v>8</v>
      </c>
      <c r="D570" s="348">
        <v>88247</v>
      </c>
      <c r="E570" s="334" t="str">
        <f>IF($D570&lt;&gt;"",VLOOKUP($D570,'SINAPI MAIO 2020'!$1:$1048576,2,FALSE),"")</f>
        <v>AUXILIAR DE ELETRICISTA COM ENCARGOS COMPLEMENTARES</v>
      </c>
      <c r="F570" s="335" t="str">
        <f>IF($D570&lt;&gt;"",VLOOKUP($D570,'SINAPI MAIO 2020'!$1:$1048576,3,FALSE),"")</f>
        <v>H</v>
      </c>
      <c r="G570" s="379">
        <v>0.3</v>
      </c>
      <c r="H570" s="583">
        <f>IF($D570&lt;&gt;"",VLOOKUP($D570,'SINAPI MAIO 2020'!$1:$1048576,4,FALSE),"")</f>
        <v>14.33</v>
      </c>
      <c r="I570" s="379">
        <f t="shared" ref="I570:I571" si="91">TRUNC(H570*G570,2)</f>
        <v>4.29</v>
      </c>
    </row>
    <row r="571" spans="2:9">
      <c r="B571" s="543" t="s">
        <v>7068</v>
      </c>
      <c r="C571" s="151" t="s">
        <v>8</v>
      </c>
      <c r="D571" s="348">
        <v>88264</v>
      </c>
      <c r="E571" s="334" t="str">
        <f>IF($D571&lt;&gt;"",VLOOKUP($D571,'SINAPI MAIO 2020'!$1:$1048576,2,FALSE),"")</f>
        <v>ELETRICISTA COM ENCARGOS COMPLEMENTARES</v>
      </c>
      <c r="F571" s="335" t="str">
        <f>IF($D571&lt;&gt;"",VLOOKUP($D571,'SINAPI MAIO 2020'!$1:$1048576,3,FALSE),"")</f>
        <v>H</v>
      </c>
      <c r="G571" s="379">
        <v>0.3</v>
      </c>
      <c r="H571" s="583">
        <f>IF($D571&lt;&gt;"",VLOOKUP($D571,'SINAPI MAIO 2020'!$1:$1048576,4,FALSE),"")</f>
        <v>18.38</v>
      </c>
      <c r="I571" s="379">
        <f t="shared" si="91"/>
        <v>5.51</v>
      </c>
    </row>
    <row r="572" spans="2:9">
      <c r="B572" s="543" t="s">
        <v>835</v>
      </c>
      <c r="C572" s="151" t="s">
        <v>836</v>
      </c>
      <c r="D572" s="348"/>
      <c r="E572" s="349" t="s">
        <v>7115</v>
      </c>
      <c r="F572" s="350" t="s">
        <v>7065</v>
      </c>
      <c r="G572" s="379">
        <v>1</v>
      </c>
      <c r="H572" s="584">
        <v>60.93</v>
      </c>
      <c r="I572" s="584">
        <f>TRUNC(H572*G572,2)</f>
        <v>60.93</v>
      </c>
    </row>
    <row r="573" spans="2:9">
      <c r="B573" s="543"/>
      <c r="C573" s="151"/>
      <c r="D573" s="348"/>
      <c r="E573" s="349"/>
      <c r="F573" s="350"/>
      <c r="G573" s="379"/>
      <c r="H573" s="584"/>
      <c r="I573" s="584"/>
    </row>
    <row r="574" spans="2:9">
      <c r="B574" s="361" t="s">
        <v>12534</v>
      </c>
      <c r="C574" s="381"/>
      <c r="D574" s="381"/>
      <c r="E574" s="154" t="s">
        <v>7116</v>
      </c>
      <c r="F574" s="383" t="s">
        <v>817</v>
      </c>
      <c r="G574" s="378"/>
      <c r="H574" s="596"/>
      <c r="I574" s="582">
        <f>TRUNC(SUM(I575:I577),2)</f>
        <v>21.25</v>
      </c>
    </row>
    <row r="575" spans="2:9">
      <c r="B575" s="543" t="s">
        <v>7068</v>
      </c>
      <c r="C575" s="151" t="s">
        <v>8</v>
      </c>
      <c r="D575" s="348">
        <v>88247</v>
      </c>
      <c r="E575" s="334" t="str">
        <f>IF($D575&lt;&gt;"",VLOOKUP($D575,'SINAPI MAIO 2020'!$1:$1048576,2,FALSE),"")</f>
        <v>AUXILIAR DE ELETRICISTA COM ENCARGOS COMPLEMENTARES</v>
      </c>
      <c r="F575" s="335" t="str">
        <f>IF($D575&lt;&gt;"",VLOOKUP($D575,'SINAPI MAIO 2020'!$1:$1048576,3,FALSE),"")</f>
        <v>H</v>
      </c>
      <c r="G575" s="379">
        <v>0.3</v>
      </c>
      <c r="H575" s="583">
        <f>IF($D575&lt;&gt;"",VLOOKUP($D575,'SINAPI MAIO 2020'!$1:$1048576,4,FALSE),"")</f>
        <v>14.33</v>
      </c>
      <c r="I575" s="379">
        <f t="shared" ref="I575:I576" si="92">TRUNC(H575*G575,2)</f>
        <v>4.29</v>
      </c>
    </row>
    <row r="576" spans="2:9">
      <c r="B576" s="543" t="s">
        <v>7068</v>
      </c>
      <c r="C576" s="151" t="s">
        <v>8</v>
      </c>
      <c r="D576" s="348">
        <v>88264</v>
      </c>
      <c r="E576" s="334" t="str">
        <f>IF($D576&lt;&gt;"",VLOOKUP($D576,'SINAPI MAIO 2020'!$1:$1048576,2,FALSE),"")</f>
        <v>ELETRICISTA COM ENCARGOS COMPLEMENTARES</v>
      </c>
      <c r="F576" s="335" t="str">
        <f>IF($D576&lt;&gt;"",VLOOKUP($D576,'SINAPI MAIO 2020'!$1:$1048576,3,FALSE),"")</f>
        <v>H</v>
      </c>
      <c r="G576" s="379">
        <v>0.3</v>
      </c>
      <c r="H576" s="583">
        <f>IF($D576&lt;&gt;"",VLOOKUP($D576,'SINAPI MAIO 2020'!$1:$1048576,4,FALSE),"")</f>
        <v>18.38</v>
      </c>
      <c r="I576" s="379">
        <f t="shared" si="92"/>
        <v>5.51</v>
      </c>
    </row>
    <row r="577" spans="2:9">
      <c r="B577" s="543" t="s">
        <v>835</v>
      </c>
      <c r="C577" s="151" t="s">
        <v>836</v>
      </c>
      <c r="D577" s="348"/>
      <c r="E577" s="349" t="s">
        <v>7117</v>
      </c>
      <c r="F577" s="350" t="s">
        <v>7065</v>
      </c>
      <c r="G577" s="379">
        <v>1</v>
      </c>
      <c r="H577" s="584">
        <v>11.45</v>
      </c>
      <c r="I577" s="584">
        <f>TRUNC(H577*G577,2)</f>
        <v>11.45</v>
      </c>
    </row>
    <row r="578" spans="2:9">
      <c r="B578" s="543"/>
      <c r="C578" s="151"/>
      <c r="D578" s="348"/>
      <c r="E578" s="349"/>
      <c r="F578" s="350"/>
      <c r="G578" s="379"/>
      <c r="H578" s="584"/>
      <c r="I578" s="584"/>
    </row>
    <row r="579" spans="2:9">
      <c r="B579" s="361" t="s">
        <v>12535</v>
      </c>
      <c r="C579" s="381"/>
      <c r="D579" s="381"/>
      <c r="E579" s="154" t="s">
        <v>7119</v>
      </c>
      <c r="F579" s="383" t="s">
        <v>817</v>
      </c>
      <c r="G579" s="378"/>
      <c r="H579" s="596"/>
      <c r="I579" s="582">
        <f>TRUNC(SUM(I580:I582),2)</f>
        <v>27.26</v>
      </c>
    </row>
    <row r="580" spans="2:9">
      <c r="B580" s="543" t="s">
        <v>7068</v>
      </c>
      <c r="C580" s="151" t="s">
        <v>8</v>
      </c>
      <c r="D580" s="348">
        <v>88247</v>
      </c>
      <c r="E580" s="334" t="str">
        <f>IF($D580&lt;&gt;"",VLOOKUP($D580,'SINAPI MAIO 2020'!$1:$1048576,2,FALSE),"")</f>
        <v>AUXILIAR DE ELETRICISTA COM ENCARGOS COMPLEMENTARES</v>
      </c>
      <c r="F580" s="335" t="str">
        <f>IF($D580&lt;&gt;"",VLOOKUP($D580,'SINAPI MAIO 2020'!$1:$1048576,3,FALSE),"")</f>
        <v>H</v>
      </c>
      <c r="G580" s="379">
        <v>0.3</v>
      </c>
      <c r="H580" s="583">
        <f>IF($D580&lt;&gt;"",VLOOKUP($D580,'SINAPI MAIO 2020'!$1:$1048576,4,FALSE),"")</f>
        <v>14.33</v>
      </c>
      <c r="I580" s="379">
        <f t="shared" ref="I580:I581" si="93">TRUNC(H580*G580,2)</f>
        <v>4.29</v>
      </c>
    </row>
    <row r="581" spans="2:9">
      <c r="B581" s="543" t="s">
        <v>7068</v>
      </c>
      <c r="C581" s="151" t="s">
        <v>8</v>
      </c>
      <c r="D581" s="348">
        <v>88264</v>
      </c>
      <c r="E581" s="334" t="str">
        <f>IF($D581&lt;&gt;"",VLOOKUP($D581,'SINAPI MAIO 2020'!$1:$1048576,2,FALSE),"")</f>
        <v>ELETRICISTA COM ENCARGOS COMPLEMENTARES</v>
      </c>
      <c r="F581" s="335" t="str">
        <f>IF($D581&lt;&gt;"",VLOOKUP($D581,'SINAPI MAIO 2020'!$1:$1048576,3,FALSE),"")</f>
        <v>H</v>
      </c>
      <c r="G581" s="379">
        <v>0.3</v>
      </c>
      <c r="H581" s="583">
        <f>IF($D581&lt;&gt;"",VLOOKUP($D581,'SINAPI MAIO 2020'!$1:$1048576,4,FALSE),"")</f>
        <v>18.38</v>
      </c>
      <c r="I581" s="379">
        <f t="shared" si="93"/>
        <v>5.51</v>
      </c>
    </row>
    <row r="582" spans="2:9">
      <c r="B582" s="543" t="s">
        <v>835</v>
      </c>
      <c r="C582" s="151" t="s">
        <v>836</v>
      </c>
      <c r="D582" s="348"/>
      <c r="E582" s="349" t="s">
        <v>7120</v>
      </c>
      <c r="F582" s="350" t="s">
        <v>17</v>
      </c>
      <c r="G582" s="379">
        <v>1</v>
      </c>
      <c r="H582" s="584">
        <v>17.46</v>
      </c>
      <c r="I582" s="584">
        <f>TRUNC(H582*G582,2)</f>
        <v>17.46</v>
      </c>
    </row>
    <row r="583" spans="2:9">
      <c r="B583" s="554"/>
      <c r="C583" s="508"/>
      <c r="D583" s="508"/>
      <c r="E583" s="527"/>
      <c r="F583" s="508"/>
      <c r="G583" s="574"/>
      <c r="I583" s="579"/>
    </row>
    <row r="584" spans="2:9" ht="25.5">
      <c r="B584" s="361" t="s">
        <v>12536</v>
      </c>
      <c r="C584" s="381"/>
      <c r="D584" s="381"/>
      <c r="E584" s="154" t="s">
        <v>7121</v>
      </c>
      <c r="F584" s="383" t="s">
        <v>817</v>
      </c>
      <c r="G584" s="378"/>
      <c r="H584" s="596"/>
      <c r="I584" s="582">
        <f>TRUNC(SUM(I585:I587),2)</f>
        <v>65.22</v>
      </c>
    </row>
    <row r="585" spans="2:9">
      <c r="B585" s="543" t="s">
        <v>7068</v>
      </c>
      <c r="C585" s="151" t="s">
        <v>8</v>
      </c>
      <c r="D585" s="348">
        <v>88259</v>
      </c>
      <c r="E585" s="334" t="str">
        <f>IF($D585&lt;&gt;"",VLOOKUP($D585,'SINAPI MAIO 2020'!$1:$1048576,2,FALSE),"")</f>
        <v>CALAFETADOR/CALAFATE COM ENCARGOS COMPLEMENTARES</v>
      </c>
      <c r="F585" s="335" t="str">
        <f>IF($D585&lt;&gt;"",VLOOKUP($D585,'SINAPI MAIO 2020'!$1:$1048576,3,FALSE),"")</f>
        <v>H</v>
      </c>
      <c r="G585" s="379">
        <v>0.3</v>
      </c>
      <c r="H585" s="583">
        <f>IF($D585&lt;&gt;"",VLOOKUP($D585,'SINAPI MAIO 2020'!$1:$1048576,4,FALSE),"")</f>
        <v>20.51</v>
      </c>
      <c r="I585" s="379">
        <f t="shared" ref="I585:I586" si="94">TRUNC(H585*G585,2)</f>
        <v>6.15</v>
      </c>
    </row>
    <row r="586" spans="2:9">
      <c r="B586" s="543" t="s">
        <v>7068</v>
      </c>
      <c r="C586" s="151" t="s">
        <v>8</v>
      </c>
      <c r="D586" s="348">
        <v>88316</v>
      </c>
      <c r="E586" s="334" t="str">
        <f>IF($D586&lt;&gt;"",VLOOKUP($D586,'SINAPI MAIO 2020'!$1:$1048576,2,FALSE),"")</f>
        <v>SERVENTE COM ENCARGOS COMPLEMENTARES</v>
      </c>
      <c r="F586" s="335" t="str">
        <f>IF($D586&lt;&gt;"",VLOOKUP($D586,'SINAPI MAIO 2020'!$1:$1048576,3,FALSE),"")</f>
        <v>H</v>
      </c>
      <c r="G586" s="379">
        <v>1.5</v>
      </c>
      <c r="H586" s="583">
        <f>IF($D586&lt;&gt;"",VLOOKUP($D586,'SINAPI MAIO 2020'!$1:$1048576,4,FALSE),"")</f>
        <v>14.37</v>
      </c>
      <c r="I586" s="379">
        <f t="shared" si="94"/>
        <v>21.55</v>
      </c>
    </row>
    <row r="587" spans="2:9" ht="38.25">
      <c r="B587" s="543" t="s">
        <v>835</v>
      </c>
      <c r="C587" s="151" t="s">
        <v>8</v>
      </c>
      <c r="D587" s="348">
        <v>1051</v>
      </c>
      <c r="E587" s="334" t="str">
        <f>IF($D587&lt;&gt;"",VLOOKUP($D587,'SINAPI MAIO 2020'!$1:$1048576,2,FALSE),"")</f>
        <v>CABECOTE PARA ENTRADA DE LINHA DE ALIMENTACAO PARA ELETRODUTO, EM LIGA DE ALUMINIO COM ACABAMENTO ANTI CORROSIVO, COM FIXACAO POR ENCAIXE LISO DE 360 GRAUS, DE 4"</v>
      </c>
      <c r="F587" s="335" t="str">
        <f>IF($D587&lt;&gt;"",VLOOKUP($D587,'SINAPI MAIO 2020'!$1:$1048576,3,FALSE),"")</f>
        <v xml:space="preserve">UN    </v>
      </c>
      <c r="G587" s="379">
        <v>1</v>
      </c>
      <c r="H587" s="583">
        <f>IF($D587&lt;&gt;"",VLOOKUP($D587,'SINAPI MAIO 2020'!$1:$1048576,4,FALSE),"")</f>
        <v>37.520000000000003</v>
      </c>
      <c r="I587" s="379">
        <f t="shared" ref="I587" si="95">TRUNC(H587*G587,2)</f>
        <v>37.520000000000003</v>
      </c>
    </row>
    <row r="588" spans="2:9">
      <c r="B588" s="543"/>
      <c r="C588" s="151"/>
      <c r="D588" s="348"/>
      <c r="E588" s="349"/>
      <c r="F588" s="350"/>
      <c r="G588" s="379"/>
      <c r="H588" s="584"/>
      <c r="I588" s="584"/>
    </row>
    <row r="589" spans="2:9">
      <c r="B589" s="361" t="s">
        <v>12537</v>
      </c>
      <c r="C589" s="381"/>
      <c r="D589" s="381"/>
      <c r="E589" s="154" t="s">
        <v>7122</v>
      </c>
      <c r="F589" s="383" t="s">
        <v>24</v>
      </c>
      <c r="G589" s="378"/>
      <c r="H589" s="596"/>
      <c r="I589" s="582">
        <f>TRUNC(SUM(I590:I592),2)</f>
        <v>51.26</v>
      </c>
    </row>
    <row r="590" spans="2:9">
      <c r="B590" s="543" t="s">
        <v>7068</v>
      </c>
      <c r="C590" s="151" t="s">
        <v>8</v>
      </c>
      <c r="D590" s="348">
        <v>88259</v>
      </c>
      <c r="E590" s="334" t="str">
        <f>IF($D590&lt;&gt;"",VLOOKUP($D590,'SINAPI MAIO 2020'!$1:$1048576,2,FALSE),"")</f>
        <v>CALAFETADOR/CALAFATE COM ENCARGOS COMPLEMENTARES</v>
      </c>
      <c r="F590" s="335" t="str">
        <f>IF($D590&lt;&gt;"",VLOOKUP($D590,'SINAPI MAIO 2020'!$1:$1048576,3,FALSE),"")</f>
        <v>H</v>
      </c>
      <c r="G590" s="379">
        <v>0.3</v>
      </c>
      <c r="H590" s="583">
        <f>IF($D590&lt;&gt;"",VLOOKUP($D590,'SINAPI MAIO 2020'!$1:$1048576,4,FALSE),"")</f>
        <v>20.51</v>
      </c>
      <c r="I590" s="379">
        <f t="shared" ref="I590:I591" si="96">TRUNC(H590*G590,2)</f>
        <v>6.15</v>
      </c>
    </row>
    <row r="591" spans="2:9">
      <c r="B591" s="543" t="s">
        <v>7068</v>
      </c>
      <c r="C591" s="151" t="s">
        <v>8</v>
      </c>
      <c r="D591" s="348">
        <v>88316</v>
      </c>
      <c r="E591" s="334" t="str">
        <f>IF($D591&lt;&gt;"",VLOOKUP($D591,'SINAPI MAIO 2020'!$1:$1048576,2,FALSE),"")</f>
        <v>SERVENTE COM ENCARGOS COMPLEMENTARES</v>
      </c>
      <c r="F591" s="335" t="str">
        <f>IF($D591&lt;&gt;"",VLOOKUP($D591,'SINAPI MAIO 2020'!$1:$1048576,3,FALSE),"")</f>
        <v>H</v>
      </c>
      <c r="G591" s="379">
        <v>0.3</v>
      </c>
      <c r="H591" s="583">
        <f>IF($D591&lt;&gt;"",VLOOKUP($D591,'SINAPI MAIO 2020'!$1:$1048576,4,FALSE),"")</f>
        <v>14.37</v>
      </c>
      <c r="I591" s="379">
        <f t="shared" si="96"/>
        <v>4.3099999999999996</v>
      </c>
    </row>
    <row r="592" spans="2:9">
      <c r="B592" s="543" t="s">
        <v>835</v>
      </c>
      <c r="C592" s="151" t="s">
        <v>836</v>
      </c>
      <c r="D592" s="348"/>
      <c r="E592" s="349" t="s">
        <v>12488</v>
      </c>
      <c r="F592" s="350" t="s">
        <v>24</v>
      </c>
      <c r="G592" s="379">
        <v>1</v>
      </c>
      <c r="H592" s="584">
        <v>40.799999999999997</v>
      </c>
      <c r="I592" s="584">
        <f>TRUNC(H592*G592,2)</f>
        <v>40.799999999999997</v>
      </c>
    </row>
    <row r="593" spans="2:9">
      <c r="B593" s="543"/>
      <c r="C593" s="151"/>
      <c r="D593" s="348"/>
      <c r="E593" s="349"/>
      <c r="F593" s="350"/>
      <c r="G593" s="379"/>
      <c r="H593" s="584"/>
      <c r="I593" s="584"/>
    </row>
    <row r="594" spans="2:9">
      <c r="B594" s="361" t="s">
        <v>12538</v>
      </c>
      <c r="C594" s="381"/>
      <c r="D594" s="381"/>
      <c r="E594" s="154" t="s">
        <v>12973</v>
      </c>
      <c r="F594" s="383" t="s">
        <v>817</v>
      </c>
      <c r="G594" s="378"/>
      <c r="H594" s="596"/>
      <c r="I594" s="582">
        <f>TRUNC(SUM(I595:I608),2)</f>
        <v>1365.65</v>
      </c>
    </row>
    <row r="595" spans="2:9">
      <c r="B595" s="797" t="s">
        <v>12974</v>
      </c>
      <c r="C595" s="797"/>
      <c r="D595" s="797"/>
      <c r="E595" s="797"/>
      <c r="F595" s="797"/>
      <c r="G595" s="797"/>
      <c r="H595" s="797"/>
      <c r="I595" s="797"/>
    </row>
    <row r="596" spans="2:9" ht="25.5">
      <c r="B596" s="543" t="s">
        <v>835</v>
      </c>
      <c r="C596" s="151" t="s">
        <v>8</v>
      </c>
      <c r="D596" s="348">
        <v>93358</v>
      </c>
      <c r="E596" s="334" t="str">
        <f>IF($D596&lt;&gt;"",VLOOKUP($D596,'SINAPI MAIO 2020'!$1:$1048576,2,FALSE),"")</f>
        <v>ESCAVAÇÃO MANUAL DE VALA COM PROFUNDIDADE MENOR OU IGUAL A 1,30 M. AF_03/2016</v>
      </c>
      <c r="F596" s="335" t="str">
        <f>IF($D596&lt;&gt;"",VLOOKUP($D596,'SINAPI MAIO 2020'!$1:$1048576,3,FALSE),"")</f>
        <v>M3</v>
      </c>
      <c r="G596" s="379">
        <v>0.31</v>
      </c>
      <c r="H596" s="583">
        <f>IF($D596&lt;&gt;"",VLOOKUP($D596,'SINAPI MAIO 2020'!$1:$1048576,4,FALSE),"")</f>
        <v>56.84</v>
      </c>
      <c r="I596" s="379">
        <f t="shared" ref="I596:I600" si="97">TRUNC(H596*G596,2)</f>
        <v>17.62</v>
      </c>
    </row>
    <row r="597" spans="2:9" ht="34.5" customHeight="1">
      <c r="B597" s="543" t="s">
        <v>835</v>
      </c>
      <c r="C597" s="151" t="s">
        <v>8</v>
      </c>
      <c r="D597" s="348">
        <v>97084</v>
      </c>
      <c r="E597" s="334" t="str">
        <f>IF($D597&lt;&gt;"",VLOOKUP($D597,'SINAPI MAIO 2020'!$1:$1048576,2,FALSE),"")</f>
        <v>COMPACTAÇÃO MECÂNICA DE SOLO PARA EXECUÇÃO DE RADIER, COM COMPACTADOR DE SOLOS TIPO PLACA VIBRATÓRIA. AF_09/2017</v>
      </c>
      <c r="F597" s="335" t="str">
        <f>IF($D597&lt;&gt;"",VLOOKUP($D597,'SINAPI MAIO 2020'!$1:$1048576,3,FALSE),"")</f>
        <v>M2</v>
      </c>
      <c r="G597" s="379">
        <v>1.2</v>
      </c>
      <c r="H597" s="583">
        <f>IF($D597&lt;&gt;"",VLOOKUP($D597,'SINAPI MAIO 2020'!$1:$1048576,4,FALSE),"")</f>
        <v>0.45</v>
      </c>
      <c r="I597" s="379">
        <f t="shared" si="97"/>
        <v>0.54</v>
      </c>
    </row>
    <row r="598" spans="2:9" ht="25.5">
      <c r="B598" s="543" t="s">
        <v>835</v>
      </c>
      <c r="C598" s="151" t="s">
        <v>8</v>
      </c>
      <c r="D598" s="348">
        <v>95240</v>
      </c>
      <c r="E598" s="334" t="str">
        <f>IF($D598&lt;&gt;"",VLOOKUP($D598,'SINAPI MAIO 2020'!$1:$1048576,2,FALSE),"")</f>
        <v>LASTRO DE CONCRETO MAGRO, APLICADO EM PISOS OU RADIERS, ESPESSURA DE 3 CM. AF_07/2016</v>
      </c>
      <c r="F598" s="335" t="str">
        <f>IF($D598&lt;&gt;"",VLOOKUP($D598,'SINAPI MAIO 2020'!$1:$1048576,3,FALSE),"")</f>
        <v>M2</v>
      </c>
      <c r="G598" s="379">
        <v>2.08</v>
      </c>
      <c r="H598" s="583">
        <f>IF($D598&lt;&gt;"",VLOOKUP($D598,'SINAPI MAIO 2020'!$1:$1048576,4,FALSE),"")</f>
        <v>12.13</v>
      </c>
      <c r="I598" s="379">
        <f t="shared" si="97"/>
        <v>25.23</v>
      </c>
    </row>
    <row r="599" spans="2:9">
      <c r="B599" s="543" t="s">
        <v>835</v>
      </c>
      <c r="C599" s="151" t="s">
        <v>8</v>
      </c>
      <c r="D599" s="348">
        <v>3777</v>
      </c>
      <c r="E599" s="334" t="str">
        <f>IF($D599&lt;&gt;"",VLOOKUP($D599,'SINAPI MAIO 2020'!$1:$1048576,2,FALSE),"")</f>
        <v>LONA PLASTICA PRETA, E= 150 MICRA</v>
      </c>
      <c r="F599" s="335" t="str">
        <f>IF($D599&lt;&gt;"",VLOOKUP($D599,'SINAPI MAIO 2020'!$1:$1048576,3,FALSE),"")</f>
        <v xml:space="preserve">M2    </v>
      </c>
      <c r="G599" s="379">
        <v>1.2</v>
      </c>
      <c r="H599" s="583">
        <f>IF($D599&lt;&gt;"",VLOOKUP($D599,'SINAPI MAIO 2020'!$1:$1048576,4,FALSE),"")</f>
        <v>0.92</v>
      </c>
      <c r="I599" s="379">
        <f t="shared" si="97"/>
        <v>1.1000000000000001</v>
      </c>
    </row>
    <row r="600" spans="2:9" ht="38.25">
      <c r="B600" s="543" t="s">
        <v>835</v>
      </c>
      <c r="C600" s="151" t="s">
        <v>8</v>
      </c>
      <c r="D600" s="348">
        <v>97094</v>
      </c>
      <c r="E600" s="334" t="str">
        <f>IF($D600&lt;&gt;"",VLOOKUP($D600,'SINAPI MAIO 2020'!$1:$1048576,2,FALSE),"")</f>
        <v>CONCRETAGEM DE RADIER, PISO OU LAJE SOBRE SOLO, FCK 30 MPA, PARA ESPESSURA DE 10 CM - LANÇAMENTO, ADENSAMENTO E ACABAMENTO. AF_09/2017</v>
      </c>
      <c r="F600" s="335" t="str">
        <f>IF($D600&lt;&gt;"",VLOOKUP($D600,'SINAPI MAIO 2020'!$1:$1048576,3,FALSE),"")</f>
        <v>M3</v>
      </c>
      <c r="G600" s="379">
        <v>0.31</v>
      </c>
      <c r="H600" s="583">
        <f>IF($D600&lt;&gt;"",VLOOKUP($D600,'SINAPI MAIO 2020'!$1:$1048576,4,FALSE),"")</f>
        <v>499.87</v>
      </c>
      <c r="I600" s="379">
        <f t="shared" si="97"/>
        <v>154.94999999999999</v>
      </c>
    </row>
    <row r="601" spans="2:9">
      <c r="B601" s="797" t="s">
        <v>12975</v>
      </c>
      <c r="C601" s="797"/>
      <c r="D601" s="797"/>
      <c r="E601" s="797"/>
      <c r="F601" s="797"/>
      <c r="G601" s="797"/>
      <c r="H601" s="797"/>
      <c r="I601" s="797"/>
    </row>
    <row r="602" spans="2:9" ht="51">
      <c r="B602" s="543" t="s">
        <v>835</v>
      </c>
      <c r="C602" s="151" t="s">
        <v>8</v>
      </c>
      <c r="D602" s="348">
        <v>87497</v>
      </c>
      <c r="E602" s="334" t="str">
        <f>IF($D602&lt;&gt;"",VLOOKUP($D602,'SINAPI MAIO 2020'!$1:$1048576,2,FALSE),"")</f>
        <v>ALVENARIA DE VEDAÇÃO DE BLOCOS CERÂMICOS FURADOS NA HORIZONTAL DE 11,5X19X19CM (ESPESSURA 11,5CM) DE PAREDES COM ÁREA LÍQUIDA MENOR QUE 6M² SEM VÃOS E ARGAMASSA DE ASSENTAMENTO COM PREPARO EM BETONEIRA. AF_06/2014</v>
      </c>
      <c r="F602" s="335" t="str">
        <f>IF($D602&lt;&gt;"",VLOOKUP($D602,'SINAPI MAIO 2020'!$1:$1048576,3,FALSE),"")</f>
        <v>M2</v>
      </c>
      <c r="G602" s="379">
        <v>11.44</v>
      </c>
      <c r="H602" s="583">
        <f>IF($D602&lt;&gt;"",VLOOKUP($D602,'SINAPI MAIO 2020'!$1:$1048576,4,FALSE),"")</f>
        <v>61.84</v>
      </c>
      <c r="I602" s="379">
        <f t="shared" ref="I602:I604" si="98">TRUNC(H602*G602,2)</f>
        <v>707.44</v>
      </c>
    </row>
    <row r="603" spans="2:9" ht="38.25">
      <c r="B603" s="543" t="s">
        <v>835</v>
      </c>
      <c r="C603" s="151" t="s">
        <v>8</v>
      </c>
      <c r="D603" s="348">
        <v>87878</v>
      </c>
      <c r="E603" s="334" t="str">
        <f>IF($D603&lt;&gt;"",VLOOKUP($D603,'SINAPI MAIO 2020'!$1:$1048576,2,FALSE),"")</f>
        <v>CHAPISCO APLICADO EM ALVENARIAS E ESTRUTURAS DE CONCRETO INTERNAS, COM COLHER DE PEDREIRO.  ARGAMASSA TRAÇO 1:3 COM PREPARO MANUAL. AF_06/2014</v>
      </c>
      <c r="F603" s="335" t="str">
        <f>IF($D603&lt;&gt;"",VLOOKUP($D603,'SINAPI MAIO 2020'!$1:$1048576,3,FALSE),"")</f>
        <v>M2</v>
      </c>
      <c r="G603" s="379">
        <v>11.44</v>
      </c>
      <c r="H603" s="583">
        <f>IF($D603&lt;&gt;"",VLOOKUP($D603,'SINAPI MAIO 2020'!$1:$1048576,4,FALSE),"")</f>
        <v>3.13</v>
      </c>
      <c r="I603" s="379">
        <f t="shared" si="98"/>
        <v>35.799999999999997</v>
      </c>
    </row>
    <row r="604" spans="2:9" ht="63.75">
      <c r="B604" s="543" t="s">
        <v>835</v>
      </c>
      <c r="C604" s="151" t="s">
        <v>8</v>
      </c>
      <c r="D604" s="348">
        <v>87556</v>
      </c>
      <c r="E604" s="334" t="str">
        <f>IF($D604&lt;&gt;"",VLOOKUP($D604,'SINAPI MAIO 2020'!$1:$1048576,2,FALSE),"")</f>
        <v>MASSA ÚNICA, PARA RECEBIMENTO DE PINTURA, EM ARGAMASSA INDUSTRIALIZADA, PREPARO MECÂNICO, APLICADO COM EQUIPAMENTO DE MISTURA E PROJEÇÃO DE 1,5 M3/H DE ARGAMASSA EM FACES INTERNAS DE PAREDES, ESPESSURA DE 10MM, COM EXECUÇÃO DE TALISCAS. AF_06/2014</v>
      </c>
      <c r="F604" s="335" t="str">
        <f>IF($D604&lt;&gt;"",VLOOKUP($D604,'SINAPI MAIO 2020'!$1:$1048576,3,FALSE),"")</f>
        <v>M2</v>
      </c>
      <c r="G604" s="379">
        <v>11.44</v>
      </c>
      <c r="H604" s="583">
        <f>IF($D604&lt;&gt;"",VLOOKUP($D604,'SINAPI MAIO 2020'!$1:$1048576,4,FALSE),"")</f>
        <v>30.65</v>
      </c>
      <c r="I604" s="379">
        <f t="shared" si="98"/>
        <v>350.63</v>
      </c>
    </row>
    <row r="605" spans="2:9">
      <c r="B605" s="797" t="s">
        <v>12939</v>
      </c>
      <c r="C605" s="797"/>
      <c r="D605" s="797"/>
      <c r="E605" s="797"/>
      <c r="F605" s="797"/>
      <c r="G605" s="797"/>
      <c r="H605" s="797"/>
      <c r="I605" s="797"/>
    </row>
    <row r="606" spans="2:9">
      <c r="B606" s="543" t="s">
        <v>835</v>
      </c>
      <c r="C606" s="151" t="s">
        <v>8</v>
      </c>
      <c r="D606" s="348">
        <v>42402</v>
      </c>
      <c r="E606" s="334" t="str">
        <f>IF($D606&lt;&gt;"",VLOOKUP($D606,'SINAPI MAIO 2020'!$1:$1048576,2,FALSE),"")</f>
        <v>ACO CA-25, 16,0 MM, BARRA DE TRANSFERENCIA</v>
      </c>
      <c r="F606" s="335" t="str">
        <f>IF($D606&lt;&gt;"",VLOOKUP($D606,'SINAPI MAIO 2020'!$1:$1048576,3,FALSE),"")</f>
        <v xml:space="preserve">KG    </v>
      </c>
      <c r="G606" s="379">
        <v>6.63</v>
      </c>
      <c r="H606" s="583">
        <f>IF($D606&lt;&gt;"",VLOOKUP($D606,'SINAPI MAIO 2020'!$1:$1048576,4,FALSE),"")</f>
        <v>5.28</v>
      </c>
      <c r="I606" s="379">
        <f t="shared" ref="I606:I608" si="99">TRUNC(H606*G606,2)</f>
        <v>35</v>
      </c>
    </row>
    <row r="607" spans="2:9">
      <c r="B607" s="543" t="s">
        <v>837</v>
      </c>
      <c r="C607" s="151" t="s">
        <v>8</v>
      </c>
      <c r="D607" s="348">
        <v>88315</v>
      </c>
      <c r="E607" s="334" t="str">
        <f>IF($D607&lt;&gt;"",VLOOKUP($D607,'SINAPI MAIO 2020'!$1:$1048576,2,FALSE),"")</f>
        <v>SERRALHEIRO COM ENCARGOS COMPLEMENTARES</v>
      </c>
      <c r="F607" s="335" t="str">
        <f>IF($D607&lt;&gt;"",VLOOKUP($D607,'SINAPI MAIO 2020'!$1:$1048576,3,FALSE),"")</f>
        <v>H</v>
      </c>
      <c r="G607" s="379">
        <v>1.5</v>
      </c>
      <c r="H607" s="583">
        <f>IF($D607&lt;&gt;"",VLOOKUP($D607,'SINAPI MAIO 2020'!$1:$1048576,4,FALSE),"")</f>
        <v>17.68</v>
      </c>
      <c r="I607" s="379">
        <f t="shared" si="99"/>
        <v>26.52</v>
      </c>
    </row>
    <row r="608" spans="2:9">
      <c r="B608" s="543" t="s">
        <v>837</v>
      </c>
      <c r="C608" s="151" t="s">
        <v>8</v>
      </c>
      <c r="D608" s="348">
        <v>88251</v>
      </c>
      <c r="E608" s="334" t="str">
        <f>IF($D608&lt;&gt;"",VLOOKUP($D608,'SINAPI MAIO 2020'!$1:$1048576,2,FALSE),"")</f>
        <v>AUXILIAR DE SERRALHEIRO COM ENCARGOS COMPLEMENTARES</v>
      </c>
      <c r="F608" s="335" t="str">
        <f>IF($D608&lt;&gt;"",VLOOKUP($D608,'SINAPI MAIO 2020'!$1:$1048576,3,FALSE),"")</f>
        <v>H</v>
      </c>
      <c r="G608" s="379">
        <v>0.75</v>
      </c>
      <c r="H608" s="583">
        <f>IF($D608&lt;&gt;"",VLOOKUP($D608,'SINAPI MAIO 2020'!$1:$1048576,4,FALSE),"")</f>
        <v>14.43</v>
      </c>
      <c r="I608" s="379">
        <f t="shared" si="99"/>
        <v>10.82</v>
      </c>
    </row>
    <row r="609" spans="2:9">
      <c r="B609" s="554"/>
      <c r="C609" s="508"/>
      <c r="D609" s="508"/>
      <c r="E609" s="508"/>
      <c r="F609" s="508"/>
      <c r="G609" s="574"/>
      <c r="H609" s="574"/>
      <c r="I609" s="574"/>
    </row>
    <row r="610" spans="2:9" ht="25.5">
      <c r="B610" s="361" t="s">
        <v>12539</v>
      </c>
      <c r="C610" s="381"/>
      <c r="D610" s="381"/>
      <c r="E610" s="154" t="s">
        <v>7123</v>
      </c>
      <c r="F610" s="383" t="s">
        <v>817</v>
      </c>
      <c r="G610" s="378"/>
      <c r="H610" s="596"/>
      <c r="I610" s="582">
        <f>TRUNC(SUM(I611:I626),2)</f>
        <v>1883.73</v>
      </c>
    </row>
    <row r="611" spans="2:9">
      <c r="B611" s="797" t="s">
        <v>12974</v>
      </c>
      <c r="C611" s="797"/>
      <c r="D611" s="797"/>
      <c r="E611" s="797"/>
      <c r="F611" s="797"/>
      <c r="G611" s="797"/>
      <c r="H611" s="797"/>
      <c r="I611" s="797"/>
    </row>
    <row r="612" spans="2:9" ht="25.5">
      <c r="B612" s="543" t="s">
        <v>835</v>
      </c>
      <c r="C612" s="151" t="s">
        <v>8</v>
      </c>
      <c r="D612" s="408">
        <v>93358</v>
      </c>
      <c r="E612" s="334" t="str">
        <f>IF($D612&lt;&gt;"",VLOOKUP($D612,'SINAPI MAIO 2020'!$1:$1048576,2,FALSE),"")</f>
        <v>ESCAVAÇÃO MANUAL DE VALA COM PROFUNDIDADE MENOR OU IGUAL A 1,30 M. AF_03/2016</v>
      </c>
      <c r="F612" s="335" t="str">
        <f>IF($D612&lt;&gt;"",VLOOKUP($D612,'SINAPI MAIO 2020'!$1:$1048576,3,FALSE),"")</f>
        <v>M3</v>
      </c>
      <c r="G612" s="575">
        <v>0.31</v>
      </c>
      <c r="H612" s="583">
        <f>IF($D612&lt;&gt;"",VLOOKUP($D612,'SINAPI MAIO 2020'!$1:$1048576,4,FALSE),"")</f>
        <v>56.84</v>
      </c>
      <c r="I612" s="575">
        <f t="shared" ref="I612:I626" si="100">TRUNC(H612*G612,2)</f>
        <v>17.62</v>
      </c>
    </row>
    <row r="613" spans="2:9" ht="38.25">
      <c r="B613" s="543" t="s">
        <v>835</v>
      </c>
      <c r="C613" s="151" t="s">
        <v>8</v>
      </c>
      <c r="D613" s="408">
        <v>97084</v>
      </c>
      <c r="E613" s="334" t="str">
        <f>IF($D613&lt;&gt;"",VLOOKUP($D613,'SINAPI MAIO 2020'!$1:$1048576,2,FALSE),"")</f>
        <v>COMPACTAÇÃO MECÂNICA DE SOLO PARA EXECUÇÃO DE RADIER, COM COMPACTADOR DE SOLOS TIPO PLACA VIBRATÓRIA. AF_09/2017</v>
      </c>
      <c r="F613" s="335" t="str">
        <f>IF($D613&lt;&gt;"",VLOOKUP($D613,'SINAPI MAIO 2020'!$1:$1048576,3,FALSE),"")</f>
        <v>M2</v>
      </c>
      <c r="G613" s="575">
        <v>1.2</v>
      </c>
      <c r="H613" s="583">
        <f>IF($D613&lt;&gt;"",VLOOKUP($D613,'SINAPI MAIO 2020'!$1:$1048576,4,FALSE),"")</f>
        <v>0.45</v>
      </c>
      <c r="I613" s="575">
        <f t="shared" si="100"/>
        <v>0.54</v>
      </c>
    </row>
    <row r="614" spans="2:9" ht="56.25" customHeight="1">
      <c r="B614" s="543" t="s">
        <v>835</v>
      </c>
      <c r="C614" s="151" t="s">
        <v>8</v>
      </c>
      <c r="D614" s="408">
        <v>95240</v>
      </c>
      <c r="E614" s="334" t="str">
        <f>IF($D614&lt;&gt;"",VLOOKUP($D614,'SINAPI MAIO 2020'!$1:$1048576,2,FALSE),"")</f>
        <v>LASTRO DE CONCRETO MAGRO, APLICADO EM PISOS OU RADIERS, ESPESSURA DE 3 CM. AF_07/2016</v>
      </c>
      <c r="F614" s="335" t="str">
        <f>IF($D614&lt;&gt;"",VLOOKUP($D614,'SINAPI MAIO 2020'!$1:$1048576,3,FALSE),"")</f>
        <v>M2</v>
      </c>
      <c r="G614" s="575">
        <v>2.08</v>
      </c>
      <c r="H614" s="583">
        <f>IF($D614&lt;&gt;"",VLOOKUP($D614,'SINAPI MAIO 2020'!$1:$1048576,4,FALSE),"")</f>
        <v>12.13</v>
      </c>
      <c r="I614" s="575">
        <f t="shared" si="100"/>
        <v>25.23</v>
      </c>
    </row>
    <row r="615" spans="2:9" ht="23.25" customHeight="1">
      <c r="B615" s="543" t="s">
        <v>835</v>
      </c>
      <c r="C615" s="151" t="s">
        <v>8</v>
      </c>
      <c r="D615" s="408">
        <v>3777</v>
      </c>
      <c r="E615" s="334" t="str">
        <f>IF($D615&lt;&gt;"",VLOOKUP($D615,'SINAPI MAIO 2020'!$1:$1048576,2,FALSE),"")</f>
        <v>LONA PLASTICA PRETA, E= 150 MICRA</v>
      </c>
      <c r="F615" s="335" t="str">
        <f>IF($D615&lt;&gt;"",VLOOKUP($D615,'SINAPI MAIO 2020'!$1:$1048576,3,FALSE),"")</f>
        <v xml:space="preserve">M2    </v>
      </c>
      <c r="G615" s="575">
        <v>1.2</v>
      </c>
      <c r="H615" s="583">
        <f>IF($D615&lt;&gt;"",VLOOKUP($D615,'SINAPI MAIO 2020'!$1:$1048576,4,FALSE),"")</f>
        <v>0.92</v>
      </c>
      <c r="I615" s="575">
        <f t="shared" si="100"/>
        <v>1.1000000000000001</v>
      </c>
    </row>
    <row r="616" spans="2:9" ht="38.25">
      <c r="B616" s="543" t="s">
        <v>835</v>
      </c>
      <c r="C616" s="151" t="s">
        <v>8</v>
      </c>
      <c r="D616" s="408">
        <v>97094</v>
      </c>
      <c r="E616" s="334" t="str">
        <f>IF($D616&lt;&gt;"",VLOOKUP($D616,'SINAPI MAIO 2020'!$1:$1048576,2,FALSE),"")</f>
        <v>CONCRETAGEM DE RADIER, PISO OU LAJE SOBRE SOLO, FCK 30 MPA, PARA ESPESSURA DE 10 CM - LANÇAMENTO, ADENSAMENTO E ACABAMENTO. AF_09/2017</v>
      </c>
      <c r="F616" s="335" t="str">
        <f>IF($D616&lt;&gt;"",VLOOKUP($D616,'SINAPI MAIO 2020'!$1:$1048576,3,FALSE),"")</f>
        <v>M3</v>
      </c>
      <c r="G616" s="575">
        <v>0.31</v>
      </c>
      <c r="H616" s="583">
        <f>IF($D616&lt;&gt;"",VLOOKUP($D616,'SINAPI MAIO 2020'!$1:$1048576,4,FALSE),"")</f>
        <v>499.87</v>
      </c>
      <c r="I616" s="575">
        <f t="shared" si="100"/>
        <v>154.94999999999999</v>
      </c>
    </row>
    <row r="617" spans="2:9">
      <c r="B617" s="797" t="s">
        <v>12975</v>
      </c>
      <c r="C617" s="797"/>
      <c r="D617" s="797"/>
      <c r="E617" s="797"/>
      <c r="F617" s="797"/>
      <c r="G617" s="797"/>
      <c r="H617" s="797"/>
      <c r="I617" s="797"/>
    </row>
    <row r="618" spans="2:9" ht="51">
      <c r="B618" s="543" t="s">
        <v>835</v>
      </c>
      <c r="C618" s="151" t="s">
        <v>8</v>
      </c>
      <c r="D618" s="408">
        <v>87497</v>
      </c>
      <c r="E618" s="334" t="str">
        <f>IF($D618&lt;&gt;"",VLOOKUP($D618,'SINAPI MAIO 2020'!$1:$1048576,2,FALSE),"")</f>
        <v>ALVENARIA DE VEDAÇÃO DE BLOCOS CERÂMICOS FURADOS NA HORIZONTAL DE 11,5X19X19CM (ESPESSURA 11,5CM) DE PAREDES COM ÁREA LÍQUIDA MENOR QUE 6M² SEM VÃOS E ARGAMASSA DE ASSENTAMENTO COM PREPARO EM BETONEIRA. AF_06/2014</v>
      </c>
      <c r="F618" s="335" t="str">
        <f>IF($D618&lt;&gt;"",VLOOKUP($D618,'SINAPI MAIO 2020'!$1:$1048576,3,FALSE),"")</f>
        <v>M2</v>
      </c>
      <c r="G618" s="575">
        <v>11.44</v>
      </c>
      <c r="H618" s="583">
        <f>IF($D618&lt;&gt;"",VLOOKUP($D618,'SINAPI MAIO 2020'!$1:$1048576,4,FALSE),"")</f>
        <v>61.84</v>
      </c>
      <c r="I618" s="575">
        <f t="shared" si="100"/>
        <v>707.44</v>
      </c>
    </row>
    <row r="619" spans="2:9" ht="38.25">
      <c r="B619" s="543" t="s">
        <v>835</v>
      </c>
      <c r="C619" s="151" t="s">
        <v>8</v>
      </c>
      <c r="D619" s="408">
        <v>87878</v>
      </c>
      <c r="E619" s="334" t="str">
        <f>IF($D619&lt;&gt;"",VLOOKUP($D619,'SINAPI MAIO 2020'!$1:$1048576,2,FALSE),"")</f>
        <v>CHAPISCO APLICADO EM ALVENARIAS E ESTRUTURAS DE CONCRETO INTERNAS, COM COLHER DE PEDREIRO.  ARGAMASSA TRAÇO 1:3 COM PREPARO MANUAL. AF_06/2014</v>
      </c>
      <c r="F619" s="335" t="str">
        <f>IF($D619&lt;&gt;"",VLOOKUP($D619,'SINAPI MAIO 2020'!$1:$1048576,3,FALSE),"")</f>
        <v>M2</v>
      </c>
      <c r="G619" s="575">
        <v>11.44</v>
      </c>
      <c r="H619" s="583">
        <f>IF($D619&lt;&gt;"",VLOOKUP($D619,'SINAPI MAIO 2020'!$1:$1048576,4,FALSE),"")</f>
        <v>3.13</v>
      </c>
      <c r="I619" s="575">
        <f t="shared" si="100"/>
        <v>35.799999999999997</v>
      </c>
    </row>
    <row r="620" spans="2:9" ht="63.75">
      <c r="B620" s="543" t="s">
        <v>835</v>
      </c>
      <c r="C620" s="151" t="s">
        <v>8</v>
      </c>
      <c r="D620" s="408">
        <v>87556</v>
      </c>
      <c r="E620" s="334" t="str">
        <f>IF($D620&lt;&gt;"",VLOOKUP($D620,'SINAPI MAIO 2020'!$1:$1048576,2,FALSE),"")</f>
        <v>MASSA ÚNICA, PARA RECEBIMENTO DE PINTURA, EM ARGAMASSA INDUSTRIALIZADA, PREPARO MECÂNICO, APLICADO COM EQUIPAMENTO DE MISTURA E PROJEÇÃO DE 1,5 M3/H DE ARGAMASSA EM FACES INTERNAS DE PAREDES, ESPESSURA DE 10MM, COM EXECUÇÃO DE TALISCAS. AF_06/2014</v>
      </c>
      <c r="F620" s="335" t="str">
        <f>IF($D620&lt;&gt;"",VLOOKUP($D620,'SINAPI MAIO 2020'!$1:$1048576,3,FALSE),"")</f>
        <v>M2</v>
      </c>
      <c r="G620" s="575">
        <v>11.44</v>
      </c>
      <c r="H620" s="583">
        <f>IF($D620&lt;&gt;"",VLOOKUP($D620,'SINAPI MAIO 2020'!$1:$1048576,4,FALSE),"")</f>
        <v>30.65</v>
      </c>
      <c r="I620" s="575">
        <f t="shared" si="100"/>
        <v>350.63</v>
      </c>
    </row>
    <row r="621" spans="2:9">
      <c r="B621" s="797" t="s">
        <v>12976</v>
      </c>
      <c r="C621" s="797"/>
      <c r="D621" s="797"/>
      <c r="E621" s="797"/>
      <c r="F621" s="797"/>
      <c r="G621" s="797"/>
      <c r="H621" s="797"/>
      <c r="I621" s="797"/>
    </row>
    <row r="622" spans="2:9" ht="38.25">
      <c r="B622" s="543" t="s">
        <v>835</v>
      </c>
      <c r="C622" s="151" t="s">
        <v>8</v>
      </c>
      <c r="D622" s="408" t="s">
        <v>4412</v>
      </c>
      <c r="E622" s="334" t="str">
        <f>IF($D622&lt;&gt;"",VLOOKUP($D622,'SINAPI MAIO 2020'!$1:$1048576,2,FALSE),"")</f>
        <v>LAJE PRE-MOLD BETA 11 P/1KN/M2 VAOS 4,40M/INCL VIGOTAS TIJOLOS ARMADURA NEGATIVA CAPEAMENTO 3CM CONCRETO 20MPA ESCORAMENTO MATERIAL E MAO  DE OBRA.</v>
      </c>
      <c r="F622" s="335" t="str">
        <f>IF($D622&lt;&gt;"",VLOOKUP($D622,'SINAPI MAIO 2020'!$1:$1048576,3,FALSE),"")</f>
        <v>M2</v>
      </c>
      <c r="G622" s="575">
        <v>6.4</v>
      </c>
      <c r="H622" s="583">
        <f>IF($D622&lt;&gt;"",VLOOKUP($D622,'SINAPI MAIO 2020'!$1:$1048576,4,FALSE),"")</f>
        <v>83.29</v>
      </c>
      <c r="I622" s="575">
        <f t="shared" si="100"/>
        <v>533.04999999999995</v>
      </c>
    </row>
    <row r="623" spans="2:9">
      <c r="B623" s="797" t="s">
        <v>12977</v>
      </c>
      <c r="C623" s="797"/>
      <c r="D623" s="797"/>
      <c r="E623" s="797"/>
      <c r="F623" s="797"/>
      <c r="G623" s="797"/>
      <c r="H623" s="797"/>
      <c r="I623" s="797"/>
    </row>
    <row r="624" spans="2:9" ht="38.25">
      <c r="B624" s="543" t="s">
        <v>835</v>
      </c>
      <c r="C624" s="151" t="s">
        <v>8</v>
      </c>
      <c r="D624" s="351">
        <v>7156</v>
      </c>
      <c r="E624" s="334" t="str">
        <f>IF($D624&lt;&gt;"",VLOOKUP($D624,'SINAPI MAIO 2020'!$1:$1048576,2,FALSE),"")</f>
        <v>TELA DE ACO SOLDADA NERVURADA, CA-60, Q-196, (3,11 KG/M2), DIAMETRO DO FIO = 5,0 MM, LARGURA = 2,45 M, ESPACAMENTO DA MALHA = 10 X 10 CM</v>
      </c>
      <c r="F624" s="335" t="str">
        <f>IF($D624&lt;&gt;"",VLOOKUP($D624,'SINAPI MAIO 2020'!$1:$1048576,3,FALSE),"")</f>
        <v xml:space="preserve">M2    </v>
      </c>
      <c r="G624" s="575">
        <v>1</v>
      </c>
      <c r="H624" s="583">
        <f>IF($D624&lt;&gt;"",VLOOKUP($D624,'SINAPI MAIO 2020'!$1:$1048576,4,FALSE),"")</f>
        <v>20.03</v>
      </c>
      <c r="I624" s="575">
        <f t="shared" si="100"/>
        <v>20.03</v>
      </c>
    </row>
    <row r="625" spans="2:9">
      <c r="B625" s="543" t="s">
        <v>837</v>
      </c>
      <c r="C625" s="151" t="s">
        <v>8</v>
      </c>
      <c r="D625" s="351">
        <v>88315</v>
      </c>
      <c r="E625" s="334" t="str">
        <f>IF($D625&lt;&gt;"",VLOOKUP($D625,'SINAPI MAIO 2020'!$1:$1048576,2,FALSE),"")</f>
        <v>SERRALHEIRO COM ENCARGOS COMPLEMENTARES</v>
      </c>
      <c r="F625" s="335" t="str">
        <f>IF($D625&lt;&gt;"",VLOOKUP($D625,'SINAPI MAIO 2020'!$1:$1048576,3,FALSE),"")</f>
        <v>H</v>
      </c>
      <c r="G625" s="575">
        <v>1.5</v>
      </c>
      <c r="H625" s="583">
        <f>IF($D625&lt;&gt;"",VLOOKUP($D625,'SINAPI MAIO 2020'!$1:$1048576,4,FALSE),"")</f>
        <v>17.68</v>
      </c>
      <c r="I625" s="575">
        <f t="shared" si="100"/>
        <v>26.52</v>
      </c>
    </row>
    <row r="626" spans="2:9">
      <c r="B626" s="543" t="s">
        <v>837</v>
      </c>
      <c r="C626" s="151" t="s">
        <v>8</v>
      </c>
      <c r="D626" s="351">
        <v>88251</v>
      </c>
      <c r="E626" s="334" t="str">
        <f>IF($D626&lt;&gt;"",VLOOKUP($D626,'SINAPI MAIO 2020'!$1:$1048576,2,FALSE),"")</f>
        <v>AUXILIAR DE SERRALHEIRO COM ENCARGOS COMPLEMENTARES</v>
      </c>
      <c r="F626" s="335" t="str">
        <f>IF($D626&lt;&gt;"",VLOOKUP($D626,'SINAPI MAIO 2020'!$1:$1048576,3,FALSE),"")</f>
        <v>H</v>
      </c>
      <c r="G626" s="575">
        <v>0.75</v>
      </c>
      <c r="H626" s="583">
        <f>IF($D626&lt;&gt;"",VLOOKUP($D626,'SINAPI MAIO 2020'!$1:$1048576,4,FALSE),"")</f>
        <v>14.43</v>
      </c>
      <c r="I626" s="575">
        <f t="shared" si="100"/>
        <v>10.82</v>
      </c>
    </row>
    <row r="627" spans="2:9">
      <c r="B627" s="554"/>
      <c r="C627" s="508"/>
      <c r="D627" s="508"/>
      <c r="E627" s="508"/>
      <c r="F627" s="508"/>
      <c r="G627" s="574"/>
      <c r="H627" s="574"/>
      <c r="I627" s="574"/>
    </row>
    <row r="628" spans="2:9">
      <c r="B628" s="361" t="s">
        <v>12540</v>
      </c>
      <c r="C628" s="381"/>
      <c r="D628" s="381"/>
      <c r="E628" s="154" t="s">
        <v>7124</v>
      </c>
      <c r="F628" s="383" t="s">
        <v>817</v>
      </c>
      <c r="G628" s="378"/>
      <c r="H628" s="596"/>
      <c r="I628" s="582">
        <f>TRUNC(SUM(I629:I631),2)</f>
        <v>1485.77</v>
      </c>
    </row>
    <row r="629" spans="2:9">
      <c r="B629" s="543" t="s">
        <v>7068</v>
      </c>
      <c r="C629" s="151" t="s">
        <v>8</v>
      </c>
      <c r="D629" s="348">
        <v>88247</v>
      </c>
      <c r="E629" s="334" t="str">
        <f>IF($D629&lt;&gt;"",VLOOKUP($D629,'SINAPI MAIO 2020'!$1:$1048576,2,FALSE),"")</f>
        <v>AUXILIAR DE ELETRICISTA COM ENCARGOS COMPLEMENTARES</v>
      </c>
      <c r="F629" s="335" t="str">
        <f>IF($D629&lt;&gt;"",VLOOKUP($D629,'SINAPI MAIO 2020'!$1:$1048576,3,FALSE),"")</f>
        <v>H</v>
      </c>
      <c r="G629" s="379">
        <v>2.5</v>
      </c>
      <c r="H629" s="583">
        <f>IF($D629&lt;&gt;"",VLOOKUP($D629,'SINAPI MAIO 2020'!$1:$1048576,4,FALSE),"")</f>
        <v>14.33</v>
      </c>
      <c r="I629" s="379">
        <f t="shared" ref="I629:I630" si="101">TRUNC(H629*G629,2)</f>
        <v>35.82</v>
      </c>
    </row>
    <row r="630" spans="2:9">
      <c r="B630" s="543" t="s">
        <v>7068</v>
      </c>
      <c r="C630" s="151" t="s">
        <v>8</v>
      </c>
      <c r="D630" s="348">
        <v>88264</v>
      </c>
      <c r="E630" s="334" t="str">
        <f>IF($D630&lt;&gt;"",VLOOKUP($D630,'SINAPI MAIO 2020'!$1:$1048576,2,FALSE),"")</f>
        <v>ELETRICISTA COM ENCARGOS COMPLEMENTARES</v>
      </c>
      <c r="F630" s="335" t="str">
        <f>IF($D630&lt;&gt;"",VLOOKUP($D630,'SINAPI MAIO 2020'!$1:$1048576,3,FALSE),"")</f>
        <v>H</v>
      </c>
      <c r="G630" s="379">
        <v>2.5</v>
      </c>
      <c r="H630" s="583">
        <f>IF($D630&lt;&gt;"",VLOOKUP($D630,'SINAPI MAIO 2020'!$1:$1048576,4,FALSE),"")</f>
        <v>18.38</v>
      </c>
      <c r="I630" s="379">
        <f t="shared" si="101"/>
        <v>45.95</v>
      </c>
    </row>
    <row r="631" spans="2:9" ht="38.25">
      <c r="B631" s="543" t="s">
        <v>835</v>
      </c>
      <c r="C631" s="151" t="s">
        <v>836</v>
      </c>
      <c r="D631" s="348"/>
      <c r="E631" s="349" t="s">
        <v>7125</v>
      </c>
      <c r="F631" s="350" t="s">
        <v>35</v>
      </c>
      <c r="G631" s="379">
        <v>1</v>
      </c>
      <c r="H631" s="584">
        <v>1404</v>
      </c>
      <c r="I631" s="584">
        <f>TRUNC(H631*G631,2)</f>
        <v>1404</v>
      </c>
    </row>
    <row r="632" spans="2:9">
      <c r="B632" s="543"/>
      <c r="C632" s="151"/>
      <c r="D632" s="348"/>
      <c r="E632" s="349"/>
      <c r="F632" s="350"/>
      <c r="G632" s="379"/>
      <c r="H632" s="584"/>
      <c r="I632" s="584"/>
    </row>
    <row r="633" spans="2:9">
      <c r="B633" s="361" t="s">
        <v>12541</v>
      </c>
      <c r="C633" s="376"/>
      <c r="D633" s="376"/>
      <c r="E633" s="377" t="s">
        <v>7126</v>
      </c>
      <c r="F633" s="376" t="s">
        <v>21</v>
      </c>
      <c r="G633" s="378"/>
      <c r="H633" s="596"/>
      <c r="I633" s="582">
        <f>TRUNC(SUM(I634:I636),2)</f>
        <v>51.77</v>
      </c>
    </row>
    <row r="634" spans="2:9">
      <c r="B634" s="543" t="s">
        <v>7068</v>
      </c>
      <c r="C634" s="151" t="s">
        <v>8</v>
      </c>
      <c r="D634" s="348">
        <v>88247</v>
      </c>
      <c r="E634" s="334" t="str">
        <f>IF($D634&lt;&gt;"",VLOOKUP($D634,'SINAPI MAIO 2020'!$1:$1048576,2,FALSE),"")</f>
        <v>AUXILIAR DE ELETRICISTA COM ENCARGOS COMPLEMENTARES</v>
      </c>
      <c r="F634" s="335" t="str">
        <f>IF($D634&lt;&gt;"",VLOOKUP($D634,'SINAPI MAIO 2020'!$1:$1048576,3,FALSE),"")</f>
        <v>H</v>
      </c>
      <c r="G634" s="379">
        <v>0.3</v>
      </c>
      <c r="H634" s="583">
        <f>IF($D634&lt;&gt;"",VLOOKUP($D634,'SINAPI MAIO 2020'!$1:$1048576,4,FALSE),"")</f>
        <v>14.33</v>
      </c>
      <c r="I634" s="379">
        <f t="shared" ref="I634" si="102">TRUNC(H634*G634,2)</f>
        <v>4.29</v>
      </c>
    </row>
    <row r="635" spans="2:9">
      <c r="B635" s="543" t="s">
        <v>7068</v>
      </c>
      <c r="C635" s="151" t="s">
        <v>8</v>
      </c>
      <c r="D635" s="348">
        <v>88264</v>
      </c>
      <c r="E635" s="334" t="str">
        <f>IF($D635&lt;&gt;"",VLOOKUP($D635,'SINAPI MAIO 2020'!$1:$1048576,2,FALSE),"")</f>
        <v>ELETRICISTA COM ENCARGOS COMPLEMENTARES</v>
      </c>
      <c r="F635" s="335" t="str">
        <f>IF($D635&lt;&gt;"",VLOOKUP($D635,'SINAPI MAIO 2020'!$1:$1048576,3,FALSE),"")</f>
        <v>H</v>
      </c>
      <c r="G635" s="379">
        <v>0.3</v>
      </c>
      <c r="H635" s="583">
        <f>IF($D635&lt;&gt;"",VLOOKUP($D635,'SINAPI MAIO 2020'!$1:$1048576,4,FALSE),"")</f>
        <v>18.38</v>
      </c>
      <c r="I635" s="379">
        <f t="shared" ref="I635:I636" si="103">TRUNC(H635*G635,2)</f>
        <v>5.51</v>
      </c>
    </row>
    <row r="636" spans="2:9">
      <c r="B636" s="543" t="s">
        <v>835</v>
      </c>
      <c r="C636" s="151" t="s">
        <v>836</v>
      </c>
      <c r="D636" s="348"/>
      <c r="E636" s="349" t="s">
        <v>7127</v>
      </c>
      <c r="F636" s="350" t="s">
        <v>17</v>
      </c>
      <c r="G636" s="379">
        <v>1</v>
      </c>
      <c r="H636" s="584">
        <v>41.97</v>
      </c>
      <c r="I636" s="379">
        <f t="shared" si="103"/>
        <v>41.97</v>
      </c>
    </row>
    <row r="637" spans="2:9">
      <c r="B637" s="543"/>
      <c r="C637" s="151"/>
      <c r="D637" s="348"/>
      <c r="E637" s="349"/>
      <c r="F637" s="350"/>
      <c r="G637" s="379"/>
      <c r="H637" s="584"/>
      <c r="I637" s="584"/>
    </row>
    <row r="638" spans="2:9">
      <c r="B638" s="361" t="s">
        <v>12542</v>
      </c>
      <c r="C638" s="376"/>
      <c r="D638" s="376"/>
      <c r="E638" s="377" t="s">
        <v>7144</v>
      </c>
      <c r="F638" s="376" t="s">
        <v>7065</v>
      </c>
      <c r="G638" s="378"/>
      <c r="H638" s="596"/>
      <c r="I638" s="582">
        <f>TRUNC(SUM(I639:I641),2)</f>
        <v>47.84</v>
      </c>
    </row>
    <row r="639" spans="2:9">
      <c r="B639" s="543" t="s">
        <v>7068</v>
      </c>
      <c r="C639" s="151" t="s">
        <v>8</v>
      </c>
      <c r="D639" s="348">
        <v>88247</v>
      </c>
      <c r="E639" s="334" t="str">
        <f>IF($D639&lt;&gt;"",VLOOKUP($D639,'SINAPI MAIO 2020'!$1:$1048576,2,FALSE),"")</f>
        <v>AUXILIAR DE ELETRICISTA COM ENCARGOS COMPLEMENTARES</v>
      </c>
      <c r="F639" s="335" t="str">
        <f>IF($D639&lt;&gt;"",VLOOKUP($D639,'SINAPI MAIO 2020'!$1:$1048576,3,FALSE),"")</f>
        <v>H</v>
      </c>
      <c r="G639" s="379">
        <v>0.3</v>
      </c>
      <c r="H639" s="583">
        <f>IF($D639&lt;&gt;"",VLOOKUP($D639,'SINAPI MAIO 2020'!$1:$1048576,4,FALSE),"")</f>
        <v>14.33</v>
      </c>
      <c r="I639" s="379">
        <f t="shared" ref="I639:I641" si="104">TRUNC(H639*G639,2)</f>
        <v>4.29</v>
      </c>
    </row>
    <row r="640" spans="2:9">
      <c r="B640" s="543" t="s">
        <v>7068</v>
      </c>
      <c r="C640" s="151" t="s">
        <v>8</v>
      </c>
      <c r="D640" s="348">
        <v>88264</v>
      </c>
      <c r="E640" s="334" t="str">
        <f>IF($D640&lt;&gt;"",VLOOKUP($D640,'SINAPI MAIO 2020'!$1:$1048576,2,FALSE),"")</f>
        <v>ELETRICISTA COM ENCARGOS COMPLEMENTARES</v>
      </c>
      <c r="F640" s="335" t="str">
        <f>IF($D640&lt;&gt;"",VLOOKUP($D640,'SINAPI MAIO 2020'!$1:$1048576,3,FALSE),"")</f>
        <v>H</v>
      </c>
      <c r="G640" s="379">
        <v>0.3</v>
      </c>
      <c r="H640" s="583">
        <f>IF($D640&lt;&gt;"",VLOOKUP($D640,'SINAPI MAIO 2020'!$1:$1048576,4,FALSE),"")</f>
        <v>18.38</v>
      </c>
      <c r="I640" s="379">
        <f t="shared" si="104"/>
        <v>5.51</v>
      </c>
    </row>
    <row r="641" spans="2:9">
      <c r="B641" s="543" t="s">
        <v>835</v>
      </c>
      <c r="C641" s="151" t="s">
        <v>836</v>
      </c>
      <c r="D641" s="348"/>
      <c r="E641" s="349" t="s">
        <v>7145</v>
      </c>
      <c r="F641" s="350" t="s">
        <v>7065</v>
      </c>
      <c r="G641" s="379">
        <v>1</v>
      </c>
      <c r="H641" s="584">
        <v>38.04</v>
      </c>
      <c r="I641" s="379">
        <f t="shared" si="104"/>
        <v>38.04</v>
      </c>
    </row>
    <row r="642" spans="2:9">
      <c r="B642" s="543"/>
      <c r="C642" s="151"/>
      <c r="D642" s="348"/>
      <c r="E642" s="349"/>
      <c r="F642" s="350"/>
      <c r="G642" s="379"/>
      <c r="H642" s="584"/>
      <c r="I642" s="584"/>
    </row>
    <row r="643" spans="2:9">
      <c r="B643" s="361" t="s">
        <v>12543</v>
      </c>
      <c r="C643" s="376"/>
      <c r="D643" s="376"/>
      <c r="E643" s="377" t="s">
        <v>7128</v>
      </c>
      <c r="F643" s="376" t="s">
        <v>21</v>
      </c>
      <c r="G643" s="378"/>
      <c r="H643" s="596"/>
      <c r="I643" s="582">
        <f>TRUNC(SUM(I644:I646),2)</f>
        <v>16.8</v>
      </c>
    </row>
    <row r="644" spans="2:9">
      <c r="B644" s="543" t="s">
        <v>7068</v>
      </c>
      <c r="C644" s="151" t="s">
        <v>8</v>
      </c>
      <c r="D644" s="348">
        <v>88247</v>
      </c>
      <c r="E644" s="334" t="str">
        <f>IF($D644&lt;&gt;"",VLOOKUP($D644,'SINAPI MAIO 2020'!$1:$1048576,2,FALSE),"")</f>
        <v>AUXILIAR DE ELETRICISTA COM ENCARGOS COMPLEMENTARES</v>
      </c>
      <c r="F644" s="335" t="str">
        <f>IF($D644&lt;&gt;"",VLOOKUP($D644,'SINAPI MAIO 2020'!$1:$1048576,3,FALSE),"")</f>
        <v>H</v>
      </c>
      <c r="G644" s="379">
        <v>0.3</v>
      </c>
      <c r="H644" s="583">
        <f>IF($D644&lt;&gt;"",VLOOKUP($D644,'SINAPI MAIO 2020'!$1:$1048576,4,FALSE),"")</f>
        <v>14.33</v>
      </c>
      <c r="I644" s="379">
        <f t="shared" ref="I644:I646" si="105">TRUNC(H644*G644,2)</f>
        <v>4.29</v>
      </c>
    </row>
    <row r="645" spans="2:9">
      <c r="B645" s="543" t="s">
        <v>7068</v>
      </c>
      <c r="C645" s="151" t="s">
        <v>8</v>
      </c>
      <c r="D645" s="348">
        <v>88264</v>
      </c>
      <c r="E645" s="334" t="str">
        <f>IF($D645&lt;&gt;"",VLOOKUP($D645,'SINAPI MAIO 2020'!$1:$1048576,2,FALSE),"")</f>
        <v>ELETRICISTA COM ENCARGOS COMPLEMENTARES</v>
      </c>
      <c r="F645" s="335" t="str">
        <f>IF($D645&lt;&gt;"",VLOOKUP($D645,'SINAPI MAIO 2020'!$1:$1048576,3,FALSE),"")</f>
        <v>H</v>
      </c>
      <c r="G645" s="379">
        <v>0.3</v>
      </c>
      <c r="H645" s="583">
        <f>IF($D645&lt;&gt;"",VLOOKUP($D645,'SINAPI MAIO 2020'!$1:$1048576,4,FALSE),"")</f>
        <v>18.38</v>
      </c>
      <c r="I645" s="379">
        <f t="shared" si="105"/>
        <v>5.51</v>
      </c>
    </row>
    <row r="646" spans="2:9">
      <c r="B646" s="543" t="s">
        <v>835</v>
      </c>
      <c r="C646" s="151" t="s">
        <v>836</v>
      </c>
      <c r="D646" s="348"/>
      <c r="E646" s="349" t="s">
        <v>7129</v>
      </c>
      <c r="F646" s="350" t="s">
        <v>20</v>
      </c>
      <c r="G646" s="379">
        <v>1</v>
      </c>
      <c r="H646" s="584">
        <v>7</v>
      </c>
      <c r="I646" s="379">
        <f t="shared" si="105"/>
        <v>7</v>
      </c>
    </row>
    <row r="647" spans="2:9">
      <c r="B647" s="543"/>
      <c r="C647" s="151"/>
      <c r="D647" s="348"/>
      <c r="E647" s="349"/>
      <c r="F647" s="350"/>
      <c r="G647" s="379"/>
      <c r="H647" s="584"/>
      <c r="I647" s="584"/>
    </row>
    <row r="648" spans="2:9">
      <c r="B648" s="361" t="s">
        <v>12544</v>
      </c>
      <c r="C648" s="376"/>
      <c r="D648" s="376"/>
      <c r="E648" s="377" t="s">
        <v>7130</v>
      </c>
      <c r="F648" s="376" t="s">
        <v>21</v>
      </c>
      <c r="G648" s="378"/>
      <c r="H648" s="596"/>
      <c r="I648" s="582">
        <f>TRUNC(SUM(I649:I651),2)</f>
        <v>26.14</v>
      </c>
    </row>
    <row r="649" spans="2:9">
      <c r="B649" s="543" t="s">
        <v>7068</v>
      </c>
      <c r="C649" s="151" t="s">
        <v>8</v>
      </c>
      <c r="D649" s="348">
        <v>88247</v>
      </c>
      <c r="E649" s="334" t="str">
        <f>IF($D649&lt;&gt;"",VLOOKUP($D649,'SINAPI MAIO 2020'!$1:$1048576,2,FALSE),"")</f>
        <v>AUXILIAR DE ELETRICISTA COM ENCARGOS COMPLEMENTARES</v>
      </c>
      <c r="F649" s="335" t="str">
        <f>IF($D649&lt;&gt;"",VLOOKUP($D649,'SINAPI MAIO 2020'!$1:$1048576,3,FALSE),"")</f>
        <v>H</v>
      </c>
      <c r="G649" s="379">
        <v>0.3</v>
      </c>
      <c r="H649" s="583">
        <f>IF($D649&lt;&gt;"",VLOOKUP($D649,'SINAPI MAIO 2020'!$1:$1048576,4,FALSE),"")</f>
        <v>14.33</v>
      </c>
      <c r="I649" s="379">
        <f t="shared" ref="I649:I650" si="106">TRUNC(H649*G649,2)</f>
        <v>4.29</v>
      </c>
    </row>
    <row r="650" spans="2:9">
      <c r="B650" s="543" t="s">
        <v>7068</v>
      </c>
      <c r="C650" s="151" t="s">
        <v>8</v>
      </c>
      <c r="D650" s="348">
        <v>88264</v>
      </c>
      <c r="E650" s="334" t="str">
        <f>IF($D650&lt;&gt;"",VLOOKUP($D650,'SINAPI MAIO 2020'!$1:$1048576,2,FALSE),"")</f>
        <v>ELETRICISTA COM ENCARGOS COMPLEMENTARES</v>
      </c>
      <c r="F650" s="335" t="str">
        <f>IF($D650&lt;&gt;"",VLOOKUP($D650,'SINAPI MAIO 2020'!$1:$1048576,3,FALSE),"")</f>
        <v>H</v>
      </c>
      <c r="G650" s="379">
        <v>0.3</v>
      </c>
      <c r="H650" s="583">
        <f>IF($D650&lt;&gt;"",VLOOKUP($D650,'SINAPI MAIO 2020'!$1:$1048576,4,FALSE),"")</f>
        <v>18.38</v>
      </c>
      <c r="I650" s="379">
        <f t="shared" si="106"/>
        <v>5.51</v>
      </c>
    </row>
    <row r="651" spans="2:9" ht="25.5">
      <c r="B651" s="543" t="s">
        <v>835</v>
      </c>
      <c r="C651" s="151" t="s">
        <v>8</v>
      </c>
      <c r="D651" s="348">
        <v>41954</v>
      </c>
      <c r="E651" s="334" t="str">
        <f>IF($D651&lt;&gt;"",VLOOKUP($D651,'SINAPI MAIO 2020'!$1:$1048576,2,FALSE),"")</f>
        <v>CABO DE ACO GALVANIZADO, DIAMETRO 9,53 MM (3/8"), COM ALMA DE FIBRA 6 X 25 F</v>
      </c>
      <c r="F651" s="335" t="str">
        <f>IF($D651&lt;&gt;"",VLOOKUP($D651,'SINAPI MAIO 2020'!$1:$1048576,3,FALSE),"")</f>
        <v xml:space="preserve">KG    </v>
      </c>
      <c r="G651" s="379">
        <v>0.38</v>
      </c>
      <c r="H651" s="583">
        <f>IF($D651&lt;&gt;"",VLOOKUP($D651,'SINAPI MAIO 2020'!$1:$1048576,4,FALSE),"")</f>
        <v>43.02</v>
      </c>
      <c r="I651" s="379">
        <f t="shared" ref="I651" si="107">TRUNC(H651*G651,2)</f>
        <v>16.34</v>
      </c>
    </row>
    <row r="652" spans="2:9">
      <c r="B652" s="543"/>
      <c r="C652" s="151"/>
      <c r="D652" s="348"/>
      <c r="E652" s="349"/>
      <c r="F652" s="350"/>
      <c r="G652" s="379"/>
      <c r="H652" s="584"/>
      <c r="I652" s="584"/>
    </row>
    <row r="653" spans="2:9">
      <c r="B653" s="361" t="s">
        <v>12545</v>
      </c>
      <c r="C653" s="376"/>
      <c r="D653" s="376"/>
      <c r="E653" s="377" t="s">
        <v>7131</v>
      </c>
      <c r="F653" s="376" t="s">
        <v>817</v>
      </c>
      <c r="G653" s="378"/>
      <c r="H653" s="596"/>
      <c r="I653" s="582">
        <f>TRUNC(SUM(I654:I657),2)</f>
        <v>32.01</v>
      </c>
    </row>
    <row r="654" spans="2:9">
      <c r="B654" s="543" t="s">
        <v>7068</v>
      </c>
      <c r="C654" s="151" t="s">
        <v>8</v>
      </c>
      <c r="D654" s="348">
        <v>88247</v>
      </c>
      <c r="E654" s="334" t="str">
        <f>IF($D654&lt;&gt;"",VLOOKUP($D654,'SINAPI MAIO 2020'!$1:$1048576,2,FALSE),"")</f>
        <v>AUXILIAR DE ELETRICISTA COM ENCARGOS COMPLEMENTARES</v>
      </c>
      <c r="F654" s="335" t="str">
        <f>IF($D654&lt;&gt;"",VLOOKUP($D654,'SINAPI MAIO 2020'!$1:$1048576,3,FALSE),"")</f>
        <v>H</v>
      </c>
      <c r="G654" s="379">
        <v>0.3</v>
      </c>
      <c r="H654" s="583">
        <f>IF($D654&lt;&gt;"",VLOOKUP($D654,'SINAPI MAIO 2020'!$1:$1048576,4,FALSE),"")</f>
        <v>14.33</v>
      </c>
      <c r="I654" s="379">
        <f t="shared" ref="I654:I657" si="108">TRUNC(H654*G654,2)</f>
        <v>4.29</v>
      </c>
    </row>
    <row r="655" spans="2:9">
      <c r="B655" s="543" t="s">
        <v>7068</v>
      </c>
      <c r="C655" s="151" t="s">
        <v>8</v>
      </c>
      <c r="D655" s="348">
        <v>88264</v>
      </c>
      <c r="E655" s="334" t="str">
        <f>IF($D655&lt;&gt;"",VLOOKUP($D655,'SINAPI MAIO 2020'!$1:$1048576,2,FALSE),"")</f>
        <v>ELETRICISTA COM ENCARGOS COMPLEMENTARES</v>
      </c>
      <c r="F655" s="335" t="str">
        <f>IF($D655&lt;&gt;"",VLOOKUP($D655,'SINAPI MAIO 2020'!$1:$1048576,3,FALSE),"")</f>
        <v>H</v>
      </c>
      <c r="G655" s="379">
        <v>0.3</v>
      </c>
      <c r="H655" s="583">
        <f>IF($D655&lt;&gt;"",VLOOKUP($D655,'SINAPI MAIO 2020'!$1:$1048576,4,FALSE),"")</f>
        <v>18.38</v>
      </c>
      <c r="I655" s="379">
        <f t="shared" si="108"/>
        <v>5.51</v>
      </c>
    </row>
    <row r="656" spans="2:9">
      <c r="B656" s="543" t="s">
        <v>835</v>
      </c>
      <c r="C656" s="151" t="s">
        <v>836</v>
      </c>
      <c r="D656" s="348"/>
      <c r="E656" s="349" t="s">
        <v>7132</v>
      </c>
      <c r="F656" s="350" t="s">
        <v>817</v>
      </c>
      <c r="G656" s="379">
        <v>1</v>
      </c>
      <c r="H656" s="584">
        <v>2.21</v>
      </c>
      <c r="I656" s="379">
        <f t="shared" si="108"/>
        <v>2.21</v>
      </c>
    </row>
    <row r="657" spans="2:9">
      <c r="B657" s="543" t="s">
        <v>835</v>
      </c>
      <c r="C657" s="151" t="s">
        <v>836</v>
      </c>
      <c r="D657" s="348"/>
      <c r="E657" s="349" t="s">
        <v>7133</v>
      </c>
      <c r="F657" s="350" t="s">
        <v>817</v>
      </c>
      <c r="G657" s="379">
        <v>4</v>
      </c>
      <c r="H657" s="584">
        <v>5</v>
      </c>
      <c r="I657" s="379">
        <f t="shared" si="108"/>
        <v>20</v>
      </c>
    </row>
    <row r="658" spans="2:9">
      <c r="B658" s="543"/>
      <c r="C658" s="151"/>
      <c r="D658" s="348"/>
      <c r="E658" s="349"/>
      <c r="F658" s="350"/>
      <c r="G658" s="379"/>
      <c r="H658" s="584"/>
      <c r="I658" s="584"/>
    </row>
    <row r="659" spans="2:9" ht="25.5">
      <c r="B659" s="361" t="s">
        <v>12546</v>
      </c>
      <c r="C659" s="376"/>
      <c r="D659" s="376"/>
      <c r="E659" s="377" t="s">
        <v>7134</v>
      </c>
      <c r="F659" s="376" t="s">
        <v>817</v>
      </c>
      <c r="G659" s="378"/>
      <c r="H659" s="596"/>
      <c r="I659" s="582">
        <f>TRUNC(SUM(I660:I662),2)</f>
        <v>2663.55</v>
      </c>
    </row>
    <row r="660" spans="2:9" ht="25.5">
      <c r="B660" s="543" t="s">
        <v>835</v>
      </c>
      <c r="C660" s="151" t="s">
        <v>836</v>
      </c>
      <c r="D660" s="348"/>
      <c r="E660" s="349" t="s">
        <v>7135</v>
      </c>
      <c r="F660" s="350" t="s">
        <v>817</v>
      </c>
      <c r="G660" s="379">
        <v>1</v>
      </c>
      <c r="H660" s="584">
        <v>2500</v>
      </c>
      <c r="I660" s="584">
        <f>TRUNC(H660*G660,2)</f>
        <v>2500</v>
      </c>
    </row>
    <row r="661" spans="2:9">
      <c r="B661" s="543" t="s">
        <v>7068</v>
      </c>
      <c r="C661" s="151" t="s">
        <v>8</v>
      </c>
      <c r="D661" s="348">
        <v>88264</v>
      </c>
      <c r="E661" s="334" t="str">
        <f>IF($D661&lt;&gt;"",VLOOKUP($D661,'SINAPI MAIO 2020'!$1:$1048576,2,FALSE),"")</f>
        <v>ELETRICISTA COM ENCARGOS COMPLEMENTARES</v>
      </c>
      <c r="F661" s="335" t="str">
        <f>IF($D661&lt;&gt;"",VLOOKUP($D661,'SINAPI MAIO 2020'!$1:$1048576,3,FALSE),"")</f>
        <v>H</v>
      </c>
      <c r="G661" s="379">
        <v>5</v>
      </c>
      <c r="H661" s="583">
        <f>IF($D661&lt;&gt;"",VLOOKUP($D661,'SINAPI MAIO 2020'!$1:$1048576,4,FALSE),"")</f>
        <v>18.38</v>
      </c>
      <c r="I661" s="379">
        <f t="shared" ref="I661:I662" si="109">TRUNC(H661*G661,2)</f>
        <v>91.9</v>
      </c>
    </row>
    <row r="662" spans="2:9">
      <c r="B662" s="543" t="s">
        <v>7068</v>
      </c>
      <c r="C662" s="151" t="s">
        <v>8</v>
      </c>
      <c r="D662" s="348">
        <v>88247</v>
      </c>
      <c r="E662" s="334" t="str">
        <f>IF($D662&lt;&gt;"",VLOOKUP($D662,'SINAPI MAIO 2020'!$1:$1048576,2,FALSE),"")</f>
        <v>AUXILIAR DE ELETRICISTA COM ENCARGOS COMPLEMENTARES</v>
      </c>
      <c r="F662" s="335" t="str">
        <f>IF($D662&lt;&gt;"",VLOOKUP($D662,'SINAPI MAIO 2020'!$1:$1048576,3,FALSE),"")</f>
        <v>H</v>
      </c>
      <c r="G662" s="379">
        <v>5</v>
      </c>
      <c r="H662" s="583">
        <f>IF($D662&lt;&gt;"",VLOOKUP($D662,'SINAPI MAIO 2020'!$1:$1048576,4,FALSE),"")</f>
        <v>14.33</v>
      </c>
      <c r="I662" s="379">
        <f t="shared" si="109"/>
        <v>71.650000000000006</v>
      </c>
    </row>
    <row r="663" spans="2:9">
      <c r="B663" s="543"/>
      <c r="C663" s="151"/>
      <c r="D663" s="348"/>
      <c r="E663" s="349"/>
      <c r="F663" s="350"/>
      <c r="G663" s="379"/>
      <c r="H663" s="584"/>
      <c r="I663" s="584"/>
    </row>
    <row r="664" spans="2:9">
      <c r="B664" s="361" t="s">
        <v>12547</v>
      </c>
      <c r="C664" s="376"/>
      <c r="D664" s="376"/>
      <c r="E664" s="377" t="s">
        <v>7136</v>
      </c>
      <c r="F664" s="376" t="s">
        <v>1002</v>
      </c>
      <c r="G664" s="378"/>
      <c r="H664" s="596"/>
      <c r="I664" s="582">
        <f>TRUNC(SUM(I665:I667),2)</f>
        <v>10.02</v>
      </c>
    </row>
    <row r="665" spans="2:9">
      <c r="B665" s="543" t="s">
        <v>7068</v>
      </c>
      <c r="C665" s="151" t="s">
        <v>8</v>
      </c>
      <c r="D665" s="348">
        <v>88247</v>
      </c>
      <c r="E665" s="334" t="str">
        <f>IF($D665&lt;&gt;"",VLOOKUP($D665,'SINAPI MAIO 2020'!$1:$1048576,2,FALSE),"")</f>
        <v>AUXILIAR DE ELETRICISTA COM ENCARGOS COMPLEMENTARES</v>
      </c>
      <c r="F665" s="335" t="str">
        <f>IF($D665&lt;&gt;"",VLOOKUP($D665,'SINAPI MAIO 2020'!$1:$1048576,3,FALSE),"")</f>
        <v>H</v>
      </c>
      <c r="G665" s="379">
        <v>0.3</v>
      </c>
      <c r="H665" s="583">
        <f>IF($D665&lt;&gt;"",VLOOKUP($D665,'SINAPI MAIO 2020'!$1:$1048576,4,FALSE),"")</f>
        <v>14.33</v>
      </c>
      <c r="I665" s="379">
        <f t="shared" ref="I665:I666" si="110">TRUNC(H665*G665,2)</f>
        <v>4.29</v>
      </c>
    </row>
    <row r="666" spans="2:9">
      <c r="B666" s="543" t="s">
        <v>7068</v>
      </c>
      <c r="C666" s="151" t="s">
        <v>8</v>
      </c>
      <c r="D666" s="348">
        <v>88264</v>
      </c>
      <c r="E666" s="334" t="str">
        <f>IF($D666&lt;&gt;"",VLOOKUP($D666,'SINAPI MAIO 2020'!$1:$1048576,2,FALSE),"")</f>
        <v>ELETRICISTA COM ENCARGOS COMPLEMENTARES</v>
      </c>
      <c r="F666" s="335" t="str">
        <f>IF($D666&lt;&gt;"",VLOOKUP($D666,'SINAPI MAIO 2020'!$1:$1048576,3,FALSE),"")</f>
        <v>H</v>
      </c>
      <c r="G666" s="379">
        <v>0.3</v>
      </c>
      <c r="H666" s="583">
        <f>IF($D666&lt;&gt;"",VLOOKUP($D666,'SINAPI MAIO 2020'!$1:$1048576,4,FALSE),"")</f>
        <v>18.38</v>
      </c>
      <c r="I666" s="379">
        <f t="shared" si="110"/>
        <v>5.51</v>
      </c>
    </row>
    <row r="667" spans="2:9">
      <c r="B667" s="543" t="s">
        <v>835</v>
      </c>
      <c r="C667" s="151" t="s">
        <v>8</v>
      </c>
      <c r="D667" s="348">
        <v>339</v>
      </c>
      <c r="E667" s="334" t="str">
        <f>IF($D667&lt;&gt;"",VLOOKUP($D667,'SINAPI MAIO 2020'!$1:$1048576,2,FALSE),"")</f>
        <v>ARAME FARPADO GALVANIZADO, 14 BWG (2,11 MM), CLASSE 250</v>
      </c>
      <c r="F667" s="335" t="str">
        <f>IF($D667&lt;&gt;"",VLOOKUP($D667,'SINAPI MAIO 2020'!$1:$1048576,3,FALSE),"")</f>
        <v xml:space="preserve">M     </v>
      </c>
      <c r="G667" s="379">
        <v>0.27200000000000002</v>
      </c>
      <c r="H667" s="583">
        <f>IF($D667&lt;&gt;"",VLOOKUP($D667,'SINAPI MAIO 2020'!$1:$1048576,4,FALSE),"")</f>
        <v>0.83</v>
      </c>
      <c r="I667" s="379">
        <f t="shared" ref="I667" si="111">TRUNC(H667*G667,2)</f>
        <v>0.22</v>
      </c>
    </row>
    <row r="668" spans="2:9">
      <c r="B668" s="543"/>
      <c r="C668" s="151"/>
      <c r="D668" s="348"/>
      <c r="E668" s="349"/>
      <c r="F668" s="350"/>
      <c r="G668" s="379"/>
      <c r="H668" s="584"/>
      <c r="I668" s="584"/>
    </row>
    <row r="669" spans="2:9">
      <c r="B669" s="361" t="s">
        <v>12548</v>
      </c>
      <c r="C669" s="376"/>
      <c r="D669" s="376"/>
      <c r="E669" s="377" t="s">
        <v>7137</v>
      </c>
      <c r="F669" s="376" t="s">
        <v>817</v>
      </c>
      <c r="G669" s="378"/>
      <c r="H669" s="596"/>
      <c r="I669" s="582">
        <f>TRUNC(SUM(I670:I672),2)</f>
        <v>106.79</v>
      </c>
    </row>
    <row r="670" spans="2:9">
      <c r="B670" s="543" t="s">
        <v>7068</v>
      </c>
      <c r="C670" s="151" t="s">
        <v>8</v>
      </c>
      <c r="D670" s="348">
        <v>88247</v>
      </c>
      <c r="E670" s="334" t="str">
        <f>IF($D670&lt;&gt;"",VLOOKUP($D670,'SINAPI MAIO 2020'!$1:$1048576,2,FALSE),"")</f>
        <v>AUXILIAR DE ELETRICISTA COM ENCARGOS COMPLEMENTARES</v>
      </c>
      <c r="F670" s="335" t="str">
        <f>IF($D670&lt;&gt;"",VLOOKUP($D670,'SINAPI MAIO 2020'!$1:$1048576,3,FALSE),"")</f>
        <v>H</v>
      </c>
      <c r="G670" s="379">
        <v>0.3</v>
      </c>
      <c r="H670" s="583">
        <f>IF($D670&lt;&gt;"",VLOOKUP($D670,'SINAPI MAIO 2020'!$1:$1048576,4,FALSE),"")</f>
        <v>14.33</v>
      </c>
      <c r="I670" s="379">
        <f t="shared" ref="I670:I671" si="112">TRUNC(H670*G670,2)</f>
        <v>4.29</v>
      </c>
    </row>
    <row r="671" spans="2:9">
      <c r="B671" s="543" t="s">
        <v>7068</v>
      </c>
      <c r="C671" s="151" t="s">
        <v>8</v>
      </c>
      <c r="D671" s="348">
        <v>88264</v>
      </c>
      <c r="E671" s="334" t="str">
        <f>IF($D671&lt;&gt;"",VLOOKUP($D671,'SINAPI MAIO 2020'!$1:$1048576,2,FALSE),"")</f>
        <v>ELETRICISTA COM ENCARGOS COMPLEMENTARES</v>
      </c>
      <c r="F671" s="335" t="str">
        <f>IF($D671&lt;&gt;"",VLOOKUP($D671,'SINAPI MAIO 2020'!$1:$1048576,3,FALSE),"")</f>
        <v>H</v>
      </c>
      <c r="G671" s="379">
        <v>0.3</v>
      </c>
      <c r="H671" s="583">
        <f>IF($D671&lt;&gt;"",VLOOKUP($D671,'SINAPI MAIO 2020'!$1:$1048576,4,FALSE),"")</f>
        <v>18.38</v>
      </c>
      <c r="I671" s="379">
        <f t="shared" si="112"/>
        <v>5.51</v>
      </c>
    </row>
    <row r="672" spans="2:9">
      <c r="B672" s="543" t="s">
        <v>835</v>
      </c>
      <c r="C672" s="151" t="s">
        <v>836</v>
      </c>
      <c r="D672" s="348"/>
      <c r="E672" s="334" t="s">
        <v>7138</v>
      </c>
      <c r="F672" s="335" t="s">
        <v>817</v>
      </c>
      <c r="G672" s="379">
        <v>1</v>
      </c>
      <c r="H672" s="584">
        <v>96.99</v>
      </c>
      <c r="I672" s="584">
        <f>TRUNC(H672*G672,2)</f>
        <v>96.99</v>
      </c>
    </row>
    <row r="673" spans="2:9">
      <c r="B673" s="543"/>
      <c r="C673" s="151"/>
      <c r="D673" s="348"/>
      <c r="E673" s="349"/>
      <c r="F673" s="350"/>
      <c r="G673" s="379"/>
      <c r="H673" s="584"/>
      <c r="I673" s="584"/>
    </row>
    <row r="674" spans="2:9">
      <c r="B674" s="361" t="s">
        <v>12549</v>
      </c>
      <c r="C674" s="376"/>
      <c r="D674" s="376"/>
      <c r="E674" s="377" t="s">
        <v>7139</v>
      </c>
      <c r="F674" s="376" t="s">
        <v>817</v>
      </c>
      <c r="G674" s="378"/>
      <c r="H674" s="596"/>
      <c r="I674" s="582">
        <f>TRUNC(SUM(I675:I677),2)</f>
        <v>15.29</v>
      </c>
    </row>
    <row r="675" spans="2:9">
      <c r="B675" s="543" t="s">
        <v>7068</v>
      </c>
      <c r="C675" s="151" t="s">
        <v>8</v>
      </c>
      <c r="D675" s="348">
        <v>88247</v>
      </c>
      <c r="E675" s="334" t="str">
        <f>IF($D675&lt;&gt;"",VLOOKUP($D675,'SINAPI MAIO 2020'!$1:$1048576,2,FALSE),"")</f>
        <v>AUXILIAR DE ELETRICISTA COM ENCARGOS COMPLEMENTARES</v>
      </c>
      <c r="F675" s="335" t="str">
        <f>IF($D675&lt;&gt;"",VLOOKUP($D675,'SINAPI MAIO 2020'!$1:$1048576,3,FALSE),"")</f>
        <v>H</v>
      </c>
      <c r="G675" s="379">
        <v>0.1</v>
      </c>
      <c r="H675" s="583">
        <f>IF($D675&lt;&gt;"",VLOOKUP($D675,'SINAPI MAIO 2020'!$1:$1048576,4,FALSE),"")</f>
        <v>14.33</v>
      </c>
      <c r="I675" s="379">
        <f t="shared" ref="I675:I676" si="113">TRUNC(H675*G675,2)</f>
        <v>1.43</v>
      </c>
    </row>
    <row r="676" spans="2:9">
      <c r="B676" s="543" t="s">
        <v>7068</v>
      </c>
      <c r="C676" s="151" t="s">
        <v>8</v>
      </c>
      <c r="D676" s="348">
        <v>88264</v>
      </c>
      <c r="E676" s="334" t="str">
        <f>IF($D676&lt;&gt;"",VLOOKUP($D676,'SINAPI MAIO 2020'!$1:$1048576,2,FALSE),"")</f>
        <v>ELETRICISTA COM ENCARGOS COMPLEMENTARES</v>
      </c>
      <c r="F676" s="335" t="str">
        <f>IF($D676&lt;&gt;"",VLOOKUP($D676,'SINAPI MAIO 2020'!$1:$1048576,3,FALSE),"")</f>
        <v>H</v>
      </c>
      <c r="G676" s="379">
        <v>0.1</v>
      </c>
      <c r="H676" s="583">
        <f>IF($D676&lt;&gt;"",VLOOKUP($D676,'SINAPI MAIO 2020'!$1:$1048576,4,FALSE),"")</f>
        <v>18.38</v>
      </c>
      <c r="I676" s="379">
        <f t="shared" si="113"/>
        <v>1.83</v>
      </c>
    </row>
    <row r="677" spans="2:9">
      <c r="B677" s="543" t="s">
        <v>835</v>
      </c>
      <c r="C677" s="151" t="s">
        <v>836</v>
      </c>
      <c r="D677" s="348"/>
      <c r="E677" s="349" t="s">
        <v>7139</v>
      </c>
      <c r="F677" s="350" t="s">
        <v>7065</v>
      </c>
      <c r="G677" s="379">
        <v>1</v>
      </c>
      <c r="H677" s="584">
        <v>12.03</v>
      </c>
      <c r="I677" s="584">
        <f>TRUNC(H677*G677,2)</f>
        <v>12.03</v>
      </c>
    </row>
    <row r="678" spans="2:9">
      <c r="B678" s="543"/>
      <c r="C678" s="151"/>
      <c r="D678" s="348"/>
      <c r="E678" s="349"/>
      <c r="F678" s="350"/>
      <c r="G678" s="379"/>
      <c r="H678" s="584"/>
      <c r="I678" s="584"/>
    </row>
    <row r="679" spans="2:9">
      <c r="B679" s="361" t="s">
        <v>12550</v>
      </c>
      <c r="C679" s="376"/>
      <c r="D679" s="376"/>
      <c r="E679" s="377" t="s">
        <v>7140</v>
      </c>
      <c r="F679" s="376" t="s">
        <v>817</v>
      </c>
      <c r="G679" s="378"/>
      <c r="H679" s="596"/>
      <c r="I679" s="582">
        <f>TRUNC(SUM(I680:I682),2)</f>
        <v>52.48</v>
      </c>
    </row>
    <row r="680" spans="2:9">
      <c r="B680" s="543" t="s">
        <v>7068</v>
      </c>
      <c r="C680" s="151" t="s">
        <v>8</v>
      </c>
      <c r="D680" s="348">
        <v>88247</v>
      </c>
      <c r="E680" s="334" t="str">
        <f>IF($D680&lt;&gt;"",VLOOKUP($D680,'SINAPI MAIO 2020'!$1:$1048576,2,FALSE),"")</f>
        <v>AUXILIAR DE ELETRICISTA COM ENCARGOS COMPLEMENTARES</v>
      </c>
      <c r="F680" s="335" t="str">
        <f>IF($D680&lt;&gt;"",VLOOKUP($D680,'SINAPI MAIO 2020'!$1:$1048576,3,FALSE),"")</f>
        <v>H</v>
      </c>
      <c r="G680" s="379">
        <v>0.5</v>
      </c>
      <c r="H680" s="583">
        <f>IF($D680&lt;&gt;"",VLOOKUP($D680,'SINAPI MAIO 2020'!$1:$1048576,4,FALSE),"")</f>
        <v>14.33</v>
      </c>
      <c r="I680" s="379">
        <f t="shared" ref="I680:I681" si="114">TRUNC(H680*G680,2)</f>
        <v>7.16</v>
      </c>
    </row>
    <row r="681" spans="2:9">
      <c r="B681" s="543" t="s">
        <v>7068</v>
      </c>
      <c r="C681" s="151" t="s">
        <v>8</v>
      </c>
      <c r="D681" s="348">
        <v>88264</v>
      </c>
      <c r="E681" s="334" t="str">
        <f>IF($D681&lt;&gt;"",VLOOKUP($D681,'SINAPI MAIO 2020'!$1:$1048576,2,FALSE),"")</f>
        <v>ELETRICISTA COM ENCARGOS COMPLEMENTARES</v>
      </c>
      <c r="F681" s="335" t="str">
        <f>IF($D681&lt;&gt;"",VLOOKUP($D681,'SINAPI MAIO 2020'!$1:$1048576,3,FALSE),"")</f>
        <v>H</v>
      </c>
      <c r="G681" s="379">
        <v>0.5</v>
      </c>
      <c r="H681" s="583">
        <f>IF($D681&lt;&gt;"",VLOOKUP($D681,'SINAPI MAIO 2020'!$1:$1048576,4,FALSE),"")</f>
        <v>18.38</v>
      </c>
      <c r="I681" s="379">
        <f t="shared" si="114"/>
        <v>9.19</v>
      </c>
    </row>
    <row r="682" spans="2:9" ht="38.25">
      <c r="B682" s="543" t="s">
        <v>835</v>
      </c>
      <c r="C682" s="151" t="s">
        <v>8</v>
      </c>
      <c r="D682" s="348">
        <v>3380</v>
      </c>
      <c r="E682" s="334" t="str">
        <f>IF($D682&lt;&gt;"",VLOOKUP($D682,'SINAPI MAIO 2020'!$1:$1048576,2,FALSE),"")</f>
        <v>!EM PROCESSO DE DESATIVACAO! HASTE DE ATERRAMENTO EM ACO COM 3,00 M DE COMPRIMENTO E DN = 5/8", REVESTIDA COM BAIXA CAMADA DE COBRE, COM CONECTOR TIPO GRAMPO</v>
      </c>
      <c r="F682" s="335" t="str">
        <f>IF($D682&lt;&gt;"",VLOOKUP($D682,'SINAPI MAIO 2020'!$1:$1048576,3,FALSE),"")</f>
        <v xml:space="preserve">UN    </v>
      </c>
      <c r="G682" s="379">
        <v>1</v>
      </c>
      <c r="H682" s="583">
        <f>IF($D682&lt;&gt;"",VLOOKUP($D682,'SINAPI MAIO 2020'!$1:$1048576,4,FALSE),"")</f>
        <v>36.130000000000003</v>
      </c>
      <c r="I682" s="379">
        <f t="shared" ref="I682" si="115">TRUNC(H682*G682,2)</f>
        <v>36.130000000000003</v>
      </c>
    </row>
    <row r="683" spans="2:9">
      <c r="B683" s="543"/>
      <c r="C683" s="151"/>
      <c r="D683" s="348"/>
      <c r="E683" s="349"/>
      <c r="F683" s="350"/>
      <c r="G683" s="379"/>
      <c r="H683" s="584"/>
      <c r="I683" s="584"/>
    </row>
    <row r="684" spans="2:9">
      <c r="B684" s="361" t="s">
        <v>12551</v>
      </c>
      <c r="C684" s="376"/>
      <c r="D684" s="376"/>
      <c r="E684" s="377" t="s">
        <v>7148</v>
      </c>
      <c r="F684" s="376" t="s">
        <v>1002</v>
      </c>
      <c r="G684" s="378"/>
      <c r="H684" s="596"/>
      <c r="I684" s="582">
        <f>TRUNC(SUM(I685:I687),2)</f>
        <v>46.8</v>
      </c>
    </row>
    <row r="685" spans="2:9">
      <c r="B685" s="543" t="s">
        <v>7068</v>
      </c>
      <c r="C685" s="151" t="s">
        <v>8</v>
      </c>
      <c r="D685" s="348">
        <v>88247</v>
      </c>
      <c r="E685" s="334" t="str">
        <f>IF($D685&lt;&gt;"",VLOOKUP($D685,'SINAPI MAIO 2020'!$1:$1048576,2,FALSE),"")</f>
        <v>AUXILIAR DE ELETRICISTA COM ENCARGOS COMPLEMENTARES</v>
      </c>
      <c r="F685" s="335" t="str">
        <f>IF($D685&lt;&gt;"",VLOOKUP($D685,'SINAPI MAIO 2020'!$1:$1048576,3,FALSE),"")</f>
        <v>H</v>
      </c>
      <c r="G685" s="379">
        <v>0.6</v>
      </c>
      <c r="H685" s="583">
        <f>IF($D685&lt;&gt;"",VLOOKUP($D685,'SINAPI MAIO 2020'!$1:$1048576,4,FALSE),"")</f>
        <v>14.33</v>
      </c>
      <c r="I685" s="379">
        <f t="shared" ref="I685:I687" si="116">TRUNC(H685*G685,2)</f>
        <v>8.59</v>
      </c>
    </row>
    <row r="686" spans="2:9">
      <c r="B686" s="543" t="s">
        <v>7068</v>
      </c>
      <c r="C686" s="151" t="s">
        <v>8</v>
      </c>
      <c r="D686" s="348">
        <v>88264</v>
      </c>
      <c r="E686" s="334" t="str">
        <f>IF($D686&lt;&gt;"",VLOOKUP($D686,'SINAPI MAIO 2020'!$1:$1048576,2,FALSE),"")</f>
        <v>ELETRICISTA COM ENCARGOS COMPLEMENTARES</v>
      </c>
      <c r="F686" s="335" t="str">
        <f>IF($D686&lt;&gt;"",VLOOKUP($D686,'SINAPI MAIO 2020'!$1:$1048576,3,FALSE),"")</f>
        <v>H</v>
      </c>
      <c r="G686" s="379">
        <v>0.6</v>
      </c>
      <c r="H686" s="583">
        <f>IF($D686&lt;&gt;"",VLOOKUP($D686,'SINAPI MAIO 2020'!$1:$1048576,4,FALSE),"")</f>
        <v>18.38</v>
      </c>
      <c r="I686" s="379">
        <f t="shared" si="116"/>
        <v>11.02</v>
      </c>
    </row>
    <row r="687" spans="2:9">
      <c r="B687" s="543" t="s">
        <v>835</v>
      </c>
      <c r="C687" s="151" t="s">
        <v>8</v>
      </c>
      <c r="D687" s="348">
        <v>867</v>
      </c>
      <c r="E687" s="334" t="str">
        <f>IF($D687&lt;&gt;"",VLOOKUP($D687,'SINAPI MAIO 2020'!$1:$1048576,2,FALSE),"")</f>
        <v>CABO DE COBRE NU 50 MM2 MEIO-DURO</v>
      </c>
      <c r="F687" s="335" t="str">
        <f>IF($D687&lt;&gt;"",VLOOKUP($D687,'SINAPI MAIO 2020'!$1:$1048576,3,FALSE),"")</f>
        <v xml:space="preserve">M     </v>
      </c>
      <c r="G687" s="379">
        <v>1</v>
      </c>
      <c r="H687" s="583">
        <f>IF($D687&lt;&gt;"",VLOOKUP($D687,'SINAPI MAIO 2020'!$1:$1048576,4,FALSE),"")</f>
        <v>27.19</v>
      </c>
      <c r="I687" s="379">
        <f t="shared" si="116"/>
        <v>27.19</v>
      </c>
    </row>
    <row r="688" spans="2:9">
      <c r="B688" s="543"/>
      <c r="C688" s="151"/>
      <c r="D688" s="348"/>
      <c r="E688" s="349"/>
      <c r="F688" s="350"/>
      <c r="G688" s="379"/>
      <c r="H688" s="584"/>
      <c r="I688" s="584"/>
    </row>
    <row r="689" spans="2:9">
      <c r="B689" s="361" t="s">
        <v>12552</v>
      </c>
      <c r="C689" s="381"/>
      <c r="D689" s="381"/>
      <c r="E689" s="382" t="s">
        <v>7083</v>
      </c>
      <c r="F689" s="383" t="s">
        <v>817</v>
      </c>
      <c r="G689" s="573"/>
      <c r="H689" s="596"/>
      <c r="I689" s="582">
        <f>TRUNC(SUM(I690:I694),2)</f>
        <v>1833.24</v>
      </c>
    </row>
    <row r="690" spans="2:9" ht="51">
      <c r="B690" s="543" t="s">
        <v>7068</v>
      </c>
      <c r="C690" s="151" t="s">
        <v>8</v>
      </c>
      <c r="D690" s="348">
        <v>91634</v>
      </c>
      <c r="E690" s="334" t="str">
        <f>IF($D690&lt;&gt;"",VLOOKUP($D690,'SINAPI MAIO 2020'!$1:$1048576,2,FALSE),"")</f>
        <v>GUINDAUTO HIDRÁULICO, CAPACIDADE MÁXIMA DE CARGA 6500 KG, MOMENTO MÁXIMO DE CARGA 5,8 TM, ALCANCE MÁXIMO HORIZONTAL 7,60 M, INCLUSIVE CAMINHÃO TOCO PBT 9.700 KG, POTÊNCIA DE 160 CV - CHP DIURNO. AF_08/2015</v>
      </c>
      <c r="F690" s="335" t="str">
        <f>IF($D690&lt;&gt;"",VLOOKUP($D690,'SINAPI MAIO 2020'!$1:$1048576,3,FALSE),"")</f>
        <v>CHP</v>
      </c>
      <c r="G690" s="379">
        <v>1.5</v>
      </c>
      <c r="H690" s="583">
        <f>IF($D690&lt;&gt;"",VLOOKUP($D690,'SINAPI MAIO 2020'!$1:$1048576,4,FALSE),"")</f>
        <v>117.7</v>
      </c>
      <c r="I690" s="379">
        <f t="shared" ref="I690" si="117">TRUNC(H690*G690,2)</f>
        <v>176.55</v>
      </c>
    </row>
    <row r="691" spans="2:9" ht="25.5">
      <c r="B691" s="543" t="s">
        <v>7068</v>
      </c>
      <c r="C691" s="151" t="s">
        <v>8</v>
      </c>
      <c r="D691" s="348">
        <v>92873</v>
      </c>
      <c r="E691" s="334" t="str">
        <f>IF($D691&lt;&gt;"",VLOOKUP($D691,'SINAPI MAIO 2020'!$1:$1048576,2,FALSE),"")</f>
        <v>LANÇAMENTO COM USO DE BALDES, ADENSAMENTO E ACABAMENTO DE CONCRETO EM ESTRUTURAS. AF_12/2015</v>
      </c>
      <c r="F691" s="335" t="str">
        <f>IF($D691&lt;&gt;"",VLOOKUP($D691,'SINAPI MAIO 2020'!$1:$1048576,3,FALSE),"")</f>
        <v>M3</v>
      </c>
      <c r="G691" s="379">
        <v>0.3</v>
      </c>
      <c r="H691" s="583">
        <f>IF($D691&lt;&gt;"",VLOOKUP($D691,'SINAPI MAIO 2020'!$1:$1048576,4,FALSE),"")</f>
        <v>146.37</v>
      </c>
      <c r="I691" s="379">
        <f t="shared" ref="I691:I692" si="118">TRUNC(H691*G691,2)</f>
        <v>43.91</v>
      </c>
    </row>
    <row r="692" spans="2:9">
      <c r="B692" s="543" t="s">
        <v>7068</v>
      </c>
      <c r="C692" s="151" t="s">
        <v>8</v>
      </c>
      <c r="D692" s="348">
        <v>88316</v>
      </c>
      <c r="E692" s="334" t="str">
        <f>IF($D692&lt;&gt;"",VLOOKUP($D692,'SINAPI MAIO 2020'!$1:$1048576,2,FALSE),"")</f>
        <v>SERVENTE COM ENCARGOS COMPLEMENTARES</v>
      </c>
      <c r="F692" s="335" t="str">
        <f>IF($D692&lt;&gt;"",VLOOKUP($D692,'SINAPI MAIO 2020'!$1:$1048576,3,FALSE),"")</f>
        <v>H</v>
      </c>
      <c r="G692" s="379">
        <v>2</v>
      </c>
      <c r="H692" s="583">
        <f>IF($D692&lt;&gt;"",VLOOKUP($D692,'SINAPI MAIO 2020'!$1:$1048576,4,FALSE),"")</f>
        <v>14.37</v>
      </c>
      <c r="I692" s="379">
        <f t="shared" si="118"/>
        <v>28.74</v>
      </c>
    </row>
    <row r="693" spans="2:9" ht="25.5">
      <c r="B693" s="543" t="s">
        <v>7068</v>
      </c>
      <c r="C693" s="151" t="s">
        <v>8</v>
      </c>
      <c r="D693" s="348">
        <v>94969</v>
      </c>
      <c r="E693" s="334" t="str">
        <f>IF($D693&lt;&gt;"",VLOOKUP($D693,'SINAPI MAIO 2020'!$1:$1048576,2,FALSE),"")</f>
        <v>CONCRETO FCK = 15MPA, TRAÇO 1:3,4:3,5 (CIMENTO/ AREIA MÉDIA/ BRITA 1)  - PREPARO MECÂNICO COM BETONEIRA 600 L. AF_07/2016</v>
      </c>
      <c r="F693" s="335" t="str">
        <f>IF($D693&lt;&gt;"",VLOOKUP($D693,'SINAPI MAIO 2020'!$1:$1048576,3,FALSE),"")</f>
        <v>M3</v>
      </c>
      <c r="G693" s="379">
        <v>0.3</v>
      </c>
      <c r="H693" s="583">
        <f>IF($D693&lt;&gt;"",VLOOKUP($D693,'SINAPI MAIO 2020'!$1:$1048576,4,FALSE),"")</f>
        <v>280.16000000000003</v>
      </c>
      <c r="I693" s="379">
        <f t="shared" ref="I693" si="119">TRUNC(H693*G693,2)</f>
        <v>84.04</v>
      </c>
    </row>
    <row r="694" spans="2:9">
      <c r="B694" s="543" t="s">
        <v>835</v>
      </c>
      <c r="C694" s="151" t="s">
        <v>836</v>
      </c>
      <c r="D694" s="348"/>
      <c r="E694" s="349" t="s">
        <v>7084</v>
      </c>
      <c r="F694" s="350" t="s">
        <v>7065</v>
      </c>
      <c r="G694" s="379">
        <v>1</v>
      </c>
      <c r="H694" s="584">
        <v>1500</v>
      </c>
      <c r="I694" s="584">
        <f>TRUNC(H694*G694,2)</f>
        <v>1500</v>
      </c>
    </row>
    <row r="695" spans="2:9">
      <c r="B695" s="543"/>
      <c r="C695" s="151"/>
      <c r="D695" s="348"/>
      <c r="E695" s="349"/>
      <c r="F695" s="350"/>
      <c r="G695" s="379"/>
      <c r="H695" s="584"/>
      <c r="I695" s="584"/>
    </row>
    <row r="696" spans="2:9">
      <c r="B696" s="361" t="s">
        <v>12553</v>
      </c>
      <c r="C696" s="381"/>
      <c r="D696" s="381"/>
      <c r="E696" s="154" t="s">
        <v>7118</v>
      </c>
      <c r="F696" s="383" t="s">
        <v>817</v>
      </c>
      <c r="G696" s="378"/>
      <c r="H696" s="596"/>
      <c r="I696" s="582">
        <f>TRUNC(SUM(I697:I699),2)</f>
        <v>45.36</v>
      </c>
    </row>
    <row r="697" spans="2:9">
      <c r="B697" s="543" t="s">
        <v>7068</v>
      </c>
      <c r="C697" s="151" t="s">
        <v>8</v>
      </c>
      <c r="D697" s="348">
        <v>88247</v>
      </c>
      <c r="E697" s="334" t="str">
        <f>IF($D697&lt;&gt;"",VLOOKUP($D697,'SINAPI MAIO 2020'!$1:$1048576,2,FALSE),"")</f>
        <v>AUXILIAR DE ELETRICISTA COM ENCARGOS COMPLEMENTARES</v>
      </c>
      <c r="F697" s="335" t="str">
        <f>IF($D697&lt;&gt;"",VLOOKUP($D697,'SINAPI MAIO 2020'!$1:$1048576,3,FALSE),"")</f>
        <v>H</v>
      </c>
      <c r="G697" s="379">
        <v>0.3</v>
      </c>
      <c r="H697" s="583">
        <f>IF($D697&lt;&gt;"",VLOOKUP($D697,'SINAPI MAIO 2020'!$1:$1048576,4,FALSE),"")</f>
        <v>14.33</v>
      </c>
      <c r="I697" s="379">
        <f t="shared" ref="I697:I699" si="120">TRUNC(H697*G697,2)</f>
        <v>4.29</v>
      </c>
    </row>
    <row r="698" spans="2:9">
      <c r="B698" s="543" t="s">
        <v>7068</v>
      </c>
      <c r="C698" s="151" t="s">
        <v>8</v>
      </c>
      <c r="D698" s="348">
        <v>88264</v>
      </c>
      <c r="E698" s="334" t="str">
        <f>IF($D698&lt;&gt;"",VLOOKUP($D698,'SINAPI MAIO 2020'!$1:$1048576,2,FALSE),"")</f>
        <v>ELETRICISTA COM ENCARGOS COMPLEMENTARES</v>
      </c>
      <c r="F698" s="335" t="str">
        <f>IF($D698&lt;&gt;"",VLOOKUP($D698,'SINAPI MAIO 2020'!$1:$1048576,3,FALSE),"")</f>
        <v>H</v>
      </c>
      <c r="G698" s="379">
        <v>0.3</v>
      </c>
      <c r="H698" s="583">
        <f>IF($D698&lt;&gt;"",VLOOKUP($D698,'SINAPI MAIO 2020'!$1:$1048576,4,FALSE),"")</f>
        <v>18.38</v>
      </c>
      <c r="I698" s="379">
        <f t="shared" si="120"/>
        <v>5.51</v>
      </c>
    </row>
    <row r="699" spans="2:9" ht="38.25">
      <c r="B699" s="543" t="s">
        <v>835</v>
      </c>
      <c r="C699" s="151" t="s">
        <v>8</v>
      </c>
      <c r="D699" s="348">
        <v>11837</v>
      </c>
      <c r="E699" s="334" t="str">
        <f>IF($D699&lt;&gt;"",VLOOKUP($D699,'SINAPI MAIO 2020'!$1:$1048576,2,FALSE),"")</f>
        <v>GRAMPO LINHA VIVA DE LATAO ESTANHADO, DIAMETRO DO CONDUTOR PRINCIPAL DE 10 A 120 MM2, DIAMETRO DA DERIVACAO DE 10 A 70 MM2</v>
      </c>
      <c r="F699" s="335" t="str">
        <f>IF($D699&lt;&gt;"",VLOOKUP($D699,'SINAPI MAIO 2020'!$1:$1048576,3,FALSE),"")</f>
        <v xml:space="preserve">UN    </v>
      </c>
      <c r="G699" s="379">
        <v>1</v>
      </c>
      <c r="H699" s="583">
        <f>IF($D699&lt;&gt;"",VLOOKUP($D699,'SINAPI MAIO 2020'!$1:$1048576,4,FALSE),"")</f>
        <v>35.56</v>
      </c>
      <c r="I699" s="379">
        <f t="shared" si="120"/>
        <v>35.56</v>
      </c>
    </row>
    <row r="700" spans="2:9">
      <c r="B700" s="543"/>
      <c r="C700" s="151"/>
      <c r="D700" s="348"/>
      <c r="E700" s="349"/>
      <c r="F700" s="350"/>
      <c r="G700" s="379"/>
      <c r="H700" s="584"/>
      <c r="I700" s="584"/>
    </row>
    <row r="701" spans="2:9" ht="51">
      <c r="B701" s="361" t="s">
        <v>12554</v>
      </c>
      <c r="C701" s="376"/>
      <c r="D701" s="376"/>
      <c r="E701" s="377" t="s">
        <v>7141</v>
      </c>
      <c r="F701" s="376" t="s">
        <v>7065</v>
      </c>
      <c r="G701" s="378"/>
      <c r="H701" s="596"/>
      <c r="I701" s="582">
        <f>TRUNC(SUM(I702:I705),2)</f>
        <v>332.26</v>
      </c>
    </row>
    <row r="702" spans="2:9" ht="25.5" customHeight="1">
      <c r="B702" s="543" t="s">
        <v>7068</v>
      </c>
      <c r="C702" s="151" t="s">
        <v>8</v>
      </c>
      <c r="D702" s="348">
        <v>88247</v>
      </c>
      <c r="E702" s="334" t="str">
        <f>IF($D702&lt;&gt;"",VLOOKUP($D702,'SINAPI MAIO 2020'!$1:$1048576,2,FALSE),"")</f>
        <v>AUXILIAR DE ELETRICISTA COM ENCARGOS COMPLEMENTARES</v>
      </c>
      <c r="F702" s="335" t="str">
        <f>IF($D702&lt;&gt;"",VLOOKUP($D702,'SINAPI MAIO 2020'!$1:$1048576,3,FALSE),"")</f>
        <v>H</v>
      </c>
      <c r="G702" s="379">
        <v>0.6</v>
      </c>
      <c r="H702" s="583">
        <f>IF($D702&lt;&gt;"",VLOOKUP($D702,'SINAPI MAIO 2020'!$1:$1048576,4,FALSE),"")</f>
        <v>14.33</v>
      </c>
      <c r="I702" s="379">
        <f t="shared" ref="I702:I705" si="121">TRUNC(H702*G702,2)</f>
        <v>8.59</v>
      </c>
    </row>
    <row r="703" spans="2:9" ht="47.25" customHeight="1">
      <c r="B703" s="543" t="s">
        <v>835</v>
      </c>
      <c r="C703" s="151" t="s">
        <v>8</v>
      </c>
      <c r="D703" s="348">
        <v>5047</v>
      </c>
      <c r="E703" s="334" t="str">
        <f>IF($D703&lt;&gt;"",VLOOKUP($D703,'SINAPI MAIO 2020'!$1:$1048576,2,FALSE),"")</f>
        <v>CHAVE FUSIVEL PARA REDES DE DISTRIBUICAO, TENSAO DE 15,0 KV, CORRENTE NOMINAL DO PORTA FUSIVEL DE 100 A, CAPACIDADE DE INTERRUPCAO SIMETRICA DE 7,10 KA, CAPACIDADE DE INTERRUPCAO ASSIMETRICA 10,00 KA</v>
      </c>
      <c r="F703" s="335" t="str">
        <f>IF($D703&lt;&gt;"",VLOOKUP($D703,'SINAPI MAIO 2020'!$1:$1048576,3,FALSE),"")</f>
        <v xml:space="preserve">UN    </v>
      </c>
      <c r="G703" s="379">
        <v>1</v>
      </c>
      <c r="H703" s="583">
        <f>IF($D703&lt;&gt;"",VLOOKUP($D703,'SINAPI MAIO 2020'!$1:$1048576,4,FALSE),"")</f>
        <v>302.85000000000002</v>
      </c>
      <c r="I703" s="379">
        <f t="shared" si="121"/>
        <v>302.85000000000002</v>
      </c>
    </row>
    <row r="704" spans="2:9" ht="25.5" customHeight="1">
      <c r="B704" s="543" t="s">
        <v>7068</v>
      </c>
      <c r="C704" s="151" t="s">
        <v>8</v>
      </c>
      <c r="D704" s="348">
        <v>88264</v>
      </c>
      <c r="E704" s="334" t="str">
        <f>IF($D704&lt;&gt;"",VLOOKUP($D704,'SINAPI MAIO 2020'!$1:$1048576,2,FALSE),"")</f>
        <v>ELETRICISTA COM ENCARGOS COMPLEMENTARES</v>
      </c>
      <c r="F704" s="335" t="str">
        <f>IF($D704&lt;&gt;"",VLOOKUP($D704,'SINAPI MAIO 2020'!$1:$1048576,3,FALSE),"")</f>
        <v>H</v>
      </c>
      <c r="G704" s="379">
        <v>0.6</v>
      </c>
      <c r="H704" s="583">
        <f>IF($D704&lt;&gt;"",VLOOKUP($D704,'SINAPI MAIO 2020'!$1:$1048576,4,FALSE),"")</f>
        <v>18.38</v>
      </c>
      <c r="I704" s="379">
        <f t="shared" si="121"/>
        <v>11.02</v>
      </c>
    </row>
    <row r="705" spans="2:9" ht="25.5" customHeight="1">
      <c r="B705" s="543" t="s">
        <v>835</v>
      </c>
      <c r="C705" s="151" t="s">
        <v>836</v>
      </c>
      <c r="D705" s="348"/>
      <c r="E705" s="349" t="s">
        <v>7142</v>
      </c>
      <c r="F705" s="384" t="s">
        <v>998</v>
      </c>
      <c r="G705" s="379">
        <v>1</v>
      </c>
      <c r="H705" s="584">
        <v>9.8000000000000007</v>
      </c>
      <c r="I705" s="379">
        <f t="shared" si="121"/>
        <v>9.8000000000000007</v>
      </c>
    </row>
    <row r="706" spans="2:9">
      <c r="B706" s="554"/>
      <c r="C706" s="508"/>
      <c r="D706" s="508"/>
      <c r="E706" s="508"/>
      <c r="F706" s="508"/>
      <c r="G706" s="574"/>
      <c r="I706" s="579"/>
    </row>
    <row r="707" spans="2:9">
      <c r="B707" s="361" t="s">
        <v>12555</v>
      </c>
      <c r="C707" s="376"/>
      <c r="D707" s="376"/>
      <c r="E707" s="377" t="s">
        <v>7149</v>
      </c>
      <c r="F707" s="376" t="s">
        <v>1002</v>
      </c>
      <c r="G707" s="378"/>
      <c r="H707" s="596"/>
      <c r="I707" s="582">
        <f>TRUNC(SUM(I708:I710),2)</f>
        <v>14.76</v>
      </c>
    </row>
    <row r="708" spans="2:9">
      <c r="B708" s="543" t="s">
        <v>7068</v>
      </c>
      <c r="C708" s="151" t="s">
        <v>8</v>
      </c>
      <c r="D708" s="348">
        <v>88247</v>
      </c>
      <c r="E708" s="334" t="str">
        <f>IF($D708&lt;&gt;"",VLOOKUP($D708,'SINAPI MAIO 2020'!$1:$1048576,2,FALSE),"")</f>
        <v>AUXILIAR DE ELETRICISTA COM ENCARGOS COMPLEMENTARES</v>
      </c>
      <c r="F708" s="335" t="str">
        <f>IF($D708&lt;&gt;"",VLOOKUP($D708,'SINAPI MAIO 2020'!$1:$1048576,3,FALSE),"")</f>
        <v>H</v>
      </c>
      <c r="G708" s="379">
        <v>0.1</v>
      </c>
      <c r="H708" s="583">
        <f>IF($D708&lt;&gt;"",VLOOKUP($D708,'SINAPI MAIO 2020'!$1:$1048576,4,FALSE),"")</f>
        <v>14.33</v>
      </c>
      <c r="I708" s="379">
        <f t="shared" ref="I708:I710" si="122">TRUNC(H708*G708,2)</f>
        <v>1.43</v>
      </c>
    </row>
    <row r="709" spans="2:9">
      <c r="B709" s="543" t="s">
        <v>7068</v>
      </c>
      <c r="C709" s="151" t="s">
        <v>8</v>
      </c>
      <c r="D709" s="348">
        <v>88264</v>
      </c>
      <c r="E709" s="334" t="str">
        <f>IF($D709&lt;&gt;"",VLOOKUP($D709,'SINAPI MAIO 2020'!$1:$1048576,2,FALSE),"")</f>
        <v>ELETRICISTA COM ENCARGOS COMPLEMENTARES</v>
      </c>
      <c r="F709" s="335" t="str">
        <f>IF($D709&lt;&gt;"",VLOOKUP($D709,'SINAPI MAIO 2020'!$1:$1048576,3,FALSE),"")</f>
        <v>H</v>
      </c>
      <c r="G709" s="379">
        <v>0.1</v>
      </c>
      <c r="H709" s="583">
        <f>IF($D709&lt;&gt;"",VLOOKUP($D709,'SINAPI MAIO 2020'!$1:$1048576,4,FALSE),"")</f>
        <v>18.38</v>
      </c>
      <c r="I709" s="379">
        <f t="shared" si="122"/>
        <v>1.83</v>
      </c>
    </row>
    <row r="710" spans="2:9">
      <c r="B710" s="543" t="s">
        <v>835</v>
      </c>
      <c r="C710" s="151" t="s">
        <v>836</v>
      </c>
      <c r="D710" s="348"/>
      <c r="E710" s="349" t="s">
        <v>7149</v>
      </c>
      <c r="F710" s="384" t="s">
        <v>7065</v>
      </c>
      <c r="G710" s="379">
        <v>1</v>
      </c>
      <c r="H710" s="584">
        <v>11.5</v>
      </c>
      <c r="I710" s="379">
        <f t="shared" si="122"/>
        <v>11.5</v>
      </c>
    </row>
    <row r="711" spans="2:9">
      <c r="B711" s="543"/>
      <c r="C711" s="151"/>
      <c r="D711" s="348"/>
      <c r="E711" s="349"/>
      <c r="F711" s="350"/>
      <c r="G711" s="379"/>
      <c r="H711" s="584"/>
      <c r="I711" s="584"/>
    </row>
    <row r="712" spans="2:9">
      <c r="B712" s="361" t="s">
        <v>12556</v>
      </c>
      <c r="C712" s="381"/>
      <c r="D712" s="381"/>
      <c r="E712" s="154" t="s">
        <v>7104</v>
      </c>
      <c r="F712" s="383" t="s">
        <v>7065</v>
      </c>
      <c r="G712" s="378"/>
      <c r="H712" s="596"/>
      <c r="I712" s="582">
        <f>TRUNC(SUM(I713:I715),2)</f>
        <v>41.01</v>
      </c>
    </row>
    <row r="713" spans="2:9">
      <c r="B713" s="543" t="s">
        <v>7068</v>
      </c>
      <c r="C713" s="151" t="s">
        <v>8</v>
      </c>
      <c r="D713" s="348">
        <v>88247</v>
      </c>
      <c r="E713" s="334" t="str">
        <f>IF($D713&lt;&gt;"",VLOOKUP($D713,'SINAPI MAIO 2020'!$1:$1048576,2,FALSE),"")</f>
        <v>AUXILIAR DE ELETRICISTA COM ENCARGOS COMPLEMENTARES</v>
      </c>
      <c r="F713" s="335" t="str">
        <f>IF($D713&lt;&gt;"",VLOOKUP($D713,'SINAPI MAIO 2020'!$1:$1048576,3,FALSE),"")</f>
        <v>H</v>
      </c>
      <c r="G713" s="379">
        <v>0.6</v>
      </c>
      <c r="H713" s="583">
        <f>IF($D713&lt;&gt;"",VLOOKUP($D713,'SINAPI MAIO 2020'!$1:$1048576,4,FALSE),"")</f>
        <v>14.33</v>
      </c>
      <c r="I713" s="379">
        <f t="shared" ref="I713:I715" si="123">TRUNC(H713*G713,2)</f>
        <v>8.59</v>
      </c>
    </row>
    <row r="714" spans="2:9">
      <c r="B714" s="543" t="s">
        <v>7068</v>
      </c>
      <c r="C714" s="151" t="s">
        <v>8</v>
      </c>
      <c r="D714" s="348">
        <v>88264</v>
      </c>
      <c r="E714" s="334" t="str">
        <f>IF($D714&lt;&gt;"",VLOOKUP($D714,'SINAPI MAIO 2020'!$1:$1048576,2,FALSE),"")</f>
        <v>ELETRICISTA COM ENCARGOS COMPLEMENTARES</v>
      </c>
      <c r="F714" s="335" t="str">
        <f>IF($D714&lt;&gt;"",VLOOKUP($D714,'SINAPI MAIO 2020'!$1:$1048576,3,FALSE),"")</f>
        <v>H</v>
      </c>
      <c r="G714" s="379">
        <v>0.6</v>
      </c>
      <c r="H714" s="583">
        <f>IF($D714&lt;&gt;"",VLOOKUP($D714,'SINAPI MAIO 2020'!$1:$1048576,4,FALSE),"")</f>
        <v>18.38</v>
      </c>
      <c r="I714" s="379">
        <f t="shared" si="123"/>
        <v>11.02</v>
      </c>
    </row>
    <row r="715" spans="2:9">
      <c r="B715" s="543" t="s">
        <v>835</v>
      </c>
      <c r="C715" s="151" t="s">
        <v>836</v>
      </c>
      <c r="D715" s="348"/>
      <c r="E715" s="349" t="s">
        <v>7104</v>
      </c>
      <c r="F715" s="384" t="s">
        <v>7065</v>
      </c>
      <c r="G715" s="379">
        <v>1</v>
      </c>
      <c r="H715" s="584">
        <v>21.4</v>
      </c>
      <c r="I715" s="379">
        <f t="shared" si="123"/>
        <v>21.4</v>
      </c>
    </row>
    <row r="716" spans="2:9">
      <c r="B716" s="543"/>
      <c r="C716" s="151"/>
      <c r="D716" s="348"/>
      <c r="E716" s="349"/>
      <c r="F716" s="350"/>
      <c r="G716" s="379"/>
      <c r="H716" s="584"/>
      <c r="I716" s="584"/>
    </row>
    <row r="717" spans="2:9">
      <c r="B717" s="361" t="s">
        <v>12557</v>
      </c>
      <c r="C717" s="376"/>
      <c r="D717" s="376"/>
      <c r="E717" s="377" t="str">
        <f>E720</f>
        <v>Conector derivação cunha tipo estribo normal - 50mm² x 2AWG</v>
      </c>
      <c r="F717" s="376" t="s">
        <v>7065</v>
      </c>
      <c r="G717" s="378"/>
      <c r="H717" s="596"/>
      <c r="I717" s="582">
        <f>TRUNC(SUM(I718:I720),2)</f>
        <v>38.270000000000003</v>
      </c>
    </row>
    <row r="718" spans="2:9">
      <c r="B718" s="543" t="s">
        <v>7068</v>
      </c>
      <c r="C718" s="151" t="s">
        <v>8</v>
      </c>
      <c r="D718" s="348">
        <v>88247</v>
      </c>
      <c r="E718" s="334" t="str">
        <f>IF($D718&lt;&gt;"",VLOOKUP($D718,'SINAPI MAIO 2020'!$1:$1048576,2,FALSE),"")</f>
        <v>AUXILIAR DE ELETRICISTA COM ENCARGOS COMPLEMENTARES</v>
      </c>
      <c r="F718" s="335" t="str">
        <f>IF($D718&lt;&gt;"",VLOOKUP($D718,'SINAPI MAIO 2020'!$1:$1048576,3,FALSE),"")</f>
        <v>H</v>
      </c>
      <c r="G718" s="379">
        <v>0.6</v>
      </c>
      <c r="H718" s="583">
        <f>IF($D718&lt;&gt;"",VLOOKUP($D718,'SINAPI MAIO 2020'!$1:$1048576,4,FALSE),"")</f>
        <v>14.33</v>
      </c>
      <c r="I718" s="379">
        <f t="shared" ref="I718:I720" si="124">TRUNC(H718*G718,2)</f>
        <v>8.59</v>
      </c>
    </row>
    <row r="719" spans="2:9">
      <c r="B719" s="543" t="s">
        <v>7068</v>
      </c>
      <c r="C719" s="151" t="s">
        <v>8</v>
      </c>
      <c r="D719" s="348">
        <v>88264</v>
      </c>
      <c r="E719" s="334" t="str">
        <f>IF($D719&lt;&gt;"",VLOOKUP($D719,'SINAPI MAIO 2020'!$1:$1048576,2,FALSE),"")</f>
        <v>ELETRICISTA COM ENCARGOS COMPLEMENTARES</v>
      </c>
      <c r="F719" s="335" t="str">
        <f>IF($D719&lt;&gt;"",VLOOKUP($D719,'SINAPI MAIO 2020'!$1:$1048576,3,FALSE),"")</f>
        <v>H</v>
      </c>
      <c r="G719" s="379">
        <v>0.6</v>
      </c>
      <c r="H719" s="583">
        <f>IF($D719&lt;&gt;"",VLOOKUP($D719,'SINAPI MAIO 2020'!$1:$1048576,4,FALSE),"")</f>
        <v>18.38</v>
      </c>
      <c r="I719" s="379">
        <f t="shared" si="124"/>
        <v>11.02</v>
      </c>
    </row>
    <row r="720" spans="2:9">
      <c r="B720" s="543" t="s">
        <v>835</v>
      </c>
      <c r="C720" s="151" t="s">
        <v>836</v>
      </c>
      <c r="D720" s="348"/>
      <c r="E720" s="349" t="s">
        <v>7151</v>
      </c>
      <c r="F720" s="384" t="s">
        <v>7065</v>
      </c>
      <c r="G720" s="379">
        <v>1</v>
      </c>
      <c r="H720" s="584">
        <v>18.66</v>
      </c>
      <c r="I720" s="379">
        <f t="shared" si="124"/>
        <v>18.66</v>
      </c>
    </row>
    <row r="721" spans="2:9">
      <c r="B721" s="543"/>
      <c r="C721" s="151"/>
      <c r="D721" s="348"/>
      <c r="E721" s="349"/>
      <c r="F721" s="350"/>
      <c r="G721" s="379"/>
      <c r="H721" s="584"/>
      <c r="I721" s="584"/>
    </row>
    <row r="722" spans="2:9">
      <c r="B722" s="361" t="s">
        <v>12558</v>
      </c>
      <c r="C722" s="376"/>
      <c r="D722" s="376"/>
      <c r="E722" s="377" t="str">
        <f>E725</f>
        <v>LAÇO PRÉ-FORMADO DE TOPO PARA DISTRIBUIÇÃO</v>
      </c>
      <c r="F722" s="376" t="s">
        <v>7065</v>
      </c>
      <c r="G722" s="378"/>
      <c r="H722" s="596"/>
      <c r="I722" s="582">
        <f>TRUNC(SUM(I723:I725),2)</f>
        <v>24.37</v>
      </c>
    </row>
    <row r="723" spans="2:9">
      <c r="B723" s="543" t="s">
        <v>7068</v>
      </c>
      <c r="C723" s="151" t="s">
        <v>8</v>
      </c>
      <c r="D723" s="348">
        <v>88247</v>
      </c>
      <c r="E723" s="334" t="str">
        <f>IF($D723&lt;&gt;"",VLOOKUP($D723,'SINAPI MAIO 2020'!$1:$1048576,2,FALSE),"")</f>
        <v>AUXILIAR DE ELETRICISTA COM ENCARGOS COMPLEMENTARES</v>
      </c>
      <c r="F723" s="335" t="str">
        <f>IF($D723&lt;&gt;"",VLOOKUP($D723,'SINAPI MAIO 2020'!$1:$1048576,3,FALSE),"")</f>
        <v>H</v>
      </c>
      <c r="G723" s="379">
        <v>0.6</v>
      </c>
      <c r="H723" s="583">
        <f>IF($D723&lt;&gt;"",VLOOKUP($D723,'SINAPI MAIO 2020'!$1:$1048576,4,FALSE),"")</f>
        <v>14.33</v>
      </c>
      <c r="I723" s="379">
        <f t="shared" ref="I723:I725" si="125">TRUNC(H723*G723,2)</f>
        <v>8.59</v>
      </c>
    </row>
    <row r="724" spans="2:9">
      <c r="B724" s="543" t="s">
        <v>7068</v>
      </c>
      <c r="C724" s="151" t="s">
        <v>8</v>
      </c>
      <c r="D724" s="348">
        <v>88264</v>
      </c>
      <c r="E724" s="334" t="str">
        <f>IF($D724&lt;&gt;"",VLOOKUP($D724,'SINAPI MAIO 2020'!$1:$1048576,2,FALSE),"")</f>
        <v>ELETRICISTA COM ENCARGOS COMPLEMENTARES</v>
      </c>
      <c r="F724" s="335" t="str">
        <f>IF($D724&lt;&gt;"",VLOOKUP($D724,'SINAPI MAIO 2020'!$1:$1048576,3,FALSE),"")</f>
        <v>H</v>
      </c>
      <c r="G724" s="379">
        <v>0.6</v>
      </c>
      <c r="H724" s="583">
        <f>IF($D724&lt;&gt;"",VLOOKUP($D724,'SINAPI MAIO 2020'!$1:$1048576,4,FALSE),"")</f>
        <v>18.38</v>
      </c>
      <c r="I724" s="379">
        <f t="shared" si="125"/>
        <v>11.02</v>
      </c>
    </row>
    <row r="725" spans="2:9">
      <c r="B725" s="543" t="s">
        <v>835</v>
      </c>
      <c r="C725" s="151" t="s">
        <v>836</v>
      </c>
      <c r="D725" s="348"/>
      <c r="E725" s="349" t="s">
        <v>7150</v>
      </c>
      <c r="F725" s="384" t="s">
        <v>7065</v>
      </c>
      <c r="G725" s="379">
        <v>1</v>
      </c>
      <c r="H725" s="584">
        <v>4.76</v>
      </c>
      <c r="I725" s="379">
        <f t="shared" si="125"/>
        <v>4.76</v>
      </c>
    </row>
    <row r="726" spans="2:9">
      <c r="B726" s="543"/>
      <c r="C726" s="151"/>
      <c r="D726" s="348"/>
      <c r="E726" s="349"/>
      <c r="F726" s="350"/>
      <c r="G726" s="379"/>
      <c r="H726" s="584"/>
      <c r="I726" s="584"/>
    </row>
    <row r="727" spans="2:9">
      <c r="B727" s="554"/>
      <c r="C727" s="508"/>
      <c r="D727" s="508"/>
      <c r="E727" s="508"/>
      <c r="F727" s="508"/>
      <c r="G727" s="574"/>
      <c r="H727" s="574"/>
      <c r="I727" s="574"/>
    </row>
    <row r="728" spans="2:9">
      <c r="B728" s="361" t="s">
        <v>12559</v>
      </c>
      <c r="C728" s="376"/>
      <c r="D728" s="376"/>
      <c r="E728" s="377" t="s">
        <v>7146</v>
      </c>
      <c r="F728" s="376" t="s">
        <v>7065</v>
      </c>
      <c r="G728" s="378"/>
      <c r="H728" s="596"/>
      <c r="I728" s="582">
        <f>TRUNC(SUM(I729:I731),2)</f>
        <v>20.6</v>
      </c>
    </row>
    <row r="729" spans="2:9">
      <c r="B729" s="543" t="s">
        <v>7068</v>
      </c>
      <c r="C729" s="151" t="s">
        <v>8</v>
      </c>
      <c r="D729" s="348">
        <v>88247</v>
      </c>
      <c r="E729" s="334" t="str">
        <f>IF($D729&lt;&gt;"",VLOOKUP($D729,'SINAPI MAIO 2020'!$1:$1048576,2,FALSE),"")</f>
        <v>AUXILIAR DE ELETRICISTA COM ENCARGOS COMPLEMENTARES</v>
      </c>
      <c r="F729" s="335" t="str">
        <f>IF($D729&lt;&gt;"",VLOOKUP($D729,'SINAPI MAIO 2020'!$1:$1048576,3,FALSE),"")</f>
        <v>H</v>
      </c>
      <c r="G729" s="379">
        <v>0.6</v>
      </c>
      <c r="H729" s="583">
        <f>IF($D729&lt;&gt;"",VLOOKUP($D729,'SINAPI MAIO 2020'!$1:$1048576,4,FALSE),"")</f>
        <v>14.33</v>
      </c>
      <c r="I729" s="379">
        <f t="shared" ref="I729:I730" si="126">TRUNC(H729*G729,2)</f>
        <v>8.59</v>
      </c>
    </row>
    <row r="730" spans="2:9">
      <c r="B730" s="543" t="s">
        <v>7068</v>
      </c>
      <c r="C730" s="151" t="s">
        <v>8</v>
      </c>
      <c r="D730" s="348">
        <v>88264</v>
      </c>
      <c r="E730" s="334" t="str">
        <f>IF($D730&lt;&gt;"",VLOOKUP($D730,'SINAPI MAIO 2020'!$1:$1048576,2,FALSE),"")</f>
        <v>ELETRICISTA COM ENCARGOS COMPLEMENTARES</v>
      </c>
      <c r="F730" s="335" t="str">
        <f>IF($D730&lt;&gt;"",VLOOKUP($D730,'SINAPI MAIO 2020'!$1:$1048576,3,FALSE),"")</f>
        <v>H</v>
      </c>
      <c r="G730" s="379">
        <v>0.6</v>
      </c>
      <c r="H730" s="583">
        <f>IF($D730&lt;&gt;"",VLOOKUP($D730,'SINAPI MAIO 2020'!$1:$1048576,4,FALSE),"")</f>
        <v>18.38</v>
      </c>
      <c r="I730" s="379">
        <f t="shared" si="126"/>
        <v>11.02</v>
      </c>
    </row>
    <row r="731" spans="2:9" ht="25.5">
      <c r="B731" s="543" t="s">
        <v>835</v>
      </c>
      <c r="C731" s="151" t="s">
        <v>8</v>
      </c>
      <c r="D731" s="348">
        <v>408</v>
      </c>
      <c r="E731" s="334" t="str">
        <f>IF($D731&lt;&gt;"",VLOOKUP($D731,'SINAPI MAIO 2020'!$1:$1048576,2,FALSE),"")</f>
        <v>ABRACADEIRA DE NYLON PARA AMARRACAO DE CABOS, COMPRIMENTO DE 390 X *4,6* MM</v>
      </c>
      <c r="F731" s="335" t="str">
        <f>IF($D731&lt;&gt;"",VLOOKUP($D731,'SINAPI MAIO 2020'!$1:$1048576,3,FALSE),"")</f>
        <v xml:space="preserve">UN    </v>
      </c>
      <c r="G731" s="379">
        <v>1</v>
      </c>
      <c r="H731" s="583">
        <f>IF($D731&lt;&gt;"",VLOOKUP($D731,'SINAPI MAIO 2020'!$1:$1048576,4,FALSE),"")</f>
        <v>0.99</v>
      </c>
      <c r="I731" s="379">
        <f t="shared" ref="I731" si="127">TRUNC(H731*G731,2)</f>
        <v>0.99</v>
      </c>
    </row>
    <row r="732" spans="2:9">
      <c r="B732" s="554"/>
      <c r="C732" s="508"/>
      <c r="D732" s="508"/>
      <c r="E732" s="508"/>
      <c r="F732" s="508"/>
      <c r="G732" s="574"/>
      <c r="I732" s="579"/>
    </row>
    <row r="734" spans="2:9" ht="25.5">
      <c r="B734" s="361" t="s">
        <v>12560</v>
      </c>
      <c r="C734" s="376"/>
      <c r="D734" s="376"/>
      <c r="E734" s="377" t="s">
        <v>7147</v>
      </c>
      <c r="F734" s="376" t="s">
        <v>7065</v>
      </c>
      <c r="G734" s="378"/>
      <c r="H734" s="596"/>
      <c r="I734" s="582">
        <f>TRUNC(SUM(I735:I737),2)</f>
        <v>23.54</v>
      </c>
    </row>
    <row r="735" spans="2:9">
      <c r="B735" s="543" t="s">
        <v>7068</v>
      </c>
      <c r="C735" s="151" t="s">
        <v>8</v>
      </c>
      <c r="D735" s="348">
        <v>88247</v>
      </c>
      <c r="E735" s="334" t="str">
        <f>IF($D735&lt;&gt;"",VLOOKUP($D735,'SINAPI MAIO 2020'!$1:$1048576,2,FALSE),"")</f>
        <v>AUXILIAR DE ELETRICISTA COM ENCARGOS COMPLEMENTARES</v>
      </c>
      <c r="F735" s="335" t="str">
        <f>IF($D735&lt;&gt;"",VLOOKUP($D735,'SINAPI MAIO 2020'!$1:$1048576,3,FALSE),"")</f>
        <v>H</v>
      </c>
      <c r="G735" s="379">
        <v>0.6</v>
      </c>
      <c r="H735" s="583">
        <f>IF($D735&lt;&gt;"",VLOOKUP($D735,'SINAPI MAIO 2020'!$1:$1048576,4,FALSE),"")</f>
        <v>14.33</v>
      </c>
      <c r="I735" s="379">
        <f t="shared" ref="I735:I737" si="128">TRUNC(H735*G735,2)</f>
        <v>8.59</v>
      </c>
    </row>
    <row r="736" spans="2:9">
      <c r="B736" s="543" t="s">
        <v>7068</v>
      </c>
      <c r="C736" s="151" t="s">
        <v>8</v>
      </c>
      <c r="D736" s="348">
        <v>88264</v>
      </c>
      <c r="E736" s="334" t="str">
        <f>IF($D736&lt;&gt;"",VLOOKUP($D736,'SINAPI MAIO 2020'!$1:$1048576,2,FALSE),"")</f>
        <v>ELETRICISTA COM ENCARGOS COMPLEMENTARES</v>
      </c>
      <c r="F736" s="335" t="str">
        <f>IF($D736&lt;&gt;"",VLOOKUP($D736,'SINAPI MAIO 2020'!$1:$1048576,3,FALSE),"")</f>
        <v>H</v>
      </c>
      <c r="G736" s="379">
        <v>0.6</v>
      </c>
      <c r="H736" s="583">
        <f>IF($D736&lt;&gt;"",VLOOKUP($D736,'SINAPI MAIO 2020'!$1:$1048576,4,FALSE),"")</f>
        <v>18.38</v>
      </c>
      <c r="I736" s="379">
        <f t="shared" si="128"/>
        <v>11.02</v>
      </c>
    </row>
    <row r="737" spans="2:11" ht="25.5">
      <c r="B737" s="543" t="s">
        <v>835</v>
      </c>
      <c r="C737" s="151" t="s">
        <v>8</v>
      </c>
      <c r="D737" s="348">
        <v>3398</v>
      </c>
      <c r="E737" s="334" t="str">
        <f>IF($D737&lt;&gt;"",VLOOKUP($D737,'SINAPI MAIO 2020'!$1:$1048576,2,FALSE),"")</f>
        <v>ISOLADOR DE PORCELANA, TIPO ROLDANA, DIMENSOES DE *72* X *72* MM, PARA USO EM BAIXA TENSAO</v>
      </c>
      <c r="F737" s="335" t="str">
        <f>IF($D737&lt;&gt;"",VLOOKUP($D737,'SINAPI MAIO 2020'!$1:$1048576,3,FALSE),"")</f>
        <v xml:space="preserve">UN    </v>
      </c>
      <c r="G737" s="379">
        <v>1</v>
      </c>
      <c r="H737" s="583">
        <f>IF($D737&lt;&gt;"",VLOOKUP($D737,'SINAPI MAIO 2020'!$1:$1048576,4,FALSE),"")</f>
        <v>3.93</v>
      </c>
      <c r="I737" s="379">
        <f t="shared" si="128"/>
        <v>3.93</v>
      </c>
    </row>
    <row r="738" spans="2:11">
      <c r="B738" s="554"/>
      <c r="C738" s="508"/>
      <c r="D738" s="508"/>
      <c r="E738" s="508"/>
      <c r="F738" s="508"/>
      <c r="G738" s="574"/>
      <c r="H738" s="574"/>
      <c r="I738" s="574"/>
    </row>
    <row r="739" spans="2:11">
      <c r="B739" s="794" t="s">
        <v>6212</v>
      </c>
      <c r="C739" s="794"/>
      <c r="D739" s="794"/>
      <c r="E739" s="794"/>
      <c r="F739" s="794"/>
      <c r="G739" s="794"/>
      <c r="H739" s="794"/>
      <c r="I739" s="794"/>
      <c r="J739" s="528"/>
      <c r="K739" s="528"/>
    </row>
    <row r="740" spans="2:11">
      <c r="B740" s="543"/>
      <c r="C740" s="151"/>
      <c r="D740" s="351"/>
      <c r="E740" s="334"/>
      <c r="F740" s="335"/>
      <c r="G740" s="360"/>
      <c r="H740" s="583"/>
      <c r="I740" s="379"/>
      <c r="J740" s="528"/>
      <c r="K740" s="528"/>
    </row>
    <row r="741" spans="2:11" ht="25.5">
      <c r="B741" s="361" t="s">
        <v>12497</v>
      </c>
      <c r="C741" s="376"/>
      <c r="D741" s="376"/>
      <c r="E741" s="377" t="s">
        <v>12498</v>
      </c>
      <c r="F741" s="376" t="s">
        <v>7065</v>
      </c>
      <c r="G741" s="378"/>
      <c r="H741" s="596"/>
      <c r="I741" s="582">
        <f>TRUNC(SUM(I742:I743),2)</f>
        <v>251.15</v>
      </c>
      <c r="J741" s="528"/>
      <c r="K741" s="528"/>
    </row>
    <row r="742" spans="2:11">
      <c r="B742" s="543" t="s">
        <v>7068</v>
      </c>
      <c r="C742" s="151" t="s">
        <v>8</v>
      </c>
      <c r="D742" s="348">
        <v>88316</v>
      </c>
      <c r="E742" s="334" t="str">
        <f>IF($D742&lt;&gt;"",VLOOKUP($D742,'SINAPI MAIO 2020'!$1:$1048576,2,FALSE),"")</f>
        <v>SERVENTE COM ENCARGOS COMPLEMENTARES</v>
      </c>
      <c r="F742" s="335" t="str">
        <f>IF($D742&lt;&gt;"",VLOOKUP($D742,'SINAPI MAIO 2020'!$1:$1048576,3,FALSE),"")</f>
        <v>H</v>
      </c>
      <c r="G742" s="379">
        <v>0.16</v>
      </c>
      <c r="H742" s="583">
        <f>IF($D742&lt;&gt;"",VLOOKUP($D742,'SINAPI MAIO 2020'!$1:$1048576,4,FALSE),"")</f>
        <v>14.37</v>
      </c>
      <c r="I742" s="379">
        <f t="shared" ref="I742:I743" si="129">TRUNC(H742*G742,2)</f>
        <v>2.29</v>
      </c>
      <c r="J742" s="528"/>
      <c r="K742" s="528"/>
    </row>
    <row r="743" spans="2:11" ht="30" customHeight="1">
      <c r="B743" s="543" t="s">
        <v>7068</v>
      </c>
      <c r="C743" s="151" t="s">
        <v>8</v>
      </c>
      <c r="D743" s="348">
        <v>11245</v>
      </c>
      <c r="E743" s="334" t="str">
        <f>IF($D743&lt;&gt;"",VLOOKUP($D743,'SINAPI MAIO 2020'!$1:$1048576,2,FALSE),"")</f>
        <v>GRELHA FOFO SIMPLES COM REQUADRO, CARGA MAXIMA  12,5 T, *300 X 1000* MM, E= *15* MM, AREA ESTACIONAMENTO CARRO PASSEIO</v>
      </c>
      <c r="F743" s="335" t="str">
        <f>IF($D743&lt;&gt;"",VLOOKUP($D743,'SINAPI MAIO 2020'!$1:$1048576,3,FALSE),"")</f>
        <v xml:space="preserve">UN    </v>
      </c>
      <c r="G743" s="379">
        <v>1</v>
      </c>
      <c r="H743" s="583">
        <f>IF($D743&lt;&gt;"",VLOOKUP($D743,'SINAPI MAIO 2020'!$1:$1048576,4,FALSE),"")</f>
        <v>248.86</v>
      </c>
      <c r="I743" s="379">
        <f t="shared" si="129"/>
        <v>248.86</v>
      </c>
      <c r="J743" s="528"/>
      <c r="K743" s="528"/>
    </row>
    <row r="744" spans="2:11">
      <c r="B744" s="543"/>
      <c r="C744" s="151"/>
      <c r="D744" s="351"/>
      <c r="E744" s="334"/>
      <c r="F744" s="335"/>
      <c r="G744" s="360"/>
      <c r="H744" s="583"/>
      <c r="I744" s="379"/>
      <c r="J744" s="528"/>
      <c r="K744" s="528"/>
    </row>
    <row r="745" spans="2:11">
      <c r="B745" s="543"/>
      <c r="C745" s="151"/>
      <c r="D745" s="351"/>
      <c r="E745" s="334"/>
      <c r="F745" s="335"/>
      <c r="G745" s="360"/>
      <c r="H745" s="583"/>
      <c r="I745" s="379"/>
      <c r="J745" s="528"/>
      <c r="K745" s="528"/>
    </row>
    <row r="746" spans="2:11">
      <c r="B746" s="794" t="s">
        <v>6549</v>
      </c>
      <c r="C746" s="794"/>
      <c r="D746" s="794"/>
      <c r="E746" s="794"/>
      <c r="F746" s="794"/>
      <c r="G746" s="794"/>
      <c r="H746" s="794"/>
      <c r="I746" s="794"/>
      <c r="J746" s="528"/>
      <c r="K746" s="528"/>
    </row>
    <row r="747" spans="2:11">
      <c r="B747" s="555"/>
      <c r="C747" s="510"/>
      <c r="D747" s="510"/>
      <c r="E747" s="529"/>
      <c r="F747" s="416"/>
      <c r="G747" s="539"/>
      <c r="H747" s="598"/>
      <c r="I747" s="599"/>
    </row>
    <row r="748" spans="2:11" ht="51">
      <c r="B748" s="359" t="s">
        <v>6547</v>
      </c>
      <c r="C748" s="512"/>
      <c r="D748" s="512"/>
      <c r="E748" s="530" t="s">
        <v>6548</v>
      </c>
      <c r="F748" s="531" t="s">
        <v>35</v>
      </c>
      <c r="G748" s="367">
        <v>1</v>
      </c>
      <c r="H748" s="581"/>
      <c r="I748" s="582">
        <f>TRUNC(SUM(I749:I751),2)</f>
        <v>37.4</v>
      </c>
      <c r="J748" s="528"/>
      <c r="K748" s="528"/>
    </row>
    <row r="749" spans="2:11" ht="51">
      <c r="B749" s="547" t="s">
        <v>835</v>
      </c>
      <c r="C749" s="354" t="s">
        <v>8</v>
      </c>
      <c r="D749" s="385">
        <v>37558</v>
      </c>
      <c r="E749" s="334" t="str">
        <f>IF($D749&lt;&gt;"",VLOOKUP($D749,'SINAPI MAIO 2020'!$1:$1048576,2,FALSE),"")</f>
        <v>PLACA DE SINALIZACAO DE SEGURANCA CONTRA INCENDIO, FOTOLUMINESCENTE, RETANGULAR, *20 X 40* CM, EM PVC *2* MM ANTI-CHAMAS (SIMBOLOS, CORES E PICTOGRAMAS CONFORME NBR 13434)</v>
      </c>
      <c r="F749" s="335" t="str">
        <f>IF($D749&lt;&gt;"",VLOOKUP($D749,'SINAPI MAIO 2020'!$1:$1048576,3,FALSE),"")</f>
        <v xml:space="preserve">UN    </v>
      </c>
      <c r="G749" s="360">
        <v>1</v>
      </c>
      <c r="H749" s="583">
        <f>IF($D749&lt;&gt;"",VLOOKUP($D749,'SINAPI MAIO 2020'!$1:$1048576,4,FALSE),"")</f>
        <v>18.64</v>
      </c>
      <c r="I749" s="583">
        <f t="shared" ref="I749:I751" si="130">TRUNC(G749*H749,2)</f>
        <v>18.64</v>
      </c>
      <c r="J749" s="528"/>
      <c r="K749" s="528"/>
    </row>
    <row r="750" spans="2:11" ht="25.5">
      <c r="B750" s="547" t="s">
        <v>858</v>
      </c>
      <c r="C750" s="354" t="s">
        <v>8</v>
      </c>
      <c r="D750" s="385">
        <v>88248</v>
      </c>
      <c r="E750" s="334" t="str">
        <f>IF($D750&lt;&gt;"",VLOOKUP($D750,'SINAPI MAIO 2020'!$1:$1048576,2,FALSE),"")</f>
        <v>AUXILIAR DE ENCANADOR OU BOMBEIRO HIDRÁULICO COM ENCARGOS COMPLEMENTARES</v>
      </c>
      <c r="F750" s="335" t="str">
        <f>IF($D750&lt;&gt;"",VLOOKUP($D750,'SINAPI MAIO 2020'!$1:$1048576,3,FALSE),"")</f>
        <v>H</v>
      </c>
      <c r="G750" s="524">
        <v>0.59299999999999997</v>
      </c>
      <c r="H750" s="583">
        <f>IF($D750&lt;&gt;"",VLOOKUP($D750,'SINAPI MAIO 2020'!$1:$1048576,4,FALSE),"")</f>
        <v>13.87</v>
      </c>
      <c r="I750" s="583">
        <f t="shared" si="130"/>
        <v>8.2200000000000006</v>
      </c>
      <c r="J750" s="528"/>
      <c r="K750" s="528"/>
    </row>
    <row r="751" spans="2:11" ht="25.5">
      <c r="B751" s="547" t="s">
        <v>858</v>
      </c>
      <c r="C751" s="354" t="s">
        <v>8</v>
      </c>
      <c r="D751" s="385">
        <v>88267</v>
      </c>
      <c r="E751" s="334" t="str">
        <f>IF($D751&lt;&gt;"",VLOOKUP($D751,'SINAPI MAIO 2020'!$1:$1048576,2,FALSE),"")</f>
        <v>ENCANADOR OU BOMBEIRO HIDRÁULICO COM ENCARGOS COMPLEMENTARES</v>
      </c>
      <c r="F751" s="335" t="str">
        <f>IF($D751&lt;&gt;"",VLOOKUP($D751,'SINAPI MAIO 2020'!$1:$1048576,3,FALSE),"")</f>
        <v>H</v>
      </c>
      <c r="G751" s="524">
        <v>0.59299999999999997</v>
      </c>
      <c r="H751" s="583">
        <f>IF($D751&lt;&gt;"",VLOOKUP($D751,'SINAPI MAIO 2020'!$1:$1048576,4,FALSE),"")</f>
        <v>17.79</v>
      </c>
      <c r="I751" s="583">
        <f t="shared" si="130"/>
        <v>10.54</v>
      </c>
      <c r="J751" s="528"/>
      <c r="K751" s="528"/>
    </row>
    <row r="752" spans="2:11">
      <c r="B752" s="544"/>
      <c r="C752" s="514"/>
      <c r="D752" s="514"/>
      <c r="E752" s="515"/>
      <c r="F752" s="514"/>
      <c r="G752" s="560"/>
      <c r="H752" s="585"/>
      <c r="I752" s="585"/>
    </row>
    <row r="753" spans="2:11" ht="31.5" customHeight="1">
      <c r="B753" s="359" t="s">
        <v>7154</v>
      </c>
      <c r="C753" s="512"/>
      <c r="D753" s="512"/>
      <c r="E753" s="530" t="s">
        <v>12473</v>
      </c>
      <c r="F753" s="531" t="s">
        <v>35</v>
      </c>
      <c r="G753" s="367">
        <v>1</v>
      </c>
      <c r="H753" s="581"/>
      <c r="I753" s="582">
        <f>TRUNC(SUM(I754:I757),2)</f>
        <v>7967.32</v>
      </c>
      <c r="J753" s="528"/>
      <c r="K753" s="528"/>
    </row>
    <row r="754" spans="2:11" ht="25.5">
      <c r="B754" s="547" t="s">
        <v>858</v>
      </c>
      <c r="C754" s="354" t="s">
        <v>8</v>
      </c>
      <c r="D754" s="385">
        <v>88248</v>
      </c>
      <c r="E754" s="334" t="str">
        <f>IF($D754&lt;&gt;"",VLOOKUP($D754,'SINAPI MAIO 2020'!$1:$1048576,2,FALSE),"")</f>
        <v>AUXILIAR DE ENCANADOR OU BOMBEIRO HIDRÁULICO COM ENCARGOS COMPLEMENTARES</v>
      </c>
      <c r="F754" s="335" t="str">
        <f>IF($D754&lt;&gt;"",VLOOKUP($D754,'SINAPI MAIO 2020'!$1:$1048576,3,FALSE),"")</f>
        <v>H</v>
      </c>
      <c r="G754" s="360">
        <v>3</v>
      </c>
      <c r="H754" s="583">
        <f>IF($D754&lt;&gt;"",VLOOKUP($D754,'SINAPI MAIO 2020'!$1:$1048576,4,FALSE),"")</f>
        <v>13.87</v>
      </c>
      <c r="I754" s="583">
        <f t="shared" ref="I754:I757" si="131">TRUNC(G754*H754,2)</f>
        <v>41.61</v>
      </c>
      <c r="J754" s="528"/>
      <c r="K754" s="528"/>
    </row>
    <row r="755" spans="2:11" ht="25.5">
      <c r="B755" s="547" t="s">
        <v>858</v>
      </c>
      <c r="C755" s="354" t="s">
        <v>8</v>
      </c>
      <c r="D755" s="385">
        <v>88267</v>
      </c>
      <c r="E755" s="334" t="str">
        <f>IF($D755&lt;&gt;"",VLOOKUP($D755,'SINAPI MAIO 2020'!$1:$1048576,2,FALSE),"")</f>
        <v>ENCANADOR OU BOMBEIRO HIDRÁULICO COM ENCARGOS COMPLEMENTARES</v>
      </c>
      <c r="F755" s="335" t="str">
        <f>IF($D755&lt;&gt;"",VLOOKUP($D755,'SINAPI MAIO 2020'!$1:$1048576,3,FALSE),"")</f>
        <v>H</v>
      </c>
      <c r="G755" s="524">
        <v>5</v>
      </c>
      <c r="H755" s="583">
        <f>IF($D755&lt;&gt;"",VLOOKUP($D755,'SINAPI MAIO 2020'!$1:$1048576,4,FALSE),"")</f>
        <v>17.79</v>
      </c>
      <c r="I755" s="583">
        <f t="shared" si="131"/>
        <v>88.95</v>
      </c>
      <c r="J755" s="528"/>
      <c r="K755" s="528"/>
    </row>
    <row r="756" spans="2:11">
      <c r="B756" s="547" t="s">
        <v>858</v>
      </c>
      <c r="C756" s="354" t="s">
        <v>8</v>
      </c>
      <c r="D756" s="348">
        <v>88264</v>
      </c>
      <c r="E756" s="334" t="str">
        <f>IF($D756&lt;&gt;"",VLOOKUP($D756,'SINAPI MAIO 2020'!$1:$1048576,2,FALSE),"")</f>
        <v>ELETRICISTA COM ENCARGOS COMPLEMENTARES</v>
      </c>
      <c r="F756" s="335" t="str">
        <f>IF($D756&lt;&gt;"",VLOOKUP($D756,'SINAPI MAIO 2020'!$1:$1048576,3,FALSE),"")</f>
        <v>H</v>
      </c>
      <c r="G756" s="524">
        <v>2</v>
      </c>
      <c r="H756" s="583">
        <f>IF($D756&lt;&gt;"",VLOOKUP($D756,'SINAPI MAIO 2020'!$1:$1048576,4,FALSE),"")</f>
        <v>18.38</v>
      </c>
      <c r="I756" s="583">
        <f t="shared" ref="I756" si="132">TRUNC(G756*H756,2)</f>
        <v>36.76</v>
      </c>
      <c r="J756" s="528"/>
      <c r="K756" s="528"/>
    </row>
    <row r="757" spans="2:11" ht="25.5">
      <c r="B757" s="547" t="s">
        <v>835</v>
      </c>
      <c r="C757" s="354" t="s">
        <v>836</v>
      </c>
      <c r="D757" s="385"/>
      <c r="E757" s="532" t="s">
        <v>12472</v>
      </c>
      <c r="F757" s="385" t="s">
        <v>35</v>
      </c>
      <c r="G757" s="524">
        <v>1</v>
      </c>
      <c r="H757" s="379">
        <v>7800</v>
      </c>
      <c r="I757" s="583">
        <f t="shared" si="131"/>
        <v>7800</v>
      </c>
      <c r="J757" s="528"/>
      <c r="K757" s="528"/>
    </row>
    <row r="758" spans="2:11">
      <c r="B758" s="555"/>
      <c r="C758" s="510"/>
      <c r="D758" s="510"/>
      <c r="E758" s="529"/>
      <c r="F758" s="416"/>
      <c r="G758" s="539"/>
      <c r="H758" s="598"/>
      <c r="I758" s="599"/>
    </row>
    <row r="759" spans="2:11" ht="38.25">
      <c r="B759" s="359" t="s">
        <v>12474</v>
      </c>
      <c r="C759" s="513"/>
      <c r="D759" s="513"/>
      <c r="E759" s="154" t="s">
        <v>12475</v>
      </c>
      <c r="F759" s="155" t="s">
        <v>817</v>
      </c>
      <c r="G759" s="367">
        <v>1</v>
      </c>
      <c r="H759" s="581"/>
      <c r="I759" s="582">
        <f>TRUNC(SUM(I760:I776),2)</f>
        <v>2413</v>
      </c>
      <c r="J759" s="528"/>
      <c r="K759" s="528"/>
    </row>
    <row r="760" spans="2:11" ht="25.5">
      <c r="B760" s="543" t="s">
        <v>837</v>
      </c>
      <c r="C760" s="151" t="s">
        <v>8</v>
      </c>
      <c r="D760" s="156">
        <v>97086</v>
      </c>
      <c r="E760" s="334" t="str">
        <f>IF($D760&lt;&gt;"",VLOOKUP($D760,'SINAPI MAIO 2020'!$1:$1048576,2,FALSE),"")</f>
        <v>FABRICAÇÃO, MONTAGEM E DESMONTAGEM DE FORMA PARA RADIER, EM MADEIRA SERRADA, 4 UTILIZAÇÕES. AF_09/2017</v>
      </c>
      <c r="F760" s="335" t="str">
        <f>IF($D760&lt;&gt;"",VLOOKUP($D760,'SINAPI MAIO 2020'!$1:$1048576,3,FALSE),"")</f>
        <v>M2</v>
      </c>
      <c r="G760" s="571">
        <f>(2*2+0.9*2)*0.15</f>
        <v>0.87</v>
      </c>
      <c r="H760" s="583">
        <f>IF($D760&lt;&gt;"",VLOOKUP($D760,'SINAPI MAIO 2020'!$1:$1048576,4,FALSE),"")</f>
        <v>74.790000000000006</v>
      </c>
      <c r="I760" s="379">
        <f t="shared" ref="I760:I776" si="133">TRUNC(H760*G760,2)</f>
        <v>65.06</v>
      </c>
      <c r="J760" s="528"/>
      <c r="K760" s="528"/>
    </row>
    <row r="761" spans="2:11" ht="25.5">
      <c r="B761" s="543" t="s">
        <v>837</v>
      </c>
      <c r="C761" s="151" t="s">
        <v>8</v>
      </c>
      <c r="D761" s="156">
        <v>92793</v>
      </c>
      <c r="E761" s="334" t="str">
        <f>IF($D761&lt;&gt;"",VLOOKUP($D761,'SINAPI MAIO 2020'!$1:$1048576,2,FALSE),"")</f>
        <v>CORTE E DOBRA DE AÇO CA-50, DIÂMETRO DE 8,0 MM, UTILIZADO EM ESTRUTURAS DIVERSAS, EXCETO LAJES. AF_12/2015</v>
      </c>
      <c r="F761" s="335" t="str">
        <f>IF($D761&lt;&gt;"",VLOOKUP($D761,'SINAPI MAIO 2020'!$1:$1048576,3,FALSE),"")</f>
        <v>KG</v>
      </c>
      <c r="G761" s="571">
        <f>G762*10</f>
        <v>3</v>
      </c>
      <c r="H761" s="583">
        <f>IF($D761&lt;&gt;"",VLOOKUP($D761,'SINAPI MAIO 2020'!$1:$1048576,4,FALSE),"")</f>
        <v>6.49</v>
      </c>
      <c r="I761" s="379">
        <f t="shared" si="133"/>
        <v>19.47</v>
      </c>
      <c r="J761" s="528"/>
      <c r="K761" s="528"/>
    </row>
    <row r="762" spans="2:11" ht="25.5">
      <c r="B762" s="543" t="s">
        <v>837</v>
      </c>
      <c r="C762" s="151" t="s">
        <v>8</v>
      </c>
      <c r="D762" s="368">
        <v>94965</v>
      </c>
      <c r="E762" s="334" t="str">
        <f>IF($D762&lt;&gt;"",VLOOKUP($D762,'SINAPI MAIO 2020'!$1:$1048576,2,FALSE),"")</f>
        <v>CONCRETO FCK = 25MPA, TRAÇO 1:2,3:2,7 (CIMENTO/ AREIA MÉDIA/ BRITA 1)  - PREPARO MECÂNICO COM BETONEIRA 400 L. AF_07/2016</v>
      </c>
      <c r="F762" s="335" t="str">
        <f>IF($D762&lt;&gt;"",VLOOKUP($D762,'SINAPI MAIO 2020'!$1:$1048576,3,FALSE),"")</f>
        <v>M3</v>
      </c>
      <c r="G762" s="571">
        <f>2*1*0.15</f>
        <v>0.3</v>
      </c>
      <c r="H762" s="583">
        <f>IF($D762&lt;&gt;"",VLOOKUP($D762,'SINAPI MAIO 2020'!$1:$1048576,4,FALSE),"")</f>
        <v>323.58</v>
      </c>
      <c r="I762" s="379">
        <f t="shared" si="133"/>
        <v>97.07</v>
      </c>
      <c r="J762" s="528"/>
      <c r="K762" s="528"/>
    </row>
    <row r="763" spans="2:11" ht="25.5">
      <c r="B763" s="543" t="s">
        <v>837</v>
      </c>
      <c r="C763" s="151" t="s">
        <v>8</v>
      </c>
      <c r="D763" s="156">
        <v>92873</v>
      </c>
      <c r="E763" s="334" t="str">
        <f>IF($D763&lt;&gt;"",VLOOKUP($D763,'SINAPI MAIO 2020'!$1:$1048576,2,FALSE),"")</f>
        <v>LANÇAMENTO COM USO DE BALDES, ADENSAMENTO E ACABAMENTO DE CONCRETO EM ESTRUTURAS. AF_12/2015</v>
      </c>
      <c r="F763" s="335" t="str">
        <f>IF($D763&lt;&gt;"",VLOOKUP($D763,'SINAPI MAIO 2020'!$1:$1048576,3,FALSE),"")</f>
        <v>M3</v>
      </c>
      <c r="G763" s="571">
        <f>G762</f>
        <v>0.3</v>
      </c>
      <c r="H763" s="583">
        <f>IF($D763&lt;&gt;"",VLOOKUP($D763,'SINAPI MAIO 2020'!$1:$1048576,4,FALSE),"")</f>
        <v>146.37</v>
      </c>
      <c r="I763" s="379">
        <f t="shared" si="133"/>
        <v>43.91</v>
      </c>
    </row>
    <row r="764" spans="2:11">
      <c r="B764" s="543" t="s">
        <v>837</v>
      </c>
      <c r="C764" s="151" t="s">
        <v>8</v>
      </c>
      <c r="D764" s="156">
        <v>88309</v>
      </c>
      <c r="E764" s="334" t="str">
        <f>IF($D764&lt;&gt;"",VLOOKUP($D764,'SINAPI MAIO 2020'!$1:$1048576,2,FALSE),"")</f>
        <v>PEDREIRO COM ENCARGOS COMPLEMENTARES</v>
      </c>
      <c r="F764" s="335" t="str">
        <f>IF($D764&lt;&gt;"",VLOOKUP($D764,'SINAPI MAIO 2020'!$1:$1048576,3,FALSE),"")</f>
        <v>H</v>
      </c>
      <c r="G764" s="571">
        <v>0.3</v>
      </c>
      <c r="H764" s="583">
        <f>IF($D764&lt;&gt;"",VLOOKUP($D764,'SINAPI MAIO 2020'!$1:$1048576,4,FALSE),"")</f>
        <v>17.760000000000002</v>
      </c>
      <c r="I764" s="379">
        <f t="shared" si="133"/>
        <v>5.32</v>
      </c>
      <c r="J764" s="528"/>
      <c r="K764" s="528"/>
    </row>
    <row r="765" spans="2:11">
      <c r="B765" s="543" t="s">
        <v>837</v>
      </c>
      <c r="C765" s="151" t="s">
        <v>8</v>
      </c>
      <c r="D765" s="156">
        <v>88316</v>
      </c>
      <c r="E765" s="334" t="str">
        <f>IF($D765&lt;&gt;"",VLOOKUP($D765,'SINAPI MAIO 2020'!$1:$1048576,2,FALSE),"")</f>
        <v>SERVENTE COM ENCARGOS COMPLEMENTARES</v>
      </c>
      <c r="F765" s="335" t="str">
        <f>IF($D765&lt;&gt;"",VLOOKUP($D765,'SINAPI MAIO 2020'!$1:$1048576,3,FALSE),"")</f>
        <v>H</v>
      </c>
      <c r="G765" s="571">
        <v>0.2</v>
      </c>
      <c r="H765" s="583">
        <f>IF($D765&lt;&gt;"",VLOOKUP($D765,'SINAPI MAIO 2020'!$1:$1048576,4,FALSE),"")</f>
        <v>14.37</v>
      </c>
      <c r="I765" s="379">
        <f t="shared" si="133"/>
        <v>2.87</v>
      </c>
      <c r="J765" s="528"/>
      <c r="K765" s="528"/>
    </row>
    <row r="766" spans="2:11" ht="63.75">
      <c r="B766" s="543" t="s">
        <v>837</v>
      </c>
      <c r="C766" s="151" t="s">
        <v>8</v>
      </c>
      <c r="D766" s="156">
        <v>89312</v>
      </c>
      <c r="E766" s="334" t="str">
        <f>IF($D766&lt;&gt;"",VLOOKUP($D766,'SINAPI MAIO 2020'!$1:$1048576,2,FALSE),"")</f>
        <v>ALVENARIA ESTRUTURAL DE BLOCOS CERÂMICOS 14X19X29, (ESPESSURA DE 14 CM), PARA PAREDES COM ÁREA LÍQUIDA MAIOR OU IGUAL A 6M², COM VÃOS, UTILIZANDO COLHER DE PEDREIRO E ARGAMASSA DE ASSENTAMENTO COM PREPARO EM BETONEIRA. AF_12/2014</v>
      </c>
      <c r="F766" s="335" t="str">
        <f>IF($D766&lt;&gt;"",VLOOKUP($D766,'SINAPI MAIO 2020'!$1:$1048576,3,FALSE),"")</f>
        <v>M2</v>
      </c>
      <c r="G766" s="571">
        <f>(0.6*2+1.5)*1.5</f>
        <v>4.0500000000000007</v>
      </c>
      <c r="H766" s="583">
        <f>IF($D766&lt;&gt;"",VLOOKUP($D766,'SINAPI MAIO 2020'!$1:$1048576,4,FALSE),"")</f>
        <v>68.459999999999994</v>
      </c>
      <c r="I766" s="379">
        <f t="shared" si="133"/>
        <v>277.26</v>
      </c>
      <c r="J766" s="528"/>
      <c r="K766" s="528"/>
    </row>
    <row r="767" spans="2:11" ht="51">
      <c r="B767" s="543" t="s">
        <v>837</v>
      </c>
      <c r="C767" s="151" t="s">
        <v>8</v>
      </c>
      <c r="D767" s="156">
        <v>87905</v>
      </c>
      <c r="E767" s="334" t="str">
        <f>IF($D767&lt;&gt;"",VLOOKUP($D767,'SINAPI MAIO 2020'!$1:$1048576,2,FALSE),"")</f>
        <v>CHAPISCO APLICADO EM ALVENARIA (COM PRESENÇA DE VÃOS) E ESTRUTURAS DE CONCRETO DE FACHADA, COM COLHER DE PEDREIRO.  ARGAMASSA TRAÇO 1:3 COM PREPARO EM BETONEIRA 400L. AF_06/2014</v>
      </c>
      <c r="F767" s="335" t="str">
        <f>IF($D767&lt;&gt;"",VLOOKUP($D767,'SINAPI MAIO 2020'!$1:$1048576,3,FALSE),"")</f>
        <v>M2</v>
      </c>
      <c r="G767" s="571">
        <f>G766*2</f>
        <v>8.1000000000000014</v>
      </c>
      <c r="H767" s="583">
        <f>IF($D767&lt;&gt;"",VLOOKUP($D767,'SINAPI MAIO 2020'!$1:$1048576,4,FALSE),"")</f>
        <v>5.93</v>
      </c>
      <c r="I767" s="379">
        <f t="shared" si="133"/>
        <v>48.03</v>
      </c>
      <c r="J767" s="528"/>
      <c r="K767" s="528"/>
    </row>
    <row r="768" spans="2:11" ht="51">
      <c r="B768" s="543" t="s">
        <v>837</v>
      </c>
      <c r="C768" s="151" t="s">
        <v>8</v>
      </c>
      <c r="D768" s="156">
        <v>87529</v>
      </c>
      <c r="E768" s="334" t="str">
        <f>IF($D768&lt;&gt;"",VLOOKUP($D768,'SINAPI MAIO 2020'!$1:$1048576,2,FALSE),"")</f>
        <v>MASSA ÚNICA, PARA RECEBIMENTO DE PINTURA, EM ARGAMASSA TRAÇO 1:2:8, PREPARO MECÂNICO COM BETONEIRA 400L, APLICADA MANUALMENTE EM FACES INTERNAS DE PAREDES, ESPESSURA DE 20MM, COM EXECUÇÃO DE TALISCAS. AF_06/2014</v>
      </c>
      <c r="F768" s="335" t="str">
        <f>IF($D768&lt;&gt;"",VLOOKUP($D768,'SINAPI MAIO 2020'!$1:$1048576,3,FALSE),"")</f>
        <v>M2</v>
      </c>
      <c r="G768" s="571">
        <f>G767</f>
        <v>8.1000000000000014</v>
      </c>
      <c r="H768" s="583">
        <f>IF($D768&lt;&gt;"",VLOOKUP($D768,'SINAPI MAIO 2020'!$1:$1048576,4,FALSE),"")</f>
        <v>23.45</v>
      </c>
      <c r="I768" s="379">
        <f t="shared" si="133"/>
        <v>189.94</v>
      </c>
      <c r="J768" s="528"/>
      <c r="K768" s="528"/>
    </row>
    <row r="769" spans="2:11" ht="25.5">
      <c r="B769" s="543" t="s">
        <v>837</v>
      </c>
      <c r="C769" s="151" t="s">
        <v>8</v>
      </c>
      <c r="D769" s="156">
        <v>88415</v>
      </c>
      <c r="E769" s="334" t="str">
        <f>IF($D769&lt;&gt;"",VLOOKUP($D769,'SINAPI MAIO 2020'!$1:$1048576,2,FALSE),"")</f>
        <v>APLICAÇÃO MANUAL DE FUNDO SELADOR ACRÍLICO EM PAREDES EXTERNAS DE CASAS. AF_06/2014</v>
      </c>
      <c r="F769" s="335" t="str">
        <f>IF($D769&lt;&gt;"",VLOOKUP($D769,'SINAPI MAIO 2020'!$1:$1048576,3,FALSE),"")</f>
        <v>M2</v>
      </c>
      <c r="G769" s="571">
        <f>G768</f>
        <v>8.1000000000000014</v>
      </c>
      <c r="H769" s="583">
        <f>IF($D769&lt;&gt;"",VLOOKUP($D769,'SINAPI MAIO 2020'!$1:$1048576,4,FALSE),"")</f>
        <v>1.85</v>
      </c>
      <c r="I769" s="379">
        <f t="shared" si="133"/>
        <v>14.98</v>
      </c>
      <c r="J769" s="528"/>
      <c r="K769" s="528"/>
    </row>
    <row r="770" spans="2:11" ht="25.5">
      <c r="B770" s="543" t="s">
        <v>837</v>
      </c>
      <c r="C770" s="151" t="s">
        <v>8</v>
      </c>
      <c r="D770" s="156">
        <v>88489</v>
      </c>
      <c r="E770" s="334" t="str">
        <f>IF($D770&lt;&gt;"",VLOOKUP($D770,'SINAPI MAIO 2020'!$1:$1048576,2,FALSE),"")</f>
        <v>APLICAÇÃO MANUAL DE PINTURA COM TINTA LÁTEX ACRÍLICA EM PAREDES, DUAS DEMÃOS. AF_06/2014</v>
      </c>
      <c r="F770" s="335" t="str">
        <f>IF($D770&lt;&gt;"",VLOOKUP($D770,'SINAPI MAIO 2020'!$1:$1048576,3,FALSE),"")</f>
        <v>M2</v>
      </c>
      <c r="G770" s="571">
        <f>G769</f>
        <v>8.1000000000000014</v>
      </c>
      <c r="H770" s="583">
        <f>IF($D770&lt;&gt;"",VLOOKUP($D770,'SINAPI MAIO 2020'!$1:$1048576,4,FALSE),"")</f>
        <v>11.3</v>
      </c>
      <c r="I770" s="379">
        <f t="shared" si="133"/>
        <v>91.53</v>
      </c>
      <c r="J770" s="528"/>
      <c r="K770" s="528"/>
    </row>
    <row r="771" spans="2:11" ht="38.25">
      <c r="B771" s="543" t="s">
        <v>837</v>
      </c>
      <c r="C771" s="151" t="s">
        <v>8</v>
      </c>
      <c r="D771" s="156">
        <v>37562</v>
      </c>
      <c r="E771" s="334" t="str">
        <f>IF($D771&lt;&gt;"",VLOOKUP($D771,'SINAPI MAIO 2020'!$1:$1048576,2,FALSE),"")</f>
        <v>PORTAO DE CORRER EM GRADIL FIXO DE BARRA DE FERRO CHATA DE 3 X 1/4" NA VERTICAL, SEM REQUADRO, ACABAMENTO NATURAL, COM TRILHOS E ROLDANAS</v>
      </c>
      <c r="F771" s="335" t="s">
        <v>48</v>
      </c>
      <c r="G771" s="571">
        <f>1.5*1.5</f>
        <v>2.25</v>
      </c>
      <c r="H771" s="583">
        <f>IF($D771&lt;&gt;"",VLOOKUP($D771,'SINAPI MAIO 2020'!$1:$1048576,4,FALSE),"")</f>
        <v>517.91</v>
      </c>
      <c r="I771" s="379">
        <f t="shared" si="133"/>
        <v>1165.29</v>
      </c>
      <c r="J771" s="528"/>
      <c r="K771" s="528"/>
    </row>
    <row r="772" spans="2:11" ht="38.25">
      <c r="B772" s="543" t="s">
        <v>837</v>
      </c>
      <c r="C772" s="151" t="s">
        <v>8</v>
      </c>
      <c r="D772" s="156">
        <v>92448</v>
      </c>
      <c r="E772" s="334" t="str">
        <f>IF($D772&lt;&gt;"",VLOOKUP($D772,'SINAPI MAIO 2020'!$1:$1048576,2,FALSE),"")</f>
        <v>MONTAGEM E DESMONTAGEM DE FÔRMA DE VIGA, ESCORAMENTO COM PONTALETE DE MADEIRA, PÉ-DIREITO SIMPLES, EM MADEIRA SERRADA, 4 UTILIZAÇÕES. AF_12/2015</v>
      </c>
      <c r="F772" s="335" t="str">
        <f>IF($D772&lt;&gt;"",VLOOKUP($D772,'SINAPI MAIO 2020'!$1:$1048576,3,FALSE),"")</f>
        <v>M2</v>
      </c>
      <c r="G772" s="571">
        <f>2*1</f>
        <v>2</v>
      </c>
      <c r="H772" s="583">
        <f>IF($D772&lt;&gt;"",VLOOKUP($D772,'SINAPI MAIO 2020'!$1:$1048576,4,FALSE),"")</f>
        <v>77.319999999999993</v>
      </c>
      <c r="I772" s="379">
        <f t="shared" si="133"/>
        <v>154.63999999999999</v>
      </c>
      <c r="J772" s="528"/>
      <c r="K772" s="528"/>
    </row>
    <row r="773" spans="2:11" ht="38.25">
      <c r="B773" s="543" t="s">
        <v>837</v>
      </c>
      <c r="C773" s="151" t="s">
        <v>8</v>
      </c>
      <c r="D773" s="156">
        <v>92786</v>
      </c>
      <c r="E773" s="334" t="str">
        <f>IF($D773&lt;&gt;"",VLOOKUP($D773,'SINAPI MAIO 2020'!$1:$1048576,2,FALSE),"")</f>
        <v>ARMAÇÃO DE LAJE DE UMA ESTRUTURA CONVENCIONAL DE CONCRETO ARMADO EM UMA EDIFICAÇÃO TÉRREA OU SOBRADO UTILIZANDO AÇO CA-50 DE 8,0 MM - MONTAGEM. AF_12/2015</v>
      </c>
      <c r="F773" s="335" t="str">
        <f>IF($D773&lt;&gt;"",VLOOKUP($D773,'SINAPI MAIO 2020'!$1:$1048576,3,FALSE),"")</f>
        <v>KG</v>
      </c>
      <c r="G773" s="571">
        <f>10*G774</f>
        <v>3</v>
      </c>
      <c r="H773" s="583">
        <f>IF($D773&lt;&gt;"",VLOOKUP($D773,'SINAPI MAIO 2020'!$1:$1048576,4,FALSE),"")</f>
        <v>8.5</v>
      </c>
      <c r="I773" s="379">
        <f t="shared" si="133"/>
        <v>25.5</v>
      </c>
      <c r="J773" s="528"/>
      <c r="K773" s="528"/>
    </row>
    <row r="774" spans="2:11" ht="25.5">
      <c r="B774" s="543" t="s">
        <v>837</v>
      </c>
      <c r="C774" s="151" t="s">
        <v>8</v>
      </c>
      <c r="D774" s="368">
        <v>94965</v>
      </c>
      <c r="E774" s="334" t="str">
        <f>IF($D774&lt;&gt;"",VLOOKUP($D774,'SINAPI MAIO 2020'!$1:$1048576,2,FALSE),"")</f>
        <v>CONCRETO FCK = 25MPA, TRAÇO 1:2,3:2,7 (CIMENTO/ AREIA MÉDIA/ BRITA 1)  - PREPARO MECÂNICO COM BETONEIRA 400 L. AF_07/2016</v>
      </c>
      <c r="F774" s="335" t="str">
        <f>IF($D774&lt;&gt;"",VLOOKUP($D774,'SINAPI MAIO 2020'!$1:$1048576,3,FALSE),"")</f>
        <v>M3</v>
      </c>
      <c r="G774" s="571">
        <f>2*1*0.15</f>
        <v>0.3</v>
      </c>
      <c r="H774" s="583">
        <f>IF($D774&lt;&gt;"",VLOOKUP($D774,'SINAPI MAIO 2020'!$1:$1048576,4,FALSE),"")</f>
        <v>323.58</v>
      </c>
      <c r="I774" s="379">
        <f t="shared" si="133"/>
        <v>97.07</v>
      </c>
      <c r="J774" s="528"/>
      <c r="K774" s="528"/>
    </row>
    <row r="775" spans="2:11" ht="25.5">
      <c r="B775" s="543" t="s">
        <v>837</v>
      </c>
      <c r="C775" s="151" t="s">
        <v>8</v>
      </c>
      <c r="D775" s="156">
        <v>92873</v>
      </c>
      <c r="E775" s="334" t="str">
        <f>IF($D775&lt;&gt;"",VLOOKUP($D775,'SINAPI MAIO 2020'!$1:$1048576,2,FALSE),"")</f>
        <v>LANÇAMENTO COM USO DE BALDES, ADENSAMENTO E ACABAMENTO DE CONCRETO EM ESTRUTURAS. AF_12/2015</v>
      </c>
      <c r="F775" s="335" t="str">
        <f>IF($D775&lt;&gt;"",VLOOKUP($D775,'SINAPI MAIO 2020'!$1:$1048576,3,FALSE),"")</f>
        <v>M3</v>
      </c>
      <c r="G775" s="571">
        <f>G774</f>
        <v>0.3</v>
      </c>
      <c r="H775" s="583">
        <f>IF($D775&lt;&gt;"",VLOOKUP($D775,'SINAPI MAIO 2020'!$1:$1048576,4,FALSE),"")</f>
        <v>146.37</v>
      </c>
      <c r="I775" s="379">
        <f t="shared" si="133"/>
        <v>43.91</v>
      </c>
      <c r="J775" s="528"/>
      <c r="K775" s="528"/>
    </row>
    <row r="776" spans="2:11" ht="25.5">
      <c r="B776" s="543" t="s">
        <v>837</v>
      </c>
      <c r="C776" s="151" t="s">
        <v>8</v>
      </c>
      <c r="D776" s="152">
        <v>98561</v>
      </c>
      <c r="E776" s="334" t="str">
        <f>IF($D776&lt;&gt;"",VLOOKUP($D776,'SINAPI MAIO 2020'!$1:$1048576,2,FALSE),"")</f>
        <v>IMPERMEABILIZAÇÃO DE PAREDES COM ARGAMASSA DE CIMENTO E AREIA, COM ADITIVO IMPERMEABILIZANTE, E = 2CM. AF_06/2018</v>
      </c>
      <c r="F776" s="335" t="str">
        <f>IF($D776&lt;&gt;"",VLOOKUP($D776,'SINAPI MAIO 2020'!$1:$1048576,3,FALSE),"")</f>
        <v>M2</v>
      </c>
      <c r="G776" s="571">
        <v>2.5</v>
      </c>
      <c r="H776" s="583">
        <f>IF($D776&lt;&gt;"",VLOOKUP($D776,'SINAPI MAIO 2020'!$1:$1048576,4,FALSE),"")</f>
        <v>28.46</v>
      </c>
      <c r="I776" s="379">
        <f t="shared" si="133"/>
        <v>71.150000000000006</v>
      </c>
      <c r="J776" s="528"/>
      <c r="K776" s="528"/>
    </row>
    <row r="777" spans="2:11">
      <c r="C777" s="533"/>
      <c r="D777" s="534"/>
      <c r="E777" s="334"/>
      <c r="F777" s="335"/>
      <c r="G777" s="576"/>
      <c r="H777" s="583"/>
      <c r="J777" s="528"/>
      <c r="K777" s="528"/>
    </row>
    <row r="778" spans="2:11">
      <c r="C778" s="533"/>
      <c r="D778" s="533"/>
      <c r="E778" s="535"/>
      <c r="F778" s="533"/>
      <c r="G778" s="576"/>
      <c r="J778" s="528"/>
      <c r="K778" s="528"/>
    </row>
    <row r="779" spans="2:11">
      <c r="B779" s="554"/>
      <c r="C779" s="533"/>
      <c r="D779" s="533"/>
      <c r="E779" s="535"/>
      <c r="F779" s="533"/>
      <c r="G779" s="576"/>
      <c r="I779" s="579"/>
      <c r="J779" s="528"/>
      <c r="K779" s="528"/>
    </row>
    <row r="780" spans="2:11">
      <c r="B780" s="794" t="s">
        <v>43</v>
      </c>
      <c r="C780" s="794"/>
      <c r="D780" s="794"/>
      <c r="E780" s="794"/>
      <c r="F780" s="794"/>
      <c r="G780" s="794"/>
      <c r="H780" s="794"/>
      <c r="I780" s="794"/>
    </row>
    <row r="781" spans="2:11">
      <c r="C781" s="533"/>
      <c r="D781" s="352"/>
      <c r="E781" s="334"/>
      <c r="F781" s="335"/>
      <c r="G781" s="576"/>
      <c r="H781" s="583"/>
      <c r="J781" s="528"/>
      <c r="K781" s="528"/>
    </row>
    <row r="782" spans="2:11" ht="25.5">
      <c r="B782" s="359" t="s">
        <v>12499</v>
      </c>
      <c r="C782" s="513"/>
      <c r="D782" s="513"/>
      <c r="E782" s="154" t="s">
        <v>6046</v>
      </c>
      <c r="F782" s="386" t="s">
        <v>998</v>
      </c>
      <c r="G782" s="367">
        <v>1</v>
      </c>
      <c r="H782" s="581"/>
      <c r="I782" s="582">
        <f>TRUNC(SUM(I783:I784),2)</f>
        <v>28.16</v>
      </c>
      <c r="J782" s="528"/>
      <c r="K782" s="528"/>
    </row>
    <row r="783" spans="2:11">
      <c r="B783" s="543" t="s">
        <v>835</v>
      </c>
      <c r="C783" s="151" t="s">
        <v>836</v>
      </c>
      <c r="D783" s="152"/>
      <c r="E783" s="334" t="s">
        <v>6047</v>
      </c>
      <c r="F783" s="335" t="s">
        <v>817</v>
      </c>
      <c r="G783" s="360">
        <v>1</v>
      </c>
      <c r="H783" s="583">
        <v>25.5</v>
      </c>
      <c r="I783" s="379">
        <f>H783*G783</f>
        <v>25.5</v>
      </c>
      <c r="J783" s="528"/>
      <c r="K783" s="528"/>
    </row>
    <row r="784" spans="2:11">
      <c r="B784" s="547" t="s">
        <v>837</v>
      </c>
      <c r="C784" s="151" t="s">
        <v>8</v>
      </c>
      <c r="D784" s="354">
        <v>88309</v>
      </c>
      <c r="E784" s="334" t="str">
        <f>IF($D784&lt;&gt;"",VLOOKUP($D784,'SINAPI MAIO 2020'!$1:$1048576,2,FALSE),"")</f>
        <v>PEDREIRO COM ENCARGOS COMPLEMENTARES</v>
      </c>
      <c r="F784" s="335" t="str">
        <f>IF($D784&lt;&gt;"",VLOOKUP($D784,'SINAPI MAIO 2020'!$1:$1048576,3,FALSE),"")</f>
        <v>H</v>
      </c>
      <c r="G784" s="562">
        <v>0.15</v>
      </c>
      <c r="H784" s="583">
        <f>IF($D784&lt;&gt;"",VLOOKUP($D784,'SINAPI MAIO 2020'!$1:$1048576,4,FALSE),"")</f>
        <v>17.760000000000002</v>
      </c>
      <c r="I784" s="587">
        <f t="shared" ref="I784" si="134">H784*G784</f>
        <v>2.6640000000000001</v>
      </c>
    </row>
    <row r="785" spans="2:11" ht="54.75" customHeight="1">
      <c r="B785" s="543"/>
      <c r="C785" s="151"/>
      <c r="D785" s="351"/>
      <c r="E785" s="417"/>
      <c r="F785" s="151"/>
      <c r="G785" s="524"/>
      <c r="H785" s="585"/>
      <c r="I785" s="379"/>
      <c r="J785" s="528"/>
      <c r="K785" s="528"/>
    </row>
    <row r="786" spans="2:11">
      <c r="B786" s="359" t="s">
        <v>12500</v>
      </c>
      <c r="C786" s="513"/>
      <c r="D786" s="513"/>
      <c r="E786" s="154" t="s">
        <v>6049</v>
      </c>
      <c r="F786" s="155" t="s">
        <v>48</v>
      </c>
      <c r="G786" s="367">
        <v>1</v>
      </c>
      <c r="H786" s="581"/>
      <c r="I786" s="582">
        <f>TRUNC(SUM(I787:I790),2)</f>
        <v>30.11</v>
      </c>
      <c r="J786" s="528"/>
      <c r="K786" s="528"/>
    </row>
    <row r="787" spans="2:11" ht="25.5">
      <c r="B787" s="543" t="s">
        <v>837</v>
      </c>
      <c r="C787" s="151" t="s">
        <v>8</v>
      </c>
      <c r="D787" s="156">
        <v>4412</v>
      </c>
      <c r="E787" s="334" t="str">
        <f>IF($D787&lt;&gt;"",VLOOKUP($D787,'SINAPI MAIO 2020'!$1:$1048576,2,FALSE),"")</f>
        <v>RIPA DE MADEIRA NAO APARELHADA *1 X 3* CM, MACARANDUBA, ANGELIM OU EQUIVALENTE DA REGIAO</v>
      </c>
      <c r="F787" s="335" t="str">
        <f>IF($D787&lt;&gt;"",VLOOKUP($D787,'SINAPI MAIO 2020'!$1:$1048576,3,FALSE),"")</f>
        <v xml:space="preserve">M     </v>
      </c>
      <c r="G787" s="571">
        <v>4</v>
      </c>
      <c r="H787" s="583">
        <f>IF($D787&lt;&gt;"",VLOOKUP($D787,'SINAPI MAIO 2020'!$1:$1048576,4,FALSE),"")</f>
        <v>0.93</v>
      </c>
      <c r="I787" s="379">
        <f t="shared" ref="I787:I790" si="135">TRUNC(H787*G787,2)</f>
        <v>3.72</v>
      </c>
    </row>
    <row r="788" spans="2:11">
      <c r="B788" s="543" t="s">
        <v>837</v>
      </c>
      <c r="C788" s="151" t="s">
        <v>8</v>
      </c>
      <c r="D788" s="156">
        <v>5067</v>
      </c>
      <c r="E788" s="334" t="str">
        <f>IF($D788&lt;&gt;"",VLOOKUP($D788,'SINAPI MAIO 2020'!$1:$1048576,2,FALSE),"")</f>
        <v>PREGO DE ACO POLIDO COM CABECA 16 X 24 (2 1/4 X 12)</v>
      </c>
      <c r="F788" s="335" t="str">
        <f>IF($D788&lt;&gt;"",VLOOKUP($D788,'SINAPI MAIO 2020'!$1:$1048576,3,FALSE),"")</f>
        <v xml:space="preserve">KG    </v>
      </c>
      <c r="G788" s="571">
        <v>0.8</v>
      </c>
      <c r="H788" s="583">
        <f>IF($D788&lt;&gt;"",VLOOKUP($D788,'SINAPI MAIO 2020'!$1:$1048576,4,FALSE),"")</f>
        <v>11.91</v>
      </c>
      <c r="I788" s="379">
        <f t="shared" si="135"/>
        <v>9.52</v>
      </c>
      <c r="J788" s="528"/>
      <c r="K788" s="528"/>
    </row>
    <row r="789" spans="2:11">
      <c r="B789" s="543" t="s">
        <v>837</v>
      </c>
      <c r="C789" s="151" t="s">
        <v>8</v>
      </c>
      <c r="D789" s="156">
        <v>88261</v>
      </c>
      <c r="E789" s="334" t="str">
        <f>IF($D789&lt;&gt;"",VLOOKUP($D789,'SINAPI MAIO 2020'!$1:$1048576,2,FALSE),"")</f>
        <v>CARPINTEIRO DE ESQUADRIA COM ENCARGOS COMPLEMENTARES</v>
      </c>
      <c r="F789" s="335" t="str">
        <f>IF($D789&lt;&gt;"",VLOOKUP($D789,'SINAPI MAIO 2020'!$1:$1048576,3,FALSE),"")</f>
        <v>H</v>
      </c>
      <c r="G789" s="571">
        <v>0.5</v>
      </c>
      <c r="H789" s="583">
        <f>IF($D789&lt;&gt;"",VLOOKUP($D789,'SINAPI MAIO 2020'!$1:$1048576,4,FALSE),"")</f>
        <v>18.84</v>
      </c>
      <c r="I789" s="379">
        <f t="shared" si="135"/>
        <v>9.42</v>
      </c>
      <c r="J789" s="528"/>
      <c r="K789" s="528"/>
    </row>
    <row r="790" spans="2:11">
      <c r="B790" s="543" t="s">
        <v>837</v>
      </c>
      <c r="C790" s="151" t="s">
        <v>8</v>
      </c>
      <c r="D790" s="156">
        <v>88239</v>
      </c>
      <c r="E790" s="334" t="str">
        <f>IF($D790&lt;&gt;"",VLOOKUP($D790,'SINAPI MAIO 2020'!$1:$1048576,2,FALSE),"")</f>
        <v>AJUDANTE DE CARPINTEIRO COM ENCARGOS COMPLEMENTARES</v>
      </c>
      <c r="F790" s="335" t="str">
        <f>IF($D790&lt;&gt;"",VLOOKUP($D790,'SINAPI MAIO 2020'!$1:$1048576,3,FALSE),"")</f>
        <v>H</v>
      </c>
      <c r="G790" s="571">
        <v>0.5</v>
      </c>
      <c r="H790" s="583">
        <f>IF($D790&lt;&gt;"",VLOOKUP($D790,'SINAPI MAIO 2020'!$1:$1048576,4,FALSE),"")</f>
        <v>14.91</v>
      </c>
      <c r="I790" s="379">
        <f t="shared" si="135"/>
        <v>7.45</v>
      </c>
      <c r="J790" s="528"/>
      <c r="K790" s="528"/>
    </row>
    <row r="791" spans="2:11">
      <c r="B791" s="544"/>
      <c r="C791" s="514"/>
      <c r="D791" s="514"/>
      <c r="E791" s="515"/>
      <c r="F791" s="514"/>
      <c r="G791" s="560"/>
      <c r="H791" s="585"/>
      <c r="I791" s="585"/>
    </row>
    <row r="792" spans="2:11">
      <c r="B792" s="555"/>
      <c r="C792" s="510"/>
      <c r="D792" s="510"/>
      <c r="E792" s="529"/>
      <c r="F792" s="416"/>
      <c r="G792" s="539"/>
      <c r="H792" s="598"/>
      <c r="I792" s="599"/>
    </row>
    <row r="793" spans="2:11">
      <c r="B793" s="359" t="s">
        <v>12501</v>
      </c>
      <c r="C793" s="513"/>
      <c r="D793" s="513"/>
      <c r="E793" s="154" t="s">
        <v>12476</v>
      </c>
      <c r="F793" s="155" t="s">
        <v>996</v>
      </c>
      <c r="G793" s="367">
        <v>1</v>
      </c>
      <c r="H793" s="581"/>
      <c r="I793" s="582">
        <f>TRUNC(SUM(I794:I796),2)</f>
        <v>123.92</v>
      </c>
      <c r="J793" s="528"/>
      <c r="K793" s="528"/>
    </row>
    <row r="794" spans="2:11">
      <c r="B794" s="543" t="s">
        <v>837</v>
      </c>
      <c r="C794" s="151" t="s">
        <v>8</v>
      </c>
      <c r="D794" s="351">
        <v>88316</v>
      </c>
      <c r="E794" s="334" t="str">
        <f>IF($D794&lt;&gt;"",VLOOKUP($D794,'SINAPI MAIO 2020'!$1:$1048576,2,FALSE),"")</f>
        <v>SERVENTE COM ENCARGOS COMPLEMENTARES</v>
      </c>
      <c r="F794" s="335" t="str">
        <f>IF($D794&lt;&gt;"",VLOOKUP($D794,'SINAPI MAIO 2020'!$1:$1048576,3,FALSE),"")</f>
        <v>H</v>
      </c>
      <c r="G794" s="360">
        <v>2.5</v>
      </c>
      <c r="H794" s="583">
        <f>IF($D794&lt;&gt;"",VLOOKUP($D794,'SINAPI MAIO 2020'!$1:$1048576,4,FALSE),"")</f>
        <v>14.37</v>
      </c>
      <c r="I794" s="379">
        <f t="shared" ref="I794:I796" si="136">TRUNC(H794*G794,2)</f>
        <v>35.92</v>
      </c>
      <c r="J794" s="528"/>
      <c r="K794" s="528"/>
    </row>
    <row r="795" spans="2:11" ht="25.5">
      <c r="B795" s="543" t="s">
        <v>838</v>
      </c>
      <c r="C795" s="151" t="s">
        <v>8</v>
      </c>
      <c r="D795" s="351">
        <v>4718</v>
      </c>
      <c r="E795" s="334" t="str">
        <f>IF($D795&lt;&gt;"",VLOOKUP($D795,'SINAPI MAIO 2020'!$1:$1048576,2,FALSE),"")</f>
        <v>PEDRA BRITADA N. 2 (19 A 38 MM) POSTO PEDREIRA/FORNECEDOR, SEM FRETE</v>
      </c>
      <c r="F795" s="335" t="str">
        <f>IF($D795&lt;&gt;"",VLOOKUP($D795,'SINAPI MAIO 2020'!$1:$1048576,3,FALSE),"")</f>
        <v xml:space="preserve">M3    </v>
      </c>
      <c r="G795" s="360">
        <v>0.55000000000000004</v>
      </c>
      <c r="H795" s="583">
        <f>IF($D795&lt;&gt;"",VLOOKUP($D795,'SINAPI MAIO 2020'!$1:$1048576,4,FALSE),"")</f>
        <v>80</v>
      </c>
      <c r="I795" s="379">
        <f t="shared" si="136"/>
        <v>44</v>
      </c>
      <c r="J795" s="528"/>
      <c r="K795" s="528"/>
    </row>
    <row r="796" spans="2:11" ht="25.5">
      <c r="B796" s="543" t="s">
        <v>838</v>
      </c>
      <c r="C796" s="151" t="s">
        <v>8</v>
      </c>
      <c r="D796" s="351">
        <v>4721</v>
      </c>
      <c r="E796" s="334" t="str">
        <f>IF($D796&lt;&gt;"",VLOOKUP($D796,'SINAPI MAIO 2020'!$1:$1048576,2,FALSE),"")</f>
        <v>PEDRA BRITADA N. 1 (9,5 a 19 MM) POSTO PEDREIRA/FORNECEDOR, SEM FRETE</v>
      </c>
      <c r="F796" s="335" t="str">
        <f>IF($D796&lt;&gt;"",VLOOKUP($D796,'SINAPI MAIO 2020'!$1:$1048576,3,FALSE),"")</f>
        <v xml:space="preserve">M3    </v>
      </c>
      <c r="G796" s="360">
        <v>0.55000000000000004</v>
      </c>
      <c r="H796" s="583">
        <f>IF($D796&lt;&gt;"",VLOOKUP($D796,'SINAPI MAIO 2020'!$1:$1048576,4,FALSE),"")</f>
        <v>80</v>
      </c>
      <c r="I796" s="379">
        <f t="shared" si="136"/>
        <v>44</v>
      </c>
    </row>
    <row r="797" spans="2:11">
      <c r="C797" s="533"/>
      <c r="D797" s="352"/>
      <c r="E797" s="334"/>
      <c r="F797" s="335"/>
      <c r="G797" s="576"/>
      <c r="H797" s="583"/>
      <c r="J797" s="528"/>
      <c r="K797" s="528"/>
    </row>
    <row r="798" spans="2:11" ht="25.5">
      <c r="B798" s="359" t="s">
        <v>12502</v>
      </c>
      <c r="C798" s="513"/>
      <c r="D798" s="513"/>
      <c r="E798" s="154" t="s">
        <v>6575</v>
      </c>
      <c r="F798" s="155" t="s">
        <v>817</v>
      </c>
      <c r="G798" s="367">
        <v>1</v>
      </c>
      <c r="H798" s="581"/>
      <c r="I798" s="582">
        <f>TRUNC(SUM(I799:I801),2)</f>
        <v>920.56</v>
      </c>
      <c r="J798" s="528"/>
      <c r="K798" s="528"/>
    </row>
    <row r="799" spans="2:11">
      <c r="B799" s="543" t="s">
        <v>837</v>
      </c>
      <c r="C799" s="151" t="s">
        <v>8</v>
      </c>
      <c r="D799" s="351">
        <v>88309</v>
      </c>
      <c r="E799" s="334" t="str">
        <f>IF($D799&lt;&gt;"",VLOOKUP($D799,'SINAPI MAIO 2020'!$1:$1048576,2,FALSE),"")</f>
        <v>PEDREIRO COM ENCARGOS COMPLEMENTARES</v>
      </c>
      <c r="F799" s="335" t="str">
        <f>IF($D799&lt;&gt;"",VLOOKUP($D799,'SINAPI MAIO 2020'!$1:$1048576,3,FALSE),"")</f>
        <v>H</v>
      </c>
      <c r="G799" s="360">
        <v>0.5</v>
      </c>
      <c r="H799" s="583">
        <f>IF($D799&lt;&gt;"",VLOOKUP($D799,'SINAPI MAIO 2020'!$1:$1048576,4,FALSE),"")</f>
        <v>17.760000000000002</v>
      </c>
      <c r="I799" s="379">
        <f t="shared" ref="I799:I801" si="137">TRUNC(H799*G799,2)</f>
        <v>8.8800000000000008</v>
      </c>
      <c r="J799" s="528"/>
      <c r="K799" s="528"/>
    </row>
    <row r="800" spans="2:11">
      <c r="B800" s="543" t="s">
        <v>837</v>
      </c>
      <c r="C800" s="151" t="s">
        <v>8</v>
      </c>
      <c r="D800" s="351">
        <v>88316</v>
      </c>
      <c r="E800" s="334" t="str">
        <f>IF($D800&lt;&gt;"",VLOOKUP($D800,'SINAPI MAIO 2020'!$1:$1048576,2,FALSE),"")</f>
        <v>SERVENTE COM ENCARGOS COMPLEMENTARES</v>
      </c>
      <c r="F800" s="335" t="str">
        <f>IF($D800&lt;&gt;"",VLOOKUP($D800,'SINAPI MAIO 2020'!$1:$1048576,3,FALSE),"")</f>
        <v>H</v>
      </c>
      <c r="G800" s="360">
        <v>0.5</v>
      </c>
      <c r="H800" s="583">
        <f>IF($D800&lt;&gt;"",VLOOKUP($D800,'SINAPI MAIO 2020'!$1:$1048576,4,FALSE),"")</f>
        <v>14.37</v>
      </c>
      <c r="I800" s="379">
        <f t="shared" si="137"/>
        <v>7.18</v>
      </c>
      <c r="J800" s="528"/>
      <c r="K800" s="528"/>
    </row>
    <row r="801" spans="2:11">
      <c r="B801" s="543" t="s">
        <v>838</v>
      </c>
      <c r="C801" s="151" t="s">
        <v>8</v>
      </c>
      <c r="D801" s="351">
        <v>10848</v>
      </c>
      <c r="E801" s="334" t="str">
        <f>IF($D801&lt;&gt;"",VLOOKUP($D801,'SINAPI MAIO 2020'!$1:$1048576,2,FALSE),"")</f>
        <v>PLACA DE INAUGURACAO METALICA, *40* CM X *60* CM</v>
      </c>
      <c r="F801" s="335" t="str">
        <f>IF($D801&lt;&gt;"",VLOOKUP($D801,'SINAPI MAIO 2020'!$1:$1048576,3,FALSE),"")</f>
        <v xml:space="preserve">UN    </v>
      </c>
      <c r="G801" s="360">
        <v>1</v>
      </c>
      <c r="H801" s="583">
        <f>IF($D801&lt;&gt;"",VLOOKUP($D801,'SINAPI MAIO 2020'!$1:$1048576,4,FALSE),"")</f>
        <v>904.5</v>
      </c>
      <c r="I801" s="379">
        <f t="shared" si="137"/>
        <v>904.5</v>
      </c>
    </row>
    <row r="802" spans="2:11">
      <c r="C802" s="533"/>
      <c r="D802" s="352"/>
      <c r="E802" s="334"/>
      <c r="F802" s="335"/>
      <c r="G802" s="576"/>
      <c r="H802" s="583"/>
      <c r="J802" s="528"/>
      <c r="K802" s="528"/>
    </row>
    <row r="803" spans="2:11">
      <c r="B803" s="794" t="s">
        <v>953</v>
      </c>
      <c r="C803" s="794"/>
      <c r="D803" s="794"/>
      <c r="E803" s="794"/>
      <c r="F803" s="794"/>
      <c r="G803" s="794"/>
      <c r="H803" s="794"/>
      <c r="I803" s="794"/>
      <c r="J803" s="528"/>
      <c r="K803" s="528"/>
    </row>
    <row r="804" spans="2:11">
      <c r="C804" s="533"/>
      <c r="D804" s="533"/>
      <c r="E804" s="535"/>
      <c r="F804" s="533"/>
      <c r="G804" s="576"/>
      <c r="J804" s="528"/>
      <c r="K804" s="528"/>
    </row>
    <row r="805" spans="2:11">
      <c r="B805" s="556" t="s">
        <v>6040</v>
      </c>
      <c r="C805" s="536"/>
      <c r="D805" s="537"/>
      <c r="E805" s="271" t="s">
        <v>95</v>
      </c>
      <c r="F805" s="272" t="s">
        <v>48</v>
      </c>
      <c r="G805" s="577" t="s">
        <v>5339</v>
      </c>
      <c r="H805" s="581"/>
      <c r="I805" s="582">
        <f>TRUNC(SUM(I806:I808),2)</f>
        <v>2.25</v>
      </c>
      <c r="J805" s="528"/>
      <c r="K805" s="528"/>
    </row>
    <row r="806" spans="2:11">
      <c r="B806" s="557" t="s">
        <v>835</v>
      </c>
      <c r="C806" s="273" t="s">
        <v>8</v>
      </c>
      <c r="D806" s="273">
        <v>3</v>
      </c>
      <c r="E806" s="334" t="str">
        <f>IF($D806&lt;&gt;"",VLOOKUP($D806,'SINAPI MAIO 2020'!$1:$1048576,2,FALSE),"")</f>
        <v>ACIDO MURIATICO, DILUICAO 10% A 12% PARA USO EM LIMPEZA</v>
      </c>
      <c r="F806" s="335" t="str">
        <f>IF($D806&lt;&gt;"",VLOOKUP($D806,'SINAPI MAIO 2020'!$1:$1048576,3,FALSE),"")</f>
        <v xml:space="preserve">L     </v>
      </c>
      <c r="G806" s="578">
        <v>0.05</v>
      </c>
      <c r="H806" s="583">
        <f>IF($D806&lt;&gt;"",VLOOKUP($D806,'SINAPI MAIO 2020'!$1:$1048576,4,FALSE),"")</f>
        <v>4.88</v>
      </c>
      <c r="I806" s="379">
        <f t="shared" ref="I806:I807" si="138">TRUNC(H806*G806,2)</f>
        <v>0.24</v>
      </c>
    </row>
    <row r="807" spans="2:11">
      <c r="B807" s="557" t="s">
        <v>858</v>
      </c>
      <c r="C807" s="273" t="s">
        <v>8</v>
      </c>
      <c r="D807" s="273">
        <v>88316</v>
      </c>
      <c r="E807" s="334" t="str">
        <f>IF($D807&lt;&gt;"",VLOOKUP($D807,'SINAPI MAIO 2020'!$1:$1048576,2,FALSE),"")</f>
        <v>SERVENTE COM ENCARGOS COMPLEMENTARES</v>
      </c>
      <c r="F807" s="335" t="str">
        <f>IF($D807&lt;&gt;"",VLOOKUP($D807,'SINAPI MAIO 2020'!$1:$1048576,3,FALSE),"")</f>
        <v>H</v>
      </c>
      <c r="G807" s="578">
        <v>0.14000000000000001</v>
      </c>
      <c r="H807" s="583">
        <f>IF($D807&lt;&gt;"",VLOOKUP($D807,'SINAPI MAIO 2020'!$1:$1048576,4,FALSE),"")</f>
        <v>14.37</v>
      </c>
      <c r="I807" s="379">
        <f t="shared" si="138"/>
        <v>2.0099999999999998</v>
      </c>
      <c r="J807" s="528"/>
      <c r="K807" s="528"/>
    </row>
    <row r="808" spans="2:11">
      <c r="C808" s="533"/>
      <c r="D808" s="352"/>
      <c r="E808" s="334"/>
      <c r="F808" s="335"/>
      <c r="G808" s="576"/>
      <c r="H808" s="583"/>
      <c r="J808" s="528"/>
      <c r="K808" s="528"/>
    </row>
  </sheetData>
  <protectedRanges>
    <protectedRange password="C715" sqref="D285 D287:D291 D299 D761 D773 D763:D765" name="Intervalo3_4_1_1_2_2" securityDescriptor="O:WDG:WDD:(A;;CC;;;S-1-5-21-331323738-3957049979-2397494211-500)"/>
    <protectedRange password="C715" sqref="D284 D760" name="Intervalo3_5_1_2_2_2" securityDescriptor="O:WDG:WDD:(A;;CC;;;S-1-5-21-331323738-3957049979-2397494211-500)"/>
    <protectedRange password="C715" sqref="D294 D768" name="Intervalo3_7_1_2_2_2" securityDescriptor="O:WDG:WDD:(A;;CC;;;S-1-5-21-331323738-3957049979-2397494211-500)"/>
    <protectedRange password="C715" sqref="D483 D486 D496" name="Intervalo3_4_1_1_1_1_1_1" securityDescriptor="O:WDG:WDD:(A;;CC;;;S-1-5-21-331323738-3957049979-2397494211-500)"/>
    <protectedRange password="C715" sqref="D482" name="Intervalo3_5_1_2_1_1_1_1" securityDescriptor="O:WDG:WDD:(A;;CC;;;S-1-5-21-331323738-3957049979-2397494211-500)"/>
  </protectedRanges>
  <mergeCells count="29">
    <mergeCell ref="B7:I7"/>
    <mergeCell ref="B8:I8"/>
    <mergeCell ref="B121:I121"/>
    <mergeCell ref="B78:I78"/>
    <mergeCell ref="B88:I88"/>
    <mergeCell ref="B22:I22"/>
    <mergeCell ref="B39:I39"/>
    <mergeCell ref="B41:I41"/>
    <mergeCell ref="B54:I54"/>
    <mergeCell ref="B11:I11"/>
    <mergeCell ref="B2:I2"/>
    <mergeCell ref="B3:I3"/>
    <mergeCell ref="B4:I4"/>
    <mergeCell ref="B5:I5"/>
    <mergeCell ref="B6:I6"/>
    <mergeCell ref="B803:I803"/>
    <mergeCell ref="B339:I339"/>
    <mergeCell ref="B226:I226"/>
    <mergeCell ref="B280:I280"/>
    <mergeCell ref="B746:I746"/>
    <mergeCell ref="B739:I739"/>
    <mergeCell ref="B780:I780"/>
    <mergeCell ref="B595:I595"/>
    <mergeCell ref="B601:I601"/>
    <mergeCell ref="B605:I605"/>
    <mergeCell ref="B611:I611"/>
    <mergeCell ref="B617:I617"/>
    <mergeCell ref="B621:I621"/>
    <mergeCell ref="B623:I623"/>
  </mergeCells>
  <conditionalFormatting sqref="D63:D69">
    <cfRule type="expression" dxfId="3" priority="7" stopIfTrue="1">
      <formula>AND($A63&lt;&gt;"COMPOSICAO",$A63&lt;&gt;"INSUMO",$A63&lt;&gt;"")</formula>
    </cfRule>
    <cfRule type="expression" dxfId="2" priority="8" stopIfTrue="1">
      <formula>AND(OR($A63="COMPOSICAO",$A63="INSUMO",$A63&lt;&gt;""),$A63&lt;&gt;"")</formula>
    </cfRule>
  </conditionalFormatting>
  <conditionalFormatting sqref="D229:D236 B229:B236">
    <cfRule type="expression" dxfId="1" priority="1" stopIfTrue="1">
      <formula>AND($A229&lt;&gt;"COMPOSICAO",$A229&lt;&gt;"INSUMO",$A229&lt;&gt;"")</formula>
    </cfRule>
    <cfRule type="expression" dxfId="0" priority="2" stopIfTrue="1">
      <formula>AND(OR($A229="COMPOSICAO",$A229="INSUMO",$A229&lt;&gt;""),$A229&lt;&gt;"")</formula>
    </cfRule>
  </conditionalFormatting>
  <pageMargins left="0.51181102362204722" right="0.51181102362204722" top="0.78740157480314965" bottom="0.78740157480314965" header="0.31496062992125984" footer="0.31496062992125984"/>
  <pageSetup paperSize="9" scale="53" orientation="landscape" r:id="rId1"/>
  <rowBreaks count="1" manualBreakCount="1">
    <brk id="131" max="16383" man="1"/>
  </rowBreaks>
  <drawing r:id="rId2"/>
</worksheet>
</file>

<file path=xl/worksheets/sheet8.xml><?xml version="1.0" encoding="utf-8"?>
<worksheet xmlns="http://schemas.openxmlformats.org/spreadsheetml/2006/main" xmlns:r="http://schemas.openxmlformats.org/officeDocument/2006/relationships">
  <sheetPr>
    <pageSetUpPr fitToPage="1"/>
  </sheetPr>
  <dimension ref="A1:K3737"/>
  <sheetViews>
    <sheetView showOutlineSymbols="0" showWhiteSpace="0" zoomScale="85" zoomScaleNormal="85" workbookViewId="0">
      <selection activeCell="K10" sqref="K10"/>
    </sheetView>
  </sheetViews>
  <sheetFormatPr defaultRowHeight="14.25"/>
  <cols>
    <col min="1" max="1" width="11.42578125" style="409" bestFit="1" customWidth="1"/>
    <col min="2" max="2" width="13.7109375" style="409" bestFit="1" customWidth="1"/>
    <col min="3" max="3" width="11.42578125" style="409" bestFit="1" customWidth="1"/>
    <col min="4" max="4" width="68.5703125" style="409" bestFit="1" customWidth="1"/>
    <col min="5" max="5" width="17.140625" style="409" bestFit="1" customWidth="1"/>
    <col min="6" max="9" width="13.7109375" style="409" bestFit="1" customWidth="1"/>
    <col min="10" max="10" width="16" style="409" bestFit="1" customWidth="1"/>
    <col min="11" max="16384" width="9.140625" style="409"/>
  </cols>
  <sheetData>
    <row r="1" spans="1:11" ht="15" customHeight="1">
      <c r="A1" s="611"/>
      <c r="B1" s="611"/>
      <c r="C1" s="814" t="s">
        <v>12691</v>
      </c>
      <c r="D1" s="814"/>
      <c r="E1" s="814" t="s">
        <v>12692</v>
      </c>
      <c r="F1" s="814"/>
      <c r="G1" s="814" t="s">
        <v>12693</v>
      </c>
      <c r="H1" s="814"/>
      <c r="I1" s="814" t="s">
        <v>12694</v>
      </c>
      <c r="J1" s="814"/>
      <c r="K1"/>
    </row>
    <row r="2" spans="1:11" ht="80.099999999999994" customHeight="1">
      <c r="A2" s="612"/>
      <c r="B2" s="612"/>
      <c r="C2" s="802" t="s">
        <v>12695</v>
      </c>
      <c r="D2" s="802"/>
      <c r="E2" s="802" t="s">
        <v>14460</v>
      </c>
      <c r="F2" s="802"/>
      <c r="G2" s="802" t="s">
        <v>13667</v>
      </c>
      <c r="H2" s="802"/>
      <c r="I2" s="802" t="s">
        <v>14459</v>
      </c>
      <c r="J2" s="802"/>
      <c r="K2"/>
    </row>
    <row r="3" spans="1:11" ht="15" customHeight="1">
      <c r="A3" s="813" t="s">
        <v>12691</v>
      </c>
      <c r="B3" s="813"/>
      <c r="C3" s="813"/>
      <c r="D3" s="813"/>
      <c r="E3" s="813"/>
      <c r="F3" s="813"/>
      <c r="G3" s="813"/>
      <c r="H3" s="813"/>
      <c r="I3" s="813"/>
      <c r="J3" s="813"/>
      <c r="K3"/>
    </row>
    <row r="4" spans="1:11" ht="30" customHeight="1">
      <c r="A4" s="815" t="s">
        <v>12696</v>
      </c>
      <c r="B4" s="815"/>
      <c r="C4" s="815"/>
      <c r="D4" s="815"/>
      <c r="E4" s="815"/>
      <c r="F4" s="815"/>
      <c r="G4" s="815"/>
      <c r="H4" s="815"/>
      <c r="I4" s="815"/>
      <c r="J4" s="815"/>
      <c r="K4"/>
    </row>
    <row r="5" spans="1:11" ht="18" customHeight="1">
      <c r="A5" s="613" t="s">
        <v>12697</v>
      </c>
      <c r="B5" s="614" t="s">
        <v>12698</v>
      </c>
      <c r="C5" s="613" t="s">
        <v>12699</v>
      </c>
      <c r="D5" s="613" t="s">
        <v>12700</v>
      </c>
      <c r="E5" s="807" t="s">
        <v>12701</v>
      </c>
      <c r="F5" s="808"/>
      <c r="G5" s="615" t="s">
        <v>12702</v>
      </c>
      <c r="H5" s="614" t="s">
        <v>12703</v>
      </c>
      <c r="I5" s="614" t="s">
        <v>12704</v>
      </c>
      <c r="J5" s="614" t="s">
        <v>12705</v>
      </c>
      <c r="K5"/>
    </row>
    <row r="6" spans="1:11" ht="24" customHeight="1">
      <c r="A6" s="616" t="s">
        <v>12706</v>
      </c>
      <c r="B6" s="617" t="s">
        <v>13666</v>
      </c>
      <c r="C6" s="616" t="s">
        <v>8</v>
      </c>
      <c r="D6" s="616" t="s">
        <v>527</v>
      </c>
      <c r="E6" s="809" t="s">
        <v>12707</v>
      </c>
      <c r="F6" s="810"/>
      <c r="G6" s="618" t="s">
        <v>23</v>
      </c>
      <c r="H6" s="619">
        <v>1</v>
      </c>
      <c r="I6" s="620">
        <v>79.17</v>
      </c>
      <c r="J6" s="620">
        <v>79.17</v>
      </c>
      <c r="K6"/>
    </row>
    <row r="7" spans="1:11" ht="24" customHeight="1">
      <c r="A7" s="621" t="s">
        <v>12708</v>
      </c>
      <c r="B7" s="622" t="s">
        <v>13209</v>
      </c>
      <c r="C7" s="621" t="s">
        <v>8</v>
      </c>
      <c r="D7" s="621" t="s">
        <v>3711</v>
      </c>
      <c r="E7" s="811" t="s">
        <v>12707</v>
      </c>
      <c r="F7" s="812"/>
      <c r="G7" s="623" t="s">
        <v>23</v>
      </c>
      <c r="H7" s="624">
        <v>1</v>
      </c>
      <c r="I7" s="625">
        <v>0.78</v>
      </c>
      <c r="J7" s="625">
        <v>0.78</v>
      </c>
      <c r="K7"/>
    </row>
    <row r="8" spans="1:11" ht="24" customHeight="1">
      <c r="A8" s="626" t="s">
        <v>12709</v>
      </c>
      <c r="B8" s="627" t="s">
        <v>13208</v>
      </c>
      <c r="C8" s="626" t="s">
        <v>8</v>
      </c>
      <c r="D8" s="626" t="s">
        <v>9198</v>
      </c>
      <c r="E8" s="804" t="s">
        <v>12710</v>
      </c>
      <c r="F8" s="805"/>
      <c r="G8" s="628" t="s">
        <v>23</v>
      </c>
      <c r="H8" s="629">
        <v>1</v>
      </c>
      <c r="I8" s="630">
        <v>77.39</v>
      </c>
      <c r="J8" s="630">
        <v>77.39</v>
      </c>
      <c r="K8"/>
    </row>
    <row r="9" spans="1:11" ht="24" customHeight="1">
      <c r="A9" s="626" t="s">
        <v>12709</v>
      </c>
      <c r="B9" s="627" t="s">
        <v>13665</v>
      </c>
      <c r="C9" s="626" t="s">
        <v>8</v>
      </c>
      <c r="D9" s="626" t="s">
        <v>9225</v>
      </c>
      <c r="E9" s="804" t="s">
        <v>12711</v>
      </c>
      <c r="F9" s="805"/>
      <c r="G9" s="628" t="s">
        <v>23</v>
      </c>
      <c r="H9" s="629">
        <v>1</v>
      </c>
      <c r="I9" s="630">
        <v>0.56999999999999995</v>
      </c>
      <c r="J9" s="630">
        <v>0.56999999999999995</v>
      </c>
      <c r="K9"/>
    </row>
    <row r="10" spans="1:11" ht="24" customHeight="1">
      <c r="A10" s="626" t="s">
        <v>12709</v>
      </c>
      <c r="B10" s="627" t="s">
        <v>13002</v>
      </c>
      <c r="C10" s="626" t="s">
        <v>8</v>
      </c>
      <c r="D10" s="626" t="s">
        <v>9306</v>
      </c>
      <c r="E10" s="804" t="s">
        <v>12712</v>
      </c>
      <c r="F10" s="805"/>
      <c r="G10" s="628" t="s">
        <v>23</v>
      </c>
      <c r="H10" s="629">
        <v>1</v>
      </c>
      <c r="I10" s="630">
        <v>0.35</v>
      </c>
      <c r="J10" s="630">
        <v>0.35</v>
      </c>
      <c r="K10"/>
    </row>
    <row r="11" spans="1:11" ht="24" customHeight="1">
      <c r="A11" s="626" t="s">
        <v>12709</v>
      </c>
      <c r="B11" s="627" t="s">
        <v>13664</v>
      </c>
      <c r="C11" s="626" t="s">
        <v>8</v>
      </c>
      <c r="D11" s="626" t="s">
        <v>9372</v>
      </c>
      <c r="E11" s="804" t="s">
        <v>12711</v>
      </c>
      <c r="F11" s="805"/>
      <c r="G11" s="628" t="s">
        <v>23</v>
      </c>
      <c r="H11" s="629">
        <v>1</v>
      </c>
      <c r="I11" s="630">
        <v>0.01</v>
      </c>
      <c r="J11" s="630">
        <v>0.01</v>
      </c>
      <c r="K11"/>
    </row>
    <row r="12" spans="1:11" ht="24" customHeight="1">
      <c r="A12" s="626" t="s">
        <v>12709</v>
      </c>
      <c r="B12" s="627" t="s">
        <v>12999</v>
      </c>
      <c r="C12" s="626" t="s">
        <v>8</v>
      </c>
      <c r="D12" s="626" t="s">
        <v>11251</v>
      </c>
      <c r="E12" s="804" t="s">
        <v>12713</v>
      </c>
      <c r="F12" s="805"/>
      <c r="G12" s="628" t="s">
        <v>23</v>
      </c>
      <c r="H12" s="629">
        <v>1</v>
      </c>
      <c r="I12" s="630">
        <v>7.0000000000000007E-2</v>
      </c>
      <c r="J12" s="630">
        <v>7.0000000000000007E-2</v>
      </c>
      <c r="K12"/>
    </row>
    <row r="13" spans="1:11" ht="25.5">
      <c r="A13" s="631"/>
      <c r="B13" s="631"/>
      <c r="C13" s="631"/>
      <c r="D13" s="631"/>
      <c r="E13" s="631" t="s">
        <v>12714</v>
      </c>
      <c r="F13" s="632">
        <v>42.258622600000002</v>
      </c>
      <c r="G13" s="631" t="s">
        <v>12715</v>
      </c>
      <c r="H13" s="632">
        <v>35.909999999999997</v>
      </c>
      <c r="I13" s="631" t="s">
        <v>12716</v>
      </c>
      <c r="J13" s="632">
        <v>78.17</v>
      </c>
      <c r="K13"/>
    </row>
    <row r="14" spans="1:11" ht="15" customHeight="1" thickBot="1">
      <c r="A14" s="631"/>
      <c r="B14" s="631"/>
      <c r="C14" s="631"/>
      <c r="D14" s="631"/>
      <c r="E14" s="631" t="s">
        <v>12717</v>
      </c>
      <c r="F14" s="632">
        <v>22.35</v>
      </c>
      <c r="G14" s="631"/>
      <c r="H14" s="806" t="s">
        <v>12718</v>
      </c>
      <c r="I14" s="806"/>
      <c r="J14" s="632">
        <v>101.52</v>
      </c>
      <c r="K14"/>
    </row>
    <row r="15" spans="1:11" ht="0.95" customHeight="1" thickTop="1">
      <c r="A15" s="633"/>
      <c r="B15" s="633"/>
      <c r="C15" s="633"/>
      <c r="D15" s="633"/>
      <c r="E15" s="633"/>
      <c r="F15" s="633"/>
      <c r="G15" s="633"/>
      <c r="H15" s="633"/>
      <c r="I15" s="633"/>
      <c r="J15" s="633"/>
      <c r="K15"/>
    </row>
    <row r="16" spans="1:11" ht="18" customHeight="1">
      <c r="A16" s="613" t="s">
        <v>12719</v>
      </c>
      <c r="B16" s="614" t="s">
        <v>12698</v>
      </c>
      <c r="C16" s="613" t="s">
        <v>12699</v>
      </c>
      <c r="D16" s="613" t="s">
        <v>12700</v>
      </c>
      <c r="E16" s="807" t="s">
        <v>12701</v>
      </c>
      <c r="F16" s="808"/>
      <c r="G16" s="615" t="s">
        <v>12702</v>
      </c>
      <c r="H16" s="614" t="s">
        <v>12703</v>
      </c>
      <c r="I16" s="614" t="s">
        <v>12704</v>
      </c>
      <c r="J16" s="614" t="s">
        <v>12705</v>
      </c>
      <c r="K16"/>
    </row>
    <row r="17" spans="1:11" ht="24" customHeight="1">
      <c r="A17" s="616" t="s">
        <v>12706</v>
      </c>
      <c r="B17" s="617" t="s">
        <v>13663</v>
      </c>
      <c r="C17" s="616" t="s">
        <v>8</v>
      </c>
      <c r="D17" s="616" t="s">
        <v>689</v>
      </c>
      <c r="E17" s="809" t="s">
        <v>12707</v>
      </c>
      <c r="F17" s="810"/>
      <c r="G17" s="618" t="s">
        <v>96</v>
      </c>
      <c r="H17" s="619">
        <v>1</v>
      </c>
      <c r="I17" s="620">
        <v>3342.75</v>
      </c>
      <c r="J17" s="620">
        <v>3342.75</v>
      </c>
      <c r="K17"/>
    </row>
    <row r="18" spans="1:11" ht="24" customHeight="1">
      <c r="A18" s="621" t="s">
        <v>12708</v>
      </c>
      <c r="B18" s="622" t="s">
        <v>13211</v>
      </c>
      <c r="C18" s="621" t="s">
        <v>8</v>
      </c>
      <c r="D18" s="621" t="s">
        <v>3731</v>
      </c>
      <c r="E18" s="811" t="s">
        <v>12707</v>
      </c>
      <c r="F18" s="812"/>
      <c r="G18" s="623" t="s">
        <v>96</v>
      </c>
      <c r="H18" s="624">
        <v>1</v>
      </c>
      <c r="I18" s="625">
        <v>34</v>
      </c>
      <c r="J18" s="625">
        <v>34</v>
      </c>
      <c r="K18"/>
    </row>
    <row r="19" spans="1:11" ht="24" customHeight="1">
      <c r="A19" s="626" t="s">
        <v>12709</v>
      </c>
      <c r="B19" s="627" t="s">
        <v>13210</v>
      </c>
      <c r="C19" s="626" t="s">
        <v>8</v>
      </c>
      <c r="D19" s="626" t="s">
        <v>9190</v>
      </c>
      <c r="E19" s="804" t="s">
        <v>12710</v>
      </c>
      <c r="F19" s="805"/>
      <c r="G19" s="628" t="s">
        <v>96</v>
      </c>
      <c r="H19" s="629">
        <v>1</v>
      </c>
      <c r="I19" s="630">
        <v>3036.04</v>
      </c>
      <c r="J19" s="630">
        <v>3036.04</v>
      </c>
      <c r="K19"/>
    </row>
    <row r="20" spans="1:11" ht="24" customHeight="1">
      <c r="A20" s="626" t="s">
        <v>12709</v>
      </c>
      <c r="B20" s="627" t="s">
        <v>13662</v>
      </c>
      <c r="C20" s="626" t="s">
        <v>8</v>
      </c>
      <c r="D20" s="626" t="s">
        <v>9224</v>
      </c>
      <c r="E20" s="804" t="s">
        <v>12711</v>
      </c>
      <c r="F20" s="805"/>
      <c r="G20" s="628" t="s">
        <v>96</v>
      </c>
      <c r="H20" s="629">
        <v>1</v>
      </c>
      <c r="I20" s="630">
        <v>179.44</v>
      </c>
      <c r="J20" s="630">
        <v>179.44</v>
      </c>
      <c r="K20"/>
    </row>
    <row r="21" spans="1:11" ht="24" customHeight="1">
      <c r="A21" s="626" t="s">
        <v>12709</v>
      </c>
      <c r="B21" s="627" t="s">
        <v>13661</v>
      </c>
      <c r="C21" s="626" t="s">
        <v>8</v>
      </c>
      <c r="D21" s="626" t="s">
        <v>9307</v>
      </c>
      <c r="E21" s="804" t="s">
        <v>12720</v>
      </c>
      <c r="F21" s="805"/>
      <c r="G21" s="628" t="s">
        <v>96</v>
      </c>
      <c r="H21" s="629">
        <v>1</v>
      </c>
      <c r="I21" s="630">
        <v>65.94</v>
      </c>
      <c r="J21" s="630">
        <v>65.94</v>
      </c>
      <c r="K21"/>
    </row>
    <row r="22" spans="1:11" ht="24" customHeight="1">
      <c r="A22" s="626" t="s">
        <v>12709</v>
      </c>
      <c r="B22" s="627" t="s">
        <v>13660</v>
      </c>
      <c r="C22" s="626" t="s">
        <v>8</v>
      </c>
      <c r="D22" s="626" t="s">
        <v>9371</v>
      </c>
      <c r="E22" s="804" t="s">
        <v>12711</v>
      </c>
      <c r="F22" s="805"/>
      <c r="G22" s="628" t="s">
        <v>96</v>
      </c>
      <c r="H22" s="629">
        <v>1</v>
      </c>
      <c r="I22" s="630">
        <v>14.26</v>
      </c>
      <c r="J22" s="630">
        <v>14.26</v>
      </c>
      <c r="K22"/>
    </row>
    <row r="23" spans="1:11" ht="24" customHeight="1">
      <c r="A23" s="626" t="s">
        <v>12709</v>
      </c>
      <c r="B23" s="627" t="s">
        <v>13659</v>
      </c>
      <c r="C23" s="626" t="s">
        <v>8</v>
      </c>
      <c r="D23" s="626" t="s">
        <v>11252</v>
      </c>
      <c r="E23" s="804" t="s">
        <v>12720</v>
      </c>
      <c r="F23" s="805"/>
      <c r="G23" s="628" t="s">
        <v>96</v>
      </c>
      <c r="H23" s="629">
        <v>1</v>
      </c>
      <c r="I23" s="630">
        <v>13.07</v>
      </c>
      <c r="J23" s="630">
        <v>13.07</v>
      </c>
      <c r="K23"/>
    </row>
    <row r="24" spans="1:11" ht="25.5">
      <c r="A24" s="631"/>
      <c r="B24" s="631"/>
      <c r="C24" s="631"/>
      <c r="D24" s="631"/>
      <c r="E24" s="631" t="s">
        <v>12714</v>
      </c>
      <c r="F24" s="632">
        <v>1659.6605038</v>
      </c>
      <c r="G24" s="631" t="s">
        <v>12715</v>
      </c>
      <c r="H24" s="632">
        <v>1410.38</v>
      </c>
      <c r="I24" s="631" t="s">
        <v>12716</v>
      </c>
      <c r="J24" s="632">
        <v>3070.04</v>
      </c>
      <c r="K24"/>
    </row>
    <row r="25" spans="1:11" ht="15" customHeight="1" thickBot="1">
      <c r="A25" s="631"/>
      <c r="B25" s="631"/>
      <c r="C25" s="631"/>
      <c r="D25" s="631"/>
      <c r="E25" s="631" t="s">
        <v>12717</v>
      </c>
      <c r="F25" s="632">
        <v>943.99</v>
      </c>
      <c r="G25" s="631"/>
      <c r="H25" s="806" t="s">
        <v>12718</v>
      </c>
      <c r="I25" s="806"/>
      <c r="J25" s="632">
        <v>4286.74</v>
      </c>
      <c r="K25"/>
    </row>
    <row r="26" spans="1:11" ht="0.95" customHeight="1" thickTop="1">
      <c r="A26" s="633"/>
      <c r="B26" s="633"/>
      <c r="C26" s="633"/>
      <c r="D26" s="633"/>
      <c r="E26" s="633"/>
      <c r="F26" s="633"/>
      <c r="G26" s="633"/>
      <c r="H26" s="633"/>
      <c r="I26" s="633"/>
      <c r="J26" s="633"/>
      <c r="K26"/>
    </row>
    <row r="27" spans="1:11" ht="18" customHeight="1">
      <c r="A27" s="613" t="s">
        <v>12721</v>
      </c>
      <c r="B27" s="614" t="s">
        <v>12698</v>
      </c>
      <c r="C27" s="613" t="s">
        <v>12699</v>
      </c>
      <c r="D27" s="613" t="s">
        <v>12700</v>
      </c>
      <c r="E27" s="807" t="s">
        <v>12701</v>
      </c>
      <c r="F27" s="808"/>
      <c r="G27" s="615" t="s">
        <v>12702</v>
      </c>
      <c r="H27" s="614" t="s">
        <v>12703</v>
      </c>
      <c r="I27" s="614" t="s">
        <v>12704</v>
      </c>
      <c r="J27" s="614" t="s">
        <v>12705</v>
      </c>
      <c r="K27"/>
    </row>
    <row r="28" spans="1:11" ht="24" customHeight="1">
      <c r="A28" s="616" t="s">
        <v>12706</v>
      </c>
      <c r="B28" s="617" t="s">
        <v>13658</v>
      </c>
      <c r="C28" s="616" t="s">
        <v>8</v>
      </c>
      <c r="D28" s="616" t="s">
        <v>299</v>
      </c>
      <c r="E28" s="809" t="s">
        <v>12707</v>
      </c>
      <c r="F28" s="810"/>
      <c r="G28" s="618" t="s">
        <v>23</v>
      </c>
      <c r="H28" s="619">
        <v>1</v>
      </c>
      <c r="I28" s="620">
        <v>18.350000000000001</v>
      </c>
      <c r="J28" s="620">
        <v>18.350000000000001</v>
      </c>
      <c r="K28"/>
    </row>
    <row r="29" spans="1:11" ht="24" customHeight="1">
      <c r="A29" s="621" t="s">
        <v>12708</v>
      </c>
      <c r="B29" s="622" t="s">
        <v>13207</v>
      </c>
      <c r="C29" s="621" t="s">
        <v>8</v>
      </c>
      <c r="D29" s="621" t="s">
        <v>3697</v>
      </c>
      <c r="E29" s="811" t="s">
        <v>12707</v>
      </c>
      <c r="F29" s="812"/>
      <c r="G29" s="623" t="s">
        <v>23</v>
      </c>
      <c r="H29" s="624">
        <v>1</v>
      </c>
      <c r="I29" s="625">
        <v>0.04</v>
      </c>
      <c r="J29" s="625">
        <v>0.04</v>
      </c>
      <c r="K29"/>
    </row>
    <row r="30" spans="1:11" ht="24" customHeight="1">
      <c r="A30" s="626" t="s">
        <v>12709</v>
      </c>
      <c r="B30" s="627" t="s">
        <v>13004</v>
      </c>
      <c r="C30" s="626" t="s">
        <v>8</v>
      </c>
      <c r="D30" s="626" t="s">
        <v>7388</v>
      </c>
      <c r="E30" s="804" t="s">
        <v>12712</v>
      </c>
      <c r="F30" s="805"/>
      <c r="G30" s="628" t="s">
        <v>23</v>
      </c>
      <c r="H30" s="629">
        <v>1</v>
      </c>
      <c r="I30" s="630">
        <v>2.2000000000000002</v>
      </c>
      <c r="J30" s="630">
        <v>2.2000000000000002</v>
      </c>
      <c r="K30"/>
    </row>
    <row r="31" spans="1:11" ht="24" customHeight="1">
      <c r="A31" s="626" t="s">
        <v>12709</v>
      </c>
      <c r="B31" s="627" t="s">
        <v>13048</v>
      </c>
      <c r="C31" s="626" t="s">
        <v>8</v>
      </c>
      <c r="D31" s="626" t="s">
        <v>9233</v>
      </c>
      <c r="E31" s="804" t="s">
        <v>12711</v>
      </c>
      <c r="F31" s="805"/>
      <c r="G31" s="628" t="s">
        <v>23</v>
      </c>
      <c r="H31" s="629">
        <v>1</v>
      </c>
      <c r="I31" s="630">
        <v>1.02</v>
      </c>
      <c r="J31" s="630">
        <v>1.02</v>
      </c>
      <c r="K31"/>
    </row>
    <row r="32" spans="1:11" ht="24" customHeight="1">
      <c r="A32" s="626" t="s">
        <v>12709</v>
      </c>
      <c r="B32" s="627" t="s">
        <v>13002</v>
      </c>
      <c r="C32" s="626" t="s">
        <v>8</v>
      </c>
      <c r="D32" s="626" t="s">
        <v>9306</v>
      </c>
      <c r="E32" s="804" t="s">
        <v>12712</v>
      </c>
      <c r="F32" s="805"/>
      <c r="G32" s="628" t="s">
        <v>23</v>
      </c>
      <c r="H32" s="629">
        <v>1</v>
      </c>
      <c r="I32" s="630">
        <v>0.35</v>
      </c>
      <c r="J32" s="630">
        <v>0.35</v>
      </c>
      <c r="K32"/>
    </row>
    <row r="33" spans="1:11" ht="24" customHeight="1">
      <c r="A33" s="626" t="s">
        <v>12709</v>
      </c>
      <c r="B33" s="627" t="s">
        <v>13047</v>
      </c>
      <c r="C33" s="626" t="s">
        <v>8</v>
      </c>
      <c r="D33" s="626" t="s">
        <v>9380</v>
      </c>
      <c r="E33" s="804" t="s">
        <v>12711</v>
      </c>
      <c r="F33" s="805"/>
      <c r="G33" s="628" t="s">
        <v>23</v>
      </c>
      <c r="H33" s="629">
        <v>1</v>
      </c>
      <c r="I33" s="630">
        <v>0.38</v>
      </c>
      <c r="J33" s="630">
        <v>0.38</v>
      </c>
      <c r="K33"/>
    </row>
    <row r="34" spans="1:11" ht="24" customHeight="1">
      <c r="A34" s="626" t="s">
        <v>12709</v>
      </c>
      <c r="B34" s="627" t="s">
        <v>12999</v>
      </c>
      <c r="C34" s="626" t="s">
        <v>8</v>
      </c>
      <c r="D34" s="626" t="s">
        <v>11251</v>
      </c>
      <c r="E34" s="804" t="s">
        <v>12713</v>
      </c>
      <c r="F34" s="805"/>
      <c r="G34" s="628" t="s">
        <v>23</v>
      </c>
      <c r="H34" s="629">
        <v>1</v>
      </c>
      <c r="I34" s="630">
        <v>7.0000000000000007E-2</v>
      </c>
      <c r="J34" s="630">
        <v>7.0000000000000007E-2</v>
      </c>
      <c r="K34"/>
    </row>
    <row r="35" spans="1:11" ht="24" customHeight="1">
      <c r="A35" s="626" t="s">
        <v>12709</v>
      </c>
      <c r="B35" s="627" t="s">
        <v>12998</v>
      </c>
      <c r="C35" s="626" t="s">
        <v>8</v>
      </c>
      <c r="D35" s="626" t="s">
        <v>11861</v>
      </c>
      <c r="E35" s="804" t="s">
        <v>12722</v>
      </c>
      <c r="F35" s="805"/>
      <c r="G35" s="628" t="s">
        <v>23</v>
      </c>
      <c r="H35" s="629">
        <v>1</v>
      </c>
      <c r="I35" s="630">
        <v>0.71</v>
      </c>
      <c r="J35" s="630">
        <v>0.71</v>
      </c>
      <c r="K35"/>
    </row>
    <row r="36" spans="1:11" ht="24" customHeight="1">
      <c r="A36" s="626" t="s">
        <v>12709</v>
      </c>
      <c r="B36" s="627" t="s">
        <v>13206</v>
      </c>
      <c r="C36" s="626" t="s">
        <v>8</v>
      </c>
      <c r="D36" s="626" t="s">
        <v>12388</v>
      </c>
      <c r="E36" s="804" t="s">
        <v>12710</v>
      </c>
      <c r="F36" s="805"/>
      <c r="G36" s="628" t="s">
        <v>23</v>
      </c>
      <c r="H36" s="629">
        <v>1</v>
      </c>
      <c r="I36" s="630">
        <v>13.58</v>
      </c>
      <c r="J36" s="630">
        <v>13.58</v>
      </c>
      <c r="K36"/>
    </row>
    <row r="37" spans="1:11" ht="25.5">
      <c r="A37" s="631"/>
      <c r="B37" s="631"/>
      <c r="C37" s="631"/>
      <c r="D37" s="631"/>
      <c r="E37" s="631" t="s">
        <v>12714</v>
      </c>
      <c r="F37" s="632">
        <v>7.3629581999999996</v>
      </c>
      <c r="G37" s="631" t="s">
        <v>12715</v>
      </c>
      <c r="H37" s="632">
        <v>6.26</v>
      </c>
      <c r="I37" s="631" t="s">
        <v>12716</v>
      </c>
      <c r="J37" s="632">
        <v>13.62</v>
      </c>
      <c r="K37"/>
    </row>
    <row r="38" spans="1:11" ht="15" customHeight="1" thickBot="1">
      <c r="A38" s="631"/>
      <c r="B38" s="631"/>
      <c r="C38" s="631"/>
      <c r="D38" s="631"/>
      <c r="E38" s="631" t="s">
        <v>12717</v>
      </c>
      <c r="F38" s="632">
        <v>5.18</v>
      </c>
      <c r="G38" s="631"/>
      <c r="H38" s="806" t="s">
        <v>12718</v>
      </c>
      <c r="I38" s="806"/>
      <c r="J38" s="632">
        <v>23.53</v>
      </c>
      <c r="K38"/>
    </row>
    <row r="39" spans="1:11" ht="0.95" customHeight="1" thickTop="1">
      <c r="A39" s="633"/>
      <c r="B39" s="633"/>
      <c r="C39" s="633"/>
      <c r="D39" s="633"/>
      <c r="E39" s="633"/>
      <c r="F39" s="633"/>
      <c r="G39" s="633"/>
      <c r="H39" s="633"/>
      <c r="I39" s="633"/>
      <c r="J39" s="633"/>
      <c r="K39"/>
    </row>
    <row r="40" spans="1:11" ht="18" customHeight="1">
      <c r="A40" s="613" t="s">
        <v>12723</v>
      </c>
      <c r="B40" s="614" t="s">
        <v>12698</v>
      </c>
      <c r="C40" s="613" t="s">
        <v>12699</v>
      </c>
      <c r="D40" s="613" t="s">
        <v>12700</v>
      </c>
      <c r="E40" s="807" t="s">
        <v>12701</v>
      </c>
      <c r="F40" s="808"/>
      <c r="G40" s="615" t="s">
        <v>12702</v>
      </c>
      <c r="H40" s="614" t="s">
        <v>12703</v>
      </c>
      <c r="I40" s="614" t="s">
        <v>12704</v>
      </c>
      <c r="J40" s="614" t="s">
        <v>12705</v>
      </c>
      <c r="K40"/>
    </row>
    <row r="41" spans="1:11" ht="36" customHeight="1">
      <c r="A41" s="616" t="s">
        <v>12706</v>
      </c>
      <c r="B41" s="617" t="s">
        <v>13657</v>
      </c>
      <c r="C41" s="616" t="s">
        <v>8</v>
      </c>
      <c r="D41" s="616" t="s">
        <v>5095</v>
      </c>
      <c r="E41" s="809" t="s">
        <v>12724</v>
      </c>
      <c r="F41" s="810"/>
      <c r="G41" s="618" t="s">
        <v>12725</v>
      </c>
      <c r="H41" s="619">
        <v>1</v>
      </c>
      <c r="I41" s="620">
        <v>0.22</v>
      </c>
      <c r="J41" s="620">
        <v>0.22</v>
      </c>
      <c r="K41"/>
    </row>
    <row r="42" spans="1:11" ht="36" customHeight="1">
      <c r="A42" s="621" t="s">
        <v>12708</v>
      </c>
      <c r="B42" s="622" t="s">
        <v>13013</v>
      </c>
      <c r="C42" s="621" t="s">
        <v>8</v>
      </c>
      <c r="D42" s="621" t="s">
        <v>1626</v>
      </c>
      <c r="E42" s="811" t="s">
        <v>12726</v>
      </c>
      <c r="F42" s="812"/>
      <c r="G42" s="623" t="s">
        <v>44</v>
      </c>
      <c r="H42" s="624">
        <v>5.9999999999999995E-4</v>
      </c>
      <c r="I42" s="625">
        <v>99.48</v>
      </c>
      <c r="J42" s="625">
        <v>0.05</v>
      </c>
      <c r="K42"/>
    </row>
    <row r="43" spans="1:11" ht="36" customHeight="1">
      <c r="A43" s="621" t="s">
        <v>12708</v>
      </c>
      <c r="B43" s="622" t="s">
        <v>13014</v>
      </c>
      <c r="C43" s="621" t="s">
        <v>8</v>
      </c>
      <c r="D43" s="621" t="s">
        <v>1625</v>
      </c>
      <c r="E43" s="811" t="s">
        <v>12726</v>
      </c>
      <c r="F43" s="812"/>
      <c r="G43" s="623" t="s">
        <v>61</v>
      </c>
      <c r="H43" s="624">
        <v>2.3999999999999998E-3</v>
      </c>
      <c r="I43" s="625">
        <v>34.74</v>
      </c>
      <c r="J43" s="625">
        <v>0.08</v>
      </c>
      <c r="K43"/>
    </row>
    <row r="44" spans="1:11" ht="24" customHeight="1">
      <c r="A44" s="621" t="s">
        <v>12708</v>
      </c>
      <c r="B44" s="622" t="s">
        <v>12727</v>
      </c>
      <c r="C44" s="621" t="s">
        <v>8</v>
      </c>
      <c r="D44" s="621" t="s">
        <v>26</v>
      </c>
      <c r="E44" s="811" t="s">
        <v>12707</v>
      </c>
      <c r="F44" s="812"/>
      <c r="G44" s="623" t="s">
        <v>23</v>
      </c>
      <c r="H44" s="624">
        <v>3.0000000000000001E-3</v>
      </c>
      <c r="I44" s="625">
        <v>14.37</v>
      </c>
      <c r="J44" s="625">
        <v>0.04</v>
      </c>
      <c r="K44"/>
    </row>
    <row r="45" spans="1:11" ht="24" customHeight="1">
      <c r="A45" s="621" t="s">
        <v>12708</v>
      </c>
      <c r="B45" s="622" t="s">
        <v>13160</v>
      </c>
      <c r="C45" s="621" t="s">
        <v>8</v>
      </c>
      <c r="D45" s="621" t="s">
        <v>310</v>
      </c>
      <c r="E45" s="811" t="s">
        <v>12707</v>
      </c>
      <c r="F45" s="812"/>
      <c r="G45" s="623" t="s">
        <v>23</v>
      </c>
      <c r="H45" s="624">
        <v>3.0000000000000001E-3</v>
      </c>
      <c r="I45" s="625">
        <v>17.190000000000001</v>
      </c>
      <c r="J45" s="625">
        <v>0.05</v>
      </c>
      <c r="K45"/>
    </row>
    <row r="46" spans="1:11" ht="25.5">
      <c r="A46" s="631"/>
      <c r="B46" s="631"/>
      <c r="C46" s="631"/>
      <c r="D46" s="631"/>
      <c r="E46" s="631" t="s">
        <v>12714</v>
      </c>
      <c r="F46" s="632">
        <v>3.7841928857173746E-2</v>
      </c>
      <c r="G46" s="631" t="s">
        <v>12715</v>
      </c>
      <c r="H46" s="632">
        <v>0.03</v>
      </c>
      <c r="I46" s="631" t="s">
        <v>12716</v>
      </c>
      <c r="J46" s="632">
        <v>7.0000000000000007E-2</v>
      </c>
      <c r="K46"/>
    </row>
    <row r="47" spans="1:11" ht="15" customHeight="1" thickBot="1">
      <c r="A47" s="631"/>
      <c r="B47" s="631"/>
      <c r="C47" s="631"/>
      <c r="D47" s="631"/>
      <c r="E47" s="631" t="s">
        <v>12717</v>
      </c>
      <c r="F47" s="632">
        <v>0.06</v>
      </c>
      <c r="G47" s="631"/>
      <c r="H47" s="806" t="s">
        <v>12718</v>
      </c>
      <c r="I47" s="806"/>
      <c r="J47" s="632">
        <v>0.28000000000000003</v>
      </c>
      <c r="K47"/>
    </row>
    <row r="48" spans="1:11" ht="0.95" customHeight="1" thickTop="1">
      <c r="A48" s="633"/>
      <c r="B48" s="633"/>
      <c r="C48" s="633"/>
      <c r="D48" s="633"/>
      <c r="E48" s="633"/>
      <c r="F48" s="633"/>
      <c r="G48" s="633"/>
      <c r="H48" s="633"/>
      <c r="I48" s="633"/>
      <c r="J48" s="633"/>
      <c r="K48"/>
    </row>
    <row r="49" spans="1:11" ht="18" customHeight="1">
      <c r="A49" s="613" t="s">
        <v>12728</v>
      </c>
      <c r="B49" s="614" t="s">
        <v>12698</v>
      </c>
      <c r="C49" s="613" t="s">
        <v>12699</v>
      </c>
      <c r="D49" s="613" t="s">
        <v>12700</v>
      </c>
      <c r="E49" s="807" t="s">
        <v>12701</v>
      </c>
      <c r="F49" s="808"/>
      <c r="G49" s="615" t="s">
        <v>12702</v>
      </c>
      <c r="H49" s="614" t="s">
        <v>12703</v>
      </c>
      <c r="I49" s="614" t="s">
        <v>12704</v>
      </c>
      <c r="J49" s="614" t="s">
        <v>12705</v>
      </c>
      <c r="K49"/>
    </row>
    <row r="50" spans="1:11" ht="24" customHeight="1">
      <c r="A50" s="616" t="s">
        <v>12706</v>
      </c>
      <c r="B50" s="617" t="s">
        <v>13656</v>
      </c>
      <c r="C50" s="616" t="s">
        <v>8</v>
      </c>
      <c r="D50" s="616" t="s">
        <v>146</v>
      </c>
      <c r="E50" s="809" t="s">
        <v>12729</v>
      </c>
      <c r="F50" s="810"/>
      <c r="G50" s="618" t="s">
        <v>12730</v>
      </c>
      <c r="H50" s="619">
        <v>1</v>
      </c>
      <c r="I50" s="620">
        <v>2.97</v>
      </c>
      <c r="J50" s="620">
        <v>2.97</v>
      </c>
      <c r="K50"/>
    </row>
    <row r="51" spans="1:11" ht="48" customHeight="1">
      <c r="A51" s="621" t="s">
        <v>12708</v>
      </c>
      <c r="B51" s="622" t="s">
        <v>13286</v>
      </c>
      <c r="C51" s="621" t="s">
        <v>8</v>
      </c>
      <c r="D51" s="621" t="s">
        <v>1055</v>
      </c>
      <c r="E51" s="811" t="s">
        <v>12726</v>
      </c>
      <c r="F51" s="812"/>
      <c r="G51" s="623" t="s">
        <v>44</v>
      </c>
      <c r="H51" s="624">
        <v>7.0000000000000001E-3</v>
      </c>
      <c r="I51" s="625">
        <v>108.99</v>
      </c>
      <c r="J51" s="625">
        <v>0.76</v>
      </c>
      <c r="K51"/>
    </row>
    <row r="52" spans="1:11" ht="36" customHeight="1">
      <c r="A52" s="621" t="s">
        <v>12708</v>
      </c>
      <c r="B52" s="622" t="s">
        <v>13083</v>
      </c>
      <c r="C52" s="621" t="s">
        <v>8</v>
      </c>
      <c r="D52" s="621" t="s">
        <v>1084</v>
      </c>
      <c r="E52" s="811" t="s">
        <v>12726</v>
      </c>
      <c r="F52" s="812"/>
      <c r="G52" s="623" t="s">
        <v>44</v>
      </c>
      <c r="H52" s="624">
        <v>1.7999999999999999E-2</v>
      </c>
      <c r="I52" s="625">
        <v>109.04</v>
      </c>
      <c r="J52" s="625">
        <v>1.96</v>
      </c>
      <c r="K52"/>
    </row>
    <row r="53" spans="1:11" ht="24" customHeight="1">
      <c r="A53" s="621" t="s">
        <v>12708</v>
      </c>
      <c r="B53" s="622" t="s">
        <v>12727</v>
      </c>
      <c r="C53" s="621" t="s">
        <v>8</v>
      </c>
      <c r="D53" s="621" t="s">
        <v>26</v>
      </c>
      <c r="E53" s="811" t="s">
        <v>12707</v>
      </c>
      <c r="F53" s="812"/>
      <c r="G53" s="623" t="s">
        <v>23</v>
      </c>
      <c r="H53" s="624">
        <v>1.7999999999999999E-2</v>
      </c>
      <c r="I53" s="625">
        <v>14.37</v>
      </c>
      <c r="J53" s="625">
        <v>0.25</v>
      </c>
      <c r="K53"/>
    </row>
    <row r="54" spans="1:11" ht="25.5">
      <c r="A54" s="631"/>
      <c r="B54" s="631"/>
      <c r="C54" s="631"/>
      <c r="D54" s="631"/>
      <c r="E54" s="631" t="s">
        <v>12714</v>
      </c>
      <c r="F54" s="632">
        <v>0.22164558330630338</v>
      </c>
      <c r="G54" s="631" t="s">
        <v>12715</v>
      </c>
      <c r="H54" s="632">
        <v>0.19</v>
      </c>
      <c r="I54" s="631" t="s">
        <v>12716</v>
      </c>
      <c r="J54" s="632">
        <v>0.41</v>
      </c>
      <c r="K54"/>
    </row>
    <row r="55" spans="1:11" ht="15" customHeight="1" thickBot="1">
      <c r="A55" s="631"/>
      <c r="B55" s="631"/>
      <c r="C55" s="631"/>
      <c r="D55" s="631"/>
      <c r="E55" s="631" t="s">
        <v>12717</v>
      </c>
      <c r="F55" s="632">
        <v>0.83</v>
      </c>
      <c r="G55" s="631"/>
      <c r="H55" s="806" t="s">
        <v>12718</v>
      </c>
      <c r="I55" s="806"/>
      <c r="J55" s="632">
        <v>3.8</v>
      </c>
      <c r="K55"/>
    </row>
    <row r="56" spans="1:11" ht="0.95" customHeight="1" thickTop="1">
      <c r="A56" s="633"/>
      <c r="B56" s="633"/>
      <c r="C56" s="633"/>
      <c r="D56" s="633"/>
      <c r="E56" s="633"/>
      <c r="F56" s="633"/>
      <c r="G56" s="633"/>
      <c r="H56" s="633"/>
      <c r="I56" s="633"/>
      <c r="J56" s="633"/>
      <c r="K56"/>
    </row>
    <row r="57" spans="1:11" ht="18" customHeight="1">
      <c r="A57" s="613" t="s">
        <v>12731</v>
      </c>
      <c r="B57" s="614" t="s">
        <v>12698</v>
      </c>
      <c r="C57" s="613" t="s">
        <v>12699</v>
      </c>
      <c r="D57" s="613" t="s">
        <v>12700</v>
      </c>
      <c r="E57" s="807" t="s">
        <v>12701</v>
      </c>
      <c r="F57" s="808"/>
      <c r="G57" s="615" t="s">
        <v>12702</v>
      </c>
      <c r="H57" s="614" t="s">
        <v>12703</v>
      </c>
      <c r="I57" s="614" t="s">
        <v>12704</v>
      </c>
      <c r="J57" s="614" t="s">
        <v>12705</v>
      </c>
      <c r="K57"/>
    </row>
    <row r="58" spans="1:11" ht="36" customHeight="1">
      <c r="A58" s="616" t="s">
        <v>12706</v>
      </c>
      <c r="B58" s="617" t="s">
        <v>13655</v>
      </c>
      <c r="C58" s="616" t="s">
        <v>8</v>
      </c>
      <c r="D58" s="616" t="s">
        <v>4680</v>
      </c>
      <c r="E58" s="809" t="s">
        <v>12729</v>
      </c>
      <c r="F58" s="810"/>
      <c r="G58" s="618" t="s">
        <v>144</v>
      </c>
      <c r="H58" s="619">
        <v>1</v>
      </c>
      <c r="I58" s="620">
        <v>1.07</v>
      </c>
      <c r="J58" s="620">
        <v>1.07</v>
      </c>
      <c r="K58"/>
    </row>
    <row r="59" spans="1:11" ht="48" customHeight="1">
      <c r="A59" s="621" t="s">
        <v>12708</v>
      </c>
      <c r="B59" s="622" t="s">
        <v>13294</v>
      </c>
      <c r="C59" s="621" t="s">
        <v>8</v>
      </c>
      <c r="D59" s="621" t="s">
        <v>1145</v>
      </c>
      <c r="E59" s="811" t="s">
        <v>12726</v>
      </c>
      <c r="F59" s="812"/>
      <c r="G59" s="623" t="s">
        <v>44</v>
      </c>
      <c r="H59" s="624">
        <v>1.042E-2</v>
      </c>
      <c r="I59" s="625">
        <v>96.41</v>
      </c>
      <c r="J59" s="625">
        <v>1</v>
      </c>
      <c r="K59"/>
    </row>
    <row r="60" spans="1:11" ht="48" customHeight="1">
      <c r="A60" s="621" t="s">
        <v>12708</v>
      </c>
      <c r="B60" s="622" t="s">
        <v>13295</v>
      </c>
      <c r="C60" s="621" t="s">
        <v>8</v>
      </c>
      <c r="D60" s="621" t="s">
        <v>1146</v>
      </c>
      <c r="E60" s="811" t="s">
        <v>12726</v>
      </c>
      <c r="F60" s="812"/>
      <c r="G60" s="623" t="s">
        <v>61</v>
      </c>
      <c r="H60" s="624">
        <v>2.5999999999999999E-3</v>
      </c>
      <c r="I60" s="625">
        <v>29.12</v>
      </c>
      <c r="J60" s="625">
        <v>7.0000000000000007E-2</v>
      </c>
      <c r="K60"/>
    </row>
    <row r="61" spans="1:11" ht="25.5">
      <c r="A61" s="631"/>
      <c r="B61" s="631"/>
      <c r="C61" s="631"/>
      <c r="D61" s="631"/>
      <c r="E61" s="631" t="s">
        <v>12714</v>
      </c>
      <c r="F61" s="632">
        <v>6.4871878040869288E-2</v>
      </c>
      <c r="G61" s="631" t="s">
        <v>12715</v>
      </c>
      <c r="H61" s="632">
        <v>0.06</v>
      </c>
      <c r="I61" s="631" t="s">
        <v>12716</v>
      </c>
      <c r="J61" s="632">
        <v>0.12</v>
      </c>
      <c r="K61"/>
    </row>
    <row r="62" spans="1:11" ht="15" customHeight="1" thickBot="1">
      <c r="A62" s="631"/>
      <c r="B62" s="631"/>
      <c r="C62" s="631"/>
      <c r="D62" s="631"/>
      <c r="E62" s="631" t="s">
        <v>12717</v>
      </c>
      <c r="F62" s="632">
        <v>0.3</v>
      </c>
      <c r="G62" s="631"/>
      <c r="H62" s="806" t="s">
        <v>12718</v>
      </c>
      <c r="I62" s="806"/>
      <c r="J62" s="632">
        <v>1.37</v>
      </c>
      <c r="K62"/>
    </row>
    <row r="63" spans="1:11" ht="0.95" customHeight="1" thickTop="1">
      <c r="A63" s="633"/>
      <c r="B63" s="633"/>
      <c r="C63" s="633"/>
      <c r="D63" s="633"/>
      <c r="E63" s="633"/>
      <c r="F63" s="633"/>
      <c r="G63" s="633"/>
      <c r="H63" s="633"/>
      <c r="I63" s="633"/>
      <c r="J63" s="633"/>
      <c r="K63"/>
    </row>
    <row r="64" spans="1:11" ht="18" customHeight="1">
      <c r="A64" s="613" t="s">
        <v>12732</v>
      </c>
      <c r="B64" s="614" t="s">
        <v>12698</v>
      </c>
      <c r="C64" s="613" t="s">
        <v>12699</v>
      </c>
      <c r="D64" s="613" t="s">
        <v>12700</v>
      </c>
      <c r="E64" s="807" t="s">
        <v>12701</v>
      </c>
      <c r="F64" s="808"/>
      <c r="G64" s="615" t="s">
        <v>12702</v>
      </c>
      <c r="H64" s="614" t="s">
        <v>12703</v>
      </c>
      <c r="I64" s="614" t="s">
        <v>12704</v>
      </c>
      <c r="J64" s="614" t="s">
        <v>12705</v>
      </c>
      <c r="K64"/>
    </row>
    <row r="65" spans="1:11" ht="24" customHeight="1">
      <c r="A65" s="616" t="s">
        <v>12706</v>
      </c>
      <c r="B65" s="617" t="s">
        <v>13654</v>
      </c>
      <c r="C65" s="616" t="s">
        <v>8</v>
      </c>
      <c r="D65" s="616" t="s">
        <v>4736</v>
      </c>
      <c r="E65" s="809" t="s">
        <v>12733</v>
      </c>
      <c r="F65" s="810"/>
      <c r="G65" s="618" t="s">
        <v>12725</v>
      </c>
      <c r="H65" s="619">
        <v>1</v>
      </c>
      <c r="I65" s="620">
        <v>56</v>
      </c>
      <c r="J65" s="620">
        <v>56</v>
      </c>
      <c r="K65"/>
    </row>
    <row r="66" spans="1:11" ht="36" customHeight="1">
      <c r="A66" s="621" t="s">
        <v>12708</v>
      </c>
      <c r="B66" s="622" t="s">
        <v>13061</v>
      </c>
      <c r="C66" s="621" t="s">
        <v>8</v>
      </c>
      <c r="D66" s="621" t="s">
        <v>2467</v>
      </c>
      <c r="E66" s="811" t="s">
        <v>12726</v>
      </c>
      <c r="F66" s="812"/>
      <c r="G66" s="623" t="s">
        <v>44</v>
      </c>
      <c r="H66" s="624">
        <v>4.4000000000000003E-3</v>
      </c>
      <c r="I66" s="625">
        <v>16.2</v>
      </c>
      <c r="J66" s="625">
        <v>7.0000000000000007E-2</v>
      </c>
      <c r="K66"/>
    </row>
    <row r="67" spans="1:11" ht="36" customHeight="1">
      <c r="A67" s="621" t="s">
        <v>12708</v>
      </c>
      <c r="B67" s="622" t="s">
        <v>13062</v>
      </c>
      <c r="C67" s="621" t="s">
        <v>8</v>
      </c>
      <c r="D67" s="621" t="s">
        <v>2468</v>
      </c>
      <c r="E67" s="811" t="s">
        <v>12726</v>
      </c>
      <c r="F67" s="812"/>
      <c r="G67" s="623" t="s">
        <v>61</v>
      </c>
      <c r="H67" s="624">
        <v>1.9099999999999999E-2</v>
      </c>
      <c r="I67" s="625">
        <v>13.58</v>
      </c>
      <c r="J67" s="625">
        <v>0.25</v>
      </c>
      <c r="K67"/>
    </row>
    <row r="68" spans="1:11" ht="36" customHeight="1">
      <c r="A68" s="621" t="s">
        <v>12708</v>
      </c>
      <c r="B68" s="622" t="s">
        <v>13254</v>
      </c>
      <c r="C68" s="621" t="s">
        <v>8</v>
      </c>
      <c r="D68" s="621" t="s">
        <v>3551</v>
      </c>
      <c r="E68" s="811" t="s">
        <v>12734</v>
      </c>
      <c r="F68" s="812"/>
      <c r="G68" s="623" t="s">
        <v>12730</v>
      </c>
      <c r="H68" s="624">
        <v>1.1999999999999999E-3</v>
      </c>
      <c r="I68" s="625">
        <v>351.82</v>
      </c>
      <c r="J68" s="625">
        <v>0.42</v>
      </c>
      <c r="K68"/>
    </row>
    <row r="69" spans="1:11" ht="24" customHeight="1">
      <c r="A69" s="621" t="s">
        <v>12708</v>
      </c>
      <c r="B69" s="622" t="s">
        <v>13095</v>
      </c>
      <c r="C69" s="621" t="s">
        <v>8</v>
      </c>
      <c r="D69" s="621" t="s">
        <v>45</v>
      </c>
      <c r="E69" s="811" t="s">
        <v>12707</v>
      </c>
      <c r="F69" s="812"/>
      <c r="G69" s="623" t="s">
        <v>23</v>
      </c>
      <c r="H69" s="624">
        <v>0.18970000000000001</v>
      </c>
      <c r="I69" s="625">
        <v>14.91</v>
      </c>
      <c r="J69" s="625">
        <v>2.82</v>
      </c>
      <c r="K69"/>
    </row>
    <row r="70" spans="1:11" ht="24" customHeight="1">
      <c r="A70" s="621" t="s">
        <v>12708</v>
      </c>
      <c r="B70" s="622" t="s">
        <v>13191</v>
      </c>
      <c r="C70" s="621" t="s">
        <v>8</v>
      </c>
      <c r="D70" s="621" t="s">
        <v>46</v>
      </c>
      <c r="E70" s="811" t="s">
        <v>12707</v>
      </c>
      <c r="F70" s="812"/>
      <c r="G70" s="623" t="s">
        <v>23</v>
      </c>
      <c r="H70" s="624">
        <v>0.56910000000000005</v>
      </c>
      <c r="I70" s="625">
        <v>17.64</v>
      </c>
      <c r="J70" s="625">
        <v>10.029999999999999</v>
      </c>
      <c r="K70"/>
    </row>
    <row r="71" spans="1:11" ht="36" customHeight="1">
      <c r="A71" s="626" t="s">
        <v>12709</v>
      </c>
      <c r="B71" s="627" t="s">
        <v>13653</v>
      </c>
      <c r="C71" s="626" t="s">
        <v>8</v>
      </c>
      <c r="D71" s="626" t="s">
        <v>10706</v>
      </c>
      <c r="E71" s="804" t="s">
        <v>12720</v>
      </c>
      <c r="F71" s="805"/>
      <c r="G71" s="628" t="s">
        <v>17</v>
      </c>
      <c r="H71" s="629">
        <v>1.2273000000000001</v>
      </c>
      <c r="I71" s="630">
        <v>6.94</v>
      </c>
      <c r="J71" s="630">
        <v>8.51</v>
      </c>
      <c r="K71"/>
    </row>
    <row r="72" spans="1:11" ht="24" customHeight="1">
      <c r="A72" s="626" t="s">
        <v>12709</v>
      </c>
      <c r="B72" s="627" t="s">
        <v>13306</v>
      </c>
      <c r="C72" s="626" t="s">
        <v>8</v>
      </c>
      <c r="D72" s="626" t="s">
        <v>11014</v>
      </c>
      <c r="E72" s="804" t="s">
        <v>12720</v>
      </c>
      <c r="F72" s="805"/>
      <c r="G72" s="628" t="s">
        <v>20</v>
      </c>
      <c r="H72" s="629">
        <v>4.2799999999999998E-2</v>
      </c>
      <c r="I72" s="630">
        <v>10.99</v>
      </c>
      <c r="J72" s="630">
        <v>0.47</v>
      </c>
      <c r="K72"/>
    </row>
    <row r="73" spans="1:11" ht="24" customHeight="1">
      <c r="A73" s="626" t="s">
        <v>12709</v>
      </c>
      <c r="B73" s="627" t="s">
        <v>13652</v>
      </c>
      <c r="C73" s="626" t="s">
        <v>8</v>
      </c>
      <c r="D73" s="626" t="s">
        <v>11357</v>
      </c>
      <c r="E73" s="804" t="s">
        <v>12720</v>
      </c>
      <c r="F73" s="805"/>
      <c r="G73" s="628" t="s">
        <v>17</v>
      </c>
      <c r="H73" s="629">
        <v>1</v>
      </c>
      <c r="I73" s="630">
        <v>15.4</v>
      </c>
      <c r="J73" s="630">
        <v>15.4</v>
      </c>
      <c r="K73"/>
    </row>
    <row r="74" spans="1:11" ht="36" customHeight="1">
      <c r="A74" s="626" t="s">
        <v>12709</v>
      </c>
      <c r="B74" s="627" t="s">
        <v>13651</v>
      </c>
      <c r="C74" s="626" t="s">
        <v>8</v>
      </c>
      <c r="D74" s="626" t="s">
        <v>11725</v>
      </c>
      <c r="E74" s="804" t="s">
        <v>12720</v>
      </c>
      <c r="F74" s="805"/>
      <c r="G74" s="628" t="s">
        <v>12725</v>
      </c>
      <c r="H74" s="629">
        <v>0.58530000000000004</v>
      </c>
      <c r="I74" s="630">
        <v>30.82</v>
      </c>
      <c r="J74" s="630">
        <v>18.03</v>
      </c>
      <c r="K74"/>
    </row>
    <row r="75" spans="1:11" ht="25.5">
      <c r="A75" s="631"/>
      <c r="B75" s="631"/>
      <c r="C75" s="631"/>
      <c r="D75" s="631"/>
      <c r="E75" s="631" t="s">
        <v>12714</v>
      </c>
      <c r="F75" s="632">
        <v>5.1789382635960646</v>
      </c>
      <c r="G75" s="631" t="s">
        <v>12715</v>
      </c>
      <c r="H75" s="632">
        <v>4.4000000000000004</v>
      </c>
      <c r="I75" s="631" t="s">
        <v>12716</v>
      </c>
      <c r="J75" s="632">
        <v>9.58</v>
      </c>
      <c r="K75"/>
    </row>
    <row r="76" spans="1:11" ht="15" customHeight="1" thickBot="1">
      <c r="A76" s="631"/>
      <c r="B76" s="631"/>
      <c r="C76" s="631"/>
      <c r="D76" s="631"/>
      <c r="E76" s="631" t="s">
        <v>12717</v>
      </c>
      <c r="F76" s="632">
        <v>15.81</v>
      </c>
      <c r="G76" s="631"/>
      <c r="H76" s="806" t="s">
        <v>12718</v>
      </c>
      <c r="I76" s="806"/>
      <c r="J76" s="632">
        <v>71.81</v>
      </c>
      <c r="K76"/>
    </row>
    <row r="77" spans="1:11" ht="0.95" customHeight="1" thickTop="1">
      <c r="A77" s="633"/>
      <c r="B77" s="633"/>
      <c r="C77" s="633"/>
      <c r="D77" s="633"/>
      <c r="E77" s="633"/>
      <c r="F77" s="633"/>
      <c r="G77" s="633"/>
      <c r="H77" s="633"/>
      <c r="I77" s="633"/>
      <c r="J77" s="633"/>
      <c r="K77"/>
    </row>
    <row r="78" spans="1:11" ht="18" customHeight="1">
      <c r="A78" s="613" t="s">
        <v>12735</v>
      </c>
      <c r="B78" s="614" t="s">
        <v>12698</v>
      </c>
      <c r="C78" s="613" t="s">
        <v>12699</v>
      </c>
      <c r="D78" s="613" t="s">
        <v>12700</v>
      </c>
      <c r="E78" s="807" t="s">
        <v>12701</v>
      </c>
      <c r="F78" s="808"/>
      <c r="G78" s="615" t="s">
        <v>12702</v>
      </c>
      <c r="H78" s="614" t="s">
        <v>12703</v>
      </c>
      <c r="I78" s="614" t="s">
        <v>12704</v>
      </c>
      <c r="J78" s="614" t="s">
        <v>12705</v>
      </c>
      <c r="K78"/>
    </row>
    <row r="79" spans="1:11" ht="36" customHeight="1">
      <c r="A79" s="616" t="s">
        <v>12706</v>
      </c>
      <c r="B79" s="617" t="s">
        <v>13650</v>
      </c>
      <c r="C79" s="616" t="s">
        <v>8</v>
      </c>
      <c r="D79" s="616" t="s">
        <v>4642</v>
      </c>
      <c r="E79" s="809" t="s">
        <v>12736</v>
      </c>
      <c r="F79" s="810"/>
      <c r="G79" s="618" t="s">
        <v>12725</v>
      </c>
      <c r="H79" s="619">
        <v>1</v>
      </c>
      <c r="I79" s="620">
        <v>2.31</v>
      </c>
      <c r="J79" s="620">
        <v>2.31</v>
      </c>
      <c r="K79"/>
    </row>
    <row r="80" spans="1:11" ht="24" customHeight="1">
      <c r="A80" s="621" t="s">
        <v>12708</v>
      </c>
      <c r="B80" s="622" t="s">
        <v>12727</v>
      </c>
      <c r="C80" s="621" t="s">
        <v>8</v>
      </c>
      <c r="D80" s="621" t="s">
        <v>26</v>
      </c>
      <c r="E80" s="811" t="s">
        <v>12707</v>
      </c>
      <c r="F80" s="812"/>
      <c r="G80" s="623" t="s">
        <v>23</v>
      </c>
      <c r="H80" s="624">
        <v>9.7100000000000006E-2</v>
      </c>
      <c r="I80" s="625">
        <v>14.37</v>
      </c>
      <c r="J80" s="625">
        <v>1.39</v>
      </c>
      <c r="K80"/>
    </row>
    <row r="81" spans="1:11" ht="24" customHeight="1">
      <c r="A81" s="621" t="s">
        <v>12708</v>
      </c>
      <c r="B81" s="622" t="s">
        <v>13034</v>
      </c>
      <c r="C81" s="621" t="s">
        <v>8</v>
      </c>
      <c r="D81" s="621" t="s">
        <v>296</v>
      </c>
      <c r="E81" s="811" t="s">
        <v>12707</v>
      </c>
      <c r="F81" s="812"/>
      <c r="G81" s="623" t="s">
        <v>23</v>
      </c>
      <c r="H81" s="624">
        <v>4.9399999999999999E-2</v>
      </c>
      <c r="I81" s="625">
        <v>18.809999999999999</v>
      </c>
      <c r="J81" s="625">
        <v>0.92</v>
      </c>
      <c r="K81"/>
    </row>
    <row r="82" spans="1:11" ht="25.5">
      <c r="A82" s="631"/>
      <c r="B82" s="631"/>
      <c r="C82" s="631"/>
      <c r="D82" s="631"/>
      <c r="E82" s="631" t="s">
        <v>12714</v>
      </c>
      <c r="F82" s="632">
        <v>0.87577035355173527</v>
      </c>
      <c r="G82" s="631" t="s">
        <v>12715</v>
      </c>
      <c r="H82" s="632">
        <v>0.74</v>
      </c>
      <c r="I82" s="631" t="s">
        <v>12716</v>
      </c>
      <c r="J82" s="632">
        <v>1.6199999999999999</v>
      </c>
      <c r="K82"/>
    </row>
    <row r="83" spans="1:11" ht="15" customHeight="1" thickBot="1">
      <c r="A83" s="631"/>
      <c r="B83" s="631"/>
      <c r="C83" s="631"/>
      <c r="D83" s="631"/>
      <c r="E83" s="631" t="s">
        <v>12717</v>
      </c>
      <c r="F83" s="632">
        <v>0.65</v>
      </c>
      <c r="G83" s="631"/>
      <c r="H83" s="806" t="s">
        <v>12718</v>
      </c>
      <c r="I83" s="806"/>
      <c r="J83" s="632">
        <v>2.96</v>
      </c>
      <c r="K83"/>
    </row>
    <row r="84" spans="1:11" ht="0.95" customHeight="1" thickTop="1">
      <c r="A84" s="633"/>
      <c r="B84" s="633"/>
      <c r="C84" s="633"/>
      <c r="D84" s="633"/>
      <c r="E84" s="633"/>
      <c r="F84" s="633"/>
      <c r="G84" s="633"/>
      <c r="H84" s="633"/>
      <c r="I84" s="633"/>
      <c r="J84" s="633"/>
      <c r="K84"/>
    </row>
    <row r="85" spans="1:11" ht="18" customHeight="1">
      <c r="A85" s="613" t="s">
        <v>12737</v>
      </c>
      <c r="B85" s="614" t="s">
        <v>12698</v>
      </c>
      <c r="C85" s="613" t="s">
        <v>12699</v>
      </c>
      <c r="D85" s="613" t="s">
        <v>12700</v>
      </c>
      <c r="E85" s="807" t="s">
        <v>12701</v>
      </c>
      <c r="F85" s="808"/>
      <c r="G85" s="615" t="s">
        <v>12702</v>
      </c>
      <c r="H85" s="614" t="s">
        <v>12703</v>
      </c>
      <c r="I85" s="614" t="s">
        <v>12704</v>
      </c>
      <c r="J85" s="614" t="s">
        <v>12705</v>
      </c>
      <c r="K85"/>
    </row>
    <row r="86" spans="1:11" ht="24" customHeight="1">
      <c r="A86" s="616" t="s">
        <v>12706</v>
      </c>
      <c r="B86" s="617" t="s">
        <v>13649</v>
      </c>
      <c r="C86" s="616" t="s">
        <v>8</v>
      </c>
      <c r="D86" s="616" t="s">
        <v>4656</v>
      </c>
      <c r="E86" s="809" t="s">
        <v>12736</v>
      </c>
      <c r="F86" s="810"/>
      <c r="G86" s="618" t="s">
        <v>17</v>
      </c>
      <c r="H86" s="619">
        <v>1</v>
      </c>
      <c r="I86" s="620">
        <v>0.44</v>
      </c>
      <c r="J86" s="620">
        <v>0.44</v>
      </c>
      <c r="K86"/>
    </row>
    <row r="87" spans="1:11" ht="24" customHeight="1">
      <c r="A87" s="621" t="s">
        <v>12708</v>
      </c>
      <c r="B87" s="622" t="s">
        <v>13022</v>
      </c>
      <c r="C87" s="621" t="s">
        <v>8</v>
      </c>
      <c r="D87" s="621" t="s">
        <v>52</v>
      </c>
      <c r="E87" s="811" t="s">
        <v>12707</v>
      </c>
      <c r="F87" s="812"/>
      <c r="G87" s="623" t="s">
        <v>23</v>
      </c>
      <c r="H87" s="624">
        <v>9.5999999999999992E-3</v>
      </c>
      <c r="I87" s="625">
        <v>18.38</v>
      </c>
      <c r="J87" s="625">
        <v>0.17</v>
      </c>
      <c r="K87"/>
    </row>
    <row r="88" spans="1:11" ht="24" customHeight="1">
      <c r="A88" s="621" t="s">
        <v>12708</v>
      </c>
      <c r="B88" s="622" t="s">
        <v>12727</v>
      </c>
      <c r="C88" s="621" t="s">
        <v>8</v>
      </c>
      <c r="D88" s="621" t="s">
        <v>26</v>
      </c>
      <c r="E88" s="811" t="s">
        <v>12707</v>
      </c>
      <c r="F88" s="812"/>
      <c r="G88" s="623" t="s">
        <v>23</v>
      </c>
      <c r="H88" s="624">
        <v>1.8800000000000001E-2</v>
      </c>
      <c r="I88" s="625">
        <v>14.37</v>
      </c>
      <c r="J88" s="625">
        <v>0.27</v>
      </c>
      <c r="K88"/>
    </row>
    <row r="89" spans="1:11" ht="25.5">
      <c r="A89" s="631"/>
      <c r="B89" s="631"/>
      <c r="C89" s="631"/>
      <c r="D89" s="631"/>
      <c r="E89" s="631" t="s">
        <v>12714</v>
      </c>
      <c r="F89" s="632">
        <v>0.16758568493891232</v>
      </c>
      <c r="G89" s="631" t="s">
        <v>12715</v>
      </c>
      <c r="H89" s="632">
        <v>0.14000000000000001</v>
      </c>
      <c r="I89" s="631" t="s">
        <v>12716</v>
      </c>
      <c r="J89" s="632">
        <v>0.31</v>
      </c>
      <c r="K89"/>
    </row>
    <row r="90" spans="1:11" ht="15" customHeight="1" thickBot="1">
      <c r="A90" s="631"/>
      <c r="B90" s="631"/>
      <c r="C90" s="631"/>
      <c r="D90" s="631"/>
      <c r="E90" s="631" t="s">
        <v>12717</v>
      </c>
      <c r="F90" s="632">
        <v>0.12</v>
      </c>
      <c r="G90" s="631"/>
      <c r="H90" s="806" t="s">
        <v>12718</v>
      </c>
      <c r="I90" s="806"/>
      <c r="J90" s="632">
        <v>0.56000000000000005</v>
      </c>
      <c r="K90"/>
    </row>
    <row r="91" spans="1:11" ht="0.95" customHeight="1" thickTop="1">
      <c r="A91" s="633"/>
      <c r="B91" s="633"/>
      <c r="C91" s="633"/>
      <c r="D91" s="633"/>
      <c r="E91" s="633"/>
      <c r="F91" s="633"/>
      <c r="G91" s="633"/>
      <c r="H91" s="633"/>
      <c r="I91" s="633"/>
      <c r="J91" s="633"/>
      <c r="K91"/>
    </row>
    <row r="92" spans="1:11" ht="18" customHeight="1">
      <c r="A92" s="613" t="s">
        <v>12738</v>
      </c>
      <c r="B92" s="614" t="s">
        <v>12698</v>
      </c>
      <c r="C92" s="613" t="s">
        <v>12699</v>
      </c>
      <c r="D92" s="613" t="s">
        <v>12700</v>
      </c>
      <c r="E92" s="807" t="s">
        <v>12701</v>
      </c>
      <c r="F92" s="808"/>
      <c r="G92" s="615" t="s">
        <v>12702</v>
      </c>
      <c r="H92" s="614" t="s">
        <v>12703</v>
      </c>
      <c r="I92" s="614" t="s">
        <v>12704</v>
      </c>
      <c r="J92" s="614" t="s">
        <v>12705</v>
      </c>
      <c r="K92"/>
    </row>
    <row r="93" spans="1:11" ht="36" customHeight="1">
      <c r="A93" s="616" t="s">
        <v>12706</v>
      </c>
      <c r="B93" s="617" t="s">
        <v>13648</v>
      </c>
      <c r="C93" s="616" t="s">
        <v>8</v>
      </c>
      <c r="D93" s="616" t="s">
        <v>4657</v>
      </c>
      <c r="E93" s="809" t="s">
        <v>12736</v>
      </c>
      <c r="F93" s="810"/>
      <c r="G93" s="618" t="s">
        <v>17</v>
      </c>
      <c r="H93" s="619">
        <v>1</v>
      </c>
      <c r="I93" s="620">
        <v>0.32</v>
      </c>
      <c r="J93" s="620">
        <v>0.32</v>
      </c>
      <c r="K93"/>
    </row>
    <row r="94" spans="1:11" ht="24" customHeight="1">
      <c r="A94" s="621" t="s">
        <v>12708</v>
      </c>
      <c r="B94" s="622" t="s">
        <v>12981</v>
      </c>
      <c r="C94" s="621" t="s">
        <v>8</v>
      </c>
      <c r="D94" s="621" t="s">
        <v>50</v>
      </c>
      <c r="E94" s="811" t="s">
        <v>12707</v>
      </c>
      <c r="F94" s="812"/>
      <c r="G94" s="623" t="s">
        <v>23</v>
      </c>
      <c r="H94" s="624">
        <v>7.1000000000000004E-3</v>
      </c>
      <c r="I94" s="625">
        <v>17.79</v>
      </c>
      <c r="J94" s="625">
        <v>0.12</v>
      </c>
      <c r="K94"/>
    </row>
    <row r="95" spans="1:11" ht="24" customHeight="1">
      <c r="A95" s="621" t="s">
        <v>12708</v>
      </c>
      <c r="B95" s="622" t="s">
        <v>12727</v>
      </c>
      <c r="C95" s="621" t="s">
        <v>8</v>
      </c>
      <c r="D95" s="621" t="s">
        <v>26</v>
      </c>
      <c r="E95" s="811" t="s">
        <v>12707</v>
      </c>
      <c r="F95" s="812"/>
      <c r="G95" s="623" t="s">
        <v>23</v>
      </c>
      <c r="H95" s="624">
        <v>1.4E-2</v>
      </c>
      <c r="I95" s="625">
        <v>14.37</v>
      </c>
      <c r="J95" s="625">
        <v>0.2</v>
      </c>
      <c r="K95"/>
    </row>
    <row r="96" spans="1:11" ht="25.5">
      <c r="A96" s="631"/>
      <c r="B96" s="631"/>
      <c r="C96" s="631"/>
      <c r="D96" s="631"/>
      <c r="E96" s="631" t="s">
        <v>12714</v>
      </c>
      <c r="F96" s="632">
        <v>0.11893177640826036</v>
      </c>
      <c r="G96" s="631" t="s">
        <v>12715</v>
      </c>
      <c r="H96" s="632">
        <v>0.1</v>
      </c>
      <c r="I96" s="631" t="s">
        <v>12716</v>
      </c>
      <c r="J96" s="632">
        <v>0.22</v>
      </c>
      <c r="K96"/>
    </row>
    <row r="97" spans="1:11" ht="15" customHeight="1" thickBot="1">
      <c r="A97" s="631"/>
      <c r="B97" s="631"/>
      <c r="C97" s="631"/>
      <c r="D97" s="631"/>
      <c r="E97" s="631" t="s">
        <v>12717</v>
      </c>
      <c r="F97" s="632">
        <v>0.09</v>
      </c>
      <c r="G97" s="631"/>
      <c r="H97" s="806" t="s">
        <v>12718</v>
      </c>
      <c r="I97" s="806"/>
      <c r="J97" s="632">
        <v>0.41</v>
      </c>
      <c r="K97"/>
    </row>
    <row r="98" spans="1:11" ht="0.95" customHeight="1" thickTop="1">
      <c r="A98" s="633"/>
      <c r="B98" s="633"/>
      <c r="C98" s="633"/>
      <c r="D98" s="633"/>
      <c r="E98" s="633"/>
      <c r="F98" s="633"/>
      <c r="G98" s="633"/>
      <c r="H98" s="633"/>
      <c r="I98" s="633"/>
      <c r="J98" s="633"/>
      <c r="K98"/>
    </row>
    <row r="99" spans="1:11" ht="18" customHeight="1">
      <c r="A99" s="613" t="s">
        <v>12739</v>
      </c>
      <c r="B99" s="614" t="s">
        <v>12698</v>
      </c>
      <c r="C99" s="613" t="s">
        <v>12699</v>
      </c>
      <c r="D99" s="613" t="s">
        <v>12700</v>
      </c>
      <c r="E99" s="807" t="s">
        <v>12701</v>
      </c>
      <c r="F99" s="808"/>
      <c r="G99" s="615" t="s">
        <v>12702</v>
      </c>
      <c r="H99" s="614" t="s">
        <v>12703</v>
      </c>
      <c r="I99" s="614" t="s">
        <v>12704</v>
      </c>
      <c r="J99" s="614" t="s">
        <v>12705</v>
      </c>
      <c r="K99"/>
    </row>
    <row r="100" spans="1:11" ht="24" customHeight="1">
      <c r="A100" s="616" t="s">
        <v>12706</v>
      </c>
      <c r="B100" s="617" t="s">
        <v>13647</v>
      </c>
      <c r="C100" s="616" t="s">
        <v>8</v>
      </c>
      <c r="D100" s="616" t="s">
        <v>4650</v>
      </c>
      <c r="E100" s="809" t="s">
        <v>12736</v>
      </c>
      <c r="F100" s="810"/>
      <c r="G100" s="618" t="s">
        <v>12725</v>
      </c>
      <c r="H100" s="619">
        <v>1</v>
      </c>
      <c r="I100" s="620">
        <v>16.28</v>
      </c>
      <c r="J100" s="620">
        <v>16.28</v>
      </c>
      <c r="K100"/>
    </row>
    <row r="101" spans="1:11" ht="36" customHeight="1">
      <c r="A101" s="621" t="s">
        <v>12708</v>
      </c>
      <c r="B101" s="622" t="s">
        <v>13329</v>
      </c>
      <c r="C101" s="621" t="s">
        <v>8</v>
      </c>
      <c r="D101" s="621" t="s">
        <v>2917</v>
      </c>
      <c r="E101" s="811" t="s">
        <v>12726</v>
      </c>
      <c r="F101" s="812"/>
      <c r="G101" s="623" t="s">
        <v>44</v>
      </c>
      <c r="H101" s="624">
        <v>0.18459999999999999</v>
      </c>
      <c r="I101" s="625">
        <v>26.74</v>
      </c>
      <c r="J101" s="625">
        <v>4.93</v>
      </c>
      <c r="K101"/>
    </row>
    <row r="102" spans="1:11" ht="36" customHeight="1">
      <c r="A102" s="621" t="s">
        <v>12708</v>
      </c>
      <c r="B102" s="622" t="s">
        <v>13330</v>
      </c>
      <c r="C102" s="621" t="s">
        <v>8</v>
      </c>
      <c r="D102" s="621" t="s">
        <v>2918</v>
      </c>
      <c r="E102" s="811" t="s">
        <v>12726</v>
      </c>
      <c r="F102" s="812"/>
      <c r="G102" s="623" t="s">
        <v>61</v>
      </c>
      <c r="H102" s="624">
        <v>0.4506</v>
      </c>
      <c r="I102" s="625">
        <v>0.3</v>
      </c>
      <c r="J102" s="625">
        <v>0.13</v>
      </c>
      <c r="K102"/>
    </row>
    <row r="103" spans="1:11" ht="24" customHeight="1">
      <c r="A103" s="621" t="s">
        <v>12708</v>
      </c>
      <c r="B103" s="622" t="s">
        <v>12727</v>
      </c>
      <c r="C103" s="621" t="s">
        <v>8</v>
      </c>
      <c r="D103" s="621" t="s">
        <v>26</v>
      </c>
      <c r="E103" s="811" t="s">
        <v>12707</v>
      </c>
      <c r="F103" s="812"/>
      <c r="G103" s="623" t="s">
        <v>23</v>
      </c>
      <c r="H103" s="624">
        <v>0.46899999999999997</v>
      </c>
      <c r="I103" s="625">
        <v>14.37</v>
      </c>
      <c r="J103" s="625">
        <v>6.73</v>
      </c>
      <c r="K103"/>
    </row>
    <row r="104" spans="1:11" ht="24" customHeight="1">
      <c r="A104" s="621" t="s">
        <v>12708</v>
      </c>
      <c r="B104" s="622" t="s">
        <v>13034</v>
      </c>
      <c r="C104" s="621" t="s">
        <v>8</v>
      </c>
      <c r="D104" s="621" t="s">
        <v>296</v>
      </c>
      <c r="E104" s="811" t="s">
        <v>12707</v>
      </c>
      <c r="F104" s="812"/>
      <c r="G104" s="623" t="s">
        <v>23</v>
      </c>
      <c r="H104" s="624">
        <v>0.23880000000000001</v>
      </c>
      <c r="I104" s="625">
        <v>18.809999999999999</v>
      </c>
      <c r="J104" s="625">
        <v>4.49</v>
      </c>
      <c r="K104"/>
    </row>
    <row r="105" spans="1:11" ht="25.5">
      <c r="A105" s="631"/>
      <c r="B105" s="631"/>
      <c r="C105" s="631"/>
      <c r="D105" s="631"/>
      <c r="E105" s="631" t="s">
        <v>12714</v>
      </c>
      <c r="F105" s="632">
        <v>4.2545140015136775</v>
      </c>
      <c r="G105" s="631" t="s">
        <v>12715</v>
      </c>
      <c r="H105" s="632">
        <v>3.62</v>
      </c>
      <c r="I105" s="631" t="s">
        <v>12716</v>
      </c>
      <c r="J105" s="632">
        <v>7.87</v>
      </c>
      <c r="K105"/>
    </row>
    <row r="106" spans="1:11" ht="15" customHeight="1" thickBot="1">
      <c r="A106" s="631"/>
      <c r="B106" s="631"/>
      <c r="C106" s="631"/>
      <c r="D106" s="631"/>
      <c r="E106" s="631" t="s">
        <v>12717</v>
      </c>
      <c r="F106" s="632">
        <v>4.59</v>
      </c>
      <c r="G106" s="631"/>
      <c r="H106" s="806" t="s">
        <v>12718</v>
      </c>
      <c r="I106" s="806"/>
      <c r="J106" s="632">
        <v>20.87</v>
      </c>
      <c r="K106"/>
    </row>
    <row r="107" spans="1:11" ht="0.95" customHeight="1" thickTop="1">
      <c r="A107" s="633"/>
      <c r="B107" s="633"/>
      <c r="C107" s="633"/>
      <c r="D107" s="633"/>
      <c r="E107" s="633"/>
      <c r="F107" s="633"/>
      <c r="G107" s="633"/>
      <c r="H107" s="633"/>
      <c r="I107" s="633"/>
      <c r="J107" s="633"/>
      <c r="K107"/>
    </row>
    <row r="108" spans="1:11" ht="18" customHeight="1">
      <c r="A108" s="613" t="s">
        <v>12740</v>
      </c>
      <c r="B108" s="614" t="s">
        <v>12698</v>
      </c>
      <c r="C108" s="613" t="s">
        <v>12699</v>
      </c>
      <c r="D108" s="613" t="s">
        <v>12700</v>
      </c>
      <c r="E108" s="807" t="s">
        <v>12701</v>
      </c>
      <c r="F108" s="808"/>
      <c r="G108" s="615" t="s">
        <v>12702</v>
      </c>
      <c r="H108" s="614" t="s">
        <v>12703</v>
      </c>
      <c r="I108" s="614" t="s">
        <v>12704</v>
      </c>
      <c r="J108" s="614" t="s">
        <v>12705</v>
      </c>
      <c r="K108"/>
    </row>
    <row r="109" spans="1:11" ht="24" customHeight="1">
      <c r="A109" s="616" t="s">
        <v>12706</v>
      </c>
      <c r="B109" s="617" t="s">
        <v>13646</v>
      </c>
      <c r="C109" s="616" t="s">
        <v>8</v>
      </c>
      <c r="D109" s="616" t="s">
        <v>4645</v>
      </c>
      <c r="E109" s="809" t="s">
        <v>12736</v>
      </c>
      <c r="F109" s="810"/>
      <c r="G109" s="618" t="s">
        <v>12725</v>
      </c>
      <c r="H109" s="619">
        <v>1</v>
      </c>
      <c r="I109" s="620">
        <v>4.9800000000000004</v>
      </c>
      <c r="J109" s="620">
        <v>4.9800000000000004</v>
      </c>
      <c r="K109"/>
    </row>
    <row r="110" spans="1:11" ht="24" customHeight="1">
      <c r="A110" s="621" t="s">
        <v>12708</v>
      </c>
      <c r="B110" s="622" t="s">
        <v>12727</v>
      </c>
      <c r="C110" s="621" t="s">
        <v>8</v>
      </c>
      <c r="D110" s="621" t="s">
        <v>26</v>
      </c>
      <c r="E110" s="811" t="s">
        <v>12707</v>
      </c>
      <c r="F110" s="812"/>
      <c r="G110" s="623" t="s">
        <v>23</v>
      </c>
      <c r="H110" s="624">
        <v>0.20860000000000001</v>
      </c>
      <c r="I110" s="625">
        <v>14.37</v>
      </c>
      <c r="J110" s="625">
        <v>2.99</v>
      </c>
      <c r="K110"/>
    </row>
    <row r="111" spans="1:11" ht="24" customHeight="1">
      <c r="A111" s="621" t="s">
        <v>12708</v>
      </c>
      <c r="B111" s="622" t="s">
        <v>13034</v>
      </c>
      <c r="C111" s="621" t="s">
        <v>8</v>
      </c>
      <c r="D111" s="621" t="s">
        <v>296</v>
      </c>
      <c r="E111" s="811" t="s">
        <v>12707</v>
      </c>
      <c r="F111" s="812"/>
      <c r="G111" s="623" t="s">
        <v>23</v>
      </c>
      <c r="H111" s="624">
        <v>0.1062</v>
      </c>
      <c r="I111" s="625">
        <v>18.809999999999999</v>
      </c>
      <c r="J111" s="625">
        <v>1.99</v>
      </c>
      <c r="K111"/>
    </row>
    <row r="112" spans="1:11" ht="25.5">
      <c r="A112" s="631"/>
      <c r="B112" s="631"/>
      <c r="C112" s="631"/>
      <c r="D112" s="631"/>
      <c r="E112" s="631" t="s">
        <v>12714</v>
      </c>
      <c r="F112" s="632">
        <v>1.8920964428586875</v>
      </c>
      <c r="G112" s="631" t="s">
        <v>12715</v>
      </c>
      <c r="H112" s="632">
        <v>1.61</v>
      </c>
      <c r="I112" s="631" t="s">
        <v>12716</v>
      </c>
      <c r="J112" s="632">
        <v>3.5</v>
      </c>
      <c r="K112"/>
    </row>
    <row r="113" spans="1:11" ht="15" customHeight="1" thickBot="1">
      <c r="A113" s="631"/>
      <c r="B113" s="631"/>
      <c r="C113" s="631"/>
      <c r="D113" s="631"/>
      <c r="E113" s="631" t="s">
        <v>12717</v>
      </c>
      <c r="F113" s="632">
        <v>1.4</v>
      </c>
      <c r="G113" s="631"/>
      <c r="H113" s="806" t="s">
        <v>12718</v>
      </c>
      <c r="I113" s="806"/>
      <c r="J113" s="632">
        <v>6.38</v>
      </c>
      <c r="K113"/>
    </row>
    <row r="114" spans="1:11" ht="0.95" customHeight="1" thickTop="1">
      <c r="A114" s="633"/>
      <c r="B114" s="633"/>
      <c r="C114" s="633"/>
      <c r="D114" s="633"/>
      <c r="E114" s="633"/>
      <c r="F114" s="633"/>
      <c r="G114" s="633"/>
      <c r="H114" s="633"/>
      <c r="I114" s="633"/>
      <c r="J114" s="633"/>
      <c r="K114"/>
    </row>
    <row r="115" spans="1:11" ht="18" customHeight="1">
      <c r="A115" s="613" t="s">
        <v>12741</v>
      </c>
      <c r="B115" s="614" t="s">
        <v>12698</v>
      </c>
      <c r="C115" s="613" t="s">
        <v>12699</v>
      </c>
      <c r="D115" s="613" t="s">
        <v>12700</v>
      </c>
      <c r="E115" s="807" t="s">
        <v>12701</v>
      </c>
      <c r="F115" s="808"/>
      <c r="G115" s="615" t="s">
        <v>12702</v>
      </c>
      <c r="H115" s="614" t="s">
        <v>12703</v>
      </c>
      <c r="I115" s="614" t="s">
        <v>12704</v>
      </c>
      <c r="J115" s="614" t="s">
        <v>12705</v>
      </c>
      <c r="K115"/>
    </row>
    <row r="116" spans="1:11" ht="36" customHeight="1">
      <c r="A116" s="616" t="s">
        <v>12706</v>
      </c>
      <c r="B116" s="617" t="s">
        <v>13645</v>
      </c>
      <c r="C116" s="616" t="s">
        <v>8</v>
      </c>
      <c r="D116" s="616" t="s">
        <v>4651</v>
      </c>
      <c r="E116" s="809" t="s">
        <v>12736</v>
      </c>
      <c r="F116" s="810"/>
      <c r="G116" s="618" t="s">
        <v>35</v>
      </c>
      <c r="H116" s="619">
        <v>1</v>
      </c>
      <c r="I116" s="620">
        <v>159.13999999999999</v>
      </c>
      <c r="J116" s="620">
        <v>159.13999999999999</v>
      </c>
      <c r="K116"/>
    </row>
    <row r="117" spans="1:11" ht="36" customHeight="1">
      <c r="A117" s="621" t="s">
        <v>12708</v>
      </c>
      <c r="B117" s="622" t="s">
        <v>13329</v>
      </c>
      <c r="C117" s="621" t="s">
        <v>8</v>
      </c>
      <c r="D117" s="621" t="s">
        <v>2917</v>
      </c>
      <c r="E117" s="811" t="s">
        <v>12726</v>
      </c>
      <c r="F117" s="812"/>
      <c r="G117" s="623" t="s">
        <v>44</v>
      </c>
      <c r="H117" s="624">
        <v>1.4464999999999999</v>
      </c>
      <c r="I117" s="625">
        <v>26.74</v>
      </c>
      <c r="J117" s="625">
        <v>38.67</v>
      </c>
      <c r="K117"/>
    </row>
    <row r="118" spans="1:11" ht="36" customHeight="1">
      <c r="A118" s="621" t="s">
        <v>12708</v>
      </c>
      <c r="B118" s="622" t="s">
        <v>13330</v>
      </c>
      <c r="C118" s="621" t="s">
        <v>8</v>
      </c>
      <c r="D118" s="621" t="s">
        <v>2918</v>
      </c>
      <c r="E118" s="811" t="s">
        <v>12726</v>
      </c>
      <c r="F118" s="812"/>
      <c r="G118" s="623" t="s">
        <v>61</v>
      </c>
      <c r="H118" s="624">
        <v>3.5306999999999999</v>
      </c>
      <c r="I118" s="625">
        <v>0.3</v>
      </c>
      <c r="J118" s="625">
        <v>1.05</v>
      </c>
      <c r="K118"/>
    </row>
    <row r="119" spans="1:11" ht="24" customHeight="1">
      <c r="A119" s="621" t="s">
        <v>12708</v>
      </c>
      <c r="B119" s="622" t="s">
        <v>12727</v>
      </c>
      <c r="C119" s="621" t="s">
        <v>8</v>
      </c>
      <c r="D119" s="621" t="s">
        <v>26</v>
      </c>
      <c r="E119" s="811" t="s">
        <v>12707</v>
      </c>
      <c r="F119" s="812"/>
      <c r="G119" s="623" t="s">
        <v>23</v>
      </c>
      <c r="H119" s="624">
        <v>4.9871999999999996</v>
      </c>
      <c r="I119" s="625">
        <v>14.37</v>
      </c>
      <c r="J119" s="625">
        <v>71.66</v>
      </c>
      <c r="K119"/>
    </row>
    <row r="120" spans="1:11" ht="24" customHeight="1">
      <c r="A120" s="621" t="s">
        <v>12708</v>
      </c>
      <c r="B120" s="622" t="s">
        <v>13034</v>
      </c>
      <c r="C120" s="621" t="s">
        <v>8</v>
      </c>
      <c r="D120" s="621" t="s">
        <v>296</v>
      </c>
      <c r="E120" s="811" t="s">
        <v>12707</v>
      </c>
      <c r="F120" s="812"/>
      <c r="G120" s="623" t="s">
        <v>23</v>
      </c>
      <c r="H120" s="624">
        <v>2.5392999999999999</v>
      </c>
      <c r="I120" s="625">
        <v>18.809999999999999</v>
      </c>
      <c r="J120" s="625">
        <v>47.76</v>
      </c>
      <c r="K120"/>
    </row>
    <row r="121" spans="1:11" ht="25.5">
      <c r="A121" s="631"/>
      <c r="B121" s="631"/>
      <c r="C121" s="631"/>
      <c r="D121" s="631"/>
      <c r="E121" s="631" t="s">
        <v>12714</v>
      </c>
      <c r="F121" s="632">
        <v>45.285976862363498</v>
      </c>
      <c r="G121" s="631" t="s">
        <v>12715</v>
      </c>
      <c r="H121" s="632">
        <v>38.479999999999997</v>
      </c>
      <c r="I121" s="631" t="s">
        <v>12716</v>
      </c>
      <c r="J121" s="632">
        <v>83.77</v>
      </c>
      <c r="K121"/>
    </row>
    <row r="122" spans="1:11" ht="15" customHeight="1" thickBot="1">
      <c r="A122" s="631"/>
      <c r="B122" s="631"/>
      <c r="C122" s="631"/>
      <c r="D122" s="631"/>
      <c r="E122" s="631" t="s">
        <v>12717</v>
      </c>
      <c r="F122" s="632">
        <v>44.94</v>
      </c>
      <c r="G122" s="631"/>
      <c r="H122" s="806" t="s">
        <v>12718</v>
      </c>
      <c r="I122" s="806"/>
      <c r="J122" s="632">
        <v>204.08</v>
      </c>
      <c r="K122"/>
    </row>
    <row r="123" spans="1:11" ht="0.95" customHeight="1" thickTop="1">
      <c r="A123" s="633"/>
      <c r="B123" s="633"/>
      <c r="C123" s="633"/>
      <c r="D123" s="633"/>
      <c r="E123" s="633"/>
      <c r="F123" s="633"/>
      <c r="G123" s="633"/>
      <c r="H123" s="633"/>
      <c r="I123" s="633"/>
      <c r="J123" s="633"/>
      <c r="K123"/>
    </row>
    <row r="124" spans="1:11" ht="18" customHeight="1">
      <c r="A124" s="613" t="s">
        <v>12742</v>
      </c>
      <c r="B124" s="614" t="s">
        <v>12698</v>
      </c>
      <c r="C124" s="613" t="s">
        <v>12699</v>
      </c>
      <c r="D124" s="613" t="s">
        <v>12700</v>
      </c>
      <c r="E124" s="807" t="s">
        <v>12701</v>
      </c>
      <c r="F124" s="808"/>
      <c r="G124" s="615" t="s">
        <v>12702</v>
      </c>
      <c r="H124" s="614" t="s">
        <v>12703</v>
      </c>
      <c r="I124" s="614" t="s">
        <v>12704</v>
      </c>
      <c r="J124" s="614" t="s">
        <v>12705</v>
      </c>
      <c r="K124"/>
    </row>
    <row r="125" spans="1:11" ht="36" customHeight="1">
      <c r="A125" s="616" t="s">
        <v>12706</v>
      </c>
      <c r="B125" s="617" t="s">
        <v>13644</v>
      </c>
      <c r="C125" s="616" t="s">
        <v>8</v>
      </c>
      <c r="D125" s="616" t="s">
        <v>4647</v>
      </c>
      <c r="E125" s="809" t="s">
        <v>12736</v>
      </c>
      <c r="F125" s="810"/>
      <c r="G125" s="618" t="s">
        <v>35</v>
      </c>
      <c r="H125" s="619">
        <v>1</v>
      </c>
      <c r="I125" s="620">
        <v>125.22</v>
      </c>
      <c r="J125" s="620">
        <v>125.22</v>
      </c>
      <c r="K125"/>
    </row>
    <row r="126" spans="1:11" ht="24" customHeight="1">
      <c r="A126" s="621" t="s">
        <v>12708</v>
      </c>
      <c r="B126" s="622" t="s">
        <v>12727</v>
      </c>
      <c r="C126" s="621" t="s">
        <v>8</v>
      </c>
      <c r="D126" s="621" t="s">
        <v>26</v>
      </c>
      <c r="E126" s="811" t="s">
        <v>12707</v>
      </c>
      <c r="F126" s="812"/>
      <c r="G126" s="623" t="s">
        <v>23</v>
      </c>
      <c r="H126" s="624">
        <v>5.2293000000000003</v>
      </c>
      <c r="I126" s="625">
        <v>14.37</v>
      </c>
      <c r="J126" s="625">
        <v>75.14</v>
      </c>
      <c r="K126"/>
    </row>
    <row r="127" spans="1:11" ht="24" customHeight="1">
      <c r="A127" s="621" t="s">
        <v>12708</v>
      </c>
      <c r="B127" s="622" t="s">
        <v>13034</v>
      </c>
      <c r="C127" s="621" t="s">
        <v>8</v>
      </c>
      <c r="D127" s="621" t="s">
        <v>296</v>
      </c>
      <c r="E127" s="811" t="s">
        <v>12707</v>
      </c>
      <c r="F127" s="812"/>
      <c r="G127" s="623" t="s">
        <v>23</v>
      </c>
      <c r="H127" s="624">
        <v>2.6625999999999999</v>
      </c>
      <c r="I127" s="625">
        <v>18.809999999999999</v>
      </c>
      <c r="J127" s="625">
        <v>50.08</v>
      </c>
      <c r="K127"/>
    </row>
    <row r="128" spans="1:11" ht="25.5">
      <c r="A128" s="631"/>
      <c r="B128" s="631"/>
      <c r="C128" s="631"/>
      <c r="D128" s="631"/>
      <c r="E128" s="631" t="s">
        <v>12714</v>
      </c>
      <c r="F128" s="632">
        <v>47.486214725916312</v>
      </c>
      <c r="G128" s="631" t="s">
        <v>12715</v>
      </c>
      <c r="H128" s="632">
        <v>40.35</v>
      </c>
      <c r="I128" s="631" t="s">
        <v>12716</v>
      </c>
      <c r="J128" s="632">
        <v>87.84</v>
      </c>
      <c r="K128"/>
    </row>
    <row r="129" spans="1:11" ht="15" customHeight="1" thickBot="1">
      <c r="A129" s="631"/>
      <c r="B129" s="631"/>
      <c r="C129" s="631"/>
      <c r="D129" s="631"/>
      <c r="E129" s="631" t="s">
        <v>12717</v>
      </c>
      <c r="F129" s="632">
        <v>35.36</v>
      </c>
      <c r="G129" s="631"/>
      <c r="H129" s="806" t="s">
        <v>12718</v>
      </c>
      <c r="I129" s="806"/>
      <c r="J129" s="632">
        <v>160.58000000000001</v>
      </c>
      <c r="K129"/>
    </row>
    <row r="130" spans="1:11" ht="0.95" customHeight="1" thickTop="1">
      <c r="A130" s="633"/>
      <c r="B130" s="633"/>
      <c r="C130" s="633"/>
      <c r="D130" s="633"/>
      <c r="E130" s="633"/>
      <c r="F130" s="633"/>
      <c r="G130" s="633"/>
      <c r="H130" s="633"/>
      <c r="I130" s="633"/>
      <c r="J130" s="633"/>
      <c r="K130"/>
    </row>
    <row r="131" spans="1:11" ht="18" customHeight="1">
      <c r="A131" s="613" t="s">
        <v>12743</v>
      </c>
      <c r="B131" s="614" t="s">
        <v>12698</v>
      </c>
      <c r="C131" s="613" t="s">
        <v>12699</v>
      </c>
      <c r="D131" s="613" t="s">
        <v>12700</v>
      </c>
      <c r="E131" s="807" t="s">
        <v>12701</v>
      </c>
      <c r="F131" s="808"/>
      <c r="G131" s="615" t="s">
        <v>12702</v>
      </c>
      <c r="H131" s="614" t="s">
        <v>12703</v>
      </c>
      <c r="I131" s="614" t="s">
        <v>12704</v>
      </c>
      <c r="J131" s="614" t="s">
        <v>12705</v>
      </c>
      <c r="K131"/>
    </row>
    <row r="132" spans="1:11" ht="24" customHeight="1">
      <c r="A132" s="616" t="s">
        <v>12706</v>
      </c>
      <c r="B132" s="617" t="s">
        <v>13643</v>
      </c>
      <c r="C132" s="616" t="s">
        <v>8</v>
      </c>
      <c r="D132" s="616" t="s">
        <v>4629</v>
      </c>
      <c r="E132" s="809" t="s">
        <v>12736</v>
      </c>
      <c r="F132" s="810"/>
      <c r="G132" s="618" t="s">
        <v>12725</v>
      </c>
      <c r="H132" s="619">
        <v>1</v>
      </c>
      <c r="I132" s="620">
        <v>14.85</v>
      </c>
      <c r="J132" s="620">
        <v>14.85</v>
      </c>
      <c r="K132"/>
    </row>
    <row r="133" spans="1:11" ht="24" customHeight="1">
      <c r="A133" s="621" t="s">
        <v>12708</v>
      </c>
      <c r="B133" s="622" t="s">
        <v>13308</v>
      </c>
      <c r="C133" s="621" t="s">
        <v>8</v>
      </c>
      <c r="D133" s="621" t="s">
        <v>25</v>
      </c>
      <c r="E133" s="811" t="s">
        <v>12707</v>
      </c>
      <c r="F133" s="812"/>
      <c r="G133" s="623" t="s">
        <v>23</v>
      </c>
      <c r="H133" s="624">
        <v>0.25530000000000003</v>
      </c>
      <c r="I133" s="625">
        <v>17.71</v>
      </c>
      <c r="J133" s="625">
        <v>4.5199999999999996</v>
      </c>
      <c r="K133"/>
    </row>
    <row r="134" spans="1:11" ht="24" customHeight="1">
      <c r="A134" s="621" t="s">
        <v>12708</v>
      </c>
      <c r="B134" s="622" t="s">
        <v>12727</v>
      </c>
      <c r="C134" s="621" t="s">
        <v>8</v>
      </c>
      <c r="D134" s="621" t="s">
        <v>26</v>
      </c>
      <c r="E134" s="811" t="s">
        <v>12707</v>
      </c>
      <c r="F134" s="812"/>
      <c r="G134" s="623" t="s">
        <v>23</v>
      </c>
      <c r="H134" s="624">
        <v>0.71950000000000003</v>
      </c>
      <c r="I134" s="625">
        <v>14.37</v>
      </c>
      <c r="J134" s="625">
        <v>10.33</v>
      </c>
      <c r="K134"/>
    </row>
    <row r="135" spans="1:11" ht="25.5">
      <c r="A135" s="631"/>
      <c r="B135" s="631"/>
      <c r="C135" s="631"/>
      <c r="D135" s="631"/>
      <c r="E135" s="631" t="s">
        <v>12714</v>
      </c>
      <c r="F135" s="632">
        <v>5.5249216131473675</v>
      </c>
      <c r="G135" s="631" t="s">
        <v>12715</v>
      </c>
      <c r="H135" s="632">
        <v>4.7</v>
      </c>
      <c r="I135" s="631" t="s">
        <v>12716</v>
      </c>
      <c r="J135" s="632">
        <v>10.220000000000001</v>
      </c>
      <c r="K135"/>
    </row>
    <row r="136" spans="1:11" ht="15" customHeight="1" thickBot="1">
      <c r="A136" s="631"/>
      <c r="B136" s="631"/>
      <c r="C136" s="631"/>
      <c r="D136" s="631"/>
      <c r="E136" s="631" t="s">
        <v>12717</v>
      </c>
      <c r="F136" s="632">
        <v>4.1900000000000004</v>
      </c>
      <c r="G136" s="631"/>
      <c r="H136" s="806" t="s">
        <v>12718</v>
      </c>
      <c r="I136" s="806"/>
      <c r="J136" s="632">
        <v>19.04</v>
      </c>
      <c r="K136"/>
    </row>
    <row r="137" spans="1:11" ht="0.95" customHeight="1" thickTop="1">
      <c r="A137" s="633"/>
      <c r="B137" s="633"/>
      <c r="C137" s="633"/>
      <c r="D137" s="633"/>
      <c r="E137" s="633"/>
      <c r="F137" s="633"/>
      <c r="G137" s="633"/>
      <c r="H137" s="633"/>
      <c r="I137" s="633"/>
      <c r="J137" s="633"/>
      <c r="K137"/>
    </row>
    <row r="138" spans="1:11" ht="18" customHeight="1">
      <c r="A138" s="613" t="s">
        <v>12744</v>
      </c>
      <c r="B138" s="614" t="s">
        <v>12698</v>
      </c>
      <c r="C138" s="613" t="s">
        <v>12699</v>
      </c>
      <c r="D138" s="613" t="s">
        <v>12700</v>
      </c>
      <c r="E138" s="807" t="s">
        <v>12701</v>
      </c>
      <c r="F138" s="808"/>
      <c r="G138" s="615" t="s">
        <v>12702</v>
      </c>
      <c r="H138" s="614" t="s">
        <v>12703</v>
      </c>
      <c r="I138" s="614" t="s">
        <v>12704</v>
      </c>
      <c r="J138" s="614" t="s">
        <v>12705</v>
      </c>
      <c r="K138"/>
    </row>
    <row r="139" spans="1:11" ht="24" customHeight="1">
      <c r="A139" s="616" t="s">
        <v>12706</v>
      </c>
      <c r="B139" s="617" t="s">
        <v>13642</v>
      </c>
      <c r="C139" s="616" t="s">
        <v>8</v>
      </c>
      <c r="D139" s="616" t="s">
        <v>4641</v>
      </c>
      <c r="E139" s="809" t="s">
        <v>12736</v>
      </c>
      <c r="F139" s="810"/>
      <c r="G139" s="618" t="s">
        <v>12725</v>
      </c>
      <c r="H139" s="619">
        <v>1</v>
      </c>
      <c r="I139" s="620">
        <v>20.97</v>
      </c>
      <c r="J139" s="620">
        <v>20.97</v>
      </c>
      <c r="K139"/>
    </row>
    <row r="140" spans="1:11" ht="24" customHeight="1">
      <c r="A140" s="621" t="s">
        <v>12708</v>
      </c>
      <c r="B140" s="622" t="s">
        <v>12745</v>
      </c>
      <c r="C140" s="621" t="s">
        <v>8</v>
      </c>
      <c r="D140" s="621" t="s">
        <v>47</v>
      </c>
      <c r="E140" s="811" t="s">
        <v>12707</v>
      </c>
      <c r="F140" s="812"/>
      <c r="G140" s="623" t="s">
        <v>23</v>
      </c>
      <c r="H140" s="624">
        <v>0.36430000000000001</v>
      </c>
      <c r="I140" s="625">
        <v>17.760000000000002</v>
      </c>
      <c r="J140" s="625">
        <v>6.46</v>
      </c>
      <c r="K140"/>
    </row>
    <row r="141" spans="1:11" ht="24" customHeight="1">
      <c r="A141" s="621" t="s">
        <v>12708</v>
      </c>
      <c r="B141" s="622" t="s">
        <v>12727</v>
      </c>
      <c r="C141" s="621" t="s">
        <v>8</v>
      </c>
      <c r="D141" s="621" t="s">
        <v>26</v>
      </c>
      <c r="E141" s="811" t="s">
        <v>12707</v>
      </c>
      <c r="F141" s="812"/>
      <c r="G141" s="623" t="s">
        <v>23</v>
      </c>
      <c r="H141" s="624">
        <v>0.71560000000000001</v>
      </c>
      <c r="I141" s="625">
        <v>14.37</v>
      </c>
      <c r="J141" s="625">
        <v>10.28</v>
      </c>
      <c r="K141"/>
    </row>
    <row r="142" spans="1:11" ht="24" customHeight="1">
      <c r="A142" s="626" t="s">
        <v>12709</v>
      </c>
      <c r="B142" s="627" t="s">
        <v>14458</v>
      </c>
      <c r="C142" s="626" t="s">
        <v>8</v>
      </c>
      <c r="D142" s="626" t="s">
        <v>7925</v>
      </c>
      <c r="E142" s="804" t="s">
        <v>12720</v>
      </c>
      <c r="F142" s="805"/>
      <c r="G142" s="628" t="s">
        <v>20</v>
      </c>
      <c r="H142" s="629">
        <v>9.8400000000000001E-2</v>
      </c>
      <c r="I142" s="630">
        <v>43.02</v>
      </c>
      <c r="J142" s="630">
        <v>4.2300000000000004</v>
      </c>
      <c r="K142"/>
    </row>
    <row r="143" spans="1:11" ht="25.5">
      <c r="A143" s="631"/>
      <c r="B143" s="631"/>
      <c r="C143" s="631"/>
      <c r="D143" s="631"/>
      <c r="E143" s="631" t="s">
        <v>12714</v>
      </c>
      <c r="F143" s="632">
        <v>6.2763542004541035</v>
      </c>
      <c r="G143" s="631" t="s">
        <v>12715</v>
      </c>
      <c r="H143" s="632">
        <v>5.33</v>
      </c>
      <c r="I143" s="631" t="s">
        <v>12716</v>
      </c>
      <c r="J143" s="632">
        <v>11.61</v>
      </c>
      <c r="K143"/>
    </row>
    <row r="144" spans="1:11" ht="15" customHeight="1" thickBot="1">
      <c r="A144" s="631"/>
      <c r="B144" s="631"/>
      <c r="C144" s="631"/>
      <c r="D144" s="631"/>
      <c r="E144" s="631" t="s">
        <v>12717</v>
      </c>
      <c r="F144" s="632">
        <v>5.92</v>
      </c>
      <c r="G144" s="631"/>
      <c r="H144" s="806" t="s">
        <v>12718</v>
      </c>
      <c r="I144" s="806"/>
      <c r="J144" s="632">
        <v>26.89</v>
      </c>
      <c r="K144"/>
    </row>
    <row r="145" spans="1:11" ht="0.95" customHeight="1" thickTop="1">
      <c r="A145" s="633"/>
      <c r="B145" s="633"/>
      <c r="C145" s="633"/>
      <c r="D145" s="633"/>
      <c r="E145" s="633"/>
      <c r="F145" s="633"/>
      <c r="G145" s="633"/>
      <c r="H145" s="633"/>
      <c r="I145" s="633"/>
      <c r="J145" s="633"/>
      <c r="K145"/>
    </row>
    <row r="146" spans="1:11" ht="18" customHeight="1">
      <c r="A146" s="613" t="s">
        <v>12746</v>
      </c>
      <c r="B146" s="614" t="s">
        <v>12698</v>
      </c>
      <c r="C146" s="613" t="s">
        <v>12699</v>
      </c>
      <c r="D146" s="613" t="s">
        <v>12700</v>
      </c>
      <c r="E146" s="807" t="s">
        <v>12701</v>
      </c>
      <c r="F146" s="808"/>
      <c r="G146" s="615" t="s">
        <v>12702</v>
      </c>
      <c r="H146" s="614" t="s">
        <v>12703</v>
      </c>
      <c r="I146" s="614" t="s">
        <v>12704</v>
      </c>
      <c r="J146" s="614" t="s">
        <v>12705</v>
      </c>
      <c r="K146"/>
    </row>
    <row r="147" spans="1:11" ht="24" customHeight="1">
      <c r="A147" s="616" t="s">
        <v>12706</v>
      </c>
      <c r="B147" s="617" t="s">
        <v>13641</v>
      </c>
      <c r="C147" s="616" t="s">
        <v>8</v>
      </c>
      <c r="D147" s="616" t="s">
        <v>4640</v>
      </c>
      <c r="E147" s="809" t="s">
        <v>12736</v>
      </c>
      <c r="F147" s="810"/>
      <c r="G147" s="618" t="s">
        <v>12725</v>
      </c>
      <c r="H147" s="619">
        <v>1</v>
      </c>
      <c r="I147" s="620">
        <v>6.04</v>
      </c>
      <c r="J147" s="620">
        <v>6.04</v>
      </c>
      <c r="K147"/>
    </row>
    <row r="148" spans="1:11" ht="24" customHeight="1">
      <c r="A148" s="621" t="s">
        <v>12708</v>
      </c>
      <c r="B148" s="622" t="s">
        <v>12745</v>
      </c>
      <c r="C148" s="621" t="s">
        <v>8</v>
      </c>
      <c r="D148" s="621" t="s">
        <v>47</v>
      </c>
      <c r="E148" s="811" t="s">
        <v>12707</v>
      </c>
      <c r="F148" s="812"/>
      <c r="G148" s="623" t="s">
        <v>23</v>
      </c>
      <c r="H148" s="624">
        <v>0.13150000000000001</v>
      </c>
      <c r="I148" s="625">
        <v>17.760000000000002</v>
      </c>
      <c r="J148" s="625">
        <v>2.33</v>
      </c>
      <c r="K148"/>
    </row>
    <row r="149" spans="1:11" ht="24" customHeight="1">
      <c r="A149" s="621" t="s">
        <v>12708</v>
      </c>
      <c r="B149" s="622" t="s">
        <v>12727</v>
      </c>
      <c r="C149" s="621" t="s">
        <v>8</v>
      </c>
      <c r="D149" s="621" t="s">
        <v>26</v>
      </c>
      <c r="E149" s="811" t="s">
        <v>12707</v>
      </c>
      <c r="F149" s="812"/>
      <c r="G149" s="623" t="s">
        <v>23</v>
      </c>
      <c r="H149" s="624">
        <v>0.25819999999999999</v>
      </c>
      <c r="I149" s="625">
        <v>14.37</v>
      </c>
      <c r="J149" s="625">
        <v>3.71</v>
      </c>
      <c r="K149"/>
    </row>
    <row r="150" spans="1:11" ht="25.5">
      <c r="A150" s="631"/>
      <c r="B150" s="631"/>
      <c r="C150" s="631"/>
      <c r="D150" s="631"/>
      <c r="E150" s="631" t="s">
        <v>12714</v>
      </c>
      <c r="F150" s="632">
        <v>2.2597037517569465</v>
      </c>
      <c r="G150" s="631" t="s">
        <v>12715</v>
      </c>
      <c r="H150" s="632">
        <v>1.92</v>
      </c>
      <c r="I150" s="631" t="s">
        <v>12716</v>
      </c>
      <c r="J150" s="632">
        <v>4.18</v>
      </c>
      <c r="K150"/>
    </row>
    <row r="151" spans="1:11" ht="15" customHeight="1" thickBot="1">
      <c r="A151" s="631"/>
      <c r="B151" s="631"/>
      <c r="C151" s="631"/>
      <c r="D151" s="631"/>
      <c r="E151" s="631" t="s">
        <v>12717</v>
      </c>
      <c r="F151" s="632">
        <v>1.7</v>
      </c>
      <c r="G151" s="631"/>
      <c r="H151" s="806" t="s">
        <v>12718</v>
      </c>
      <c r="I151" s="806"/>
      <c r="J151" s="632">
        <v>7.74</v>
      </c>
      <c r="K151"/>
    </row>
    <row r="152" spans="1:11" ht="0.95" customHeight="1" thickTop="1">
      <c r="A152" s="633"/>
      <c r="B152" s="633"/>
      <c r="C152" s="633"/>
      <c r="D152" s="633"/>
      <c r="E152" s="633"/>
      <c r="F152" s="633"/>
      <c r="G152" s="633"/>
      <c r="H152" s="633"/>
      <c r="I152" s="633"/>
      <c r="J152" s="633"/>
      <c r="K152"/>
    </row>
    <row r="153" spans="1:11" ht="18" customHeight="1">
      <c r="A153" s="613" t="s">
        <v>12747</v>
      </c>
      <c r="B153" s="614" t="s">
        <v>12698</v>
      </c>
      <c r="C153" s="613" t="s">
        <v>12699</v>
      </c>
      <c r="D153" s="613" t="s">
        <v>12700</v>
      </c>
      <c r="E153" s="807" t="s">
        <v>12701</v>
      </c>
      <c r="F153" s="808"/>
      <c r="G153" s="615" t="s">
        <v>12702</v>
      </c>
      <c r="H153" s="614" t="s">
        <v>12703</v>
      </c>
      <c r="I153" s="614" t="s">
        <v>12704</v>
      </c>
      <c r="J153" s="614" t="s">
        <v>12705</v>
      </c>
      <c r="K153"/>
    </row>
    <row r="154" spans="1:11" ht="24" customHeight="1">
      <c r="A154" s="616" t="s">
        <v>12706</v>
      </c>
      <c r="B154" s="617" t="s">
        <v>13640</v>
      </c>
      <c r="C154" s="616" t="s">
        <v>8</v>
      </c>
      <c r="D154" s="616" t="s">
        <v>4619</v>
      </c>
      <c r="E154" s="809" t="s">
        <v>12736</v>
      </c>
      <c r="F154" s="810"/>
      <c r="G154" s="618" t="s">
        <v>12730</v>
      </c>
      <c r="H154" s="619">
        <v>1</v>
      </c>
      <c r="I154" s="620">
        <v>37.39</v>
      </c>
      <c r="J154" s="620">
        <v>37.39</v>
      </c>
      <c r="K154"/>
    </row>
    <row r="155" spans="1:11" ht="24" customHeight="1">
      <c r="A155" s="621" t="s">
        <v>12708</v>
      </c>
      <c r="B155" s="622" t="s">
        <v>12745</v>
      </c>
      <c r="C155" s="621" t="s">
        <v>8</v>
      </c>
      <c r="D155" s="621" t="s">
        <v>47</v>
      </c>
      <c r="E155" s="811" t="s">
        <v>12707</v>
      </c>
      <c r="F155" s="812"/>
      <c r="G155" s="623" t="s">
        <v>23</v>
      </c>
      <c r="H155" s="624">
        <v>0.22500000000000001</v>
      </c>
      <c r="I155" s="625">
        <v>17.760000000000002</v>
      </c>
      <c r="J155" s="625">
        <v>3.99</v>
      </c>
      <c r="K155"/>
    </row>
    <row r="156" spans="1:11" ht="24" customHeight="1">
      <c r="A156" s="621" t="s">
        <v>12708</v>
      </c>
      <c r="B156" s="622" t="s">
        <v>12727</v>
      </c>
      <c r="C156" s="621" t="s">
        <v>8</v>
      </c>
      <c r="D156" s="621" t="s">
        <v>26</v>
      </c>
      <c r="E156" s="811" t="s">
        <v>12707</v>
      </c>
      <c r="F156" s="812"/>
      <c r="G156" s="623" t="s">
        <v>23</v>
      </c>
      <c r="H156" s="624">
        <v>2.3248000000000002</v>
      </c>
      <c r="I156" s="625">
        <v>14.37</v>
      </c>
      <c r="J156" s="625">
        <v>33.4</v>
      </c>
      <c r="K156"/>
    </row>
    <row r="157" spans="1:11" ht="25.5">
      <c r="A157" s="631"/>
      <c r="B157" s="631"/>
      <c r="C157" s="631"/>
      <c r="D157" s="631"/>
      <c r="E157" s="631" t="s">
        <v>12714</v>
      </c>
      <c r="F157" s="632">
        <v>13.687966266623418</v>
      </c>
      <c r="G157" s="631" t="s">
        <v>12715</v>
      </c>
      <c r="H157" s="632">
        <v>11.63</v>
      </c>
      <c r="I157" s="631" t="s">
        <v>12716</v>
      </c>
      <c r="J157" s="632">
        <v>25.32</v>
      </c>
      <c r="K157"/>
    </row>
    <row r="158" spans="1:11" ht="15" customHeight="1" thickBot="1">
      <c r="A158" s="631"/>
      <c r="B158" s="631"/>
      <c r="C158" s="631"/>
      <c r="D158" s="631"/>
      <c r="E158" s="631" t="s">
        <v>12717</v>
      </c>
      <c r="F158" s="632">
        <v>10.55</v>
      </c>
      <c r="G158" s="631"/>
      <c r="H158" s="806" t="s">
        <v>12718</v>
      </c>
      <c r="I158" s="806"/>
      <c r="J158" s="632">
        <v>47.94</v>
      </c>
      <c r="K158"/>
    </row>
    <row r="159" spans="1:11" ht="0.95" customHeight="1" thickTop="1">
      <c r="A159" s="633"/>
      <c r="B159" s="633"/>
      <c r="C159" s="633"/>
      <c r="D159" s="633"/>
      <c r="E159" s="633"/>
      <c r="F159" s="633"/>
      <c r="G159" s="633"/>
      <c r="H159" s="633"/>
      <c r="I159" s="633"/>
      <c r="J159" s="633"/>
      <c r="K159"/>
    </row>
    <row r="160" spans="1:11" ht="18" customHeight="1">
      <c r="A160" s="613" t="s">
        <v>12748</v>
      </c>
      <c r="B160" s="614" t="s">
        <v>12698</v>
      </c>
      <c r="C160" s="613" t="s">
        <v>12699</v>
      </c>
      <c r="D160" s="613" t="s">
        <v>12700</v>
      </c>
      <c r="E160" s="807" t="s">
        <v>12701</v>
      </c>
      <c r="F160" s="808"/>
      <c r="G160" s="615" t="s">
        <v>12702</v>
      </c>
      <c r="H160" s="614" t="s">
        <v>12703</v>
      </c>
      <c r="I160" s="614" t="s">
        <v>12704</v>
      </c>
      <c r="J160" s="614" t="s">
        <v>12705</v>
      </c>
      <c r="K160"/>
    </row>
    <row r="161" spans="1:11" ht="36" customHeight="1">
      <c r="A161" s="616" t="s">
        <v>12706</v>
      </c>
      <c r="B161" s="617" t="s">
        <v>13639</v>
      </c>
      <c r="C161" s="616" t="s">
        <v>8</v>
      </c>
      <c r="D161" s="616" t="s">
        <v>4622</v>
      </c>
      <c r="E161" s="809" t="s">
        <v>12736</v>
      </c>
      <c r="F161" s="810"/>
      <c r="G161" s="618" t="s">
        <v>12730</v>
      </c>
      <c r="H161" s="619">
        <v>1</v>
      </c>
      <c r="I161" s="620">
        <v>31.56</v>
      </c>
      <c r="J161" s="620">
        <v>31.56</v>
      </c>
      <c r="K161"/>
    </row>
    <row r="162" spans="1:11" ht="36" customHeight="1">
      <c r="A162" s="621" t="s">
        <v>12708</v>
      </c>
      <c r="B162" s="622" t="s">
        <v>13083</v>
      </c>
      <c r="C162" s="621" t="s">
        <v>8</v>
      </c>
      <c r="D162" s="621" t="s">
        <v>1084</v>
      </c>
      <c r="E162" s="811" t="s">
        <v>12726</v>
      </c>
      <c r="F162" s="812"/>
      <c r="G162" s="623" t="s">
        <v>44</v>
      </c>
      <c r="H162" s="624">
        <v>0.24</v>
      </c>
      <c r="I162" s="625">
        <v>109.04</v>
      </c>
      <c r="J162" s="625">
        <v>26.16</v>
      </c>
      <c r="K162"/>
    </row>
    <row r="163" spans="1:11" ht="36" customHeight="1">
      <c r="A163" s="621" t="s">
        <v>12708</v>
      </c>
      <c r="B163" s="622" t="s">
        <v>13084</v>
      </c>
      <c r="C163" s="621" t="s">
        <v>8</v>
      </c>
      <c r="D163" s="621" t="s">
        <v>1085</v>
      </c>
      <c r="E163" s="811" t="s">
        <v>12726</v>
      </c>
      <c r="F163" s="812"/>
      <c r="G163" s="623" t="s">
        <v>61</v>
      </c>
      <c r="H163" s="624">
        <v>0.1394</v>
      </c>
      <c r="I163" s="625">
        <v>38.79</v>
      </c>
      <c r="J163" s="625">
        <v>5.4</v>
      </c>
      <c r="K163"/>
    </row>
    <row r="164" spans="1:11" ht="25.5">
      <c r="A164" s="631"/>
      <c r="B164" s="631"/>
      <c r="C164" s="631"/>
      <c r="D164" s="631"/>
      <c r="E164" s="631" t="s">
        <v>12714</v>
      </c>
      <c r="F164" s="632">
        <v>2.1083360363282515</v>
      </c>
      <c r="G164" s="631" t="s">
        <v>12715</v>
      </c>
      <c r="H164" s="632">
        <v>1.79</v>
      </c>
      <c r="I164" s="631" t="s">
        <v>12716</v>
      </c>
      <c r="J164" s="632">
        <v>3.9</v>
      </c>
      <c r="K164"/>
    </row>
    <row r="165" spans="1:11" ht="15" customHeight="1" thickBot="1">
      <c r="A165" s="631"/>
      <c r="B165" s="631"/>
      <c r="C165" s="631"/>
      <c r="D165" s="631"/>
      <c r="E165" s="631" t="s">
        <v>12717</v>
      </c>
      <c r="F165" s="632">
        <v>8.91</v>
      </c>
      <c r="G165" s="631"/>
      <c r="H165" s="806" t="s">
        <v>12718</v>
      </c>
      <c r="I165" s="806"/>
      <c r="J165" s="632">
        <v>40.47</v>
      </c>
      <c r="K165"/>
    </row>
    <row r="166" spans="1:11" ht="0.95" customHeight="1" thickTop="1">
      <c r="A166" s="633"/>
      <c r="B166" s="633"/>
      <c r="C166" s="633"/>
      <c r="D166" s="633"/>
      <c r="E166" s="633"/>
      <c r="F166" s="633"/>
      <c r="G166" s="633"/>
      <c r="H166" s="633"/>
      <c r="I166" s="633"/>
      <c r="J166" s="633"/>
      <c r="K166"/>
    </row>
    <row r="167" spans="1:11" ht="18" customHeight="1">
      <c r="A167" s="613" t="s">
        <v>12749</v>
      </c>
      <c r="B167" s="614" t="s">
        <v>12698</v>
      </c>
      <c r="C167" s="613" t="s">
        <v>12699</v>
      </c>
      <c r="D167" s="613" t="s">
        <v>12700</v>
      </c>
      <c r="E167" s="807" t="s">
        <v>12701</v>
      </c>
      <c r="F167" s="808"/>
      <c r="G167" s="615" t="s">
        <v>12702</v>
      </c>
      <c r="H167" s="614" t="s">
        <v>12703</v>
      </c>
      <c r="I167" s="614" t="s">
        <v>12704</v>
      </c>
      <c r="J167" s="614" t="s">
        <v>12705</v>
      </c>
      <c r="K167"/>
    </row>
    <row r="168" spans="1:11" ht="36" customHeight="1">
      <c r="A168" s="616" t="s">
        <v>12706</v>
      </c>
      <c r="B168" s="617" t="s">
        <v>13638</v>
      </c>
      <c r="C168" s="616" t="s">
        <v>8</v>
      </c>
      <c r="D168" s="616" t="s">
        <v>5096</v>
      </c>
      <c r="E168" s="809" t="s">
        <v>12724</v>
      </c>
      <c r="F168" s="810"/>
      <c r="G168" s="618" t="s">
        <v>35</v>
      </c>
      <c r="H168" s="619">
        <v>1</v>
      </c>
      <c r="I168" s="620">
        <v>48.51</v>
      </c>
      <c r="J168" s="620">
        <v>48.51</v>
      </c>
      <c r="K168"/>
    </row>
    <row r="169" spans="1:11" ht="60" customHeight="1">
      <c r="A169" s="621" t="s">
        <v>12708</v>
      </c>
      <c r="B169" s="622" t="s">
        <v>13076</v>
      </c>
      <c r="C169" s="621" t="s">
        <v>8</v>
      </c>
      <c r="D169" s="621" t="s">
        <v>1025</v>
      </c>
      <c r="E169" s="811" t="s">
        <v>12726</v>
      </c>
      <c r="F169" s="812"/>
      <c r="G169" s="623" t="s">
        <v>44</v>
      </c>
      <c r="H169" s="624">
        <v>0.1333</v>
      </c>
      <c r="I169" s="625">
        <v>72.38</v>
      </c>
      <c r="J169" s="625">
        <v>9.64</v>
      </c>
      <c r="K169"/>
    </row>
    <row r="170" spans="1:11" ht="60" customHeight="1">
      <c r="A170" s="621" t="s">
        <v>12708</v>
      </c>
      <c r="B170" s="622" t="s">
        <v>13070</v>
      </c>
      <c r="C170" s="621" t="s">
        <v>8</v>
      </c>
      <c r="D170" s="621" t="s">
        <v>1024</v>
      </c>
      <c r="E170" s="811" t="s">
        <v>12726</v>
      </c>
      <c r="F170" s="812"/>
      <c r="G170" s="623" t="s">
        <v>61</v>
      </c>
      <c r="H170" s="624">
        <v>0.54459999999999997</v>
      </c>
      <c r="I170" s="625">
        <v>32.1</v>
      </c>
      <c r="J170" s="625">
        <v>17.48</v>
      </c>
      <c r="K170"/>
    </row>
    <row r="171" spans="1:11" ht="24" customHeight="1">
      <c r="A171" s="621" t="s">
        <v>12708</v>
      </c>
      <c r="B171" s="622" t="s">
        <v>12727</v>
      </c>
      <c r="C171" s="621" t="s">
        <v>8</v>
      </c>
      <c r="D171" s="621" t="s">
        <v>26</v>
      </c>
      <c r="E171" s="811" t="s">
        <v>12707</v>
      </c>
      <c r="F171" s="812"/>
      <c r="G171" s="623" t="s">
        <v>23</v>
      </c>
      <c r="H171" s="624">
        <v>0.67800000000000005</v>
      </c>
      <c r="I171" s="625">
        <v>14.37</v>
      </c>
      <c r="J171" s="625">
        <v>9.74</v>
      </c>
      <c r="K171"/>
    </row>
    <row r="172" spans="1:11" ht="24" customHeight="1">
      <c r="A172" s="621" t="s">
        <v>12708</v>
      </c>
      <c r="B172" s="622" t="s">
        <v>13160</v>
      </c>
      <c r="C172" s="621" t="s">
        <v>8</v>
      </c>
      <c r="D172" s="621" t="s">
        <v>310</v>
      </c>
      <c r="E172" s="811" t="s">
        <v>12707</v>
      </c>
      <c r="F172" s="812"/>
      <c r="G172" s="623" t="s">
        <v>23</v>
      </c>
      <c r="H172" s="624">
        <v>0.67800000000000005</v>
      </c>
      <c r="I172" s="625">
        <v>17.190000000000001</v>
      </c>
      <c r="J172" s="625">
        <v>11.65</v>
      </c>
      <c r="K172"/>
    </row>
    <row r="173" spans="1:11" ht="25.5">
      <c r="A173" s="631"/>
      <c r="B173" s="631"/>
      <c r="C173" s="631"/>
      <c r="D173" s="631"/>
      <c r="E173" s="631" t="s">
        <v>12714</v>
      </c>
      <c r="F173" s="632">
        <v>12.628392258622554</v>
      </c>
      <c r="G173" s="631" t="s">
        <v>12715</v>
      </c>
      <c r="H173" s="632">
        <v>10.73</v>
      </c>
      <c r="I173" s="631" t="s">
        <v>12716</v>
      </c>
      <c r="J173" s="632">
        <v>23.36</v>
      </c>
      <c r="K173"/>
    </row>
    <row r="174" spans="1:11" ht="15" customHeight="1" thickBot="1">
      <c r="A174" s="631"/>
      <c r="B174" s="631"/>
      <c r="C174" s="631"/>
      <c r="D174" s="631"/>
      <c r="E174" s="631" t="s">
        <v>12717</v>
      </c>
      <c r="F174" s="632">
        <v>13.69</v>
      </c>
      <c r="G174" s="631"/>
      <c r="H174" s="806" t="s">
        <v>12718</v>
      </c>
      <c r="I174" s="806"/>
      <c r="J174" s="632">
        <v>62.2</v>
      </c>
      <c r="K174"/>
    </row>
    <row r="175" spans="1:11" ht="0.95" customHeight="1" thickTop="1">
      <c r="A175" s="633"/>
      <c r="B175" s="633"/>
      <c r="C175" s="633"/>
      <c r="D175" s="633"/>
      <c r="E175" s="633"/>
      <c r="F175" s="633"/>
      <c r="G175" s="633"/>
      <c r="H175" s="633"/>
      <c r="I175" s="633"/>
      <c r="J175" s="633"/>
      <c r="K175"/>
    </row>
    <row r="176" spans="1:11" ht="18" customHeight="1">
      <c r="A176" s="613" t="s">
        <v>12750</v>
      </c>
      <c r="B176" s="614" t="s">
        <v>12698</v>
      </c>
      <c r="C176" s="613" t="s">
        <v>12699</v>
      </c>
      <c r="D176" s="613" t="s">
        <v>12700</v>
      </c>
      <c r="E176" s="807" t="s">
        <v>12701</v>
      </c>
      <c r="F176" s="808"/>
      <c r="G176" s="615" t="s">
        <v>12702</v>
      </c>
      <c r="H176" s="614" t="s">
        <v>12703</v>
      </c>
      <c r="I176" s="614" t="s">
        <v>12704</v>
      </c>
      <c r="J176" s="614" t="s">
        <v>12705</v>
      </c>
      <c r="K176"/>
    </row>
    <row r="177" spans="1:11" ht="24" customHeight="1">
      <c r="A177" s="616" t="s">
        <v>12706</v>
      </c>
      <c r="B177" s="617" t="s">
        <v>13637</v>
      </c>
      <c r="C177" s="616" t="s">
        <v>8</v>
      </c>
      <c r="D177" s="616" t="s">
        <v>38</v>
      </c>
      <c r="E177" s="809" t="s">
        <v>12729</v>
      </c>
      <c r="F177" s="810"/>
      <c r="G177" s="618" t="s">
        <v>12730</v>
      </c>
      <c r="H177" s="619">
        <v>1</v>
      </c>
      <c r="I177" s="620">
        <v>17.510000000000002</v>
      </c>
      <c r="J177" s="620">
        <v>17.510000000000002</v>
      </c>
      <c r="K177"/>
    </row>
    <row r="178" spans="1:11" ht="48" customHeight="1">
      <c r="A178" s="621" t="s">
        <v>12708</v>
      </c>
      <c r="B178" s="622" t="s">
        <v>13287</v>
      </c>
      <c r="C178" s="621" t="s">
        <v>8</v>
      </c>
      <c r="D178" s="621" t="s">
        <v>1088</v>
      </c>
      <c r="E178" s="811" t="s">
        <v>12726</v>
      </c>
      <c r="F178" s="812"/>
      <c r="G178" s="623" t="s">
        <v>61</v>
      </c>
      <c r="H178" s="624">
        <v>0.25</v>
      </c>
      <c r="I178" s="625">
        <v>29.87</v>
      </c>
      <c r="J178" s="625">
        <v>7.46</v>
      </c>
      <c r="K178"/>
    </row>
    <row r="179" spans="1:11" ht="24" customHeight="1">
      <c r="A179" s="621" t="s">
        <v>12708</v>
      </c>
      <c r="B179" s="622" t="s">
        <v>12727</v>
      </c>
      <c r="C179" s="621" t="s">
        <v>8</v>
      </c>
      <c r="D179" s="621" t="s">
        <v>26</v>
      </c>
      <c r="E179" s="811" t="s">
        <v>12707</v>
      </c>
      <c r="F179" s="812"/>
      <c r="G179" s="623" t="s">
        <v>23</v>
      </c>
      <c r="H179" s="624">
        <v>0.7</v>
      </c>
      <c r="I179" s="625">
        <v>14.37</v>
      </c>
      <c r="J179" s="625">
        <v>10.050000000000001</v>
      </c>
      <c r="K179"/>
    </row>
    <row r="180" spans="1:11" ht="25.5">
      <c r="A180" s="631"/>
      <c r="B180" s="631"/>
      <c r="C180" s="631"/>
      <c r="D180" s="631"/>
      <c r="E180" s="631" t="s">
        <v>12714</v>
      </c>
      <c r="F180" s="632">
        <v>4.9410747107795441</v>
      </c>
      <c r="G180" s="631" t="s">
        <v>12715</v>
      </c>
      <c r="H180" s="632">
        <v>4.2</v>
      </c>
      <c r="I180" s="631" t="s">
        <v>12716</v>
      </c>
      <c r="J180" s="632">
        <v>9.14</v>
      </c>
      <c r="K180"/>
    </row>
    <row r="181" spans="1:11" ht="15" customHeight="1" thickBot="1">
      <c r="A181" s="631"/>
      <c r="B181" s="631"/>
      <c r="C181" s="631"/>
      <c r="D181" s="631"/>
      <c r="E181" s="631" t="s">
        <v>12717</v>
      </c>
      <c r="F181" s="632">
        <v>4.9400000000000004</v>
      </c>
      <c r="G181" s="631"/>
      <c r="H181" s="806" t="s">
        <v>12718</v>
      </c>
      <c r="I181" s="806"/>
      <c r="J181" s="632">
        <v>22.45</v>
      </c>
      <c r="K181"/>
    </row>
    <row r="182" spans="1:11" ht="0.95" customHeight="1" thickTop="1">
      <c r="A182" s="633"/>
      <c r="B182" s="633"/>
      <c r="C182" s="633"/>
      <c r="D182" s="633"/>
      <c r="E182" s="633"/>
      <c r="F182" s="633"/>
      <c r="G182" s="633"/>
      <c r="H182" s="633"/>
      <c r="I182" s="633"/>
      <c r="J182" s="633"/>
      <c r="K182"/>
    </row>
    <row r="183" spans="1:11" ht="18" customHeight="1">
      <c r="A183" s="613" t="s">
        <v>14831</v>
      </c>
      <c r="B183" s="614" t="s">
        <v>12698</v>
      </c>
      <c r="C183" s="613" t="s">
        <v>12699</v>
      </c>
      <c r="D183" s="613" t="s">
        <v>12700</v>
      </c>
      <c r="E183" s="807" t="s">
        <v>12701</v>
      </c>
      <c r="F183" s="808"/>
      <c r="G183" s="615" t="s">
        <v>12702</v>
      </c>
      <c r="H183" s="614" t="s">
        <v>12703</v>
      </c>
      <c r="I183" s="614" t="s">
        <v>12704</v>
      </c>
      <c r="J183" s="614" t="s">
        <v>12705</v>
      </c>
      <c r="K183"/>
    </row>
    <row r="184" spans="1:11" ht="48" customHeight="1">
      <c r="A184" s="616" t="s">
        <v>12706</v>
      </c>
      <c r="B184" s="617" t="s">
        <v>14832</v>
      </c>
      <c r="C184" s="616" t="s">
        <v>8</v>
      </c>
      <c r="D184" s="616" t="s">
        <v>3360</v>
      </c>
      <c r="E184" s="809" t="s">
        <v>12729</v>
      </c>
      <c r="F184" s="810"/>
      <c r="G184" s="618" t="s">
        <v>12730</v>
      </c>
      <c r="H184" s="619">
        <v>1</v>
      </c>
      <c r="I184" s="620">
        <v>30.77</v>
      </c>
      <c r="J184" s="620">
        <v>30.77</v>
      </c>
      <c r="K184"/>
    </row>
    <row r="185" spans="1:11" ht="48" customHeight="1">
      <c r="A185" s="621" t="s">
        <v>12708</v>
      </c>
      <c r="B185" s="622" t="s">
        <v>12996</v>
      </c>
      <c r="C185" s="621" t="s">
        <v>8</v>
      </c>
      <c r="D185" s="621" t="s">
        <v>1078</v>
      </c>
      <c r="E185" s="811" t="s">
        <v>12726</v>
      </c>
      <c r="F185" s="812"/>
      <c r="G185" s="623" t="s">
        <v>44</v>
      </c>
      <c r="H185" s="624">
        <v>6.0000000000000001E-3</v>
      </c>
      <c r="I185" s="625">
        <v>159.11000000000001</v>
      </c>
      <c r="J185" s="625">
        <v>0.95</v>
      </c>
      <c r="K185"/>
    </row>
    <row r="186" spans="1:11" ht="36" customHeight="1">
      <c r="A186" s="621" t="s">
        <v>12708</v>
      </c>
      <c r="B186" s="622" t="s">
        <v>13155</v>
      </c>
      <c r="C186" s="621" t="s">
        <v>8</v>
      </c>
      <c r="D186" s="621" t="s">
        <v>2447</v>
      </c>
      <c r="E186" s="811" t="s">
        <v>12726</v>
      </c>
      <c r="F186" s="812"/>
      <c r="G186" s="623" t="s">
        <v>44</v>
      </c>
      <c r="H186" s="624">
        <v>0.27400000000000002</v>
      </c>
      <c r="I186" s="625">
        <v>18.739999999999998</v>
      </c>
      <c r="J186" s="625">
        <v>5.13</v>
      </c>
      <c r="K186"/>
    </row>
    <row r="187" spans="1:11" ht="24" customHeight="1">
      <c r="A187" s="621" t="s">
        <v>12708</v>
      </c>
      <c r="B187" s="622" t="s">
        <v>12995</v>
      </c>
      <c r="C187" s="621" t="s">
        <v>8</v>
      </c>
      <c r="D187" s="621" t="s">
        <v>1079</v>
      </c>
      <c r="E187" s="811" t="s">
        <v>12726</v>
      </c>
      <c r="F187" s="812"/>
      <c r="G187" s="623" t="s">
        <v>61</v>
      </c>
      <c r="H187" s="624">
        <v>3.0000000000000001E-3</v>
      </c>
      <c r="I187" s="625">
        <v>30.79</v>
      </c>
      <c r="J187" s="625">
        <v>0.09</v>
      </c>
      <c r="K187"/>
    </row>
    <row r="188" spans="1:11" ht="25.5" customHeight="1">
      <c r="A188" s="621" t="s">
        <v>12708</v>
      </c>
      <c r="B188" s="622" t="s">
        <v>13154</v>
      </c>
      <c r="C188" s="621" t="s">
        <v>8</v>
      </c>
      <c r="D188" s="621" t="s">
        <v>2448</v>
      </c>
      <c r="E188" s="811" t="s">
        <v>12726</v>
      </c>
      <c r="F188" s="812"/>
      <c r="G188" s="623" t="s">
        <v>61</v>
      </c>
      <c r="H188" s="624">
        <v>0.254</v>
      </c>
      <c r="I188" s="625">
        <v>14.15</v>
      </c>
      <c r="J188" s="625">
        <v>3.59</v>
      </c>
      <c r="K188"/>
    </row>
    <row r="189" spans="1:11" ht="15" customHeight="1">
      <c r="A189" s="621" t="s">
        <v>12708</v>
      </c>
      <c r="B189" s="622" t="s">
        <v>12727</v>
      </c>
      <c r="C189" s="621" t="s">
        <v>8</v>
      </c>
      <c r="D189" s="621" t="s">
        <v>26</v>
      </c>
      <c r="E189" s="811" t="s">
        <v>12707</v>
      </c>
      <c r="F189" s="812"/>
      <c r="G189" s="623" t="s">
        <v>23</v>
      </c>
      <c r="H189" s="624">
        <v>0.65900000000000003</v>
      </c>
      <c r="I189" s="625">
        <v>14.37</v>
      </c>
      <c r="J189" s="625">
        <v>9.4600000000000009</v>
      </c>
      <c r="K189"/>
    </row>
    <row r="190" spans="1:11" ht="0.95" customHeight="1">
      <c r="A190" s="626" t="s">
        <v>12709</v>
      </c>
      <c r="B190" s="627" t="s">
        <v>14833</v>
      </c>
      <c r="C190" s="626" t="s">
        <v>8</v>
      </c>
      <c r="D190" s="626" t="s">
        <v>7547</v>
      </c>
      <c r="E190" s="804" t="s">
        <v>12720</v>
      </c>
      <c r="F190" s="805"/>
      <c r="G190" s="628" t="s">
        <v>12730</v>
      </c>
      <c r="H190" s="629">
        <v>1.25</v>
      </c>
      <c r="I190" s="630">
        <v>9.24</v>
      </c>
      <c r="J190" s="630">
        <v>11.55</v>
      </c>
      <c r="K190"/>
    </row>
    <row r="191" spans="1:11" ht="18" customHeight="1">
      <c r="A191" s="631"/>
      <c r="B191" s="631"/>
      <c r="C191" s="631"/>
      <c r="D191" s="631"/>
      <c r="E191" s="631" t="s">
        <v>12714</v>
      </c>
      <c r="F191" s="632">
        <v>6.1898583630662776</v>
      </c>
      <c r="G191" s="631" t="s">
        <v>12715</v>
      </c>
      <c r="H191" s="632">
        <v>5.26</v>
      </c>
      <c r="I191" s="631" t="s">
        <v>12716</v>
      </c>
      <c r="J191" s="632">
        <v>11.45</v>
      </c>
      <c r="K191"/>
    </row>
    <row r="192" spans="1:11" ht="24" customHeight="1" thickBot="1">
      <c r="A192" s="631"/>
      <c r="B192" s="631"/>
      <c r="C192" s="631"/>
      <c r="D192" s="631"/>
      <c r="E192" s="631" t="s">
        <v>12717</v>
      </c>
      <c r="F192" s="632">
        <v>8.68</v>
      </c>
      <c r="G192" s="631"/>
      <c r="H192" s="806" t="s">
        <v>12718</v>
      </c>
      <c r="I192" s="806"/>
      <c r="J192" s="632">
        <v>39.450000000000003</v>
      </c>
      <c r="K192"/>
    </row>
    <row r="193" spans="1:11" ht="24" customHeight="1" thickTop="1">
      <c r="A193" s="633"/>
      <c r="B193" s="633"/>
      <c r="C193" s="633"/>
      <c r="D193" s="633"/>
      <c r="E193" s="633"/>
      <c r="F193" s="633"/>
      <c r="G193" s="633"/>
      <c r="H193" s="633"/>
      <c r="I193" s="633"/>
      <c r="J193" s="633"/>
      <c r="K193"/>
    </row>
    <row r="194" spans="1:11" ht="24" customHeight="1">
      <c r="A194" s="613" t="s">
        <v>14834</v>
      </c>
      <c r="B194" s="614" t="s">
        <v>12698</v>
      </c>
      <c r="C194" s="613" t="s">
        <v>12699</v>
      </c>
      <c r="D194" s="613" t="s">
        <v>12700</v>
      </c>
      <c r="E194" s="807" t="s">
        <v>12701</v>
      </c>
      <c r="F194" s="808"/>
      <c r="G194" s="615" t="s">
        <v>12702</v>
      </c>
      <c r="H194" s="614" t="s">
        <v>12703</v>
      </c>
      <c r="I194" s="614" t="s">
        <v>12704</v>
      </c>
      <c r="J194" s="614" t="s">
        <v>12705</v>
      </c>
      <c r="K194"/>
    </row>
    <row r="195" spans="1:11" ht="38.25">
      <c r="A195" s="616" t="s">
        <v>12706</v>
      </c>
      <c r="B195" s="617" t="s">
        <v>12751</v>
      </c>
      <c r="C195" s="616" t="s">
        <v>8</v>
      </c>
      <c r="D195" s="616" t="s">
        <v>4371</v>
      </c>
      <c r="E195" s="809" t="s">
        <v>12729</v>
      </c>
      <c r="F195" s="810"/>
      <c r="G195" s="618" t="s">
        <v>12730</v>
      </c>
      <c r="H195" s="619">
        <v>1</v>
      </c>
      <c r="I195" s="620">
        <v>1.3</v>
      </c>
      <c r="J195" s="620">
        <v>1.3</v>
      </c>
      <c r="K195"/>
    </row>
    <row r="196" spans="1:11" ht="15" customHeight="1">
      <c r="A196" s="621" t="s">
        <v>12708</v>
      </c>
      <c r="B196" s="622" t="s">
        <v>13286</v>
      </c>
      <c r="C196" s="621" t="s">
        <v>8</v>
      </c>
      <c r="D196" s="621" t="s">
        <v>1055</v>
      </c>
      <c r="E196" s="811" t="s">
        <v>12726</v>
      </c>
      <c r="F196" s="812"/>
      <c r="G196" s="623" t="s">
        <v>44</v>
      </c>
      <c r="H196" s="624">
        <v>3.0000000000000001E-3</v>
      </c>
      <c r="I196" s="625">
        <v>108.99</v>
      </c>
      <c r="J196" s="625">
        <v>0.32</v>
      </c>
      <c r="K196"/>
    </row>
    <row r="197" spans="1:11" ht="0.95" customHeight="1">
      <c r="A197" s="621" t="s">
        <v>12708</v>
      </c>
      <c r="B197" s="622" t="s">
        <v>13083</v>
      </c>
      <c r="C197" s="621" t="s">
        <v>8</v>
      </c>
      <c r="D197" s="621" t="s">
        <v>1084</v>
      </c>
      <c r="E197" s="811" t="s">
        <v>12726</v>
      </c>
      <c r="F197" s="812"/>
      <c r="G197" s="623" t="s">
        <v>44</v>
      </c>
      <c r="H197" s="624">
        <v>8.0000000000000002E-3</v>
      </c>
      <c r="I197" s="625">
        <v>109.04</v>
      </c>
      <c r="J197" s="625">
        <v>0.87</v>
      </c>
      <c r="K197"/>
    </row>
    <row r="198" spans="1:11" ht="18" customHeight="1">
      <c r="A198" s="621" t="s">
        <v>12708</v>
      </c>
      <c r="B198" s="622" t="s">
        <v>12727</v>
      </c>
      <c r="C198" s="621" t="s">
        <v>8</v>
      </c>
      <c r="D198" s="621" t="s">
        <v>26</v>
      </c>
      <c r="E198" s="811" t="s">
        <v>12707</v>
      </c>
      <c r="F198" s="812"/>
      <c r="G198" s="623" t="s">
        <v>23</v>
      </c>
      <c r="H198" s="624">
        <v>8.0000000000000002E-3</v>
      </c>
      <c r="I198" s="625">
        <v>14.37</v>
      </c>
      <c r="J198" s="625">
        <v>0.11</v>
      </c>
      <c r="K198"/>
    </row>
    <row r="199" spans="1:11" ht="36" customHeight="1">
      <c r="A199" s="631"/>
      <c r="B199" s="631"/>
      <c r="C199" s="631"/>
      <c r="D199" s="631"/>
      <c r="E199" s="631" t="s">
        <v>12714</v>
      </c>
      <c r="F199" s="632">
        <v>9.1901827224564817E-2</v>
      </c>
      <c r="G199" s="631" t="s">
        <v>12715</v>
      </c>
      <c r="H199" s="632">
        <v>0.08</v>
      </c>
      <c r="I199" s="631" t="s">
        <v>12716</v>
      </c>
      <c r="J199" s="632">
        <v>0.17</v>
      </c>
      <c r="K199"/>
    </row>
    <row r="200" spans="1:11" ht="36" customHeight="1" thickBot="1">
      <c r="A200" s="631"/>
      <c r="B200" s="631"/>
      <c r="C200" s="631"/>
      <c r="D200" s="631"/>
      <c r="E200" s="631" t="s">
        <v>12717</v>
      </c>
      <c r="F200" s="632">
        <v>0.36</v>
      </c>
      <c r="G200" s="631"/>
      <c r="H200" s="806" t="s">
        <v>12718</v>
      </c>
      <c r="I200" s="806"/>
      <c r="J200" s="632">
        <v>1.66</v>
      </c>
      <c r="K200"/>
    </row>
    <row r="201" spans="1:11" ht="24" customHeight="1" thickTop="1">
      <c r="A201" s="633"/>
      <c r="B201" s="633"/>
      <c r="C201" s="633"/>
      <c r="D201" s="633"/>
      <c r="E201" s="633"/>
      <c r="F201" s="633"/>
      <c r="G201" s="633"/>
      <c r="H201" s="633"/>
      <c r="I201" s="633"/>
      <c r="J201" s="633"/>
      <c r="K201"/>
    </row>
    <row r="202" spans="1:11" ht="24" customHeight="1">
      <c r="A202" s="613" t="s">
        <v>12752</v>
      </c>
      <c r="B202" s="614" t="s">
        <v>12698</v>
      </c>
      <c r="C202" s="613" t="s">
        <v>12699</v>
      </c>
      <c r="D202" s="613" t="s">
        <v>12700</v>
      </c>
      <c r="E202" s="807" t="s">
        <v>12701</v>
      </c>
      <c r="F202" s="808"/>
      <c r="G202" s="615" t="s">
        <v>12702</v>
      </c>
      <c r="H202" s="614" t="s">
        <v>12703</v>
      </c>
      <c r="I202" s="614" t="s">
        <v>12704</v>
      </c>
      <c r="J202" s="614" t="s">
        <v>12705</v>
      </c>
      <c r="K202"/>
    </row>
    <row r="203" spans="1:11" ht="25.5" customHeight="1">
      <c r="A203" s="616" t="s">
        <v>12706</v>
      </c>
      <c r="B203" s="617" t="s">
        <v>13636</v>
      </c>
      <c r="C203" s="616" t="s">
        <v>8</v>
      </c>
      <c r="D203" s="616" t="s">
        <v>3989</v>
      </c>
      <c r="E203" s="809" t="s">
        <v>12729</v>
      </c>
      <c r="F203" s="810"/>
      <c r="G203" s="618" t="s">
        <v>12730</v>
      </c>
      <c r="H203" s="619">
        <v>1</v>
      </c>
      <c r="I203" s="620">
        <v>64.98</v>
      </c>
      <c r="J203" s="620">
        <v>64.98</v>
      </c>
      <c r="K203"/>
    </row>
    <row r="204" spans="1:11" ht="15" customHeight="1">
      <c r="A204" s="621" t="s">
        <v>12708</v>
      </c>
      <c r="B204" s="622" t="s">
        <v>12745</v>
      </c>
      <c r="C204" s="621" t="s">
        <v>8</v>
      </c>
      <c r="D204" s="621" t="s">
        <v>47</v>
      </c>
      <c r="E204" s="811" t="s">
        <v>12707</v>
      </c>
      <c r="F204" s="812"/>
      <c r="G204" s="623" t="s">
        <v>23</v>
      </c>
      <c r="H204" s="624">
        <v>1.1890000000000001</v>
      </c>
      <c r="I204" s="625">
        <v>17.760000000000002</v>
      </c>
      <c r="J204" s="625">
        <v>21.11</v>
      </c>
      <c r="K204"/>
    </row>
    <row r="205" spans="1:11" ht="0.95" customHeight="1">
      <c r="A205" s="621" t="s">
        <v>12708</v>
      </c>
      <c r="B205" s="622" t="s">
        <v>12727</v>
      </c>
      <c r="C205" s="621" t="s">
        <v>8</v>
      </c>
      <c r="D205" s="621" t="s">
        <v>26</v>
      </c>
      <c r="E205" s="811" t="s">
        <v>12707</v>
      </c>
      <c r="F205" s="812"/>
      <c r="G205" s="623" t="s">
        <v>23</v>
      </c>
      <c r="H205" s="624">
        <v>3.0529999999999999</v>
      </c>
      <c r="I205" s="625">
        <v>14.37</v>
      </c>
      <c r="J205" s="625">
        <v>43.87</v>
      </c>
      <c r="K205"/>
    </row>
    <row r="206" spans="1:11" ht="18" customHeight="1">
      <c r="A206" s="631"/>
      <c r="B206" s="631"/>
      <c r="C206" s="631"/>
      <c r="D206" s="631"/>
      <c r="E206" s="631" t="s">
        <v>12714</v>
      </c>
      <c r="F206" s="632">
        <v>24.245864417774893</v>
      </c>
      <c r="G206" s="631" t="s">
        <v>12715</v>
      </c>
      <c r="H206" s="632">
        <v>20.6</v>
      </c>
      <c r="I206" s="631" t="s">
        <v>12716</v>
      </c>
      <c r="J206" s="632">
        <v>44.85</v>
      </c>
      <c r="K206"/>
    </row>
    <row r="207" spans="1:11" ht="36" customHeight="1" thickBot="1">
      <c r="A207" s="631"/>
      <c r="B207" s="631"/>
      <c r="C207" s="631"/>
      <c r="D207" s="631"/>
      <c r="E207" s="631" t="s">
        <v>12717</v>
      </c>
      <c r="F207" s="632">
        <v>18.350000000000001</v>
      </c>
      <c r="G207" s="631"/>
      <c r="H207" s="806" t="s">
        <v>12718</v>
      </c>
      <c r="I207" s="806"/>
      <c r="J207" s="632">
        <v>83.33</v>
      </c>
      <c r="K207"/>
    </row>
    <row r="208" spans="1:11" ht="48" customHeight="1" thickTop="1">
      <c r="A208" s="633"/>
      <c r="B208" s="633"/>
      <c r="C208" s="633"/>
      <c r="D208" s="633"/>
      <c r="E208" s="633"/>
      <c r="F208" s="633"/>
      <c r="G208" s="633"/>
      <c r="H208" s="633"/>
      <c r="I208" s="633"/>
      <c r="J208" s="633"/>
      <c r="K208"/>
    </row>
    <row r="209" spans="1:11" ht="48" customHeight="1">
      <c r="A209" s="613" t="s">
        <v>12753</v>
      </c>
      <c r="B209" s="614" t="s">
        <v>12698</v>
      </c>
      <c r="C209" s="613" t="s">
        <v>12699</v>
      </c>
      <c r="D209" s="613" t="s">
        <v>12700</v>
      </c>
      <c r="E209" s="807" t="s">
        <v>12701</v>
      </c>
      <c r="F209" s="808"/>
      <c r="G209" s="615" t="s">
        <v>12702</v>
      </c>
      <c r="H209" s="614" t="s">
        <v>12703</v>
      </c>
      <c r="I209" s="614" t="s">
        <v>12704</v>
      </c>
      <c r="J209" s="614" t="s">
        <v>12705</v>
      </c>
      <c r="K209"/>
    </row>
    <row r="210" spans="1:11" ht="24" customHeight="1">
      <c r="A210" s="616" t="s">
        <v>12706</v>
      </c>
      <c r="B210" s="617" t="s">
        <v>13635</v>
      </c>
      <c r="C210" s="616" t="s">
        <v>8</v>
      </c>
      <c r="D210" s="616" t="s">
        <v>4022</v>
      </c>
      <c r="E210" s="809" t="s">
        <v>12734</v>
      </c>
      <c r="F210" s="810"/>
      <c r="G210" s="618" t="s">
        <v>12725</v>
      </c>
      <c r="H210" s="619">
        <v>1</v>
      </c>
      <c r="I210" s="620">
        <v>12.63</v>
      </c>
      <c r="J210" s="620">
        <v>12.63</v>
      </c>
      <c r="K210"/>
    </row>
    <row r="211" spans="1:11" ht="24" customHeight="1">
      <c r="A211" s="621" t="s">
        <v>12708</v>
      </c>
      <c r="B211" s="622" t="s">
        <v>13253</v>
      </c>
      <c r="C211" s="621" t="s">
        <v>8</v>
      </c>
      <c r="D211" s="621" t="s">
        <v>3546</v>
      </c>
      <c r="E211" s="811" t="s">
        <v>12734</v>
      </c>
      <c r="F211" s="812"/>
      <c r="G211" s="623" t="s">
        <v>12730</v>
      </c>
      <c r="H211" s="624">
        <v>3.39E-2</v>
      </c>
      <c r="I211" s="625">
        <v>254</v>
      </c>
      <c r="J211" s="625">
        <v>8.61</v>
      </c>
      <c r="K211"/>
    </row>
    <row r="212" spans="1:11" ht="24" customHeight="1">
      <c r="A212" s="621" t="s">
        <v>12708</v>
      </c>
      <c r="B212" s="622" t="s">
        <v>12745</v>
      </c>
      <c r="C212" s="621" t="s">
        <v>8</v>
      </c>
      <c r="D212" s="621" t="s">
        <v>47</v>
      </c>
      <c r="E212" s="811" t="s">
        <v>12707</v>
      </c>
      <c r="F212" s="812"/>
      <c r="G212" s="623" t="s">
        <v>23</v>
      </c>
      <c r="H212" s="624">
        <v>0.18629999999999999</v>
      </c>
      <c r="I212" s="625">
        <v>17.760000000000002</v>
      </c>
      <c r="J212" s="625">
        <v>3.3</v>
      </c>
      <c r="K212"/>
    </row>
    <row r="213" spans="1:11" ht="24" customHeight="1">
      <c r="A213" s="621" t="s">
        <v>12708</v>
      </c>
      <c r="B213" s="622" t="s">
        <v>12727</v>
      </c>
      <c r="C213" s="621" t="s">
        <v>8</v>
      </c>
      <c r="D213" s="621" t="s">
        <v>26</v>
      </c>
      <c r="E213" s="811" t="s">
        <v>12707</v>
      </c>
      <c r="F213" s="812"/>
      <c r="G213" s="623" t="s">
        <v>23</v>
      </c>
      <c r="H213" s="624">
        <v>5.0799999999999998E-2</v>
      </c>
      <c r="I213" s="625">
        <v>14.37</v>
      </c>
      <c r="J213" s="625">
        <v>0.72</v>
      </c>
      <c r="K213"/>
    </row>
    <row r="214" spans="1:11" ht="24" customHeight="1">
      <c r="A214" s="631"/>
      <c r="B214" s="631"/>
      <c r="C214" s="631"/>
      <c r="D214" s="631"/>
      <c r="E214" s="631" t="s">
        <v>12714</v>
      </c>
      <c r="F214" s="632">
        <v>2.1461779651854256</v>
      </c>
      <c r="G214" s="631" t="s">
        <v>12715</v>
      </c>
      <c r="H214" s="632">
        <v>1.82</v>
      </c>
      <c r="I214" s="631" t="s">
        <v>12716</v>
      </c>
      <c r="J214" s="632">
        <v>3.97</v>
      </c>
      <c r="K214"/>
    </row>
    <row r="215" spans="1:11" ht="15" customHeight="1" thickBot="1">
      <c r="A215" s="631"/>
      <c r="B215" s="631"/>
      <c r="C215" s="631"/>
      <c r="D215" s="631"/>
      <c r="E215" s="631" t="s">
        <v>12717</v>
      </c>
      <c r="F215" s="632">
        <v>3.56</v>
      </c>
      <c r="G215" s="631"/>
      <c r="H215" s="806" t="s">
        <v>12718</v>
      </c>
      <c r="I215" s="806"/>
      <c r="J215" s="632">
        <v>16.190000000000001</v>
      </c>
      <c r="K215"/>
    </row>
    <row r="216" spans="1:11" ht="15" customHeight="1" thickTop="1">
      <c r="A216" s="633"/>
      <c r="B216" s="633"/>
      <c r="C216" s="633"/>
      <c r="D216" s="633"/>
      <c r="E216" s="633"/>
      <c r="F216" s="633"/>
      <c r="G216" s="633"/>
      <c r="H216" s="633"/>
      <c r="I216" s="633"/>
      <c r="J216" s="633"/>
      <c r="K216"/>
    </row>
    <row r="217" spans="1:11" ht="0.95" customHeight="1">
      <c r="A217" s="613" t="s">
        <v>12754</v>
      </c>
      <c r="B217" s="614" t="s">
        <v>12698</v>
      </c>
      <c r="C217" s="613" t="s">
        <v>12699</v>
      </c>
      <c r="D217" s="613" t="s">
        <v>12700</v>
      </c>
      <c r="E217" s="807" t="s">
        <v>12701</v>
      </c>
      <c r="F217" s="808"/>
      <c r="G217" s="615" t="s">
        <v>12702</v>
      </c>
      <c r="H217" s="614" t="s">
        <v>12703</v>
      </c>
      <c r="I217" s="614" t="s">
        <v>12704</v>
      </c>
      <c r="J217" s="614" t="s">
        <v>12705</v>
      </c>
      <c r="K217"/>
    </row>
    <row r="218" spans="1:11" ht="18" customHeight="1">
      <c r="A218" s="616" t="s">
        <v>12706</v>
      </c>
      <c r="B218" s="617" t="s">
        <v>13634</v>
      </c>
      <c r="C218" s="616" t="s">
        <v>8</v>
      </c>
      <c r="D218" s="616" t="s">
        <v>3543</v>
      </c>
      <c r="E218" s="809" t="s">
        <v>12734</v>
      </c>
      <c r="F218" s="810"/>
      <c r="G218" s="618" t="s">
        <v>12730</v>
      </c>
      <c r="H218" s="619">
        <v>1</v>
      </c>
      <c r="I218" s="620">
        <v>323.58</v>
      </c>
      <c r="J218" s="620">
        <v>323.58</v>
      </c>
      <c r="K218"/>
    </row>
    <row r="219" spans="1:11" ht="24" customHeight="1">
      <c r="A219" s="621" t="s">
        <v>12708</v>
      </c>
      <c r="B219" s="622" t="s">
        <v>13257</v>
      </c>
      <c r="C219" s="621" t="s">
        <v>8</v>
      </c>
      <c r="D219" s="621" t="s">
        <v>1579</v>
      </c>
      <c r="E219" s="811" t="s">
        <v>12726</v>
      </c>
      <c r="F219" s="812"/>
      <c r="G219" s="623" t="s">
        <v>44</v>
      </c>
      <c r="H219" s="624">
        <v>0.75</v>
      </c>
      <c r="I219" s="625">
        <v>1.47</v>
      </c>
      <c r="J219" s="625">
        <v>1.1000000000000001</v>
      </c>
      <c r="K219"/>
    </row>
    <row r="220" spans="1:11" ht="36" customHeight="1">
      <c r="A220" s="621" t="s">
        <v>12708</v>
      </c>
      <c r="B220" s="622" t="s">
        <v>13256</v>
      </c>
      <c r="C220" s="621" t="s">
        <v>8</v>
      </c>
      <c r="D220" s="621" t="s">
        <v>1580</v>
      </c>
      <c r="E220" s="811" t="s">
        <v>12726</v>
      </c>
      <c r="F220" s="812"/>
      <c r="G220" s="623" t="s">
        <v>61</v>
      </c>
      <c r="H220" s="624">
        <v>0.71</v>
      </c>
      <c r="I220" s="625">
        <v>0.25</v>
      </c>
      <c r="J220" s="625">
        <v>0.17</v>
      </c>
      <c r="K220"/>
    </row>
    <row r="221" spans="1:11" ht="36" customHeight="1">
      <c r="A221" s="621" t="s">
        <v>12708</v>
      </c>
      <c r="B221" s="622" t="s">
        <v>12727</v>
      </c>
      <c r="C221" s="621" t="s">
        <v>8</v>
      </c>
      <c r="D221" s="621" t="s">
        <v>26</v>
      </c>
      <c r="E221" s="811" t="s">
        <v>12707</v>
      </c>
      <c r="F221" s="812"/>
      <c r="G221" s="623" t="s">
        <v>23</v>
      </c>
      <c r="H221" s="624">
        <v>2.31</v>
      </c>
      <c r="I221" s="625">
        <v>14.37</v>
      </c>
      <c r="J221" s="625">
        <v>33.19</v>
      </c>
      <c r="K221"/>
    </row>
    <row r="222" spans="1:11" ht="24" customHeight="1">
      <c r="A222" s="621" t="s">
        <v>12708</v>
      </c>
      <c r="B222" s="622" t="s">
        <v>13118</v>
      </c>
      <c r="C222" s="621" t="s">
        <v>8</v>
      </c>
      <c r="D222" s="621" t="s">
        <v>1520</v>
      </c>
      <c r="E222" s="811" t="s">
        <v>12707</v>
      </c>
      <c r="F222" s="812"/>
      <c r="G222" s="623" t="s">
        <v>23</v>
      </c>
      <c r="H222" s="624">
        <v>1.46</v>
      </c>
      <c r="I222" s="625">
        <v>12.88</v>
      </c>
      <c r="J222" s="625">
        <v>18.8</v>
      </c>
      <c r="K222"/>
    </row>
    <row r="223" spans="1:11" ht="24" customHeight="1">
      <c r="A223" s="626" t="s">
        <v>12709</v>
      </c>
      <c r="B223" s="627" t="s">
        <v>13250</v>
      </c>
      <c r="C223" s="626" t="s">
        <v>8</v>
      </c>
      <c r="D223" s="626" t="s">
        <v>7526</v>
      </c>
      <c r="E223" s="804" t="s">
        <v>12720</v>
      </c>
      <c r="F223" s="805"/>
      <c r="G223" s="628" t="s">
        <v>12730</v>
      </c>
      <c r="H223" s="629">
        <v>0.72299999999999998</v>
      </c>
      <c r="I223" s="630">
        <v>62.5</v>
      </c>
      <c r="J223" s="630">
        <v>45.18</v>
      </c>
      <c r="K223"/>
    </row>
    <row r="224" spans="1:11" ht="24" customHeight="1">
      <c r="A224" s="626" t="s">
        <v>12709</v>
      </c>
      <c r="B224" s="627" t="s">
        <v>13249</v>
      </c>
      <c r="C224" s="626" t="s">
        <v>8</v>
      </c>
      <c r="D224" s="626" t="s">
        <v>8420</v>
      </c>
      <c r="E224" s="804" t="s">
        <v>12720</v>
      </c>
      <c r="F224" s="805"/>
      <c r="G224" s="628" t="s">
        <v>20</v>
      </c>
      <c r="H224" s="629">
        <v>362.66</v>
      </c>
      <c r="I224" s="630">
        <v>0.49</v>
      </c>
      <c r="J224" s="630">
        <v>177.7</v>
      </c>
      <c r="K224"/>
    </row>
    <row r="225" spans="1:11" ht="25.5">
      <c r="A225" s="626" t="s">
        <v>12709</v>
      </c>
      <c r="B225" s="627" t="s">
        <v>13248</v>
      </c>
      <c r="C225" s="626" t="s">
        <v>8</v>
      </c>
      <c r="D225" s="626" t="s">
        <v>10712</v>
      </c>
      <c r="E225" s="804" t="s">
        <v>12720</v>
      </c>
      <c r="F225" s="805"/>
      <c r="G225" s="628" t="s">
        <v>12730</v>
      </c>
      <c r="H225" s="629">
        <v>0.59299999999999997</v>
      </c>
      <c r="I225" s="630">
        <v>80</v>
      </c>
      <c r="J225" s="630">
        <v>47.44</v>
      </c>
      <c r="K225"/>
    </row>
    <row r="226" spans="1:11" ht="15" customHeight="1">
      <c r="A226" s="631"/>
      <c r="B226" s="631"/>
      <c r="C226" s="631"/>
      <c r="D226" s="631"/>
      <c r="E226" s="631" t="s">
        <v>12714</v>
      </c>
      <c r="F226" s="632">
        <v>19.039896204995134</v>
      </c>
      <c r="G226" s="631" t="s">
        <v>12715</v>
      </c>
      <c r="H226" s="632">
        <v>16.18</v>
      </c>
      <c r="I226" s="631" t="s">
        <v>12716</v>
      </c>
      <c r="J226" s="632">
        <v>35.22</v>
      </c>
      <c r="K226"/>
    </row>
    <row r="227" spans="1:11" ht="0.95" customHeight="1" thickBot="1">
      <c r="A227" s="631"/>
      <c r="B227" s="631"/>
      <c r="C227" s="631"/>
      <c r="D227" s="631"/>
      <c r="E227" s="631" t="s">
        <v>12717</v>
      </c>
      <c r="F227" s="632">
        <v>91.37</v>
      </c>
      <c r="G227" s="631"/>
      <c r="H227" s="806" t="s">
        <v>12718</v>
      </c>
      <c r="I227" s="806"/>
      <c r="J227" s="632">
        <v>414.95</v>
      </c>
      <c r="K227"/>
    </row>
    <row r="228" spans="1:11" ht="18" customHeight="1" thickTop="1">
      <c r="A228" s="633"/>
      <c r="B228" s="633"/>
      <c r="C228" s="633"/>
      <c r="D228" s="633"/>
      <c r="E228" s="633"/>
      <c r="F228" s="633"/>
      <c r="G228" s="633"/>
      <c r="H228" s="633"/>
      <c r="I228" s="633"/>
      <c r="J228" s="633"/>
      <c r="K228"/>
    </row>
    <row r="229" spans="1:11" ht="24" customHeight="1">
      <c r="A229" s="613" t="s">
        <v>12755</v>
      </c>
      <c r="B229" s="614" t="s">
        <v>12698</v>
      </c>
      <c r="C229" s="613" t="s">
        <v>12699</v>
      </c>
      <c r="D229" s="613" t="s">
        <v>12700</v>
      </c>
      <c r="E229" s="807" t="s">
        <v>12701</v>
      </c>
      <c r="F229" s="808"/>
      <c r="G229" s="615" t="s">
        <v>12702</v>
      </c>
      <c r="H229" s="614" t="s">
        <v>12703</v>
      </c>
      <c r="I229" s="614" t="s">
        <v>12704</v>
      </c>
      <c r="J229" s="614" t="s">
        <v>12705</v>
      </c>
      <c r="K229"/>
    </row>
    <row r="230" spans="1:11" ht="36" customHeight="1">
      <c r="A230" s="616" t="s">
        <v>12706</v>
      </c>
      <c r="B230" s="617" t="s">
        <v>13633</v>
      </c>
      <c r="C230" s="616" t="s">
        <v>8</v>
      </c>
      <c r="D230" s="616" t="s">
        <v>55</v>
      </c>
      <c r="E230" s="809" t="s">
        <v>12734</v>
      </c>
      <c r="F230" s="810"/>
      <c r="G230" s="618" t="s">
        <v>12730</v>
      </c>
      <c r="H230" s="619">
        <v>1</v>
      </c>
      <c r="I230" s="620">
        <v>146.37</v>
      </c>
      <c r="J230" s="620">
        <v>146.37</v>
      </c>
      <c r="K230"/>
    </row>
    <row r="231" spans="1:11" ht="24" customHeight="1">
      <c r="A231" s="621" t="s">
        <v>12708</v>
      </c>
      <c r="B231" s="622" t="s">
        <v>12993</v>
      </c>
      <c r="C231" s="621" t="s">
        <v>8</v>
      </c>
      <c r="D231" s="621" t="s">
        <v>2193</v>
      </c>
      <c r="E231" s="811" t="s">
        <v>12726</v>
      </c>
      <c r="F231" s="812"/>
      <c r="G231" s="623" t="s">
        <v>44</v>
      </c>
      <c r="H231" s="624">
        <v>0.67200000000000004</v>
      </c>
      <c r="I231" s="625">
        <v>1.59</v>
      </c>
      <c r="J231" s="625">
        <v>1.06</v>
      </c>
      <c r="K231"/>
    </row>
    <row r="232" spans="1:11" ht="24" customHeight="1">
      <c r="A232" s="621" t="s">
        <v>12708</v>
      </c>
      <c r="B232" s="622" t="s">
        <v>12994</v>
      </c>
      <c r="C232" s="621" t="s">
        <v>8</v>
      </c>
      <c r="D232" s="621" t="s">
        <v>2194</v>
      </c>
      <c r="E232" s="811" t="s">
        <v>12726</v>
      </c>
      <c r="F232" s="812"/>
      <c r="G232" s="623" t="s">
        <v>61</v>
      </c>
      <c r="H232" s="624">
        <v>1.1739999999999999</v>
      </c>
      <c r="I232" s="625">
        <v>0.34</v>
      </c>
      <c r="J232" s="625">
        <v>0.39</v>
      </c>
      <c r="K232"/>
    </row>
    <row r="233" spans="1:11" ht="24" customHeight="1">
      <c r="A233" s="621" t="s">
        <v>12708</v>
      </c>
      <c r="B233" s="622" t="s">
        <v>13191</v>
      </c>
      <c r="C233" s="621" t="s">
        <v>8</v>
      </c>
      <c r="D233" s="621" t="s">
        <v>46</v>
      </c>
      <c r="E233" s="811" t="s">
        <v>12707</v>
      </c>
      <c r="F233" s="812"/>
      <c r="G233" s="623" t="s">
        <v>23</v>
      </c>
      <c r="H233" s="624">
        <v>1.8460000000000001</v>
      </c>
      <c r="I233" s="625">
        <v>17.64</v>
      </c>
      <c r="J233" s="625">
        <v>32.56</v>
      </c>
      <c r="K233"/>
    </row>
    <row r="234" spans="1:11" ht="36" customHeight="1">
      <c r="A234" s="621" t="s">
        <v>12708</v>
      </c>
      <c r="B234" s="622" t="s">
        <v>12745</v>
      </c>
      <c r="C234" s="621" t="s">
        <v>8</v>
      </c>
      <c r="D234" s="621" t="s">
        <v>47</v>
      </c>
      <c r="E234" s="811" t="s">
        <v>12707</v>
      </c>
      <c r="F234" s="812"/>
      <c r="G234" s="623" t="s">
        <v>23</v>
      </c>
      <c r="H234" s="624">
        <v>1.8460000000000001</v>
      </c>
      <c r="I234" s="625">
        <v>17.760000000000002</v>
      </c>
      <c r="J234" s="625">
        <v>32.78</v>
      </c>
      <c r="K234"/>
    </row>
    <row r="235" spans="1:11" ht="25.5">
      <c r="A235" s="621" t="s">
        <v>12708</v>
      </c>
      <c r="B235" s="622" t="s">
        <v>12727</v>
      </c>
      <c r="C235" s="621" t="s">
        <v>8</v>
      </c>
      <c r="D235" s="621" t="s">
        <v>26</v>
      </c>
      <c r="E235" s="811" t="s">
        <v>12707</v>
      </c>
      <c r="F235" s="812"/>
      <c r="G235" s="623" t="s">
        <v>23</v>
      </c>
      <c r="H235" s="624">
        <v>5.5380000000000003</v>
      </c>
      <c r="I235" s="625">
        <v>14.37</v>
      </c>
      <c r="J235" s="625">
        <v>79.58</v>
      </c>
      <c r="K235"/>
    </row>
    <row r="236" spans="1:11" ht="15" customHeight="1">
      <c r="A236" s="631"/>
      <c r="B236" s="631"/>
      <c r="C236" s="631"/>
      <c r="D236" s="631"/>
      <c r="E236" s="631" t="s">
        <v>12714</v>
      </c>
      <c r="F236" s="632">
        <v>54.659963239269111</v>
      </c>
      <c r="G236" s="631" t="s">
        <v>12715</v>
      </c>
      <c r="H236" s="632">
        <v>46.45</v>
      </c>
      <c r="I236" s="631" t="s">
        <v>12716</v>
      </c>
      <c r="J236" s="632">
        <v>101.11</v>
      </c>
      <c r="K236"/>
    </row>
    <row r="237" spans="1:11" ht="0.95" customHeight="1" thickBot="1">
      <c r="A237" s="631"/>
      <c r="B237" s="631"/>
      <c r="C237" s="631"/>
      <c r="D237" s="631"/>
      <c r="E237" s="631" t="s">
        <v>12717</v>
      </c>
      <c r="F237" s="632">
        <v>41.33</v>
      </c>
      <c r="G237" s="631"/>
      <c r="H237" s="806" t="s">
        <v>12718</v>
      </c>
      <c r="I237" s="806"/>
      <c r="J237" s="632">
        <v>187.7</v>
      </c>
      <c r="K237"/>
    </row>
    <row r="238" spans="1:11" ht="18" customHeight="1" thickTop="1">
      <c r="A238" s="633"/>
      <c r="B238" s="633"/>
      <c r="C238" s="633"/>
      <c r="D238" s="633"/>
      <c r="E238" s="633"/>
      <c r="F238" s="633"/>
      <c r="G238" s="633"/>
      <c r="H238" s="633"/>
      <c r="I238" s="633"/>
      <c r="J238" s="633"/>
      <c r="K238"/>
    </row>
    <row r="239" spans="1:11" ht="24" customHeight="1">
      <c r="A239" s="613" t="s">
        <v>12756</v>
      </c>
      <c r="B239" s="614" t="s">
        <v>12698</v>
      </c>
      <c r="C239" s="613" t="s">
        <v>12699</v>
      </c>
      <c r="D239" s="613" t="s">
        <v>12700</v>
      </c>
      <c r="E239" s="807" t="s">
        <v>12701</v>
      </c>
      <c r="F239" s="808"/>
      <c r="G239" s="615" t="s">
        <v>12702</v>
      </c>
      <c r="H239" s="614" t="s">
        <v>12703</v>
      </c>
      <c r="I239" s="614" t="s">
        <v>12704</v>
      </c>
      <c r="J239" s="614" t="s">
        <v>12705</v>
      </c>
      <c r="K239"/>
    </row>
    <row r="240" spans="1:11" ht="36" customHeight="1">
      <c r="A240" s="616" t="s">
        <v>12706</v>
      </c>
      <c r="B240" s="617" t="s">
        <v>13632</v>
      </c>
      <c r="C240" s="616" t="s">
        <v>8</v>
      </c>
      <c r="D240" s="616" t="s">
        <v>4012</v>
      </c>
      <c r="E240" s="809" t="s">
        <v>12734</v>
      </c>
      <c r="F240" s="810"/>
      <c r="G240" s="618" t="s">
        <v>20</v>
      </c>
      <c r="H240" s="619">
        <v>1</v>
      </c>
      <c r="I240" s="620">
        <v>8.31</v>
      </c>
      <c r="J240" s="620">
        <v>8.31</v>
      </c>
      <c r="K240"/>
    </row>
    <row r="241" spans="1:11" ht="24" customHeight="1">
      <c r="A241" s="621" t="s">
        <v>12708</v>
      </c>
      <c r="B241" s="622" t="s">
        <v>13247</v>
      </c>
      <c r="C241" s="621" t="s">
        <v>8</v>
      </c>
      <c r="D241" s="621" t="s">
        <v>2980</v>
      </c>
      <c r="E241" s="811" t="s">
        <v>12734</v>
      </c>
      <c r="F241" s="812"/>
      <c r="G241" s="623" t="s">
        <v>20</v>
      </c>
      <c r="H241" s="624">
        <v>1</v>
      </c>
      <c r="I241" s="625">
        <v>5.95</v>
      </c>
      <c r="J241" s="625">
        <v>5.95</v>
      </c>
      <c r="K241"/>
    </row>
    <row r="242" spans="1:11" ht="24" customHeight="1">
      <c r="A242" s="621" t="s">
        <v>12708</v>
      </c>
      <c r="B242" s="622" t="s">
        <v>13237</v>
      </c>
      <c r="C242" s="621" t="s">
        <v>8</v>
      </c>
      <c r="D242" s="621" t="s">
        <v>236</v>
      </c>
      <c r="E242" s="811" t="s">
        <v>12707</v>
      </c>
      <c r="F242" s="812"/>
      <c r="G242" s="623" t="s">
        <v>23</v>
      </c>
      <c r="H242" s="624">
        <v>2.9000000000000001E-2</v>
      </c>
      <c r="I242" s="625">
        <v>13.76</v>
      </c>
      <c r="J242" s="625">
        <v>0.39</v>
      </c>
      <c r="K242"/>
    </row>
    <row r="243" spans="1:11" ht="24" customHeight="1">
      <c r="A243" s="621" t="s">
        <v>12708</v>
      </c>
      <c r="B243" s="622" t="s">
        <v>13236</v>
      </c>
      <c r="C243" s="621" t="s">
        <v>8</v>
      </c>
      <c r="D243" s="621" t="s">
        <v>241</v>
      </c>
      <c r="E243" s="811" t="s">
        <v>12707</v>
      </c>
      <c r="F243" s="812"/>
      <c r="G243" s="623" t="s">
        <v>23</v>
      </c>
      <c r="H243" s="624">
        <v>8.8999999999999996E-2</v>
      </c>
      <c r="I243" s="625">
        <v>17.68</v>
      </c>
      <c r="J243" s="625">
        <v>1.57</v>
      </c>
      <c r="K243"/>
    </row>
    <row r="244" spans="1:11" ht="36" customHeight="1">
      <c r="A244" s="626" t="s">
        <v>12709</v>
      </c>
      <c r="B244" s="627" t="s">
        <v>13311</v>
      </c>
      <c r="C244" s="626" t="s">
        <v>8</v>
      </c>
      <c r="D244" s="626" t="s">
        <v>7522</v>
      </c>
      <c r="E244" s="804" t="s">
        <v>12720</v>
      </c>
      <c r="F244" s="805"/>
      <c r="G244" s="628" t="s">
        <v>20</v>
      </c>
      <c r="H244" s="629">
        <v>2.5000000000000001E-2</v>
      </c>
      <c r="I244" s="630">
        <v>13.6</v>
      </c>
      <c r="J244" s="630">
        <v>0.34</v>
      </c>
      <c r="K244"/>
    </row>
    <row r="245" spans="1:11" ht="25.5">
      <c r="A245" s="626" t="s">
        <v>12709</v>
      </c>
      <c r="B245" s="627" t="s">
        <v>13310</v>
      </c>
      <c r="C245" s="626" t="s">
        <v>8</v>
      </c>
      <c r="D245" s="626" t="s">
        <v>9265</v>
      </c>
      <c r="E245" s="804" t="s">
        <v>12720</v>
      </c>
      <c r="F245" s="805"/>
      <c r="G245" s="628" t="s">
        <v>35</v>
      </c>
      <c r="H245" s="629">
        <v>0.46550000000000002</v>
      </c>
      <c r="I245" s="630">
        <v>0.13</v>
      </c>
      <c r="J245" s="630">
        <v>0.06</v>
      </c>
      <c r="K245"/>
    </row>
    <row r="246" spans="1:11" ht="15" customHeight="1">
      <c r="A246" s="631"/>
      <c r="B246" s="631"/>
      <c r="C246" s="631"/>
      <c r="D246" s="631"/>
      <c r="E246" s="631" t="s">
        <v>12714</v>
      </c>
      <c r="F246" s="632">
        <v>0.84874040436803977</v>
      </c>
      <c r="G246" s="631" t="s">
        <v>12715</v>
      </c>
      <c r="H246" s="632">
        <v>0.72</v>
      </c>
      <c r="I246" s="631" t="s">
        <v>12716</v>
      </c>
      <c r="J246" s="632">
        <v>1.57</v>
      </c>
      <c r="K246"/>
    </row>
    <row r="247" spans="1:11" ht="0.95" customHeight="1" thickBot="1">
      <c r="A247" s="631"/>
      <c r="B247" s="631"/>
      <c r="C247" s="631"/>
      <c r="D247" s="631"/>
      <c r="E247" s="631" t="s">
        <v>12717</v>
      </c>
      <c r="F247" s="632">
        <v>2.34</v>
      </c>
      <c r="G247" s="631"/>
      <c r="H247" s="806" t="s">
        <v>12718</v>
      </c>
      <c r="I247" s="806"/>
      <c r="J247" s="632">
        <v>10.65</v>
      </c>
      <c r="K247"/>
    </row>
    <row r="248" spans="1:11" ht="18" customHeight="1" thickTop="1">
      <c r="A248" s="633"/>
      <c r="B248" s="633"/>
      <c r="C248" s="633"/>
      <c r="D248" s="633"/>
      <c r="E248" s="633"/>
      <c r="F248" s="633"/>
      <c r="G248" s="633"/>
      <c r="H248" s="633"/>
      <c r="I248" s="633"/>
      <c r="J248" s="633"/>
      <c r="K248"/>
    </row>
    <row r="249" spans="1:11" ht="48" customHeight="1">
      <c r="A249" s="613" t="s">
        <v>12757</v>
      </c>
      <c r="B249" s="614" t="s">
        <v>12698</v>
      </c>
      <c r="C249" s="613" t="s">
        <v>12699</v>
      </c>
      <c r="D249" s="613" t="s">
        <v>12700</v>
      </c>
      <c r="E249" s="807" t="s">
        <v>12701</v>
      </c>
      <c r="F249" s="808"/>
      <c r="G249" s="615" t="s">
        <v>12702</v>
      </c>
      <c r="H249" s="614" t="s">
        <v>12703</v>
      </c>
      <c r="I249" s="614" t="s">
        <v>12704</v>
      </c>
      <c r="J249" s="614" t="s">
        <v>12705</v>
      </c>
      <c r="K249"/>
    </row>
    <row r="250" spans="1:11" ht="36" customHeight="1">
      <c r="A250" s="616" t="s">
        <v>12706</v>
      </c>
      <c r="B250" s="617" t="s">
        <v>13631</v>
      </c>
      <c r="C250" s="616" t="s">
        <v>8</v>
      </c>
      <c r="D250" s="616" t="s">
        <v>4013</v>
      </c>
      <c r="E250" s="809" t="s">
        <v>12734</v>
      </c>
      <c r="F250" s="810"/>
      <c r="G250" s="618" t="s">
        <v>20</v>
      </c>
      <c r="H250" s="619">
        <v>1</v>
      </c>
      <c r="I250" s="620">
        <v>6.95</v>
      </c>
      <c r="J250" s="620">
        <v>6.95</v>
      </c>
      <c r="K250"/>
    </row>
    <row r="251" spans="1:11" ht="24" customHeight="1">
      <c r="A251" s="621" t="s">
        <v>12708</v>
      </c>
      <c r="B251" s="622" t="s">
        <v>13245</v>
      </c>
      <c r="C251" s="621" t="s">
        <v>8</v>
      </c>
      <c r="D251" s="621" t="s">
        <v>2981</v>
      </c>
      <c r="E251" s="811" t="s">
        <v>12734</v>
      </c>
      <c r="F251" s="812"/>
      <c r="G251" s="623" t="s">
        <v>20</v>
      </c>
      <c r="H251" s="624">
        <v>1</v>
      </c>
      <c r="I251" s="625">
        <v>5.08</v>
      </c>
      <c r="J251" s="625">
        <v>5.08</v>
      </c>
      <c r="K251"/>
    </row>
    <row r="252" spans="1:11" ht="24" customHeight="1">
      <c r="A252" s="621" t="s">
        <v>12708</v>
      </c>
      <c r="B252" s="622" t="s">
        <v>13237</v>
      </c>
      <c r="C252" s="621" t="s">
        <v>8</v>
      </c>
      <c r="D252" s="621" t="s">
        <v>236</v>
      </c>
      <c r="E252" s="811" t="s">
        <v>12707</v>
      </c>
      <c r="F252" s="812"/>
      <c r="G252" s="623" t="s">
        <v>23</v>
      </c>
      <c r="H252" s="624">
        <v>2.1999999999999999E-2</v>
      </c>
      <c r="I252" s="625">
        <v>13.76</v>
      </c>
      <c r="J252" s="625">
        <v>0.3</v>
      </c>
      <c r="K252"/>
    </row>
    <row r="253" spans="1:11" ht="24" customHeight="1">
      <c r="A253" s="621" t="s">
        <v>12708</v>
      </c>
      <c r="B253" s="622" t="s">
        <v>13236</v>
      </c>
      <c r="C253" s="621" t="s">
        <v>8</v>
      </c>
      <c r="D253" s="621" t="s">
        <v>241</v>
      </c>
      <c r="E253" s="811" t="s">
        <v>12707</v>
      </c>
      <c r="F253" s="812"/>
      <c r="G253" s="623" t="s">
        <v>23</v>
      </c>
      <c r="H253" s="624">
        <v>6.8000000000000005E-2</v>
      </c>
      <c r="I253" s="625">
        <v>17.68</v>
      </c>
      <c r="J253" s="625">
        <v>1.2</v>
      </c>
      <c r="K253"/>
    </row>
    <row r="254" spans="1:11" ht="36" customHeight="1">
      <c r="A254" s="626" t="s">
        <v>12709</v>
      </c>
      <c r="B254" s="627" t="s">
        <v>13311</v>
      </c>
      <c r="C254" s="626" t="s">
        <v>8</v>
      </c>
      <c r="D254" s="626" t="s">
        <v>7522</v>
      </c>
      <c r="E254" s="804" t="s">
        <v>12720</v>
      </c>
      <c r="F254" s="805"/>
      <c r="G254" s="628" t="s">
        <v>20</v>
      </c>
      <c r="H254" s="629">
        <v>2.5000000000000001E-2</v>
      </c>
      <c r="I254" s="630">
        <v>13.6</v>
      </c>
      <c r="J254" s="630">
        <v>0.34</v>
      </c>
      <c r="K254"/>
    </row>
    <row r="255" spans="1:11" ht="25.5">
      <c r="A255" s="626" t="s">
        <v>12709</v>
      </c>
      <c r="B255" s="627" t="s">
        <v>13310</v>
      </c>
      <c r="C255" s="626" t="s">
        <v>8</v>
      </c>
      <c r="D255" s="626" t="s">
        <v>9265</v>
      </c>
      <c r="E255" s="804" t="s">
        <v>12720</v>
      </c>
      <c r="F255" s="805"/>
      <c r="G255" s="628" t="s">
        <v>35</v>
      </c>
      <c r="H255" s="629">
        <v>0.30599999999999999</v>
      </c>
      <c r="I255" s="630">
        <v>0.13</v>
      </c>
      <c r="J255" s="630">
        <v>0.03</v>
      </c>
      <c r="K255"/>
    </row>
    <row r="256" spans="1:11" ht="15" customHeight="1">
      <c r="A256" s="631"/>
      <c r="B256" s="631"/>
      <c r="C256" s="631"/>
      <c r="D256" s="631"/>
      <c r="E256" s="631" t="s">
        <v>12714</v>
      </c>
      <c r="F256" s="632">
        <v>0.6216888312249973</v>
      </c>
      <c r="G256" s="631" t="s">
        <v>12715</v>
      </c>
      <c r="H256" s="632">
        <v>0.53</v>
      </c>
      <c r="I256" s="631" t="s">
        <v>12716</v>
      </c>
      <c r="J256" s="632">
        <v>1.1499999999999999</v>
      </c>
      <c r="K256"/>
    </row>
    <row r="257" spans="1:11" ht="0.95" customHeight="1" thickBot="1">
      <c r="A257" s="631"/>
      <c r="B257" s="631"/>
      <c r="C257" s="631"/>
      <c r="D257" s="631"/>
      <c r="E257" s="631" t="s">
        <v>12717</v>
      </c>
      <c r="F257" s="632">
        <v>1.96</v>
      </c>
      <c r="G257" s="631"/>
      <c r="H257" s="806" t="s">
        <v>12718</v>
      </c>
      <c r="I257" s="806"/>
      <c r="J257" s="632">
        <v>8.91</v>
      </c>
      <c r="K257"/>
    </row>
    <row r="258" spans="1:11" ht="18" customHeight="1" thickTop="1">
      <c r="A258" s="633"/>
      <c r="B258" s="633"/>
      <c r="C258" s="633"/>
      <c r="D258" s="633"/>
      <c r="E258" s="633"/>
      <c r="F258" s="633"/>
      <c r="G258" s="633"/>
      <c r="H258" s="633"/>
      <c r="I258" s="633"/>
      <c r="J258" s="633"/>
      <c r="K258"/>
    </row>
    <row r="259" spans="1:11" ht="48" customHeight="1">
      <c r="A259" s="613" t="s">
        <v>12758</v>
      </c>
      <c r="B259" s="614" t="s">
        <v>12698</v>
      </c>
      <c r="C259" s="613" t="s">
        <v>12699</v>
      </c>
      <c r="D259" s="613" t="s">
        <v>12700</v>
      </c>
      <c r="E259" s="807" t="s">
        <v>12701</v>
      </c>
      <c r="F259" s="808"/>
      <c r="G259" s="615" t="s">
        <v>12702</v>
      </c>
      <c r="H259" s="614" t="s">
        <v>12703</v>
      </c>
      <c r="I259" s="614" t="s">
        <v>12704</v>
      </c>
      <c r="J259" s="614" t="s">
        <v>12705</v>
      </c>
      <c r="K259"/>
    </row>
    <row r="260" spans="1:11" ht="36" customHeight="1">
      <c r="A260" s="616" t="s">
        <v>12706</v>
      </c>
      <c r="B260" s="617" t="s">
        <v>13630</v>
      </c>
      <c r="C260" s="616" t="s">
        <v>8</v>
      </c>
      <c r="D260" s="616" t="s">
        <v>2964</v>
      </c>
      <c r="E260" s="809" t="s">
        <v>12734</v>
      </c>
      <c r="F260" s="810"/>
      <c r="G260" s="618" t="s">
        <v>20</v>
      </c>
      <c r="H260" s="619">
        <v>1</v>
      </c>
      <c r="I260" s="620">
        <v>8.26</v>
      </c>
      <c r="J260" s="620">
        <v>8.26</v>
      </c>
      <c r="K260"/>
    </row>
    <row r="261" spans="1:11" ht="24" customHeight="1">
      <c r="A261" s="621" t="s">
        <v>12708</v>
      </c>
      <c r="B261" s="622" t="s">
        <v>13247</v>
      </c>
      <c r="C261" s="621" t="s">
        <v>8</v>
      </c>
      <c r="D261" s="621" t="s">
        <v>2980</v>
      </c>
      <c r="E261" s="811" t="s">
        <v>12734</v>
      </c>
      <c r="F261" s="812"/>
      <c r="G261" s="623" t="s">
        <v>20</v>
      </c>
      <c r="H261" s="624">
        <v>1</v>
      </c>
      <c r="I261" s="625">
        <v>5.95</v>
      </c>
      <c r="J261" s="625">
        <v>5.95</v>
      </c>
      <c r="K261"/>
    </row>
    <row r="262" spans="1:11" ht="24" customHeight="1">
      <c r="A262" s="621" t="s">
        <v>12708</v>
      </c>
      <c r="B262" s="622" t="s">
        <v>13237</v>
      </c>
      <c r="C262" s="621" t="s">
        <v>8</v>
      </c>
      <c r="D262" s="621" t="s">
        <v>236</v>
      </c>
      <c r="E262" s="811" t="s">
        <v>12707</v>
      </c>
      <c r="F262" s="812"/>
      <c r="G262" s="623" t="s">
        <v>23</v>
      </c>
      <c r="H262" s="624">
        <v>1.5599999999999999E-2</v>
      </c>
      <c r="I262" s="625">
        <v>13.76</v>
      </c>
      <c r="J262" s="625">
        <v>0.21</v>
      </c>
      <c r="K262"/>
    </row>
    <row r="263" spans="1:11" ht="24" customHeight="1">
      <c r="A263" s="621" t="s">
        <v>12708</v>
      </c>
      <c r="B263" s="622" t="s">
        <v>13236</v>
      </c>
      <c r="C263" s="621" t="s">
        <v>8</v>
      </c>
      <c r="D263" s="621" t="s">
        <v>241</v>
      </c>
      <c r="E263" s="811" t="s">
        <v>12707</v>
      </c>
      <c r="F263" s="812"/>
      <c r="G263" s="623" t="s">
        <v>23</v>
      </c>
      <c r="H263" s="624">
        <v>9.5600000000000004E-2</v>
      </c>
      <c r="I263" s="625">
        <v>17.68</v>
      </c>
      <c r="J263" s="625">
        <v>1.69</v>
      </c>
      <c r="K263"/>
    </row>
    <row r="264" spans="1:11" ht="36" customHeight="1">
      <c r="A264" s="626" t="s">
        <v>12709</v>
      </c>
      <c r="B264" s="627" t="s">
        <v>13311</v>
      </c>
      <c r="C264" s="626" t="s">
        <v>8</v>
      </c>
      <c r="D264" s="626" t="s">
        <v>7522</v>
      </c>
      <c r="E264" s="804" t="s">
        <v>12720</v>
      </c>
      <c r="F264" s="805"/>
      <c r="G264" s="628" t="s">
        <v>20</v>
      </c>
      <c r="H264" s="629">
        <v>2.5000000000000001E-2</v>
      </c>
      <c r="I264" s="630">
        <v>13.6</v>
      </c>
      <c r="J264" s="630">
        <v>0.34</v>
      </c>
      <c r="K264"/>
    </row>
    <row r="265" spans="1:11" ht="25.5">
      <c r="A265" s="626" t="s">
        <v>12709</v>
      </c>
      <c r="B265" s="627" t="s">
        <v>13310</v>
      </c>
      <c r="C265" s="626" t="s">
        <v>8</v>
      </c>
      <c r="D265" s="626" t="s">
        <v>9265</v>
      </c>
      <c r="E265" s="804" t="s">
        <v>12720</v>
      </c>
      <c r="F265" s="805"/>
      <c r="G265" s="628" t="s">
        <v>35</v>
      </c>
      <c r="H265" s="629">
        <v>0.54300000000000004</v>
      </c>
      <c r="I265" s="630">
        <v>0.13</v>
      </c>
      <c r="J265" s="630">
        <v>7.0000000000000007E-2</v>
      </c>
      <c r="K265"/>
    </row>
    <row r="266" spans="1:11" ht="15" customHeight="1">
      <c r="A266" s="631"/>
      <c r="B266" s="631"/>
      <c r="C266" s="631"/>
      <c r="D266" s="631"/>
      <c r="E266" s="631" t="s">
        <v>12714</v>
      </c>
      <c r="F266" s="632">
        <v>0.82711644502108339</v>
      </c>
      <c r="G266" s="631" t="s">
        <v>12715</v>
      </c>
      <c r="H266" s="632">
        <v>0.7</v>
      </c>
      <c r="I266" s="631" t="s">
        <v>12716</v>
      </c>
      <c r="J266" s="632">
        <v>1.53</v>
      </c>
      <c r="K266"/>
    </row>
    <row r="267" spans="1:11" ht="0.95" customHeight="1" thickBot="1">
      <c r="A267" s="631"/>
      <c r="B267" s="631"/>
      <c r="C267" s="631"/>
      <c r="D267" s="631"/>
      <c r="E267" s="631" t="s">
        <v>12717</v>
      </c>
      <c r="F267" s="632">
        <v>2.33</v>
      </c>
      <c r="G267" s="631"/>
      <c r="H267" s="806" t="s">
        <v>12718</v>
      </c>
      <c r="I267" s="806"/>
      <c r="J267" s="632">
        <v>10.59</v>
      </c>
      <c r="K267"/>
    </row>
    <row r="268" spans="1:11" ht="18" customHeight="1" thickTop="1">
      <c r="A268" s="633"/>
      <c r="B268" s="633"/>
      <c r="C268" s="633"/>
      <c r="D268" s="633"/>
      <c r="E268" s="633"/>
      <c r="F268" s="633"/>
      <c r="G268" s="633"/>
      <c r="H268" s="633"/>
      <c r="I268" s="633"/>
      <c r="J268" s="633"/>
      <c r="K268"/>
    </row>
    <row r="269" spans="1:11" ht="48" customHeight="1">
      <c r="A269" s="613" t="s">
        <v>12759</v>
      </c>
      <c r="B269" s="614" t="s">
        <v>12698</v>
      </c>
      <c r="C269" s="613" t="s">
        <v>12699</v>
      </c>
      <c r="D269" s="613" t="s">
        <v>12700</v>
      </c>
      <c r="E269" s="807" t="s">
        <v>12701</v>
      </c>
      <c r="F269" s="808"/>
      <c r="G269" s="615" t="s">
        <v>12702</v>
      </c>
      <c r="H269" s="614" t="s">
        <v>12703</v>
      </c>
      <c r="I269" s="614" t="s">
        <v>12704</v>
      </c>
      <c r="J269" s="614" t="s">
        <v>12705</v>
      </c>
      <c r="K269"/>
    </row>
    <row r="270" spans="1:11" ht="36" customHeight="1">
      <c r="A270" s="616" t="s">
        <v>12706</v>
      </c>
      <c r="B270" s="617" t="s">
        <v>13629</v>
      </c>
      <c r="C270" s="616" t="s">
        <v>8</v>
      </c>
      <c r="D270" s="616" t="s">
        <v>2965</v>
      </c>
      <c r="E270" s="809" t="s">
        <v>12734</v>
      </c>
      <c r="F270" s="810"/>
      <c r="G270" s="618" t="s">
        <v>20</v>
      </c>
      <c r="H270" s="619">
        <v>1</v>
      </c>
      <c r="I270" s="620">
        <v>6.84</v>
      </c>
      <c r="J270" s="620">
        <v>6.84</v>
      </c>
      <c r="K270"/>
    </row>
    <row r="271" spans="1:11" ht="24" customHeight="1">
      <c r="A271" s="621" t="s">
        <v>12708</v>
      </c>
      <c r="B271" s="622" t="s">
        <v>13245</v>
      </c>
      <c r="C271" s="621" t="s">
        <v>8</v>
      </c>
      <c r="D271" s="621" t="s">
        <v>2981</v>
      </c>
      <c r="E271" s="811" t="s">
        <v>12734</v>
      </c>
      <c r="F271" s="812"/>
      <c r="G271" s="623" t="s">
        <v>20</v>
      </c>
      <c r="H271" s="624">
        <v>1</v>
      </c>
      <c r="I271" s="625">
        <v>5.08</v>
      </c>
      <c r="J271" s="625">
        <v>5.08</v>
      </c>
      <c r="K271"/>
    </row>
    <row r="272" spans="1:11" ht="24" customHeight="1">
      <c r="A272" s="621" t="s">
        <v>12708</v>
      </c>
      <c r="B272" s="622" t="s">
        <v>13237</v>
      </c>
      <c r="C272" s="621" t="s">
        <v>8</v>
      </c>
      <c r="D272" s="621" t="s">
        <v>236</v>
      </c>
      <c r="E272" s="811" t="s">
        <v>12707</v>
      </c>
      <c r="F272" s="812"/>
      <c r="G272" s="623" t="s">
        <v>23</v>
      </c>
      <c r="H272" s="624">
        <v>1.14E-2</v>
      </c>
      <c r="I272" s="625">
        <v>13.76</v>
      </c>
      <c r="J272" s="625">
        <v>0.15</v>
      </c>
      <c r="K272"/>
    </row>
    <row r="273" spans="1:11" ht="24" customHeight="1">
      <c r="A273" s="621" t="s">
        <v>12708</v>
      </c>
      <c r="B273" s="622" t="s">
        <v>13236</v>
      </c>
      <c r="C273" s="621" t="s">
        <v>8</v>
      </c>
      <c r="D273" s="621" t="s">
        <v>241</v>
      </c>
      <c r="E273" s="811" t="s">
        <v>12707</v>
      </c>
      <c r="F273" s="812"/>
      <c r="G273" s="623" t="s">
        <v>23</v>
      </c>
      <c r="H273" s="624">
        <v>6.9800000000000001E-2</v>
      </c>
      <c r="I273" s="625">
        <v>17.68</v>
      </c>
      <c r="J273" s="625">
        <v>1.23</v>
      </c>
      <c r="K273"/>
    </row>
    <row r="274" spans="1:11" ht="36" customHeight="1">
      <c r="A274" s="626" t="s">
        <v>12709</v>
      </c>
      <c r="B274" s="627" t="s">
        <v>13311</v>
      </c>
      <c r="C274" s="626" t="s">
        <v>8</v>
      </c>
      <c r="D274" s="626" t="s">
        <v>7522</v>
      </c>
      <c r="E274" s="804" t="s">
        <v>12720</v>
      </c>
      <c r="F274" s="805"/>
      <c r="G274" s="628" t="s">
        <v>20</v>
      </c>
      <c r="H274" s="629">
        <v>2.5000000000000001E-2</v>
      </c>
      <c r="I274" s="630">
        <v>13.6</v>
      </c>
      <c r="J274" s="630">
        <v>0.34</v>
      </c>
      <c r="K274"/>
    </row>
    <row r="275" spans="1:11" ht="25.5">
      <c r="A275" s="626" t="s">
        <v>12709</v>
      </c>
      <c r="B275" s="627" t="s">
        <v>13310</v>
      </c>
      <c r="C275" s="626" t="s">
        <v>8</v>
      </c>
      <c r="D275" s="626" t="s">
        <v>9265</v>
      </c>
      <c r="E275" s="804" t="s">
        <v>12720</v>
      </c>
      <c r="F275" s="805"/>
      <c r="G275" s="628" t="s">
        <v>35</v>
      </c>
      <c r="H275" s="629">
        <v>0.36699999999999999</v>
      </c>
      <c r="I275" s="630">
        <v>0.13</v>
      </c>
      <c r="J275" s="630">
        <v>0.04</v>
      </c>
      <c r="K275"/>
    </row>
    <row r="276" spans="1:11" ht="15" customHeight="1">
      <c r="A276" s="631"/>
      <c r="B276" s="631"/>
      <c r="C276" s="631"/>
      <c r="D276" s="631"/>
      <c r="E276" s="631" t="s">
        <v>12714</v>
      </c>
      <c r="F276" s="632">
        <v>0.58384690236782355</v>
      </c>
      <c r="G276" s="631" t="s">
        <v>12715</v>
      </c>
      <c r="H276" s="632">
        <v>0.5</v>
      </c>
      <c r="I276" s="631" t="s">
        <v>12716</v>
      </c>
      <c r="J276" s="632">
        <v>1.08</v>
      </c>
      <c r="K276"/>
    </row>
    <row r="277" spans="1:11" ht="0.95" customHeight="1" thickBot="1">
      <c r="A277" s="631"/>
      <c r="B277" s="631"/>
      <c r="C277" s="631"/>
      <c r="D277" s="631"/>
      <c r="E277" s="631" t="s">
        <v>12717</v>
      </c>
      <c r="F277" s="632">
        <v>1.93</v>
      </c>
      <c r="G277" s="631"/>
      <c r="H277" s="806" t="s">
        <v>12718</v>
      </c>
      <c r="I277" s="806"/>
      <c r="J277" s="632">
        <v>8.77</v>
      </c>
      <c r="K277"/>
    </row>
    <row r="278" spans="1:11" ht="18" customHeight="1" thickTop="1">
      <c r="A278" s="633"/>
      <c r="B278" s="633"/>
      <c r="C278" s="633"/>
      <c r="D278" s="633"/>
      <c r="E278" s="633"/>
      <c r="F278" s="633"/>
      <c r="G278" s="633"/>
      <c r="H278" s="633"/>
      <c r="I278" s="633"/>
      <c r="J278" s="633"/>
      <c r="K278"/>
    </row>
    <row r="279" spans="1:11" ht="36" customHeight="1">
      <c r="A279" s="613" t="s">
        <v>12760</v>
      </c>
      <c r="B279" s="614" t="s">
        <v>12698</v>
      </c>
      <c r="C279" s="613" t="s">
        <v>12699</v>
      </c>
      <c r="D279" s="613" t="s">
        <v>12700</v>
      </c>
      <c r="E279" s="807" t="s">
        <v>12701</v>
      </c>
      <c r="F279" s="808"/>
      <c r="G279" s="615" t="s">
        <v>12702</v>
      </c>
      <c r="H279" s="614" t="s">
        <v>12703</v>
      </c>
      <c r="I279" s="614" t="s">
        <v>12704</v>
      </c>
      <c r="J279" s="614" t="s">
        <v>12705</v>
      </c>
      <c r="K279"/>
    </row>
    <row r="280" spans="1:11" ht="36" customHeight="1">
      <c r="A280" s="616" t="s">
        <v>12706</v>
      </c>
      <c r="B280" s="617" t="s">
        <v>13628</v>
      </c>
      <c r="C280" s="616" t="s">
        <v>8</v>
      </c>
      <c r="D280" s="616" t="s">
        <v>2961</v>
      </c>
      <c r="E280" s="809" t="s">
        <v>12734</v>
      </c>
      <c r="F280" s="810"/>
      <c r="G280" s="618" t="s">
        <v>20</v>
      </c>
      <c r="H280" s="619">
        <v>1</v>
      </c>
      <c r="I280" s="620">
        <v>11.65</v>
      </c>
      <c r="J280" s="620">
        <v>11.65</v>
      </c>
      <c r="K280"/>
    </row>
    <row r="281" spans="1:11" ht="36" customHeight="1">
      <c r="A281" s="621" t="s">
        <v>12708</v>
      </c>
      <c r="B281" s="622" t="s">
        <v>13238</v>
      </c>
      <c r="C281" s="621" t="s">
        <v>8</v>
      </c>
      <c r="D281" s="621" t="s">
        <v>2977</v>
      </c>
      <c r="E281" s="811" t="s">
        <v>12734</v>
      </c>
      <c r="F281" s="812"/>
      <c r="G281" s="623" t="s">
        <v>20</v>
      </c>
      <c r="H281" s="624">
        <v>1</v>
      </c>
      <c r="I281" s="625">
        <v>6.7</v>
      </c>
      <c r="J281" s="625">
        <v>6.7</v>
      </c>
      <c r="K281"/>
    </row>
    <row r="282" spans="1:11" ht="24" customHeight="1">
      <c r="A282" s="621" t="s">
        <v>12708</v>
      </c>
      <c r="B282" s="622" t="s">
        <v>13237</v>
      </c>
      <c r="C282" s="621" t="s">
        <v>8</v>
      </c>
      <c r="D282" s="621" t="s">
        <v>236</v>
      </c>
      <c r="E282" s="811" t="s">
        <v>12707</v>
      </c>
      <c r="F282" s="812"/>
      <c r="G282" s="623" t="s">
        <v>23</v>
      </c>
      <c r="H282" s="624">
        <v>3.6700000000000003E-2</v>
      </c>
      <c r="I282" s="625">
        <v>13.76</v>
      </c>
      <c r="J282" s="625">
        <v>0.5</v>
      </c>
      <c r="K282"/>
    </row>
    <row r="283" spans="1:11" ht="24" customHeight="1">
      <c r="A283" s="621" t="s">
        <v>12708</v>
      </c>
      <c r="B283" s="622" t="s">
        <v>13236</v>
      </c>
      <c r="C283" s="621" t="s">
        <v>8</v>
      </c>
      <c r="D283" s="621" t="s">
        <v>241</v>
      </c>
      <c r="E283" s="811" t="s">
        <v>12707</v>
      </c>
      <c r="F283" s="812"/>
      <c r="G283" s="623" t="s">
        <v>23</v>
      </c>
      <c r="H283" s="624">
        <v>0.22450000000000001</v>
      </c>
      <c r="I283" s="625">
        <v>17.68</v>
      </c>
      <c r="J283" s="625">
        <v>3.96</v>
      </c>
      <c r="K283"/>
    </row>
    <row r="284" spans="1:11" ht="24" customHeight="1">
      <c r="A284" s="626" t="s">
        <v>12709</v>
      </c>
      <c r="B284" s="627" t="s">
        <v>13311</v>
      </c>
      <c r="C284" s="626" t="s">
        <v>8</v>
      </c>
      <c r="D284" s="626" t="s">
        <v>7522</v>
      </c>
      <c r="E284" s="804" t="s">
        <v>12720</v>
      </c>
      <c r="F284" s="805"/>
      <c r="G284" s="628" t="s">
        <v>20</v>
      </c>
      <c r="H284" s="629">
        <v>2.5000000000000001E-2</v>
      </c>
      <c r="I284" s="630">
        <v>13.6</v>
      </c>
      <c r="J284" s="630">
        <v>0.34</v>
      </c>
      <c r="K284"/>
    </row>
    <row r="285" spans="1:11" ht="24" customHeight="1">
      <c r="A285" s="626" t="s">
        <v>12709</v>
      </c>
      <c r="B285" s="627" t="s">
        <v>13310</v>
      </c>
      <c r="C285" s="626" t="s">
        <v>8</v>
      </c>
      <c r="D285" s="626" t="s">
        <v>9265</v>
      </c>
      <c r="E285" s="804" t="s">
        <v>12720</v>
      </c>
      <c r="F285" s="805"/>
      <c r="G285" s="628" t="s">
        <v>35</v>
      </c>
      <c r="H285" s="629">
        <v>1.19</v>
      </c>
      <c r="I285" s="630">
        <v>0.13</v>
      </c>
      <c r="J285" s="630">
        <v>0.15</v>
      </c>
      <c r="K285"/>
    </row>
    <row r="286" spans="1:11" ht="24" customHeight="1">
      <c r="A286" s="631"/>
      <c r="B286" s="631"/>
      <c r="C286" s="631"/>
      <c r="D286" s="631"/>
      <c r="E286" s="631" t="s">
        <v>12714</v>
      </c>
      <c r="F286" s="632">
        <v>2.3191696399610771</v>
      </c>
      <c r="G286" s="631" t="s">
        <v>12715</v>
      </c>
      <c r="H286" s="632">
        <v>1.97</v>
      </c>
      <c r="I286" s="631" t="s">
        <v>12716</v>
      </c>
      <c r="J286" s="632">
        <v>4.29</v>
      </c>
      <c r="K286"/>
    </row>
    <row r="287" spans="1:11" ht="24" customHeight="1" thickBot="1">
      <c r="A287" s="631"/>
      <c r="B287" s="631"/>
      <c r="C287" s="631"/>
      <c r="D287" s="631"/>
      <c r="E287" s="631" t="s">
        <v>12717</v>
      </c>
      <c r="F287" s="632">
        <v>3.28</v>
      </c>
      <c r="G287" s="631"/>
      <c r="H287" s="806" t="s">
        <v>12718</v>
      </c>
      <c r="I287" s="806"/>
      <c r="J287" s="632">
        <v>14.93</v>
      </c>
      <c r="K287"/>
    </row>
    <row r="288" spans="1:11" ht="24" customHeight="1" thickTop="1">
      <c r="A288" s="633"/>
      <c r="B288" s="633"/>
      <c r="C288" s="633"/>
      <c r="D288" s="633"/>
      <c r="E288" s="633"/>
      <c r="F288" s="633"/>
      <c r="G288" s="633"/>
      <c r="H288" s="633"/>
      <c r="I288" s="633"/>
      <c r="J288" s="633"/>
      <c r="K288"/>
    </row>
    <row r="289" spans="1:11" ht="24" customHeight="1">
      <c r="A289" s="613" t="s">
        <v>12761</v>
      </c>
      <c r="B289" s="614" t="s">
        <v>12698</v>
      </c>
      <c r="C289" s="613" t="s">
        <v>12699</v>
      </c>
      <c r="D289" s="613" t="s">
        <v>12700</v>
      </c>
      <c r="E289" s="807" t="s">
        <v>12701</v>
      </c>
      <c r="F289" s="808"/>
      <c r="G289" s="615" t="s">
        <v>12702</v>
      </c>
      <c r="H289" s="614" t="s">
        <v>12703</v>
      </c>
      <c r="I289" s="614" t="s">
        <v>12704</v>
      </c>
      <c r="J289" s="614" t="s">
        <v>12705</v>
      </c>
      <c r="K289"/>
    </row>
    <row r="290" spans="1:11" ht="25.5" customHeight="1">
      <c r="A290" s="616" t="s">
        <v>12706</v>
      </c>
      <c r="B290" s="617" t="s">
        <v>13627</v>
      </c>
      <c r="C290" s="616" t="s">
        <v>8</v>
      </c>
      <c r="D290" s="616" t="s">
        <v>4001</v>
      </c>
      <c r="E290" s="809" t="s">
        <v>12734</v>
      </c>
      <c r="F290" s="810"/>
      <c r="G290" s="618" t="s">
        <v>12725</v>
      </c>
      <c r="H290" s="619">
        <v>1</v>
      </c>
      <c r="I290" s="620">
        <v>88.14</v>
      </c>
      <c r="J290" s="620">
        <v>88.14</v>
      </c>
      <c r="K290"/>
    </row>
    <row r="291" spans="1:11" ht="15" customHeight="1">
      <c r="A291" s="621" t="s">
        <v>12708</v>
      </c>
      <c r="B291" s="622" t="s">
        <v>13061</v>
      </c>
      <c r="C291" s="621" t="s">
        <v>8</v>
      </c>
      <c r="D291" s="621" t="s">
        <v>2467</v>
      </c>
      <c r="E291" s="811" t="s">
        <v>12726</v>
      </c>
      <c r="F291" s="812"/>
      <c r="G291" s="623" t="s">
        <v>44</v>
      </c>
      <c r="H291" s="624">
        <v>7.9000000000000001E-2</v>
      </c>
      <c r="I291" s="625">
        <v>16.2</v>
      </c>
      <c r="J291" s="625">
        <v>1.27</v>
      </c>
      <c r="K291"/>
    </row>
    <row r="292" spans="1:11" ht="0.95" customHeight="1">
      <c r="A292" s="621" t="s">
        <v>12708</v>
      </c>
      <c r="B292" s="622" t="s">
        <v>13062</v>
      </c>
      <c r="C292" s="621" t="s">
        <v>8</v>
      </c>
      <c r="D292" s="621" t="s">
        <v>2468</v>
      </c>
      <c r="E292" s="811" t="s">
        <v>12726</v>
      </c>
      <c r="F292" s="812"/>
      <c r="G292" s="623" t="s">
        <v>61</v>
      </c>
      <c r="H292" s="624">
        <v>3.9E-2</v>
      </c>
      <c r="I292" s="625">
        <v>13.58</v>
      </c>
      <c r="J292" s="625">
        <v>0.52</v>
      </c>
      <c r="K292"/>
    </row>
    <row r="293" spans="1:11" ht="18" customHeight="1">
      <c r="A293" s="621" t="s">
        <v>12708</v>
      </c>
      <c r="B293" s="622" t="s">
        <v>13095</v>
      </c>
      <c r="C293" s="621" t="s">
        <v>8</v>
      </c>
      <c r="D293" s="621" t="s">
        <v>45</v>
      </c>
      <c r="E293" s="811" t="s">
        <v>12707</v>
      </c>
      <c r="F293" s="812"/>
      <c r="G293" s="623" t="s">
        <v>23</v>
      </c>
      <c r="H293" s="624">
        <v>1.0860000000000001</v>
      </c>
      <c r="I293" s="625">
        <v>14.91</v>
      </c>
      <c r="J293" s="625">
        <v>16.190000000000001</v>
      </c>
      <c r="K293"/>
    </row>
    <row r="294" spans="1:11" ht="24" customHeight="1">
      <c r="A294" s="621" t="s">
        <v>12708</v>
      </c>
      <c r="B294" s="622" t="s">
        <v>13191</v>
      </c>
      <c r="C294" s="621" t="s">
        <v>8</v>
      </c>
      <c r="D294" s="621" t="s">
        <v>46</v>
      </c>
      <c r="E294" s="811" t="s">
        <v>12707</v>
      </c>
      <c r="F294" s="812"/>
      <c r="G294" s="623" t="s">
        <v>23</v>
      </c>
      <c r="H294" s="624">
        <v>2.7690000000000001</v>
      </c>
      <c r="I294" s="625">
        <v>17.64</v>
      </c>
      <c r="J294" s="625">
        <v>48.84</v>
      </c>
      <c r="K294"/>
    </row>
    <row r="295" spans="1:11" ht="24" customHeight="1">
      <c r="A295" s="626" t="s">
        <v>12709</v>
      </c>
      <c r="B295" s="627" t="s">
        <v>13093</v>
      </c>
      <c r="C295" s="626" t="s">
        <v>8</v>
      </c>
      <c r="D295" s="626" t="s">
        <v>8980</v>
      </c>
      <c r="E295" s="804" t="s">
        <v>12720</v>
      </c>
      <c r="F295" s="805"/>
      <c r="G295" s="628" t="s">
        <v>58</v>
      </c>
      <c r="H295" s="629">
        <v>1.7000000000000001E-2</v>
      </c>
      <c r="I295" s="630">
        <v>4.84</v>
      </c>
      <c r="J295" s="630">
        <v>0.08</v>
      </c>
      <c r="K295"/>
    </row>
    <row r="296" spans="1:11" ht="24" customHeight="1">
      <c r="A296" s="626" t="s">
        <v>12709</v>
      </c>
      <c r="B296" s="627" t="s">
        <v>13613</v>
      </c>
      <c r="C296" s="626" t="s">
        <v>8</v>
      </c>
      <c r="D296" s="626" t="s">
        <v>11000</v>
      </c>
      <c r="E296" s="804" t="s">
        <v>12720</v>
      </c>
      <c r="F296" s="805"/>
      <c r="G296" s="628" t="s">
        <v>20</v>
      </c>
      <c r="H296" s="629">
        <v>0.01</v>
      </c>
      <c r="I296" s="630">
        <v>13.8</v>
      </c>
      <c r="J296" s="630">
        <v>0.13</v>
      </c>
      <c r="K296"/>
    </row>
    <row r="297" spans="1:11" ht="48" customHeight="1">
      <c r="A297" s="626" t="s">
        <v>12709</v>
      </c>
      <c r="B297" s="627" t="s">
        <v>13626</v>
      </c>
      <c r="C297" s="626" t="s">
        <v>8</v>
      </c>
      <c r="D297" s="626" t="s">
        <v>11006</v>
      </c>
      <c r="E297" s="804" t="s">
        <v>12720</v>
      </c>
      <c r="F297" s="805"/>
      <c r="G297" s="628" t="s">
        <v>20</v>
      </c>
      <c r="H297" s="629">
        <v>1.6E-2</v>
      </c>
      <c r="I297" s="630">
        <v>12.52</v>
      </c>
      <c r="J297" s="630">
        <v>0.2</v>
      </c>
      <c r="K297"/>
    </row>
    <row r="298" spans="1:11">
      <c r="A298" s="626" t="s">
        <v>12709</v>
      </c>
      <c r="B298" s="627" t="s">
        <v>13617</v>
      </c>
      <c r="C298" s="626" t="s">
        <v>8</v>
      </c>
      <c r="D298" s="626" t="s">
        <v>11010</v>
      </c>
      <c r="E298" s="804" t="s">
        <v>12720</v>
      </c>
      <c r="F298" s="805"/>
      <c r="G298" s="628" t="s">
        <v>20</v>
      </c>
      <c r="H298" s="629">
        <v>4.7E-2</v>
      </c>
      <c r="I298" s="630">
        <v>11.39</v>
      </c>
      <c r="J298" s="630">
        <v>0.53</v>
      </c>
      <c r="K298"/>
    </row>
    <row r="299" spans="1:11" ht="15" customHeight="1">
      <c r="A299" s="626" t="s">
        <v>12709</v>
      </c>
      <c r="B299" s="627" t="s">
        <v>13091</v>
      </c>
      <c r="C299" s="626" t="s">
        <v>8</v>
      </c>
      <c r="D299" s="626" t="s">
        <v>11248</v>
      </c>
      <c r="E299" s="804" t="s">
        <v>12720</v>
      </c>
      <c r="F299" s="805"/>
      <c r="G299" s="628" t="s">
        <v>17</v>
      </c>
      <c r="H299" s="629">
        <v>4.6120000000000001</v>
      </c>
      <c r="I299" s="630">
        <v>2</v>
      </c>
      <c r="J299" s="630">
        <v>9.2200000000000006</v>
      </c>
      <c r="K299"/>
    </row>
    <row r="300" spans="1:11" ht="0.95" customHeight="1">
      <c r="A300" s="626" t="s">
        <v>12709</v>
      </c>
      <c r="B300" s="627" t="s">
        <v>13189</v>
      </c>
      <c r="C300" s="626" t="s">
        <v>8</v>
      </c>
      <c r="D300" s="626" t="s">
        <v>11363</v>
      </c>
      <c r="E300" s="804" t="s">
        <v>12720</v>
      </c>
      <c r="F300" s="805"/>
      <c r="G300" s="628" t="s">
        <v>17</v>
      </c>
      <c r="H300" s="629">
        <v>1.278</v>
      </c>
      <c r="I300" s="630">
        <v>8.74</v>
      </c>
      <c r="J300" s="630">
        <v>11.16</v>
      </c>
      <c r="K300"/>
    </row>
    <row r="301" spans="1:11" ht="18" customHeight="1">
      <c r="A301" s="631"/>
      <c r="B301" s="631"/>
      <c r="C301" s="631"/>
      <c r="D301" s="631"/>
      <c r="E301" s="631" t="s">
        <v>12714</v>
      </c>
      <c r="F301" s="632">
        <v>25.856849389123148</v>
      </c>
      <c r="G301" s="631" t="s">
        <v>12715</v>
      </c>
      <c r="H301" s="632">
        <v>21.97</v>
      </c>
      <c r="I301" s="631" t="s">
        <v>12716</v>
      </c>
      <c r="J301" s="632">
        <v>47.83</v>
      </c>
      <c r="K301"/>
    </row>
    <row r="302" spans="1:11" ht="24" customHeight="1" thickBot="1">
      <c r="A302" s="631"/>
      <c r="B302" s="631"/>
      <c r="C302" s="631"/>
      <c r="D302" s="631"/>
      <c r="E302" s="631" t="s">
        <v>12717</v>
      </c>
      <c r="F302" s="632">
        <v>24.89</v>
      </c>
      <c r="G302" s="631"/>
      <c r="H302" s="806" t="s">
        <v>12718</v>
      </c>
      <c r="I302" s="806"/>
      <c r="J302" s="632">
        <v>113.03</v>
      </c>
      <c r="K302"/>
    </row>
    <row r="303" spans="1:11" ht="36" customHeight="1" thickTop="1">
      <c r="A303" s="633"/>
      <c r="B303" s="633"/>
      <c r="C303" s="633"/>
      <c r="D303" s="633"/>
      <c r="E303" s="633"/>
      <c r="F303" s="633"/>
      <c r="G303" s="633"/>
      <c r="H303" s="633"/>
      <c r="I303" s="633"/>
      <c r="J303" s="633"/>
      <c r="K303"/>
    </row>
    <row r="304" spans="1:11" ht="36" customHeight="1">
      <c r="A304" s="613" t="s">
        <v>12762</v>
      </c>
      <c r="B304" s="614" t="s">
        <v>12698</v>
      </c>
      <c r="C304" s="613" t="s">
        <v>12699</v>
      </c>
      <c r="D304" s="613" t="s">
        <v>12700</v>
      </c>
      <c r="E304" s="807" t="s">
        <v>12701</v>
      </c>
      <c r="F304" s="808"/>
      <c r="G304" s="615" t="s">
        <v>12702</v>
      </c>
      <c r="H304" s="614" t="s">
        <v>12703</v>
      </c>
      <c r="I304" s="614" t="s">
        <v>12704</v>
      </c>
      <c r="J304" s="614" t="s">
        <v>12705</v>
      </c>
      <c r="K304"/>
    </row>
    <row r="305" spans="1:11" ht="24" customHeight="1">
      <c r="A305" s="616" t="s">
        <v>12706</v>
      </c>
      <c r="B305" s="617" t="s">
        <v>13625</v>
      </c>
      <c r="C305" s="616" t="s">
        <v>8</v>
      </c>
      <c r="D305" s="616" t="s">
        <v>4874</v>
      </c>
      <c r="E305" s="809" t="s">
        <v>12763</v>
      </c>
      <c r="F305" s="810"/>
      <c r="G305" s="618" t="s">
        <v>12725</v>
      </c>
      <c r="H305" s="619">
        <v>1</v>
      </c>
      <c r="I305" s="620">
        <v>23.61</v>
      </c>
      <c r="J305" s="620">
        <v>23.61</v>
      </c>
      <c r="K305"/>
    </row>
    <row r="306" spans="1:11" ht="24" customHeight="1">
      <c r="A306" s="621" t="s">
        <v>12708</v>
      </c>
      <c r="B306" s="622" t="s">
        <v>13331</v>
      </c>
      <c r="C306" s="621" t="s">
        <v>8</v>
      </c>
      <c r="D306" s="621" t="s">
        <v>240</v>
      </c>
      <c r="E306" s="811" t="s">
        <v>12707</v>
      </c>
      <c r="F306" s="812"/>
      <c r="G306" s="623" t="s">
        <v>23</v>
      </c>
      <c r="H306" s="624">
        <v>8.5000000000000006E-2</v>
      </c>
      <c r="I306" s="625">
        <v>17.149999999999999</v>
      </c>
      <c r="J306" s="625">
        <v>1.45</v>
      </c>
      <c r="K306"/>
    </row>
    <row r="307" spans="1:11" ht="25.5">
      <c r="A307" s="621" t="s">
        <v>12708</v>
      </c>
      <c r="B307" s="622" t="s">
        <v>13172</v>
      </c>
      <c r="C307" s="621" t="s">
        <v>8</v>
      </c>
      <c r="D307" s="621" t="s">
        <v>256</v>
      </c>
      <c r="E307" s="811" t="s">
        <v>12707</v>
      </c>
      <c r="F307" s="812"/>
      <c r="G307" s="623" t="s">
        <v>23</v>
      </c>
      <c r="H307" s="624">
        <v>0.42199999999999999</v>
      </c>
      <c r="I307" s="625">
        <v>18.52</v>
      </c>
      <c r="J307" s="625">
        <v>7.81</v>
      </c>
      <c r="K307"/>
    </row>
    <row r="308" spans="1:11" ht="15" customHeight="1">
      <c r="A308" s="626" t="s">
        <v>12709</v>
      </c>
      <c r="B308" s="627" t="s">
        <v>13624</v>
      </c>
      <c r="C308" s="626" t="s">
        <v>8</v>
      </c>
      <c r="D308" s="626" t="s">
        <v>10338</v>
      </c>
      <c r="E308" s="804" t="s">
        <v>12720</v>
      </c>
      <c r="F308" s="805"/>
      <c r="G308" s="628" t="s">
        <v>20</v>
      </c>
      <c r="H308" s="629">
        <v>1.5</v>
      </c>
      <c r="I308" s="630">
        <v>9.57</v>
      </c>
      <c r="J308" s="630">
        <v>14.35</v>
      </c>
      <c r="K308"/>
    </row>
    <row r="309" spans="1:11" ht="0.95" customHeight="1">
      <c r="A309" s="631"/>
      <c r="B309" s="631"/>
      <c r="C309" s="631"/>
      <c r="D309" s="631"/>
      <c r="E309" s="631" t="s">
        <v>12714</v>
      </c>
      <c r="F309" s="632">
        <v>3.697697048329549</v>
      </c>
      <c r="G309" s="631" t="s">
        <v>12715</v>
      </c>
      <c r="H309" s="632">
        <v>3.14</v>
      </c>
      <c r="I309" s="631" t="s">
        <v>12716</v>
      </c>
      <c r="J309" s="632">
        <v>6.84</v>
      </c>
      <c r="K309"/>
    </row>
    <row r="310" spans="1:11" ht="18" customHeight="1" thickBot="1">
      <c r="A310" s="631"/>
      <c r="B310" s="631"/>
      <c r="C310" s="631"/>
      <c r="D310" s="631"/>
      <c r="E310" s="631" t="s">
        <v>12717</v>
      </c>
      <c r="F310" s="632">
        <v>6.66</v>
      </c>
      <c r="G310" s="631"/>
      <c r="H310" s="806" t="s">
        <v>12718</v>
      </c>
      <c r="I310" s="806"/>
      <c r="J310" s="632">
        <v>30.27</v>
      </c>
      <c r="K310"/>
    </row>
    <row r="311" spans="1:11" ht="36" customHeight="1" thickTop="1">
      <c r="A311" s="633"/>
      <c r="B311" s="633"/>
      <c r="C311" s="633"/>
      <c r="D311" s="633"/>
      <c r="E311" s="633"/>
      <c r="F311" s="633"/>
      <c r="G311" s="633"/>
      <c r="H311" s="633"/>
      <c r="I311" s="633"/>
      <c r="J311" s="633"/>
      <c r="K311"/>
    </row>
    <row r="312" spans="1:11" ht="48" customHeight="1">
      <c r="A312" s="613" t="s">
        <v>12764</v>
      </c>
      <c r="B312" s="614" t="s">
        <v>12698</v>
      </c>
      <c r="C312" s="613" t="s">
        <v>12699</v>
      </c>
      <c r="D312" s="613" t="s">
        <v>12700</v>
      </c>
      <c r="E312" s="807" t="s">
        <v>12701</v>
      </c>
      <c r="F312" s="808"/>
      <c r="G312" s="615" t="s">
        <v>12702</v>
      </c>
      <c r="H312" s="614" t="s">
        <v>12703</v>
      </c>
      <c r="I312" s="614" t="s">
        <v>12704</v>
      </c>
      <c r="J312" s="614" t="s">
        <v>12705</v>
      </c>
      <c r="K312"/>
    </row>
    <row r="313" spans="1:11" ht="48" customHeight="1">
      <c r="A313" s="616" t="s">
        <v>12706</v>
      </c>
      <c r="B313" s="617" t="s">
        <v>13623</v>
      </c>
      <c r="C313" s="616" t="s">
        <v>8</v>
      </c>
      <c r="D313" s="616" t="s">
        <v>681</v>
      </c>
      <c r="E313" s="809" t="s">
        <v>12729</v>
      </c>
      <c r="F313" s="810"/>
      <c r="G313" s="618" t="s">
        <v>12730</v>
      </c>
      <c r="H313" s="619">
        <v>1</v>
      </c>
      <c r="I313" s="620">
        <v>19.22</v>
      </c>
      <c r="J313" s="620">
        <v>19.22</v>
      </c>
      <c r="K313"/>
    </row>
    <row r="314" spans="1:11" ht="25.5" customHeight="1">
      <c r="A314" s="621" t="s">
        <v>12708</v>
      </c>
      <c r="B314" s="622" t="s">
        <v>13155</v>
      </c>
      <c r="C314" s="621" t="s">
        <v>8</v>
      </c>
      <c r="D314" s="621" t="s">
        <v>2447</v>
      </c>
      <c r="E314" s="811" t="s">
        <v>12726</v>
      </c>
      <c r="F314" s="812"/>
      <c r="G314" s="623" t="s">
        <v>44</v>
      </c>
      <c r="H314" s="624">
        <v>0.27400000000000002</v>
      </c>
      <c r="I314" s="625">
        <v>18.739999999999998</v>
      </c>
      <c r="J314" s="625">
        <v>5.13</v>
      </c>
      <c r="K314"/>
    </row>
    <row r="315" spans="1:11" ht="15" customHeight="1">
      <c r="A315" s="621" t="s">
        <v>12708</v>
      </c>
      <c r="B315" s="622" t="s">
        <v>13154</v>
      </c>
      <c r="C315" s="621" t="s">
        <v>8</v>
      </c>
      <c r="D315" s="621" t="s">
        <v>2448</v>
      </c>
      <c r="E315" s="811" t="s">
        <v>12726</v>
      </c>
      <c r="F315" s="812"/>
      <c r="G315" s="623" t="s">
        <v>61</v>
      </c>
      <c r="H315" s="624">
        <v>0.254</v>
      </c>
      <c r="I315" s="625">
        <v>14.15</v>
      </c>
      <c r="J315" s="625">
        <v>3.59</v>
      </c>
      <c r="K315"/>
    </row>
    <row r="316" spans="1:11" ht="0.95" customHeight="1">
      <c r="A316" s="621" t="s">
        <v>12708</v>
      </c>
      <c r="B316" s="622" t="s">
        <v>12997</v>
      </c>
      <c r="C316" s="621" t="s">
        <v>8</v>
      </c>
      <c r="D316" s="621" t="s">
        <v>3761</v>
      </c>
      <c r="E316" s="811" t="s">
        <v>12729</v>
      </c>
      <c r="F316" s="812"/>
      <c r="G316" s="623" t="s">
        <v>12730</v>
      </c>
      <c r="H316" s="624">
        <v>1</v>
      </c>
      <c r="I316" s="625">
        <v>1.1599999999999999</v>
      </c>
      <c r="J316" s="625">
        <v>1.1599999999999999</v>
      </c>
      <c r="K316"/>
    </row>
    <row r="317" spans="1:11" ht="18" customHeight="1">
      <c r="A317" s="621" t="s">
        <v>12708</v>
      </c>
      <c r="B317" s="622" t="s">
        <v>12727</v>
      </c>
      <c r="C317" s="621" t="s">
        <v>8</v>
      </c>
      <c r="D317" s="621" t="s">
        <v>26</v>
      </c>
      <c r="E317" s="811" t="s">
        <v>12707</v>
      </c>
      <c r="F317" s="812"/>
      <c r="G317" s="623" t="s">
        <v>23</v>
      </c>
      <c r="H317" s="624">
        <v>0.65</v>
      </c>
      <c r="I317" s="625">
        <v>14.37</v>
      </c>
      <c r="J317" s="625">
        <v>9.34</v>
      </c>
      <c r="K317"/>
    </row>
    <row r="318" spans="1:11" ht="24" customHeight="1">
      <c r="A318" s="631"/>
      <c r="B318" s="631"/>
      <c r="C318" s="631"/>
      <c r="D318" s="631"/>
      <c r="E318" s="631" t="s">
        <v>12714</v>
      </c>
      <c r="F318" s="632">
        <v>6.1844523732295382</v>
      </c>
      <c r="G318" s="631" t="s">
        <v>12715</v>
      </c>
      <c r="H318" s="632">
        <v>5.26</v>
      </c>
      <c r="I318" s="631" t="s">
        <v>12716</v>
      </c>
      <c r="J318" s="632">
        <v>11.44</v>
      </c>
      <c r="K318"/>
    </row>
    <row r="319" spans="1:11" ht="24" customHeight="1" thickBot="1">
      <c r="A319" s="631"/>
      <c r="B319" s="631"/>
      <c r="C319" s="631"/>
      <c r="D319" s="631"/>
      <c r="E319" s="631" t="s">
        <v>12717</v>
      </c>
      <c r="F319" s="632">
        <v>5.42</v>
      </c>
      <c r="G319" s="631"/>
      <c r="H319" s="806" t="s">
        <v>12718</v>
      </c>
      <c r="I319" s="806"/>
      <c r="J319" s="632">
        <v>24.64</v>
      </c>
      <c r="K319"/>
    </row>
    <row r="320" spans="1:11" ht="24" customHeight="1" thickTop="1">
      <c r="A320" s="633"/>
      <c r="B320" s="633"/>
      <c r="C320" s="633"/>
      <c r="D320" s="633"/>
      <c r="E320" s="633"/>
      <c r="F320" s="633"/>
      <c r="G320" s="633"/>
      <c r="H320" s="633"/>
      <c r="I320" s="633"/>
      <c r="J320" s="633"/>
      <c r="K320"/>
    </row>
    <row r="321" spans="1:11" ht="15">
      <c r="A321" s="613" t="s">
        <v>12765</v>
      </c>
      <c r="B321" s="614" t="s">
        <v>12698</v>
      </c>
      <c r="C321" s="613" t="s">
        <v>12699</v>
      </c>
      <c r="D321" s="613" t="s">
        <v>12700</v>
      </c>
      <c r="E321" s="807" t="s">
        <v>12701</v>
      </c>
      <c r="F321" s="808"/>
      <c r="G321" s="615" t="s">
        <v>12702</v>
      </c>
      <c r="H321" s="614" t="s">
        <v>12703</v>
      </c>
      <c r="I321" s="614" t="s">
        <v>12704</v>
      </c>
      <c r="J321" s="614" t="s">
        <v>12705</v>
      </c>
      <c r="K321"/>
    </row>
    <row r="322" spans="1:11" ht="15" customHeight="1">
      <c r="A322" s="616" t="s">
        <v>12706</v>
      </c>
      <c r="B322" s="617" t="s">
        <v>13622</v>
      </c>
      <c r="C322" s="616" t="s">
        <v>8</v>
      </c>
      <c r="D322" s="616" t="s">
        <v>4682</v>
      </c>
      <c r="E322" s="809" t="s">
        <v>12729</v>
      </c>
      <c r="F322" s="810"/>
      <c r="G322" s="618" t="s">
        <v>140</v>
      </c>
      <c r="H322" s="619">
        <v>1</v>
      </c>
      <c r="I322" s="620">
        <v>1</v>
      </c>
      <c r="J322" s="620">
        <v>1</v>
      </c>
      <c r="K322"/>
    </row>
    <row r="323" spans="1:11" ht="0.95" customHeight="1">
      <c r="A323" s="621" t="s">
        <v>12708</v>
      </c>
      <c r="B323" s="622" t="s">
        <v>13294</v>
      </c>
      <c r="C323" s="621" t="s">
        <v>8</v>
      </c>
      <c r="D323" s="621" t="s">
        <v>1145</v>
      </c>
      <c r="E323" s="811" t="s">
        <v>12726</v>
      </c>
      <c r="F323" s="812"/>
      <c r="G323" s="623" t="s">
        <v>44</v>
      </c>
      <c r="H323" s="624">
        <v>9.6600000000000002E-3</v>
      </c>
      <c r="I323" s="625">
        <v>96.41</v>
      </c>
      <c r="J323" s="625">
        <v>0.93</v>
      </c>
      <c r="K323"/>
    </row>
    <row r="324" spans="1:11" ht="18" customHeight="1">
      <c r="A324" s="621" t="s">
        <v>12708</v>
      </c>
      <c r="B324" s="622" t="s">
        <v>13295</v>
      </c>
      <c r="C324" s="621" t="s">
        <v>8</v>
      </c>
      <c r="D324" s="621" t="s">
        <v>1146</v>
      </c>
      <c r="E324" s="811" t="s">
        <v>12726</v>
      </c>
      <c r="F324" s="812"/>
      <c r="G324" s="623" t="s">
        <v>61</v>
      </c>
      <c r="H324" s="624">
        <v>2.4199999999999998E-3</v>
      </c>
      <c r="I324" s="625">
        <v>29.12</v>
      </c>
      <c r="J324" s="625">
        <v>7.0000000000000007E-2</v>
      </c>
      <c r="K324"/>
    </row>
    <row r="325" spans="1:11" ht="24" customHeight="1">
      <c r="A325" s="631"/>
      <c r="B325" s="631"/>
      <c r="C325" s="631"/>
      <c r="D325" s="631"/>
      <c r="E325" s="631" t="s">
        <v>12714</v>
      </c>
      <c r="F325" s="632">
        <v>5.946588820413018E-2</v>
      </c>
      <c r="G325" s="631" t="s">
        <v>12715</v>
      </c>
      <c r="H325" s="632">
        <v>0.05</v>
      </c>
      <c r="I325" s="631" t="s">
        <v>12716</v>
      </c>
      <c r="J325" s="632">
        <v>0.11</v>
      </c>
      <c r="K325"/>
    </row>
    <row r="326" spans="1:11" ht="36" customHeight="1" thickBot="1">
      <c r="A326" s="631"/>
      <c r="B326" s="631"/>
      <c r="C326" s="631"/>
      <c r="D326" s="631"/>
      <c r="E326" s="631" t="s">
        <v>12717</v>
      </c>
      <c r="F326" s="632">
        <v>0.28000000000000003</v>
      </c>
      <c r="G326" s="631"/>
      <c r="H326" s="806" t="s">
        <v>12718</v>
      </c>
      <c r="I326" s="806"/>
      <c r="J326" s="632">
        <v>1.28</v>
      </c>
      <c r="K326"/>
    </row>
    <row r="327" spans="1:11" ht="24" customHeight="1" thickTop="1">
      <c r="A327" s="633"/>
      <c r="B327" s="633"/>
      <c r="C327" s="633"/>
      <c r="D327" s="633"/>
      <c r="E327" s="633"/>
      <c r="F327" s="633"/>
      <c r="G327" s="633"/>
      <c r="H327" s="633"/>
      <c r="I327" s="633"/>
      <c r="J327" s="633"/>
      <c r="K327"/>
    </row>
    <row r="328" spans="1:11" ht="24" customHeight="1">
      <c r="A328" s="613" t="s">
        <v>12766</v>
      </c>
      <c r="B328" s="614" t="s">
        <v>12698</v>
      </c>
      <c r="C328" s="613" t="s">
        <v>12699</v>
      </c>
      <c r="D328" s="613" t="s">
        <v>12700</v>
      </c>
      <c r="E328" s="807" t="s">
        <v>12701</v>
      </c>
      <c r="F328" s="808"/>
      <c r="G328" s="615" t="s">
        <v>12702</v>
      </c>
      <c r="H328" s="614" t="s">
        <v>12703</v>
      </c>
      <c r="I328" s="614" t="s">
        <v>12704</v>
      </c>
      <c r="J328" s="614" t="s">
        <v>12705</v>
      </c>
      <c r="K328"/>
    </row>
    <row r="329" spans="1:11" ht="24" customHeight="1">
      <c r="A329" s="616" t="s">
        <v>12706</v>
      </c>
      <c r="B329" s="617" t="s">
        <v>13621</v>
      </c>
      <c r="C329" s="616" t="s">
        <v>8</v>
      </c>
      <c r="D329" s="616" t="s">
        <v>3993</v>
      </c>
      <c r="E329" s="809" t="s">
        <v>12729</v>
      </c>
      <c r="F329" s="810"/>
      <c r="G329" s="618" t="s">
        <v>12730</v>
      </c>
      <c r="H329" s="619">
        <v>1</v>
      </c>
      <c r="I329" s="620">
        <v>85.37</v>
      </c>
      <c r="J329" s="620">
        <v>85.37</v>
      </c>
      <c r="K329"/>
    </row>
    <row r="330" spans="1:11" ht="36" customHeight="1">
      <c r="A330" s="621" t="s">
        <v>12708</v>
      </c>
      <c r="B330" s="622" t="s">
        <v>12745</v>
      </c>
      <c r="C330" s="621" t="s">
        <v>8</v>
      </c>
      <c r="D330" s="621" t="s">
        <v>47</v>
      </c>
      <c r="E330" s="811" t="s">
        <v>12707</v>
      </c>
      <c r="F330" s="812"/>
      <c r="G330" s="623" t="s">
        <v>23</v>
      </c>
      <c r="H330" s="624">
        <v>1.4590000000000001</v>
      </c>
      <c r="I330" s="625">
        <v>17.760000000000002</v>
      </c>
      <c r="J330" s="625">
        <v>25.91</v>
      </c>
      <c r="K330"/>
    </row>
    <row r="331" spans="1:11" ht="25.5">
      <c r="A331" s="621" t="s">
        <v>12708</v>
      </c>
      <c r="B331" s="622" t="s">
        <v>12727</v>
      </c>
      <c r="C331" s="621" t="s">
        <v>8</v>
      </c>
      <c r="D331" s="621" t="s">
        <v>26</v>
      </c>
      <c r="E331" s="811" t="s">
        <v>12707</v>
      </c>
      <c r="F331" s="812"/>
      <c r="G331" s="623" t="s">
        <v>23</v>
      </c>
      <c r="H331" s="624">
        <v>4.1379999999999999</v>
      </c>
      <c r="I331" s="625">
        <v>14.37</v>
      </c>
      <c r="J331" s="625">
        <v>59.46</v>
      </c>
      <c r="K331"/>
    </row>
    <row r="332" spans="1:11" ht="15" customHeight="1">
      <c r="A332" s="631"/>
      <c r="B332" s="631"/>
      <c r="C332" s="631"/>
      <c r="D332" s="631"/>
      <c r="E332" s="631" t="s">
        <v>12714</v>
      </c>
      <c r="F332" s="632">
        <v>31.792626229862687</v>
      </c>
      <c r="G332" s="631" t="s">
        <v>12715</v>
      </c>
      <c r="H332" s="632">
        <v>27.02</v>
      </c>
      <c r="I332" s="631" t="s">
        <v>12716</v>
      </c>
      <c r="J332" s="632">
        <v>58.81</v>
      </c>
      <c r="K332"/>
    </row>
    <row r="333" spans="1:11" ht="0.95" customHeight="1" thickBot="1">
      <c r="A333" s="631"/>
      <c r="B333" s="631"/>
      <c r="C333" s="631"/>
      <c r="D333" s="631"/>
      <c r="E333" s="631" t="s">
        <v>12717</v>
      </c>
      <c r="F333" s="632">
        <v>24.1</v>
      </c>
      <c r="G333" s="631"/>
      <c r="H333" s="806" t="s">
        <v>12718</v>
      </c>
      <c r="I333" s="806"/>
      <c r="J333" s="632">
        <v>109.47</v>
      </c>
      <c r="K333"/>
    </row>
    <row r="334" spans="1:11" ht="18" customHeight="1" thickTop="1">
      <c r="A334" s="633"/>
      <c r="B334" s="633"/>
      <c r="C334" s="633"/>
      <c r="D334" s="633"/>
      <c r="E334" s="633"/>
      <c r="F334" s="633"/>
      <c r="G334" s="633"/>
      <c r="H334" s="633"/>
      <c r="I334" s="633"/>
      <c r="J334" s="633"/>
      <c r="K334"/>
    </row>
    <row r="335" spans="1:11" ht="24" customHeight="1">
      <c r="A335" s="613" t="s">
        <v>12767</v>
      </c>
      <c r="B335" s="614" t="s">
        <v>12698</v>
      </c>
      <c r="C335" s="613" t="s">
        <v>12699</v>
      </c>
      <c r="D335" s="613" t="s">
        <v>12700</v>
      </c>
      <c r="E335" s="807" t="s">
        <v>12701</v>
      </c>
      <c r="F335" s="808"/>
      <c r="G335" s="615" t="s">
        <v>12702</v>
      </c>
      <c r="H335" s="614" t="s">
        <v>12703</v>
      </c>
      <c r="I335" s="614" t="s">
        <v>12704</v>
      </c>
      <c r="J335" s="614" t="s">
        <v>12705</v>
      </c>
      <c r="K335"/>
    </row>
    <row r="336" spans="1:11" ht="36" customHeight="1">
      <c r="A336" s="616" t="s">
        <v>12706</v>
      </c>
      <c r="B336" s="617" t="s">
        <v>13620</v>
      </c>
      <c r="C336" s="616" t="s">
        <v>8</v>
      </c>
      <c r="D336" s="616" t="s">
        <v>4009</v>
      </c>
      <c r="E336" s="809" t="s">
        <v>12734</v>
      </c>
      <c r="F336" s="810"/>
      <c r="G336" s="618" t="s">
        <v>20</v>
      </c>
      <c r="H336" s="619">
        <v>1</v>
      </c>
      <c r="I336" s="620">
        <v>11.59</v>
      </c>
      <c r="J336" s="620">
        <v>11.59</v>
      </c>
      <c r="K336"/>
    </row>
    <row r="337" spans="1:11" ht="24" customHeight="1">
      <c r="A337" s="621" t="s">
        <v>12708</v>
      </c>
      <c r="B337" s="622" t="s">
        <v>13238</v>
      </c>
      <c r="C337" s="621" t="s">
        <v>8</v>
      </c>
      <c r="D337" s="621" t="s">
        <v>2977</v>
      </c>
      <c r="E337" s="811" t="s">
        <v>12734</v>
      </c>
      <c r="F337" s="812"/>
      <c r="G337" s="623" t="s">
        <v>20</v>
      </c>
      <c r="H337" s="624">
        <v>1</v>
      </c>
      <c r="I337" s="625">
        <v>6.7</v>
      </c>
      <c r="J337" s="625">
        <v>6.7</v>
      </c>
      <c r="K337"/>
    </row>
    <row r="338" spans="1:11" ht="24" customHeight="1">
      <c r="A338" s="621" t="s">
        <v>12708</v>
      </c>
      <c r="B338" s="622" t="s">
        <v>13237</v>
      </c>
      <c r="C338" s="621" t="s">
        <v>8</v>
      </c>
      <c r="D338" s="621" t="s">
        <v>236</v>
      </c>
      <c r="E338" s="811" t="s">
        <v>12707</v>
      </c>
      <c r="F338" s="812"/>
      <c r="G338" s="623" t="s">
        <v>23</v>
      </c>
      <c r="H338" s="624">
        <v>6.3500000000000001E-2</v>
      </c>
      <c r="I338" s="625">
        <v>13.76</v>
      </c>
      <c r="J338" s="625">
        <v>0.87</v>
      </c>
      <c r="K338"/>
    </row>
    <row r="339" spans="1:11" ht="24" customHeight="1">
      <c r="A339" s="621" t="s">
        <v>12708</v>
      </c>
      <c r="B339" s="622" t="s">
        <v>13236</v>
      </c>
      <c r="C339" s="621" t="s">
        <v>8</v>
      </c>
      <c r="D339" s="621" t="s">
        <v>241</v>
      </c>
      <c r="E339" s="811" t="s">
        <v>12707</v>
      </c>
      <c r="F339" s="812"/>
      <c r="G339" s="623" t="s">
        <v>23</v>
      </c>
      <c r="H339" s="624">
        <v>0.19450000000000001</v>
      </c>
      <c r="I339" s="625">
        <v>17.68</v>
      </c>
      <c r="J339" s="625">
        <v>3.43</v>
      </c>
      <c r="K339"/>
    </row>
    <row r="340" spans="1:11" ht="36" customHeight="1">
      <c r="A340" s="626" t="s">
        <v>12709</v>
      </c>
      <c r="B340" s="627" t="s">
        <v>13311</v>
      </c>
      <c r="C340" s="626" t="s">
        <v>8</v>
      </c>
      <c r="D340" s="626" t="s">
        <v>7522</v>
      </c>
      <c r="E340" s="804" t="s">
        <v>12720</v>
      </c>
      <c r="F340" s="805"/>
      <c r="G340" s="628" t="s">
        <v>20</v>
      </c>
      <c r="H340" s="629">
        <v>2.5000000000000001E-2</v>
      </c>
      <c r="I340" s="630">
        <v>13.6</v>
      </c>
      <c r="J340" s="630">
        <v>0.34</v>
      </c>
      <c r="K340"/>
    </row>
    <row r="341" spans="1:11" ht="25.5">
      <c r="A341" s="626" t="s">
        <v>12709</v>
      </c>
      <c r="B341" s="627" t="s">
        <v>13310</v>
      </c>
      <c r="C341" s="626" t="s">
        <v>8</v>
      </c>
      <c r="D341" s="626" t="s">
        <v>9265</v>
      </c>
      <c r="E341" s="804" t="s">
        <v>12720</v>
      </c>
      <c r="F341" s="805"/>
      <c r="G341" s="628" t="s">
        <v>35</v>
      </c>
      <c r="H341" s="629">
        <v>1.9664999999999999</v>
      </c>
      <c r="I341" s="630">
        <v>0.13</v>
      </c>
      <c r="J341" s="630">
        <v>0.25</v>
      </c>
      <c r="K341"/>
    </row>
    <row r="342" spans="1:11" ht="15" customHeight="1">
      <c r="A342" s="631"/>
      <c r="B342" s="631"/>
      <c r="C342" s="631"/>
      <c r="D342" s="631"/>
      <c r="E342" s="631" t="s">
        <v>12714</v>
      </c>
      <c r="F342" s="632">
        <v>2.2380797924099904</v>
      </c>
      <c r="G342" s="631" t="s">
        <v>12715</v>
      </c>
      <c r="H342" s="632">
        <v>1.9</v>
      </c>
      <c r="I342" s="631" t="s">
        <v>12716</v>
      </c>
      <c r="J342" s="632">
        <v>4.1399999999999997</v>
      </c>
      <c r="K342"/>
    </row>
    <row r="343" spans="1:11" ht="0.95" customHeight="1" thickBot="1">
      <c r="A343" s="631"/>
      <c r="B343" s="631"/>
      <c r="C343" s="631"/>
      <c r="D343" s="631"/>
      <c r="E343" s="631" t="s">
        <v>12717</v>
      </c>
      <c r="F343" s="632">
        <v>3.27</v>
      </c>
      <c r="G343" s="631"/>
      <c r="H343" s="806" t="s">
        <v>12718</v>
      </c>
      <c r="I343" s="806"/>
      <c r="J343" s="632">
        <v>14.86</v>
      </c>
      <c r="K343"/>
    </row>
    <row r="344" spans="1:11" ht="18" customHeight="1" thickTop="1">
      <c r="A344" s="633"/>
      <c r="B344" s="633"/>
      <c r="C344" s="633"/>
      <c r="D344" s="633"/>
      <c r="E344" s="633"/>
      <c r="F344" s="633"/>
      <c r="G344" s="633"/>
      <c r="H344" s="633"/>
      <c r="I344" s="633"/>
      <c r="J344" s="633"/>
      <c r="K344"/>
    </row>
    <row r="345" spans="1:11" ht="36" customHeight="1">
      <c r="A345" s="613" t="s">
        <v>12768</v>
      </c>
      <c r="B345" s="614" t="s">
        <v>12698</v>
      </c>
      <c r="C345" s="613" t="s">
        <v>12699</v>
      </c>
      <c r="D345" s="613" t="s">
        <v>12700</v>
      </c>
      <c r="E345" s="807" t="s">
        <v>12701</v>
      </c>
      <c r="F345" s="808"/>
      <c r="G345" s="615" t="s">
        <v>12702</v>
      </c>
      <c r="H345" s="614" t="s">
        <v>12703</v>
      </c>
      <c r="I345" s="614" t="s">
        <v>12704</v>
      </c>
      <c r="J345" s="614" t="s">
        <v>12705</v>
      </c>
      <c r="K345"/>
    </row>
    <row r="346" spans="1:11" ht="36" customHeight="1">
      <c r="A346" s="616" t="s">
        <v>12706</v>
      </c>
      <c r="B346" s="617" t="s">
        <v>13619</v>
      </c>
      <c r="C346" s="616" t="s">
        <v>8</v>
      </c>
      <c r="D346" s="616" t="s">
        <v>4011</v>
      </c>
      <c r="E346" s="809" t="s">
        <v>12734</v>
      </c>
      <c r="F346" s="810"/>
      <c r="G346" s="618" t="s">
        <v>20</v>
      </c>
      <c r="H346" s="619">
        <v>1</v>
      </c>
      <c r="I346" s="620">
        <v>9.4700000000000006</v>
      </c>
      <c r="J346" s="620">
        <v>9.4700000000000006</v>
      </c>
      <c r="K346"/>
    </row>
    <row r="347" spans="1:11" ht="36" customHeight="1">
      <c r="A347" s="621" t="s">
        <v>12708</v>
      </c>
      <c r="B347" s="622" t="s">
        <v>13241</v>
      </c>
      <c r="C347" s="621" t="s">
        <v>8</v>
      </c>
      <c r="D347" s="621" t="s">
        <v>2979</v>
      </c>
      <c r="E347" s="811" t="s">
        <v>12734</v>
      </c>
      <c r="F347" s="812"/>
      <c r="G347" s="623" t="s">
        <v>20</v>
      </c>
      <c r="H347" s="624">
        <v>1</v>
      </c>
      <c r="I347" s="625">
        <v>6.49</v>
      </c>
      <c r="J347" s="625">
        <v>6.49</v>
      </c>
      <c r="K347"/>
    </row>
    <row r="348" spans="1:11" ht="24" customHeight="1">
      <c r="A348" s="621" t="s">
        <v>12708</v>
      </c>
      <c r="B348" s="622" t="s">
        <v>13237</v>
      </c>
      <c r="C348" s="621" t="s">
        <v>8</v>
      </c>
      <c r="D348" s="621" t="s">
        <v>236</v>
      </c>
      <c r="E348" s="811" t="s">
        <v>12707</v>
      </c>
      <c r="F348" s="812"/>
      <c r="G348" s="623" t="s">
        <v>23</v>
      </c>
      <c r="H348" s="624">
        <v>3.7499999999999999E-2</v>
      </c>
      <c r="I348" s="625">
        <v>13.76</v>
      </c>
      <c r="J348" s="625">
        <v>0.51</v>
      </c>
      <c r="K348"/>
    </row>
    <row r="349" spans="1:11" ht="24" customHeight="1">
      <c r="A349" s="621" t="s">
        <v>12708</v>
      </c>
      <c r="B349" s="622" t="s">
        <v>13236</v>
      </c>
      <c r="C349" s="621" t="s">
        <v>8</v>
      </c>
      <c r="D349" s="621" t="s">
        <v>241</v>
      </c>
      <c r="E349" s="811" t="s">
        <v>12707</v>
      </c>
      <c r="F349" s="812"/>
      <c r="G349" s="623" t="s">
        <v>23</v>
      </c>
      <c r="H349" s="624">
        <v>0.11550000000000001</v>
      </c>
      <c r="I349" s="625">
        <v>17.68</v>
      </c>
      <c r="J349" s="625">
        <v>2.04</v>
      </c>
      <c r="K349"/>
    </row>
    <row r="350" spans="1:11" ht="24" customHeight="1">
      <c r="A350" s="626" t="s">
        <v>12709</v>
      </c>
      <c r="B350" s="627" t="s">
        <v>13311</v>
      </c>
      <c r="C350" s="626" t="s">
        <v>8</v>
      </c>
      <c r="D350" s="626" t="s">
        <v>7522</v>
      </c>
      <c r="E350" s="804" t="s">
        <v>12720</v>
      </c>
      <c r="F350" s="805"/>
      <c r="G350" s="628" t="s">
        <v>20</v>
      </c>
      <c r="H350" s="629">
        <v>2.5000000000000001E-2</v>
      </c>
      <c r="I350" s="630">
        <v>13.6</v>
      </c>
      <c r="J350" s="630">
        <v>0.34</v>
      </c>
      <c r="K350"/>
    </row>
    <row r="351" spans="1:11" ht="24" customHeight="1">
      <c r="A351" s="626" t="s">
        <v>12709</v>
      </c>
      <c r="B351" s="627" t="s">
        <v>13310</v>
      </c>
      <c r="C351" s="626" t="s">
        <v>8</v>
      </c>
      <c r="D351" s="626" t="s">
        <v>9265</v>
      </c>
      <c r="E351" s="804" t="s">
        <v>12720</v>
      </c>
      <c r="F351" s="805"/>
      <c r="G351" s="628" t="s">
        <v>35</v>
      </c>
      <c r="H351" s="629">
        <v>0.72399999999999998</v>
      </c>
      <c r="I351" s="630">
        <v>0.13</v>
      </c>
      <c r="J351" s="630">
        <v>0.09</v>
      </c>
      <c r="K351"/>
    </row>
    <row r="352" spans="1:11" ht="24" customHeight="1">
      <c r="A352" s="631"/>
      <c r="B352" s="631"/>
      <c r="C352" s="631"/>
      <c r="D352" s="631"/>
      <c r="E352" s="631" t="s">
        <v>12714</v>
      </c>
      <c r="F352" s="632">
        <v>1.1406638555519515</v>
      </c>
      <c r="G352" s="631" t="s">
        <v>12715</v>
      </c>
      <c r="H352" s="632">
        <v>0.97</v>
      </c>
      <c r="I352" s="631" t="s">
        <v>12716</v>
      </c>
      <c r="J352" s="632">
        <v>2.11</v>
      </c>
      <c r="K352"/>
    </row>
    <row r="353" spans="1:11" ht="24" customHeight="1" thickBot="1">
      <c r="A353" s="631"/>
      <c r="B353" s="631"/>
      <c r="C353" s="631"/>
      <c r="D353" s="631"/>
      <c r="E353" s="631" t="s">
        <v>12717</v>
      </c>
      <c r="F353" s="632">
        <v>2.67</v>
      </c>
      <c r="G353" s="631"/>
      <c r="H353" s="806" t="s">
        <v>12718</v>
      </c>
      <c r="I353" s="806"/>
      <c r="J353" s="632">
        <v>12.14</v>
      </c>
      <c r="K353"/>
    </row>
    <row r="354" spans="1:11" ht="24" customHeight="1" thickTop="1">
      <c r="A354" s="633"/>
      <c r="B354" s="633"/>
      <c r="C354" s="633"/>
      <c r="D354" s="633"/>
      <c r="E354" s="633"/>
      <c r="F354" s="633"/>
      <c r="G354" s="633"/>
      <c r="H354" s="633"/>
      <c r="I354" s="633"/>
      <c r="J354" s="633"/>
      <c r="K354"/>
    </row>
    <row r="355" spans="1:11" ht="24" customHeight="1">
      <c r="A355" s="613" t="s">
        <v>12769</v>
      </c>
      <c r="B355" s="614" t="s">
        <v>12698</v>
      </c>
      <c r="C355" s="613" t="s">
        <v>12699</v>
      </c>
      <c r="D355" s="613" t="s">
        <v>12700</v>
      </c>
      <c r="E355" s="807" t="s">
        <v>12701</v>
      </c>
      <c r="F355" s="808"/>
      <c r="G355" s="615" t="s">
        <v>12702</v>
      </c>
      <c r="H355" s="614" t="s">
        <v>12703</v>
      </c>
      <c r="I355" s="614" t="s">
        <v>12704</v>
      </c>
      <c r="J355" s="614" t="s">
        <v>12705</v>
      </c>
      <c r="K355"/>
    </row>
    <row r="356" spans="1:11" ht="38.25">
      <c r="A356" s="616" t="s">
        <v>12706</v>
      </c>
      <c r="B356" s="617" t="s">
        <v>13618</v>
      </c>
      <c r="C356" s="616" t="s">
        <v>8</v>
      </c>
      <c r="D356" s="616" t="s">
        <v>4002</v>
      </c>
      <c r="E356" s="809" t="s">
        <v>12734</v>
      </c>
      <c r="F356" s="810"/>
      <c r="G356" s="618" t="s">
        <v>12725</v>
      </c>
      <c r="H356" s="619">
        <v>1</v>
      </c>
      <c r="I356" s="620">
        <v>41.79</v>
      </c>
      <c r="J356" s="620">
        <v>41.79</v>
      </c>
      <c r="K356"/>
    </row>
    <row r="357" spans="1:11" ht="15" customHeight="1">
      <c r="A357" s="621" t="s">
        <v>12708</v>
      </c>
      <c r="B357" s="622" t="s">
        <v>13061</v>
      </c>
      <c r="C357" s="621" t="s">
        <v>8</v>
      </c>
      <c r="D357" s="621" t="s">
        <v>2467</v>
      </c>
      <c r="E357" s="811" t="s">
        <v>12726</v>
      </c>
      <c r="F357" s="812"/>
      <c r="G357" s="623" t="s">
        <v>44</v>
      </c>
      <c r="H357" s="624">
        <v>1.7000000000000001E-2</v>
      </c>
      <c r="I357" s="625">
        <v>16.2</v>
      </c>
      <c r="J357" s="625">
        <v>0.27</v>
      </c>
      <c r="K357"/>
    </row>
    <row r="358" spans="1:11" ht="0.95" customHeight="1">
      <c r="A358" s="621" t="s">
        <v>12708</v>
      </c>
      <c r="B358" s="622" t="s">
        <v>13062</v>
      </c>
      <c r="C358" s="621" t="s">
        <v>8</v>
      </c>
      <c r="D358" s="621" t="s">
        <v>2468</v>
      </c>
      <c r="E358" s="811" t="s">
        <v>12726</v>
      </c>
      <c r="F358" s="812"/>
      <c r="G358" s="623" t="s">
        <v>61</v>
      </c>
      <c r="H358" s="624">
        <v>1.4E-2</v>
      </c>
      <c r="I358" s="625">
        <v>13.58</v>
      </c>
      <c r="J358" s="625">
        <v>0.19</v>
      </c>
      <c r="K358"/>
    </row>
    <row r="359" spans="1:11" ht="18" customHeight="1">
      <c r="A359" s="621" t="s">
        <v>12708</v>
      </c>
      <c r="B359" s="622" t="s">
        <v>13095</v>
      </c>
      <c r="C359" s="621" t="s">
        <v>8</v>
      </c>
      <c r="D359" s="621" t="s">
        <v>45</v>
      </c>
      <c r="E359" s="811" t="s">
        <v>12707</v>
      </c>
      <c r="F359" s="812"/>
      <c r="G359" s="623" t="s">
        <v>23</v>
      </c>
      <c r="H359" s="624">
        <v>0.47099999999999997</v>
      </c>
      <c r="I359" s="625">
        <v>14.91</v>
      </c>
      <c r="J359" s="625">
        <v>7.02</v>
      </c>
      <c r="K359"/>
    </row>
    <row r="360" spans="1:11" ht="48" customHeight="1">
      <c r="A360" s="621" t="s">
        <v>12708</v>
      </c>
      <c r="B360" s="622" t="s">
        <v>13191</v>
      </c>
      <c r="C360" s="621" t="s">
        <v>8</v>
      </c>
      <c r="D360" s="621" t="s">
        <v>46</v>
      </c>
      <c r="E360" s="811" t="s">
        <v>12707</v>
      </c>
      <c r="F360" s="812"/>
      <c r="G360" s="623" t="s">
        <v>23</v>
      </c>
      <c r="H360" s="624">
        <v>1.145</v>
      </c>
      <c r="I360" s="625">
        <v>17.64</v>
      </c>
      <c r="J360" s="625">
        <v>20.190000000000001</v>
      </c>
      <c r="K360"/>
    </row>
    <row r="361" spans="1:11" ht="24" customHeight="1">
      <c r="A361" s="626" t="s">
        <v>12709</v>
      </c>
      <c r="B361" s="627" t="s">
        <v>13093</v>
      </c>
      <c r="C361" s="626" t="s">
        <v>8</v>
      </c>
      <c r="D361" s="626" t="s">
        <v>8980</v>
      </c>
      <c r="E361" s="804" t="s">
        <v>12720</v>
      </c>
      <c r="F361" s="805"/>
      <c r="G361" s="628" t="s">
        <v>58</v>
      </c>
      <c r="H361" s="629">
        <v>1.7000000000000001E-2</v>
      </c>
      <c r="I361" s="630">
        <v>4.84</v>
      </c>
      <c r="J361" s="630">
        <v>0.08</v>
      </c>
      <c r="K361"/>
    </row>
    <row r="362" spans="1:11" ht="24" customHeight="1">
      <c r="A362" s="626" t="s">
        <v>12709</v>
      </c>
      <c r="B362" s="627" t="s">
        <v>13194</v>
      </c>
      <c r="C362" s="626" t="s">
        <v>8</v>
      </c>
      <c r="D362" s="626" t="s">
        <v>10900</v>
      </c>
      <c r="E362" s="804" t="s">
        <v>12720</v>
      </c>
      <c r="F362" s="805"/>
      <c r="G362" s="628" t="s">
        <v>17</v>
      </c>
      <c r="H362" s="629">
        <v>0.60499999999999998</v>
      </c>
      <c r="I362" s="630">
        <v>5.56</v>
      </c>
      <c r="J362" s="630">
        <v>3.36</v>
      </c>
      <c r="K362"/>
    </row>
    <row r="363" spans="1:11" ht="24" customHeight="1">
      <c r="A363" s="626" t="s">
        <v>12709</v>
      </c>
      <c r="B363" s="627" t="s">
        <v>13613</v>
      </c>
      <c r="C363" s="626" t="s">
        <v>8</v>
      </c>
      <c r="D363" s="626" t="s">
        <v>11000</v>
      </c>
      <c r="E363" s="804" t="s">
        <v>12720</v>
      </c>
      <c r="F363" s="805"/>
      <c r="G363" s="628" t="s">
        <v>20</v>
      </c>
      <c r="H363" s="629">
        <v>3.4000000000000002E-2</v>
      </c>
      <c r="I363" s="630">
        <v>13.8</v>
      </c>
      <c r="J363" s="630">
        <v>0.46</v>
      </c>
      <c r="K363"/>
    </row>
    <row r="364" spans="1:11" ht="24" customHeight="1">
      <c r="A364" s="626" t="s">
        <v>12709</v>
      </c>
      <c r="B364" s="627" t="s">
        <v>13617</v>
      </c>
      <c r="C364" s="626" t="s">
        <v>8</v>
      </c>
      <c r="D364" s="626" t="s">
        <v>11010</v>
      </c>
      <c r="E364" s="804" t="s">
        <v>12720</v>
      </c>
      <c r="F364" s="805"/>
      <c r="G364" s="628" t="s">
        <v>20</v>
      </c>
      <c r="H364" s="629">
        <v>2.5999999999999999E-2</v>
      </c>
      <c r="I364" s="630">
        <v>11.39</v>
      </c>
      <c r="J364" s="630">
        <v>0.28999999999999998</v>
      </c>
      <c r="K364"/>
    </row>
    <row r="365" spans="1:11" ht="24" customHeight="1">
      <c r="A365" s="626" t="s">
        <v>12709</v>
      </c>
      <c r="B365" s="627" t="s">
        <v>13091</v>
      </c>
      <c r="C365" s="626" t="s">
        <v>8</v>
      </c>
      <c r="D365" s="626" t="s">
        <v>11248</v>
      </c>
      <c r="E365" s="804" t="s">
        <v>12720</v>
      </c>
      <c r="F365" s="805"/>
      <c r="G365" s="628" t="s">
        <v>17</v>
      </c>
      <c r="H365" s="629">
        <v>0.56699999999999995</v>
      </c>
      <c r="I365" s="630">
        <v>2</v>
      </c>
      <c r="J365" s="630">
        <v>1.1299999999999999</v>
      </c>
      <c r="K365"/>
    </row>
    <row r="366" spans="1:11" ht="25.5">
      <c r="A366" s="626" t="s">
        <v>12709</v>
      </c>
      <c r="B366" s="627" t="s">
        <v>13189</v>
      </c>
      <c r="C366" s="626" t="s">
        <v>8</v>
      </c>
      <c r="D366" s="626" t="s">
        <v>11363</v>
      </c>
      <c r="E366" s="804" t="s">
        <v>12720</v>
      </c>
      <c r="F366" s="805"/>
      <c r="G366" s="628" t="s">
        <v>17</v>
      </c>
      <c r="H366" s="629">
        <v>1.008</v>
      </c>
      <c r="I366" s="630">
        <v>8.74</v>
      </c>
      <c r="J366" s="630">
        <v>8.8000000000000007</v>
      </c>
      <c r="K366"/>
    </row>
    <row r="367" spans="1:11" ht="15" customHeight="1">
      <c r="A367" s="631"/>
      <c r="B367" s="631"/>
      <c r="C367" s="631"/>
      <c r="D367" s="631"/>
      <c r="E367" s="631" t="s">
        <v>12714</v>
      </c>
      <c r="F367" s="632">
        <v>10.71467185641691</v>
      </c>
      <c r="G367" s="631" t="s">
        <v>12715</v>
      </c>
      <c r="H367" s="632">
        <v>9.11</v>
      </c>
      <c r="I367" s="631" t="s">
        <v>12716</v>
      </c>
      <c r="J367" s="632">
        <v>19.82</v>
      </c>
      <c r="K367"/>
    </row>
    <row r="368" spans="1:11" ht="0.95" customHeight="1" thickBot="1">
      <c r="A368" s="631"/>
      <c r="B368" s="631"/>
      <c r="C368" s="631"/>
      <c r="D368" s="631"/>
      <c r="E368" s="631" t="s">
        <v>12717</v>
      </c>
      <c r="F368" s="632">
        <v>11.8</v>
      </c>
      <c r="G368" s="631"/>
      <c r="H368" s="806" t="s">
        <v>12718</v>
      </c>
      <c r="I368" s="806"/>
      <c r="J368" s="632">
        <v>53.59</v>
      </c>
      <c r="K368"/>
    </row>
    <row r="369" spans="1:11" ht="18" customHeight="1" thickTop="1">
      <c r="A369" s="633"/>
      <c r="B369" s="633"/>
      <c r="C369" s="633"/>
      <c r="D369" s="633"/>
      <c r="E369" s="633"/>
      <c r="F369" s="633"/>
      <c r="G369" s="633"/>
      <c r="H369" s="633"/>
      <c r="I369" s="633"/>
      <c r="J369" s="633"/>
      <c r="K369"/>
    </row>
    <row r="370" spans="1:11" ht="48" customHeight="1">
      <c r="A370" s="613" t="s">
        <v>12770</v>
      </c>
      <c r="B370" s="614" t="s">
        <v>12698</v>
      </c>
      <c r="C370" s="613" t="s">
        <v>12699</v>
      </c>
      <c r="D370" s="613" t="s">
        <v>12700</v>
      </c>
      <c r="E370" s="807" t="s">
        <v>12701</v>
      </c>
      <c r="F370" s="808"/>
      <c r="G370" s="615" t="s">
        <v>12702</v>
      </c>
      <c r="H370" s="614" t="s">
        <v>12703</v>
      </c>
      <c r="I370" s="614" t="s">
        <v>12704</v>
      </c>
      <c r="J370" s="614" t="s">
        <v>12705</v>
      </c>
      <c r="K370"/>
    </row>
    <row r="371" spans="1:11" ht="36" customHeight="1">
      <c r="A371" s="616" t="s">
        <v>12706</v>
      </c>
      <c r="B371" s="617" t="s">
        <v>13616</v>
      </c>
      <c r="C371" s="616" t="s">
        <v>8</v>
      </c>
      <c r="D371" s="616" t="s">
        <v>2707</v>
      </c>
      <c r="E371" s="809" t="s">
        <v>12734</v>
      </c>
      <c r="F371" s="810"/>
      <c r="G371" s="618" t="s">
        <v>12725</v>
      </c>
      <c r="H371" s="619">
        <v>1</v>
      </c>
      <c r="I371" s="620">
        <v>65.91</v>
      </c>
      <c r="J371" s="620">
        <v>65.91</v>
      </c>
      <c r="K371"/>
    </row>
    <row r="372" spans="1:11" ht="24" customHeight="1">
      <c r="A372" s="621" t="s">
        <v>12708</v>
      </c>
      <c r="B372" s="622" t="s">
        <v>13193</v>
      </c>
      <c r="C372" s="621" t="s">
        <v>8</v>
      </c>
      <c r="D372" s="621" t="s">
        <v>2648</v>
      </c>
      <c r="E372" s="811" t="s">
        <v>12734</v>
      </c>
      <c r="F372" s="812"/>
      <c r="G372" s="623" t="s">
        <v>12725</v>
      </c>
      <c r="H372" s="624">
        <v>0.27500000000000002</v>
      </c>
      <c r="I372" s="625">
        <v>65.91</v>
      </c>
      <c r="J372" s="625">
        <v>18.12</v>
      </c>
      <c r="K372"/>
    </row>
    <row r="373" spans="1:11" ht="24" customHeight="1">
      <c r="A373" s="621" t="s">
        <v>12708</v>
      </c>
      <c r="B373" s="622" t="s">
        <v>13095</v>
      </c>
      <c r="C373" s="621" t="s">
        <v>8</v>
      </c>
      <c r="D373" s="621" t="s">
        <v>45</v>
      </c>
      <c r="E373" s="811" t="s">
        <v>12707</v>
      </c>
      <c r="F373" s="812"/>
      <c r="G373" s="623" t="s">
        <v>23</v>
      </c>
      <c r="H373" s="624">
        <v>0.42599999999999999</v>
      </c>
      <c r="I373" s="625">
        <v>14.91</v>
      </c>
      <c r="J373" s="625">
        <v>6.35</v>
      </c>
      <c r="K373"/>
    </row>
    <row r="374" spans="1:11" ht="24" customHeight="1">
      <c r="A374" s="621" t="s">
        <v>12708</v>
      </c>
      <c r="B374" s="622" t="s">
        <v>13191</v>
      </c>
      <c r="C374" s="621" t="s">
        <v>8</v>
      </c>
      <c r="D374" s="621" t="s">
        <v>46</v>
      </c>
      <c r="E374" s="811" t="s">
        <v>12707</v>
      </c>
      <c r="F374" s="812"/>
      <c r="G374" s="623" t="s">
        <v>23</v>
      </c>
      <c r="H374" s="624">
        <v>2.3239999999999998</v>
      </c>
      <c r="I374" s="625">
        <v>17.64</v>
      </c>
      <c r="J374" s="625">
        <v>40.99</v>
      </c>
      <c r="K374"/>
    </row>
    <row r="375" spans="1:11" ht="36" customHeight="1">
      <c r="A375" s="626" t="s">
        <v>12709</v>
      </c>
      <c r="B375" s="627" t="s">
        <v>13093</v>
      </c>
      <c r="C375" s="626" t="s">
        <v>8</v>
      </c>
      <c r="D375" s="626" t="s">
        <v>8980</v>
      </c>
      <c r="E375" s="804" t="s">
        <v>12720</v>
      </c>
      <c r="F375" s="805"/>
      <c r="G375" s="628" t="s">
        <v>58</v>
      </c>
      <c r="H375" s="629">
        <v>1.7000000000000001E-2</v>
      </c>
      <c r="I375" s="630">
        <v>4.84</v>
      </c>
      <c r="J375" s="630">
        <v>0.08</v>
      </c>
      <c r="K375"/>
    </row>
    <row r="376" spans="1:11">
      <c r="A376" s="626" t="s">
        <v>12709</v>
      </c>
      <c r="B376" s="627" t="s">
        <v>13613</v>
      </c>
      <c r="C376" s="626" t="s">
        <v>8</v>
      </c>
      <c r="D376" s="626" t="s">
        <v>11000</v>
      </c>
      <c r="E376" s="804" t="s">
        <v>12720</v>
      </c>
      <c r="F376" s="805"/>
      <c r="G376" s="628" t="s">
        <v>20</v>
      </c>
      <c r="H376" s="629">
        <v>2.7E-2</v>
      </c>
      <c r="I376" s="630">
        <v>13.8</v>
      </c>
      <c r="J376" s="630">
        <v>0.37</v>
      </c>
      <c r="K376"/>
    </row>
    <row r="377" spans="1:11" ht="15" customHeight="1">
      <c r="A377" s="631"/>
      <c r="B377" s="631"/>
      <c r="C377" s="631"/>
      <c r="D377" s="631"/>
      <c r="E377" s="631" t="s">
        <v>12714</v>
      </c>
      <c r="F377" s="632">
        <v>20.207590009730783</v>
      </c>
      <c r="G377" s="631" t="s">
        <v>12715</v>
      </c>
      <c r="H377" s="632">
        <v>17.170000000000002</v>
      </c>
      <c r="I377" s="631" t="s">
        <v>12716</v>
      </c>
      <c r="J377" s="632">
        <v>37.380000000000003</v>
      </c>
      <c r="K377"/>
    </row>
    <row r="378" spans="1:11" ht="0.95" customHeight="1" thickBot="1">
      <c r="A378" s="631"/>
      <c r="B378" s="631"/>
      <c r="C378" s="631"/>
      <c r="D378" s="631"/>
      <c r="E378" s="631" t="s">
        <v>12717</v>
      </c>
      <c r="F378" s="632">
        <v>18.61</v>
      </c>
      <c r="G378" s="631"/>
      <c r="H378" s="806" t="s">
        <v>12718</v>
      </c>
      <c r="I378" s="806"/>
      <c r="J378" s="632">
        <v>84.52</v>
      </c>
      <c r="K378"/>
    </row>
    <row r="379" spans="1:11" ht="18" customHeight="1" thickTop="1">
      <c r="A379" s="633"/>
      <c r="B379" s="633"/>
      <c r="C379" s="633"/>
      <c r="D379" s="633"/>
      <c r="E379" s="633"/>
      <c r="F379" s="633"/>
      <c r="G379" s="633"/>
      <c r="H379" s="633"/>
      <c r="I379" s="633"/>
      <c r="J379" s="633"/>
      <c r="K379"/>
    </row>
    <row r="380" spans="1:11" ht="36" customHeight="1">
      <c r="A380" s="613" t="s">
        <v>12771</v>
      </c>
      <c r="B380" s="614" t="s">
        <v>12698</v>
      </c>
      <c r="C380" s="613" t="s">
        <v>12699</v>
      </c>
      <c r="D380" s="613" t="s">
        <v>12700</v>
      </c>
      <c r="E380" s="807" t="s">
        <v>12701</v>
      </c>
      <c r="F380" s="808"/>
      <c r="G380" s="615" t="s">
        <v>12702</v>
      </c>
      <c r="H380" s="614" t="s">
        <v>12703</v>
      </c>
      <c r="I380" s="614" t="s">
        <v>12704</v>
      </c>
      <c r="J380" s="614" t="s">
        <v>12705</v>
      </c>
      <c r="K380"/>
    </row>
    <row r="381" spans="1:11" ht="24" customHeight="1">
      <c r="A381" s="616" t="s">
        <v>12706</v>
      </c>
      <c r="B381" s="617" t="s">
        <v>13615</v>
      </c>
      <c r="C381" s="616" t="s">
        <v>8</v>
      </c>
      <c r="D381" s="616" t="s">
        <v>2963</v>
      </c>
      <c r="E381" s="809" t="s">
        <v>12734</v>
      </c>
      <c r="F381" s="810"/>
      <c r="G381" s="618" t="s">
        <v>20</v>
      </c>
      <c r="H381" s="619">
        <v>1</v>
      </c>
      <c r="I381" s="620">
        <v>9.4499999999999993</v>
      </c>
      <c r="J381" s="620">
        <v>9.4499999999999993</v>
      </c>
      <c r="K381"/>
    </row>
    <row r="382" spans="1:11" ht="24" customHeight="1">
      <c r="A382" s="621" t="s">
        <v>12708</v>
      </c>
      <c r="B382" s="622" t="s">
        <v>13241</v>
      </c>
      <c r="C382" s="621" t="s">
        <v>8</v>
      </c>
      <c r="D382" s="621" t="s">
        <v>2979</v>
      </c>
      <c r="E382" s="811" t="s">
        <v>12734</v>
      </c>
      <c r="F382" s="812"/>
      <c r="G382" s="623" t="s">
        <v>20</v>
      </c>
      <c r="H382" s="624">
        <v>1</v>
      </c>
      <c r="I382" s="625">
        <v>6.49</v>
      </c>
      <c r="J382" s="625">
        <v>6.49</v>
      </c>
      <c r="K382"/>
    </row>
    <row r="383" spans="1:11" ht="24" customHeight="1">
      <c r="A383" s="621" t="s">
        <v>12708</v>
      </c>
      <c r="B383" s="622" t="s">
        <v>13237</v>
      </c>
      <c r="C383" s="621" t="s">
        <v>8</v>
      </c>
      <c r="D383" s="621" t="s">
        <v>236</v>
      </c>
      <c r="E383" s="811" t="s">
        <v>12707</v>
      </c>
      <c r="F383" s="812"/>
      <c r="G383" s="623" t="s">
        <v>23</v>
      </c>
      <c r="H383" s="624">
        <v>2.0899999999999998E-2</v>
      </c>
      <c r="I383" s="625">
        <v>13.76</v>
      </c>
      <c r="J383" s="625">
        <v>0.28000000000000003</v>
      </c>
      <c r="K383"/>
    </row>
    <row r="384" spans="1:11" ht="24" customHeight="1">
      <c r="A384" s="621" t="s">
        <v>12708</v>
      </c>
      <c r="B384" s="622" t="s">
        <v>13236</v>
      </c>
      <c r="C384" s="621" t="s">
        <v>8</v>
      </c>
      <c r="D384" s="621" t="s">
        <v>241</v>
      </c>
      <c r="E384" s="811" t="s">
        <v>12707</v>
      </c>
      <c r="F384" s="812"/>
      <c r="G384" s="623" t="s">
        <v>23</v>
      </c>
      <c r="H384" s="624">
        <v>0.1278</v>
      </c>
      <c r="I384" s="625">
        <v>17.68</v>
      </c>
      <c r="J384" s="625">
        <v>2.25</v>
      </c>
      <c r="K384"/>
    </row>
    <row r="385" spans="1:11" ht="24" customHeight="1">
      <c r="A385" s="626" t="s">
        <v>12709</v>
      </c>
      <c r="B385" s="627" t="s">
        <v>13311</v>
      </c>
      <c r="C385" s="626" t="s">
        <v>8</v>
      </c>
      <c r="D385" s="626" t="s">
        <v>7522</v>
      </c>
      <c r="E385" s="804" t="s">
        <v>12720</v>
      </c>
      <c r="F385" s="805"/>
      <c r="G385" s="628" t="s">
        <v>20</v>
      </c>
      <c r="H385" s="629">
        <v>2.5000000000000001E-2</v>
      </c>
      <c r="I385" s="630">
        <v>13.6</v>
      </c>
      <c r="J385" s="630">
        <v>0.34</v>
      </c>
      <c r="K385"/>
    </row>
    <row r="386" spans="1:11" ht="24" customHeight="1">
      <c r="A386" s="626" t="s">
        <v>12709</v>
      </c>
      <c r="B386" s="627" t="s">
        <v>13310</v>
      </c>
      <c r="C386" s="626" t="s">
        <v>8</v>
      </c>
      <c r="D386" s="626" t="s">
        <v>9265</v>
      </c>
      <c r="E386" s="804" t="s">
        <v>12720</v>
      </c>
      <c r="F386" s="805"/>
      <c r="G386" s="628" t="s">
        <v>35</v>
      </c>
      <c r="H386" s="629">
        <v>0.74299999999999999</v>
      </c>
      <c r="I386" s="630">
        <v>0.13</v>
      </c>
      <c r="J386" s="630">
        <v>0.09</v>
      </c>
      <c r="K386"/>
    </row>
    <row r="387" spans="1:11" ht="24" customHeight="1">
      <c r="A387" s="631"/>
      <c r="B387" s="631"/>
      <c r="C387" s="631"/>
      <c r="D387" s="631"/>
      <c r="E387" s="631" t="s">
        <v>12714</v>
      </c>
      <c r="F387" s="632">
        <v>1.1460698453886906</v>
      </c>
      <c r="G387" s="631" t="s">
        <v>12715</v>
      </c>
      <c r="H387" s="632">
        <v>0.97</v>
      </c>
      <c r="I387" s="631" t="s">
        <v>12716</v>
      </c>
      <c r="J387" s="632">
        <v>2.12</v>
      </c>
      <c r="K387"/>
    </row>
    <row r="388" spans="1:11" ht="15" customHeight="1" thickBot="1">
      <c r="A388" s="631"/>
      <c r="B388" s="631"/>
      <c r="C388" s="631"/>
      <c r="D388" s="631"/>
      <c r="E388" s="631" t="s">
        <v>12717</v>
      </c>
      <c r="F388" s="632">
        <v>2.66</v>
      </c>
      <c r="G388" s="631"/>
      <c r="H388" s="806" t="s">
        <v>12718</v>
      </c>
      <c r="I388" s="806"/>
      <c r="J388" s="632">
        <v>12.11</v>
      </c>
      <c r="K388"/>
    </row>
    <row r="389" spans="1:11" ht="15" customHeight="1" thickTop="1">
      <c r="A389" s="633"/>
      <c r="B389" s="633"/>
      <c r="C389" s="633"/>
      <c r="D389" s="633"/>
      <c r="E389" s="633"/>
      <c r="F389" s="633"/>
      <c r="G389" s="633"/>
      <c r="H389" s="633"/>
      <c r="I389" s="633"/>
      <c r="J389" s="633"/>
      <c r="K389"/>
    </row>
    <row r="390" spans="1:11" ht="0.95" customHeight="1">
      <c r="A390" s="613" t="s">
        <v>12772</v>
      </c>
      <c r="B390" s="614" t="s">
        <v>12698</v>
      </c>
      <c r="C390" s="613" t="s">
        <v>12699</v>
      </c>
      <c r="D390" s="613" t="s">
        <v>12700</v>
      </c>
      <c r="E390" s="807" t="s">
        <v>12701</v>
      </c>
      <c r="F390" s="808"/>
      <c r="G390" s="615" t="s">
        <v>12702</v>
      </c>
      <c r="H390" s="614" t="s">
        <v>12703</v>
      </c>
      <c r="I390" s="614" t="s">
        <v>12704</v>
      </c>
      <c r="J390" s="614" t="s">
        <v>12705</v>
      </c>
      <c r="K390"/>
    </row>
    <row r="391" spans="1:11" ht="42" customHeight="1">
      <c r="A391" s="616" t="s">
        <v>12706</v>
      </c>
      <c r="B391" s="617" t="s">
        <v>13614</v>
      </c>
      <c r="C391" s="616" t="s">
        <v>8</v>
      </c>
      <c r="D391" s="616" t="s">
        <v>2743</v>
      </c>
      <c r="E391" s="809" t="s">
        <v>12734</v>
      </c>
      <c r="F391" s="810"/>
      <c r="G391" s="618" t="s">
        <v>12725</v>
      </c>
      <c r="H391" s="619">
        <v>1</v>
      </c>
      <c r="I391" s="620">
        <v>77.319999999999993</v>
      </c>
      <c r="J391" s="620">
        <v>77.319999999999993</v>
      </c>
      <c r="K391"/>
    </row>
    <row r="392" spans="1:11" ht="24" customHeight="1">
      <c r="A392" s="621" t="s">
        <v>12708</v>
      </c>
      <c r="B392" s="622" t="s">
        <v>13192</v>
      </c>
      <c r="C392" s="621" t="s">
        <v>8</v>
      </c>
      <c r="D392" s="621" t="s">
        <v>2649</v>
      </c>
      <c r="E392" s="811" t="s">
        <v>12734</v>
      </c>
      <c r="F392" s="812"/>
      <c r="G392" s="623" t="s">
        <v>12725</v>
      </c>
      <c r="H392" s="624">
        <v>0.41899999999999998</v>
      </c>
      <c r="I392" s="625">
        <v>51.31</v>
      </c>
      <c r="J392" s="625">
        <v>21.49</v>
      </c>
      <c r="K392"/>
    </row>
    <row r="393" spans="1:11" ht="24" customHeight="1">
      <c r="A393" s="621" t="s">
        <v>12708</v>
      </c>
      <c r="B393" s="622" t="s">
        <v>13195</v>
      </c>
      <c r="C393" s="621" t="s">
        <v>8</v>
      </c>
      <c r="D393" s="621" t="s">
        <v>627</v>
      </c>
      <c r="E393" s="811" t="s">
        <v>12734</v>
      </c>
      <c r="F393" s="812"/>
      <c r="G393" s="623" t="s">
        <v>17</v>
      </c>
      <c r="H393" s="624">
        <v>1.879</v>
      </c>
      <c r="I393" s="625">
        <v>9.8699999999999992</v>
      </c>
      <c r="J393" s="625">
        <v>18.54</v>
      </c>
      <c r="K393"/>
    </row>
    <row r="394" spans="1:11" ht="36" customHeight="1">
      <c r="A394" s="621" t="s">
        <v>12708</v>
      </c>
      <c r="B394" s="622" t="s">
        <v>13095</v>
      </c>
      <c r="C394" s="621" t="s">
        <v>8</v>
      </c>
      <c r="D394" s="621" t="s">
        <v>45</v>
      </c>
      <c r="E394" s="811" t="s">
        <v>12707</v>
      </c>
      <c r="F394" s="812"/>
      <c r="G394" s="623" t="s">
        <v>23</v>
      </c>
      <c r="H394" s="624">
        <v>0.309</v>
      </c>
      <c r="I394" s="625">
        <v>14.91</v>
      </c>
      <c r="J394" s="625">
        <v>4.5999999999999996</v>
      </c>
      <c r="K394"/>
    </row>
    <row r="395" spans="1:11" ht="36" customHeight="1">
      <c r="A395" s="621" t="s">
        <v>12708</v>
      </c>
      <c r="B395" s="622" t="s">
        <v>13191</v>
      </c>
      <c r="C395" s="621" t="s">
        <v>8</v>
      </c>
      <c r="D395" s="621" t="s">
        <v>46</v>
      </c>
      <c r="E395" s="811" t="s">
        <v>12707</v>
      </c>
      <c r="F395" s="812"/>
      <c r="G395" s="623" t="s">
        <v>23</v>
      </c>
      <c r="H395" s="624">
        <v>1.6859999999999999</v>
      </c>
      <c r="I395" s="625">
        <v>17.64</v>
      </c>
      <c r="J395" s="625">
        <v>29.74</v>
      </c>
      <c r="K395"/>
    </row>
    <row r="396" spans="1:11" ht="24" customHeight="1">
      <c r="A396" s="626" t="s">
        <v>12709</v>
      </c>
      <c r="B396" s="627" t="s">
        <v>13093</v>
      </c>
      <c r="C396" s="626" t="s">
        <v>8</v>
      </c>
      <c r="D396" s="626" t="s">
        <v>8980</v>
      </c>
      <c r="E396" s="804" t="s">
        <v>12720</v>
      </c>
      <c r="F396" s="805"/>
      <c r="G396" s="628" t="s">
        <v>58</v>
      </c>
      <c r="H396" s="629">
        <v>1.7000000000000001E-2</v>
      </c>
      <c r="I396" s="630">
        <v>4.84</v>
      </c>
      <c r="J396" s="630">
        <v>0.08</v>
      </c>
      <c r="K396"/>
    </row>
    <row r="397" spans="1:11" ht="24" customHeight="1">
      <c r="A397" s="626" t="s">
        <v>12709</v>
      </c>
      <c r="B397" s="627" t="s">
        <v>13613</v>
      </c>
      <c r="C397" s="626" t="s">
        <v>8</v>
      </c>
      <c r="D397" s="626" t="s">
        <v>11000</v>
      </c>
      <c r="E397" s="804" t="s">
        <v>12720</v>
      </c>
      <c r="F397" s="805"/>
      <c r="G397" s="628" t="s">
        <v>20</v>
      </c>
      <c r="H397" s="629">
        <v>6.6000000000000003E-2</v>
      </c>
      <c r="I397" s="630">
        <v>13.8</v>
      </c>
      <c r="J397" s="630">
        <v>0.91</v>
      </c>
      <c r="K397"/>
    </row>
    <row r="398" spans="1:11" ht="24" customHeight="1">
      <c r="A398" s="626" t="s">
        <v>12709</v>
      </c>
      <c r="B398" s="627" t="s">
        <v>13612</v>
      </c>
      <c r="C398" s="626" t="s">
        <v>8</v>
      </c>
      <c r="D398" s="626" t="s">
        <v>11360</v>
      </c>
      <c r="E398" s="804" t="s">
        <v>12720</v>
      </c>
      <c r="F398" s="805"/>
      <c r="G398" s="628" t="s">
        <v>17</v>
      </c>
      <c r="H398" s="629">
        <v>0.32800000000000001</v>
      </c>
      <c r="I398" s="630">
        <v>5.98</v>
      </c>
      <c r="J398" s="630">
        <v>1.96</v>
      </c>
      <c r="K398"/>
    </row>
    <row r="399" spans="1:11" ht="36" customHeight="1">
      <c r="A399" s="631"/>
      <c r="B399" s="631"/>
      <c r="C399" s="631"/>
      <c r="D399" s="631"/>
      <c r="E399" s="631" t="s">
        <v>12714</v>
      </c>
      <c r="F399" s="632">
        <v>16.217969510217319</v>
      </c>
      <c r="G399" s="631" t="s">
        <v>12715</v>
      </c>
      <c r="H399" s="632">
        <v>13.78</v>
      </c>
      <c r="I399" s="631" t="s">
        <v>12716</v>
      </c>
      <c r="J399" s="632">
        <v>30</v>
      </c>
      <c r="K399"/>
    </row>
    <row r="400" spans="1:11" ht="24" customHeight="1" thickBot="1">
      <c r="A400" s="631"/>
      <c r="B400" s="631"/>
      <c r="C400" s="631"/>
      <c r="D400" s="631"/>
      <c r="E400" s="631" t="s">
        <v>12717</v>
      </c>
      <c r="F400" s="632">
        <v>21.83</v>
      </c>
      <c r="G400" s="631"/>
      <c r="H400" s="806" t="s">
        <v>12718</v>
      </c>
      <c r="I400" s="806"/>
      <c r="J400" s="632">
        <v>99.15</v>
      </c>
      <c r="K400"/>
    </row>
    <row r="401" spans="1:11" ht="15" thickTop="1">
      <c r="A401" s="633"/>
      <c r="B401" s="633"/>
      <c r="C401" s="633"/>
      <c r="D401" s="633"/>
      <c r="E401" s="633"/>
      <c r="F401" s="633"/>
      <c r="G401" s="633"/>
      <c r="H401" s="633"/>
      <c r="I401" s="633"/>
      <c r="J401" s="633"/>
      <c r="K401"/>
    </row>
    <row r="402" spans="1:11" ht="15" customHeight="1">
      <c r="A402" s="613" t="s">
        <v>12773</v>
      </c>
      <c r="B402" s="614" t="s">
        <v>12698</v>
      </c>
      <c r="C402" s="613" t="s">
        <v>12699</v>
      </c>
      <c r="D402" s="613" t="s">
        <v>12700</v>
      </c>
      <c r="E402" s="807" t="s">
        <v>12701</v>
      </c>
      <c r="F402" s="808"/>
      <c r="G402" s="615" t="s">
        <v>12702</v>
      </c>
      <c r="H402" s="614" t="s">
        <v>12703</v>
      </c>
      <c r="I402" s="614" t="s">
        <v>12704</v>
      </c>
      <c r="J402" s="614" t="s">
        <v>12705</v>
      </c>
      <c r="K402"/>
    </row>
    <row r="403" spans="1:11" ht="0.95" customHeight="1">
      <c r="A403" s="616" t="s">
        <v>12706</v>
      </c>
      <c r="B403" s="617" t="s">
        <v>13611</v>
      </c>
      <c r="C403" s="616" t="s">
        <v>8</v>
      </c>
      <c r="D403" s="616" t="s">
        <v>3155</v>
      </c>
      <c r="E403" s="809" t="s">
        <v>12734</v>
      </c>
      <c r="F403" s="810"/>
      <c r="G403" s="618" t="s">
        <v>17</v>
      </c>
      <c r="H403" s="619">
        <v>1</v>
      </c>
      <c r="I403" s="620">
        <v>43.91</v>
      </c>
      <c r="J403" s="620">
        <v>43.91</v>
      </c>
      <c r="K403"/>
    </row>
    <row r="404" spans="1:11" ht="42" customHeight="1">
      <c r="A404" s="621" t="s">
        <v>12708</v>
      </c>
      <c r="B404" s="622" t="s">
        <v>13192</v>
      </c>
      <c r="C404" s="621" t="s">
        <v>8</v>
      </c>
      <c r="D404" s="621" t="s">
        <v>2649</v>
      </c>
      <c r="E404" s="811" t="s">
        <v>12734</v>
      </c>
      <c r="F404" s="812"/>
      <c r="G404" s="623" t="s">
        <v>12725</v>
      </c>
      <c r="H404" s="624">
        <v>0.4</v>
      </c>
      <c r="I404" s="625">
        <v>51.31</v>
      </c>
      <c r="J404" s="625">
        <v>20.52</v>
      </c>
      <c r="K404"/>
    </row>
    <row r="405" spans="1:11" ht="24" customHeight="1">
      <c r="A405" s="621" t="s">
        <v>12708</v>
      </c>
      <c r="B405" s="622" t="s">
        <v>13241</v>
      </c>
      <c r="C405" s="621" t="s">
        <v>8</v>
      </c>
      <c r="D405" s="621" t="s">
        <v>2979</v>
      </c>
      <c r="E405" s="811" t="s">
        <v>12734</v>
      </c>
      <c r="F405" s="812"/>
      <c r="G405" s="623" t="s">
        <v>20</v>
      </c>
      <c r="H405" s="624">
        <v>0.79</v>
      </c>
      <c r="I405" s="625">
        <v>6.49</v>
      </c>
      <c r="J405" s="625">
        <v>5.12</v>
      </c>
      <c r="K405"/>
    </row>
    <row r="406" spans="1:11" ht="24" customHeight="1">
      <c r="A406" s="621" t="s">
        <v>12708</v>
      </c>
      <c r="B406" s="622" t="s">
        <v>13255</v>
      </c>
      <c r="C406" s="621" t="s">
        <v>8</v>
      </c>
      <c r="D406" s="621" t="s">
        <v>725</v>
      </c>
      <c r="E406" s="811" t="s">
        <v>12734</v>
      </c>
      <c r="F406" s="812"/>
      <c r="G406" s="623" t="s">
        <v>12730</v>
      </c>
      <c r="H406" s="624">
        <v>2.4E-2</v>
      </c>
      <c r="I406" s="625">
        <v>303.06</v>
      </c>
      <c r="J406" s="625">
        <v>7.27</v>
      </c>
      <c r="K406"/>
    </row>
    <row r="407" spans="1:11" ht="36" customHeight="1">
      <c r="A407" s="621" t="s">
        <v>12708</v>
      </c>
      <c r="B407" s="622" t="s">
        <v>12745</v>
      </c>
      <c r="C407" s="621" t="s">
        <v>8</v>
      </c>
      <c r="D407" s="621" t="s">
        <v>47</v>
      </c>
      <c r="E407" s="811" t="s">
        <v>12707</v>
      </c>
      <c r="F407" s="812"/>
      <c r="G407" s="623" t="s">
        <v>23</v>
      </c>
      <c r="H407" s="624">
        <v>0.36</v>
      </c>
      <c r="I407" s="625">
        <v>17.760000000000002</v>
      </c>
      <c r="J407" s="625">
        <v>6.39</v>
      </c>
      <c r="K407"/>
    </row>
    <row r="408" spans="1:11" ht="36" customHeight="1">
      <c r="A408" s="621" t="s">
        <v>12708</v>
      </c>
      <c r="B408" s="622" t="s">
        <v>12727</v>
      </c>
      <c r="C408" s="621" t="s">
        <v>8</v>
      </c>
      <c r="D408" s="621" t="s">
        <v>26</v>
      </c>
      <c r="E408" s="811" t="s">
        <v>12707</v>
      </c>
      <c r="F408" s="812"/>
      <c r="G408" s="623" t="s">
        <v>23</v>
      </c>
      <c r="H408" s="624">
        <v>0.18</v>
      </c>
      <c r="I408" s="625">
        <v>14.37</v>
      </c>
      <c r="J408" s="625">
        <v>2.58</v>
      </c>
      <c r="K408"/>
    </row>
    <row r="409" spans="1:11" ht="24" customHeight="1">
      <c r="A409" s="626" t="s">
        <v>12709</v>
      </c>
      <c r="B409" s="627" t="s">
        <v>13093</v>
      </c>
      <c r="C409" s="626" t="s">
        <v>8</v>
      </c>
      <c r="D409" s="626" t="s">
        <v>8980</v>
      </c>
      <c r="E409" s="804" t="s">
        <v>12720</v>
      </c>
      <c r="F409" s="805"/>
      <c r="G409" s="628" t="s">
        <v>58</v>
      </c>
      <c r="H409" s="629">
        <v>7.0000000000000001E-3</v>
      </c>
      <c r="I409" s="630">
        <v>4.84</v>
      </c>
      <c r="J409" s="630">
        <v>0.03</v>
      </c>
      <c r="K409"/>
    </row>
    <row r="410" spans="1:11" ht="24" customHeight="1">
      <c r="A410" s="626" t="s">
        <v>12709</v>
      </c>
      <c r="B410" s="627" t="s">
        <v>13310</v>
      </c>
      <c r="C410" s="626" t="s">
        <v>8</v>
      </c>
      <c r="D410" s="626" t="s">
        <v>9265</v>
      </c>
      <c r="E410" s="804" t="s">
        <v>12720</v>
      </c>
      <c r="F410" s="805"/>
      <c r="G410" s="628" t="s">
        <v>35</v>
      </c>
      <c r="H410" s="629">
        <v>6</v>
      </c>
      <c r="I410" s="630">
        <v>0.13</v>
      </c>
      <c r="J410" s="630">
        <v>0.78</v>
      </c>
      <c r="K410"/>
    </row>
    <row r="411" spans="1:11" ht="24" customHeight="1">
      <c r="A411" s="626" t="s">
        <v>12709</v>
      </c>
      <c r="B411" s="627" t="s">
        <v>13194</v>
      </c>
      <c r="C411" s="626" t="s">
        <v>8</v>
      </c>
      <c r="D411" s="626" t="s">
        <v>10900</v>
      </c>
      <c r="E411" s="804" t="s">
        <v>12720</v>
      </c>
      <c r="F411" s="805"/>
      <c r="G411" s="628" t="s">
        <v>17</v>
      </c>
      <c r="H411" s="629">
        <v>0.22</v>
      </c>
      <c r="I411" s="630">
        <v>5.56</v>
      </c>
      <c r="J411" s="630">
        <v>1.22</v>
      </c>
      <c r="K411"/>
    </row>
    <row r="412" spans="1:11" ht="36" customHeight="1">
      <c r="A412" s="631"/>
      <c r="B412" s="631"/>
      <c r="C412" s="631"/>
      <c r="D412" s="631"/>
      <c r="E412" s="631" t="s">
        <v>12714</v>
      </c>
      <c r="F412" s="632">
        <v>5.5681695318412805</v>
      </c>
      <c r="G412" s="631" t="s">
        <v>12715</v>
      </c>
      <c r="H412" s="632">
        <v>4.7300000000000004</v>
      </c>
      <c r="I412" s="631" t="s">
        <v>12716</v>
      </c>
      <c r="J412" s="632">
        <v>10.3</v>
      </c>
      <c r="K412"/>
    </row>
    <row r="413" spans="1:11" ht="15" customHeight="1" thickBot="1">
      <c r="A413" s="631"/>
      <c r="B413" s="631"/>
      <c r="C413" s="631"/>
      <c r="D413" s="631"/>
      <c r="E413" s="631" t="s">
        <v>12717</v>
      </c>
      <c r="F413" s="632">
        <v>12.4</v>
      </c>
      <c r="G413" s="631"/>
      <c r="H413" s="806" t="s">
        <v>12718</v>
      </c>
      <c r="I413" s="806"/>
      <c r="J413" s="632">
        <v>56.31</v>
      </c>
      <c r="K413"/>
    </row>
    <row r="414" spans="1:11" ht="15" customHeight="1" thickTop="1">
      <c r="A414" s="633"/>
      <c r="B414" s="633"/>
      <c r="C414" s="633"/>
      <c r="D414" s="633"/>
      <c r="E414" s="633"/>
      <c r="F414" s="633"/>
      <c r="G414" s="633"/>
      <c r="H414" s="633"/>
      <c r="I414" s="633"/>
      <c r="J414" s="633"/>
      <c r="K414"/>
    </row>
    <row r="415" spans="1:11" ht="0.95" customHeight="1">
      <c r="A415" s="613" t="s">
        <v>12774</v>
      </c>
      <c r="B415" s="614" t="s">
        <v>12698</v>
      </c>
      <c r="C415" s="613" t="s">
        <v>12699</v>
      </c>
      <c r="D415" s="613" t="s">
        <v>12700</v>
      </c>
      <c r="E415" s="807" t="s">
        <v>12701</v>
      </c>
      <c r="F415" s="808"/>
      <c r="G415" s="615" t="s">
        <v>12702</v>
      </c>
      <c r="H415" s="614" t="s">
        <v>12703</v>
      </c>
      <c r="I415" s="614" t="s">
        <v>12704</v>
      </c>
      <c r="J415" s="614" t="s">
        <v>12705</v>
      </c>
      <c r="K415"/>
    </row>
    <row r="416" spans="1:11" ht="18" customHeight="1">
      <c r="A416" s="616" t="s">
        <v>12706</v>
      </c>
      <c r="B416" s="617" t="s">
        <v>13610</v>
      </c>
      <c r="C416" s="616" t="s">
        <v>8</v>
      </c>
      <c r="D416" s="616" t="s">
        <v>672</v>
      </c>
      <c r="E416" s="809" t="s">
        <v>12734</v>
      </c>
      <c r="F416" s="810"/>
      <c r="G416" s="618" t="s">
        <v>17</v>
      </c>
      <c r="H416" s="619">
        <v>1</v>
      </c>
      <c r="I416" s="620">
        <v>40.81</v>
      </c>
      <c r="J416" s="620">
        <v>40.81</v>
      </c>
      <c r="K416"/>
    </row>
    <row r="417" spans="1:11" ht="60" customHeight="1">
      <c r="A417" s="621" t="s">
        <v>12708</v>
      </c>
      <c r="B417" s="622" t="s">
        <v>13192</v>
      </c>
      <c r="C417" s="621" t="s">
        <v>8</v>
      </c>
      <c r="D417" s="621" t="s">
        <v>2649</v>
      </c>
      <c r="E417" s="811" t="s">
        <v>12734</v>
      </c>
      <c r="F417" s="812"/>
      <c r="G417" s="623" t="s">
        <v>12725</v>
      </c>
      <c r="H417" s="624">
        <v>0.4</v>
      </c>
      <c r="I417" s="625">
        <v>51.31</v>
      </c>
      <c r="J417" s="625">
        <v>20.52</v>
      </c>
      <c r="K417"/>
    </row>
    <row r="418" spans="1:11" ht="48" customHeight="1">
      <c r="A418" s="621" t="s">
        <v>12708</v>
      </c>
      <c r="B418" s="622" t="s">
        <v>13243</v>
      </c>
      <c r="C418" s="621" t="s">
        <v>8</v>
      </c>
      <c r="D418" s="621" t="s">
        <v>2978</v>
      </c>
      <c r="E418" s="811" t="s">
        <v>12734</v>
      </c>
      <c r="F418" s="812"/>
      <c r="G418" s="623" t="s">
        <v>20</v>
      </c>
      <c r="H418" s="624">
        <v>0.49</v>
      </c>
      <c r="I418" s="625">
        <v>6.63</v>
      </c>
      <c r="J418" s="625">
        <v>3.24</v>
      </c>
      <c r="K418"/>
    </row>
    <row r="419" spans="1:11" ht="24" customHeight="1">
      <c r="A419" s="621" t="s">
        <v>12708</v>
      </c>
      <c r="B419" s="622" t="s">
        <v>13255</v>
      </c>
      <c r="C419" s="621" t="s">
        <v>8</v>
      </c>
      <c r="D419" s="621" t="s">
        <v>725</v>
      </c>
      <c r="E419" s="811" t="s">
        <v>12734</v>
      </c>
      <c r="F419" s="812"/>
      <c r="G419" s="623" t="s">
        <v>12730</v>
      </c>
      <c r="H419" s="624">
        <v>2.4E-2</v>
      </c>
      <c r="I419" s="625">
        <v>303.06</v>
      </c>
      <c r="J419" s="625">
        <v>7.27</v>
      </c>
      <c r="K419"/>
    </row>
    <row r="420" spans="1:11" ht="24" customHeight="1">
      <c r="A420" s="621" t="s">
        <v>12708</v>
      </c>
      <c r="B420" s="622" t="s">
        <v>12745</v>
      </c>
      <c r="C420" s="621" t="s">
        <v>8</v>
      </c>
      <c r="D420" s="621" t="s">
        <v>47</v>
      </c>
      <c r="E420" s="811" t="s">
        <v>12707</v>
      </c>
      <c r="F420" s="812"/>
      <c r="G420" s="623" t="s">
        <v>23</v>
      </c>
      <c r="H420" s="624">
        <v>0.36</v>
      </c>
      <c r="I420" s="625">
        <v>17.760000000000002</v>
      </c>
      <c r="J420" s="625">
        <v>6.39</v>
      </c>
      <c r="K420"/>
    </row>
    <row r="421" spans="1:11" ht="24" customHeight="1">
      <c r="A421" s="621" t="s">
        <v>12708</v>
      </c>
      <c r="B421" s="622" t="s">
        <v>12727</v>
      </c>
      <c r="C421" s="621" t="s">
        <v>8</v>
      </c>
      <c r="D421" s="621" t="s">
        <v>26</v>
      </c>
      <c r="E421" s="811" t="s">
        <v>12707</v>
      </c>
      <c r="F421" s="812"/>
      <c r="G421" s="623" t="s">
        <v>23</v>
      </c>
      <c r="H421" s="624">
        <v>0.18</v>
      </c>
      <c r="I421" s="625">
        <v>14.37</v>
      </c>
      <c r="J421" s="625">
        <v>2.58</v>
      </c>
      <c r="K421"/>
    </row>
    <row r="422" spans="1:11" ht="24" customHeight="1">
      <c r="A422" s="626" t="s">
        <v>12709</v>
      </c>
      <c r="B422" s="627" t="s">
        <v>13093</v>
      </c>
      <c r="C422" s="626" t="s">
        <v>8</v>
      </c>
      <c r="D422" s="626" t="s">
        <v>8980</v>
      </c>
      <c r="E422" s="804" t="s">
        <v>12720</v>
      </c>
      <c r="F422" s="805"/>
      <c r="G422" s="628" t="s">
        <v>58</v>
      </c>
      <c r="H422" s="629">
        <v>7.0000000000000001E-3</v>
      </c>
      <c r="I422" s="630">
        <v>4.84</v>
      </c>
      <c r="J422" s="630">
        <v>0.03</v>
      </c>
      <c r="K422"/>
    </row>
    <row r="423" spans="1:11" ht="36" customHeight="1">
      <c r="A423" s="626" t="s">
        <v>12709</v>
      </c>
      <c r="B423" s="627" t="s">
        <v>13310</v>
      </c>
      <c r="C423" s="626" t="s">
        <v>8</v>
      </c>
      <c r="D423" s="626" t="s">
        <v>9265</v>
      </c>
      <c r="E423" s="804" t="s">
        <v>12720</v>
      </c>
      <c r="F423" s="805"/>
      <c r="G423" s="628" t="s">
        <v>35</v>
      </c>
      <c r="H423" s="629">
        <v>6</v>
      </c>
      <c r="I423" s="630">
        <v>0.13</v>
      </c>
      <c r="J423" s="630">
        <v>0.78</v>
      </c>
      <c r="K423"/>
    </row>
    <row r="424" spans="1:11" ht="25.5">
      <c r="A424" s="631"/>
      <c r="B424" s="631"/>
      <c r="C424" s="631"/>
      <c r="D424" s="631"/>
      <c r="E424" s="631" t="s">
        <v>12714</v>
      </c>
      <c r="F424" s="632">
        <v>5.5951994810249754</v>
      </c>
      <c r="G424" s="631" t="s">
        <v>12715</v>
      </c>
      <c r="H424" s="632">
        <v>4.75</v>
      </c>
      <c r="I424" s="631" t="s">
        <v>12716</v>
      </c>
      <c r="J424" s="632">
        <v>10.35</v>
      </c>
      <c r="K424"/>
    </row>
    <row r="425" spans="1:11" ht="15" customHeight="1" thickBot="1">
      <c r="A425" s="631"/>
      <c r="B425" s="631"/>
      <c r="C425" s="631"/>
      <c r="D425" s="631"/>
      <c r="E425" s="631" t="s">
        <v>12717</v>
      </c>
      <c r="F425" s="632">
        <v>11.52</v>
      </c>
      <c r="G425" s="631"/>
      <c r="H425" s="806" t="s">
        <v>12718</v>
      </c>
      <c r="I425" s="806"/>
      <c r="J425" s="632">
        <v>52.33</v>
      </c>
      <c r="K425"/>
    </row>
    <row r="426" spans="1:11" ht="0.95" customHeight="1" thickTop="1">
      <c r="A426" s="633"/>
      <c r="B426" s="633"/>
      <c r="C426" s="633"/>
      <c r="D426" s="633"/>
      <c r="E426" s="633"/>
      <c r="F426" s="633"/>
      <c r="G426" s="633"/>
      <c r="H426" s="633"/>
      <c r="I426" s="633"/>
      <c r="J426" s="633"/>
      <c r="K426"/>
    </row>
    <row r="427" spans="1:11" ht="18" customHeight="1">
      <c r="A427" s="613" t="s">
        <v>12775</v>
      </c>
      <c r="B427" s="614" t="s">
        <v>12698</v>
      </c>
      <c r="C427" s="613" t="s">
        <v>12699</v>
      </c>
      <c r="D427" s="613" t="s">
        <v>12700</v>
      </c>
      <c r="E427" s="807" t="s">
        <v>12701</v>
      </c>
      <c r="F427" s="808"/>
      <c r="G427" s="615" t="s">
        <v>12702</v>
      </c>
      <c r="H427" s="614" t="s">
        <v>12703</v>
      </c>
      <c r="I427" s="614" t="s">
        <v>12704</v>
      </c>
      <c r="J427" s="614" t="s">
        <v>12705</v>
      </c>
      <c r="K427"/>
    </row>
    <row r="428" spans="1:11" ht="48" customHeight="1">
      <c r="A428" s="616" t="s">
        <v>12706</v>
      </c>
      <c r="B428" s="617" t="s">
        <v>13609</v>
      </c>
      <c r="C428" s="616" t="s">
        <v>8</v>
      </c>
      <c r="D428" s="616" t="s">
        <v>1318</v>
      </c>
      <c r="E428" s="809" t="s">
        <v>12776</v>
      </c>
      <c r="F428" s="810"/>
      <c r="G428" s="618" t="s">
        <v>12725</v>
      </c>
      <c r="H428" s="619">
        <v>1</v>
      </c>
      <c r="I428" s="620">
        <v>35.049999999999997</v>
      </c>
      <c r="J428" s="620">
        <v>35.049999999999997</v>
      </c>
      <c r="K428"/>
    </row>
    <row r="429" spans="1:11" ht="36" customHeight="1">
      <c r="A429" s="621" t="s">
        <v>12708</v>
      </c>
      <c r="B429" s="622" t="s">
        <v>13320</v>
      </c>
      <c r="C429" s="621" t="s">
        <v>8</v>
      </c>
      <c r="D429" s="621" t="s">
        <v>5758</v>
      </c>
      <c r="E429" s="811" t="s">
        <v>12707</v>
      </c>
      <c r="F429" s="812"/>
      <c r="G429" s="623" t="s">
        <v>12730</v>
      </c>
      <c r="H429" s="624">
        <v>1.04E-2</v>
      </c>
      <c r="I429" s="625">
        <v>336.77</v>
      </c>
      <c r="J429" s="625">
        <v>3.5</v>
      </c>
      <c r="K429"/>
    </row>
    <row r="430" spans="1:11" ht="24" customHeight="1">
      <c r="A430" s="621" t="s">
        <v>12708</v>
      </c>
      <c r="B430" s="622" t="s">
        <v>12745</v>
      </c>
      <c r="C430" s="621" t="s">
        <v>8</v>
      </c>
      <c r="D430" s="621" t="s">
        <v>47</v>
      </c>
      <c r="E430" s="811" t="s">
        <v>12707</v>
      </c>
      <c r="F430" s="812"/>
      <c r="G430" s="623" t="s">
        <v>23</v>
      </c>
      <c r="H430" s="624">
        <v>0.48</v>
      </c>
      <c r="I430" s="625">
        <v>17.760000000000002</v>
      </c>
      <c r="J430" s="625">
        <v>8.52</v>
      </c>
      <c r="K430"/>
    </row>
    <row r="431" spans="1:11" ht="24" customHeight="1">
      <c r="A431" s="621" t="s">
        <v>12708</v>
      </c>
      <c r="B431" s="622" t="s">
        <v>12727</v>
      </c>
      <c r="C431" s="621" t="s">
        <v>8</v>
      </c>
      <c r="D431" s="621" t="s">
        <v>26</v>
      </c>
      <c r="E431" s="811" t="s">
        <v>12707</v>
      </c>
      <c r="F431" s="812"/>
      <c r="G431" s="623" t="s">
        <v>23</v>
      </c>
      <c r="H431" s="624">
        <v>0.24</v>
      </c>
      <c r="I431" s="625">
        <v>14.37</v>
      </c>
      <c r="J431" s="625">
        <v>3.44</v>
      </c>
      <c r="K431"/>
    </row>
    <row r="432" spans="1:11" ht="24" customHeight="1">
      <c r="A432" s="626" t="s">
        <v>12709</v>
      </c>
      <c r="B432" s="627" t="s">
        <v>13608</v>
      </c>
      <c r="C432" s="626" t="s">
        <v>8</v>
      </c>
      <c r="D432" s="626" t="s">
        <v>7694</v>
      </c>
      <c r="E432" s="804" t="s">
        <v>12720</v>
      </c>
      <c r="F432" s="805"/>
      <c r="G432" s="628" t="s">
        <v>35</v>
      </c>
      <c r="H432" s="629">
        <v>13.35</v>
      </c>
      <c r="I432" s="630">
        <v>1.4</v>
      </c>
      <c r="J432" s="630">
        <v>18.690000000000001</v>
      </c>
      <c r="K432"/>
    </row>
    <row r="433" spans="1:11" ht="24" customHeight="1">
      <c r="A433" s="626" t="s">
        <v>12709</v>
      </c>
      <c r="B433" s="627" t="s">
        <v>13607</v>
      </c>
      <c r="C433" s="626" t="s">
        <v>8</v>
      </c>
      <c r="D433" s="626" t="s">
        <v>10792</v>
      </c>
      <c r="E433" s="804" t="s">
        <v>12720</v>
      </c>
      <c r="F433" s="805"/>
      <c r="G433" s="628" t="s">
        <v>12777</v>
      </c>
      <c r="H433" s="629">
        <v>5.0000000000000001E-3</v>
      </c>
      <c r="I433" s="630">
        <v>33.25</v>
      </c>
      <c r="J433" s="630">
        <v>0.16</v>
      </c>
      <c r="K433"/>
    </row>
    <row r="434" spans="1:11" ht="36" customHeight="1">
      <c r="A434" s="626" t="s">
        <v>12709</v>
      </c>
      <c r="B434" s="627" t="s">
        <v>13606</v>
      </c>
      <c r="C434" s="626" t="s">
        <v>8</v>
      </c>
      <c r="D434" s="626" t="s">
        <v>11651</v>
      </c>
      <c r="E434" s="804" t="s">
        <v>12720</v>
      </c>
      <c r="F434" s="805"/>
      <c r="G434" s="628" t="s">
        <v>17</v>
      </c>
      <c r="H434" s="629">
        <v>0.42</v>
      </c>
      <c r="I434" s="630">
        <v>1.77</v>
      </c>
      <c r="J434" s="630">
        <v>0.74</v>
      </c>
      <c r="K434"/>
    </row>
    <row r="435" spans="1:11" ht="25.5">
      <c r="A435" s="631"/>
      <c r="B435" s="631"/>
      <c r="C435" s="631"/>
      <c r="D435" s="631"/>
      <c r="E435" s="631" t="s">
        <v>12714</v>
      </c>
      <c r="F435" s="632">
        <v>4.8329549140447616</v>
      </c>
      <c r="G435" s="631" t="s">
        <v>12715</v>
      </c>
      <c r="H435" s="632">
        <v>4.1100000000000003</v>
      </c>
      <c r="I435" s="631" t="s">
        <v>12716</v>
      </c>
      <c r="J435" s="632">
        <v>8.94</v>
      </c>
      <c r="K435"/>
    </row>
    <row r="436" spans="1:11" ht="15" customHeight="1" thickBot="1">
      <c r="A436" s="631"/>
      <c r="B436" s="631"/>
      <c r="C436" s="631"/>
      <c r="D436" s="631"/>
      <c r="E436" s="631" t="s">
        <v>12717</v>
      </c>
      <c r="F436" s="632">
        <v>9.89</v>
      </c>
      <c r="G436" s="631"/>
      <c r="H436" s="806" t="s">
        <v>12718</v>
      </c>
      <c r="I436" s="806"/>
      <c r="J436" s="632">
        <v>44.94</v>
      </c>
      <c r="K436"/>
    </row>
    <row r="437" spans="1:11" ht="0.95" customHeight="1" thickTop="1">
      <c r="A437" s="633"/>
      <c r="B437" s="633"/>
      <c r="C437" s="633"/>
      <c r="D437" s="633"/>
      <c r="E437" s="633"/>
      <c r="F437" s="633"/>
      <c r="G437" s="633"/>
      <c r="H437" s="633"/>
      <c r="I437" s="633"/>
      <c r="J437" s="633"/>
      <c r="K437"/>
    </row>
    <row r="438" spans="1:11" ht="18" customHeight="1">
      <c r="A438" s="613" t="s">
        <v>12778</v>
      </c>
      <c r="B438" s="614" t="s">
        <v>12698</v>
      </c>
      <c r="C438" s="613" t="s">
        <v>12699</v>
      </c>
      <c r="D438" s="613" t="s">
        <v>12700</v>
      </c>
      <c r="E438" s="807" t="s">
        <v>12701</v>
      </c>
      <c r="F438" s="808"/>
      <c r="G438" s="615" t="s">
        <v>12702</v>
      </c>
      <c r="H438" s="614" t="s">
        <v>12703</v>
      </c>
      <c r="I438" s="614" t="s">
        <v>12704</v>
      </c>
      <c r="J438" s="614" t="s">
        <v>12705</v>
      </c>
      <c r="K438"/>
    </row>
    <row r="439" spans="1:11" ht="48" customHeight="1">
      <c r="A439" s="616" t="s">
        <v>12706</v>
      </c>
      <c r="B439" s="617" t="s">
        <v>13605</v>
      </c>
      <c r="C439" s="616" t="s">
        <v>8</v>
      </c>
      <c r="D439" s="616" t="s">
        <v>2851</v>
      </c>
      <c r="E439" s="809" t="s">
        <v>12779</v>
      </c>
      <c r="F439" s="810"/>
      <c r="G439" s="618" t="s">
        <v>35</v>
      </c>
      <c r="H439" s="619">
        <v>1</v>
      </c>
      <c r="I439" s="620">
        <v>1038.0999999999999</v>
      </c>
      <c r="J439" s="620">
        <v>1038.0999999999999</v>
      </c>
      <c r="K439"/>
    </row>
    <row r="440" spans="1:11" ht="36" customHeight="1">
      <c r="A440" s="621" t="s">
        <v>12708</v>
      </c>
      <c r="B440" s="622" t="s">
        <v>13169</v>
      </c>
      <c r="C440" s="621" t="s">
        <v>8</v>
      </c>
      <c r="D440" s="621" t="s">
        <v>5439</v>
      </c>
      <c r="E440" s="811" t="s">
        <v>12779</v>
      </c>
      <c r="F440" s="812"/>
      <c r="G440" s="623" t="s">
        <v>35</v>
      </c>
      <c r="H440" s="624">
        <v>1</v>
      </c>
      <c r="I440" s="625">
        <v>209.91</v>
      </c>
      <c r="J440" s="625">
        <v>209.91</v>
      </c>
      <c r="K440"/>
    </row>
    <row r="441" spans="1:11" ht="24" customHeight="1">
      <c r="A441" s="621" t="s">
        <v>12708</v>
      </c>
      <c r="B441" s="622" t="s">
        <v>13139</v>
      </c>
      <c r="C441" s="621" t="s">
        <v>8</v>
      </c>
      <c r="D441" s="621" t="s">
        <v>262</v>
      </c>
      <c r="E441" s="811" t="s">
        <v>12707</v>
      </c>
      <c r="F441" s="812"/>
      <c r="G441" s="623" t="s">
        <v>23</v>
      </c>
      <c r="H441" s="624">
        <v>2.8439999999999999</v>
      </c>
      <c r="I441" s="625">
        <v>12.82</v>
      </c>
      <c r="J441" s="625">
        <v>36.46</v>
      </c>
      <c r="K441"/>
    </row>
    <row r="442" spans="1:11" ht="24" customHeight="1">
      <c r="A442" s="621" t="s">
        <v>12708</v>
      </c>
      <c r="B442" s="622" t="s">
        <v>12727</v>
      </c>
      <c r="C442" s="621" t="s">
        <v>8</v>
      </c>
      <c r="D442" s="621" t="s">
        <v>26</v>
      </c>
      <c r="E442" s="811" t="s">
        <v>12707</v>
      </c>
      <c r="F442" s="812"/>
      <c r="G442" s="623" t="s">
        <v>23</v>
      </c>
      <c r="H442" s="624">
        <v>0.65600000000000003</v>
      </c>
      <c r="I442" s="625">
        <v>14.37</v>
      </c>
      <c r="J442" s="625">
        <v>9.42</v>
      </c>
      <c r="K442"/>
    </row>
    <row r="443" spans="1:11" ht="24" customHeight="1">
      <c r="A443" s="626" t="s">
        <v>12709</v>
      </c>
      <c r="B443" s="627" t="s">
        <v>13602</v>
      </c>
      <c r="C443" s="626" t="s">
        <v>8</v>
      </c>
      <c r="D443" s="626" t="s">
        <v>8223</v>
      </c>
      <c r="E443" s="804" t="s">
        <v>12720</v>
      </c>
      <c r="F443" s="805"/>
      <c r="G443" s="628" t="s">
        <v>20</v>
      </c>
      <c r="H443" s="629">
        <v>46.54</v>
      </c>
      <c r="I443" s="630">
        <v>4.6900000000000004</v>
      </c>
      <c r="J443" s="630">
        <v>218.27</v>
      </c>
      <c r="K443"/>
    </row>
    <row r="444" spans="1:11" ht="24" customHeight="1">
      <c r="A444" s="626" t="s">
        <v>12709</v>
      </c>
      <c r="B444" s="627" t="s">
        <v>13601</v>
      </c>
      <c r="C444" s="626" t="s">
        <v>8</v>
      </c>
      <c r="D444" s="626" t="s">
        <v>9119</v>
      </c>
      <c r="E444" s="804" t="s">
        <v>12720</v>
      </c>
      <c r="F444" s="805"/>
      <c r="G444" s="628" t="s">
        <v>20</v>
      </c>
      <c r="H444" s="629">
        <v>0.52200000000000002</v>
      </c>
      <c r="I444" s="630">
        <v>12.5</v>
      </c>
      <c r="J444" s="630">
        <v>6.52</v>
      </c>
      <c r="K444"/>
    </row>
    <row r="445" spans="1:11" ht="36" customHeight="1">
      <c r="A445" s="626" t="s">
        <v>12709</v>
      </c>
      <c r="B445" s="627" t="s">
        <v>13600</v>
      </c>
      <c r="C445" s="626" t="s">
        <v>8</v>
      </c>
      <c r="D445" s="626" t="s">
        <v>10770</v>
      </c>
      <c r="E445" s="804" t="s">
        <v>12720</v>
      </c>
      <c r="F445" s="805"/>
      <c r="G445" s="628" t="s">
        <v>20</v>
      </c>
      <c r="H445" s="629">
        <v>112.86</v>
      </c>
      <c r="I445" s="630">
        <v>4.9400000000000004</v>
      </c>
      <c r="J445" s="630">
        <v>557.52</v>
      </c>
      <c r="K445"/>
    </row>
    <row r="446" spans="1:11" ht="25.5">
      <c r="A446" s="631"/>
      <c r="B446" s="631"/>
      <c r="C446" s="631"/>
      <c r="D446" s="631"/>
      <c r="E446" s="631" t="s">
        <v>12714</v>
      </c>
      <c r="F446" s="632">
        <v>69.915666558546874</v>
      </c>
      <c r="G446" s="631" t="s">
        <v>12715</v>
      </c>
      <c r="H446" s="632">
        <v>59.41</v>
      </c>
      <c r="I446" s="631" t="s">
        <v>12716</v>
      </c>
      <c r="J446" s="632">
        <v>129.33000000000001</v>
      </c>
      <c r="K446"/>
    </row>
    <row r="447" spans="1:11" ht="15" customHeight="1" thickBot="1">
      <c r="A447" s="631"/>
      <c r="B447" s="631"/>
      <c r="C447" s="631"/>
      <c r="D447" s="631"/>
      <c r="E447" s="631" t="s">
        <v>12717</v>
      </c>
      <c r="F447" s="632">
        <v>293.14999999999998</v>
      </c>
      <c r="G447" s="631"/>
      <c r="H447" s="806" t="s">
        <v>12718</v>
      </c>
      <c r="I447" s="806"/>
      <c r="J447" s="632">
        <v>1331.25</v>
      </c>
      <c r="K447"/>
    </row>
    <row r="448" spans="1:11" ht="0.95" customHeight="1" thickTop="1">
      <c r="A448" s="633"/>
      <c r="B448" s="633"/>
      <c r="C448" s="633"/>
      <c r="D448" s="633"/>
      <c r="E448" s="633"/>
      <c r="F448" s="633"/>
      <c r="G448" s="633"/>
      <c r="H448" s="633"/>
      <c r="I448" s="633"/>
      <c r="J448" s="633"/>
      <c r="K448"/>
    </row>
    <row r="449" spans="1:11" ht="18" customHeight="1">
      <c r="A449" s="613" t="s">
        <v>12780</v>
      </c>
      <c r="B449" s="614" t="s">
        <v>12698</v>
      </c>
      <c r="C449" s="613" t="s">
        <v>12699</v>
      </c>
      <c r="D449" s="613" t="s">
        <v>12700</v>
      </c>
      <c r="E449" s="807" t="s">
        <v>12701</v>
      </c>
      <c r="F449" s="808"/>
      <c r="G449" s="615" t="s">
        <v>12702</v>
      </c>
      <c r="H449" s="614" t="s">
        <v>12703</v>
      </c>
      <c r="I449" s="614" t="s">
        <v>12704</v>
      </c>
      <c r="J449" s="614" t="s">
        <v>12705</v>
      </c>
      <c r="K449"/>
    </row>
    <row r="450" spans="1:11" ht="48" customHeight="1">
      <c r="A450" s="616" t="s">
        <v>12706</v>
      </c>
      <c r="B450" s="617" t="s">
        <v>13604</v>
      </c>
      <c r="C450" s="616" t="s">
        <v>8</v>
      </c>
      <c r="D450" s="616" t="s">
        <v>2852</v>
      </c>
      <c r="E450" s="809" t="s">
        <v>12779</v>
      </c>
      <c r="F450" s="810"/>
      <c r="G450" s="618" t="s">
        <v>35</v>
      </c>
      <c r="H450" s="619">
        <v>1</v>
      </c>
      <c r="I450" s="620">
        <v>1105.95</v>
      </c>
      <c r="J450" s="620">
        <v>1105.95</v>
      </c>
      <c r="K450"/>
    </row>
    <row r="451" spans="1:11" ht="36" customHeight="1">
      <c r="A451" s="621" t="s">
        <v>12708</v>
      </c>
      <c r="B451" s="622" t="s">
        <v>13169</v>
      </c>
      <c r="C451" s="621" t="s">
        <v>8</v>
      </c>
      <c r="D451" s="621" t="s">
        <v>5439</v>
      </c>
      <c r="E451" s="811" t="s">
        <v>12779</v>
      </c>
      <c r="F451" s="812"/>
      <c r="G451" s="623" t="s">
        <v>35</v>
      </c>
      <c r="H451" s="624">
        <v>1</v>
      </c>
      <c r="I451" s="625">
        <v>209.91</v>
      </c>
      <c r="J451" s="625">
        <v>209.91</v>
      </c>
      <c r="K451"/>
    </row>
    <row r="452" spans="1:11" ht="24" customHeight="1">
      <c r="A452" s="621" t="s">
        <v>12708</v>
      </c>
      <c r="B452" s="622" t="s">
        <v>13139</v>
      </c>
      <c r="C452" s="621" t="s">
        <v>8</v>
      </c>
      <c r="D452" s="621" t="s">
        <v>262</v>
      </c>
      <c r="E452" s="811" t="s">
        <v>12707</v>
      </c>
      <c r="F452" s="812"/>
      <c r="G452" s="623" t="s">
        <v>23</v>
      </c>
      <c r="H452" s="624">
        <v>2.8439999999999999</v>
      </c>
      <c r="I452" s="625">
        <v>12.82</v>
      </c>
      <c r="J452" s="625">
        <v>36.46</v>
      </c>
      <c r="K452"/>
    </row>
    <row r="453" spans="1:11" ht="24" customHeight="1">
      <c r="A453" s="621" t="s">
        <v>12708</v>
      </c>
      <c r="B453" s="622" t="s">
        <v>12727</v>
      </c>
      <c r="C453" s="621" t="s">
        <v>8</v>
      </c>
      <c r="D453" s="621" t="s">
        <v>26</v>
      </c>
      <c r="E453" s="811" t="s">
        <v>12707</v>
      </c>
      <c r="F453" s="812"/>
      <c r="G453" s="623" t="s">
        <v>23</v>
      </c>
      <c r="H453" s="624">
        <v>0.65600000000000003</v>
      </c>
      <c r="I453" s="625">
        <v>14.37</v>
      </c>
      <c r="J453" s="625">
        <v>9.42</v>
      </c>
      <c r="K453"/>
    </row>
    <row r="454" spans="1:11" ht="24" customHeight="1">
      <c r="A454" s="626" t="s">
        <v>12709</v>
      </c>
      <c r="B454" s="627" t="s">
        <v>13602</v>
      </c>
      <c r="C454" s="626" t="s">
        <v>8</v>
      </c>
      <c r="D454" s="626" t="s">
        <v>8223</v>
      </c>
      <c r="E454" s="804" t="s">
        <v>12720</v>
      </c>
      <c r="F454" s="805"/>
      <c r="G454" s="628" t="s">
        <v>20</v>
      </c>
      <c r="H454" s="629">
        <v>50.2</v>
      </c>
      <c r="I454" s="630">
        <v>4.6900000000000004</v>
      </c>
      <c r="J454" s="630">
        <v>235.43</v>
      </c>
      <c r="K454"/>
    </row>
    <row r="455" spans="1:11" ht="24" customHeight="1">
      <c r="A455" s="626" t="s">
        <v>12709</v>
      </c>
      <c r="B455" s="627" t="s">
        <v>13601</v>
      </c>
      <c r="C455" s="626" t="s">
        <v>8</v>
      </c>
      <c r="D455" s="626" t="s">
        <v>9119</v>
      </c>
      <c r="E455" s="804" t="s">
        <v>12720</v>
      </c>
      <c r="F455" s="805"/>
      <c r="G455" s="628" t="s">
        <v>20</v>
      </c>
      <c r="H455" s="629">
        <v>0.52200000000000002</v>
      </c>
      <c r="I455" s="630">
        <v>12.5</v>
      </c>
      <c r="J455" s="630">
        <v>6.52</v>
      </c>
      <c r="K455"/>
    </row>
    <row r="456" spans="1:11" ht="36" customHeight="1">
      <c r="A456" s="626" t="s">
        <v>12709</v>
      </c>
      <c r="B456" s="627" t="s">
        <v>13600</v>
      </c>
      <c r="C456" s="626" t="s">
        <v>8</v>
      </c>
      <c r="D456" s="626" t="s">
        <v>10770</v>
      </c>
      <c r="E456" s="804" t="s">
        <v>12720</v>
      </c>
      <c r="F456" s="805"/>
      <c r="G456" s="628" t="s">
        <v>20</v>
      </c>
      <c r="H456" s="629">
        <v>123.12</v>
      </c>
      <c r="I456" s="630">
        <v>4.9400000000000004</v>
      </c>
      <c r="J456" s="630">
        <v>608.21</v>
      </c>
      <c r="K456"/>
    </row>
    <row r="457" spans="1:11" ht="25.5">
      <c r="A457" s="631"/>
      <c r="B457" s="631"/>
      <c r="C457" s="631"/>
      <c r="D457" s="631"/>
      <c r="E457" s="631" t="s">
        <v>12714</v>
      </c>
      <c r="F457" s="632">
        <v>69.915666558546874</v>
      </c>
      <c r="G457" s="631" t="s">
        <v>12715</v>
      </c>
      <c r="H457" s="632">
        <v>59.41</v>
      </c>
      <c r="I457" s="631" t="s">
        <v>12716</v>
      </c>
      <c r="J457" s="632">
        <v>129.33000000000001</v>
      </c>
      <c r="K457"/>
    </row>
    <row r="458" spans="1:11" ht="15" customHeight="1" thickBot="1">
      <c r="A458" s="631"/>
      <c r="B458" s="631"/>
      <c r="C458" s="631"/>
      <c r="D458" s="631"/>
      <c r="E458" s="631" t="s">
        <v>12717</v>
      </c>
      <c r="F458" s="632">
        <v>312.32</v>
      </c>
      <c r="G458" s="631"/>
      <c r="H458" s="806" t="s">
        <v>12718</v>
      </c>
      <c r="I458" s="806"/>
      <c r="J458" s="632">
        <v>1418.27</v>
      </c>
      <c r="K458"/>
    </row>
    <row r="459" spans="1:11" ht="0.95" customHeight="1" thickTop="1">
      <c r="A459" s="633"/>
      <c r="B459" s="633"/>
      <c r="C459" s="633"/>
      <c r="D459" s="633"/>
      <c r="E459" s="633"/>
      <c r="F459" s="633"/>
      <c r="G459" s="633"/>
      <c r="H459" s="633"/>
      <c r="I459" s="633"/>
      <c r="J459" s="633"/>
      <c r="K459"/>
    </row>
    <row r="460" spans="1:11" ht="18" customHeight="1">
      <c r="A460" s="613" t="s">
        <v>12781</v>
      </c>
      <c r="B460" s="614" t="s">
        <v>12698</v>
      </c>
      <c r="C460" s="613" t="s">
        <v>12699</v>
      </c>
      <c r="D460" s="613" t="s">
        <v>12700</v>
      </c>
      <c r="E460" s="807" t="s">
        <v>12701</v>
      </c>
      <c r="F460" s="808"/>
      <c r="G460" s="615" t="s">
        <v>12702</v>
      </c>
      <c r="H460" s="614" t="s">
        <v>12703</v>
      </c>
      <c r="I460" s="614" t="s">
        <v>12704</v>
      </c>
      <c r="J460" s="614" t="s">
        <v>12705</v>
      </c>
      <c r="K460"/>
    </row>
    <row r="461" spans="1:11" ht="48" customHeight="1">
      <c r="A461" s="616" t="s">
        <v>12706</v>
      </c>
      <c r="B461" s="617" t="s">
        <v>13603</v>
      </c>
      <c r="C461" s="616" t="s">
        <v>8</v>
      </c>
      <c r="D461" s="616" t="s">
        <v>2848</v>
      </c>
      <c r="E461" s="809" t="s">
        <v>12779</v>
      </c>
      <c r="F461" s="810"/>
      <c r="G461" s="618" t="s">
        <v>35</v>
      </c>
      <c r="H461" s="619">
        <v>1</v>
      </c>
      <c r="I461" s="620">
        <v>721.74</v>
      </c>
      <c r="J461" s="620">
        <v>721.74</v>
      </c>
      <c r="K461"/>
    </row>
    <row r="462" spans="1:11" ht="36" customHeight="1">
      <c r="A462" s="621" t="s">
        <v>12708</v>
      </c>
      <c r="B462" s="622" t="s">
        <v>13168</v>
      </c>
      <c r="C462" s="621" t="s">
        <v>8</v>
      </c>
      <c r="D462" s="621" t="s">
        <v>5437</v>
      </c>
      <c r="E462" s="811" t="s">
        <v>12779</v>
      </c>
      <c r="F462" s="812"/>
      <c r="G462" s="623" t="s">
        <v>35</v>
      </c>
      <c r="H462" s="624">
        <v>1</v>
      </c>
      <c r="I462" s="625">
        <v>147.61000000000001</v>
      </c>
      <c r="J462" s="625">
        <v>147.61000000000001</v>
      </c>
      <c r="K462"/>
    </row>
    <row r="463" spans="1:11" ht="36" customHeight="1">
      <c r="A463" s="621" t="s">
        <v>12708</v>
      </c>
      <c r="B463" s="622" t="s">
        <v>13139</v>
      </c>
      <c r="C463" s="621" t="s">
        <v>8</v>
      </c>
      <c r="D463" s="621" t="s">
        <v>262</v>
      </c>
      <c r="E463" s="811" t="s">
        <v>12707</v>
      </c>
      <c r="F463" s="812"/>
      <c r="G463" s="623" t="s">
        <v>23</v>
      </c>
      <c r="H463" s="624">
        <v>2.133</v>
      </c>
      <c r="I463" s="625">
        <v>12.82</v>
      </c>
      <c r="J463" s="625">
        <v>27.34</v>
      </c>
      <c r="K463"/>
    </row>
    <row r="464" spans="1:11" ht="24" customHeight="1">
      <c r="A464" s="621" t="s">
        <v>12708</v>
      </c>
      <c r="B464" s="622" t="s">
        <v>12727</v>
      </c>
      <c r="C464" s="621" t="s">
        <v>8</v>
      </c>
      <c r="D464" s="621" t="s">
        <v>26</v>
      </c>
      <c r="E464" s="811" t="s">
        <v>12707</v>
      </c>
      <c r="F464" s="812"/>
      <c r="G464" s="623" t="s">
        <v>23</v>
      </c>
      <c r="H464" s="624">
        <v>0.49199999999999999</v>
      </c>
      <c r="I464" s="625">
        <v>14.37</v>
      </c>
      <c r="J464" s="625">
        <v>7.07</v>
      </c>
      <c r="K464"/>
    </row>
    <row r="465" spans="1:11" ht="24" customHeight="1">
      <c r="A465" s="626" t="s">
        <v>12709</v>
      </c>
      <c r="B465" s="627" t="s">
        <v>13602</v>
      </c>
      <c r="C465" s="626" t="s">
        <v>8</v>
      </c>
      <c r="D465" s="626" t="s">
        <v>8223</v>
      </c>
      <c r="E465" s="804" t="s">
        <v>12720</v>
      </c>
      <c r="F465" s="805"/>
      <c r="G465" s="628" t="s">
        <v>20</v>
      </c>
      <c r="H465" s="629">
        <v>27.62</v>
      </c>
      <c r="I465" s="630">
        <v>4.6900000000000004</v>
      </c>
      <c r="J465" s="630">
        <v>129.53</v>
      </c>
      <c r="K465"/>
    </row>
    <row r="466" spans="1:11" ht="24" customHeight="1">
      <c r="A466" s="626" t="s">
        <v>12709</v>
      </c>
      <c r="B466" s="627" t="s">
        <v>13601</v>
      </c>
      <c r="C466" s="626" t="s">
        <v>8</v>
      </c>
      <c r="D466" s="626" t="s">
        <v>9119</v>
      </c>
      <c r="E466" s="804" t="s">
        <v>12720</v>
      </c>
      <c r="F466" s="805"/>
      <c r="G466" s="628" t="s">
        <v>20</v>
      </c>
      <c r="H466" s="629">
        <v>0.378</v>
      </c>
      <c r="I466" s="630">
        <v>12.5</v>
      </c>
      <c r="J466" s="630">
        <v>4.72</v>
      </c>
      <c r="K466"/>
    </row>
    <row r="467" spans="1:11" ht="36" customHeight="1">
      <c r="A467" s="626" t="s">
        <v>12709</v>
      </c>
      <c r="B467" s="627" t="s">
        <v>13600</v>
      </c>
      <c r="C467" s="626" t="s">
        <v>8</v>
      </c>
      <c r="D467" s="626" t="s">
        <v>10770</v>
      </c>
      <c r="E467" s="804" t="s">
        <v>12720</v>
      </c>
      <c r="F467" s="805"/>
      <c r="G467" s="628" t="s">
        <v>20</v>
      </c>
      <c r="H467" s="629">
        <v>82.08</v>
      </c>
      <c r="I467" s="630">
        <v>4.9400000000000004</v>
      </c>
      <c r="J467" s="630">
        <v>405.47</v>
      </c>
      <c r="K467"/>
    </row>
    <row r="468" spans="1:11" ht="25.5">
      <c r="A468" s="631"/>
      <c r="B468" s="631"/>
      <c r="C468" s="631"/>
      <c r="D468" s="631"/>
      <c r="E468" s="631" t="s">
        <v>12714</v>
      </c>
      <c r="F468" s="632">
        <v>42.615417883014381</v>
      </c>
      <c r="G468" s="631" t="s">
        <v>12715</v>
      </c>
      <c r="H468" s="632">
        <v>36.21</v>
      </c>
      <c r="I468" s="631" t="s">
        <v>12716</v>
      </c>
      <c r="J468" s="632">
        <v>78.83</v>
      </c>
      <c r="K468"/>
    </row>
    <row r="469" spans="1:11" ht="15" customHeight="1" thickBot="1">
      <c r="A469" s="631"/>
      <c r="B469" s="631"/>
      <c r="C469" s="631"/>
      <c r="D469" s="631"/>
      <c r="E469" s="631" t="s">
        <v>12717</v>
      </c>
      <c r="F469" s="632">
        <v>203.81</v>
      </c>
      <c r="G469" s="631"/>
      <c r="H469" s="806" t="s">
        <v>12718</v>
      </c>
      <c r="I469" s="806"/>
      <c r="J469" s="632">
        <v>925.55</v>
      </c>
      <c r="K469"/>
    </row>
    <row r="470" spans="1:11" ht="0.95" customHeight="1" thickTop="1">
      <c r="A470" s="633"/>
      <c r="B470" s="633"/>
      <c r="C470" s="633"/>
      <c r="D470" s="633"/>
      <c r="E470" s="633"/>
      <c r="F470" s="633"/>
      <c r="G470" s="633"/>
      <c r="H470" s="633"/>
      <c r="I470" s="633"/>
      <c r="J470" s="633"/>
      <c r="K470"/>
    </row>
    <row r="471" spans="1:11" ht="18" customHeight="1">
      <c r="A471" s="613" t="s">
        <v>12782</v>
      </c>
      <c r="B471" s="614" t="s">
        <v>12698</v>
      </c>
      <c r="C471" s="613" t="s">
        <v>12699</v>
      </c>
      <c r="D471" s="613" t="s">
        <v>12700</v>
      </c>
      <c r="E471" s="807" t="s">
        <v>12701</v>
      </c>
      <c r="F471" s="808"/>
      <c r="G471" s="615" t="s">
        <v>12702</v>
      </c>
      <c r="H471" s="614" t="s">
        <v>12703</v>
      </c>
      <c r="I471" s="614" t="s">
        <v>12704</v>
      </c>
      <c r="J471" s="614" t="s">
        <v>12705</v>
      </c>
      <c r="K471"/>
    </row>
    <row r="472" spans="1:11" ht="36" customHeight="1">
      <c r="A472" s="616" t="s">
        <v>12706</v>
      </c>
      <c r="B472" s="617" t="s">
        <v>13599</v>
      </c>
      <c r="C472" s="616" t="s">
        <v>8</v>
      </c>
      <c r="D472" s="616" t="s">
        <v>5452</v>
      </c>
      <c r="E472" s="809" t="s">
        <v>12779</v>
      </c>
      <c r="F472" s="810"/>
      <c r="G472" s="618" t="s">
        <v>12725</v>
      </c>
      <c r="H472" s="619">
        <v>1</v>
      </c>
      <c r="I472" s="620">
        <v>27.27</v>
      </c>
      <c r="J472" s="620">
        <v>27.27</v>
      </c>
      <c r="K472"/>
    </row>
    <row r="473" spans="1:11" ht="48" customHeight="1">
      <c r="A473" s="621" t="s">
        <v>12708</v>
      </c>
      <c r="B473" s="622" t="s">
        <v>13184</v>
      </c>
      <c r="C473" s="621" t="s">
        <v>8</v>
      </c>
      <c r="D473" s="621" t="s">
        <v>3198</v>
      </c>
      <c r="E473" s="811" t="s">
        <v>12726</v>
      </c>
      <c r="F473" s="812"/>
      <c r="G473" s="623" t="s">
        <v>44</v>
      </c>
      <c r="H473" s="624">
        <v>6.7999999999999996E-3</v>
      </c>
      <c r="I473" s="625">
        <v>14.18</v>
      </c>
      <c r="J473" s="625">
        <v>0.09</v>
      </c>
      <c r="K473"/>
    </row>
    <row r="474" spans="1:11" ht="48" customHeight="1">
      <c r="A474" s="621" t="s">
        <v>12708</v>
      </c>
      <c r="B474" s="622" t="s">
        <v>13185</v>
      </c>
      <c r="C474" s="621" t="s">
        <v>8</v>
      </c>
      <c r="D474" s="621" t="s">
        <v>3199</v>
      </c>
      <c r="E474" s="811" t="s">
        <v>12726</v>
      </c>
      <c r="F474" s="812"/>
      <c r="G474" s="623" t="s">
        <v>61</v>
      </c>
      <c r="H474" s="624">
        <v>9.4000000000000004E-3</v>
      </c>
      <c r="I474" s="625">
        <v>13.29</v>
      </c>
      <c r="J474" s="625">
        <v>0.12</v>
      </c>
      <c r="K474"/>
    </row>
    <row r="475" spans="1:11" ht="24" customHeight="1">
      <c r="A475" s="621" t="s">
        <v>12708</v>
      </c>
      <c r="B475" s="622" t="s">
        <v>13139</v>
      </c>
      <c r="C475" s="621" t="s">
        <v>8</v>
      </c>
      <c r="D475" s="621" t="s">
        <v>262</v>
      </c>
      <c r="E475" s="811" t="s">
        <v>12707</v>
      </c>
      <c r="F475" s="812"/>
      <c r="G475" s="623" t="s">
        <v>23</v>
      </c>
      <c r="H475" s="624">
        <v>0.21299999999999999</v>
      </c>
      <c r="I475" s="625">
        <v>12.82</v>
      </c>
      <c r="J475" s="625">
        <v>2.73</v>
      </c>
      <c r="K475"/>
    </row>
    <row r="476" spans="1:11" ht="24" customHeight="1">
      <c r="A476" s="621" t="s">
        <v>12708</v>
      </c>
      <c r="B476" s="622" t="s">
        <v>12727</v>
      </c>
      <c r="C476" s="621" t="s">
        <v>8</v>
      </c>
      <c r="D476" s="621" t="s">
        <v>26</v>
      </c>
      <c r="E476" s="811" t="s">
        <v>12707</v>
      </c>
      <c r="F476" s="812"/>
      <c r="G476" s="623" t="s">
        <v>23</v>
      </c>
      <c r="H476" s="624">
        <v>0.106</v>
      </c>
      <c r="I476" s="625">
        <v>14.37</v>
      </c>
      <c r="J476" s="625">
        <v>1.52</v>
      </c>
      <c r="K476"/>
    </row>
    <row r="477" spans="1:11" ht="24" customHeight="1">
      <c r="A477" s="626" t="s">
        <v>12709</v>
      </c>
      <c r="B477" s="627" t="s">
        <v>13598</v>
      </c>
      <c r="C477" s="626" t="s">
        <v>8</v>
      </c>
      <c r="D477" s="626" t="s">
        <v>10681</v>
      </c>
      <c r="E477" s="804" t="s">
        <v>12720</v>
      </c>
      <c r="F477" s="805"/>
      <c r="G477" s="628" t="s">
        <v>12777</v>
      </c>
      <c r="H477" s="629">
        <v>7.0000000000000001E-3</v>
      </c>
      <c r="I477" s="630">
        <v>128.51</v>
      </c>
      <c r="J477" s="630">
        <v>0.89</v>
      </c>
      <c r="K477"/>
    </row>
    <row r="478" spans="1:11" ht="25.5">
      <c r="A478" s="626" t="s">
        <v>12709</v>
      </c>
      <c r="B478" s="627" t="s">
        <v>13597</v>
      </c>
      <c r="C478" s="626" t="s">
        <v>8</v>
      </c>
      <c r="D478" s="626" t="s">
        <v>10746</v>
      </c>
      <c r="E478" s="804" t="s">
        <v>12720</v>
      </c>
      <c r="F478" s="805"/>
      <c r="G478" s="628" t="s">
        <v>20</v>
      </c>
      <c r="H478" s="629">
        <v>4.3330000000000002</v>
      </c>
      <c r="I478" s="630">
        <v>5.0599999999999996</v>
      </c>
      <c r="J478" s="630">
        <v>21.92</v>
      </c>
      <c r="K478"/>
    </row>
    <row r="479" spans="1:11" ht="15" customHeight="1">
      <c r="A479" s="631"/>
      <c r="B479" s="631"/>
      <c r="C479" s="631"/>
      <c r="D479" s="631"/>
      <c r="E479" s="631" t="s">
        <v>12714</v>
      </c>
      <c r="F479" s="632">
        <v>1.6380149205319494</v>
      </c>
      <c r="G479" s="631" t="s">
        <v>12715</v>
      </c>
      <c r="H479" s="632">
        <v>1.39</v>
      </c>
      <c r="I479" s="631" t="s">
        <v>12716</v>
      </c>
      <c r="J479" s="632">
        <v>3.03</v>
      </c>
      <c r="K479"/>
    </row>
    <row r="480" spans="1:11" ht="0.95" customHeight="1" thickBot="1">
      <c r="A480" s="631"/>
      <c r="B480" s="631"/>
      <c r="C480" s="631"/>
      <c r="D480" s="631"/>
      <c r="E480" s="631" t="s">
        <v>12717</v>
      </c>
      <c r="F480" s="632">
        <v>7.7</v>
      </c>
      <c r="G480" s="631"/>
      <c r="H480" s="806" t="s">
        <v>12718</v>
      </c>
      <c r="I480" s="806"/>
      <c r="J480" s="632">
        <v>34.97</v>
      </c>
      <c r="K480"/>
    </row>
    <row r="481" spans="1:11" ht="18" customHeight="1" thickTop="1">
      <c r="A481" s="633"/>
      <c r="B481" s="633"/>
      <c r="C481" s="633"/>
      <c r="D481" s="633"/>
      <c r="E481" s="633"/>
      <c r="F481" s="633"/>
      <c r="G481" s="633"/>
      <c r="H481" s="633"/>
      <c r="I481" s="633"/>
      <c r="J481" s="633"/>
      <c r="K481"/>
    </row>
    <row r="482" spans="1:11" ht="36" customHeight="1">
      <c r="A482" s="613" t="s">
        <v>12783</v>
      </c>
      <c r="B482" s="614" t="s">
        <v>12698</v>
      </c>
      <c r="C482" s="613" t="s">
        <v>12699</v>
      </c>
      <c r="D482" s="613" t="s">
        <v>12700</v>
      </c>
      <c r="E482" s="807" t="s">
        <v>12701</v>
      </c>
      <c r="F482" s="808"/>
      <c r="G482" s="615" t="s">
        <v>12702</v>
      </c>
      <c r="H482" s="614" t="s">
        <v>12703</v>
      </c>
      <c r="I482" s="614" t="s">
        <v>12704</v>
      </c>
      <c r="J482" s="614" t="s">
        <v>12705</v>
      </c>
      <c r="K482"/>
    </row>
    <row r="483" spans="1:11" ht="36" customHeight="1">
      <c r="A483" s="616" t="s">
        <v>12706</v>
      </c>
      <c r="B483" s="617" t="s">
        <v>13596</v>
      </c>
      <c r="C483" s="616" t="s">
        <v>8</v>
      </c>
      <c r="D483" s="616" t="s">
        <v>7016</v>
      </c>
      <c r="E483" s="809" t="s">
        <v>12784</v>
      </c>
      <c r="F483" s="810"/>
      <c r="G483" s="618" t="s">
        <v>12725</v>
      </c>
      <c r="H483" s="619">
        <v>1</v>
      </c>
      <c r="I483" s="620">
        <v>16.510000000000002</v>
      </c>
      <c r="J483" s="620">
        <v>16.510000000000002</v>
      </c>
      <c r="K483"/>
    </row>
    <row r="484" spans="1:11" ht="36" customHeight="1">
      <c r="A484" s="621" t="s">
        <v>12708</v>
      </c>
      <c r="B484" s="622" t="s">
        <v>13263</v>
      </c>
      <c r="C484" s="621" t="s">
        <v>8</v>
      </c>
      <c r="D484" s="621" t="s">
        <v>3959</v>
      </c>
      <c r="E484" s="811" t="s">
        <v>12726</v>
      </c>
      <c r="F484" s="812"/>
      <c r="G484" s="623" t="s">
        <v>44</v>
      </c>
      <c r="H484" s="624">
        <v>0.15340000000000001</v>
      </c>
      <c r="I484" s="625">
        <v>1.28</v>
      </c>
      <c r="J484" s="625">
        <v>0.19</v>
      </c>
      <c r="K484"/>
    </row>
    <row r="485" spans="1:11" ht="24" customHeight="1">
      <c r="A485" s="621" t="s">
        <v>12708</v>
      </c>
      <c r="B485" s="622" t="s">
        <v>13265</v>
      </c>
      <c r="C485" s="621" t="s">
        <v>8</v>
      </c>
      <c r="D485" s="621" t="s">
        <v>3958</v>
      </c>
      <c r="E485" s="811" t="s">
        <v>12726</v>
      </c>
      <c r="F485" s="812"/>
      <c r="G485" s="623" t="s">
        <v>61</v>
      </c>
      <c r="H485" s="624">
        <v>0.37319999999999998</v>
      </c>
      <c r="I485" s="625">
        <v>0.12</v>
      </c>
      <c r="J485" s="625">
        <v>0.04</v>
      </c>
      <c r="K485"/>
    </row>
    <row r="486" spans="1:11" ht="24" customHeight="1">
      <c r="A486" s="621" t="s">
        <v>12708</v>
      </c>
      <c r="B486" s="622" t="s">
        <v>13090</v>
      </c>
      <c r="C486" s="621" t="s">
        <v>8</v>
      </c>
      <c r="D486" s="621" t="s">
        <v>287</v>
      </c>
      <c r="E486" s="811" t="s">
        <v>12707</v>
      </c>
      <c r="F486" s="812"/>
      <c r="G486" s="623" t="s">
        <v>23</v>
      </c>
      <c r="H486" s="624">
        <v>0.52659999999999996</v>
      </c>
      <c r="I486" s="625">
        <v>18.88</v>
      </c>
      <c r="J486" s="625">
        <v>9.94</v>
      </c>
      <c r="K486"/>
    </row>
    <row r="487" spans="1:11" ht="36" customHeight="1">
      <c r="A487" s="626" t="s">
        <v>12709</v>
      </c>
      <c r="B487" s="627" t="s">
        <v>13595</v>
      </c>
      <c r="C487" s="626" t="s">
        <v>8</v>
      </c>
      <c r="D487" s="626" t="s">
        <v>11024</v>
      </c>
      <c r="E487" s="804" t="s">
        <v>12720</v>
      </c>
      <c r="F487" s="805"/>
      <c r="G487" s="628" t="s">
        <v>12785</v>
      </c>
      <c r="H487" s="629">
        <v>1.15E-2</v>
      </c>
      <c r="I487" s="630">
        <v>486.82</v>
      </c>
      <c r="J487" s="630">
        <v>5.59</v>
      </c>
      <c r="K487"/>
    </row>
    <row r="488" spans="1:11" ht="60" customHeight="1">
      <c r="A488" s="626" t="s">
        <v>12709</v>
      </c>
      <c r="B488" s="627" t="s">
        <v>13551</v>
      </c>
      <c r="C488" s="626" t="s">
        <v>8</v>
      </c>
      <c r="D488" s="626" t="s">
        <v>11317</v>
      </c>
      <c r="E488" s="804" t="s">
        <v>12720</v>
      </c>
      <c r="F488" s="805"/>
      <c r="G488" s="628" t="s">
        <v>58</v>
      </c>
      <c r="H488" s="629">
        <v>6.1899999999999997E-2</v>
      </c>
      <c r="I488" s="630">
        <v>12.12</v>
      </c>
      <c r="J488" s="630">
        <v>0.75</v>
      </c>
      <c r="K488"/>
    </row>
    <row r="489" spans="1:11" ht="25.5">
      <c r="A489" s="631"/>
      <c r="B489" s="631"/>
      <c r="C489" s="631"/>
      <c r="D489" s="631"/>
      <c r="E489" s="631" t="s">
        <v>12714</v>
      </c>
      <c r="F489" s="632">
        <v>3.6760730889825926</v>
      </c>
      <c r="G489" s="631" t="s">
        <v>12715</v>
      </c>
      <c r="H489" s="632">
        <v>3.12</v>
      </c>
      <c r="I489" s="631" t="s">
        <v>12716</v>
      </c>
      <c r="J489" s="632">
        <v>6.8</v>
      </c>
      <c r="K489"/>
    </row>
    <row r="490" spans="1:11" ht="15" customHeight="1" thickBot="1">
      <c r="A490" s="631"/>
      <c r="B490" s="631"/>
      <c r="C490" s="631"/>
      <c r="D490" s="631"/>
      <c r="E490" s="631" t="s">
        <v>12717</v>
      </c>
      <c r="F490" s="632">
        <v>4.66</v>
      </c>
      <c r="G490" s="631"/>
      <c r="H490" s="806" t="s">
        <v>12718</v>
      </c>
      <c r="I490" s="806"/>
      <c r="J490" s="632">
        <v>21.17</v>
      </c>
      <c r="K490"/>
    </row>
    <row r="491" spans="1:11" ht="0.95" customHeight="1" thickTop="1">
      <c r="A491" s="633"/>
      <c r="B491" s="633"/>
      <c r="C491" s="633"/>
      <c r="D491" s="633"/>
      <c r="E491" s="633"/>
      <c r="F491" s="633"/>
      <c r="G491" s="633"/>
      <c r="H491" s="633"/>
      <c r="I491" s="633"/>
      <c r="J491" s="633"/>
      <c r="K491"/>
    </row>
    <row r="492" spans="1:11" ht="18" customHeight="1">
      <c r="A492" s="613" t="s">
        <v>12786</v>
      </c>
      <c r="B492" s="614" t="s">
        <v>12698</v>
      </c>
      <c r="C492" s="613" t="s">
        <v>12699</v>
      </c>
      <c r="D492" s="613" t="s">
        <v>12700</v>
      </c>
      <c r="E492" s="807" t="s">
        <v>12701</v>
      </c>
      <c r="F492" s="808"/>
      <c r="G492" s="615" t="s">
        <v>12702</v>
      </c>
      <c r="H492" s="614" t="s">
        <v>12703</v>
      </c>
      <c r="I492" s="614" t="s">
        <v>12704</v>
      </c>
      <c r="J492" s="614" t="s">
        <v>12705</v>
      </c>
      <c r="K492"/>
    </row>
    <row r="493" spans="1:11" ht="24" customHeight="1">
      <c r="A493" s="616" t="s">
        <v>12706</v>
      </c>
      <c r="B493" s="617" t="s">
        <v>13594</v>
      </c>
      <c r="C493" s="616" t="s">
        <v>8</v>
      </c>
      <c r="D493" s="616" t="s">
        <v>5416</v>
      </c>
      <c r="E493" s="809" t="s">
        <v>12779</v>
      </c>
      <c r="F493" s="810"/>
      <c r="G493" s="618" t="s">
        <v>12725</v>
      </c>
      <c r="H493" s="619">
        <v>1</v>
      </c>
      <c r="I493" s="620">
        <v>124.7</v>
      </c>
      <c r="J493" s="620">
        <v>124.7</v>
      </c>
      <c r="K493"/>
    </row>
    <row r="494" spans="1:11" ht="24" customHeight="1">
      <c r="A494" s="621" t="s">
        <v>12708</v>
      </c>
      <c r="B494" s="622" t="s">
        <v>13184</v>
      </c>
      <c r="C494" s="621" t="s">
        <v>8</v>
      </c>
      <c r="D494" s="621" t="s">
        <v>3198</v>
      </c>
      <c r="E494" s="811" t="s">
        <v>12726</v>
      </c>
      <c r="F494" s="812"/>
      <c r="G494" s="623" t="s">
        <v>44</v>
      </c>
      <c r="H494" s="624">
        <v>8.9999999999999998E-4</v>
      </c>
      <c r="I494" s="625">
        <v>14.18</v>
      </c>
      <c r="J494" s="625">
        <v>0.01</v>
      </c>
      <c r="K494"/>
    </row>
    <row r="495" spans="1:11" ht="36" customHeight="1">
      <c r="A495" s="621" t="s">
        <v>12708</v>
      </c>
      <c r="B495" s="622" t="s">
        <v>13185</v>
      </c>
      <c r="C495" s="621" t="s">
        <v>8</v>
      </c>
      <c r="D495" s="621" t="s">
        <v>3199</v>
      </c>
      <c r="E495" s="811" t="s">
        <v>12726</v>
      </c>
      <c r="F495" s="812"/>
      <c r="G495" s="623" t="s">
        <v>61</v>
      </c>
      <c r="H495" s="624">
        <v>1.1999999999999999E-3</v>
      </c>
      <c r="I495" s="625">
        <v>13.29</v>
      </c>
      <c r="J495" s="625">
        <v>0.01</v>
      </c>
      <c r="K495"/>
    </row>
    <row r="496" spans="1:11" ht="36" customHeight="1">
      <c r="A496" s="621" t="s">
        <v>12708</v>
      </c>
      <c r="B496" s="622" t="s">
        <v>12727</v>
      </c>
      <c r="C496" s="621" t="s">
        <v>8</v>
      </c>
      <c r="D496" s="621" t="s">
        <v>26</v>
      </c>
      <c r="E496" s="811" t="s">
        <v>12707</v>
      </c>
      <c r="F496" s="812"/>
      <c r="G496" s="623" t="s">
        <v>23</v>
      </c>
      <c r="H496" s="624">
        <v>6.2E-2</v>
      </c>
      <c r="I496" s="625">
        <v>14.37</v>
      </c>
      <c r="J496" s="625">
        <v>0.89</v>
      </c>
      <c r="K496"/>
    </row>
    <row r="497" spans="1:11" ht="24" customHeight="1">
      <c r="A497" s="621" t="s">
        <v>12708</v>
      </c>
      <c r="B497" s="622" t="s">
        <v>13034</v>
      </c>
      <c r="C497" s="621" t="s">
        <v>8</v>
      </c>
      <c r="D497" s="621" t="s">
        <v>296</v>
      </c>
      <c r="E497" s="811" t="s">
        <v>12707</v>
      </c>
      <c r="F497" s="812"/>
      <c r="G497" s="623" t="s">
        <v>23</v>
      </c>
      <c r="H497" s="624">
        <v>5.6000000000000001E-2</v>
      </c>
      <c r="I497" s="625">
        <v>18.809999999999999</v>
      </c>
      <c r="J497" s="625">
        <v>1.05</v>
      </c>
      <c r="K497"/>
    </row>
    <row r="498" spans="1:11" ht="24" customHeight="1">
      <c r="A498" s="626" t="s">
        <v>12709</v>
      </c>
      <c r="B498" s="627" t="s">
        <v>13593</v>
      </c>
      <c r="C498" s="626" t="s">
        <v>8</v>
      </c>
      <c r="D498" s="626" t="s">
        <v>9601</v>
      </c>
      <c r="E498" s="804" t="s">
        <v>12720</v>
      </c>
      <c r="F498" s="805"/>
      <c r="G498" s="628" t="s">
        <v>12787</v>
      </c>
      <c r="H498" s="629">
        <v>4.1500000000000004</v>
      </c>
      <c r="I498" s="630">
        <v>1.1100000000000001</v>
      </c>
      <c r="J498" s="630">
        <v>4.5999999999999996</v>
      </c>
      <c r="K498"/>
    </row>
    <row r="499" spans="1:11" ht="24" customHeight="1">
      <c r="A499" s="626" t="s">
        <v>12709</v>
      </c>
      <c r="B499" s="627" t="s">
        <v>14457</v>
      </c>
      <c r="C499" s="626" t="s">
        <v>8</v>
      </c>
      <c r="D499" s="626" t="s">
        <v>12942</v>
      </c>
      <c r="E499" s="804" t="s">
        <v>12720</v>
      </c>
      <c r="F499" s="805"/>
      <c r="G499" s="628" t="s">
        <v>12725</v>
      </c>
      <c r="H499" s="629">
        <v>1.1459999999999999</v>
      </c>
      <c r="I499" s="630">
        <v>103.09</v>
      </c>
      <c r="J499" s="630">
        <v>118.14</v>
      </c>
      <c r="K499"/>
    </row>
    <row r="500" spans="1:11" ht="36" customHeight="1">
      <c r="A500" s="631"/>
      <c r="B500" s="631"/>
      <c r="C500" s="631"/>
      <c r="D500" s="631"/>
      <c r="E500" s="631" t="s">
        <v>12714</v>
      </c>
      <c r="F500" s="632">
        <v>0.74602659746999678</v>
      </c>
      <c r="G500" s="631" t="s">
        <v>12715</v>
      </c>
      <c r="H500" s="632">
        <v>0.63</v>
      </c>
      <c r="I500" s="631" t="s">
        <v>12716</v>
      </c>
      <c r="J500" s="632">
        <v>1.38</v>
      </c>
      <c r="K500"/>
    </row>
    <row r="501" spans="1:11" ht="15" customHeight="1" thickBot="1">
      <c r="A501" s="631"/>
      <c r="B501" s="631"/>
      <c r="C501" s="631"/>
      <c r="D501" s="631"/>
      <c r="E501" s="631" t="s">
        <v>12717</v>
      </c>
      <c r="F501" s="632">
        <v>35.21</v>
      </c>
      <c r="G501" s="631"/>
      <c r="H501" s="806" t="s">
        <v>12718</v>
      </c>
      <c r="I501" s="806"/>
      <c r="J501" s="632">
        <v>159.91</v>
      </c>
      <c r="K501"/>
    </row>
    <row r="502" spans="1:11" ht="15" customHeight="1" thickTop="1">
      <c r="A502" s="633"/>
      <c r="B502" s="633"/>
      <c r="C502" s="633"/>
      <c r="D502" s="633"/>
      <c r="E502" s="633"/>
      <c r="F502" s="633"/>
      <c r="G502" s="633"/>
      <c r="H502" s="633"/>
      <c r="I502" s="633"/>
      <c r="J502" s="633"/>
      <c r="K502"/>
    </row>
    <row r="503" spans="1:11" ht="0.95" customHeight="1">
      <c r="A503" s="613" t="s">
        <v>12788</v>
      </c>
      <c r="B503" s="614" t="s">
        <v>12698</v>
      </c>
      <c r="C503" s="613" t="s">
        <v>12699</v>
      </c>
      <c r="D503" s="613" t="s">
        <v>12700</v>
      </c>
      <c r="E503" s="807" t="s">
        <v>12701</v>
      </c>
      <c r="F503" s="808"/>
      <c r="G503" s="615" t="s">
        <v>12702</v>
      </c>
      <c r="H503" s="614" t="s">
        <v>12703</v>
      </c>
      <c r="I503" s="614" t="s">
        <v>12704</v>
      </c>
      <c r="J503" s="614" t="s">
        <v>12705</v>
      </c>
      <c r="K503"/>
    </row>
    <row r="504" spans="1:11" ht="18" customHeight="1">
      <c r="A504" s="616" t="s">
        <v>12706</v>
      </c>
      <c r="B504" s="617" t="s">
        <v>13592</v>
      </c>
      <c r="C504" s="616" t="s">
        <v>8</v>
      </c>
      <c r="D504" s="616" t="s">
        <v>3168</v>
      </c>
      <c r="E504" s="809" t="s">
        <v>12734</v>
      </c>
      <c r="F504" s="810"/>
      <c r="G504" s="618" t="s">
        <v>17</v>
      </c>
      <c r="H504" s="619">
        <v>1</v>
      </c>
      <c r="I504" s="620">
        <v>29.8</v>
      </c>
      <c r="J504" s="620">
        <v>29.8</v>
      </c>
      <c r="K504"/>
    </row>
    <row r="505" spans="1:11" ht="36" customHeight="1">
      <c r="A505" s="621" t="s">
        <v>12708</v>
      </c>
      <c r="B505" s="622" t="s">
        <v>13192</v>
      </c>
      <c r="C505" s="621" t="s">
        <v>8</v>
      </c>
      <c r="D505" s="621" t="s">
        <v>2649</v>
      </c>
      <c r="E505" s="811" t="s">
        <v>12734</v>
      </c>
      <c r="F505" s="812"/>
      <c r="G505" s="623" t="s">
        <v>12725</v>
      </c>
      <c r="H505" s="624">
        <v>0.2</v>
      </c>
      <c r="I505" s="625">
        <v>51.31</v>
      </c>
      <c r="J505" s="625">
        <v>10.26</v>
      </c>
      <c r="K505"/>
    </row>
    <row r="506" spans="1:11" ht="24" customHeight="1">
      <c r="A506" s="621" t="s">
        <v>12708</v>
      </c>
      <c r="B506" s="622" t="s">
        <v>13241</v>
      </c>
      <c r="C506" s="621" t="s">
        <v>8</v>
      </c>
      <c r="D506" s="621" t="s">
        <v>2979</v>
      </c>
      <c r="E506" s="811" t="s">
        <v>12734</v>
      </c>
      <c r="F506" s="812"/>
      <c r="G506" s="623" t="s">
        <v>20</v>
      </c>
      <c r="H506" s="624">
        <v>0.79</v>
      </c>
      <c r="I506" s="625">
        <v>6.49</v>
      </c>
      <c r="J506" s="625">
        <v>5.12</v>
      </c>
      <c r="K506"/>
    </row>
    <row r="507" spans="1:11" ht="24" customHeight="1">
      <c r="A507" s="621" t="s">
        <v>12708</v>
      </c>
      <c r="B507" s="622" t="s">
        <v>13255</v>
      </c>
      <c r="C507" s="621" t="s">
        <v>8</v>
      </c>
      <c r="D507" s="621" t="s">
        <v>725</v>
      </c>
      <c r="E507" s="811" t="s">
        <v>12734</v>
      </c>
      <c r="F507" s="812"/>
      <c r="G507" s="623" t="s">
        <v>12730</v>
      </c>
      <c r="H507" s="624">
        <v>1.54E-2</v>
      </c>
      <c r="I507" s="625">
        <v>303.06</v>
      </c>
      <c r="J507" s="625">
        <v>4.66</v>
      </c>
      <c r="K507"/>
    </row>
    <row r="508" spans="1:11" ht="24" customHeight="1">
      <c r="A508" s="621" t="s">
        <v>12708</v>
      </c>
      <c r="B508" s="622" t="s">
        <v>12745</v>
      </c>
      <c r="C508" s="621" t="s">
        <v>8</v>
      </c>
      <c r="D508" s="621" t="s">
        <v>47</v>
      </c>
      <c r="E508" s="811" t="s">
        <v>12707</v>
      </c>
      <c r="F508" s="812"/>
      <c r="G508" s="623" t="s">
        <v>23</v>
      </c>
      <c r="H508" s="624">
        <v>0.36</v>
      </c>
      <c r="I508" s="625">
        <v>17.760000000000002</v>
      </c>
      <c r="J508" s="625">
        <v>6.39</v>
      </c>
      <c r="K508"/>
    </row>
    <row r="509" spans="1:11" ht="24" customHeight="1">
      <c r="A509" s="621" t="s">
        <v>12708</v>
      </c>
      <c r="B509" s="622" t="s">
        <v>12727</v>
      </c>
      <c r="C509" s="621" t="s">
        <v>8</v>
      </c>
      <c r="D509" s="621" t="s">
        <v>26</v>
      </c>
      <c r="E509" s="811" t="s">
        <v>12707</v>
      </c>
      <c r="F509" s="812"/>
      <c r="G509" s="623" t="s">
        <v>23</v>
      </c>
      <c r="H509" s="624">
        <v>0.18</v>
      </c>
      <c r="I509" s="625">
        <v>14.37</v>
      </c>
      <c r="J509" s="625">
        <v>2.58</v>
      </c>
      <c r="K509"/>
    </row>
    <row r="510" spans="1:11" ht="25.5">
      <c r="A510" s="626" t="s">
        <v>12709</v>
      </c>
      <c r="B510" s="627" t="s">
        <v>13093</v>
      </c>
      <c r="C510" s="626" t="s">
        <v>8</v>
      </c>
      <c r="D510" s="626" t="s">
        <v>8980</v>
      </c>
      <c r="E510" s="804" t="s">
        <v>12720</v>
      </c>
      <c r="F510" s="805"/>
      <c r="G510" s="628" t="s">
        <v>58</v>
      </c>
      <c r="H510" s="629">
        <v>3.5000000000000001E-3</v>
      </c>
      <c r="I510" s="630">
        <v>4.84</v>
      </c>
      <c r="J510" s="630">
        <v>0.01</v>
      </c>
      <c r="K510"/>
    </row>
    <row r="511" spans="1:11" ht="15" customHeight="1">
      <c r="A511" s="626" t="s">
        <v>12709</v>
      </c>
      <c r="B511" s="627" t="s">
        <v>13310</v>
      </c>
      <c r="C511" s="626" t="s">
        <v>8</v>
      </c>
      <c r="D511" s="626" t="s">
        <v>9265</v>
      </c>
      <c r="E511" s="804" t="s">
        <v>12720</v>
      </c>
      <c r="F511" s="805"/>
      <c r="G511" s="628" t="s">
        <v>35</v>
      </c>
      <c r="H511" s="629">
        <v>6</v>
      </c>
      <c r="I511" s="630">
        <v>0.13</v>
      </c>
      <c r="J511" s="630">
        <v>0.78</v>
      </c>
      <c r="K511"/>
    </row>
    <row r="512" spans="1:11" ht="0.95" customHeight="1">
      <c r="A512" s="631"/>
      <c r="B512" s="631"/>
      <c r="C512" s="631"/>
      <c r="D512" s="631"/>
      <c r="E512" s="631" t="s">
        <v>12714</v>
      </c>
      <c r="F512" s="632">
        <v>4.6275273002486754</v>
      </c>
      <c r="G512" s="631" t="s">
        <v>12715</v>
      </c>
      <c r="H512" s="632">
        <v>3.93</v>
      </c>
      <c r="I512" s="631" t="s">
        <v>12716</v>
      </c>
      <c r="J512" s="632">
        <v>8.56</v>
      </c>
      <c r="K512"/>
    </row>
    <row r="513" spans="1:11" ht="18" customHeight="1" thickBot="1">
      <c r="A513" s="631"/>
      <c r="B513" s="631"/>
      <c r="C513" s="631"/>
      <c r="D513" s="631"/>
      <c r="E513" s="631" t="s">
        <v>12717</v>
      </c>
      <c r="F513" s="632">
        <v>8.41</v>
      </c>
      <c r="G513" s="631"/>
      <c r="H513" s="806" t="s">
        <v>12718</v>
      </c>
      <c r="I513" s="806"/>
      <c r="J513" s="632">
        <v>38.21</v>
      </c>
      <c r="K513"/>
    </row>
    <row r="514" spans="1:11" ht="60" customHeight="1" thickTop="1">
      <c r="A514" s="633"/>
      <c r="B514" s="633"/>
      <c r="C514" s="633"/>
      <c r="D514" s="633"/>
      <c r="E514" s="633"/>
      <c r="F514" s="633"/>
      <c r="G514" s="633"/>
      <c r="H514" s="633"/>
      <c r="I514" s="633"/>
      <c r="J514" s="633"/>
      <c r="K514"/>
    </row>
    <row r="515" spans="1:11" ht="36" customHeight="1">
      <c r="A515" s="613" t="s">
        <v>14456</v>
      </c>
      <c r="B515" s="614" t="s">
        <v>12698</v>
      </c>
      <c r="C515" s="613" t="s">
        <v>12699</v>
      </c>
      <c r="D515" s="613" t="s">
        <v>12700</v>
      </c>
      <c r="E515" s="807" t="s">
        <v>12701</v>
      </c>
      <c r="F515" s="808"/>
      <c r="G515" s="615" t="s">
        <v>12702</v>
      </c>
      <c r="H515" s="614" t="s">
        <v>12703</v>
      </c>
      <c r="I515" s="614" t="s">
        <v>12704</v>
      </c>
      <c r="J515" s="614" t="s">
        <v>12705</v>
      </c>
      <c r="K515"/>
    </row>
    <row r="516" spans="1:11" ht="36" customHeight="1">
      <c r="A516" s="616" t="s">
        <v>12706</v>
      </c>
      <c r="B516" s="617" t="s">
        <v>12931</v>
      </c>
      <c r="C516" s="616" t="s">
        <v>8</v>
      </c>
      <c r="D516" s="616" t="s">
        <v>4382</v>
      </c>
      <c r="E516" s="809" t="s">
        <v>12793</v>
      </c>
      <c r="F516" s="810"/>
      <c r="G516" s="618" t="s">
        <v>17</v>
      </c>
      <c r="H516" s="619">
        <v>1</v>
      </c>
      <c r="I516" s="620">
        <v>34.14</v>
      </c>
      <c r="J516" s="620">
        <v>34.14</v>
      </c>
      <c r="K516"/>
    </row>
    <row r="517" spans="1:11" ht="36" customHeight="1">
      <c r="A517" s="621" t="s">
        <v>12708</v>
      </c>
      <c r="B517" s="622" t="s">
        <v>12745</v>
      </c>
      <c r="C517" s="621" t="s">
        <v>8</v>
      </c>
      <c r="D517" s="621" t="s">
        <v>47</v>
      </c>
      <c r="E517" s="811" t="s">
        <v>12707</v>
      </c>
      <c r="F517" s="812"/>
      <c r="G517" s="623" t="s">
        <v>23</v>
      </c>
      <c r="H517" s="624">
        <v>0.15</v>
      </c>
      <c r="I517" s="625">
        <v>17.760000000000002</v>
      </c>
      <c r="J517" s="625">
        <v>2.66</v>
      </c>
      <c r="K517"/>
    </row>
    <row r="518" spans="1:11" ht="25.5">
      <c r="A518" s="621" t="s">
        <v>12708</v>
      </c>
      <c r="B518" s="622" t="s">
        <v>12727</v>
      </c>
      <c r="C518" s="621" t="s">
        <v>8</v>
      </c>
      <c r="D518" s="621" t="s">
        <v>26</v>
      </c>
      <c r="E518" s="811" t="s">
        <v>12707</v>
      </c>
      <c r="F518" s="812"/>
      <c r="G518" s="623" t="s">
        <v>23</v>
      </c>
      <c r="H518" s="624">
        <v>0.1</v>
      </c>
      <c r="I518" s="625">
        <v>14.37</v>
      </c>
      <c r="J518" s="625">
        <v>1.43</v>
      </c>
      <c r="K518"/>
    </row>
    <row r="519" spans="1:11" ht="15" customHeight="1">
      <c r="A519" s="626" t="s">
        <v>12709</v>
      </c>
      <c r="B519" s="627" t="s">
        <v>12797</v>
      </c>
      <c r="C519" s="626" t="s">
        <v>8</v>
      </c>
      <c r="D519" s="626" t="s">
        <v>7530</v>
      </c>
      <c r="E519" s="804" t="s">
        <v>12720</v>
      </c>
      <c r="F519" s="805"/>
      <c r="G519" s="628" t="s">
        <v>20</v>
      </c>
      <c r="H519" s="629">
        <v>0.13500000000000001</v>
      </c>
      <c r="I519" s="630">
        <v>0.65</v>
      </c>
      <c r="J519" s="630">
        <v>0.08</v>
      </c>
      <c r="K519"/>
    </row>
    <row r="520" spans="1:11" ht="0.95" customHeight="1">
      <c r="A520" s="626" t="s">
        <v>12709</v>
      </c>
      <c r="B520" s="627" t="s">
        <v>12932</v>
      </c>
      <c r="C520" s="626" t="s">
        <v>8</v>
      </c>
      <c r="D520" s="626" t="s">
        <v>11313</v>
      </c>
      <c r="E520" s="804" t="s">
        <v>12720</v>
      </c>
      <c r="F520" s="805"/>
      <c r="G520" s="628" t="s">
        <v>17</v>
      </c>
      <c r="H520" s="629">
        <v>1</v>
      </c>
      <c r="I520" s="630">
        <v>29.97</v>
      </c>
      <c r="J520" s="630">
        <v>29.97</v>
      </c>
      <c r="K520"/>
    </row>
    <row r="521" spans="1:11" ht="18" customHeight="1">
      <c r="A521" s="631"/>
      <c r="B521" s="631"/>
      <c r="C521" s="631"/>
      <c r="D521" s="631"/>
      <c r="E521" s="631" t="s">
        <v>12714</v>
      </c>
      <c r="F521" s="632">
        <v>1.567737052654341</v>
      </c>
      <c r="G521" s="631" t="s">
        <v>12715</v>
      </c>
      <c r="H521" s="632">
        <v>1.33</v>
      </c>
      <c r="I521" s="631" t="s">
        <v>12716</v>
      </c>
      <c r="J521" s="632">
        <v>2.9</v>
      </c>
      <c r="K521"/>
    </row>
    <row r="522" spans="1:11" ht="48" customHeight="1" thickBot="1">
      <c r="A522" s="631"/>
      <c r="B522" s="631"/>
      <c r="C522" s="631"/>
      <c r="D522" s="631"/>
      <c r="E522" s="631" t="s">
        <v>12717</v>
      </c>
      <c r="F522" s="632">
        <v>9.64</v>
      </c>
      <c r="G522" s="631"/>
      <c r="H522" s="806" t="s">
        <v>12718</v>
      </c>
      <c r="I522" s="806"/>
      <c r="J522" s="632">
        <v>43.78</v>
      </c>
      <c r="K522"/>
    </row>
    <row r="523" spans="1:11" ht="24" customHeight="1" thickTop="1">
      <c r="A523" s="633"/>
      <c r="B523" s="633"/>
      <c r="C523" s="633"/>
      <c r="D523" s="633"/>
      <c r="E523" s="633"/>
      <c r="F523" s="633"/>
      <c r="G523" s="633"/>
      <c r="H523" s="633"/>
      <c r="I523" s="633"/>
      <c r="J523" s="633"/>
      <c r="K523"/>
    </row>
    <row r="524" spans="1:11" ht="24" customHeight="1">
      <c r="A524" s="613" t="s">
        <v>14835</v>
      </c>
      <c r="B524" s="614" t="s">
        <v>12698</v>
      </c>
      <c r="C524" s="613" t="s">
        <v>12699</v>
      </c>
      <c r="D524" s="613" t="s">
        <v>12700</v>
      </c>
      <c r="E524" s="807" t="s">
        <v>12701</v>
      </c>
      <c r="F524" s="808"/>
      <c r="G524" s="615" t="s">
        <v>12702</v>
      </c>
      <c r="H524" s="614" t="s">
        <v>12703</v>
      </c>
      <c r="I524" s="614" t="s">
        <v>12704</v>
      </c>
      <c r="J524" s="614" t="s">
        <v>12705</v>
      </c>
      <c r="K524"/>
    </row>
    <row r="525" spans="1:11" ht="24" customHeight="1">
      <c r="A525" s="616" t="s">
        <v>12706</v>
      </c>
      <c r="B525" s="617" t="s">
        <v>14836</v>
      </c>
      <c r="C525" s="616" t="s">
        <v>8</v>
      </c>
      <c r="D525" s="616" t="s">
        <v>6720</v>
      </c>
      <c r="E525" s="809" t="s">
        <v>12790</v>
      </c>
      <c r="F525" s="810"/>
      <c r="G525" s="618" t="s">
        <v>12725</v>
      </c>
      <c r="H525" s="619">
        <v>1</v>
      </c>
      <c r="I525" s="620">
        <v>597.25</v>
      </c>
      <c r="J525" s="620">
        <v>597.25</v>
      </c>
      <c r="K525"/>
    </row>
    <row r="526" spans="1:11" ht="48" customHeight="1">
      <c r="A526" s="621" t="s">
        <v>12708</v>
      </c>
      <c r="B526" s="622" t="s">
        <v>12745</v>
      </c>
      <c r="C526" s="621" t="s">
        <v>8</v>
      </c>
      <c r="D526" s="621" t="s">
        <v>47</v>
      </c>
      <c r="E526" s="811" t="s">
        <v>12707</v>
      </c>
      <c r="F526" s="812"/>
      <c r="G526" s="623" t="s">
        <v>23</v>
      </c>
      <c r="H526" s="624">
        <v>0.3826</v>
      </c>
      <c r="I526" s="625">
        <v>17.760000000000002</v>
      </c>
      <c r="J526" s="625">
        <v>6.79</v>
      </c>
      <c r="K526"/>
    </row>
    <row r="527" spans="1:11" ht="25.5">
      <c r="A527" s="621" t="s">
        <v>12708</v>
      </c>
      <c r="B527" s="622" t="s">
        <v>12727</v>
      </c>
      <c r="C527" s="621" t="s">
        <v>8</v>
      </c>
      <c r="D527" s="621" t="s">
        <v>26</v>
      </c>
      <c r="E527" s="811" t="s">
        <v>12707</v>
      </c>
      <c r="F527" s="812"/>
      <c r="G527" s="623" t="s">
        <v>23</v>
      </c>
      <c r="H527" s="624">
        <v>0.191</v>
      </c>
      <c r="I527" s="625">
        <v>14.37</v>
      </c>
      <c r="J527" s="625">
        <v>2.74</v>
      </c>
      <c r="K527"/>
    </row>
    <row r="528" spans="1:11" ht="15" customHeight="1">
      <c r="A528" s="626" t="s">
        <v>12709</v>
      </c>
      <c r="B528" s="627" t="s">
        <v>14837</v>
      </c>
      <c r="C528" s="626" t="s">
        <v>8</v>
      </c>
      <c r="D528" s="626" t="s">
        <v>7791</v>
      </c>
      <c r="E528" s="804" t="s">
        <v>12720</v>
      </c>
      <c r="F528" s="805"/>
      <c r="G528" s="628" t="s">
        <v>35</v>
      </c>
      <c r="H528" s="629">
        <v>4.8166000000000002</v>
      </c>
      <c r="I528" s="630">
        <v>0.43</v>
      </c>
      <c r="J528" s="630">
        <v>2.0699999999999998</v>
      </c>
      <c r="K528"/>
    </row>
    <row r="529" spans="1:11" ht="0.95" customHeight="1">
      <c r="A529" s="626" t="s">
        <v>12709</v>
      </c>
      <c r="B529" s="627" t="s">
        <v>14838</v>
      </c>
      <c r="C529" s="626" t="s">
        <v>8</v>
      </c>
      <c r="D529" s="626" t="s">
        <v>9584</v>
      </c>
      <c r="E529" s="804" t="s">
        <v>12720</v>
      </c>
      <c r="F529" s="805"/>
      <c r="G529" s="628" t="s">
        <v>17</v>
      </c>
      <c r="H529" s="629">
        <v>6.8503999999999996</v>
      </c>
      <c r="I529" s="630">
        <v>7.6</v>
      </c>
      <c r="J529" s="630">
        <v>52.06</v>
      </c>
      <c r="K529"/>
    </row>
    <row r="530" spans="1:11" ht="18" customHeight="1">
      <c r="A530" s="626" t="s">
        <v>12709</v>
      </c>
      <c r="B530" s="627" t="s">
        <v>14839</v>
      </c>
      <c r="C530" s="626" t="s">
        <v>8</v>
      </c>
      <c r="D530" s="626" t="s">
        <v>10919</v>
      </c>
      <c r="E530" s="804" t="s">
        <v>12720</v>
      </c>
      <c r="F530" s="805"/>
      <c r="G530" s="628" t="s">
        <v>35</v>
      </c>
      <c r="H530" s="629">
        <v>0.54730000000000001</v>
      </c>
      <c r="I530" s="630">
        <v>935.99</v>
      </c>
      <c r="J530" s="630">
        <v>512.26</v>
      </c>
      <c r="K530"/>
    </row>
    <row r="531" spans="1:11" ht="36" customHeight="1">
      <c r="A531" s="626" t="s">
        <v>12709</v>
      </c>
      <c r="B531" s="627" t="s">
        <v>13356</v>
      </c>
      <c r="C531" s="626" t="s">
        <v>8</v>
      </c>
      <c r="D531" s="626" t="s">
        <v>11261</v>
      </c>
      <c r="E531" s="804" t="s">
        <v>12720</v>
      </c>
      <c r="F531" s="805"/>
      <c r="G531" s="628" t="s">
        <v>12913</v>
      </c>
      <c r="H531" s="629">
        <v>0.88290000000000002</v>
      </c>
      <c r="I531" s="630">
        <v>24.17</v>
      </c>
      <c r="J531" s="630">
        <v>21.33</v>
      </c>
      <c r="K531"/>
    </row>
    <row r="532" spans="1:11" ht="24" customHeight="1">
      <c r="A532" s="631"/>
      <c r="B532" s="631"/>
      <c r="C532" s="631"/>
      <c r="D532" s="631"/>
      <c r="E532" s="631" t="s">
        <v>12714</v>
      </c>
      <c r="F532" s="632">
        <v>3.6760730889825926</v>
      </c>
      <c r="G532" s="631" t="s">
        <v>12715</v>
      </c>
      <c r="H532" s="632">
        <v>3.12</v>
      </c>
      <c r="I532" s="631" t="s">
        <v>12716</v>
      </c>
      <c r="J532" s="632">
        <v>6.8</v>
      </c>
      <c r="K532"/>
    </row>
    <row r="533" spans="1:11" ht="24" customHeight="1" thickBot="1">
      <c r="A533" s="631"/>
      <c r="B533" s="631"/>
      <c r="C533" s="631"/>
      <c r="D533" s="631"/>
      <c r="E533" s="631" t="s">
        <v>12717</v>
      </c>
      <c r="F533" s="632">
        <v>168.66</v>
      </c>
      <c r="G533" s="631"/>
      <c r="H533" s="806" t="s">
        <v>12718</v>
      </c>
      <c r="I533" s="806"/>
      <c r="J533" s="632">
        <v>765.91</v>
      </c>
      <c r="K533"/>
    </row>
    <row r="534" spans="1:11" ht="36" customHeight="1" thickTop="1">
      <c r="A534" s="633"/>
      <c r="B534" s="633"/>
      <c r="C534" s="633"/>
      <c r="D534" s="633"/>
      <c r="E534" s="633"/>
      <c r="F534" s="633"/>
      <c r="G534" s="633"/>
      <c r="H534" s="633"/>
      <c r="I534" s="633"/>
      <c r="J534" s="633"/>
      <c r="K534"/>
    </row>
    <row r="535" spans="1:11" ht="36" customHeight="1">
      <c r="A535" s="613" t="s">
        <v>12789</v>
      </c>
      <c r="B535" s="614" t="s">
        <v>12698</v>
      </c>
      <c r="C535" s="613" t="s">
        <v>12699</v>
      </c>
      <c r="D535" s="613" t="s">
        <v>12700</v>
      </c>
      <c r="E535" s="807" t="s">
        <v>12701</v>
      </c>
      <c r="F535" s="808"/>
      <c r="G535" s="615" t="s">
        <v>12702</v>
      </c>
      <c r="H535" s="614" t="s">
        <v>12703</v>
      </c>
      <c r="I535" s="614" t="s">
        <v>12704</v>
      </c>
      <c r="J535" s="614" t="s">
        <v>12705</v>
      </c>
      <c r="K535"/>
    </row>
    <row r="536" spans="1:11" ht="24" customHeight="1">
      <c r="A536" s="616" t="s">
        <v>12706</v>
      </c>
      <c r="B536" s="617" t="s">
        <v>14840</v>
      </c>
      <c r="C536" s="616" t="s">
        <v>8</v>
      </c>
      <c r="D536" s="616" t="s">
        <v>6736</v>
      </c>
      <c r="E536" s="809" t="s">
        <v>12790</v>
      </c>
      <c r="F536" s="810"/>
      <c r="G536" s="618" t="s">
        <v>12725</v>
      </c>
      <c r="H536" s="619">
        <v>1</v>
      </c>
      <c r="I536" s="620">
        <v>301.47000000000003</v>
      </c>
      <c r="J536" s="620">
        <v>301.47000000000003</v>
      </c>
      <c r="K536"/>
    </row>
    <row r="537" spans="1:11" ht="25.5">
      <c r="A537" s="621" t="s">
        <v>12708</v>
      </c>
      <c r="B537" s="622" t="s">
        <v>12745</v>
      </c>
      <c r="C537" s="621" t="s">
        <v>8</v>
      </c>
      <c r="D537" s="621" t="s">
        <v>47</v>
      </c>
      <c r="E537" s="811" t="s">
        <v>12707</v>
      </c>
      <c r="F537" s="812"/>
      <c r="G537" s="623" t="s">
        <v>23</v>
      </c>
      <c r="H537" s="624">
        <v>0.96</v>
      </c>
      <c r="I537" s="625">
        <v>17.760000000000002</v>
      </c>
      <c r="J537" s="625">
        <v>17.04</v>
      </c>
      <c r="K537"/>
    </row>
    <row r="538" spans="1:11" ht="15" customHeight="1">
      <c r="A538" s="621" t="s">
        <v>12708</v>
      </c>
      <c r="B538" s="622" t="s">
        <v>12727</v>
      </c>
      <c r="C538" s="621" t="s">
        <v>8</v>
      </c>
      <c r="D538" s="621" t="s">
        <v>26</v>
      </c>
      <c r="E538" s="811" t="s">
        <v>12707</v>
      </c>
      <c r="F538" s="812"/>
      <c r="G538" s="623" t="s">
        <v>23</v>
      </c>
      <c r="H538" s="624">
        <v>0.48</v>
      </c>
      <c r="I538" s="625">
        <v>14.37</v>
      </c>
      <c r="J538" s="625">
        <v>6.89</v>
      </c>
      <c r="K538"/>
    </row>
    <row r="539" spans="1:11" ht="0.95" customHeight="1">
      <c r="A539" s="626" t="s">
        <v>12709</v>
      </c>
      <c r="B539" s="627" t="s">
        <v>14841</v>
      </c>
      <c r="C539" s="626" t="s">
        <v>8</v>
      </c>
      <c r="D539" s="626" t="s">
        <v>9680</v>
      </c>
      <c r="E539" s="804" t="s">
        <v>12720</v>
      </c>
      <c r="F539" s="805"/>
      <c r="G539" s="628" t="s">
        <v>35</v>
      </c>
      <c r="H539" s="629">
        <v>0.55600000000000005</v>
      </c>
      <c r="I539" s="630">
        <v>481.41</v>
      </c>
      <c r="J539" s="630">
        <v>267.66000000000003</v>
      </c>
      <c r="K539"/>
    </row>
    <row r="540" spans="1:11" ht="18" customHeight="1">
      <c r="A540" s="626" t="s">
        <v>12709</v>
      </c>
      <c r="B540" s="627" t="s">
        <v>13589</v>
      </c>
      <c r="C540" s="626" t="s">
        <v>8</v>
      </c>
      <c r="D540" s="626" t="s">
        <v>10616</v>
      </c>
      <c r="E540" s="804" t="s">
        <v>12720</v>
      </c>
      <c r="F540" s="805"/>
      <c r="G540" s="628" t="s">
        <v>35</v>
      </c>
      <c r="H540" s="629">
        <v>7.3</v>
      </c>
      <c r="I540" s="630">
        <v>0.13</v>
      </c>
      <c r="J540" s="630">
        <v>0.94</v>
      </c>
      <c r="K540"/>
    </row>
    <row r="541" spans="1:11" ht="24" customHeight="1">
      <c r="A541" s="626" t="s">
        <v>12709</v>
      </c>
      <c r="B541" s="627" t="s">
        <v>13588</v>
      </c>
      <c r="C541" s="626" t="s">
        <v>8</v>
      </c>
      <c r="D541" s="626" t="s">
        <v>11294</v>
      </c>
      <c r="E541" s="804" t="s">
        <v>12720</v>
      </c>
      <c r="F541" s="805"/>
      <c r="G541" s="628" t="s">
        <v>35</v>
      </c>
      <c r="H541" s="629">
        <v>0.56000000000000005</v>
      </c>
      <c r="I541" s="630">
        <v>15.97</v>
      </c>
      <c r="J541" s="630">
        <v>8.94</v>
      </c>
      <c r="K541"/>
    </row>
    <row r="542" spans="1:11" ht="36" customHeight="1">
      <c r="A542" s="631"/>
      <c r="B542" s="631"/>
      <c r="C542" s="631"/>
      <c r="D542" s="631"/>
      <c r="E542" s="631" t="s">
        <v>12714</v>
      </c>
      <c r="F542" s="632">
        <v>9.228024651313655</v>
      </c>
      <c r="G542" s="631" t="s">
        <v>12715</v>
      </c>
      <c r="H542" s="632">
        <v>7.84</v>
      </c>
      <c r="I542" s="631" t="s">
        <v>12716</v>
      </c>
      <c r="J542" s="632">
        <v>17.07</v>
      </c>
      <c r="K542"/>
    </row>
    <row r="543" spans="1:11" ht="24" customHeight="1" thickBot="1">
      <c r="A543" s="631"/>
      <c r="B543" s="631"/>
      <c r="C543" s="631"/>
      <c r="D543" s="631"/>
      <c r="E543" s="631" t="s">
        <v>12717</v>
      </c>
      <c r="F543" s="632">
        <v>85.13</v>
      </c>
      <c r="G543" s="631"/>
      <c r="H543" s="806" t="s">
        <v>12718</v>
      </c>
      <c r="I543" s="806"/>
      <c r="J543" s="632">
        <v>386.6</v>
      </c>
      <c r="K543"/>
    </row>
    <row r="544" spans="1:11" ht="24" customHeight="1" thickTop="1">
      <c r="A544" s="633"/>
      <c r="B544" s="633"/>
      <c r="C544" s="633"/>
      <c r="D544" s="633"/>
      <c r="E544" s="633"/>
      <c r="F544" s="633"/>
      <c r="G544" s="633"/>
      <c r="H544" s="633"/>
      <c r="I544" s="633"/>
      <c r="J544" s="633"/>
      <c r="K544"/>
    </row>
    <row r="545" spans="1:11" ht="24" customHeight="1">
      <c r="A545" s="613" t="s">
        <v>12791</v>
      </c>
      <c r="B545" s="614" t="s">
        <v>12698</v>
      </c>
      <c r="C545" s="613" t="s">
        <v>12699</v>
      </c>
      <c r="D545" s="613" t="s">
        <v>12700</v>
      </c>
      <c r="E545" s="807" t="s">
        <v>12701</v>
      </c>
      <c r="F545" s="808"/>
      <c r="G545" s="615" t="s">
        <v>12702</v>
      </c>
      <c r="H545" s="614" t="s">
        <v>12703</v>
      </c>
      <c r="I545" s="614" t="s">
        <v>12704</v>
      </c>
      <c r="J545" s="614" t="s">
        <v>12705</v>
      </c>
      <c r="K545"/>
    </row>
    <row r="546" spans="1:11" ht="36" customHeight="1">
      <c r="A546" s="616" t="s">
        <v>12706</v>
      </c>
      <c r="B546" s="617" t="s">
        <v>13591</v>
      </c>
      <c r="C546" s="616" t="s">
        <v>8</v>
      </c>
      <c r="D546" s="616" t="s">
        <v>6733</v>
      </c>
      <c r="E546" s="809" t="s">
        <v>12790</v>
      </c>
      <c r="F546" s="810"/>
      <c r="G546" s="618" t="s">
        <v>12725</v>
      </c>
      <c r="H546" s="619">
        <v>1</v>
      </c>
      <c r="I546" s="620">
        <v>416.47</v>
      </c>
      <c r="J546" s="620">
        <v>416.47</v>
      </c>
      <c r="K546"/>
    </row>
    <row r="547" spans="1:11" ht="25.5">
      <c r="A547" s="621" t="s">
        <v>12708</v>
      </c>
      <c r="B547" s="622" t="s">
        <v>12745</v>
      </c>
      <c r="C547" s="621" t="s">
        <v>8</v>
      </c>
      <c r="D547" s="621" t="s">
        <v>47</v>
      </c>
      <c r="E547" s="811" t="s">
        <v>12707</v>
      </c>
      <c r="F547" s="812"/>
      <c r="G547" s="623" t="s">
        <v>23</v>
      </c>
      <c r="H547" s="624">
        <v>1.7070000000000001</v>
      </c>
      <c r="I547" s="625">
        <v>17.760000000000002</v>
      </c>
      <c r="J547" s="625">
        <v>30.31</v>
      </c>
      <c r="K547"/>
    </row>
    <row r="548" spans="1:11" ht="15" customHeight="1">
      <c r="A548" s="621" t="s">
        <v>12708</v>
      </c>
      <c r="B548" s="622" t="s">
        <v>12727</v>
      </c>
      <c r="C548" s="621" t="s">
        <v>8</v>
      </c>
      <c r="D548" s="621" t="s">
        <v>26</v>
      </c>
      <c r="E548" s="811" t="s">
        <v>12707</v>
      </c>
      <c r="F548" s="812"/>
      <c r="G548" s="623" t="s">
        <v>23</v>
      </c>
      <c r="H548" s="624">
        <v>0.85299999999999998</v>
      </c>
      <c r="I548" s="625">
        <v>14.37</v>
      </c>
      <c r="J548" s="625">
        <v>12.25</v>
      </c>
      <c r="K548"/>
    </row>
    <row r="549" spans="1:11" ht="0.95" customHeight="1">
      <c r="A549" s="626" t="s">
        <v>12709</v>
      </c>
      <c r="B549" s="627" t="s">
        <v>13590</v>
      </c>
      <c r="C549" s="626" t="s">
        <v>8</v>
      </c>
      <c r="D549" s="626" t="s">
        <v>9688</v>
      </c>
      <c r="E549" s="804" t="s">
        <v>12720</v>
      </c>
      <c r="F549" s="805"/>
      <c r="G549" s="628" t="s">
        <v>12725</v>
      </c>
      <c r="H549" s="629">
        <v>1</v>
      </c>
      <c r="I549" s="630">
        <v>350.84</v>
      </c>
      <c r="J549" s="630">
        <v>350.84</v>
      </c>
      <c r="K549"/>
    </row>
    <row r="550" spans="1:11" ht="18" customHeight="1">
      <c r="A550" s="626" t="s">
        <v>12709</v>
      </c>
      <c r="B550" s="627" t="s">
        <v>13589</v>
      </c>
      <c r="C550" s="626" t="s">
        <v>8</v>
      </c>
      <c r="D550" s="626" t="s">
        <v>10616</v>
      </c>
      <c r="E550" s="804" t="s">
        <v>12720</v>
      </c>
      <c r="F550" s="805"/>
      <c r="G550" s="628" t="s">
        <v>35</v>
      </c>
      <c r="H550" s="629">
        <v>24.4</v>
      </c>
      <c r="I550" s="630">
        <v>0.13</v>
      </c>
      <c r="J550" s="630">
        <v>3.17</v>
      </c>
      <c r="K550"/>
    </row>
    <row r="551" spans="1:11" ht="24" customHeight="1">
      <c r="A551" s="626" t="s">
        <v>12709</v>
      </c>
      <c r="B551" s="627" t="s">
        <v>13588</v>
      </c>
      <c r="C551" s="626" t="s">
        <v>8</v>
      </c>
      <c r="D551" s="626" t="s">
        <v>11294</v>
      </c>
      <c r="E551" s="804" t="s">
        <v>12720</v>
      </c>
      <c r="F551" s="805"/>
      <c r="G551" s="628" t="s">
        <v>35</v>
      </c>
      <c r="H551" s="629">
        <v>1.2466999999999999</v>
      </c>
      <c r="I551" s="630">
        <v>15.97</v>
      </c>
      <c r="J551" s="630">
        <v>19.899999999999999</v>
      </c>
      <c r="K551"/>
    </row>
    <row r="552" spans="1:11" ht="36" customHeight="1">
      <c r="A552" s="631"/>
      <c r="B552" s="631"/>
      <c r="C552" s="631"/>
      <c r="D552" s="631"/>
      <c r="E552" s="631" t="s">
        <v>12714</v>
      </c>
      <c r="F552" s="632">
        <v>16.40717915450319</v>
      </c>
      <c r="G552" s="631" t="s">
        <v>12715</v>
      </c>
      <c r="H552" s="632">
        <v>13.94</v>
      </c>
      <c r="I552" s="631" t="s">
        <v>12716</v>
      </c>
      <c r="J552" s="632">
        <v>30.35</v>
      </c>
      <c r="K552"/>
    </row>
    <row r="553" spans="1:11" ht="24" customHeight="1" thickBot="1">
      <c r="A553" s="631"/>
      <c r="B553" s="631"/>
      <c r="C553" s="631"/>
      <c r="D553" s="631"/>
      <c r="E553" s="631" t="s">
        <v>12717</v>
      </c>
      <c r="F553" s="632">
        <v>117.61</v>
      </c>
      <c r="G553" s="631"/>
      <c r="H553" s="806" t="s">
        <v>12718</v>
      </c>
      <c r="I553" s="806"/>
      <c r="J553" s="632">
        <v>534.08000000000004</v>
      </c>
      <c r="K553"/>
    </row>
    <row r="554" spans="1:11" ht="24" customHeight="1" thickTop="1">
      <c r="A554" s="633"/>
      <c r="B554" s="633"/>
      <c r="C554" s="633"/>
      <c r="D554" s="633"/>
      <c r="E554" s="633"/>
      <c r="F554" s="633"/>
      <c r="G554" s="633"/>
      <c r="H554" s="633"/>
      <c r="I554" s="633"/>
      <c r="J554" s="633"/>
      <c r="K554"/>
    </row>
    <row r="555" spans="1:11" ht="15">
      <c r="A555" s="613" t="s">
        <v>12792</v>
      </c>
      <c r="B555" s="614" t="s">
        <v>12698</v>
      </c>
      <c r="C555" s="613" t="s">
        <v>12699</v>
      </c>
      <c r="D555" s="613" t="s">
        <v>12700</v>
      </c>
      <c r="E555" s="807" t="s">
        <v>12701</v>
      </c>
      <c r="F555" s="808"/>
      <c r="G555" s="615" t="s">
        <v>12702</v>
      </c>
      <c r="H555" s="614" t="s">
        <v>12703</v>
      </c>
      <c r="I555" s="614" t="s">
        <v>12704</v>
      </c>
      <c r="J555" s="614" t="s">
        <v>12705</v>
      </c>
      <c r="K555"/>
    </row>
    <row r="556" spans="1:11" ht="15" customHeight="1">
      <c r="A556" s="616" t="s">
        <v>12706</v>
      </c>
      <c r="B556" s="617" t="s">
        <v>13587</v>
      </c>
      <c r="C556" s="616" t="s">
        <v>8</v>
      </c>
      <c r="D556" s="616" t="s">
        <v>1222</v>
      </c>
      <c r="E556" s="809" t="s">
        <v>12793</v>
      </c>
      <c r="F556" s="810"/>
      <c r="G556" s="618" t="s">
        <v>12725</v>
      </c>
      <c r="H556" s="619">
        <v>1</v>
      </c>
      <c r="I556" s="620">
        <v>96.14</v>
      </c>
      <c r="J556" s="620">
        <v>96.14</v>
      </c>
      <c r="K556"/>
    </row>
    <row r="557" spans="1:11" ht="0.95" customHeight="1">
      <c r="A557" s="621" t="s">
        <v>12708</v>
      </c>
      <c r="B557" s="622" t="s">
        <v>13314</v>
      </c>
      <c r="C557" s="621" t="s">
        <v>8</v>
      </c>
      <c r="D557" s="621" t="s">
        <v>5828</v>
      </c>
      <c r="E557" s="811" t="s">
        <v>12707</v>
      </c>
      <c r="F557" s="812"/>
      <c r="G557" s="623" t="s">
        <v>12730</v>
      </c>
      <c r="H557" s="624">
        <v>0.02</v>
      </c>
      <c r="I557" s="625">
        <v>465.46</v>
      </c>
      <c r="J557" s="625">
        <v>9.3000000000000007</v>
      </c>
      <c r="K557"/>
    </row>
    <row r="558" spans="1:11" ht="18" customHeight="1">
      <c r="A558" s="621" t="s">
        <v>12708</v>
      </c>
      <c r="B558" s="622" t="s">
        <v>12745</v>
      </c>
      <c r="C558" s="621" t="s">
        <v>8</v>
      </c>
      <c r="D558" s="621" t="s">
        <v>47</v>
      </c>
      <c r="E558" s="811" t="s">
        <v>12707</v>
      </c>
      <c r="F558" s="812"/>
      <c r="G558" s="623" t="s">
        <v>23</v>
      </c>
      <c r="H558" s="624">
        <v>0.6</v>
      </c>
      <c r="I558" s="625">
        <v>17.760000000000002</v>
      </c>
      <c r="J558" s="625">
        <v>10.65</v>
      </c>
      <c r="K558"/>
    </row>
    <row r="559" spans="1:11" ht="48" customHeight="1">
      <c r="A559" s="621" t="s">
        <v>12708</v>
      </c>
      <c r="B559" s="622" t="s">
        <v>12727</v>
      </c>
      <c r="C559" s="621" t="s">
        <v>8</v>
      </c>
      <c r="D559" s="621" t="s">
        <v>26</v>
      </c>
      <c r="E559" s="811" t="s">
        <v>12707</v>
      </c>
      <c r="F559" s="812"/>
      <c r="G559" s="623" t="s">
        <v>23</v>
      </c>
      <c r="H559" s="624">
        <v>0.3</v>
      </c>
      <c r="I559" s="625">
        <v>14.37</v>
      </c>
      <c r="J559" s="625">
        <v>4.3099999999999996</v>
      </c>
      <c r="K559"/>
    </row>
    <row r="560" spans="1:11" ht="36" customHeight="1">
      <c r="A560" s="626" t="s">
        <v>12709</v>
      </c>
      <c r="B560" s="627" t="s">
        <v>13586</v>
      </c>
      <c r="C560" s="626" t="s">
        <v>8</v>
      </c>
      <c r="D560" s="626" t="s">
        <v>9887</v>
      </c>
      <c r="E560" s="804" t="s">
        <v>12720</v>
      </c>
      <c r="F560" s="805"/>
      <c r="G560" s="628" t="s">
        <v>17</v>
      </c>
      <c r="H560" s="629">
        <v>1</v>
      </c>
      <c r="I560" s="630">
        <v>0.88</v>
      </c>
      <c r="J560" s="630">
        <v>0.88</v>
      </c>
      <c r="K560"/>
    </row>
    <row r="561" spans="1:11" ht="24" customHeight="1">
      <c r="A561" s="626" t="s">
        <v>12709</v>
      </c>
      <c r="B561" s="627" t="s">
        <v>13585</v>
      </c>
      <c r="C561" s="626" t="s">
        <v>8</v>
      </c>
      <c r="D561" s="626" t="s">
        <v>10813</v>
      </c>
      <c r="E561" s="804" t="s">
        <v>12720</v>
      </c>
      <c r="F561" s="805"/>
      <c r="G561" s="628" t="s">
        <v>12725</v>
      </c>
      <c r="H561" s="629">
        <v>1</v>
      </c>
      <c r="I561" s="630">
        <v>71</v>
      </c>
      <c r="J561" s="630">
        <v>71</v>
      </c>
      <c r="K561"/>
    </row>
    <row r="562" spans="1:11" ht="24" customHeight="1">
      <c r="A562" s="631"/>
      <c r="B562" s="631"/>
      <c r="C562" s="631"/>
      <c r="D562" s="631"/>
      <c r="E562" s="631" t="s">
        <v>12714</v>
      </c>
      <c r="F562" s="632">
        <v>6.9142610011893177</v>
      </c>
      <c r="G562" s="631" t="s">
        <v>12715</v>
      </c>
      <c r="H562" s="632">
        <v>5.88</v>
      </c>
      <c r="I562" s="631" t="s">
        <v>12716</v>
      </c>
      <c r="J562" s="632">
        <v>12.79</v>
      </c>
      <c r="K562"/>
    </row>
    <row r="563" spans="1:11" ht="24" customHeight="1" thickBot="1">
      <c r="A563" s="631"/>
      <c r="B563" s="631"/>
      <c r="C563" s="631"/>
      <c r="D563" s="631"/>
      <c r="E563" s="631" t="s">
        <v>12717</v>
      </c>
      <c r="F563" s="632">
        <v>27.14</v>
      </c>
      <c r="G563" s="631"/>
      <c r="H563" s="806" t="s">
        <v>12718</v>
      </c>
      <c r="I563" s="806"/>
      <c r="J563" s="632">
        <v>123.28</v>
      </c>
      <c r="K563"/>
    </row>
    <row r="564" spans="1:11" ht="24" customHeight="1" thickTop="1">
      <c r="A564" s="633"/>
      <c r="B564" s="633"/>
      <c r="C564" s="633"/>
      <c r="D564" s="633"/>
      <c r="E564" s="633"/>
      <c r="F564" s="633"/>
      <c r="G564" s="633"/>
      <c r="H564" s="633"/>
      <c r="I564" s="633"/>
      <c r="J564" s="633"/>
      <c r="K564"/>
    </row>
    <row r="565" spans="1:11" ht="15">
      <c r="A565" s="613" t="s">
        <v>12794</v>
      </c>
      <c r="B565" s="614" t="s">
        <v>12698</v>
      </c>
      <c r="C565" s="613" t="s">
        <v>12699</v>
      </c>
      <c r="D565" s="613" t="s">
        <v>12700</v>
      </c>
      <c r="E565" s="807" t="s">
        <v>12701</v>
      </c>
      <c r="F565" s="808"/>
      <c r="G565" s="615" t="s">
        <v>12702</v>
      </c>
      <c r="H565" s="614" t="s">
        <v>12703</v>
      </c>
      <c r="I565" s="614" t="s">
        <v>12704</v>
      </c>
      <c r="J565" s="614" t="s">
        <v>12705</v>
      </c>
      <c r="K565"/>
    </row>
    <row r="566" spans="1:11" ht="15" customHeight="1">
      <c r="A566" s="616" t="s">
        <v>12706</v>
      </c>
      <c r="B566" s="617" t="s">
        <v>13584</v>
      </c>
      <c r="C566" s="616" t="s">
        <v>8</v>
      </c>
      <c r="D566" s="616" t="s">
        <v>4841</v>
      </c>
      <c r="E566" s="809" t="s">
        <v>12734</v>
      </c>
      <c r="F566" s="810"/>
      <c r="G566" s="618" t="s">
        <v>12725</v>
      </c>
      <c r="H566" s="619">
        <v>1</v>
      </c>
      <c r="I566" s="620">
        <v>20.23</v>
      </c>
      <c r="J566" s="620">
        <v>20.23</v>
      </c>
      <c r="K566"/>
    </row>
    <row r="567" spans="1:11" ht="0.95" customHeight="1">
      <c r="A567" s="621" t="s">
        <v>12708</v>
      </c>
      <c r="B567" s="622" t="s">
        <v>13253</v>
      </c>
      <c r="C567" s="621" t="s">
        <v>8</v>
      </c>
      <c r="D567" s="621" t="s">
        <v>3546</v>
      </c>
      <c r="E567" s="811" t="s">
        <v>12734</v>
      </c>
      <c r="F567" s="812"/>
      <c r="G567" s="623" t="s">
        <v>12730</v>
      </c>
      <c r="H567" s="624">
        <v>5.6500000000000002E-2</v>
      </c>
      <c r="I567" s="625">
        <v>254</v>
      </c>
      <c r="J567" s="625">
        <v>14.35</v>
      </c>
      <c r="K567"/>
    </row>
    <row r="568" spans="1:11" ht="18" customHeight="1">
      <c r="A568" s="621" t="s">
        <v>12708</v>
      </c>
      <c r="B568" s="622" t="s">
        <v>12745</v>
      </c>
      <c r="C568" s="621" t="s">
        <v>8</v>
      </c>
      <c r="D568" s="621" t="s">
        <v>47</v>
      </c>
      <c r="E568" s="811" t="s">
        <v>12707</v>
      </c>
      <c r="F568" s="812"/>
      <c r="G568" s="623" t="s">
        <v>23</v>
      </c>
      <c r="H568" s="624">
        <v>0.27179999999999999</v>
      </c>
      <c r="I568" s="625">
        <v>17.760000000000002</v>
      </c>
      <c r="J568" s="625">
        <v>4.82</v>
      </c>
      <c r="K568"/>
    </row>
    <row r="569" spans="1:11" ht="36" customHeight="1">
      <c r="A569" s="621" t="s">
        <v>12708</v>
      </c>
      <c r="B569" s="622" t="s">
        <v>12727</v>
      </c>
      <c r="C569" s="621" t="s">
        <v>8</v>
      </c>
      <c r="D569" s="621" t="s">
        <v>26</v>
      </c>
      <c r="E569" s="811" t="s">
        <v>12707</v>
      </c>
      <c r="F569" s="812"/>
      <c r="G569" s="623" t="s">
        <v>23</v>
      </c>
      <c r="H569" s="624">
        <v>7.4099999999999999E-2</v>
      </c>
      <c r="I569" s="625">
        <v>14.37</v>
      </c>
      <c r="J569" s="625">
        <v>1.06</v>
      </c>
      <c r="K569"/>
    </row>
    <row r="570" spans="1:11" ht="24" customHeight="1">
      <c r="A570" s="631"/>
      <c r="B570" s="631"/>
      <c r="C570" s="631"/>
      <c r="D570" s="631"/>
      <c r="E570" s="631" t="s">
        <v>12714</v>
      </c>
      <c r="F570" s="632">
        <v>3.2652178613904206</v>
      </c>
      <c r="G570" s="631" t="s">
        <v>12715</v>
      </c>
      <c r="H570" s="632">
        <v>2.77</v>
      </c>
      <c r="I570" s="631" t="s">
        <v>12716</v>
      </c>
      <c r="J570" s="632">
        <v>6.04</v>
      </c>
      <c r="K570"/>
    </row>
    <row r="571" spans="1:11" ht="24" customHeight="1" thickBot="1">
      <c r="A571" s="631"/>
      <c r="B571" s="631"/>
      <c r="C571" s="631"/>
      <c r="D571" s="631"/>
      <c r="E571" s="631" t="s">
        <v>12717</v>
      </c>
      <c r="F571" s="632">
        <v>5.71</v>
      </c>
      <c r="G571" s="631"/>
      <c r="H571" s="806" t="s">
        <v>12718</v>
      </c>
      <c r="I571" s="806"/>
      <c r="J571" s="632">
        <v>25.94</v>
      </c>
      <c r="K571"/>
    </row>
    <row r="572" spans="1:11" ht="24" customHeight="1" thickTop="1">
      <c r="A572" s="633"/>
      <c r="B572" s="633"/>
      <c r="C572" s="633"/>
      <c r="D572" s="633"/>
      <c r="E572" s="633"/>
      <c r="F572" s="633"/>
      <c r="G572" s="633"/>
      <c r="H572" s="633"/>
      <c r="I572" s="633"/>
      <c r="J572" s="633"/>
      <c r="K572"/>
    </row>
    <row r="573" spans="1:11" ht="24" customHeight="1">
      <c r="A573" s="613" t="s">
        <v>12795</v>
      </c>
      <c r="B573" s="614" t="s">
        <v>12698</v>
      </c>
      <c r="C573" s="613" t="s">
        <v>12699</v>
      </c>
      <c r="D573" s="613" t="s">
        <v>12700</v>
      </c>
      <c r="E573" s="807" t="s">
        <v>12701</v>
      </c>
      <c r="F573" s="808"/>
      <c r="G573" s="615" t="s">
        <v>12702</v>
      </c>
      <c r="H573" s="614" t="s">
        <v>12703</v>
      </c>
      <c r="I573" s="614" t="s">
        <v>12704</v>
      </c>
      <c r="J573" s="614" t="s">
        <v>12705</v>
      </c>
      <c r="K573"/>
    </row>
    <row r="574" spans="1:11" ht="24" customHeight="1">
      <c r="A574" s="616" t="s">
        <v>12706</v>
      </c>
      <c r="B574" s="617" t="s">
        <v>13583</v>
      </c>
      <c r="C574" s="616" t="s">
        <v>8</v>
      </c>
      <c r="D574" s="616" t="s">
        <v>1400</v>
      </c>
      <c r="E574" s="809" t="s">
        <v>12793</v>
      </c>
      <c r="F574" s="810"/>
      <c r="G574" s="618" t="s">
        <v>12725</v>
      </c>
      <c r="H574" s="619">
        <v>1</v>
      </c>
      <c r="I574" s="620">
        <v>32.47</v>
      </c>
      <c r="J574" s="620">
        <v>32.47</v>
      </c>
      <c r="K574"/>
    </row>
    <row r="575" spans="1:11" ht="38.25">
      <c r="A575" s="621" t="s">
        <v>12708</v>
      </c>
      <c r="B575" s="622" t="s">
        <v>13313</v>
      </c>
      <c r="C575" s="621" t="s">
        <v>8</v>
      </c>
      <c r="D575" s="621" t="s">
        <v>5764</v>
      </c>
      <c r="E575" s="811" t="s">
        <v>12707</v>
      </c>
      <c r="F575" s="812"/>
      <c r="G575" s="623" t="s">
        <v>12730</v>
      </c>
      <c r="H575" s="624">
        <v>5.2999999999999999E-2</v>
      </c>
      <c r="I575" s="625">
        <v>375.37</v>
      </c>
      <c r="J575" s="625">
        <v>19.89</v>
      </c>
      <c r="K575"/>
    </row>
    <row r="576" spans="1:11" ht="15" customHeight="1">
      <c r="A576" s="621" t="s">
        <v>12708</v>
      </c>
      <c r="B576" s="622" t="s">
        <v>12745</v>
      </c>
      <c r="C576" s="621" t="s">
        <v>8</v>
      </c>
      <c r="D576" s="621" t="s">
        <v>47</v>
      </c>
      <c r="E576" s="811" t="s">
        <v>12707</v>
      </c>
      <c r="F576" s="812"/>
      <c r="G576" s="623" t="s">
        <v>23</v>
      </c>
      <c r="H576" s="624">
        <v>0.36</v>
      </c>
      <c r="I576" s="625">
        <v>17.760000000000002</v>
      </c>
      <c r="J576" s="625">
        <v>6.39</v>
      </c>
      <c r="K576"/>
    </row>
    <row r="577" spans="1:11" ht="0.95" customHeight="1">
      <c r="A577" s="621" t="s">
        <v>12708</v>
      </c>
      <c r="B577" s="622" t="s">
        <v>12727</v>
      </c>
      <c r="C577" s="621" t="s">
        <v>8</v>
      </c>
      <c r="D577" s="621" t="s">
        <v>26</v>
      </c>
      <c r="E577" s="811" t="s">
        <v>12707</v>
      </c>
      <c r="F577" s="812"/>
      <c r="G577" s="623" t="s">
        <v>23</v>
      </c>
      <c r="H577" s="624">
        <v>0.18</v>
      </c>
      <c r="I577" s="625">
        <v>14.37</v>
      </c>
      <c r="J577" s="625">
        <v>2.58</v>
      </c>
      <c r="K577"/>
    </row>
    <row r="578" spans="1:11" ht="18" customHeight="1">
      <c r="A578" s="626" t="s">
        <v>12709</v>
      </c>
      <c r="B578" s="627" t="s">
        <v>13582</v>
      </c>
      <c r="C578" s="626" t="s">
        <v>8</v>
      </c>
      <c r="D578" s="626" t="s">
        <v>7346</v>
      </c>
      <c r="E578" s="804" t="s">
        <v>12720</v>
      </c>
      <c r="F578" s="805"/>
      <c r="G578" s="628" t="s">
        <v>58</v>
      </c>
      <c r="H578" s="629">
        <v>0.435</v>
      </c>
      <c r="I578" s="630">
        <v>7.75</v>
      </c>
      <c r="J578" s="630">
        <v>3.37</v>
      </c>
      <c r="K578"/>
    </row>
    <row r="579" spans="1:11" ht="24" customHeight="1">
      <c r="A579" s="626" t="s">
        <v>12709</v>
      </c>
      <c r="B579" s="627" t="s">
        <v>13249</v>
      </c>
      <c r="C579" s="626" t="s">
        <v>8</v>
      </c>
      <c r="D579" s="626" t="s">
        <v>8420</v>
      </c>
      <c r="E579" s="804" t="s">
        <v>12720</v>
      </c>
      <c r="F579" s="805"/>
      <c r="G579" s="628" t="s">
        <v>20</v>
      </c>
      <c r="H579" s="629">
        <v>0.5</v>
      </c>
      <c r="I579" s="630">
        <v>0.49</v>
      </c>
      <c r="J579" s="630">
        <v>0.24</v>
      </c>
      <c r="K579"/>
    </row>
    <row r="580" spans="1:11" ht="24" customHeight="1">
      <c r="A580" s="631"/>
      <c r="B580" s="631"/>
      <c r="C580" s="631"/>
      <c r="D580" s="631"/>
      <c r="E580" s="631" t="s">
        <v>12714</v>
      </c>
      <c r="F580" s="632">
        <v>4.6869931884528055</v>
      </c>
      <c r="G580" s="631" t="s">
        <v>12715</v>
      </c>
      <c r="H580" s="632">
        <v>3.98</v>
      </c>
      <c r="I580" s="631" t="s">
        <v>12716</v>
      </c>
      <c r="J580" s="632">
        <v>8.67</v>
      </c>
      <c r="K580"/>
    </row>
    <row r="581" spans="1:11" ht="24" customHeight="1" thickBot="1">
      <c r="A581" s="631"/>
      <c r="B581" s="631"/>
      <c r="C581" s="631"/>
      <c r="D581" s="631"/>
      <c r="E581" s="631" t="s">
        <v>12717</v>
      </c>
      <c r="F581" s="632">
        <v>9.16</v>
      </c>
      <c r="G581" s="631"/>
      <c r="H581" s="806" t="s">
        <v>12718</v>
      </c>
      <c r="I581" s="806"/>
      <c r="J581" s="632">
        <v>41.63</v>
      </c>
      <c r="K581"/>
    </row>
    <row r="582" spans="1:11" ht="24" customHeight="1" thickTop="1">
      <c r="A582" s="633"/>
      <c r="B582" s="633"/>
      <c r="C582" s="633"/>
      <c r="D582" s="633"/>
      <c r="E582" s="633"/>
      <c r="F582" s="633"/>
      <c r="G582" s="633"/>
      <c r="H582" s="633"/>
      <c r="I582" s="633"/>
      <c r="J582" s="633"/>
      <c r="K582"/>
    </row>
    <row r="583" spans="1:11" ht="24" customHeight="1">
      <c r="A583" s="613" t="s">
        <v>12796</v>
      </c>
      <c r="B583" s="614" t="s">
        <v>12698</v>
      </c>
      <c r="C583" s="613" t="s">
        <v>12699</v>
      </c>
      <c r="D583" s="613" t="s">
        <v>12700</v>
      </c>
      <c r="E583" s="807" t="s">
        <v>12701</v>
      </c>
      <c r="F583" s="808"/>
      <c r="G583" s="615" t="s">
        <v>12702</v>
      </c>
      <c r="H583" s="614" t="s">
        <v>12703</v>
      </c>
      <c r="I583" s="614" t="s">
        <v>12704</v>
      </c>
      <c r="J583" s="614" t="s">
        <v>12705</v>
      </c>
      <c r="K583"/>
    </row>
    <row r="584" spans="1:11" ht="24" customHeight="1">
      <c r="A584" s="616" t="s">
        <v>12706</v>
      </c>
      <c r="B584" s="617" t="s">
        <v>13581</v>
      </c>
      <c r="C584" s="616" t="s">
        <v>8</v>
      </c>
      <c r="D584" s="616" t="s">
        <v>1240</v>
      </c>
      <c r="E584" s="809" t="s">
        <v>12793</v>
      </c>
      <c r="F584" s="810"/>
      <c r="G584" s="618" t="s">
        <v>12725</v>
      </c>
      <c r="H584" s="619">
        <v>1</v>
      </c>
      <c r="I584" s="620">
        <v>50.08</v>
      </c>
      <c r="J584" s="620">
        <v>50.08</v>
      </c>
      <c r="K584"/>
    </row>
    <row r="585" spans="1:11" ht="25.5">
      <c r="A585" s="621" t="s">
        <v>12708</v>
      </c>
      <c r="B585" s="622" t="s">
        <v>13308</v>
      </c>
      <c r="C585" s="621" t="s">
        <v>8</v>
      </c>
      <c r="D585" s="621" t="s">
        <v>25</v>
      </c>
      <c r="E585" s="811" t="s">
        <v>12707</v>
      </c>
      <c r="F585" s="812"/>
      <c r="G585" s="623" t="s">
        <v>23</v>
      </c>
      <c r="H585" s="624">
        <v>0.31</v>
      </c>
      <c r="I585" s="625">
        <v>17.71</v>
      </c>
      <c r="J585" s="625">
        <v>5.49</v>
      </c>
      <c r="K585"/>
    </row>
    <row r="586" spans="1:11" ht="15" customHeight="1">
      <c r="A586" s="621" t="s">
        <v>12708</v>
      </c>
      <c r="B586" s="622" t="s">
        <v>12727</v>
      </c>
      <c r="C586" s="621" t="s">
        <v>8</v>
      </c>
      <c r="D586" s="621" t="s">
        <v>26</v>
      </c>
      <c r="E586" s="811" t="s">
        <v>12707</v>
      </c>
      <c r="F586" s="812"/>
      <c r="G586" s="623" t="s">
        <v>23</v>
      </c>
      <c r="H586" s="624">
        <v>0.17</v>
      </c>
      <c r="I586" s="625">
        <v>14.37</v>
      </c>
      <c r="J586" s="625">
        <v>2.44</v>
      </c>
      <c r="K586"/>
    </row>
    <row r="587" spans="1:11" ht="0.95" customHeight="1">
      <c r="A587" s="626" t="s">
        <v>12709</v>
      </c>
      <c r="B587" s="627" t="s">
        <v>12797</v>
      </c>
      <c r="C587" s="626" t="s">
        <v>8</v>
      </c>
      <c r="D587" s="626" t="s">
        <v>7530</v>
      </c>
      <c r="E587" s="804" t="s">
        <v>12720</v>
      </c>
      <c r="F587" s="805"/>
      <c r="G587" s="628" t="s">
        <v>20</v>
      </c>
      <c r="H587" s="629">
        <v>8.6199999999999992</v>
      </c>
      <c r="I587" s="630">
        <v>0.65</v>
      </c>
      <c r="J587" s="630">
        <v>5.6</v>
      </c>
      <c r="K587"/>
    </row>
    <row r="588" spans="1:11" ht="18" customHeight="1">
      <c r="A588" s="626" t="s">
        <v>12709</v>
      </c>
      <c r="B588" s="627" t="s">
        <v>13579</v>
      </c>
      <c r="C588" s="626" t="s">
        <v>8</v>
      </c>
      <c r="D588" s="626" t="s">
        <v>10810</v>
      </c>
      <c r="E588" s="804" t="s">
        <v>12720</v>
      </c>
      <c r="F588" s="805"/>
      <c r="G588" s="628" t="s">
        <v>12725</v>
      </c>
      <c r="H588" s="629">
        <v>1.07</v>
      </c>
      <c r="I588" s="630">
        <v>33.630000000000003</v>
      </c>
      <c r="J588" s="630">
        <v>35.979999999999997</v>
      </c>
      <c r="K588"/>
    </row>
    <row r="589" spans="1:11" ht="48" customHeight="1">
      <c r="A589" s="626" t="s">
        <v>12709</v>
      </c>
      <c r="B589" s="627" t="s">
        <v>13569</v>
      </c>
      <c r="C589" s="626" t="s">
        <v>8</v>
      </c>
      <c r="D589" s="626" t="s">
        <v>11173</v>
      </c>
      <c r="E589" s="804" t="s">
        <v>12720</v>
      </c>
      <c r="F589" s="805"/>
      <c r="G589" s="628" t="s">
        <v>20</v>
      </c>
      <c r="H589" s="629">
        <v>0.14000000000000001</v>
      </c>
      <c r="I589" s="630">
        <v>4.13</v>
      </c>
      <c r="J589" s="630">
        <v>0.56999999999999995</v>
      </c>
      <c r="K589"/>
    </row>
    <row r="590" spans="1:11" ht="36" customHeight="1">
      <c r="A590" s="631"/>
      <c r="B590" s="631"/>
      <c r="C590" s="631"/>
      <c r="D590" s="631"/>
      <c r="E590" s="631" t="s">
        <v>12714</v>
      </c>
      <c r="F590" s="632">
        <v>3.0435722780841172</v>
      </c>
      <c r="G590" s="631" t="s">
        <v>12715</v>
      </c>
      <c r="H590" s="632">
        <v>2.59</v>
      </c>
      <c r="I590" s="631" t="s">
        <v>12716</v>
      </c>
      <c r="J590" s="632">
        <v>5.63</v>
      </c>
      <c r="K590"/>
    </row>
    <row r="591" spans="1:11" ht="24" customHeight="1" thickBot="1">
      <c r="A591" s="631"/>
      <c r="B591" s="631"/>
      <c r="C591" s="631"/>
      <c r="D591" s="631"/>
      <c r="E591" s="631" t="s">
        <v>12717</v>
      </c>
      <c r="F591" s="632">
        <v>14.14</v>
      </c>
      <c r="G591" s="631"/>
      <c r="H591" s="806" t="s">
        <v>12718</v>
      </c>
      <c r="I591" s="806"/>
      <c r="J591" s="632">
        <v>64.22</v>
      </c>
      <c r="K591"/>
    </row>
    <row r="592" spans="1:11" ht="24" customHeight="1" thickTop="1">
      <c r="A592" s="633"/>
      <c r="B592" s="633"/>
      <c r="C592" s="633"/>
      <c r="D592" s="633"/>
      <c r="E592" s="633"/>
      <c r="F592" s="633"/>
      <c r="G592" s="633"/>
      <c r="H592" s="633"/>
      <c r="I592" s="633"/>
      <c r="J592" s="633"/>
      <c r="K592"/>
    </row>
    <row r="593" spans="1:11" ht="24" customHeight="1">
      <c r="A593" s="613" t="s">
        <v>12798</v>
      </c>
      <c r="B593" s="614" t="s">
        <v>12698</v>
      </c>
      <c r="C593" s="613" t="s">
        <v>12699</v>
      </c>
      <c r="D593" s="613" t="s">
        <v>12700</v>
      </c>
      <c r="E593" s="807" t="s">
        <v>12701</v>
      </c>
      <c r="F593" s="808"/>
      <c r="G593" s="615" t="s">
        <v>12702</v>
      </c>
      <c r="H593" s="614" t="s">
        <v>12703</v>
      </c>
      <c r="I593" s="614" t="s">
        <v>12704</v>
      </c>
      <c r="J593" s="614" t="s">
        <v>12705</v>
      </c>
      <c r="K593"/>
    </row>
    <row r="594" spans="1:11" ht="24" customHeight="1">
      <c r="A594" s="616" t="s">
        <v>12706</v>
      </c>
      <c r="B594" s="617" t="s">
        <v>13580</v>
      </c>
      <c r="C594" s="616" t="s">
        <v>8</v>
      </c>
      <c r="D594" s="616" t="s">
        <v>1570</v>
      </c>
      <c r="E594" s="809" t="s">
        <v>12793</v>
      </c>
      <c r="F594" s="810"/>
      <c r="G594" s="618" t="s">
        <v>17</v>
      </c>
      <c r="H594" s="619">
        <v>1</v>
      </c>
      <c r="I594" s="620">
        <v>8.99</v>
      </c>
      <c r="J594" s="620">
        <v>8.99</v>
      </c>
      <c r="K594"/>
    </row>
    <row r="595" spans="1:11" ht="24" customHeight="1">
      <c r="A595" s="621" t="s">
        <v>12708</v>
      </c>
      <c r="B595" s="622" t="s">
        <v>13308</v>
      </c>
      <c r="C595" s="621" t="s">
        <v>8</v>
      </c>
      <c r="D595" s="621" t="s">
        <v>25</v>
      </c>
      <c r="E595" s="811" t="s">
        <v>12707</v>
      </c>
      <c r="F595" s="812"/>
      <c r="G595" s="623" t="s">
        <v>23</v>
      </c>
      <c r="H595" s="624">
        <v>8.5000000000000006E-2</v>
      </c>
      <c r="I595" s="625">
        <v>17.71</v>
      </c>
      <c r="J595" s="625">
        <v>1.5</v>
      </c>
      <c r="K595"/>
    </row>
    <row r="596" spans="1:11" ht="36" customHeight="1">
      <c r="A596" s="621" t="s">
        <v>12708</v>
      </c>
      <c r="B596" s="622" t="s">
        <v>12727</v>
      </c>
      <c r="C596" s="621" t="s">
        <v>8</v>
      </c>
      <c r="D596" s="621" t="s">
        <v>26</v>
      </c>
      <c r="E596" s="811" t="s">
        <v>12707</v>
      </c>
      <c r="F596" s="812"/>
      <c r="G596" s="623" t="s">
        <v>23</v>
      </c>
      <c r="H596" s="624">
        <v>3.1E-2</v>
      </c>
      <c r="I596" s="625">
        <v>14.37</v>
      </c>
      <c r="J596" s="625">
        <v>0.44</v>
      </c>
      <c r="K596"/>
    </row>
    <row r="597" spans="1:11">
      <c r="A597" s="626" t="s">
        <v>12709</v>
      </c>
      <c r="B597" s="627" t="s">
        <v>12797</v>
      </c>
      <c r="C597" s="626" t="s">
        <v>8</v>
      </c>
      <c r="D597" s="626" t="s">
        <v>7530</v>
      </c>
      <c r="E597" s="804" t="s">
        <v>12720</v>
      </c>
      <c r="F597" s="805"/>
      <c r="G597" s="628" t="s">
        <v>20</v>
      </c>
      <c r="H597" s="629">
        <v>0.60299999999999998</v>
      </c>
      <c r="I597" s="630">
        <v>0.65</v>
      </c>
      <c r="J597" s="630">
        <v>0.39</v>
      </c>
      <c r="K597"/>
    </row>
    <row r="598" spans="1:11" ht="15" customHeight="1">
      <c r="A598" s="626" t="s">
        <v>12709</v>
      </c>
      <c r="B598" s="627" t="s">
        <v>13579</v>
      </c>
      <c r="C598" s="626" t="s">
        <v>8</v>
      </c>
      <c r="D598" s="626" t="s">
        <v>10810</v>
      </c>
      <c r="E598" s="804" t="s">
        <v>12720</v>
      </c>
      <c r="F598" s="805"/>
      <c r="G598" s="628" t="s">
        <v>12725</v>
      </c>
      <c r="H598" s="629">
        <v>0.188</v>
      </c>
      <c r="I598" s="630">
        <v>33.630000000000003</v>
      </c>
      <c r="J598" s="630">
        <v>6.32</v>
      </c>
      <c r="K598"/>
    </row>
    <row r="599" spans="1:11" ht="0.95" customHeight="1">
      <c r="A599" s="626" t="s">
        <v>12709</v>
      </c>
      <c r="B599" s="627" t="s">
        <v>13569</v>
      </c>
      <c r="C599" s="626" t="s">
        <v>8</v>
      </c>
      <c r="D599" s="626" t="s">
        <v>11173</v>
      </c>
      <c r="E599" s="804" t="s">
        <v>12720</v>
      </c>
      <c r="F599" s="805"/>
      <c r="G599" s="628" t="s">
        <v>20</v>
      </c>
      <c r="H599" s="629">
        <v>8.4000000000000005E-2</v>
      </c>
      <c r="I599" s="630">
        <v>4.13</v>
      </c>
      <c r="J599" s="630">
        <v>0.34</v>
      </c>
      <c r="K599"/>
    </row>
    <row r="600" spans="1:11" ht="18" customHeight="1">
      <c r="A600" s="631"/>
      <c r="B600" s="631"/>
      <c r="C600" s="631"/>
      <c r="D600" s="631"/>
      <c r="E600" s="631" t="s">
        <v>12714</v>
      </c>
      <c r="F600" s="632">
        <v>0.74602659746999678</v>
      </c>
      <c r="G600" s="631" t="s">
        <v>12715</v>
      </c>
      <c r="H600" s="632">
        <v>0.63</v>
      </c>
      <c r="I600" s="631" t="s">
        <v>12716</v>
      </c>
      <c r="J600" s="632">
        <v>1.38</v>
      </c>
      <c r="K600"/>
    </row>
    <row r="601" spans="1:11" ht="48" customHeight="1" thickBot="1">
      <c r="A601" s="631"/>
      <c r="B601" s="631"/>
      <c r="C601" s="631"/>
      <c r="D601" s="631"/>
      <c r="E601" s="631" t="s">
        <v>12717</v>
      </c>
      <c r="F601" s="632">
        <v>2.5299999999999998</v>
      </c>
      <c r="G601" s="631"/>
      <c r="H601" s="806" t="s">
        <v>12718</v>
      </c>
      <c r="I601" s="806"/>
      <c r="J601" s="632">
        <v>11.52</v>
      </c>
      <c r="K601"/>
    </row>
    <row r="602" spans="1:11" ht="36" customHeight="1" thickTop="1">
      <c r="A602" s="633"/>
      <c r="B602" s="633"/>
      <c r="C602" s="633"/>
      <c r="D602" s="633"/>
      <c r="E602" s="633"/>
      <c r="F602" s="633"/>
      <c r="G602" s="633"/>
      <c r="H602" s="633"/>
      <c r="I602" s="633"/>
      <c r="J602" s="633"/>
      <c r="K602"/>
    </row>
    <row r="603" spans="1:11" ht="36" customHeight="1">
      <c r="A603" s="613" t="s">
        <v>12799</v>
      </c>
      <c r="B603" s="614" t="s">
        <v>12698</v>
      </c>
      <c r="C603" s="613" t="s">
        <v>12699</v>
      </c>
      <c r="D603" s="613" t="s">
        <v>12700</v>
      </c>
      <c r="E603" s="807" t="s">
        <v>12701</v>
      </c>
      <c r="F603" s="808"/>
      <c r="G603" s="615" t="s">
        <v>12702</v>
      </c>
      <c r="H603" s="614" t="s">
        <v>12703</v>
      </c>
      <c r="I603" s="614" t="s">
        <v>12704</v>
      </c>
      <c r="J603" s="614" t="s">
        <v>12705</v>
      </c>
      <c r="K603"/>
    </row>
    <row r="604" spans="1:11" ht="24" customHeight="1">
      <c r="A604" s="616" t="s">
        <v>12706</v>
      </c>
      <c r="B604" s="617" t="s">
        <v>13578</v>
      </c>
      <c r="C604" s="616" t="s">
        <v>8</v>
      </c>
      <c r="D604" s="616" t="s">
        <v>3554</v>
      </c>
      <c r="E604" s="809" t="s">
        <v>12793</v>
      </c>
      <c r="F604" s="810"/>
      <c r="G604" s="618" t="s">
        <v>12725</v>
      </c>
      <c r="H604" s="619">
        <v>1</v>
      </c>
      <c r="I604" s="620">
        <v>58.47</v>
      </c>
      <c r="J604" s="620">
        <v>58.47</v>
      </c>
      <c r="K604"/>
    </row>
    <row r="605" spans="1:11" ht="24" customHeight="1">
      <c r="A605" s="621" t="s">
        <v>12708</v>
      </c>
      <c r="B605" s="622" t="s">
        <v>13258</v>
      </c>
      <c r="C605" s="621" t="s">
        <v>8</v>
      </c>
      <c r="D605" s="621" t="s">
        <v>724</v>
      </c>
      <c r="E605" s="811" t="s">
        <v>12734</v>
      </c>
      <c r="F605" s="812"/>
      <c r="G605" s="623" t="s">
        <v>12730</v>
      </c>
      <c r="H605" s="624">
        <v>7.2800000000000004E-2</v>
      </c>
      <c r="I605" s="625">
        <v>310.81</v>
      </c>
      <c r="J605" s="625">
        <v>22.62</v>
      </c>
      <c r="K605"/>
    </row>
    <row r="606" spans="1:11" ht="24" customHeight="1">
      <c r="A606" s="621" t="s">
        <v>12708</v>
      </c>
      <c r="B606" s="622" t="s">
        <v>13191</v>
      </c>
      <c r="C606" s="621" t="s">
        <v>8</v>
      </c>
      <c r="D606" s="621" t="s">
        <v>46</v>
      </c>
      <c r="E606" s="811" t="s">
        <v>12707</v>
      </c>
      <c r="F606" s="812"/>
      <c r="G606" s="623" t="s">
        <v>23</v>
      </c>
      <c r="H606" s="624">
        <v>0.13539999999999999</v>
      </c>
      <c r="I606" s="625">
        <v>17.64</v>
      </c>
      <c r="J606" s="625">
        <v>2.38</v>
      </c>
      <c r="K606"/>
    </row>
    <row r="607" spans="1:11" ht="24" customHeight="1">
      <c r="A607" s="621" t="s">
        <v>12708</v>
      </c>
      <c r="B607" s="622" t="s">
        <v>12745</v>
      </c>
      <c r="C607" s="621" t="s">
        <v>8</v>
      </c>
      <c r="D607" s="621" t="s">
        <v>47</v>
      </c>
      <c r="E607" s="811" t="s">
        <v>12707</v>
      </c>
      <c r="F607" s="812"/>
      <c r="G607" s="623" t="s">
        <v>23</v>
      </c>
      <c r="H607" s="624">
        <v>0.22170000000000001</v>
      </c>
      <c r="I607" s="625">
        <v>17.760000000000002</v>
      </c>
      <c r="J607" s="625">
        <v>3.93</v>
      </c>
      <c r="K607"/>
    </row>
    <row r="608" spans="1:11" ht="24" customHeight="1">
      <c r="A608" s="621" t="s">
        <v>12708</v>
      </c>
      <c r="B608" s="622" t="s">
        <v>12727</v>
      </c>
      <c r="C608" s="621" t="s">
        <v>8</v>
      </c>
      <c r="D608" s="621" t="s">
        <v>26</v>
      </c>
      <c r="E608" s="811" t="s">
        <v>12707</v>
      </c>
      <c r="F608" s="812"/>
      <c r="G608" s="623" t="s">
        <v>23</v>
      </c>
      <c r="H608" s="624">
        <v>0.35699999999999998</v>
      </c>
      <c r="I608" s="625">
        <v>14.37</v>
      </c>
      <c r="J608" s="625">
        <v>5.13</v>
      </c>
      <c r="K608"/>
    </row>
    <row r="609" spans="1:11" ht="36" customHeight="1">
      <c r="A609" s="626" t="s">
        <v>12709</v>
      </c>
      <c r="B609" s="627" t="s">
        <v>13577</v>
      </c>
      <c r="C609" s="626" t="s">
        <v>8</v>
      </c>
      <c r="D609" s="626" t="s">
        <v>10023</v>
      </c>
      <c r="E609" s="804" t="s">
        <v>12720</v>
      </c>
      <c r="F609" s="805"/>
      <c r="G609" s="628" t="s">
        <v>12725</v>
      </c>
      <c r="H609" s="629">
        <v>1.1279999999999999</v>
      </c>
      <c r="I609" s="630">
        <v>0.92</v>
      </c>
      <c r="J609" s="630">
        <v>1.03</v>
      </c>
      <c r="K609"/>
    </row>
    <row r="610" spans="1:11" ht="25.5">
      <c r="A610" s="626" t="s">
        <v>12709</v>
      </c>
      <c r="B610" s="627" t="s">
        <v>13091</v>
      </c>
      <c r="C610" s="626" t="s">
        <v>8</v>
      </c>
      <c r="D610" s="626" t="s">
        <v>11248</v>
      </c>
      <c r="E610" s="804" t="s">
        <v>12720</v>
      </c>
      <c r="F610" s="805"/>
      <c r="G610" s="628" t="s">
        <v>17</v>
      </c>
      <c r="H610" s="629">
        <v>0.45</v>
      </c>
      <c r="I610" s="630">
        <v>2</v>
      </c>
      <c r="J610" s="630">
        <v>0.9</v>
      </c>
      <c r="K610"/>
    </row>
    <row r="611" spans="1:11" ht="15" customHeight="1">
      <c r="A611" s="626" t="s">
        <v>12709</v>
      </c>
      <c r="B611" s="627" t="s">
        <v>13576</v>
      </c>
      <c r="C611" s="626" t="s">
        <v>8</v>
      </c>
      <c r="D611" s="626" t="s">
        <v>11657</v>
      </c>
      <c r="E611" s="804" t="s">
        <v>12720</v>
      </c>
      <c r="F611" s="805"/>
      <c r="G611" s="628" t="s">
        <v>12725</v>
      </c>
      <c r="H611" s="629">
        <v>1.1224000000000001</v>
      </c>
      <c r="I611" s="630">
        <v>20.03</v>
      </c>
      <c r="J611" s="630">
        <v>22.48</v>
      </c>
      <c r="K611"/>
    </row>
    <row r="612" spans="1:11" ht="0.95" customHeight="1">
      <c r="A612" s="631"/>
      <c r="B612" s="631"/>
      <c r="C612" s="631"/>
      <c r="D612" s="631"/>
      <c r="E612" s="631" t="s">
        <v>12714</v>
      </c>
      <c r="F612" s="632">
        <v>5.8654989728619311</v>
      </c>
      <c r="G612" s="631" t="s">
        <v>12715</v>
      </c>
      <c r="H612" s="632">
        <v>4.9800000000000004</v>
      </c>
      <c r="I612" s="631" t="s">
        <v>12716</v>
      </c>
      <c r="J612" s="632">
        <v>10.85</v>
      </c>
      <c r="K612"/>
    </row>
    <row r="613" spans="1:11" ht="18" customHeight="1" thickBot="1">
      <c r="A613" s="631"/>
      <c r="B613" s="631"/>
      <c r="C613" s="631"/>
      <c r="D613" s="631"/>
      <c r="E613" s="631" t="s">
        <v>12717</v>
      </c>
      <c r="F613" s="632">
        <v>16.510000000000002</v>
      </c>
      <c r="G613" s="631"/>
      <c r="H613" s="806" t="s">
        <v>12718</v>
      </c>
      <c r="I613" s="806"/>
      <c r="J613" s="632">
        <v>74.98</v>
      </c>
      <c r="K613"/>
    </row>
    <row r="614" spans="1:11" ht="48" customHeight="1" thickTop="1">
      <c r="A614" s="633"/>
      <c r="B614" s="633"/>
      <c r="C614" s="633"/>
      <c r="D614" s="633"/>
      <c r="E614" s="633"/>
      <c r="F614" s="633"/>
      <c r="G614" s="633"/>
      <c r="H614" s="633"/>
      <c r="I614" s="633"/>
      <c r="J614" s="633"/>
      <c r="K614"/>
    </row>
    <row r="615" spans="1:11" ht="36" customHeight="1">
      <c r="A615" s="613" t="s">
        <v>12800</v>
      </c>
      <c r="B615" s="614" t="s">
        <v>12698</v>
      </c>
      <c r="C615" s="613" t="s">
        <v>12699</v>
      </c>
      <c r="D615" s="613" t="s">
        <v>12700</v>
      </c>
      <c r="E615" s="807" t="s">
        <v>12701</v>
      </c>
      <c r="F615" s="808"/>
      <c r="G615" s="615" t="s">
        <v>12702</v>
      </c>
      <c r="H615" s="614" t="s">
        <v>12703</v>
      </c>
      <c r="I615" s="614" t="s">
        <v>12704</v>
      </c>
      <c r="J615" s="614" t="s">
        <v>12705</v>
      </c>
      <c r="K615"/>
    </row>
    <row r="616" spans="1:11" ht="24" customHeight="1">
      <c r="A616" s="616" t="s">
        <v>12706</v>
      </c>
      <c r="B616" s="617" t="s">
        <v>13575</v>
      </c>
      <c r="C616" s="616" t="s">
        <v>8</v>
      </c>
      <c r="D616" s="616" t="s">
        <v>5576</v>
      </c>
      <c r="E616" s="809" t="s">
        <v>12801</v>
      </c>
      <c r="F616" s="810"/>
      <c r="G616" s="618" t="s">
        <v>17</v>
      </c>
      <c r="H616" s="619">
        <v>1</v>
      </c>
      <c r="I616" s="620">
        <v>36.76</v>
      </c>
      <c r="J616" s="620">
        <v>36.76</v>
      </c>
      <c r="K616"/>
    </row>
    <row r="617" spans="1:11" ht="24" customHeight="1">
      <c r="A617" s="621" t="s">
        <v>12708</v>
      </c>
      <c r="B617" s="622" t="s">
        <v>13124</v>
      </c>
      <c r="C617" s="621" t="s">
        <v>8</v>
      </c>
      <c r="D617" s="621" t="s">
        <v>3097</v>
      </c>
      <c r="E617" s="811" t="s">
        <v>12726</v>
      </c>
      <c r="F617" s="812"/>
      <c r="G617" s="623" t="s">
        <v>44</v>
      </c>
      <c r="H617" s="624">
        <v>1.7999999999999999E-2</v>
      </c>
      <c r="I617" s="625">
        <v>13.32</v>
      </c>
      <c r="J617" s="625">
        <v>0.23</v>
      </c>
      <c r="K617"/>
    </row>
    <row r="618" spans="1:11" ht="25.5" customHeight="1">
      <c r="A618" s="621" t="s">
        <v>12708</v>
      </c>
      <c r="B618" s="622" t="s">
        <v>13125</v>
      </c>
      <c r="C618" s="621" t="s">
        <v>8</v>
      </c>
      <c r="D618" s="621" t="s">
        <v>3098</v>
      </c>
      <c r="E618" s="811" t="s">
        <v>12726</v>
      </c>
      <c r="F618" s="812"/>
      <c r="G618" s="623" t="s">
        <v>61</v>
      </c>
      <c r="H618" s="624">
        <v>9.0999999999999998E-2</v>
      </c>
      <c r="I618" s="625">
        <v>4.1900000000000004</v>
      </c>
      <c r="J618" s="625">
        <v>0.38</v>
      </c>
      <c r="K618"/>
    </row>
    <row r="619" spans="1:11" ht="15" customHeight="1">
      <c r="A619" s="621" t="s">
        <v>12708</v>
      </c>
      <c r="B619" s="622" t="s">
        <v>13312</v>
      </c>
      <c r="C619" s="621" t="s">
        <v>8</v>
      </c>
      <c r="D619" s="621" t="s">
        <v>5863</v>
      </c>
      <c r="E619" s="811" t="s">
        <v>12707</v>
      </c>
      <c r="F619" s="812"/>
      <c r="G619" s="623" t="s">
        <v>12730</v>
      </c>
      <c r="H619" s="624">
        <v>3.0000000000000001E-3</v>
      </c>
      <c r="I619" s="625">
        <v>381.86</v>
      </c>
      <c r="J619" s="625">
        <v>1.1399999999999999</v>
      </c>
      <c r="K619"/>
    </row>
    <row r="620" spans="1:11" ht="0.95" customHeight="1">
      <c r="A620" s="621" t="s">
        <v>12708</v>
      </c>
      <c r="B620" s="622" t="s">
        <v>13331</v>
      </c>
      <c r="C620" s="621" t="s">
        <v>8</v>
      </c>
      <c r="D620" s="621" t="s">
        <v>240</v>
      </c>
      <c r="E620" s="811" t="s">
        <v>12707</v>
      </c>
      <c r="F620" s="812"/>
      <c r="G620" s="623" t="s">
        <v>23</v>
      </c>
      <c r="H620" s="624">
        <v>0.109</v>
      </c>
      <c r="I620" s="625">
        <v>17.149999999999999</v>
      </c>
      <c r="J620" s="625">
        <v>1.86</v>
      </c>
      <c r="K620"/>
    </row>
    <row r="621" spans="1:11" ht="18" customHeight="1">
      <c r="A621" s="621" t="s">
        <v>12708</v>
      </c>
      <c r="B621" s="622" t="s">
        <v>12745</v>
      </c>
      <c r="C621" s="621" t="s">
        <v>8</v>
      </c>
      <c r="D621" s="621" t="s">
        <v>47</v>
      </c>
      <c r="E621" s="811" t="s">
        <v>12707</v>
      </c>
      <c r="F621" s="812"/>
      <c r="G621" s="623" t="s">
        <v>23</v>
      </c>
      <c r="H621" s="624">
        <v>0.24399999999999999</v>
      </c>
      <c r="I621" s="625">
        <v>17.760000000000002</v>
      </c>
      <c r="J621" s="625">
        <v>4.33</v>
      </c>
      <c r="K621"/>
    </row>
    <row r="622" spans="1:11" ht="60" customHeight="1">
      <c r="A622" s="621" t="s">
        <v>12708</v>
      </c>
      <c r="B622" s="622" t="s">
        <v>12727</v>
      </c>
      <c r="C622" s="621" t="s">
        <v>8</v>
      </c>
      <c r="D622" s="621" t="s">
        <v>26</v>
      </c>
      <c r="E622" s="811" t="s">
        <v>12707</v>
      </c>
      <c r="F622" s="812"/>
      <c r="G622" s="623" t="s">
        <v>23</v>
      </c>
      <c r="H622" s="624">
        <v>0.48699999999999999</v>
      </c>
      <c r="I622" s="625">
        <v>14.37</v>
      </c>
      <c r="J622" s="625">
        <v>6.99</v>
      </c>
      <c r="K622"/>
    </row>
    <row r="623" spans="1:11" ht="48" customHeight="1">
      <c r="A623" s="626" t="s">
        <v>12709</v>
      </c>
      <c r="B623" s="627" t="s">
        <v>13250</v>
      </c>
      <c r="C623" s="626" t="s">
        <v>8</v>
      </c>
      <c r="D623" s="626" t="s">
        <v>7526</v>
      </c>
      <c r="E623" s="804" t="s">
        <v>12720</v>
      </c>
      <c r="F623" s="805"/>
      <c r="G623" s="628" t="s">
        <v>12730</v>
      </c>
      <c r="H623" s="629">
        <v>1.4999999999999999E-2</v>
      </c>
      <c r="I623" s="630">
        <v>62.5</v>
      </c>
      <c r="J623" s="630">
        <v>0.93</v>
      </c>
      <c r="K623"/>
    </row>
    <row r="624" spans="1:11" ht="24" customHeight="1">
      <c r="A624" s="626" t="s">
        <v>12709</v>
      </c>
      <c r="B624" s="627" t="s">
        <v>13574</v>
      </c>
      <c r="C624" s="626" t="s">
        <v>8</v>
      </c>
      <c r="D624" s="626" t="s">
        <v>8470</v>
      </c>
      <c r="E624" s="804" t="s">
        <v>12720</v>
      </c>
      <c r="F624" s="805"/>
      <c r="G624" s="628" t="s">
        <v>12730</v>
      </c>
      <c r="H624" s="629">
        <v>6.3E-2</v>
      </c>
      <c r="I624" s="630">
        <v>331.82</v>
      </c>
      <c r="J624" s="630">
        <v>20.9</v>
      </c>
      <c r="K624"/>
    </row>
    <row r="625" spans="1:11" ht="24" customHeight="1">
      <c r="A625" s="631"/>
      <c r="B625" s="631"/>
      <c r="C625" s="631"/>
      <c r="D625" s="631"/>
      <c r="E625" s="631" t="s">
        <v>12714</v>
      </c>
      <c r="F625" s="632">
        <v>5.097848416044978</v>
      </c>
      <c r="G625" s="631" t="s">
        <v>12715</v>
      </c>
      <c r="H625" s="632">
        <v>4.33</v>
      </c>
      <c r="I625" s="631" t="s">
        <v>12716</v>
      </c>
      <c r="J625" s="632">
        <v>9.43</v>
      </c>
      <c r="K625"/>
    </row>
    <row r="626" spans="1:11" ht="15" customHeight="1" thickBot="1">
      <c r="A626" s="631"/>
      <c r="B626" s="631"/>
      <c r="C626" s="631"/>
      <c r="D626" s="631"/>
      <c r="E626" s="631" t="s">
        <v>12717</v>
      </c>
      <c r="F626" s="632">
        <v>10.38</v>
      </c>
      <c r="G626" s="631"/>
      <c r="H626" s="806" t="s">
        <v>12718</v>
      </c>
      <c r="I626" s="806"/>
      <c r="J626" s="632">
        <v>47.14</v>
      </c>
      <c r="K626"/>
    </row>
    <row r="627" spans="1:11" ht="15" customHeight="1" thickTop="1">
      <c r="A627" s="633"/>
      <c r="B627" s="633"/>
      <c r="C627" s="633"/>
      <c r="D627" s="633"/>
      <c r="E627" s="633"/>
      <c r="F627" s="633"/>
      <c r="G627" s="633"/>
      <c r="H627" s="633"/>
      <c r="I627" s="633"/>
      <c r="J627" s="633"/>
      <c r="K627"/>
    </row>
    <row r="628" spans="1:11" ht="0.95" customHeight="1">
      <c r="A628" s="613" t="s">
        <v>12802</v>
      </c>
      <c r="B628" s="614" t="s">
        <v>12698</v>
      </c>
      <c r="C628" s="613" t="s">
        <v>12699</v>
      </c>
      <c r="D628" s="613" t="s">
        <v>12700</v>
      </c>
      <c r="E628" s="807" t="s">
        <v>12701</v>
      </c>
      <c r="F628" s="808"/>
      <c r="G628" s="615" t="s">
        <v>12702</v>
      </c>
      <c r="H628" s="614" t="s">
        <v>12703</v>
      </c>
      <c r="I628" s="614" t="s">
        <v>12704</v>
      </c>
      <c r="J628" s="614" t="s">
        <v>12705</v>
      </c>
      <c r="K628"/>
    </row>
    <row r="629" spans="1:11" ht="18" customHeight="1">
      <c r="A629" s="616" t="s">
        <v>12706</v>
      </c>
      <c r="B629" s="617" t="s">
        <v>13573</v>
      </c>
      <c r="C629" s="616" t="s">
        <v>8</v>
      </c>
      <c r="D629" s="616" t="s">
        <v>233</v>
      </c>
      <c r="E629" s="809" t="s">
        <v>12803</v>
      </c>
      <c r="F629" s="810"/>
      <c r="G629" s="618" t="s">
        <v>12725</v>
      </c>
      <c r="H629" s="619">
        <v>1</v>
      </c>
      <c r="I629" s="620">
        <v>5.93</v>
      </c>
      <c r="J629" s="620">
        <v>5.93</v>
      </c>
      <c r="K629"/>
    </row>
    <row r="630" spans="1:11" ht="60" customHeight="1">
      <c r="A630" s="621" t="s">
        <v>12708</v>
      </c>
      <c r="B630" s="622" t="s">
        <v>13318</v>
      </c>
      <c r="C630" s="621" t="s">
        <v>8</v>
      </c>
      <c r="D630" s="621" t="s">
        <v>5772</v>
      </c>
      <c r="E630" s="811" t="s">
        <v>12707</v>
      </c>
      <c r="F630" s="812"/>
      <c r="G630" s="623" t="s">
        <v>12730</v>
      </c>
      <c r="H630" s="624">
        <v>4.1999999999999997E-3</v>
      </c>
      <c r="I630" s="625">
        <v>330.09</v>
      </c>
      <c r="J630" s="625">
        <v>1.38</v>
      </c>
      <c r="K630"/>
    </row>
    <row r="631" spans="1:11" ht="48" customHeight="1">
      <c r="A631" s="621" t="s">
        <v>12708</v>
      </c>
      <c r="B631" s="622" t="s">
        <v>12745</v>
      </c>
      <c r="C631" s="621" t="s">
        <v>8</v>
      </c>
      <c r="D631" s="621" t="s">
        <v>47</v>
      </c>
      <c r="E631" s="811" t="s">
        <v>12707</v>
      </c>
      <c r="F631" s="812"/>
      <c r="G631" s="623" t="s">
        <v>23</v>
      </c>
      <c r="H631" s="624">
        <v>0.183</v>
      </c>
      <c r="I631" s="625">
        <v>17.760000000000002</v>
      </c>
      <c r="J631" s="625">
        <v>3.25</v>
      </c>
      <c r="K631"/>
    </row>
    <row r="632" spans="1:11" ht="24" customHeight="1">
      <c r="A632" s="621" t="s">
        <v>12708</v>
      </c>
      <c r="B632" s="622" t="s">
        <v>12727</v>
      </c>
      <c r="C632" s="621" t="s">
        <v>8</v>
      </c>
      <c r="D632" s="621" t="s">
        <v>26</v>
      </c>
      <c r="E632" s="811" t="s">
        <v>12707</v>
      </c>
      <c r="F632" s="812"/>
      <c r="G632" s="623" t="s">
        <v>23</v>
      </c>
      <c r="H632" s="624">
        <v>9.0999999999999998E-2</v>
      </c>
      <c r="I632" s="625">
        <v>14.37</v>
      </c>
      <c r="J632" s="625">
        <v>1.3</v>
      </c>
      <c r="K632"/>
    </row>
    <row r="633" spans="1:11" ht="24" customHeight="1">
      <c r="A633" s="631"/>
      <c r="B633" s="631"/>
      <c r="C633" s="631"/>
      <c r="D633" s="631"/>
      <c r="E633" s="631" t="s">
        <v>12714</v>
      </c>
      <c r="F633" s="632">
        <v>1.8380365444912963</v>
      </c>
      <c r="G633" s="631" t="s">
        <v>12715</v>
      </c>
      <c r="H633" s="632">
        <v>1.56</v>
      </c>
      <c r="I633" s="631" t="s">
        <v>12716</v>
      </c>
      <c r="J633" s="632">
        <v>3.4</v>
      </c>
      <c r="K633"/>
    </row>
    <row r="634" spans="1:11" ht="15" customHeight="1" thickBot="1">
      <c r="A634" s="631"/>
      <c r="B634" s="631"/>
      <c r="C634" s="631"/>
      <c r="D634" s="631"/>
      <c r="E634" s="631" t="s">
        <v>12717</v>
      </c>
      <c r="F634" s="632">
        <v>1.67</v>
      </c>
      <c r="G634" s="631"/>
      <c r="H634" s="806" t="s">
        <v>12718</v>
      </c>
      <c r="I634" s="806"/>
      <c r="J634" s="632">
        <v>7.6</v>
      </c>
      <c r="K634"/>
    </row>
    <row r="635" spans="1:11" ht="15" customHeight="1" thickTop="1">
      <c r="A635" s="633"/>
      <c r="B635" s="633"/>
      <c r="C635" s="633"/>
      <c r="D635" s="633"/>
      <c r="E635" s="633"/>
      <c r="F635" s="633"/>
      <c r="G635" s="633"/>
      <c r="H635" s="633"/>
      <c r="I635" s="633"/>
      <c r="J635" s="633"/>
      <c r="K635"/>
    </row>
    <row r="636" spans="1:11" ht="0.95" customHeight="1">
      <c r="A636" s="613" t="s">
        <v>12804</v>
      </c>
      <c r="B636" s="614" t="s">
        <v>12698</v>
      </c>
      <c r="C636" s="613" t="s">
        <v>12699</v>
      </c>
      <c r="D636" s="613" t="s">
        <v>12700</v>
      </c>
      <c r="E636" s="807" t="s">
        <v>12701</v>
      </c>
      <c r="F636" s="808"/>
      <c r="G636" s="615" t="s">
        <v>12702</v>
      </c>
      <c r="H636" s="614" t="s">
        <v>12703</v>
      </c>
      <c r="I636" s="614" t="s">
        <v>12704</v>
      </c>
      <c r="J636" s="614" t="s">
        <v>12705</v>
      </c>
      <c r="K636"/>
    </row>
    <row r="637" spans="1:11" ht="39" customHeight="1">
      <c r="A637" s="616" t="s">
        <v>12706</v>
      </c>
      <c r="B637" s="617" t="s">
        <v>13572</v>
      </c>
      <c r="C637" s="616" t="s">
        <v>8</v>
      </c>
      <c r="D637" s="616" t="s">
        <v>1380</v>
      </c>
      <c r="E637" s="809" t="s">
        <v>12803</v>
      </c>
      <c r="F637" s="810"/>
      <c r="G637" s="618" t="s">
        <v>12725</v>
      </c>
      <c r="H637" s="619">
        <v>1</v>
      </c>
      <c r="I637" s="620">
        <v>19.73</v>
      </c>
      <c r="J637" s="620">
        <v>19.73</v>
      </c>
      <c r="K637"/>
    </row>
    <row r="638" spans="1:11" ht="48" customHeight="1">
      <c r="A638" s="621" t="s">
        <v>12708</v>
      </c>
      <c r="B638" s="622" t="s">
        <v>13321</v>
      </c>
      <c r="C638" s="621" t="s">
        <v>8</v>
      </c>
      <c r="D638" s="621" t="s">
        <v>5824</v>
      </c>
      <c r="E638" s="811" t="s">
        <v>12707</v>
      </c>
      <c r="F638" s="812"/>
      <c r="G638" s="623" t="s">
        <v>12730</v>
      </c>
      <c r="H638" s="624">
        <v>2.1299999999999999E-2</v>
      </c>
      <c r="I638" s="625">
        <v>431.18</v>
      </c>
      <c r="J638" s="625">
        <v>9.18</v>
      </c>
      <c r="K638"/>
    </row>
    <row r="639" spans="1:11" ht="24" customHeight="1">
      <c r="A639" s="621" t="s">
        <v>12708</v>
      </c>
      <c r="B639" s="622" t="s">
        <v>12745</v>
      </c>
      <c r="C639" s="621" t="s">
        <v>8</v>
      </c>
      <c r="D639" s="621" t="s">
        <v>47</v>
      </c>
      <c r="E639" s="811" t="s">
        <v>12707</v>
      </c>
      <c r="F639" s="812"/>
      <c r="G639" s="623" t="s">
        <v>23</v>
      </c>
      <c r="H639" s="624">
        <v>0.46</v>
      </c>
      <c r="I639" s="625">
        <v>17.760000000000002</v>
      </c>
      <c r="J639" s="625">
        <v>8.16</v>
      </c>
      <c r="K639"/>
    </row>
    <row r="640" spans="1:11" ht="24" customHeight="1">
      <c r="A640" s="621" t="s">
        <v>12708</v>
      </c>
      <c r="B640" s="622" t="s">
        <v>12727</v>
      </c>
      <c r="C640" s="621" t="s">
        <v>8</v>
      </c>
      <c r="D640" s="621" t="s">
        <v>26</v>
      </c>
      <c r="E640" s="811" t="s">
        <v>12707</v>
      </c>
      <c r="F640" s="812"/>
      <c r="G640" s="623" t="s">
        <v>23</v>
      </c>
      <c r="H640" s="624">
        <v>0.16700000000000001</v>
      </c>
      <c r="I640" s="625">
        <v>14.37</v>
      </c>
      <c r="J640" s="625">
        <v>2.39</v>
      </c>
      <c r="K640"/>
    </row>
    <row r="641" spans="1:11" ht="24" customHeight="1">
      <c r="A641" s="631"/>
      <c r="B641" s="631"/>
      <c r="C641" s="631"/>
      <c r="D641" s="631"/>
      <c r="E641" s="631" t="s">
        <v>12714</v>
      </c>
      <c r="F641" s="632">
        <v>5.314088009514542</v>
      </c>
      <c r="G641" s="631" t="s">
        <v>12715</v>
      </c>
      <c r="H641" s="632">
        <v>4.5199999999999996</v>
      </c>
      <c r="I641" s="631" t="s">
        <v>12716</v>
      </c>
      <c r="J641" s="632">
        <v>9.83</v>
      </c>
      <c r="K641"/>
    </row>
    <row r="642" spans="1:11" ht="24" customHeight="1" thickBot="1">
      <c r="A642" s="631"/>
      <c r="B642" s="631"/>
      <c r="C642" s="631"/>
      <c r="D642" s="631"/>
      <c r="E642" s="631" t="s">
        <v>12717</v>
      </c>
      <c r="F642" s="632">
        <v>5.57</v>
      </c>
      <c r="G642" s="631"/>
      <c r="H642" s="806" t="s">
        <v>12718</v>
      </c>
      <c r="I642" s="806"/>
      <c r="J642" s="632">
        <v>25.3</v>
      </c>
      <c r="K642"/>
    </row>
    <row r="643" spans="1:11" ht="24" customHeight="1" thickTop="1">
      <c r="A643" s="633"/>
      <c r="B643" s="633"/>
      <c r="C643" s="633"/>
      <c r="D643" s="633"/>
      <c r="E643" s="633"/>
      <c r="F643" s="633"/>
      <c r="G643" s="633"/>
      <c r="H643" s="633"/>
      <c r="I643" s="633"/>
      <c r="J643" s="633"/>
      <c r="K643"/>
    </row>
    <row r="644" spans="1:11" ht="15">
      <c r="A644" s="613" t="s">
        <v>12805</v>
      </c>
      <c r="B644" s="614" t="s">
        <v>12698</v>
      </c>
      <c r="C644" s="613" t="s">
        <v>12699</v>
      </c>
      <c r="D644" s="613" t="s">
        <v>12700</v>
      </c>
      <c r="E644" s="807" t="s">
        <v>12701</v>
      </c>
      <c r="F644" s="808"/>
      <c r="G644" s="615" t="s">
        <v>12702</v>
      </c>
      <c r="H644" s="614" t="s">
        <v>12703</v>
      </c>
      <c r="I644" s="614" t="s">
        <v>12704</v>
      </c>
      <c r="J644" s="614" t="s">
        <v>12705</v>
      </c>
      <c r="K644"/>
    </row>
    <row r="645" spans="1:11" ht="15" customHeight="1">
      <c r="A645" s="616" t="s">
        <v>12706</v>
      </c>
      <c r="B645" s="617" t="s">
        <v>13571</v>
      </c>
      <c r="C645" s="616" t="s">
        <v>8</v>
      </c>
      <c r="D645" s="616" t="s">
        <v>1369</v>
      </c>
      <c r="E645" s="809" t="s">
        <v>12803</v>
      </c>
      <c r="F645" s="810"/>
      <c r="G645" s="618" t="s">
        <v>12725</v>
      </c>
      <c r="H645" s="619">
        <v>1</v>
      </c>
      <c r="I645" s="620">
        <v>23.45</v>
      </c>
      <c r="J645" s="620">
        <v>23.45</v>
      </c>
      <c r="K645"/>
    </row>
    <row r="646" spans="1:11" ht="0.95" customHeight="1">
      <c r="A646" s="621" t="s">
        <v>12708</v>
      </c>
      <c r="B646" s="622" t="s">
        <v>13320</v>
      </c>
      <c r="C646" s="621" t="s">
        <v>8</v>
      </c>
      <c r="D646" s="621" t="s">
        <v>5758</v>
      </c>
      <c r="E646" s="811" t="s">
        <v>12707</v>
      </c>
      <c r="F646" s="812"/>
      <c r="G646" s="623" t="s">
        <v>12730</v>
      </c>
      <c r="H646" s="624">
        <v>3.7600000000000001E-2</v>
      </c>
      <c r="I646" s="625">
        <v>336.77</v>
      </c>
      <c r="J646" s="625">
        <v>12.66</v>
      </c>
      <c r="K646"/>
    </row>
    <row r="647" spans="1:11" ht="18" customHeight="1">
      <c r="A647" s="621" t="s">
        <v>12708</v>
      </c>
      <c r="B647" s="622" t="s">
        <v>12745</v>
      </c>
      <c r="C647" s="621" t="s">
        <v>8</v>
      </c>
      <c r="D647" s="621" t="s">
        <v>47</v>
      </c>
      <c r="E647" s="811" t="s">
        <v>12707</v>
      </c>
      <c r="F647" s="812"/>
      <c r="G647" s="623" t="s">
        <v>23</v>
      </c>
      <c r="H647" s="624">
        <v>0.47</v>
      </c>
      <c r="I647" s="625">
        <v>17.760000000000002</v>
      </c>
      <c r="J647" s="625">
        <v>8.34</v>
      </c>
      <c r="K647"/>
    </row>
    <row r="648" spans="1:11" ht="36" customHeight="1">
      <c r="A648" s="621" t="s">
        <v>12708</v>
      </c>
      <c r="B648" s="622" t="s">
        <v>12727</v>
      </c>
      <c r="C648" s="621" t="s">
        <v>8</v>
      </c>
      <c r="D648" s="621" t="s">
        <v>26</v>
      </c>
      <c r="E648" s="811" t="s">
        <v>12707</v>
      </c>
      <c r="F648" s="812"/>
      <c r="G648" s="623" t="s">
        <v>23</v>
      </c>
      <c r="H648" s="624">
        <v>0.17100000000000001</v>
      </c>
      <c r="I648" s="625">
        <v>14.37</v>
      </c>
      <c r="J648" s="625">
        <v>2.4500000000000002</v>
      </c>
      <c r="K648"/>
    </row>
    <row r="649" spans="1:11" ht="24" customHeight="1">
      <c r="A649" s="631"/>
      <c r="B649" s="631"/>
      <c r="C649" s="631"/>
      <c r="D649" s="631"/>
      <c r="E649" s="631" t="s">
        <v>12714</v>
      </c>
      <c r="F649" s="632">
        <v>4.9897286193101955</v>
      </c>
      <c r="G649" s="631" t="s">
        <v>12715</v>
      </c>
      <c r="H649" s="632">
        <v>4.24</v>
      </c>
      <c r="I649" s="631" t="s">
        <v>12716</v>
      </c>
      <c r="J649" s="632">
        <v>9.23</v>
      </c>
      <c r="K649"/>
    </row>
    <row r="650" spans="1:11" ht="24" customHeight="1" thickBot="1">
      <c r="A650" s="631"/>
      <c r="B650" s="631"/>
      <c r="C650" s="631"/>
      <c r="D650" s="631"/>
      <c r="E650" s="631" t="s">
        <v>12717</v>
      </c>
      <c r="F650" s="632">
        <v>6.62</v>
      </c>
      <c r="G650" s="631"/>
      <c r="H650" s="806" t="s">
        <v>12718</v>
      </c>
      <c r="I650" s="806"/>
      <c r="J650" s="632">
        <v>30.07</v>
      </c>
      <c r="K650"/>
    </row>
    <row r="651" spans="1:11" ht="24" customHeight="1" thickTop="1">
      <c r="A651" s="633"/>
      <c r="B651" s="633"/>
      <c r="C651" s="633"/>
      <c r="D651" s="633"/>
      <c r="E651" s="633"/>
      <c r="F651" s="633"/>
      <c r="G651" s="633"/>
      <c r="H651" s="633"/>
      <c r="I651" s="633"/>
      <c r="J651" s="633"/>
      <c r="K651"/>
    </row>
    <row r="652" spans="1:11" ht="24" customHeight="1">
      <c r="A652" s="613" t="s">
        <v>12806</v>
      </c>
      <c r="B652" s="614" t="s">
        <v>12698</v>
      </c>
      <c r="C652" s="613" t="s">
        <v>12699</v>
      </c>
      <c r="D652" s="613" t="s">
        <v>12700</v>
      </c>
      <c r="E652" s="807" t="s">
        <v>12701</v>
      </c>
      <c r="F652" s="808"/>
      <c r="G652" s="615" t="s">
        <v>12702</v>
      </c>
      <c r="H652" s="614" t="s">
        <v>12703</v>
      </c>
      <c r="I652" s="614" t="s">
        <v>12704</v>
      </c>
      <c r="J652" s="614" t="s">
        <v>12705</v>
      </c>
      <c r="K652"/>
    </row>
    <row r="653" spans="1:11" ht="24" customHeight="1">
      <c r="A653" s="616" t="s">
        <v>12706</v>
      </c>
      <c r="B653" s="617" t="s">
        <v>13570</v>
      </c>
      <c r="C653" s="616" t="s">
        <v>8</v>
      </c>
      <c r="D653" s="616" t="s">
        <v>1256</v>
      </c>
      <c r="E653" s="809" t="s">
        <v>12803</v>
      </c>
      <c r="F653" s="810"/>
      <c r="G653" s="618" t="s">
        <v>12725</v>
      </c>
      <c r="H653" s="619">
        <v>1</v>
      </c>
      <c r="I653" s="620">
        <v>41.07</v>
      </c>
      <c r="J653" s="620">
        <v>41.07</v>
      </c>
      <c r="K653"/>
    </row>
    <row r="654" spans="1:11" ht="24" customHeight="1">
      <c r="A654" s="621" t="s">
        <v>12708</v>
      </c>
      <c r="B654" s="622" t="s">
        <v>13308</v>
      </c>
      <c r="C654" s="621" t="s">
        <v>8</v>
      </c>
      <c r="D654" s="621" t="s">
        <v>25</v>
      </c>
      <c r="E654" s="811" t="s">
        <v>12707</v>
      </c>
      <c r="F654" s="812"/>
      <c r="G654" s="623" t="s">
        <v>23</v>
      </c>
      <c r="H654" s="624">
        <v>0.66</v>
      </c>
      <c r="I654" s="625">
        <v>17.71</v>
      </c>
      <c r="J654" s="625">
        <v>11.68</v>
      </c>
      <c r="K654"/>
    </row>
    <row r="655" spans="1:11" ht="24" customHeight="1">
      <c r="A655" s="621" t="s">
        <v>12708</v>
      </c>
      <c r="B655" s="622" t="s">
        <v>12727</v>
      </c>
      <c r="C655" s="621" t="s">
        <v>8</v>
      </c>
      <c r="D655" s="621" t="s">
        <v>26</v>
      </c>
      <c r="E655" s="811" t="s">
        <v>12707</v>
      </c>
      <c r="F655" s="812"/>
      <c r="G655" s="623" t="s">
        <v>23</v>
      </c>
      <c r="H655" s="624">
        <v>0.36</v>
      </c>
      <c r="I655" s="625">
        <v>14.37</v>
      </c>
      <c r="J655" s="625">
        <v>5.17</v>
      </c>
      <c r="K655"/>
    </row>
    <row r="656" spans="1:11" ht="24" customHeight="1">
      <c r="A656" s="626" t="s">
        <v>12709</v>
      </c>
      <c r="B656" s="627" t="s">
        <v>12797</v>
      </c>
      <c r="C656" s="626" t="s">
        <v>8</v>
      </c>
      <c r="D656" s="626" t="s">
        <v>7530</v>
      </c>
      <c r="E656" s="804" t="s">
        <v>12720</v>
      </c>
      <c r="F656" s="805"/>
      <c r="G656" s="628" t="s">
        <v>20</v>
      </c>
      <c r="H656" s="629">
        <v>6.14</v>
      </c>
      <c r="I656" s="630">
        <v>0.65</v>
      </c>
      <c r="J656" s="630">
        <v>3.99</v>
      </c>
      <c r="K656"/>
    </row>
    <row r="657" spans="1:11" ht="36" customHeight="1">
      <c r="A657" s="626" t="s">
        <v>12709</v>
      </c>
      <c r="B657" s="627" t="s">
        <v>13569</v>
      </c>
      <c r="C657" s="626" t="s">
        <v>8</v>
      </c>
      <c r="D657" s="626" t="s">
        <v>11173</v>
      </c>
      <c r="E657" s="804" t="s">
        <v>12720</v>
      </c>
      <c r="F657" s="805"/>
      <c r="G657" s="628" t="s">
        <v>20</v>
      </c>
      <c r="H657" s="629">
        <v>0.22</v>
      </c>
      <c r="I657" s="630">
        <v>4.13</v>
      </c>
      <c r="J657" s="630">
        <v>0.9</v>
      </c>
      <c r="K657"/>
    </row>
    <row r="658" spans="1:11" ht="25.5">
      <c r="A658" s="626" t="s">
        <v>12709</v>
      </c>
      <c r="B658" s="627" t="s">
        <v>13568</v>
      </c>
      <c r="C658" s="626" t="s">
        <v>8</v>
      </c>
      <c r="D658" s="626" t="s">
        <v>11189</v>
      </c>
      <c r="E658" s="804" t="s">
        <v>12720</v>
      </c>
      <c r="F658" s="805"/>
      <c r="G658" s="628" t="s">
        <v>12725</v>
      </c>
      <c r="H658" s="629">
        <v>1.08</v>
      </c>
      <c r="I658" s="630">
        <v>17.899999999999999</v>
      </c>
      <c r="J658" s="630">
        <v>19.329999999999998</v>
      </c>
      <c r="K658"/>
    </row>
    <row r="659" spans="1:11" ht="15" customHeight="1">
      <c r="A659" s="631"/>
      <c r="B659" s="631"/>
      <c r="C659" s="631"/>
      <c r="D659" s="631"/>
      <c r="E659" s="631" t="s">
        <v>12714</v>
      </c>
      <c r="F659" s="632">
        <v>6.4817818142501888</v>
      </c>
      <c r="G659" s="631" t="s">
        <v>12715</v>
      </c>
      <c r="H659" s="632">
        <v>5.51</v>
      </c>
      <c r="I659" s="631" t="s">
        <v>12716</v>
      </c>
      <c r="J659" s="632">
        <v>11.99</v>
      </c>
      <c r="K659"/>
    </row>
    <row r="660" spans="1:11" ht="0.95" customHeight="1" thickBot="1">
      <c r="A660" s="631"/>
      <c r="B660" s="631"/>
      <c r="C660" s="631"/>
      <c r="D660" s="631"/>
      <c r="E660" s="631" t="s">
        <v>12717</v>
      </c>
      <c r="F660" s="632">
        <v>11.59</v>
      </c>
      <c r="G660" s="631"/>
      <c r="H660" s="806" t="s">
        <v>12718</v>
      </c>
      <c r="I660" s="806"/>
      <c r="J660" s="632">
        <v>52.66</v>
      </c>
      <c r="K660"/>
    </row>
    <row r="661" spans="1:11" ht="18" customHeight="1" thickTop="1">
      <c r="A661" s="633"/>
      <c r="B661" s="633"/>
      <c r="C661" s="633"/>
      <c r="D661" s="633"/>
      <c r="E661" s="633"/>
      <c r="F661" s="633"/>
      <c r="G661" s="633"/>
      <c r="H661" s="633"/>
      <c r="I661" s="633"/>
      <c r="J661" s="633"/>
      <c r="K661"/>
    </row>
    <row r="662" spans="1:11" ht="36" customHeight="1">
      <c r="A662" s="613" t="s">
        <v>12807</v>
      </c>
      <c r="B662" s="614" t="s">
        <v>12698</v>
      </c>
      <c r="C662" s="613" t="s">
        <v>12699</v>
      </c>
      <c r="D662" s="613" t="s">
        <v>12700</v>
      </c>
      <c r="E662" s="807" t="s">
        <v>12701</v>
      </c>
      <c r="F662" s="808"/>
      <c r="G662" s="615" t="s">
        <v>12702</v>
      </c>
      <c r="H662" s="614" t="s">
        <v>12703</v>
      </c>
      <c r="I662" s="614" t="s">
        <v>12704</v>
      </c>
      <c r="J662" s="614" t="s">
        <v>12705</v>
      </c>
      <c r="K662"/>
    </row>
    <row r="663" spans="1:11" ht="24" customHeight="1">
      <c r="A663" s="616" t="s">
        <v>12706</v>
      </c>
      <c r="B663" s="617" t="s">
        <v>12808</v>
      </c>
      <c r="C663" s="616" t="s">
        <v>8</v>
      </c>
      <c r="D663" s="616" t="s">
        <v>4265</v>
      </c>
      <c r="E663" s="809" t="s">
        <v>12776</v>
      </c>
      <c r="F663" s="810"/>
      <c r="G663" s="618" t="s">
        <v>12725</v>
      </c>
      <c r="H663" s="619">
        <v>1</v>
      </c>
      <c r="I663" s="620">
        <v>262.87</v>
      </c>
      <c r="J663" s="620">
        <v>262.87</v>
      </c>
      <c r="K663"/>
    </row>
    <row r="664" spans="1:11" ht="36" customHeight="1">
      <c r="A664" s="621" t="s">
        <v>12708</v>
      </c>
      <c r="B664" s="622" t="s">
        <v>13148</v>
      </c>
      <c r="C664" s="621" t="s">
        <v>8</v>
      </c>
      <c r="D664" s="621" t="s">
        <v>259</v>
      </c>
      <c r="E664" s="811" t="s">
        <v>12707</v>
      </c>
      <c r="F664" s="812"/>
      <c r="G664" s="623" t="s">
        <v>23</v>
      </c>
      <c r="H664" s="624">
        <v>4</v>
      </c>
      <c r="I664" s="625">
        <v>17.98</v>
      </c>
      <c r="J664" s="625">
        <v>71.92</v>
      </c>
      <c r="K664"/>
    </row>
    <row r="665" spans="1:11" ht="36" customHeight="1">
      <c r="A665" s="621" t="s">
        <v>12708</v>
      </c>
      <c r="B665" s="622" t="s">
        <v>12745</v>
      </c>
      <c r="C665" s="621" t="s">
        <v>8</v>
      </c>
      <c r="D665" s="621" t="s">
        <v>47</v>
      </c>
      <c r="E665" s="811" t="s">
        <v>12707</v>
      </c>
      <c r="F665" s="812"/>
      <c r="G665" s="623" t="s">
        <v>23</v>
      </c>
      <c r="H665" s="624">
        <v>3</v>
      </c>
      <c r="I665" s="625">
        <v>17.760000000000002</v>
      </c>
      <c r="J665" s="625">
        <v>53.28</v>
      </c>
      <c r="K665"/>
    </row>
    <row r="666" spans="1:11" ht="24" customHeight="1">
      <c r="A666" s="621" t="s">
        <v>12708</v>
      </c>
      <c r="B666" s="622" t="s">
        <v>12727</v>
      </c>
      <c r="C666" s="621" t="s">
        <v>8</v>
      </c>
      <c r="D666" s="621" t="s">
        <v>26</v>
      </c>
      <c r="E666" s="811" t="s">
        <v>12707</v>
      </c>
      <c r="F666" s="812"/>
      <c r="G666" s="623" t="s">
        <v>23</v>
      </c>
      <c r="H666" s="624">
        <v>5</v>
      </c>
      <c r="I666" s="625">
        <v>14.37</v>
      </c>
      <c r="J666" s="625">
        <v>71.849999999999994</v>
      </c>
      <c r="K666"/>
    </row>
    <row r="667" spans="1:11" ht="24" customHeight="1">
      <c r="A667" s="626" t="s">
        <v>12709</v>
      </c>
      <c r="B667" s="627" t="s">
        <v>13567</v>
      </c>
      <c r="C667" s="626" t="s">
        <v>8</v>
      </c>
      <c r="D667" s="626" t="s">
        <v>7258</v>
      </c>
      <c r="E667" s="804" t="s">
        <v>12720</v>
      </c>
      <c r="F667" s="805"/>
      <c r="G667" s="628" t="s">
        <v>20</v>
      </c>
      <c r="H667" s="629">
        <v>3</v>
      </c>
      <c r="I667" s="630">
        <v>4.9400000000000004</v>
      </c>
      <c r="J667" s="630">
        <v>14.82</v>
      </c>
      <c r="K667"/>
    </row>
    <row r="668" spans="1:11" ht="36" customHeight="1">
      <c r="A668" s="626" t="s">
        <v>12709</v>
      </c>
      <c r="B668" s="627" t="s">
        <v>13311</v>
      </c>
      <c r="C668" s="626" t="s">
        <v>8</v>
      </c>
      <c r="D668" s="626" t="s">
        <v>7522</v>
      </c>
      <c r="E668" s="804" t="s">
        <v>12720</v>
      </c>
      <c r="F668" s="805"/>
      <c r="G668" s="628" t="s">
        <v>20</v>
      </c>
      <c r="H668" s="629">
        <v>0.03</v>
      </c>
      <c r="I668" s="630">
        <v>13.6</v>
      </c>
      <c r="J668" s="630">
        <v>0.4</v>
      </c>
      <c r="K668"/>
    </row>
    <row r="669" spans="1:11" ht="36" customHeight="1">
      <c r="A669" s="626" t="s">
        <v>12709</v>
      </c>
      <c r="B669" s="627" t="s">
        <v>13315</v>
      </c>
      <c r="C669" s="626" t="s">
        <v>8</v>
      </c>
      <c r="D669" s="626" t="s">
        <v>7525</v>
      </c>
      <c r="E669" s="804" t="s">
        <v>12720</v>
      </c>
      <c r="F669" s="805"/>
      <c r="G669" s="628" t="s">
        <v>12730</v>
      </c>
      <c r="H669" s="629">
        <v>1.4999999999999999E-2</v>
      </c>
      <c r="I669" s="630">
        <v>66.5</v>
      </c>
      <c r="J669" s="630">
        <v>0.99</v>
      </c>
      <c r="K669"/>
    </row>
    <row r="670" spans="1:11">
      <c r="A670" s="626" t="s">
        <v>12709</v>
      </c>
      <c r="B670" s="627" t="s">
        <v>13566</v>
      </c>
      <c r="C670" s="626" t="s">
        <v>8</v>
      </c>
      <c r="D670" s="626" t="s">
        <v>8418</v>
      </c>
      <c r="E670" s="804" t="s">
        <v>12720</v>
      </c>
      <c r="F670" s="805"/>
      <c r="G670" s="628" t="s">
        <v>20</v>
      </c>
      <c r="H670" s="629">
        <v>13</v>
      </c>
      <c r="I670" s="630">
        <v>2.91</v>
      </c>
      <c r="J670" s="630">
        <v>37.83</v>
      </c>
      <c r="K670"/>
    </row>
    <row r="671" spans="1:11" ht="15" customHeight="1">
      <c r="A671" s="626" t="s">
        <v>12709</v>
      </c>
      <c r="B671" s="627" t="s">
        <v>13249</v>
      </c>
      <c r="C671" s="626" t="s">
        <v>8</v>
      </c>
      <c r="D671" s="626" t="s">
        <v>8420</v>
      </c>
      <c r="E671" s="804" t="s">
        <v>12720</v>
      </c>
      <c r="F671" s="805"/>
      <c r="G671" s="628" t="s">
        <v>20</v>
      </c>
      <c r="H671" s="629">
        <v>6.5</v>
      </c>
      <c r="I671" s="630">
        <v>0.49</v>
      </c>
      <c r="J671" s="630">
        <v>3.18</v>
      </c>
      <c r="K671"/>
    </row>
    <row r="672" spans="1:11" ht="0.95" customHeight="1">
      <c r="A672" s="626" t="s">
        <v>12709</v>
      </c>
      <c r="B672" s="627" t="s">
        <v>13565</v>
      </c>
      <c r="C672" s="626" t="s">
        <v>8</v>
      </c>
      <c r="D672" s="626" t="s">
        <v>9549</v>
      </c>
      <c r="E672" s="804" t="s">
        <v>12720</v>
      </c>
      <c r="F672" s="805"/>
      <c r="G672" s="628" t="s">
        <v>20</v>
      </c>
      <c r="H672" s="629">
        <v>20</v>
      </c>
      <c r="I672" s="630">
        <v>0.43</v>
      </c>
      <c r="J672" s="630">
        <v>8.6</v>
      </c>
      <c r="K672"/>
    </row>
    <row r="673" spans="1:11" ht="18" customHeight="1">
      <c r="A673" s="631"/>
      <c r="B673" s="631"/>
      <c r="C673" s="631"/>
      <c r="D673" s="631"/>
      <c r="E673" s="631" t="s">
        <v>12714</v>
      </c>
      <c r="F673" s="632">
        <v>75.613579799999997</v>
      </c>
      <c r="G673" s="631" t="s">
        <v>12715</v>
      </c>
      <c r="H673" s="632">
        <v>64.260000000000005</v>
      </c>
      <c r="I673" s="631" t="s">
        <v>12716</v>
      </c>
      <c r="J673" s="632">
        <v>139.87</v>
      </c>
      <c r="K673"/>
    </row>
    <row r="674" spans="1:11" ht="24" customHeight="1" thickBot="1">
      <c r="A674" s="631"/>
      <c r="B674" s="631"/>
      <c r="C674" s="631"/>
      <c r="D674" s="631"/>
      <c r="E674" s="631" t="s">
        <v>12717</v>
      </c>
      <c r="F674" s="632">
        <v>74.23</v>
      </c>
      <c r="G674" s="631"/>
      <c r="H674" s="806" t="s">
        <v>12718</v>
      </c>
      <c r="I674" s="806"/>
      <c r="J674" s="632">
        <v>337.1</v>
      </c>
      <c r="K674"/>
    </row>
    <row r="675" spans="1:11" ht="24" customHeight="1" thickTop="1">
      <c r="A675" s="633"/>
      <c r="B675" s="633"/>
      <c r="C675" s="633"/>
      <c r="D675" s="633"/>
      <c r="E675" s="633"/>
      <c r="F675" s="633"/>
      <c r="G675" s="633"/>
      <c r="H675" s="633"/>
      <c r="I675" s="633"/>
      <c r="J675" s="633"/>
      <c r="K675"/>
    </row>
    <row r="676" spans="1:11" ht="24" customHeight="1">
      <c r="A676" s="613" t="s">
        <v>12809</v>
      </c>
      <c r="B676" s="614" t="s">
        <v>12698</v>
      </c>
      <c r="C676" s="613" t="s">
        <v>12699</v>
      </c>
      <c r="D676" s="613" t="s">
        <v>12700</v>
      </c>
      <c r="E676" s="807" t="s">
        <v>12701</v>
      </c>
      <c r="F676" s="808"/>
      <c r="G676" s="615" t="s">
        <v>12702</v>
      </c>
      <c r="H676" s="614" t="s">
        <v>12703</v>
      </c>
      <c r="I676" s="614" t="s">
        <v>12704</v>
      </c>
      <c r="J676" s="614" t="s">
        <v>12705</v>
      </c>
      <c r="K676"/>
    </row>
    <row r="677" spans="1:11" ht="24" customHeight="1">
      <c r="A677" s="616" t="s">
        <v>12706</v>
      </c>
      <c r="B677" s="617" t="s">
        <v>13564</v>
      </c>
      <c r="C677" s="616" t="s">
        <v>8</v>
      </c>
      <c r="D677" s="616" t="s">
        <v>3984</v>
      </c>
      <c r="E677" s="809" t="s">
        <v>12803</v>
      </c>
      <c r="F677" s="810"/>
      <c r="G677" s="618" t="s">
        <v>12725</v>
      </c>
      <c r="H677" s="619">
        <v>1</v>
      </c>
      <c r="I677" s="620">
        <v>41.7</v>
      </c>
      <c r="J677" s="620">
        <v>41.7</v>
      </c>
      <c r="K677"/>
    </row>
    <row r="678" spans="1:11" ht="25.5">
      <c r="A678" s="621" t="s">
        <v>12708</v>
      </c>
      <c r="B678" s="622" t="s">
        <v>13139</v>
      </c>
      <c r="C678" s="621" t="s">
        <v>8</v>
      </c>
      <c r="D678" s="621" t="s">
        <v>262</v>
      </c>
      <c r="E678" s="811" t="s">
        <v>12707</v>
      </c>
      <c r="F678" s="812"/>
      <c r="G678" s="623" t="s">
        <v>23</v>
      </c>
      <c r="H678" s="624">
        <v>0.56720000000000004</v>
      </c>
      <c r="I678" s="625">
        <v>12.82</v>
      </c>
      <c r="J678" s="625">
        <v>7.27</v>
      </c>
      <c r="K678"/>
    </row>
    <row r="679" spans="1:11" ht="15" customHeight="1">
      <c r="A679" s="626" t="s">
        <v>12709</v>
      </c>
      <c r="B679" s="627" t="s">
        <v>13563</v>
      </c>
      <c r="C679" s="626" t="s">
        <v>8</v>
      </c>
      <c r="D679" s="626" t="s">
        <v>7520</v>
      </c>
      <c r="E679" s="804" t="s">
        <v>12720</v>
      </c>
      <c r="F679" s="805"/>
      <c r="G679" s="628" t="s">
        <v>20</v>
      </c>
      <c r="H679" s="629">
        <v>7.1099999999999997E-2</v>
      </c>
      <c r="I679" s="630">
        <v>15.79</v>
      </c>
      <c r="J679" s="630">
        <v>1.1200000000000001</v>
      </c>
      <c r="K679"/>
    </row>
    <row r="680" spans="1:11" ht="0.95" customHeight="1">
      <c r="A680" s="626" t="s">
        <v>12709</v>
      </c>
      <c r="B680" s="627" t="s">
        <v>13562</v>
      </c>
      <c r="C680" s="626" t="s">
        <v>8</v>
      </c>
      <c r="D680" s="626" t="s">
        <v>9458</v>
      </c>
      <c r="E680" s="804" t="s">
        <v>12720</v>
      </c>
      <c r="F680" s="805"/>
      <c r="G680" s="628" t="s">
        <v>12725</v>
      </c>
      <c r="H680" s="629">
        <v>1.0326</v>
      </c>
      <c r="I680" s="630">
        <v>19</v>
      </c>
      <c r="J680" s="630">
        <v>19.61</v>
      </c>
      <c r="K680"/>
    </row>
    <row r="681" spans="1:11" ht="18" customHeight="1">
      <c r="A681" s="626" t="s">
        <v>12709</v>
      </c>
      <c r="B681" s="627" t="s">
        <v>13561</v>
      </c>
      <c r="C681" s="626" t="s">
        <v>8</v>
      </c>
      <c r="D681" s="626" t="s">
        <v>10670</v>
      </c>
      <c r="E681" s="804" t="s">
        <v>12720</v>
      </c>
      <c r="F681" s="805"/>
      <c r="G681" s="628" t="s">
        <v>12777</v>
      </c>
      <c r="H681" s="629">
        <v>2.2100000000000002E-2</v>
      </c>
      <c r="I681" s="630">
        <v>18.93</v>
      </c>
      <c r="J681" s="630">
        <v>0.41</v>
      </c>
      <c r="K681"/>
    </row>
    <row r="682" spans="1:11" ht="24" customHeight="1">
      <c r="A682" s="626" t="s">
        <v>12709</v>
      </c>
      <c r="B682" s="627" t="s">
        <v>13560</v>
      </c>
      <c r="C682" s="626" t="s">
        <v>8</v>
      </c>
      <c r="D682" s="626" t="s">
        <v>10680</v>
      </c>
      <c r="E682" s="804" t="s">
        <v>12720</v>
      </c>
      <c r="F682" s="805"/>
      <c r="G682" s="628" t="s">
        <v>12777</v>
      </c>
      <c r="H682" s="629">
        <v>3.3300000000000003E-2</v>
      </c>
      <c r="I682" s="630">
        <v>32.46</v>
      </c>
      <c r="J682" s="630">
        <v>1.08</v>
      </c>
      <c r="K682"/>
    </row>
    <row r="683" spans="1:11" ht="24" customHeight="1">
      <c r="A683" s="626" t="s">
        <v>12709</v>
      </c>
      <c r="B683" s="627" t="s">
        <v>13559</v>
      </c>
      <c r="C683" s="626" t="s">
        <v>8</v>
      </c>
      <c r="D683" s="626" t="s">
        <v>10733</v>
      </c>
      <c r="E683" s="804" t="s">
        <v>12711</v>
      </c>
      <c r="F683" s="805"/>
      <c r="G683" s="628" t="s">
        <v>35</v>
      </c>
      <c r="H683" s="629">
        <v>2.2126999999999999</v>
      </c>
      <c r="I683" s="630">
        <v>1.42</v>
      </c>
      <c r="J683" s="630">
        <v>3.14</v>
      </c>
      <c r="K683"/>
    </row>
    <row r="684" spans="1:11" ht="24" customHeight="1">
      <c r="A684" s="626" t="s">
        <v>12709</v>
      </c>
      <c r="B684" s="627" t="s">
        <v>13558</v>
      </c>
      <c r="C684" s="626" t="s">
        <v>8</v>
      </c>
      <c r="D684" s="626" t="s">
        <v>10748</v>
      </c>
      <c r="E684" s="804" t="s">
        <v>12720</v>
      </c>
      <c r="F684" s="805"/>
      <c r="G684" s="628" t="s">
        <v>17</v>
      </c>
      <c r="H684" s="629">
        <v>2.4018000000000002</v>
      </c>
      <c r="I684" s="630">
        <v>3.78</v>
      </c>
      <c r="J684" s="630">
        <v>9.07</v>
      </c>
      <c r="K684"/>
    </row>
    <row r="685" spans="1:11" ht="24" customHeight="1">
      <c r="A685" s="631"/>
      <c r="B685" s="631"/>
      <c r="C685" s="631"/>
      <c r="D685" s="631"/>
      <c r="E685" s="631" t="s">
        <v>12714</v>
      </c>
      <c r="F685" s="632">
        <v>2.7029949183695536</v>
      </c>
      <c r="G685" s="631" t="s">
        <v>12715</v>
      </c>
      <c r="H685" s="632">
        <v>2.2999999999999998</v>
      </c>
      <c r="I685" s="631" t="s">
        <v>12716</v>
      </c>
      <c r="J685" s="632">
        <v>5</v>
      </c>
      <c r="K685"/>
    </row>
    <row r="686" spans="1:11" ht="15" customHeight="1" thickBot="1">
      <c r="A686" s="631"/>
      <c r="B686" s="631"/>
      <c r="C686" s="631"/>
      <c r="D686" s="631"/>
      <c r="E686" s="631" t="s">
        <v>12717</v>
      </c>
      <c r="F686" s="632">
        <v>11.77</v>
      </c>
      <c r="G686" s="631"/>
      <c r="H686" s="806" t="s">
        <v>12718</v>
      </c>
      <c r="I686" s="806"/>
      <c r="J686" s="632">
        <v>53.47</v>
      </c>
      <c r="K686"/>
    </row>
    <row r="687" spans="1:11" ht="15" customHeight="1" thickTop="1">
      <c r="A687" s="633"/>
      <c r="B687" s="633"/>
      <c r="C687" s="633"/>
      <c r="D687" s="633"/>
      <c r="E687" s="633"/>
      <c r="F687" s="633"/>
      <c r="G687" s="633"/>
      <c r="H687" s="633"/>
      <c r="I687" s="633"/>
      <c r="J687" s="633"/>
      <c r="K687"/>
    </row>
    <row r="688" spans="1:11" ht="0.95" customHeight="1">
      <c r="A688" s="613" t="s">
        <v>12810</v>
      </c>
      <c r="B688" s="614" t="s">
        <v>12698</v>
      </c>
      <c r="C688" s="613" t="s">
        <v>12699</v>
      </c>
      <c r="D688" s="613" t="s">
        <v>12700</v>
      </c>
      <c r="E688" s="807" t="s">
        <v>12701</v>
      </c>
      <c r="F688" s="808"/>
      <c r="G688" s="615" t="s">
        <v>12702</v>
      </c>
      <c r="H688" s="614" t="s">
        <v>12703</v>
      </c>
      <c r="I688" s="614" t="s">
        <v>12704</v>
      </c>
      <c r="J688" s="614" t="s">
        <v>12705</v>
      </c>
      <c r="K688"/>
    </row>
    <row r="689" spans="1:11" ht="63" customHeight="1">
      <c r="A689" s="616" t="s">
        <v>12706</v>
      </c>
      <c r="B689" s="617" t="s">
        <v>13557</v>
      </c>
      <c r="C689" s="616" t="s">
        <v>8</v>
      </c>
      <c r="D689" s="616" t="s">
        <v>42</v>
      </c>
      <c r="E689" s="809" t="s">
        <v>12784</v>
      </c>
      <c r="F689" s="810"/>
      <c r="G689" s="618" t="s">
        <v>12725</v>
      </c>
      <c r="H689" s="619">
        <v>1</v>
      </c>
      <c r="I689" s="620">
        <v>1.57</v>
      </c>
      <c r="J689" s="620">
        <v>1.57</v>
      </c>
      <c r="K689"/>
    </row>
    <row r="690" spans="1:11" ht="48" customHeight="1">
      <c r="A690" s="621" t="s">
        <v>12708</v>
      </c>
      <c r="B690" s="622" t="s">
        <v>13090</v>
      </c>
      <c r="C690" s="621" t="s">
        <v>8</v>
      </c>
      <c r="D690" s="621" t="s">
        <v>287</v>
      </c>
      <c r="E690" s="811" t="s">
        <v>12707</v>
      </c>
      <c r="F690" s="812"/>
      <c r="G690" s="623" t="s">
        <v>23</v>
      </c>
      <c r="H690" s="624">
        <v>3.9E-2</v>
      </c>
      <c r="I690" s="625">
        <v>18.88</v>
      </c>
      <c r="J690" s="625">
        <v>0.73</v>
      </c>
      <c r="K690"/>
    </row>
    <row r="691" spans="1:11" ht="48" customHeight="1">
      <c r="A691" s="621" t="s">
        <v>12708</v>
      </c>
      <c r="B691" s="622" t="s">
        <v>12727</v>
      </c>
      <c r="C691" s="621" t="s">
        <v>8</v>
      </c>
      <c r="D691" s="621" t="s">
        <v>26</v>
      </c>
      <c r="E691" s="811" t="s">
        <v>12707</v>
      </c>
      <c r="F691" s="812"/>
      <c r="G691" s="623" t="s">
        <v>23</v>
      </c>
      <c r="H691" s="624">
        <v>1.4E-2</v>
      </c>
      <c r="I691" s="625">
        <v>14.37</v>
      </c>
      <c r="J691" s="625">
        <v>0.2</v>
      </c>
      <c r="K691"/>
    </row>
    <row r="692" spans="1:11" ht="48" customHeight="1">
      <c r="A692" s="626" t="s">
        <v>12709</v>
      </c>
      <c r="B692" s="627" t="s">
        <v>13556</v>
      </c>
      <c r="C692" s="626" t="s">
        <v>8</v>
      </c>
      <c r="D692" s="626" t="s">
        <v>11254</v>
      </c>
      <c r="E692" s="804" t="s">
        <v>12720</v>
      </c>
      <c r="F692" s="805"/>
      <c r="G692" s="628" t="s">
        <v>58</v>
      </c>
      <c r="H692" s="629">
        <v>0.16</v>
      </c>
      <c r="I692" s="630">
        <v>4.0199999999999996</v>
      </c>
      <c r="J692" s="630">
        <v>0.64</v>
      </c>
      <c r="K692"/>
    </row>
    <row r="693" spans="1:11" ht="24" customHeight="1">
      <c r="A693" s="631"/>
      <c r="B693" s="631"/>
      <c r="C693" s="631"/>
      <c r="D693" s="631"/>
      <c r="E693" s="631" t="s">
        <v>12714</v>
      </c>
      <c r="F693" s="632">
        <v>0.34057735971456371</v>
      </c>
      <c r="G693" s="631" t="s">
        <v>12715</v>
      </c>
      <c r="H693" s="632">
        <v>0.28999999999999998</v>
      </c>
      <c r="I693" s="631" t="s">
        <v>12716</v>
      </c>
      <c r="J693" s="632">
        <v>0.63</v>
      </c>
      <c r="K693"/>
    </row>
    <row r="694" spans="1:11" ht="24" customHeight="1" thickBot="1">
      <c r="A694" s="631"/>
      <c r="B694" s="631"/>
      <c r="C694" s="631"/>
      <c r="D694" s="631"/>
      <c r="E694" s="631" t="s">
        <v>12717</v>
      </c>
      <c r="F694" s="632">
        <v>0.44</v>
      </c>
      <c r="G694" s="631"/>
      <c r="H694" s="806" t="s">
        <v>12718</v>
      </c>
      <c r="I694" s="806"/>
      <c r="J694" s="632">
        <v>2.0099999999999998</v>
      </c>
      <c r="K694"/>
    </row>
    <row r="695" spans="1:11" ht="24" customHeight="1" thickTop="1">
      <c r="A695" s="633"/>
      <c r="B695" s="633"/>
      <c r="C695" s="633"/>
      <c r="D695" s="633"/>
      <c r="E695" s="633"/>
      <c r="F695" s="633"/>
      <c r="G695" s="633"/>
      <c r="H695" s="633"/>
      <c r="I695" s="633"/>
      <c r="J695" s="633"/>
      <c r="K695"/>
    </row>
    <row r="696" spans="1:11" ht="15">
      <c r="A696" s="613" t="s">
        <v>12811</v>
      </c>
      <c r="B696" s="614" t="s">
        <v>12698</v>
      </c>
      <c r="C696" s="613" t="s">
        <v>12699</v>
      </c>
      <c r="D696" s="613" t="s">
        <v>12700</v>
      </c>
      <c r="E696" s="807" t="s">
        <v>12701</v>
      </c>
      <c r="F696" s="808"/>
      <c r="G696" s="615" t="s">
        <v>12702</v>
      </c>
      <c r="H696" s="614" t="s">
        <v>12703</v>
      </c>
      <c r="I696" s="614" t="s">
        <v>12704</v>
      </c>
      <c r="J696" s="614" t="s">
        <v>12705</v>
      </c>
      <c r="K696"/>
    </row>
    <row r="697" spans="1:11" ht="15" customHeight="1">
      <c r="A697" s="616" t="s">
        <v>12706</v>
      </c>
      <c r="B697" s="617" t="s">
        <v>13555</v>
      </c>
      <c r="C697" s="616" t="s">
        <v>8</v>
      </c>
      <c r="D697" s="616" t="s">
        <v>34</v>
      </c>
      <c r="E697" s="809" t="s">
        <v>12784</v>
      </c>
      <c r="F697" s="810"/>
      <c r="G697" s="618" t="s">
        <v>12725</v>
      </c>
      <c r="H697" s="619">
        <v>1</v>
      </c>
      <c r="I697" s="620">
        <v>11.3</v>
      </c>
      <c r="J697" s="620">
        <v>11.3</v>
      </c>
      <c r="K697"/>
    </row>
    <row r="698" spans="1:11" ht="0.95" customHeight="1">
      <c r="A698" s="621" t="s">
        <v>12708</v>
      </c>
      <c r="B698" s="622" t="s">
        <v>13090</v>
      </c>
      <c r="C698" s="621" t="s">
        <v>8</v>
      </c>
      <c r="D698" s="621" t="s">
        <v>287</v>
      </c>
      <c r="E698" s="811" t="s">
        <v>12707</v>
      </c>
      <c r="F698" s="812"/>
      <c r="G698" s="623" t="s">
        <v>23</v>
      </c>
      <c r="H698" s="624">
        <v>0.187</v>
      </c>
      <c r="I698" s="625">
        <v>18.88</v>
      </c>
      <c r="J698" s="625">
        <v>3.53</v>
      </c>
      <c r="K698"/>
    </row>
    <row r="699" spans="1:11" ht="18" customHeight="1">
      <c r="A699" s="621" t="s">
        <v>12708</v>
      </c>
      <c r="B699" s="622" t="s">
        <v>12727</v>
      </c>
      <c r="C699" s="621" t="s">
        <v>8</v>
      </c>
      <c r="D699" s="621" t="s">
        <v>26</v>
      </c>
      <c r="E699" s="811" t="s">
        <v>12707</v>
      </c>
      <c r="F699" s="812"/>
      <c r="G699" s="623" t="s">
        <v>23</v>
      </c>
      <c r="H699" s="624">
        <v>6.9000000000000006E-2</v>
      </c>
      <c r="I699" s="625">
        <v>14.37</v>
      </c>
      <c r="J699" s="625">
        <v>0.99</v>
      </c>
      <c r="K699"/>
    </row>
    <row r="700" spans="1:11" ht="24" customHeight="1">
      <c r="A700" s="626" t="s">
        <v>12709</v>
      </c>
      <c r="B700" s="627" t="s">
        <v>13554</v>
      </c>
      <c r="C700" s="626" t="s">
        <v>8</v>
      </c>
      <c r="D700" s="626" t="s">
        <v>11782</v>
      </c>
      <c r="E700" s="804" t="s">
        <v>12720</v>
      </c>
      <c r="F700" s="805"/>
      <c r="G700" s="628" t="s">
        <v>58</v>
      </c>
      <c r="H700" s="629">
        <v>0.33</v>
      </c>
      <c r="I700" s="630">
        <v>20.56</v>
      </c>
      <c r="J700" s="630">
        <v>6.78</v>
      </c>
      <c r="K700"/>
    </row>
    <row r="701" spans="1:11" ht="24" customHeight="1">
      <c r="A701" s="631"/>
      <c r="B701" s="631"/>
      <c r="C701" s="631"/>
      <c r="D701" s="631"/>
      <c r="E701" s="631" t="s">
        <v>12714</v>
      </c>
      <c r="F701" s="632">
        <v>1.6596388798789059</v>
      </c>
      <c r="G701" s="631" t="s">
        <v>12715</v>
      </c>
      <c r="H701" s="632">
        <v>1.41</v>
      </c>
      <c r="I701" s="631" t="s">
        <v>12716</v>
      </c>
      <c r="J701" s="632">
        <v>3.07</v>
      </c>
      <c r="K701"/>
    </row>
    <row r="702" spans="1:11" ht="24" customHeight="1" thickBot="1">
      <c r="A702" s="631"/>
      <c r="B702" s="631"/>
      <c r="C702" s="631"/>
      <c r="D702" s="631"/>
      <c r="E702" s="631" t="s">
        <v>12717</v>
      </c>
      <c r="F702" s="632">
        <v>3.19</v>
      </c>
      <c r="G702" s="631"/>
      <c r="H702" s="806" t="s">
        <v>12718</v>
      </c>
      <c r="I702" s="806"/>
      <c r="J702" s="632">
        <v>14.49</v>
      </c>
      <c r="K702"/>
    </row>
    <row r="703" spans="1:11" ht="24" customHeight="1" thickTop="1">
      <c r="A703" s="633"/>
      <c r="B703" s="633"/>
      <c r="C703" s="633"/>
      <c r="D703" s="633"/>
      <c r="E703" s="633"/>
      <c r="F703" s="633"/>
      <c r="G703" s="633"/>
      <c r="H703" s="633"/>
      <c r="I703" s="633"/>
      <c r="J703" s="633"/>
      <c r="K703"/>
    </row>
    <row r="704" spans="1:11" ht="24" customHeight="1">
      <c r="A704" s="613" t="s">
        <v>12812</v>
      </c>
      <c r="B704" s="614" t="s">
        <v>12698</v>
      </c>
      <c r="C704" s="613" t="s">
        <v>12699</v>
      </c>
      <c r="D704" s="613" t="s">
        <v>12700</v>
      </c>
      <c r="E704" s="807" t="s">
        <v>12701</v>
      </c>
      <c r="F704" s="808"/>
      <c r="G704" s="615" t="s">
        <v>12702</v>
      </c>
      <c r="H704" s="614" t="s">
        <v>12703</v>
      </c>
      <c r="I704" s="614" t="s">
        <v>12704</v>
      </c>
      <c r="J704" s="614" t="s">
        <v>12705</v>
      </c>
      <c r="K704"/>
    </row>
    <row r="705" spans="1:11" ht="24" customHeight="1">
      <c r="A705" s="616" t="s">
        <v>12706</v>
      </c>
      <c r="B705" s="617" t="s">
        <v>13553</v>
      </c>
      <c r="C705" s="616" t="s">
        <v>8</v>
      </c>
      <c r="D705" s="616" t="s">
        <v>7046</v>
      </c>
      <c r="E705" s="809" t="s">
        <v>12784</v>
      </c>
      <c r="F705" s="810"/>
      <c r="G705" s="618" t="s">
        <v>12725</v>
      </c>
      <c r="H705" s="619">
        <v>1</v>
      </c>
      <c r="I705" s="620">
        <v>31.7</v>
      </c>
      <c r="J705" s="620">
        <v>31.7</v>
      </c>
      <c r="K705"/>
    </row>
    <row r="706" spans="1:11" ht="24" customHeight="1">
      <c r="A706" s="621" t="s">
        <v>12708</v>
      </c>
      <c r="B706" s="622" t="s">
        <v>13263</v>
      </c>
      <c r="C706" s="621" t="s">
        <v>8</v>
      </c>
      <c r="D706" s="621" t="s">
        <v>3959</v>
      </c>
      <c r="E706" s="811" t="s">
        <v>12726</v>
      </c>
      <c r="F706" s="812"/>
      <c r="G706" s="623" t="s">
        <v>44</v>
      </c>
      <c r="H706" s="624">
        <v>0.30680000000000002</v>
      </c>
      <c r="I706" s="625">
        <v>1.28</v>
      </c>
      <c r="J706" s="625">
        <v>0.39</v>
      </c>
      <c r="K706"/>
    </row>
    <row r="707" spans="1:11" ht="38.25" customHeight="1">
      <c r="A707" s="621" t="s">
        <v>12708</v>
      </c>
      <c r="B707" s="622" t="s">
        <v>13265</v>
      </c>
      <c r="C707" s="621" t="s">
        <v>8</v>
      </c>
      <c r="D707" s="621" t="s">
        <v>3958</v>
      </c>
      <c r="E707" s="811" t="s">
        <v>12726</v>
      </c>
      <c r="F707" s="812"/>
      <c r="G707" s="623" t="s">
        <v>61</v>
      </c>
      <c r="H707" s="624">
        <v>0.74629999999999996</v>
      </c>
      <c r="I707" s="625">
        <v>0.12</v>
      </c>
      <c r="J707" s="625">
        <v>0.08</v>
      </c>
      <c r="K707"/>
    </row>
    <row r="708" spans="1:11" ht="15" customHeight="1">
      <c r="A708" s="621" t="s">
        <v>12708</v>
      </c>
      <c r="B708" s="622" t="s">
        <v>13090</v>
      </c>
      <c r="C708" s="621" t="s">
        <v>8</v>
      </c>
      <c r="D708" s="621" t="s">
        <v>287</v>
      </c>
      <c r="E708" s="811" t="s">
        <v>12707</v>
      </c>
      <c r="F708" s="812"/>
      <c r="G708" s="623" t="s">
        <v>23</v>
      </c>
      <c r="H708" s="624">
        <v>1.0530999999999999</v>
      </c>
      <c r="I708" s="625">
        <v>18.88</v>
      </c>
      <c r="J708" s="625">
        <v>19.88</v>
      </c>
      <c r="K708"/>
    </row>
    <row r="709" spans="1:11" ht="0.95" customHeight="1">
      <c r="A709" s="626" t="s">
        <v>12709</v>
      </c>
      <c r="B709" s="627" t="s">
        <v>13551</v>
      </c>
      <c r="C709" s="626" t="s">
        <v>8</v>
      </c>
      <c r="D709" s="626" t="s">
        <v>11317</v>
      </c>
      <c r="E709" s="804" t="s">
        <v>12720</v>
      </c>
      <c r="F709" s="805"/>
      <c r="G709" s="628" t="s">
        <v>58</v>
      </c>
      <c r="H709" s="629">
        <v>0.124</v>
      </c>
      <c r="I709" s="630">
        <v>12.12</v>
      </c>
      <c r="J709" s="630">
        <v>1.5</v>
      </c>
      <c r="K709"/>
    </row>
    <row r="710" spans="1:11" ht="18" customHeight="1">
      <c r="A710" s="626" t="s">
        <v>12709</v>
      </c>
      <c r="B710" s="627" t="s">
        <v>13552</v>
      </c>
      <c r="C710" s="626" t="s">
        <v>8</v>
      </c>
      <c r="D710" s="626" t="s">
        <v>11790</v>
      </c>
      <c r="E710" s="804" t="s">
        <v>12720</v>
      </c>
      <c r="F710" s="805"/>
      <c r="G710" s="628" t="s">
        <v>58</v>
      </c>
      <c r="H710" s="629">
        <v>0.41339999999999999</v>
      </c>
      <c r="I710" s="630">
        <v>23.83</v>
      </c>
      <c r="J710" s="630">
        <v>9.85</v>
      </c>
      <c r="K710"/>
    </row>
    <row r="711" spans="1:11" ht="24" customHeight="1">
      <c r="A711" s="631"/>
      <c r="B711" s="631"/>
      <c r="C711" s="631"/>
      <c r="D711" s="631"/>
      <c r="E711" s="631" t="s">
        <v>12714</v>
      </c>
      <c r="F711" s="632">
        <v>7.3521461779651851</v>
      </c>
      <c r="G711" s="631" t="s">
        <v>12715</v>
      </c>
      <c r="H711" s="632">
        <v>6.25</v>
      </c>
      <c r="I711" s="631" t="s">
        <v>12716</v>
      </c>
      <c r="J711" s="632">
        <v>13.6</v>
      </c>
      <c r="K711"/>
    </row>
    <row r="712" spans="1:11" ht="24" customHeight="1" thickBot="1">
      <c r="A712" s="631"/>
      <c r="B712" s="631"/>
      <c r="C712" s="631"/>
      <c r="D712" s="631"/>
      <c r="E712" s="631" t="s">
        <v>12717</v>
      </c>
      <c r="F712" s="632">
        <v>8.9499999999999993</v>
      </c>
      <c r="G712" s="631"/>
      <c r="H712" s="806" t="s">
        <v>12718</v>
      </c>
      <c r="I712" s="806"/>
      <c r="J712" s="632">
        <v>40.65</v>
      </c>
      <c r="K712"/>
    </row>
    <row r="713" spans="1:11" ht="24" customHeight="1" thickTop="1">
      <c r="A713" s="633"/>
      <c r="B713" s="633"/>
      <c r="C713" s="633"/>
      <c r="D713" s="633"/>
      <c r="E713" s="633"/>
      <c r="F713" s="633"/>
      <c r="G713" s="633"/>
      <c r="H713" s="633"/>
      <c r="I713" s="633"/>
      <c r="J713" s="633"/>
      <c r="K713"/>
    </row>
    <row r="714" spans="1:11" ht="24" customHeight="1">
      <c r="A714" s="613" t="s">
        <v>12813</v>
      </c>
      <c r="B714" s="614" t="s">
        <v>12698</v>
      </c>
      <c r="C714" s="613" t="s">
        <v>12699</v>
      </c>
      <c r="D714" s="613" t="s">
        <v>12700</v>
      </c>
      <c r="E714" s="807" t="s">
        <v>12701</v>
      </c>
      <c r="F714" s="808"/>
      <c r="G714" s="615" t="s">
        <v>12702</v>
      </c>
      <c r="H714" s="614" t="s">
        <v>12703</v>
      </c>
      <c r="I714" s="614" t="s">
        <v>12704</v>
      </c>
      <c r="J714" s="614" t="s">
        <v>12705</v>
      </c>
      <c r="K714"/>
    </row>
    <row r="715" spans="1:11">
      <c r="A715" s="616" t="s">
        <v>12706</v>
      </c>
      <c r="B715" s="617" t="s">
        <v>12814</v>
      </c>
      <c r="C715" s="616" t="s">
        <v>8</v>
      </c>
      <c r="D715" s="616" t="s">
        <v>811</v>
      </c>
      <c r="E715" s="809" t="s">
        <v>12784</v>
      </c>
      <c r="F715" s="810"/>
      <c r="G715" s="618" t="s">
        <v>12725</v>
      </c>
      <c r="H715" s="619">
        <v>1</v>
      </c>
      <c r="I715" s="620">
        <v>12.52</v>
      </c>
      <c r="J715" s="620">
        <v>12.52</v>
      </c>
      <c r="K715"/>
    </row>
    <row r="716" spans="1:11" ht="15" customHeight="1">
      <c r="A716" s="621" t="s">
        <v>12708</v>
      </c>
      <c r="B716" s="622" t="s">
        <v>13090</v>
      </c>
      <c r="C716" s="621" t="s">
        <v>8</v>
      </c>
      <c r="D716" s="621" t="s">
        <v>287</v>
      </c>
      <c r="E716" s="811" t="s">
        <v>12707</v>
      </c>
      <c r="F716" s="812"/>
      <c r="G716" s="623" t="s">
        <v>23</v>
      </c>
      <c r="H716" s="624">
        <v>0.35</v>
      </c>
      <c r="I716" s="625">
        <v>18.88</v>
      </c>
      <c r="J716" s="625">
        <v>6.6</v>
      </c>
      <c r="K716"/>
    </row>
    <row r="717" spans="1:11" ht="0.95" customHeight="1">
      <c r="A717" s="621" t="s">
        <v>12708</v>
      </c>
      <c r="B717" s="622" t="s">
        <v>12727</v>
      </c>
      <c r="C717" s="621" t="s">
        <v>8</v>
      </c>
      <c r="D717" s="621" t="s">
        <v>26</v>
      </c>
      <c r="E717" s="811" t="s">
        <v>12707</v>
      </c>
      <c r="F717" s="812"/>
      <c r="G717" s="623" t="s">
        <v>23</v>
      </c>
      <c r="H717" s="624">
        <v>0.25</v>
      </c>
      <c r="I717" s="625">
        <v>14.37</v>
      </c>
      <c r="J717" s="625">
        <v>3.59</v>
      </c>
      <c r="K717"/>
    </row>
    <row r="718" spans="1:11" ht="18" customHeight="1">
      <c r="A718" s="626" t="s">
        <v>12709</v>
      </c>
      <c r="B718" s="627" t="s">
        <v>13550</v>
      </c>
      <c r="C718" s="626" t="s">
        <v>8</v>
      </c>
      <c r="D718" s="626" t="s">
        <v>11781</v>
      </c>
      <c r="E718" s="804" t="s">
        <v>12720</v>
      </c>
      <c r="F718" s="805"/>
      <c r="G718" s="628" t="s">
        <v>58</v>
      </c>
      <c r="H718" s="629">
        <v>0.17</v>
      </c>
      <c r="I718" s="630">
        <v>13.72</v>
      </c>
      <c r="J718" s="630">
        <v>2.33</v>
      </c>
      <c r="K718"/>
    </row>
    <row r="719" spans="1:11" ht="24" customHeight="1">
      <c r="A719" s="631"/>
      <c r="B719" s="631"/>
      <c r="C719" s="631"/>
      <c r="D719" s="631"/>
      <c r="E719" s="631" t="s">
        <v>12714</v>
      </c>
      <c r="F719" s="632">
        <v>3.7463509568602009</v>
      </c>
      <c r="G719" s="631" t="s">
        <v>12715</v>
      </c>
      <c r="H719" s="632">
        <v>3.18</v>
      </c>
      <c r="I719" s="631" t="s">
        <v>12716</v>
      </c>
      <c r="J719" s="632">
        <v>6.93</v>
      </c>
      <c r="K719"/>
    </row>
    <row r="720" spans="1:11" ht="24" customHeight="1" thickBot="1">
      <c r="A720" s="631"/>
      <c r="B720" s="631"/>
      <c r="C720" s="631"/>
      <c r="D720" s="631"/>
      <c r="E720" s="631" t="s">
        <v>12717</v>
      </c>
      <c r="F720" s="632">
        <v>3.53</v>
      </c>
      <c r="G720" s="631"/>
      <c r="H720" s="806" t="s">
        <v>12718</v>
      </c>
      <c r="I720" s="806"/>
      <c r="J720" s="632">
        <v>16.05</v>
      </c>
      <c r="K720"/>
    </row>
    <row r="721" spans="1:11" ht="24" customHeight="1" thickTop="1">
      <c r="A721" s="633"/>
      <c r="B721" s="633"/>
      <c r="C721" s="633"/>
      <c r="D721" s="633"/>
      <c r="E721" s="633"/>
      <c r="F721" s="633"/>
      <c r="G721" s="633"/>
      <c r="H721" s="633"/>
      <c r="I721" s="633"/>
      <c r="J721" s="633"/>
      <c r="K721"/>
    </row>
    <row r="722" spans="1:11" ht="24" customHeight="1">
      <c r="A722" s="613" t="s">
        <v>12815</v>
      </c>
      <c r="B722" s="614" t="s">
        <v>12698</v>
      </c>
      <c r="C722" s="613" t="s">
        <v>12699</v>
      </c>
      <c r="D722" s="613" t="s">
        <v>12700</v>
      </c>
      <c r="E722" s="807" t="s">
        <v>12701</v>
      </c>
      <c r="F722" s="808"/>
      <c r="G722" s="615" t="s">
        <v>12702</v>
      </c>
      <c r="H722" s="614" t="s">
        <v>12703</v>
      </c>
      <c r="I722" s="614" t="s">
        <v>12704</v>
      </c>
      <c r="J722" s="614" t="s">
        <v>12705</v>
      </c>
      <c r="K722"/>
    </row>
    <row r="723" spans="1:11" ht="24" customHeight="1">
      <c r="A723" s="616" t="s">
        <v>12706</v>
      </c>
      <c r="B723" s="617" t="s">
        <v>13549</v>
      </c>
      <c r="C723" s="616" t="s">
        <v>8</v>
      </c>
      <c r="D723" s="616" t="s">
        <v>3552</v>
      </c>
      <c r="E723" s="809" t="s">
        <v>12734</v>
      </c>
      <c r="F723" s="810"/>
      <c r="G723" s="618" t="s">
        <v>12730</v>
      </c>
      <c r="H723" s="619">
        <v>1</v>
      </c>
      <c r="I723" s="620">
        <v>378.3</v>
      </c>
      <c r="J723" s="620">
        <v>378.3</v>
      </c>
      <c r="K723"/>
    </row>
    <row r="724" spans="1:11" ht="25.5">
      <c r="A724" s="621" t="s">
        <v>12708</v>
      </c>
      <c r="B724" s="622" t="s">
        <v>12727</v>
      </c>
      <c r="C724" s="621" t="s">
        <v>8</v>
      </c>
      <c r="D724" s="621" t="s">
        <v>26</v>
      </c>
      <c r="E724" s="811" t="s">
        <v>12707</v>
      </c>
      <c r="F724" s="812"/>
      <c r="G724" s="623" t="s">
        <v>23</v>
      </c>
      <c r="H724" s="624">
        <v>10.02</v>
      </c>
      <c r="I724" s="625">
        <v>14.37</v>
      </c>
      <c r="J724" s="625">
        <v>143.97999999999999</v>
      </c>
      <c r="K724"/>
    </row>
    <row r="725" spans="1:11" ht="15" customHeight="1">
      <c r="A725" s="626" t="s">
        <v>12709</v>
      </c>
      <c r="B725" s="627" t="s">
        <v>13250</v>
      </c>
      <c r="C725" s="626" t="s">
        <v>8</v>
      </c>
      <c r="D725" s="626" t="s">
        <v>7526</v>
      </c>
      <c r="E725" s="804" t="s">
        <v>12720</v>
      </c>
      <c r="F725" s="805"/>
      <c r="G725" s="628" t="s">
        <v>12730</v>
      </c>
      <c r="H725" s="629">
        <v>0.81799999999999995</v>
      </c>
      <c r="I725" s="630">
        <v>62.5</v>
      </c>
      <c r="J725" s="630">
        <v>51.12</v>
      </c>
      <c r="K725"/>
    </row>
    <row r="726" spans="1:11" ht="0.95" customHeight="1">
      <c r="A726" s="626" t="s">
        <v>12709</v>
      </c>
      <c r="B726" s="627" t="s">
        <v>13249</v>
      </c>
      <c r="C726" s="626" t="s">
        <v>8</v>
      </c>
      <c r="D726" s="626" t="s">
        <v>8420</v>
      </c>
      <c r="E726" s="804" t="s">
        <v>12720</v>
      </c>
      <c r="F726" s="805"/>
      <c r="G726" s="628" t="s">
        <v>20</v>
      </c>
      <c r="H726" s="629">
        <v>277.72000000000003</v>
      </c>
      <c r="I726" s="630">
        <v>0.49</v>
      </c>
      <c r="J726" s="630">
        <v>136.08000000000001</v>
      </c>
      <c r="K726"/>
    </row>
    <row r="727" spans="1:11" ht="18" customHeight="1">
      <c r="A727" s="626" t="s">
        <v>12709</v>
      </c>
      <c r="B727" s="627" t="s">
        <v>13248</v>
      </c>
      <c r="C727" s="626" t="s">
        <v>8</v>
      </c>
      <c r="D727" s="626" t="s">
        <v>10712</v>
      </c>
      <c r="E727" s="804" t="s">
        <v>12720</v>
      </c>
      <c r="F727" s="805"/>
      <c r="G727" s="628" t="s">
        <v>12730</v>
      </c>
      <c r="H727" s="629">
        <v>0.58899999999999997</v>
      </c>
      <c r="I727" s="630">
        <v>80</v>
      </c>
      <c r="J727" s="630">
        <v>47.12</v>
      </c>
      <c r="K727"/>
    </row>
    <row r="728" spans="1:11" ht="24" customHeight="1">
      <c r="A728" s="631"/>
      <c r="B728" s="631"/>
      <c r="C728" s="631"/>
      <c r="D728" s="631"/>
      <c r="E728" s="631" t="s">
        <v>12714</v>
      </c>
      <c r="F728" s="632">
        <v>52.216455833063037</v>
      </c>
      <c r="G728" s="631" t="s">
        <v>12715</v>
      </c>
      <c r="H728" s="632">
        <v>44.37</v>
      </c>
      <c r="I728" s="631" t="s">
        <v>12716</v>
      </c>
      <c r="J728" s="632">
        <v>96.59</v>
      </c>
      <c r="K728"/>
    </row>
    <row r="729" spans="1:11" ht="24" customHeight="1" thickBot="1">
      <c r="A729" s="631"/>
      <c r="B729" s="631"/>
      <c r="C729" s="631"/>
      <c r="D729" s="631"/>
      <c r="E729" s="631" t="s">
        <v>12717</v>
      </c>
      <c r="F729" s="632">
        <v>106.83</v>
      </c>
      <c r="G729" s="631"/>
      <c r="H729" s="806" t="s">
        <v>12718</v>
      </c>
      <c r="I729" s="806"/>
      <c r="J729" s="632">
        <v>485.13</v>
      </c>
      <c r="K729"/>
    </row>
    <row r="730" spans="1:11" ht="24" customHeight="1" thickTop="1">
      <c r="A730" s="633"/>
      <c r="B730" s="633"/>
      <c r="C730" s="633"/>
      <c r="D730" s="633"/>
      <c r="E730" s="633"/>
      <c r="F730" s="633"/>
      <c r="G730" s="633"/>
      <c r="H730" s="633"/>
      <c r="I730" s="633"/>
      <c r="J730" s="633"/>
      <c r="K730"/>
    </row>
    <row r="731" spans="1:11" ht="48" customHeight="1">
      <c r="A731" s="613" t="s">
        <v>12816</v>
      </c>
      <c r="B731" s="614" t="s">
        <v>12698</v>
      </c>
      <c r="C731" s="613" t="s">
        <v>12699</v>
      </c>
      <c r="D731" s="613" t="s">
        <v>12700</v>
      </c>
      <c r="E731" s="807" t="s">
        <v>12701</v>
      </c>
      <c r="F731" s="808"/>
      <c r="G731" s="615" t="s">
        <v>12702</v>
      </c>
      <c r="H731" s="614" t="s">
        <v>12703</v>
      </c>
      <c r="I731" s="614" t="s">
        <v>12704</v>
      </c>
      <c r="J731" s="614" t="s">
        <v>12705</v>
      </c>
      <c r="K731"/>
    </row>
    <row r="732" spans="1:11" ht="14.25" customHeight="1">
      <c r="A732" s="616" t="s">
        <v>12706</v>
      </c>
      <c r="B732" s="617" t="s">
        <v>13548</v>
      </c>
      <c r="C732" s="616" t="s">
        <v>8</v>
      </c>
      <c r="D732" s="616" t="s">
        <v>172</v>
      </c>
      <c r="E732" s="809" t="s">
        <v>12817</v>
      </c>
      <c r="F732" s="810"/>
      <c r="G732" s="618" t="s">
        <v>35</v>
      </c>
      <c r="H732" s="619">
        <v>1</v>
      </c>
      <c r="I732" s="620">
        <v>1960.12</v>
      </c>
      <c r="J732" s="620">
        <v>1960.12</v>
      </c>
      <c r="K732"/>
    </row>
    <row r="733" spans="1:11" ht="15" customHeight="1">
      <c r="A733" s="621" t="s">
        <v>12708</v>
      </c>
      <c r="B733" s="622" t="s">
        <v>13331</v>
      </c>
      <c r="C733" s="621" t="s">
        <v>8</v>
      </c>
      <c r="D733" s="621" t="s">
        <v>240</v>
      </c>
      <c r="E733" s="811" t="s">
        <v>12707</v>
      </c>
      <c r="F733" s="812"/>
      <c r="G733" s="623" t="s">
        <v>23</v>
      </c>
      <c r="H733" s="624">
        <v>6.1</v>
      </c>
      <c r="I733" s="625">
        <v>17.149999999999999</v>
      </c>
      <c r="J733" s="625">
        <v>104.61</v>
      </c>
      <c r="K733"/>
    </row>
    <row r="734" spans="1:11" ht="0.95" customHeight="1">
      <c r="A734" s="621" t="s">
        <v>12708</v>
      </c>
      <c r="B734" s="622" t="s">
        <v>13136</v>
      </c>
      <c r="C734" s="621" t="s">
        <v>8</v>
      </c>
      <c r="D734" s="621" t="s">
        <v>263</v>
      </c>
      <c r="E734" s="811" t="s">
        <v>12707</v>
      </c>
      <c r="F734" s="812"/>
      <c r="G734" s="623" t="s">
        <v>23</v>
      </c>
      <c r="H734" s="624">
        <v>6.1</v>
      </c>
      <c r="I734" s="625">
        <v>19.5</v>
      </c>
      <c r="J734" s="625">
        <v>118.95</v>
      </c>
      <c r="K734"/>
    </row>
    <row r="735" spans="1:11" ht="39.75" customHeight="1">
      <c r="A735" s="626" t="s">
        <v>12709</v>
      </c>
      <c r="B735" s="627" t="s">
        <v>13547</v>
      </c>
      <c r="C735" s="626" t="s">
        <v>8</v>
      </c>
      <c r="D735" s="626" t="s">
        <v>7752</v>
      </c>
      <c r="E735" s="804" t="s">
        <v>12711</v>
      </c>
      <c r="F735" s="805"/>
      <c r="G735" s="628" t="s">
        <v>35</v>
      </c>
      <c r="H735" s="629">
        <v>1</v>
      </c>
      <c r="I735" s="630">
        <v>1736.56</v>
      </c>
      <c r="J735" s="630">
        <v>1736.56</v>
      </c>
      <c r="K735"/>
    </row>
    <row r="736" spans="1:11" ht="60" customHeight="1">
      <c r="A736" s="631"/>
      <c r="B736" s="631"/>
      <c r="C736" s="631"/>
      <c r="D736" s="631"/>
      <c r="E736" s="631" t="s">
        <v>12714</v>
      </c>
      <c r="F736" s="632">
        <v>89.39344794031787</v>
      </c>
      <c r="G736" s="631" t="s">
        <v>12715</v>
      </c>
      <c r="H736" s="632">
        <v>75.97</v>
      </c>
      <c r="I736" s="631" t="s">
        <v>12716</v>
      </c>
      <c r="J736" s="632">
        <v>165.36</v>
      </c>
      <c r="K736"/>
    </row>
    <row r="737" spans="1:11" ht="24" customHeight="1" thickBot="1">
      <c r="A737" s="631"/>
      <c r="B737" s="631"/>
      <c r="C737" s="631"/>
      <c r="D737" s="631"/>
      <c r="E737" s="631" t="s">
        <v>12717</v>
      </c>
      <c r="F737" s="632">
        <v>553.53</v>
      </c>
      <c r="G737" s="631"/>
      <c r="H737" s="806" t="s">
        <v>12718</v>
      </c>
      <c r="I737" s="806"/>
      <c r="J737" s="632">
        <v>2513.65</v>
      </c>
      <c r="K737"/>
    </row>
    <row r="738" spans="1:11" ht="24" customHeight="1" thickTop="1">
      <c r="A738" s="633"/>
      <c r="B738" s="633"/>
      <c r="C738" s="633"/>
      <c r="D738" s="633"/>
      <c r="E738" s="633"/>
      <c r="F738" s="633"/>
      <c r="G738" s="633"/>
      <c r="H738" s="633"/>
      <c r="I738" s="633"/>
      <c r="J738" s="633"/>
      <c r="K738"/>
    </row>
    <row r="739" spans="1:11" ht="24" customHeight="1">
      <c r="A739" s="613" t="s">
        <v>12818</v>
      </c>
      <c r="B739" s="614" t="s">
        <v>12698</v>
      </c>
      <c r="C739" s="613" t="s">
        <v>12699</v>
      </c>
      <c r="D739" s="613" t="s">
        <v>12700</v>
      </c>
      <c r="E739" s="807" t="s">
        <v>12701</v>
      </c>
      <c r="F739" s="808"/>
      <c r="G739" s="615" t="s">
        <v>12702</v>
      </c>
      <c r="H739" s="614" t="s">
        <v>12703</v>
      </c>
      <c r="I739" s="614" t="s">
        <v>12704</v>
      </c>
      <c r="J739" s="614" t="s">
        <v>12705</v>
      </c>
      <c r="K739"/>
    </row>
    <row r="740" spans="1:11" ht="24" customHeight="1">
      <c r="A740" s="616" t="s">
        <v>12706</v>
      </c>
      <c r="B740" s="617" t="s">
        <v>13546</v>
      </c>
      <c r="C740" s="616" t="s">
        <v>8</v>
      </c>
      <c r="D740" s="616" t="s">
        <v>3515</v>
      </c>
      <c r="E740" s="809" t="s">
        <v>12819</v>
      </c>
      <c r="F740" s="810"/>
      <c r="G740" s="618" t="s">
        <v>35</v>
      </c>
      <c r="H740" s="619">
        <v>1</v>
      </c>
      <c r="I740" s="620">
        <v>112.47</v>
      </c>
      <c r="J740" s="620">
        <v>112.47</v>
      </c>
      <c r="K740"/>
    </row>
    <row r="741" spans="1:11" ht="25.5">
      <c r="A741" s="621" t="s">
        <v>12708</v>
      </c>
      <c r="B741" s="622" t="s">
        <v>13187</v>
      </c>
      <c r="C741" s="621" t="s">
        <v>8</v>
      </c>
      <c r="D741" s="621" t="s">
        <v>1516</v>
      </c>
      <c r="E741" s="811" t="s">
        <v>12707</v>
      </c>
      <c r="F741" s="812"/>
      <c r="G741" s="623" t="s">
        <v>23</v>
      </c>
      <c r="H741" s="624">
        <v>0.78900000000000003</v>
      </c>
      <c r="I741" s="625">
        <v>13.87</v>
      </c>
      <c r="J741" s="625">
        <v>10.94</v>
      </c>
      <c r="K741"/>
    </row>
    <row r="742" spans="1:11" ht="15" customHeight="1">
      <c r="A742" s="621" t="s">
        <v>12708</v>
      </c>
      <c r="B742" s="622" t="s">
        <v>12981</v>
      </c>
      <c r="C742" s="621" t="s">
        <v>8</v>
      </c>
      <c r="D742" s="621" t="s">
        <v>50</v>
      </c>
      <c r="E742" s="811" t="s">
        <v>12707</v>
      </c>
      <c r="F742" s="812"/>
      <c r="G742" s="623" t="s">
        <v>23</v>
      </c>
      <c r="H742" s="624">
        <v>0.78900000000000003</v>
      </c>
      <c r="I742" s="625">
        <v>17.79</v>
      </c>
      <c r="J742" s="625">
        <v>14.03</v>
      </c>
      <c r="K742"/>
    </row>
    <row r="743" spans="1:11" ht="0.95" customHeight="1">
      <c r="A743" s="626" t="s">
        <v>12709</v>
      </c>
      <c r="B743" s="627" t="s">
        <v>13440</v>
      </c>
      <c r="C743" s="626" t="s">
        <v>8</v>
      </c>
      <c r="D743" s="626" t="s">
        <v>9427</v>
      </c>
      <c r="E743" s="804" t="s">
        <v>12720</v>
      </c>
      <c r="F743" s="805"/>
      <c r="G743" s="628" t="s">
        <v>35</v>
      </c>
      <c r="H743" s="629">
        <v>1.9E-2</v>
      </c>
      <c r="I743" s="630">
        <v>14.97</v>
      </c>
      <c r="J743" s="630">
        <v>0.28000000000000003</v>
      </c>
      <c r="K743"/>
    </row>
    <row r="744" spans="1:11" ht="18" customHeight="1">
      <c r="A744" s="626" t="s">
        <v>12709</v>
      </c>
      <c r="B744" s="627" t="s">
        <v>13545</v>
      </c>
      <c r="C744" s="626" t="s">
        <v>8</v>
      </c>
      <c r="D744" s="626" t="s">
        <v>11158</v>
      </c>
      <c r="E744" s="804" t="s">
        <v>12720</v>
      </c>
      <c r="F744" s="805"/>
      <c r="G744" s="628" t="s">
        <v>35</v>
      </c>
      <c r="H744" s="629">
        <v>1</v>
      </c>
      <c r="I744" s="630">
        <v>87.22</v>
      </c>
      <c r="J744" s="630">
        <v>87.22</v>
      </c>
      <c r="K744"/>
    </row>
    <row r="745" spans="1:11" ht="24" customHeight="1">
      <c r="A745" s="631"/>
      <c r="B745" s="631"/>
      <c r="C745" s="631"/>
      <c r="D745" s="631"/>
      <c r="E745" s="631" t="s">
        <v>12714</v>
      </c>
      <c r="F745" s="632">
        <v>9.746999675640609</v>
      </c>
      <c r="G745" s="631" t="s">
        <v>12715</v>
      </c>
      <c r="H745" s="632">
        <v>8.2799999999999994</v>
      </c>
      <c r="I745" s="631" t="s">
        <v>12716</v>
      </c>
      <c r="J745" s="632">
        <v>18.03</v>
      </c>
      <c r="K745"/>
    </row>
    <row r="746" spans="1:11" ht="24" customHeight="1" thickBot="1">
      <c r="A746" s="631"/>
      <c r="B746" s="631"/>
      <c r="C746" s="631"/>
      <c r="D746" s="631"/>
      <c r="E746" s="631" t="s">
        <v>12717</v>
      </c>
      <c r="F746" s="632">
        <v>31.76</v>
      </c>
      <c r="G746" s="631"/>
      <c r="H746" s="806" t="s">
        <v>12718</v>
      </c>
      <c r="I746" s="806"/>
      <c r="J746" s="632">
        <v>144.22999999999999</v>
      </c>
      <c r="K746"/>
    </row>
    <row r="747" spans="1:11" ht="24" customHeight="1" thickTop="1">
      <c r="A747" s="633"/>
      <c r="B747" s="633"/>
      <c r="C747" s="633"/>
      <c r="D747" s="633"/>
      <c r="E747" s="633"/>
      <c r="F747" s="633"/>
      <c r="G747" s="633"/>
      <c r="H747" s="633"/>
      <c r="I747" s="633"/>
      <c r="J747" s="633"/>
      <c r="K747"/>
    </row>
    <row r="748" spans="1:11" ht="24" customHeight="1">
      <c r="A748" s="613" t="s">
        <v>12820</v>
      </c>
      <c r="B748" s="614" t="s">
        <v>12698</v>
      </c>
      <c r="C748" s="613" t="s">
        <v>12699</v>
      </c>
      <c r="D748" s="613" t="s">
        <v>12700</v>
      </c>
      <c r="E748" s="807" t="s">
        <v>12701</v>
      </c>
      <c r="F748" s="808"/>
      <c r="G748" s="615" t="s">
        <v>12702</v>
      </c>
      <c r="H748" s="614" t="s">
        <v>12703</v>
      </c>
      <c r="I748" s="614" t="s">
        <v>12704</v>
      </c>
      <c r="J748" s="614" t="s">
        <v>12705</v>
      </c>
      <c r="K748"/>
    </row>
    <row r="749" spans="1:11" ht="24" customHeight="1">
      <c r="A749" s="616" t="s">
        <v>12706</v>
      </c>
      <c r="B749" s="617" t="s">
        <v>13544</v>
      </c>
      <c r="C749" s="616" t="s">
        <v>8</v>
      </c>
      <c r="D749" s="616" t="s">
        <v>2171</v>
      </c>
      <c r="E749" s="809" t="s">
        <v>12819</v>
      </c>
      <c r="F749" s="810"/>
      <c r="G749" s="618" t="s">
        <v>35</v>
      </c>
      <c r="H749" s="619">
        <v>1</v>
      </c>
      <c r="I749" s="620">
        <v>16.02</v>
      </c>
      <c r="J749" s="620">
        <v>16.02</v>
      </c>
      <c r="K749"/>
    </row>
    <row r="750" spans="1:11" ht="25.5">
      <c r="A750" s="621" t="s">
        <v>12708</v>
      </c>
      <c r="B750" s="622" t="s">
        <v>13187</v>
      </c>
      <c r="C750" s="621" t="s">
        <v>8</v>
      </c>
      <c r="D750" s="621" t="s">
        <v>1516</v>
      </c>
      <c r="E750" s="811" t="s">
        <v>12707</v>
      </c>
      <c r="F750" s="812"/>
      <c r="G750" s="623" t="s">
        <v>23</v>
      </c>
      <c r="H750" s="624">
        <v>0.2</v>
      </c>
      <c r="I750" s="625">
        <v>13.87</v>
      </c>
      <c r="J750" s="625">
        <v>2.77</v>
      </c>
      <c r="K750"/>
    </row>
    <row r="751" spans="1:11" ht="15" customHeight="1">
      <c r="A751" s="621" t="s">
        <v>12708</v>
      </c>
      <c r="B751" s="622" t="s">
        <v>12981</v>
      </c>
      <c r="C751" s="621" t="s">
        <v>8</v>
      </c>
      <c r="D751" s="621" t="s">
        <v>50</v>
      </c>
      <c r="E751" s="811" t="s">
        <v>12707</v>
      </c>
      <c r="F751" s="812"/>
      <c r="G751" s="623" t="s">
        <v>23</v>
      </c>
      <c r="H751" s="624">
        <v>0.2</v>
      </c>
      <c r="I751" s="625">
        <v>17.79</v>
      </c>
      <c r="J751" s="625">
        <v>3.55</v>
      </c>
      <c r="K751"/>
    </row>
    <row r="752" spans="1:11" ht="0.95" customHeight="1">
      <c r="A752" s="626" t="s">
        <v>12709</v>
      </c>
      <c r="B752" s="627" t="s">
        <v>13440</v>
      </c>
      <c r="C752" s="626" t="s">
        <v>8</v>
      </c>
      <c r="D752" s="626" t="s">
        <v>9427</v>
      </c>
      <c r="E752" s="804" t="s">
        <v>12720</v>
      </c>
      <c r="F752" s="805"/>
      <c r="G752" s="628" t="s">
        <v>35</v>
      </c>
      <c r="H752" s="629">
        <v>1.2999999999999999E-2</v>
      </c>
      <c r="I752" s="630">
        <v>14.97</v>
      </c>
      <c r="J752" s="630">
        <v>0.19</v>
      </c>
      <c r="K752"/>
    </row>
    <row r="753" spans="1:11" ht="18" customHeight="1">
      <c r="A753" s="626" t="s">
        <v>12709</v>
      </c>
      <c r="B753" s="627" t="s">
        <v>13543</v>
      </c>
      <c r="C753" s="626" t="s">
        <v>8</v>
      </c>
      <c r="D753" s="626" t="s">
        <v>11137</v>
      </c>
      <c r="E753" s="804" t="s">
        <v>12720</v>
      </c>
      <c r="F753" s="805"/>
      <c r="G753" s="628" t="s">
        <v>35</v>
      </c>
      <c r="H753" s="629">
        <v>1</v>
      </c>
      <c r="I753" s="630">
        <v>9.51</v>
      </c>
      <c r="J753" s="630">
        <v>9.51</v>
      </c>
      <c r="K753"/>
    </row>
    <row r="754" spans="1:11" ht="60" customHeight="1">
      <c r="A754" s="631"/>
      <c r="B754" s="631"/>
      <c r="C754" s="631"/>
      <c r="D754" s="631"/>
      <c r="E754" s="631" t="s">
        <v>12714</v>
      </c>
      <c r="F754" s="632">
        <v>2.4651313655530327</v>
      </c>
      <c r="G754" s="631" t="s">
        <v>12715</v>
      </c>
      <c r="H754" s="632">
        <v>2.09</v>
      </c>
      <c r="I754" s="631" t="s">
        <v>12716</v>
      </c>
      <c r="J754" s="632">
        <v>4.5599999999999996</v>
      </c>
      <c r="K754"/>
    </row>
    <row r="755" spans="1:11" ht="24" customHeight="1" thickBot="1">
      <c r="A755" s="631"/>
      <c r="B755" s="631"/>
      <c r="C755" s="631"/>
      <c r="D755" s="631"/>
      <c r="E755" s="631" t="s">
        <v>12717</v>
      </c>
      <c r="F755" s="632">
        <v>4.5199999999999996</v>
      </c>
      <c r="G755" s="631"/>
      <c r="H755" s="806" t="s">
        <v>12718</v>
      </c>
      <c r="I755" s="806"/>
      <c r="J755" s="632">
        <v>20.54</v>
      </c>
      <c r="K755"/>
    </row>
    <row r="756" spans="1:11" ht="24" customHeight="1" thickTop="1">
      <c r="A756" s="633"/>
      <c r="B756" s="633"/>
      <c r="C756" s="633"/>
      <c r="D756" s="633"/>
      <c r="E756" s="633"/>
      <c r="F756" s="633"/>
      <c r="G756" s="633"/>
      <c r="H756" s="633"/>
      <c r="I756" s="633"/>
      <c r="J756" s="633"/>
      <c r="K756"/>
    </row>
    <row r="757" spans="1:11" ht="24" customHeight="1">
      <c r="A757" s="613" t="s">
        <v>12821</v>
      </c>
      <c r="B757" s="614" t="s">
        <v>12698</v>
      </c>
      <c r="C757" s="613" t="s">
        <v>12699</v>
      </c>
      <c r="D757" s="613" t="s">
        <v>12700</v>
      </c>
      <c r="E757" s="807" t="s">
        <v>12701</v>
      </c>
      <c r="F757" s="808"/>
      <c r="G757" s="615" t="s">
        <v>12702</v>
      </c>
      <c r="H757" s="614" t="s">
        <v>12703</v>
      </c>
      <c r="I757" s="614" t="s">
        <v>12704</v>
      </c>
      <c r="J757" s="614" t="s">
        <v>12705</v>
      </c>
      <c r="K757"/>
    </row>
    <row r="758" spans="1:11" ht="24" customHeight="1">
      <c r="A758" s="616" t="s">
        <v>12706</v>
      </c>
      <c r="B758" s="617" t="s">
        <v>13542</v>
      </c>
      <c r="C758" s="616" t="s">
        <v>8</v>
      </c>
      <c r="D758" s="616" t="s">
        <v>3581</v>
      </c>
      <c r="E758" s="809" t="s">
        <v>12819</v>
      </c>
      <c r="F758" s="810"/>
      <c r="G758" s="618" t="s">
        <v>35</v>
      </c>
      <c r="H758" s="619">
        <v>1</v>
      </c>
      <c r="I758" s="620">
        <v>22.62</v>
      </c>
      <c r="J758" s="620">
        <v>22.62</v>
      </c>
      <c r="K758"/>
    </row>
    <row r="759" spans="1:11" ht="24" customHeight="1">
      <c r="A759" s="621" t="s">
        <v>12708</v>
      </c>
      <c r="B759" s="622" t="s">
        <v>13187</v>
      </c>
      <c r="C759" s="621" t="s">
        <v>8</v>
      </c>
      <c r="D759" s="621" t="s">
        <v>1516</v>
      </c>
      <c r="E759" s="811" t="s">
        <v>12707</v>
      </c>
      <c r="F759" s="812"/>
      <c r="G759" s="623" t="s">
        <v>23</v>
      </c>
      <c r="H759" s="624">
        <v>0.23100000000000001</v>
      </c>
      <c r="I759" s="625">
        <v>13.87</v>
      </c>
      <c r="J759" s="625">
        <v>3.2</v>
      </c>
      <c r="K759"/>
    </row>
    <row r="760" spans="1:11" ht="24" customHeight="1">
      <c r="A760" s="621" t="s">
        <v>12708</v>
      </c>
      <c r="B760" s="622" t="s">
        <v>12981</v>
      </c>
      <c r="C760" s="621" t="s">
        <v>8</v>
      </c>
      <c r="D760" s="621" t="s">
        <v>50</v>
      </c>
      <c r="E760" s="811" t="s">
        <v>12707</v>
      </c>
      <c r="F760" s="812"/>
      <c r="G760" s="623" t="s">
        <v>23</v>
      </c>
      <c r="H760" s="624">
        <v>0.23100000000000001</v>
      </c>
      <c r="I760" s="625">
        <v>17.79</v>
      </c>
      <c r="J760" s="625">
        <v>4.0999999999999996</v>
      </c>
      <c r="K760"/>
    </row>
    <row r="761" spans="1:11" ht="25.5">
      <c r="A761" s="626" t="s">
        <v>12709</v>
      </c>
      <c r="B761" s="627" t="s">
        <v>13541</v>
      </c>
      <c r="C761" s="626" t="s">
        <v>8</v>
      </c>
      <c r="D761" s="626" t="s">
        <v>7311</v>
      </c>
      <c r="E761" s="804" t="s">
        <v>12720</v>
      </c>
      <c r="F761" s="805"/>
      <c r="G761" s="628" t="s">
        <v>35</v>
      </c>
      <c r="H761" s="629">
        <v>1</v>
      </c>
      <c r="I761" s="630">
        <v>13.36</v>
      </c>
      <c r="J761" s="630">
        <v>13.36</v>
      </c>
      <c r="K761"/>
    </row>
    <row r="762" spans="1:11" ht="15" customHeight="1">
      <c r="A762" s="626" t="s">
        <v>12709</v>
      </c>
      <c r="B762" s="627" t="s">
        <v>13512</v>
      </c>
      <c r="C762" s="626" t="s">
        <v>8</v>
      </c>
      <c r="D762" s="626" t="s">
        <v>7342</v>
      </c>
      <c r="E762" s="804" t="s">
        <v>12720</v>
      </c>
      <c r="F762" s="805"/>
      <c r="G762" s="628" t="s">
        <v>35</v>
      </c>
      <c r="H762" s="629">
        <v>4.5999999999999999E-2</v>
      </c>
      <c r="I762" s="630">
        <v>25.37</v>
      </c>
      <c r="J762" s="630">
        <v>1.1599999999999999</v>
      </c>
      <c r="K762"/>
    </row>
    <row r="763" spans="1:11" ht="0.95" customHeight="1">
      <c r="A763" s="626" t="s">
        <v>12709</v>
      </c>
      <c r="B763" s="627" t="s">
        <v>13467</v>
      </c>
      <c r="C763" s="626" t="s">
        <v>8</v>
      </c>
      <c r="D763" s="626" t="s">
        <v>9987</v>
      </c>
      <c r="E763" s="804" t="s">
        <v>12720</v>
      </c>
      <c r="F763" s="805"/>
      <c r="G763" s="628" t="s">
        <v>35</v>
      </c>
      <c r="H763" s="629">
        <v>2.3E-2</v>
      </c>
      <c r="I763" s="630">
        <v>1.93</v>
      </c>
      <c r="J763" s="630">
        <v>0.04</v>
      </c>
      <c r="K763"/>
    </row>
    <row r="764" spans="1:11" ht="18" customHeight="1">
      <c r="A764" s="626" t="s">
        <v>12709</v>
      </c>
      <c r="B764" s="627" t="s">
        <v>13466</v>
      </c>
      <c r="C764" s="626" t="s">
        <v>8</v>
      </c>
      <c r="D764" s="626" t="s">
        <v>11315</v>
      </c>
      <c r="E764" s="804" t="s">
        <v>12720</v>
      </c>
      <c r="F764" s="805"/>
      <c r="G764" s="628" t="s">
        <v>35</v>
      </c>
      <c r="H764" s="629">
        <v>1.0999999999999999E-2</v>
      </c>
      <c r="I764" s="630">
        <v>69.42</v>
      </c>
      <c r="J764" s="630">
        <v>0.76</v>
      </c>
      <c r="K764"/>
    </row>
    <row r="765" spans="1:11" ht="60" customHeight="1">
      <c r="A765" s="631"/>
      <c r="B765" s="631"/>
      <c r="C765" s="631"/>
      <c r="D765" s="631"/>
      <c r="E765" s="631" t="s">
        <v>12714</v>
      </c>
      <c r="F765" s="632">
        <v>2.8489566439615093</v>
      </c>
      <c r="G765" s="631" t="s">
        <v>12715</v>
      </c>
      <c r="H765" s="632">
        <v>2.42</v>
      </c>
      <c r="I765" s="631" t="s">
        <v>12716</v>
      </c>
      <c r="J765" s="632">
        <v>5.27</v>
      </c>
      <c r="K765"/>
    </row>
    <row r="766" spans="1:11" ht="24" customHeight="1" thickBot="1">
      <c r="A766" s="631"/>
      <c r="B766" s="631"/>
      <c r="C766" s="631"/>
      <c r="D766" s="631"/>
      <c r="E766" s="631" t="s">
        <v>12717</v>
      </c>
      <c r="F766" s="632">
        <v>6.38</v>
      </c>
      <c r="G766" s="631"/>
      <c r="H766" s="806" t="s">
        <v>12718</v>
      </c>
      <c r="I766" s="806"/>
      <c r="J766" s="632">
        <v>29</v>
      </c>
      <c r="K766"/>
    </row>
    <row r="767" spans="1:11" ht="24" customHeight="1" thickTop="1">
      <c r="A767" s="633"/>
      <c r="B767" s="633"/>
      <c r="C767" s="633"/>
      <c r="D767" s="633"/>
      <c r="E767" s="633"/>
      <c r="F767" s="633"/>
      <c r="G767" s="633"/>
      <c r="H767" s="633"/>
      <c r="I767" s="633"/>
      <c r="J767" s="633"/>
      <c r="K767"/>
    </row>
    <row r="768" spans="1:11" ht="24" customHeight="1">
      <c r="A768" s="613" t="s">
        <v>12822</v>
      </c>
      <c r="B768" s="614" t="s">
        <v>12698</v>
      </c>
      <c r="C768" s="613" t="s">
        <v>12699</v>
      </c>
      <c r="D768" s="613" t="s">
        <v>12700</v>
      </c>
      <c r="E768" s="807" t="s">
        <v>12701</v>
      </c>
      <c r="F768" s="808"/>
      <c r="G768" s="615" t="s">
        <v>12702</v>
      </c>
      <c r="H768" s="614" t="s">
        <v>12703</v>
      </c>
      <c r="I768" s="614" t="s">
        <v>12704</v>
      </c>
      <c r="J768" s="614" t="s">
        <v>12705</v>
      </c>
      <c r="K768"/>
    </row>
    <row r="769" spans="1:11" ht="24" customHeight="1">
      <c r="A769" s="616" t="s">
        <v>12706</v>
      </c>
      <c r="B769" s="617" t="s">
        <v>13540</v>
      </c>
      <c r="C769" s="616" t="s">
        <v>8</v>
      </c>
      <c r="D769" s="616" t="s">
        <v>722</v>
      </c>
      <c r="E769" s="809" t="s">
        <v>12819</v>
      </c>
      <c r="F769" s="810"/>
      <c r="G769" s="618" t="s">
        <v>35</v>
      </c>
      <c r="H769" s="619">
        <v>1</v>
      </c>
      <c r="I769" s="620">
        <v>43.58</v>
      </c>
      <c r="J769" s="620">
        <v>43.58</v>
      </c>
      <c r="K769"/>
    </row>
    <row r="770" spans="1:11" ht="24" customHeight="1">
      <c r="A770" s="621" t="s">
        <v>12708</v>
      </c>
      <c r="B770" s="622" t="s">
        <v>13187</v>
      </c>
      <c r="C770" s="621" t="s">
        <v>8</v>
      </c>
      <c r="D770" s="621" t="s">
        <v>1516</v>
      </c>
      <c r="E770" s="811" t="s">
        <v>12707</v>
      </c>
      <c r="F770" s="812"/>
      <c r="G770" s="623" t="s">
        <v>23</v>
      </c>
      <c r="H770" s="624">
        <v>0.308</v>
      </c>
      <c r="I770" s="625">
        <v>13.87</v>
      </c>
      <c r="J770" s="625">
        <v>4.2699999999999996</v>
      </c>
      <c r="K770"/>
    </row>
    <row r="771" spans="1:11" ht="24" customHeight="1">
      <c r="A771" s="621" t="s">
        <v>12708</v>
      </c>
      <c r="B771" s="622" t="s">
        <v>12981</v>
      </c>
      <c r="C771" s="621" t="s">
        <v>8</v>
      </c>
      <c r="D771" s="621" t="s">
        <v>50</v>
      </c>
      <c r="E771" s="811" t="s">
        <v>12707</v>
      </c>
      <c r="F771" s="812"/>
      <c r="G771" s="623" t="s">
        <v>23</v>
      </c>
      <c r="H771" s="624">
        <v>0.308</v>
      </c>
      <c r="I771" s="625">
        <v>17.79</v>
      </c>
      <c r="J771" s="625">
        <v>5.47</v>
      </c>
      <c r="K771"/>
    </row>
    <row r="772" spans="1:11" ht="25.5">
      <c r="A772" s="626" t="s">
        <v>12709</v>
      </c>
      <c r="B772" s="627" t="s">
        <v>13539</v>
      </c>
      <c r="C772" s="626" t="s">
        <v>8</v>
      </c>
      <c r="D772" s="626" t="s">
        <v>7314</v>
      </c>
      <c r="E772" s="804" t="s">
        <v>12720</v>
      </c>
      <c r="F772" s="805"/>
      <c r="G772" s="628" t="s">
        <v>35</v>
      </c>
      <c r="H772" s="629">
        <v>1</v>
      </c>
      <c r="I772" s="630">
        <v>25.27</v>
      </c>
      <c r="J772" s="630">
        <v>25.27</v>
      </c>
      <c r="K772"/>
    </row>
    <row r="773" spans="1:11" ht="15" customHeight="1">
      <c r="A773" s="626" t="s">
        <v>12709</v>
      </c>
      <c r="B773" s="627" t="s">
        <v>13512</v>
      </c>
      <c r="C773" s="626" t="s">
        <v>8</v>
      </c>
      <c r="D773" s="626" t="s">
        <v>7342</v>
      </c>
      <c r="E773" s="804" t="s">
        <v>12720</v>
      </c>
      <c r="F773" s="805"/>
      <c r="G773" s="628" t="s">
        <v>35</v>
      </c>
      <c r="H773" s="629">
        <v>0.19400000000000001</v>
      </c>
      <c r="I773" s="630">
        <v>25.37</v>
      </c>
      <c r="J773" s="630">
        <v>4.92</v>
      </c>
      <c r="K773"/>
    </row>
    <row r="774" spans="1:11" ht="0.95" customHeight="1">
      <c r="A774" s="626" t="s">
        <v>12709</v>
      </c>
      <c r="B774" s="627" t="s">
        <v>13467</v>
      </c>
      <c r="C774" s="626" t="s">
        <v>8</v>
      </c>
      <c r="D774" s="626" t="s">
        <v>9987</v>
      </c>
      <c r="E774" s="804" t="s">
        <v>12720</v>
      </c>
      <c r="F774" s="805"/>
      <c r="G774" s="628" t="s">
        <v>35</v>
      </c>
      <c r="H774" s="629">
        <v>3.1E-2</v>
      </c>
      <c r="I774" s="630">
        <v>1.93</v>
      </c>
      <c r="J774" s="630">
        <v>0.05</v>
      </c>
      <c r="K774"/>
    </row>
    <row r="775" spans="1:11" ht="18" customHeight="1">
      <c r="A775" s="626" t="s">
        <v>12709</v>
      </c>
      <c r="B775" s="627" t="s">
        <v>13466</v>
      </c>
      <c r="C775" s="626" t="s">
        <v>8</v>
      </c>
      <c r="D775" s="626" t="s">
        <v>11315</v>
      </c>
      <c r="E775" s="804" t="s">
        <v>12720</v>
      </c>
      <c r="F775" s="805"/>
      <c r="G775" s="628" t="s">
        <v>35</v>
      </c>
      <c r="H775" s="629">
        <v>5.1999999999999998E-2</v>
      </c>
      <c r="I775" s="630">
        <v>69.42</v>
      </c>
      <c r="J775" s="630">
        <v>3.6</v>
      </c>
      <c r="K775"/>
    </row>
    <row r="776" spans="1:11" ht="36" customHeight="1">
      <c r="A776" s="631"/>
      <c r="B776" s="631"/>
      <c r="C776" s="631"/>
      <c r="D776" s="631"/>
      <c r="E776" s="631" t="s">
        <v>12714</v>
      </c>
      <c r="F776" s="632">
        <v>3.8004108552275921</v>
      </c>
      <c r="G776" s="631" t="s">
        <v>12715</v>
      </c>
      <c r="H776" s="632">
        <v>3.23</v>
      </c>
      <c r="I776" s="631" t="s">
        <v>12716</v>
      </c>
      <c r="J776" s="632">
        <v>7.03</v>
      </c>
      <c r="K776"/>
    </row>
    <row r="777" spans="1:11" ht="24" customHeight="1" thickBot="1">
      <c r="A777" s="631"/>
      <c r="B777" s="631"/>
      <c r="C777" s="631"/>
      <c r="D777" s="631"/>
      <c r="E777" s="631" t="s">
        <v>12717</v>
      </c>
      <c r="F777" s="632">
        <v>12.3</v>
      </c>
      <c r="G777" s="631"/>
      <c r="H777" s="806" t="s">
        <v>12718</v>
      </c>
      <c r="I777" s="806"/>
      <c r="J777" s="632">
        <v>55.88</v>
      </c>
      <c r="K777"/>
    </row>
    <row r="778" spans="1:11" ht="24" customHeight="1" thickTop="1">
      <c r="A778" s="633"/>
      <c r="B778" s="633"/>
      <c r="C778" s="633"/>
      <c r="D778" s="633"/>
      <c r="E778" s="633"/>
      <c r="F778" s="633"/>
      <c r="G778" s="633"/>
      <c r="H778" s="633"/>
      <c r="I778" s="633"/>
      <c r="J778" s="633"/>
      <c r="K778"/>
    </row>
    <row r="779" spans="1:11" ht="24" customHeight="1">
      <c r="A779" s="613" t="s">
        <v>12823</v>
      </c>
      <c r="B779" s="614" t="s">
        <v>12698</v>
      </c>
      <c r="C779" s="613" t="s">
        <v>12699</v>
      </c>
      <c r="D779" s="613" t="s">
        <v>12700</v>
      </c>
      <c r="E779" s="807" t="s">
        <v>12701</v>
      </c>
      <c r="F779" s="808"/>
      <c r="G779" s="615" t="s">
        <v>12702</v>
      </c>
      <c r="H779" s="614" t="s">
        <v>12703</v>
      </c>
      <c r="I779" s="614" t="s">
        <v>12704</v>
      </c>
      <c r="J779" s="614" t="s">
        <v>12705</v>
      </c>
      <c r="K779"/>
    </row>
    <row r="780" spans="1:11" ht="24" customHeight="1">
      <c r="A780" s="616" t="s">
        <v>12706</v>
      </c>
      <c r="B780" s="617" t="s">
        <v>13538</v>
      </c>
      <c r="C780" s="616" t="s">
        <v>8</v>
      </c>
      <c r="D780" s="616" t="s">
        <v>1846</v>
      </c>
      <c r="E780" s="809" t="s">
        <v>12819</v>
      </c>
      <c r="F780" s="810"/>
      <c r="G780" s="618" t="s">
        <v>35</v>
      </c>
      <c r="H780" s="619">
        <v>1</v>
      </c>
      <c r="I780" s="620">
        <v>3.05</v>
      </c>
      <c r="J780" s="620">
        <v>3.05</v>
      </c>
      <c r="K780"/>
    </row>
    <row r="781" spans="1:11" ht="24" customHeight="1">
      <c r="A781" s="621" t="s">
        <v>12708</v>
      </c>
      <c r="B781" s="622" t="s">
        <v>13187</v>
      </c>
      <c r="C781" s="621" t="s">
        <v>8</v>
      </c>
      <c r="D781" s="621" t="s">
        <v>1516</v>
      </c>
      <c r="E781" s="811" t="s">
        <v>12707</v>
      </c>
      <c r="F781" s="812"/>
      <c r="G781" s="623" t="s">
        <v>23</v>
      </c>
      <c r="H781" s="624">
        <v>0.04</v>
      </c>
      <c r="I781" s="625">
        <v>13.87</v>
      </c>
      <c r="J781" s="625">
        <v>0.55000000000000004</v>
      </c>
      <c r="K781"/>
    </row>
    <row r="782" spans="1:11" ht="24" customHeight="1">
      <c r="A782" s="621" t="s">
        <v>12708</v>
      </c>
      <c r="B782" s="622" t="s">
        <v>12981</v>
      </c>
      <c r="C782" s="621" t="s">
        <v>8</v>
      </c>
      <c r="D782" s="621" t="s">
        <v>50</v>
      </c>
      <c r="E782" s="811" t="s">
        <v>12707</v>
      </c>
      <c r="F782" s="812"/>
      <c r="G782" s="623" t="s">
        <v>23</v>
      </c>
      <c r="H782" s="624">
        <v>0.04</v>
      </c>
      <c r="I782" s="625">
        <v>17.79</v>
      </c>
      <c r="J782" s="625">
        <v>0.71</v>
      </c>
      <c r="K782"/>
    </row>
    <row r="783" spans="1:11" ht="25.5">
      <c r="A783" s="626" t="s">
        <v>12709</v>
      </c>
      <c r="B783" s="627" t="s">
        <v>13537</v>
      </c>
      <c r="C783" s="626" t="s">
        <v>8</v>
      </c>
      <c r="D783" s="626" t="s">
        <v>7287</v>
      </c>
      <c r="E783" s="804" t="s">
        <v>12720</v>
      </c>
      <c r="F783" s="805"/>
      <c r="G783" s="628" t="s">
        <v>35</v>
      </c>
      <c r="H783" s="629">
        <v>1</v>
      </c>
      <c r="I783" s="630">
        <v>0.67</v>
      </c>
      <c r="J783" s="630">
        <v>0.67</v>
      </c>
      <c r="K783"/>
    </row>
    <row r="784" spans="1:11" ht="15" customHeight="1">
      <c r="A784" s="626" t="s">
        <v>12709</v>
      </c>
      <c r="B784" s="627" t="s">
        <v>13468</v>
      </c>
      <c r="C784" s="626" t="s">
        <v>8</v>
      </c>
      <c r="D784" s="626" t="s">
        <v>7343</v>
      </c>
      <c r="E784" s="804" t="s">
        <v>12720</v>
      </c>
      <c r="F784" s="805"/>
      <c r="G784" s="628" t="s">
        <v>35</v>
      </c>
      <c r="H784" s="629">
        <v>7.0000000000000001E-3</v>
      </c>
      <c r="I784" s="630">
        <v>79.94</v>
      </c>
      <c r="J784" s="630">
        <v>0.55000000000000004</v>
      </c>
      <c r="K784"/>
    </row>
    <row r="785" spans="1:11" ht="0.95" customHeight="1">
      <c r="A785" s="626" t="s">
        <v>12709</v>
      </c>
      <c r="B785" s="627" t="s">
        <v>13467</v>
      </c>
      <c r="C785" s="626" t="s">
        <v>8</v>
      </c>
      <c r="D785" s="626" t="s">
        <v>9987</v>
      </c>
      <c r="E785" s="804" t="s">
        <v>12720</v>
      </c>
      <c r="F785" s="805"/>
      <c r="G785" s="628" t="s">
        <v>35</v>
      </c>
      <c r="H785" s="629">
        <v>1.2999999999999999E-2</v>
      </c>
      <c r="I785" s="630">
        <v>1.93</v>
      </c>
      <c r="J785" s="630">
        <v>0.02</v>
      </c>
      <c r="K785"/>
    </row>
    <row r="786" spans="1:11" ht="18" customHeight="1">
      <c r="A786" s="626" t="s">
        <v>12709</v>
      </c>
      <c r="B786" s="627" t="s">
        <v>13466</v>
      </c>
      <c r="C786" s="626" t="s">
        <v>8</v>
      </c>
      <c r="D786" s="626" t="s">
        <v>11315</v>
      </c>
      <c r="E786" s="804" t="s">
        <v>12720</v>
      </c>
      <c r="F786" s="805"/>
      <c r="G786" s="628" t="s">
        <v>35</v>
      </c>
      <c r="H786" s="629">
        <v>8.0000000000000002E-3</v>
      </c>
      <c r="I786" s="630">
        <v>69.42</v>
      </c>
      <c r="J786" s="630">
        <v>0.55000000000000004</v>
      </c>
      <c r="K786"/>
    </row>
    <row r="787" spans="1:11" ht="60" customHeight="1">
      <c r="A787" s="631"/>
      <c r="B787" s="631"/>
      <c r="C787" s="631"/>
      <c r="D787" s="631"/>
      <c r="E787" s="631" t="s">
        <v>12714</v>
      </c>
      <c r="F787" s="632">
        <v>0.48653908530651963</v>
      </c>
      <c r="G787" s="631" t="s">
        <v>12715</v>
      </c>
      <c r="H787" s="632">
        <v>0.41</v>
      </c>
      <c r="I787" s="631" t="s">
        <v>12716</v>
      </c>
      <c r="J787" s="632">
        <v>0.9</v>
      </c>
      <c r="K787"/>
    </row>
    <row r="788" spans="1:11" ht="24" customHeight="1" thickBot="1">
      <c r="A788" s="631"/>
      <c r="B788" s="631"/>
      <c r="C788" s="631"/>
      <c r="D788" s="631"/>
      <c r="E788" s="631" t="s">
        <v>12717</v>
      </c>
      <c r="F788" s="632">
        <v>0.86</v>
      </c>
      <c r="G788" s="631"/>
      <c r="H788" s="806" t="s">
        <v>12718</v>
      </c>
      <c r="I788" s="806"/>
      <c r="J788" s="632">
        <v>3.91</v>
      </c>
      <c r="K788"/>
    </row>
    <row r="789" spans="1:11" ht="24" customHeight="1" thickTop="1">
      <c r="A789" s="633"/>
      <c r="B789" s="633"/>
      <c r="C789" s="633"/>
      <c r="D789" s="633"/>
      <c r="E789" s="633"/>
      <c r="F789" s="633"/>
      <c r="G789" s="633"/>
      <c r="H789" s="633"/>
      <c r="I789" s="633"/>
      <c r="J789" s="633"/>
      <c r="K789"/>
    </row>
    <row r="790" spans="1:11" ht="24" customHeight="1">
      <c r="A790" s="613" t="s">
        <v>12824</v>
      </c>
      <c r="B790" s="614" t="s">
        <v>12698</v>
      </c>
      <c r="C790" s="613" t="s">
        <v>12699</v>
      </c>
      <c r="D790" s="613" t="s">
        <v>12700</v>
      </c>
      <c r="E790" s="807" t="s">
        <v>12701</v>
      </c>
      <c r="F790" s="808"/>
      <c r="G790" s="615" t="s">
        <v>12702</v>
      </c>
      <c r="H790" s="614" t="s">
        <v>12703</v>
      </c>
      <c r="I790" s="614" t="s">
        <v>12704</v>
      </c>
      <c r="J790" s="614" t="s">
        <v>12705</v>
      </c>
      <c r="K790"/>
    </row>
    <row r="791" spans="1:11" ht="24" customHeight="1">
      <c r="A791" s="616" t="s">
        <v>12706</v>
      </c>
      <c r="B791" s="617" t="s">
        <v>13536</v>
      </c>
      <c r="C791" s="616" t="s">
        <v>8</v>
      </c>
      <c r="D791" s="616" t="s">
        <v>3421</v>
      </c>
      <c r="E791" s="809" t="s">
        <v>12819</v>
      </c>
      <c r="F791" s="810"/>
      <c r="G791" s="618" t="s">
        <v>35</v>
      </c>
      <c r="H791" s="619">
        <v>1</v>
      </c>
      <c r="I791" s="620">
        <v>10.01</v>
      </c>
      <c r="J791" s="620">
        <v>10.01</v>
      </c>
      <c r="K791"/>
    </row>
    <row r="792" spans="1:11" ht="24" customHeight="1">
      <c r="A792" s="621" t="s">
        <v>12708</v>
      </c>
      <c r="B792" s="622" t="s">
        <v>13187</v>
      </c>
      <c r="C792" s="621" t="s">
        <v>8</v>
      </c>
      <c r="D792" s="621" t="s">
        <v>1516</v>
      </c>
      <c r="E792" s="811" t="s">
        <v>12707</v>
      </c>
      <c r="F792" s="812"/>
      <c r="G792" s="623" t="s">
        <v>23</v>
      </c>
      <c r="H792" s="624">
        <v>0.114</v>
      </c>
      <c r="I792" s="625">
        <v>13.87</v>
      </c>
      <c r="J792" s="625">
        <v>1.58</v>
      </c>
      <c r="K792"/>
    </row>
    <row r="793" spans="1:11" ht="24" customHeight="1">
      <c r="A793" s="621" t="s">
        <v>12708</v>
      </c>
      <c r="B793" s="622" t="s">
        <v>12981</v>
      </c>
      <c r="C793" s="621" t="s">
        <v>8</v>
      </c>
      <c r="D793" s="621" t="s">
        <v>50</v>
      </c>
      <c r="E793" s="811" t="s">
        <v>12707</v>
      </c>
      <c r="F793" s="812"/>
      <c r="G793" s="623" t="s">
        <v>23</v>
      </c>
      <c r="H793" s="624">
        <v>0.114</v>
      </c>
      <c r="I793" s="625">
        <v>17.79</v>
      </c>
      <c r="J793" s="625">
        <v>2.02</v>
      </c>
      <c r="K793"/>
    </row>
    <row r="794" spans="1:11" ht="25.5">
      <c r="A794" s="626" t="s">
        <v>12709</v>
      </c>
      <c r="B794" s="627" t="s">
        <v>13535</v>
      </c>
      <c r="C794" s="626" t="s">
        <v>8</v>
      </c>
      <c r="D794" s="626" t="s">
        <v>7292</v>
      </c>
      <c r="E794" s="804" t="s">
        <v>12720</v>
      </c>
      <c r="F794" s="805"/>
      <c r="G794" s="628" t="s">
        <v>35</v>
      </c>
      <c r="H794" s="629">
        <v>1</v>
      </c>
      <c r="I794" s="630">
        <v>3.35</v>
      </c>
      <c r="J794" s="630">
        <v>3.35</v>
      </c>
      <c r="K794"/>
    </row>
    <row r="795" spans="1:11" ht="15" customHeight="1">
      <c r="A795" s="626" t="s">
        <v>12709</v>
      </c>
      <c r="B795" s="627" t="s">
        <v>13512</v>
      </c>
      <c r="C795" s="626" t="s">
        <v>8</v>
      </c>
      <c r="D795" s="626" t="s">
        <v>7342</v>
      </c>
      <c r="E795" s="804" t="s">
        <v>12720</v>
      </c>
      <c r="F795" s="805"/>
      <c r="G795" s="628" t="s">
        <v>35</v>
      </c>
      <c r="H795" s="629">
        <v>7.0999999999999994E-2</v>
      </c>
      <c r="I795" s="630">
        <v>25.37</v>
      </c>
      <c r="J795" s="630">
        <v>1.8</v>
      </c>
      <c r="K795"/>
    </row>
    <row r="796" spans="1:11" ht="0.95" customHeight="1">
      <c r="A796" s="626" t="s">
        <v>12709</v>
      </c>
      <c r="B796" s="627" t="s">
        <v>13467</v>
      </c>
      <c r="C796" s="626" t="s">
        <v>8</v>
      </c>
      <c r="D796" s="626" t="s">
        <v>9987</v>
      </c>
      <c r="E796" s="804" t="s">
        <v>12720</v>
      </c>
      <c r="F796" s="805"/>
      <c r="G796" s="628" t="s">
        <v>35</v>
      </c>
      <c r="H796" s="629">
        <v>1.0999999999999999E-2</v>
      </c>
      <c r="I796" s="630">
        <v>1.93</v>
      </c>
      <c r="J796" s="630">
        <v>0.02</v>
      </c>
      <c r="K796"/>
    </row>
    <row r="797" spans="1:11" ht="18" customHeight="1">
      <c r="A797" s="626" t="s">
        <v>12709</v>
      </c>
      <c r="B797" s="627" t="s">
        <v>13466</v>
      </c>
      <c r="C797" s="626" t="s">
        <v>8</v>
      </c>
      <c r="D797" s="626" t="s">
        <v>11315</v>
      </c>
      <c r="E797" s="804" t="s">
        <v>12720</v>
      </c>
      <c r="F797" s="805"/>
      <c r="G797" s="628" t="s">
        <v>35</v>
      </c>
      <c r="H797" s="629">
        <v>1.7999999999999999E-2</v>
      </c>
      <c r="I797" s="630">
        <v>69.42</v>
      </c>
      <c r="J797" s="630">
        <v>1.24</v>
      </c>
      <c r="K797"/>
    </row>
    <row r="798" spans="1:11" ht="36" customHeight="1">
      <c r="A798" s="631"/>
      <c r="B798" s="631"/>
      <c r="C798" s="631"/>
      <c r="D798" s="631"/>
      <c r="E798" s="631" t="s">
        <v>12714</v>
      </c>
      <c r="F798" s="632">
        <v>1.4001513677154287</v>
      </c>
      <c r="G798" s="631" t="s">
        <v>12715</v>
      </c>
      <c r="H798" s="632">
        <v>1.19</v>
      </c>
      <c r="I798" s="631" t="s">
        <v>12716</v>
      </c>
      <c r="J798" s="632">
        <v>2.59</v>
      </c>
      <c r="K798"/>
    </row>
    <row r="799" spans="1:11" ht="24" customHeight="1" thickBot="1">
      <c r="A799" s="631"/>
      <c r="B799" s="631"/>
      <c r="C799" s="631"/>
      <c r="D799" s="631"/>
      <c r="E799" s="631" t="s">
        <v>12717</v>
      </c>
      <c r="F799" s="632">
        <v>2.82</v>
      </c>
      <c r="G799" s="631"/>
      <c r="H799" s="806" t="s">
        <v>12718</v>
      </c>
      <c r="I799" s="806"/>
      <c r="J799" s="632">
        <v>12.83</v>
      </c>
      <c r="K799"/>
    </row>
    <row r="800" spans="1:11" ht="24" customHeight="1" thickTop="1">
      <c r="A800" s="633"/>
      <c r="B800" s="633"/>
      <c r="C800" s="633"/>
      <c r="D800" s="633"/>
      <c r="E800" s="633"/>
      <c r="F800" s="633"/>
      <c r="G800" s="633"/>
      <c r="H800" s="633"/>
      <c r="I800" s="633"/>
      <c r="J800" s="633"/>
      <c r="K800"/>
    </row>
    <row r="801" spans="1:11" ht="24" customHeight="1">
      <c r="A801" s="613" t="s">
        <v>12825</v>
      </c>
      <c r="B801" s="614" t="s">
        <v>12698</v>
      </c>
      <c r="C801" s="613" t="s">
        <v>12699</v>
      </c>
      <c r="D801" s="613" t="s">
        <v>12700</v>
      </c>
      <c r="E801" s="807" t="s">
        <v>12701</v>
      </c>
      <c r="F801" s="808"/>
      <c r="G801" s="615" t="s">
        <v>12702</v>
      </c>
      <c r="H801" s="614" t="s">
        <v>12703</v>
      </c>
      <c r="I801" s="614" t="s">
        <v>12704</v>
      </c>
      <c r="J801" s="614" t="s">
        <v>12705</v>
      </c>
      <c r="K801"/>
    </row>
    <row r="802" spans="1:11" ht="24" customHeight="1">
      <c r="A802" s="616" t="s">
        <v>12706</v>
      </c>
      <c r="B802" s="617" t="s">
        <v>13534</v>
      </c>
      <c r="C802" s="616" t="s">
        <v>8</v>
      </c>
      <c r="D802" s="616" t="s">
        <v>1760</v>
      </c>
      <c r="E802" s="809" t="s">
        <v>12819</v>
      </c>
      <c r="F802" s="810"/>
      <c r="G802" s="618" t="s">
        <v>35</v>
      </c>
      <c r="H802" s="619">
        <v>1</v>
      </c>
      <c r="I802" s="620">
        <v>4.54</v>
      </c>
      <c r="J802" s="620">
        <v>4.54</v>
      </c>
      <c r="K802"/>
    </row>
    <row r="803" spans="1:11" ht="24" customHeight="1">
      <c r="A803" s="621" t="s">
        <v>12708</v>
      </c>
      <c r="B803" s="622" t="s">
        <v>13187</v>
      </c>
      <c r="C803" s="621" t="s">
        <v>8</v>
      </c>
      <c r="D803" s="621" t="s">
        <v>1516</v>
      </c>
      <c r="E803" s="811" t="s">
        <v>12707</v>
      </c>
      <c r="F803" s="812"/>
      <c r="G803" s="623" t="s">
        <v>23</v>
      </c>
      <c r="H803" s="624">
        <v>0.09</v>
      </c>
      <c r="I803" s="625">
        <v>13.87</v>
      </c>
      <c r="J803" s="625">
        <v>1.24</v>
      </c>
      <c r="K803"/>
    </row>
    <row r="804" spans="1:11" ht="24" customHeight="1">
      <c r="A804" s="621" t="s">
        <v>12708</v>
      </c>
      <c r="B804" s="622" t="s">
        <v>12981</v>
      </c>
      <c r="C804" s="621" t="s">
        <v>8</v>
      </c>
      <c r="D804" s="621" t="s">
        <v>50</v>
      </c>
      <c r="E804" s="811" t="s">
        <v>12707</v>
      </c>
      <c r="F804" s="812"/>
      <c r="G804" s="623" t="s">
        <v>23</v>
      </c>
      <c r="H804" s="624">
        <v>0.09</v>
      </c>
      <c r="I804" s="625">
        <v>17.79</v>
      </c>
      <c r="J804" s="625">
        <v>1.6</v>
      </c>
      <c r="K804"/>
    </row>
    <row r="805" spans="1:11">
      <c r="A805" s="626" t="s">
        <v>12709</v>
      </c>
      <c r="B805" s="627" t="s">
        <v>13468</v>
      </c>
      <c r="C805" s="626" t="s">
        <v>8</v>
      </c>
      <c r="D805" s="626" t="s">
        <v>7343</v>
      </c>
      <c r="E805" s="804" t="s">
        <v>12720</v>
      </c>
      <c r="F805" s="805"/>
      <c r="G805" s="628" t="s">
        <v>35</v>
      </c>
      <c r="H805" s="629">
        <v>7.0000000000000001E-3</v>
      </c>
      <c r="I805" s="630">
        <v>79.94</v>
      </c>
      <c r="J805" s="630">
        <v>0.55000000000000004</v>
      </c>
      <c r="K805"/>
    </row>
    <row r="806" spans="1:11" ht="15" customHeight="1">
      <c r="A806" s="626" t="s">
        <v>12709</v>
      </c>
      <c r="B806" s="627" t="s">
        <v>13533</v>
      </c>
      <c r="C806" s="626" t="s">
        <v>8</v>
      </c>
      <c r="D806" s="626" t="s">
        <v>9762</v>
      </c>
      <c r="E806" s="804" t="s">
        <v>12720</v>
      </c>
      <c r="F806" s="805"/>
      <c r="G806" s="628" t="s">
        <v>35</v>
      </c>
      <c r="H806" s="629">
        <v>1</v>
      </c>
      <c r="I806" s="630">
        <v>0.55000000000000004</v>
      </c>
      <c r="J806" s="630">
        <v>0.55000000000000004</v>
      </c>
      <c r="K806"/>
    </row>
    <row r="807" spans="1:11" ht="0.95" customHeight="1">
      <c r="A807" s="626" t="s">
        <v>12709</v>
      </c>
      <c r="B807" s="627" t="s">
        <v>13467</v>
      </c>
      <c r="C807" s="626" t="s">
        <v>8</v>
      </c>
      <c r="D807" s="626" t="s">
        <v>9987</v>
      </c>
      <c r="E807" s="804" t="s">
        <v>12720</v>
      </c>
      <c r="F807" s="805"/>
      <c r="G807" s="628" t="s">
        <v>35</v>
      </c>
      <c r="H807" s="629">
        <v>0.03</v>
      </c>
      <c r="I807" s="630">
        <v>1.93</v>
      </c>
      <c r="J807" s="630">
        <v>0.05</v>
      </c>
      <c r="K807"/>
    </row>
    <row r="808" spans="1:11" ht="18" customHeight="1">
      <c r="A808" s="626" t="s">
        <v>12709</v>
      </c>
      <c r="B808" s="627" t="s">
        <v>13466</v>
      </c>
      <c r="C808" s="626" t="s">
        <v>8</v>
      </c>
      <c r="D808" s="626" t="s">
        <v>11315</v>
      </c>
      <c r="E808" s="804" t="s">
        <v>12720</v>
      </c>
      <c r="F808" s="805"/>
      <c r="G808" s="628" t="s">
        <v>35</v>
      </c>
      <c r="H808" s="629">
        <v>8.0000000000000002E-3</v>
      </c>
      <c r="I808" s="630">
        <v>69.42</v>
      </c>
      <c r="J808" s="630">
        <v>0.55000000000000004</v>
      </c>
      <c r="K808"/>
    </row>
    <row r="809" spans="1:11" ht="36" customHeight="1">
      <c r="A809" s="631"/>
      <c r="B809" s="631"/>
      <c r="C809" s="631"/>
      <c r="D809" s="631"/>
      <c r="E809" s="631" t="s">
        <v>12714</v>
      </c>
      <c r="F809" s="632">
        <v>1.108227916531517</v>
      </c>
      <c r="G809" s="631" t="s">
        <v>12715</v>
      </c>
      <c r="H809" s="632">
        <v>0.94</v>
      </c>
      <c r="I809" s="631" t="s">
        <v>12716</v>
      </c>
      <c r="J809" s="632">
        <v>2.0499999999999998</v>
      </c>
      <c r="K809"/>
    </row>
    <row r="810" spans="1:11" ht="24" customHeight="1" thickBot="1">
      <c r="A810" s="631"/>
      <c r="B810" s="631"/>
      <c r="C810" s="631"/>
      <c r="D810" s="631"/>
      <c r="E810" s="631" t="s">
        <v>12717</v>
      </c>
      <c r="F810" s="632">
        <v>1.28</v>
      </c>
      <c r="G810" s="631"/>
      <c r="H810" s="806" t="s">
        <v>12718</v>
      </c>
      <c r="I810" s="806"/>
      <c r="J810" s="632">
        <v>5.82</v>
      </c>
      <c r="K810"/>
    </row>
    <row r="811" spans="1:11" ht="24" customHeight="1" thickTop="1">
      <c r="A811" s="633"/>
      <c r="B811" s="633"/>
      <c r="C811" s="633"/>
      <c r="D811" s="633"/>
      <c r="E811" s="633"/>
      <c r="F811" s="633"/>
      <c r="G811" s="633"/>
      <c r="H811" s="633"/>
      <c r="I811" s="633"/>
      <c r="J811" s="633"/>
      <c r="K811"/>
    </row>
    <row r="812" spans="1:11" ht="24" customHeight="1">
      <c r="A812" s="613" t="s">
        <v>12826</v>
      </c>
      <c r="B812" s="614" t="s">
        <v>12698</v>
      </c>
      <c r="C812" s="613" t="s">
        <v>12699</v>
      </c>
      <c r="D812" s="613" t="s">
        <v>12700</v>
      </c>
      <c r="E812" s="807" t="s">
        <v>12701</v>
      </c>
      <c r="F812" s="808"/>
      <c r="G812" s="615" t="s">
        <v>12702</v>
      </c>
      <c r="H812" s="614" t="s">
        <v>12703</v>
      </c>
      <c r="I812" s="614" t="s">
        <v>12704</v>
      </c>
      <c r="J812" s="614" t="s">
        <v>12705</v>
      </c>
      <c r="K812"/>
    </row>
    <row r="813" spans="1:11" ht="24" customHeight="1">
      <c r="A813" s="616" t="s">
        <v>12706</v>
      </c>
      <c r="B813" s="617" t="s">
        <v>13532</v>
      </c>
      <c r="C813" s="616" t="s">
        <v>8</v>
      </c>
      <c r="D813" s="616" t="s">
        <v>1765</v>
      </c>
      <c r="E813" s="809" t="s">
        <v>12819</v>
      </c>
      <c r="F813" s="810"/>
      <c r="G813" s="618" t="s">
        <v>35</v>
      </c>
      <c r="H813" s="619">
        <v>1</v>
      </c>
      <c r="I813" s="620">
        <v>6.57</v>
      </c>
      <c r="J813" s="620">
        <v>6.57</v>
      </c>
      <c r="K813"/>
    </row>
    <row r="814" spans="1:11" ht="24" customHeight="1">
      <c r="A814" s="621" t="s">
        <v>12708</v>
      </c>
      <c r="B814" s="622" t="s">
        <v>13187</v>
      </c>
      <c r="C814" s="621" t="s">
        <v>8</v>
      </c>
      <c r="D814" s="621" t="s">
        <v>1516</v>
      </c>
      <c r="E814" s="811" t="s">
        <v>12707</v>
      </c>
      <c r="F814" s="812"/>
      <c r="G814" s="623" t="s">
        <v>23</v>
      </c>
      <c r="H814" s="624">
        <v>0.107</v>
      </c>
      <c r="I814" s="625">
        <v>13.87</v>
      </c>
      <c r="J814" s="625">
        <v>1.48</v>
      </c>
      <c r="K814"/>
    </row>
    <row r="815" spans="1:11" ht="24" customHeight="1">
      <c r="A815" s="621" t="s">
        <v>12708</v>
      </c>
      <c r="B815" s="622" t="s">
        <v>12981</v>
      </c>
      <c r="C815" s="621" t="s">
        <v>8</v>
      </c>
      <c r="D815" s="621" t="s">
        <v>50</v>
      </c>
      <c r="E815" s="811" t="s">
        <v>12707</v>
      </c>
      <c r="F815" s="812"/>
      <c r="G815" s="623" t="s">
        <v>23</v>
      </c>
      <c r="H815" s="624">
        <v>0.107</v>
      </c>
      <c r="I815" s="625">
        <v>17.79</v>
      </c>
      <c r="J815" s="625">
        <v>1.9</v>
      </c>
      <c r="K815"/>
    </row>
    <row r="816" spans="1:11">
      <c r="A816" s="626" t="s">
        <v>12709</v>
      </c>
      <c r="B816" s="627" t="s">
        <v>13468</v>
      </c>
      <c r="C816" s="626" t="s">
        <v>8</v>
      </c>
      <c r="D816" s="626" t="s">
        <v>7343</v>
      </c>
      <c r="E816" s="804" t="s">
        <v>12720</v>
      </c>
      <c r="F816" s="805"/>
      <c r="G816" s="628" t="s">
        <v>35</v>
      </c>
      <c r="H816" s="629">
        <v>8.9999999999999993E-3</v>
      </c>
      <c r="I816" s="630">
        <v>79.94</v>
      </c>
      <c r="J816" s="630">
        <v>0.71</v>
      </c>
      <c r="K816"/>
    </row>
    <row r="817" spans="1:11" ht="15" customHeight="1">
      <c r="A817" s="626" t="s">
        <v>12709</v>
      </c>
      <c r="B817" s="627" t="s">
        <v>13531</v>
      </c>
      <c r="C817" s="626" t="s">
        <v>8</v>
      </c>
      <c r="D817" s="626" t="s">
        <v>9763</v>
      </c>
      <c r="E817" s="804" t="s">
        <v>12720</v>
      </c>
      <c r="F817" s="805"/>
      <c r="G817" s="628" t="s">
        <v>35</v>
      </c>
      <c r="H817" s="629">
        <v>1</v>
      </c>
      <c r="I817" s="630">
        <v>1.66</v>
      </c>
      <c r="J817" s="630">
        <v>1.66</v>
      </c>
      <c r="K817"/>
    </row>
    <row r="818" spans="1:11" ht="0.95" customHeight="1">
      <c r="A818" s="626" t="s">
        <v>12709</v>
      </c>
      <c r="B818" s="627" t="s">
        <v>13467</v>
      </c>
      <c r="C818" s="626" t="s">
        <v>8</v>
      </c>
      <c r="D818" s="626" t="s">
        <v>9987</v>
      </c>
      <c r="E818" s="804" t="s">
        <v>12720</v>
      </c>
      <c r="F818" s="805"/>
      <c r="G818" s="628" t="s">
        <v>35</v>
      </c>
      <c r="H818" s="629">
        <v>3.5999999999999997E-2</v>
      </c>
      <c r="I818" s="630">
        <v>1.93</v>
      </c>
      <c r="J818" s="630">
        <v>0.06</v>
      </c>
      <c r="K818"/>
    </row>
    <row r="819" spans="1:11" ht="18" customHeight="1">
      <c r="A819" s="626" t="s">
        <v>12709</v>
      </c>
      <c r="B819" s="627" t="s">
        <v>13466</v>
      </c>
      <c r="C819" s="626" t="s">
        <v>8</v>
      </c>
      <c r="D819" s="626" t="s">
        <v>11315</v>
      </c>
      <c r="E819" s="804" t="s">
        <v>12720</v>
      </c>
      <c r="F819" s="805"/>
      <c r="G819" s="628" t="s">
        <v>35</v>
      </c>
      <c r="H819" s="629">
        <v>1.0999999999999999E-2</v>
      </c>
      <c r="I819" s="630">
        <v>69.42</v>
      </c>
      <c r="J819" s="630">
        <v>0.76</v>
      </c>
      <c r="K819"/>
    </row>
    <row r="820" spans="1:11" ht="36" customHeight="1">
      <c r="A820" s="631"/>
      <c r="B820" s="631"/>
      <c r="C820" s="631"/>
      <c r="D820" s="631"/>
      <c r="E820" s="631" t="s">
        <v>12714</v>
      </c>
      <c r="F820" s="632">
        <v>1.3190615201643421</v>
      </c>
      <c r="G820" s="631" t="s">
        <v>12715</v>
      </c>
      <c r="H820" s="632">
        <v>1.1200000000000001</v>
      </c>
      <c r="I820" s="631" t="s">
        <v>12716</v>
      </c>
      <c r="J820" s="632">
        <v>2.44</v>
      </c>
      <c r="K820"/>
    </row>
    <row r="821" spans="1:11" ht="24" customHeight="1" thickBot="1">
      <c r="A821" s="631"/>
      <c r="B821" s="631"/>
      <c r="C821" s="631"/>
      <c r="D821" s="631"/>
      <c r="E821" s="631" t="s">
        <v>12717</v>
      </c>
      <c r="F821" s="632">
        <v>1.85</v>
      </c>
      <c r="G821" s="631"/>
      <c r="H821" s="806" t="s">
        <v>12718</v>
      </c>
      <c r="I821" s="806"/>
      <c r="J821" s="632">
        <v>8.42</v>
      </c>
      <c r="K821"/>
    </row>
    <row r="822" spans="1:11" ht="24" customHeight="1" thickTop="1">
      <c r="A822" s="633"/>
      <c r="B822" s="633"/>
      <c r="C822" s="633"/>
      <c r="D822" s="633"/>
      <c r="E822" s="633"/>
      <c r="F822" s="633"/>
      <c r="G822" s="633"/>
      <c r="H822" s="633"/>
      <c r="I822" s="633"/>
      <c r="J822" s="633"/>
      <c r="K822"/>
    </row>
    <row r="823" spans="1:11" ht="24" customHeight="1">
      <c r="A823" s="613" t="s">
        <v>12827</v>
      </c>
      <c r="B823" s="614" t="s">
        <v>12698</v>
      </c>
      <c r="C823" s="613" t="s">
        <v>12699</v>
      </c>
      <c r="D823" s="613" t="s">
        <v>12700</v>
      </c>
      <c r="E823" s="807" t="s">
        <v>12701</v>
      </c>
      <c r="F823" s="808"/>
      <c r="G823" s="615" t="s">
        <v>12702</v>
      </c>
      <c r="H823" s="614" t="s">
        <v>12703</v>
      </c>
      <c r="I823" s="614" t="s">
        <v>12704</v>
      </c>
      <c r="J823" s="614" t="s">
        <v>12705</v>
      </c>
      <c r="K823"/>
    </row>
    <row r="824" spans="1:11" ht="24" customHeight="1">
      <c r="A824" s="616" t="s">
        <v>12706</v>
      </c>
      <c r="B824" s="617" t="s">
        <v>13530</v>
      </c>
      <c r="C824" s="616" t="s">
        <v>8</v>
      </c>
      <c r="D824" s="616" t="s">
        <v>384</v>
      </c>
      <c r="E824" s="809" t="s">
        <v>12819</v>
      </c>
      <c r="F824" s="810"/>
      <c r="G824" s="618" t="s">
        <v>35</v>
      </c>
      <c r="H824" s="619">
        <v>1</v>
      </c>
      <c r="I824" s="620">
        <v>8.6999999999999993</v>
      </c>
      <c r="J824" s="620">
        <v>8.6999999999999993</v>
      </c>
      <c r="K824"/>
    </row>
    <row r="825" spans="1:11" ht="24" customHeight="1">
      <c r="A825" s="621" t="s">
        <v>12708</v>
      </c>
      <c r="B825" s="622" t="s">
        <v>13187</v>
      </c>
      <c r="C825" s="621" t="s">
        <v>8</v>
      </c>
      <c r="D825" s="621" t="s">
        <v>1516</v>
      </c>
      <c r="E825" s="811" t="s">
        <v>12707</v>
      </c>
      <c r="F825" s="812"/>
      <c r="G825" s="623" t="s">
        <v>23</v>
      </c>
      <c r="H825" s="624">
        <v>8.8999999999999996E-2</v>
      </c>
      <c r="I825" s="625">
        <v>13.87</v>
      </c>
      <c r="J825" s="625">
        <v>1.23</v>
      </c>
      <c r="K825"/>
    </row>
    <row r="826" spans="1:11" ht="24" customHeight="1">
      <c r="A826" s="621" t="s">
        <v>12708</v>
      </c>
      <c r="B826" s="622" t="s">
        <v>12981</v>
      </c>
      <c r="C826" s="621" t="s">
        <v>8</v>
      </c>
      <c r="D826" s="621" t="s">
        <v>50</v>
      </c>
      <c r="E826" s="811" t="s">
        <v>12707</v>
      </c>
      <c r="F826" s="812"/>
      <c r="G826" s="623" t="s">
        <v>23</v>
      </c>
      <c r="H826" s="624">
        <v>8.8999999999999996E-2</v>
      </c>
      <c r="I826" s="625">
        <v>17.79</v>
      </c>
      <c r="J826" s="625">
        <v>1.58</v>
      </c>
      <c r="K826"/>
    </row>
    <row r="827" spans="1:11">
      <c r="A827" s="626" t="s">
        <v>12709</v>
      </c>
      <c r="B827" s="627" t="s">
        <v>13468</v>
      </c>
      <c r="C827" s="626" t="s">
        <v>8</v>
      </c>
      <c r="D827" s="626" t="s">
        <v>7343</v>
      </c>
      <c r="E827" s="804" t="s">
        <v>12720</v>
      </c>
      <c r="F827" s="805"/>
      <c r="G827" s="628" t="s">
        <v>35</v>
      </c>
      <c r="H827" s="629">
        <v>1.2E-2</v>
      </c>
      <c r="I827" s="630">
        <v>79.94</v>
      </c>
      <c r="J827" s="630">
        <v>0.95</v>
      </c>
      <c r="K827"/>
    </row>
    <row r="828" spans="1:11" ht="15" customHeight="1">
      <c r="A828" s="626" t="s">
        <v>12709</v>
      </c>
      <c r="B828" s="627" t="s">
        <v>13529</v>
      </c>
      <c r="C828" s="626" t="s">
        <v>8</v>
      </c>
      <c r="D828" s="626" t="s">
        <v>9764</v>
      </c>
      <c r="E828" s="804" t="s">
        <v>12720</v>
      </c>
      <c r="F828" s="805"/>
      <c r="G828" s="628" t="s">
        <v>35</v>
      </c>
      <c r="H828" s="629">
        <v>1</v>
      </c>
      <c r="I828" s="630">
        <v>3.94</v>
      </c>
      <c r="J828" s="630">
        <v>3.94</v>
      </c>
      <c r="K828"/>
    </row>
    <row r="829" spans="1:11" ht="0.95" customHeight="1">
      <c r="A829" s="626" t="s">
        <v>12709</v>
      </c>
      <c r="B829" s="627" t="s">
        <v>13467</v>
      </c>
      <c r="C829" s="626" t="s">
        <v>8</v>
      </c>
      <c r="D829" s="626" t="s">
        <v>9987</v>
      </c>
      <c r="E829" s="804" t="s">
        <v>12720</v>
      </c>
      <c r="F829" s="805"/>
      <c r="G829" s="628" t="s">
        <v>35</v>
      </c>
      <c r="H829" s="629">
        <v>0.02</v>
      </c>
      <c r="I829" s="630">
        <v>1.93</v>
      </c>
      <c r="J829" s="630">
        <v>0.03</v>
      </c>
      <c r="K829"/>
    </row>
    <row r="830" spans="1:11" ht="18" customHeight="1">
      <c r="A830" s="626" t="s">
        <v>12709</v>
      </c>
      <c r="B830" s="627" t="s">
        <v>13466</v>
      </c>
      <c r="C830" s="626" t="s">
        <v>8</v>
      </c>
      <c r="D830" s="626" t="s">
        <v>11315</v>
      </c>
      <c r="E830" s="804" t="s">
        <v>12720</v>
      </c>
      <c r="F830" s="805"/>
      <c r="G830" s="628" t="s">
        <v>35</v>
      </c>
      <c r="H830" s="629">
        <v>1.4E-2</v>
      </c>
      <c r="I830" s="630">
        <v>69.42</v>
      </c>
      <c r="J830" s="630">
        <v>0.97</v>
      </c>
      <c r="K830"/>
    </row>
    <row r="831" spans="1:11" ht="36" customHeight="1">
      <c r="A831" s="631"/>
      <c r="B831" s="631"/>
      <c r="C831" s="631"/>
      <c r="D831" s="631"/>
      <c r="E831" s="631" t="s">
        <v>12714</v>
      </c>
      <c r="F831" s="632">
        <v>1.0974159368580387</v>
      </c>
      <c r="G831" s="631" t="s">
        <v>12715</v>
      </c>
      <c r="H831" s="632">
        <v>0.93</v>
      </c>
      <c r="I831" s="631" t="s">
        <v>12716</v>
      </c>
      <c r="J831" s="632">
        <v>2.0299999999999998</v>
      </c>
      <c r="K831"/>
    </row>
    <row r="832" spans="1:11" ht="24" customHeight="1" thickBot="1">
      <c r="A832" s="631"/>
      <c r="B832" s="631"/>
      <c r="C832" s="631"/>
      <c r="D832" s="631"/>
      <c r="E832" s="631" t="s">
        <v>12717</v>
      </c>
      <c r="F832" s="632">
        <v>2.4500000000000002</v>
      </c>
      <c r="G832" s="631"/>
      <c r="H832" s="806" t="s">
        <v>12718</v>
      </c>
      <c r="I832" s="806"/>
      <c r="J832" s="632">
        <v>11.15</v>
      </c>
      <c r="K832"/>
    </row>
    <row r="833" spans="1:11" ht="24" customHeight="1" thickTop="1">
      <c r="A833" s="633"/>
      <c r="B833" s="633"/>
      <c r="C833" s="633"/>
      <c r="D833" s="633"/>
      <c r="E833" s="633"/>
      <c r="F833" s="633"/>
      <c r="G833" s="633"/>
      <c r="H833" s="633"/>
      <c r="I833" s="633"/>
      <c r="J833" s="633"/>
      <c r="K833"/>
    </row>
    <row r="834" spans="1:11" ht="24" customHeight="1">
      <c r="A834" s="613" t="s">
        <v>12828</v>
      </c>
      <c r="B834" s="614" t="s">
        <v>12698</v>
      </c>
      <c r="C834" s="613" t="s">
        <v>12699</v>
      </c>
      <c r="D834" s="613" t="s">
        <v>12700</v>
      </c>
      <c r="E834" s="807" t="s">
        <v>12701</v>
      </c>
      <c r="F834" s="808"/>
      <c r="G834" s="615" t="s">
        <v>12702</v>
      </c>
      <c r="H834" s="614" t="s">
        <v>12703</v>
      </c>
      <c r="I834" s="614" t="s">
        <v>12704</v>
      </c>
      <c r="J834" s="614" t="s">
        <v>12705</v>
      </c>
      <c r="K834"/>
    </row>
    <row r="835" spans="1:11" ht="24" customHeight="1">
      <c r="A835" s="616" t="s">
        <v>12706</v>
      </c>
      <c r="B835" s="617" t="s">
        <v>13528</v>
      </c>
      <c r="C835" s="616" t="s">
        <v>8</v>
      </c>
      <c r="D835" s="616" t="s">
        <v>388</v>
      </c>
      <c r="E835" s="809" t="s">
        <v>12819</v>
      </c>
      <c r="F835" s="810"/>
      <c r="G835" s="618" t="s">
        <v>35</v>
      </c>
      <c r="H835" s="619">
        <v>1</v>
      </c>
      <c r="I835" s="620">
        <v>10.66</v>
      </c>
      <c r="J835" s="620">
        <v>10.66</v>
      </c>
      <c r="K835"/>
    </row>
    <row r="836" spans="1:11" ht="24" customHeight="1">
      <c r="A836" s="621" t="s">
        <v>12708</v>
      </c>
      <c r="B836" s="622" t="s">
        <v>13187</v>
      </c>
      <c r="C836" s="621" t="s">
        <v>8</v>
      </c>
      <c r="D836" s="621" t="s">
        <v>1516</v>
      </c>
      <c r="E836" s="811" t="s">
        <v>12707</v>
      </c>
      <c r="F836" s="812"/>
      <c r="G836" s="623" t="s">
        <v>23</v>
      </c>
      <c r="H836" s="624">
        <v>0.108</v>
      </c>
      <c r="I836" s="625">
        <v>13.87</v>
      </c>
      <c r="J836" s="625">
        <v>1.49</v>
      </c>
      <c r="K836"/>
    </row>
    <row r="837" spans="1:11" ht="24" customHeight="1">
      <c r="A837" s="621" t="s">
        <v>12708</v>
      </c>
      <c r="B837" s="622" t="s">
        <v>12981</v>
      </c>
      <c r="C837" s="621" t="s">
        <v>8</v>
      </c>
      <c r="D837" s="621" t="s">
        <v>50</v>
      </c>
      <c r="E837" s="811" t="s">
        <v>12707</v>
      </c>
      <c r="F837" s="812"/>
      <c r="G837" s="623" t="s">
        <v>23</v>
      </c>
      <c r="H837" s="624">
        <v>0.108</v>
      </c>
      <c r="I837" s="625">
        <v>17.79</v>
      </c>
      <c r="J837" s="625">
        <v>1.92</v>
      </c>
      <c r="K837"/>
    </row>
    <row r="838" spans="1:11">
      <c r="A838" s="626" t="s">
        <v>12709</v>
      </c>
      <c r="B838" s="627" t="s">
        <v>13468</v>
      </c>
      <c r="C838" s="626" t="s">
        <v>8</v>
      </c>
      <c r="D838" s="626" t="s">
        <v>7343</v>
      </c>
      <c r="E838" s="804" t="s">
        <v>12720</v>
      </c>
      <c r="F838" s="805"/>
      <c r="G838" s="628" t="s">
        <v>35</v>
      </c>
      <c r="H838" s="629">
        <v>1.7999999999999999E-2</v>
      </c>
      <c r="I838" s="630">
        <v>79.94</v>
      </c>
      <c r="J838" s="630">
        <v>1.43</v>
      </c>
      <c r="K838"/>
    </row>
    <row r="839" spans="1:11" ht="15" customHeight="1">
      <c r="A839" s="626" t="s">
        <v>12709</v>
      </c>
      <c r="B839" s="627" t="s">
        <v>13527</v>
      </c>
      <c r="C839" s="626" t="s">
        <v>8</v>
      </c>
      <c r="D839" s="626" t="s">
        <v>9765</v>
      </c>
      <c r="E839" s="804" t="s">
        <v>12720</v>
      </c>
      <c r="F839" s="805"/>
      <c r="G839" s="628" t="s">
        <v>35</v>
      </c>
      <c r="H839" s="629">
        <v>1</v>
      </c>
      <c r="I839" s="630">
        <v>4.26</v>
      </c>
      <c r="J839" s="630">
        <v>4.26</v>
      </c>
      <c r="K839"/>
    </row>
    <row r="840" spans="1:11" ht="0.95" customHeight="1">
      <c r="A840" s="626" t="s">
        <v>12709</v>
      </c>
      <c r="B840" s="627" t="s">
        <v>13467</v>
      </c>
      <c r="C840" s="626" t="s">
        <v>8</v>
      </c>
      <c r="D840" s="626" t="s">
        <v>9987</v>
      </c>
      <c r="E840" s="804" t="s">
        <v>12720</v>
      </c>
      <c r="F840" s="805"/>
      <c r="G840" s="628" t="s">
        <v>35</v>
      </c>
      <c r="H840" s="629">
        <v>2.4E-2</v>
      </c>
      <c r="I840" s="630">
        <v>1.93</v>
      </c>
      <c r="J840" s="630">
        <v>0.04</v>
      </c>
      <c r="K840"/>
    </row>
    <row r="841" spans="1:11" ht="18" customHeight="1">
      <c r="A841" s="626" t="s">
        <v>12709</v>
      </c>
      <c r="B841" s="627" t="s">
        <v>13466</v>
      </c>
      <c r="C841" s="626" t="s">
        <v>8</v>
      </c>
      <c r="D841" s="626" t="s">
        <v>11315</v>
      </c>
      <c r="E841" s="804" t="s">
        <v>12720</v>
      </c>
      <c r="F841" s="805"/>
      <c r="G841" s="628" t="s">
        <v>35</v>
      </c>
      <c r="H841" s="629">
        <v>2.1999999999999999E-2</v>
      </c>
      <c r="I841" s="630">
        <v>69.42</v>
      </c>
      <c r="J841" s="630">
        <v>1.52</v>
      </c>
      <c r="K841"/>
    </row>
    <row r="842" spans="1:11" ht="36" customHeight="1">
      <c r="A842" s="631"/>
      <c r="B842" s="631"/>
      <c r="C842" s="631"/>
      <c r="D842" s="631"/>
      <c r="E842" s="631" t="s">
        <v>12714</v>
      </c>
      <c r="F842" s="632">
        <v>1.3298734998378203</v>
      </c>
      <c r="G842" s="631" t="s">
        <v>12715</v>
      </c>
      <c r="H842" s="632">
        <v>1.1299999999999999</v>
      </c>
      <c r="I842" s="631" t="s">
        <v>12716</v>
      </c>
      <c r="J842" s="632">
        <v>2.46</v>
      </c>
      <c r="K842"/>
    </row>
    <row r="843" spans="1:11" ht="24" customHeight="1" thickBot="1">
      <c r="A843" s="631"/>
      <c r="B843" s="631"/>
      <c r="C843" s="631"/>
      <c r="D843" s="631"/>
      <c r="E843" s="631" t="s">
        <v>12717</v>
      </c>
      <c r="F843" s="632">
        <v>3.01</v>
      </c>
      <c r="G843" s="631"/>
      <c r="H843" s="806" t="s">
        <v>12718</v>
      </c>
      <c r="I843" s="806"/>
      <c r="J843" s="632">
        <v>13.67</v>
      </c>
      <c r="K843"/>
    </row>
    <row r="844" spans="1:11" ht="24" customHeight="1" thickTop="1">
      <c r="A844" s="633"/>
      <c r="B844" s="633"/>
      <c r="C844" s="633"/>
      <c r="D844" s="633"/>
      <c r="E844" s="633"/>
      <c r="F844" s="633"/>
      <c r="G844" s="633"/>
      <c r="H844" s="633"/>
      <c r="I844" s="633"/>
      <c r="J844" s="633"/>
      <c r="K844"/>
    </row>
    <row r="845" spans="1:11" ht="24" customHeight="1">
      <c r="A845" s="613" t="s">
        <v>12829</v>
      </c>
      <c r="B845" s="614" t="s">
        <v>12698</v>
      </c>
      <c r="C845" s="613" t="s">
        <v>12699</v>
      </c>
      <c r="D845" s="613" t="s">
        <v>12700</v>
      </c>
      <c r="E845" s="807" t="s">
        <v>12701</v>
      </c>
      <c r="F845" s="808"/>
      <c r="G845" s="615" t="s">
        <v>12702</v>
      </c>
      <c r="H845" s="614" t="s">
        <v>12703</v>
      </c>
      <c r="I845" s="614" t="s">
        <v>12704</v>
      </c>
      <c r="J845" s="614" t="s">
        <v>12705</v>
      </c>
      <c r="K845"/>
    </row>
    <row r="846" spans="1:11" ht="24" customHeight="1">
      <c r="A846" s="616" t="s">
        <v>12706</v>
      </c>
      <c r="B846" s="617" t="s">
        <v>13526</v>
      </c>
      <c r="C846" s="616" t="s">
        <v>8</v>
      </c>
      <c r="D846" s="616" t="s">
        <v>392</v>
      </c>
      <c r="E846" s="809" t="s">
        <v>12819</v>
      </c>
      <c r="F846" s="810"/>
      <c r="G846" s="618" t="s">
        <v>35</v>
      </c>
      <c r="H846" s="619">
        <v>1</v>
      </c>
      <c r="I846" s="620">
        <v>26.57</v>
      </c>
      <c r="J846" s="620">
        <v>26.57</v>
      </c>
      <c r="K846"/>
    </row>
    <row r="847" spans="1:11" ht="24" customHeight="1">
      <c r="A847" s="621" t="s">
        <v>12708</v>
      </c>
      <c r="B847" s="622" t="s">
        <v>13187</v>
      </c>
      <c r="C847" s="621" t="s">
        <v>8</v>
      </c>
      <c r="D847" s="621" t="s">
        <v>1516</v>
      </c>
      <c r="E847" s="811" t="s">
        <v>12707</v>
      </c>
      <c r="F847" s="812"/>
      <c r="G847" s="623" t="s">
        <v>23</v>
      </c>
      <c r="H847" s="624">
        <v>0.128</v>
      </c>
      <c r="I847" s="625">
        <v>13.87</v>
      </c>
      <c r="J847" s="625">
        <v>1.77</v>
      </c>
      <c r="K847"/>
    </row>
    <row r="848" spans="1:11" ht="24" customHeight="1">
      <c r="A848" s="621" t="s">
        <v>12708</v>
      </c>
      <c r="B848" s="622" t="s">
        <v>12981</v>
      </c>
      <c r="C848" s="621" t="s">
        <v>8</v>
      </c>
      <c r="D848" s="621" t="s">
        <v>50</v>
      </c>
      <c r="E848" s="811" t="s">
        <v>12707</v>
      </c>
      <c r="F848" s="812"/>
      <c r="G848" s="623" t="s">
        <v>23</v>
      </c>
      <c r="H848" s="624">
        <v>0.128</v>
      </c>
      <c r="I848" s="625">
        <v>17.79</v>
      </c>
      <c r="J848" s="625">
        <v>2.27</v>
      </c>
      <c r="K848"/>
    </row>
    <row r="849" spans="1:11">
      <c r="A849" s="626" t="s">
        <v>12709</v>
      </c>
      <c r="B849" s="627" t="s">
        <v>13468</v>
      </c>
      <c r="C849" s="626" t="s">
        <v>8</v>
      </c>
      <c r="D849" s="626" t="s">
        <v>7343</v>
      </c>
      <c r="E849" s="804" t="s">
        <v>12720</v>
      </c>
      <c r="F849" s="805"/>
      <c r="G849" s="628" t="s">
        <v>35</v>
      </c>
      <c r="H849" s="629">
        <v>2.4E-2</v>
      </c>
      <c r="I849" s="630">
        <v>79.94</v>
      </c>
      <c r="J849" s="630">
        <v>1.91</v>
      </c>
      <c r="K849"/>
    </row>
    <row r="850" spans="1:11" ht="15" customHeight="1">
      <c r="A850" s="626" t="s">
        <v>12709</v>
      </c>
      <c r="B850" s="627" t="s">
        <v>13525</v>
      </c>
      <c r="C850" s="626" t="s">
        <v>8</v>
      </c>
      <c r="D850" s="626" t="s">
        <v>9766</v>
      </c>
      <c r="E850" s="804" t="s">
        <v>12720</v>
      </c>
      <c r="F850" s="805"/>
      <c r="G850" s="628" t="s">
        <v>35</v>
      </c>
      <c r="H850" s="629">
        <v>1</v>
      </c>
      <c r="I850" s="630">
        <v>18.489999999999998</v>
      </c>
      <c r="J850" s="630">
        <v>18.489999999999998</v>
      </c>
      <c r="K850"/>
    </row>
    <row r="851" spans="1:11" ht="0.95" customHeight="1">
      <c r="A851" s="626" t="s">
        <v>12709</v>
      </c>
      <c r="B851" s="627" t="s">
        <v>13467</v>
      </c>
      <c r="C851" s="626" t="s">
        <v>8</v>
      </c>
      <c r="D851" s="626" t="s">
        <v>9987</v>
      </c>
      <c r="E851" s="804" t="s">
        <v>12720</v>
      </c>
      <c r="F851" s="805"/>
      <c r="G851" s="628" t="s">
        <v>35</v>
      </c>
      <c r="H851" s="629">
        <v>2.8000000000000001E-2</v>
      </c>
      <c r="I851" s="630">
        <v>1.93</v>
      </c>
      <c r="J851" s="630">
        <v>0.05</v>
      </c>
      <c r="K851"/>
    </row>
    <row r="852" spans="1:11" ht="18" customHeight="1">
      <c r="A852" s="626" t="s">
        <v>12709</v>
      </c>
      <c r="B852" s="627" t="s">
        <v>13466</v>
      </c>
      <c r="C852" s="626" t="s">
        <v>8</v>
      </c>
      <c r="D852" s="626" t="s">
        <v>11315</v>
      </c>
      <c r="E852" s="804" t="s">
        <v>12720</v>
      </c>
      <c r="F852" s="805"/>
      <c r="G852" s="628" t="s">
        <v>35</v>
      </c>
      <c r="H852" s="629">
        <v>0.03</v>
      </c>
      <c r="I852" s="630">
        <v>69.42</v>
      </c>
      <c r="J852" s="630">
        <v>2.08</v>
      </c>
      <c r="K852"/>
    </row>
    <row r="853" spans="1:11" ht="24" customHeight="1">
      <c r="A853" s="631"/>
      <c r="B853" s="631"/>
      <c r="C853" s="631"/>
      <c r="D853" s="631"/>
      <c r="E853" s="631" t="s">
        <v>12714</v>
      </c>
      <c r="F853" s="632">
        <v>1.5785490323278193</v>
      </c>
      <c r="G853" s="631" t="s">
        <v>12715</v>
      </c>
      <c r="H853" s="632">
        <v>1.34</v>
      </c>
      <c r="I853" s="631" t="s">
        <v>12716</v>
      </c>
      <c r="J853" s="632">
        <v>2.92</v>
      </c>
      <c r="K853"/>
    </row>
    <row r="854" spans="1:11" ht="24" customHeight="1" thickBot="1">
      <c r="A854" s="631"/>
      <c r="B854" s="631"/>
      <c r="C854" s="631"/>
      <c r="D854" s="631"/>
      <c r="E854" s="631" t="s">
        <v>12717</v>
      </c>
      <c r="F854" s="632">
        <v>7.5</v>
      </c>
      <c r="G854" s="631"/>
      <c r="H854" s="806" t="s">
        <v>12718</v>
      </c>
      <c r="I854" s="806"/>
      <c r="J854" s="632">
        <v>34.07</v>
      </c>
      <c r="K854"/>
    </row>
    <row r="855" spans="1:11" ht="24" customHeight="1" thickTop="1">
      <c r="A855" s="633"/>
      <c r="B855" s="633"/>
      <c r="C855" s="633"/>
      <c r="D855" s="633"/>
      <c r="E855" s="633"/>
      <c r="F855" s="633"/>
      <c r="G855" s="633"/>
      <c r="H855" s="633"/>
      <c r="I855" s="633"/>
      <c r="J855" s="633"/>
      <c r="K855"/>
    </row>
    <row r="856" spans="1:11" ht="24" customHeight="1">
      <c r="A856" s="613" t="s">
        <v>12830</v>
      </c>
      <c r="B856" s="614" t="s">
        <v>12698</v>
      </c>
      <c r="C856" s="613" t="s">
        <v>12699</v>
      </c>
      <c r="D856" s="613" t="s">
        <v>12700</v>
      </c>
      <c r="E856" s="807" t="s">
        <v>12701</v>
      </c>
      <c r="F856" s="808"/>
      <c r="G856" s="615" t="s">
        <v>12702</v>
      </c>
      <c r="H856" s="614" t="s">
        <v>12703</v>
      </c>
      <c r="I856" s="614" t="s">
        <v>12704</v>
      </c>
      <c r="J856" s="614" t="s">
        <v>12705</v>
      </c>
      <c r="K856"/>
    </row>
    <row r="857" spans="1:11" ht="25.5" customHeight="1">
      <c r="A857" s="616" t="s">
        <v>12706</v>
      </c>
      <c r="B857" s="617" t="s">
        <v>13524</v>
      </c>
      <c r="C857" s="616" t="s">
        <v>8</v>
      </c>
      <c r="D857" s="616" t="s">
        <v>1792</v>
      </c>
      <c r="E857" s="809" t="s">
        <v>12819</v>
      </c>
      <c r="F857" s="810"/>
      <c r="G857" s="618" t="s">
        <v>17</v>
      </c>
      <c r="H857" s="619">
        <v>1</v>
      </c>
      <c r="I857" s="620">
        <v>3.49</v>
      </c>
      <c r="J857" s="620">
        <v>3.49</v>
      </c>
      <c r="K857"/>
    </row>
    <row r="858" spans="1:11" ht="15" customHeight="1">
      <c r="A858" s="621" t="s">
        <v>12708</v>
      </c>
      <c r="B858" s="622" t="s">
        <v>13187</v>
      </c>
      <c r="C858" s="621" t="s">
        <v>8</v>
      </c>
      <c r="D858" s="621" t="s">
        <v>1516</v>
      </c>
      <c r="E858" s="811" t="s">
        <v>12707</v>
      </c>
      <c r="F858" s="812"/>
      <c r="G858" s="623" t="s">
        <v>23</v>
      </c>
      <c r="H858" s="624">
        <v>1.6E-2</v>
      </c>
      <c r="I858" s="625">
        <v>13.87</v>
      </c>
      <c r="J858" s="625">
        <v>0.22</v>
      </c>
      <c r="K858"/>
    </row>
    <row r="859" spans="1:11" ht="0.95" customHeight="1">
      <c r="A859" s="621" t="s">
        <v>12708</v>
      </c>
      <c r="B859" s="622" t="s">
        <v>12981</v>
      </c>
      <c r="C859" s="621" t="s">
        <v>8</v>
      </c>
      <c r="D859" s="621" t="s">
        <v>50</v>
      </c>
      <c r="E859" s="811" t="s">
        <v>12707</v>
      </c>
      <c r="F859" s="812"/>
      <c r="G859" s="623" t="s">
        <v>23</v>
      </c>
      <c r="H859" s="624">
        <v>1.6E-2</v>
      </c>
      <c r="I859" s="625">
        <v>17.79</v>
      </c>
      <c r="J859" s="625">
        <v>0.28000000000000003</v>
      </c>
      <c r="K859"/>
    </row>
    <row r="860" spans="1:11" ht="18" customHeight="1">
      <c r="A860" s="626" t="s">
        <v>12709</v>
      </c>
      <c r="B860" s="627" t="s">
        <v>13523</v>
      </c>
      <c r="C860" s="626" t="s">
        <v>8</v>
      </c>
      <c r="D860" s="626" t="s">
        <v>12188</v>
      </c>
      <c r="E860" s="804" t="s">
        <v>12720</v>
      </c>
      <c r="F860" s="805"/>
      <c r="G860" s="628" t="s">
        <v>17</v>
      </c>
      <c r="H860" s="629">
        <v>1.0609999999999999</v>
      </c>
      <c r="I860" s="630">
        <v>2.82</v>
      </c>
      <c r="J860" s="630">
        <v>2.99</v>
      </c>
      <c r="K860"/>
    </row>
    <row r="861" spans="1:11" ht="24" customHeight="1">
      <c r="A861" s="631"/>
      <c r="B861" s="631"/>
      <c r="C861" s="631"/>
      <c r="D861" s="631"/>
      <c r="E861" s="631" t="s">
        <v>12714</v>
      </c>
      <c r="F861" s="632">
        <v>0.19461563412260785</v>
      </c>
      <c r="G861" s="631" t="s">
        <v>12715</v>
      </c>
      <c r="H861" s="632">
        <v>0.17</v>
      </c>
      <c r="I861" s="631" t="s">
        <v>12716</v>
      </c>
      <c r="J861" s="632">
        <v>0.36</v>
      </c>
      <c r="K861"/>
    </row>
    <row r="862" spans="1:11" ht="24" customHeight="1" thickBot="1">
      <c r="A862" s="631"/>
      <c r="B862" s="631"/>
      <c r="C862" s="631"/>
      <c r="D862" s="631"/>
      <c r="E862" s="631" t="s">
        <v>12717</v>
      </c>
      <c r="F862" s="632">
        <v>0.98</v>
      </c>
      <c r="G862" s="631"/>
      <c r="H862" s="806" t="s">
        <v>12718</v>
      </c>
      <c r="I862" s="806"/>
      <c r="J862" s="632">
        <v>4.47</v>
      </c>
      <c r="K862"/>
    </row>
    <row r="863" spans="1:11" ht="24" customHeight="1" thickTop="1">
      <c r="A863" s="633"/>
      <c r="B863" s="633"/>
      <c r="C863" s="633"/>
      <c r="D863" s="633"/>
      <c r="E863" s="633"/>
      <c r="F863" s="633"/>
      <c r="G863" s="633"/>
      <c r="H863" s="633"/>
      <c r="I863" s="633"/>
      <c r="J863" s="633"/>
      <c r="K863"/>
    </row>
    <row r="864" spans="1:11" ht="24" customHeight="1">
      <c r="A864" s="613" t="s">
        <v>12831</v>
      </c>
      <c r="B864" s="614" t="s">
        <v>12698</v>
      </c>
      <c r="C864" s="613" t="s">
        <v>12699</v>
      </c>
      <c r="D864" s="613" t="s">
        <v>12700</v>
      </c>
      <c r="E864" s="807" t="s">
        <v>12701</v>
      </c>
      <c r="F864" s="808"/>
      <c r="G864" s="615" t="s">
        <v>12702</v>
      </c>
      <c r="H864" s="614" t="s">
        <v>12703</v>
      </c>
      <c r="I864" s="614" t="s">
        <v>12704</v>
      </c>
      <c r="J864" s="614" t="s">
        <v>12705</v>
      </c>
      <c r="K864"/>
    </row>
    <row r="865" spans="1:11" ht="25.5" customHeight="1">
      <c r="A865" s="616" t="s">
        <v>12706</v>
      </c>
      <c r="B865" s="617" t="s">
        <v>13522</v>
      </c>
      <c r="C865" s="616" t="s">
        <v>8</v>
      </c>
      <c r="D865" s="616" t="s">
        <v>1793</v>
      </c>
      <c r="E865" s="809" t="s">
        <v>12819</v>
      </c>
      <c r="F865" s="810"/>
      <c r="G865" s="618" t="s">
        <v>17</v>
      </c>
      <c r="H865" s="619">
        <v>1</v>
      </c>
      <c r="I865" s="620">
        <v>7.33</v>
      </c>
      <c r="J865" s="620">
        <v>7.33</v>
      </c>
      <c r="K865"/>
    </row>
    <row r="866" spans="1:11" ht="15" customHeight="1">
      <c r="A866" s="621" t="s">
        <v>12708</v>
      </c>
      <c r="B866" s="622" t="s">
        <v>13187</v>
      </c>
      <c r="C866" s="621" t="s">
        <v>8</v>
      </c>
      <c r="D866" s="621" t="s">
        <v>1516</v>
      </c>
      <c r="E866" s="811" t="s">
        <v>12707</v>
      </c>
      <c r="F866" s="812"/>
      <c r="G866" s="623" t="s">
        <v>23</v>
      </c>
      <c r="H866" s="624">
        <v>0.02</v>
      </c>
      <c r="I866" s="625">
        <v>13.87</v>
      </c>
      <c r="J866" s="625">
        <v>0.27</v>
      </c>
      <c r="K866"/>
    </row>
    <row r="867" spans="1:11" ht="0.95" customHeight="1">
      <c r="A867" s="621" t="s">
        <v>12708</v>
      </c>
      <c r="B867" s="622" t="s">
        <v>12981</v>
      </c>
      <c r="C867" s="621" t="s">
        <v>8</v>
      </c>
      <c r="D867" s="621" t="s">
        <v>50</v>
      </c>
      <c r="E867" s="811" t="s">
        <v>12707</v>
      </c>
      <c r="F867" s="812"/>
      <c r="G867" s="623" t="s">
        <v>23</v>
      </c>
      <c r="H867" s="624">
        <v>0.02</v>
      </c>
      <c r="I867" s="625">
        <v>17.79</v>
      </c>
      <c r="J867" s="625">
        <v>0.35</v>
      </c>
      <c r="K867"/>
    </row>
    <row r="868" spans="1:11" ht="18" customHeight="1">
      <c r="A868" s="626" t="s">
        <v>12709</v>
      </c>
      <c r="B868" s="627" t="s">
        <v>13521</v>
      </c>
      <c r="C868" s="626" t="s">
        <v>8</v>
      </c>
      <c r="D868" s="626" t="s">
        <v>12189</v>
      </c>
      <c r="E868" s="804" t="s">
        <v>12720</v>
      </c>
      <c r="F868" s="805"/>
      <c r="G868" s="628" t="s">
        <v>17</v>
      </c>
      <c r="H868" s="629">
        <v>1.0609999999999999</v>
      </c>
      <c r="I868" s="630">
        <v>6.33</v>
      </c>
      <c r="J868" s="630">
        <v>6.71</v>
      </c>
      <c r="K868"/>
    </row>
    <row r="869" spans="1:11" ht="24" customHeight="1">
      <c r="A869" s="631"/>
      <c r="B869" s="631"/>
      <c r="C869" s="631"/>
      <c r="D869" s="631"/>
      <c r="E869" s="631" t="s">
        <v>12714</v>
      </c>
      <c r="F869" s="632">
        <v>0.23786355281652072</v>
      </c>
      <c r="G869" s="631" t="s">
        <v>12715</v>
      </c>
      <c r="H869" s="632">
        <v>0.2</v>
      </c>
      <c r="I869" s="631" t="s">
        <v>12716</v>
      </c>
      <c r="J869" s="632">
        <v>0.44</v>
      </c>
      <c r="K869"/>
    </row>
    <row r="870" spans="1:11" ht="24" customHeight="1" thickBot="1">
      <c r="A870" s="631"/>
      <c r="B870" s="631"/>
      <c r="C870" s="631"/>
      <c r="D870" s="631"/>
      <c r="E870" s="631" t="s">
        <v>12717</v>
      </c>
      <c r="F870" s="632">
        <v>2.06</v>
      </c>
      <c r="G870" s="631"/>
      <c r="H870" s="806" t="s">
        <v>12718</v>
      </c>
      <c r="I870" s="806"/>
      <c r="J870" s="632">
        <v>9.39</v>
      </c>
      <c r="K870"/>
    </row>
    <row r="871" spans="1:11" ht="24" customHeight="1" thickTop="1">
      <c r="A871" s="633"/>
      <c r="B871" s="633"/>
      <c r="C871" s="633"/>
      <c r="D871" s="633"/>
      <c r="E871" s="633"/>
      <c r="F871" s="633"/>
      <c r="G871" s="633"/>
      <c r="H871" s="633"/>
      <c r="I871" s="633"/>
      <c r="J871" s="633"/>
      <c r="K871"/>
    </row>
    <row r="872" spans="1:11" ht="24" customHeight="1">
      <c r="A872" s="613" t="s">
        <v>12832</v>
      </c>
      <c r="B872" s="614" t="s">
        <v>12698</v>
      </c>
      <c r="C872" s="613" t="s">
        <v>12699</v>
      </c>
      <c r="D872" s="613" t="s">
        <v>12700</v>
      </c>
      <c r="E872" s="807" t="s">
        <v>12701</v>
      </c>
      <c r="F872" s="808"/>
      <c r="G872" s="615" t="s">
        <v>12702</v>
      </c>
      <c r="H872" s="614" t="s">
        <v>12703</v>
      </c>
      <c r="I872" s="614" t="s">
        <v>12704</v>
      </c>
      <c r="J872" s="614" t="s">
        <v>12705</v>
      </c>
      <c r="K872"/>
    </row>
    <row r="873" spans="1:11" ht="24" customHeight="1">
      <c r="A873" s="616" t="s">
        <v>12706</v>
      </c>
      <c r="B873" s="617" t="s">
        <v>13520</v>
      </c>
      <c r="C873" s="616" t="s">
        <v>8</v>
      </c>
      <c r="D873" s="616" t="s">
        <v>1794</v>
      </c>
      <c r="E873" s="809" t="s">
        <v>12819</v>
      </c>
      <c r="F873" s="810"/>
      <c r="G873" s="618" t="s">
        <v>17</v>
      </c>
      <c r="H873" s="619">
        <v>1</v>
      </c>
      <c r="I873" s="620">
        <v>10.54</v>
      </c>
      <c r="J873" s="620">
        <v>10.54</v>
      </c>
      <c r="K873"/>
    </row>
    <row r="874" spans="1:11" ht="25.5">
      <c r="A874" s="621" t="s">
        <v>12708</v>
      </c>
      <c r="B874" s="622" t="s">
        <v>13187</v>
      </c>
      <c r="C874" s="621" t="s">
        <v>8</v>
      </c>
      <c r="D874" s="621" t="s">
        <v>1516</v>
      </c>
      <c r="E874" s="811" t="s">
        <v>12707</v>
      </c>
      <c r="F874" s="812"/>
      <c r="G874" s="623" t="s">
        <v>23</v>
      </c>
      <c r="H874" s="624">
        <v>2.4E-2</v>
      </c>
      <c r="I874" s="625">
        <v>13.87</v>
      </c>
      <c r="J874" s="625">
        <v>0.33</v>
      </c>
      <c r="K874"/>
    </row>
    <row r="875" spans="1:11" ht="15" customHeight="1">
      <c r="A875" s="621" t="s">
        <v>12708</v>
      </c>
      <c r="B875" s="622" t="s">
        <v>12981</v>
      </c>
      <c r="C875" s="621" t="s">
        <v>8</v>
      </c>
      <c r="D875" s="621" t="s">
        <v>50</v>
      </c>
      <c r="E875" s="811" t="s">
        <v>12707</v>
      </c>
      <c r="F875" s="812"/>
      <c r="G875" s="623" t="s">
        <v>23</v>
      </c>
      <c r="H875" s="624">
        <v>2.4E-2</v>
      </c>
      <c r="I875" s="625">
        <v>17.79</v>
      </c>
      <c r="J875" s="625">
        <v>0.42</v>
      </c>
      <c r="K875"/>
    </row>
    <row r="876" spans="1:11" ht="0.95" customHeight="1">
      <c r="A876" s="626" t="s">
        <v>12709</v>
      </c>
      <c r="B876" s="627" t="s">
        <v>13467</v>
      </c>
      <c r="C876" s="626" t="s">
        <v>8</v>
      </c>
      <c r="D876" s="626" t="s">
        <v>9987</v>
      </c>
      <c r="E876" s="804" t="s">
        <v>12720</v>
      </c>
      <c r="F876" s="805"/>
      <c r="G876" s="628" t="s">
        <v>35</v>
      </c>
      <c r="H876" s="629">
        <v>8.0000000000000002E-3</v>
      </c>
      <c r="I876" s="630">
        <v>1.93</v>
      </c>
      <c r="J876" s="630">
        <v>0.01</v>
      </c>
      <c r="K876"/>
    </row>
    <row r="877" spans="1:11" ht="18" customHeight="1">
      <c r="A877" s="626" t="s">
        <v>12709</v>
      </c>
      <c r="B877" s="627" t="s">
        <v>13519</v>
      </c>
      <c r="C877" s="626" t="s">
        <v>8</v>
      </c>
      <c r="D877" s="626" t="s">
        <v>12190</v>
      </c>
      <c r="E877" s="804" t="s">
        <v>12720</v>
      </c>
      <c r="F877" s="805"/>
      <c r="G877" s="628" t="s">
        <v>17</v>
      </c>
      <c r="H877" s="629">
        <v>1.0609999999999999</v>
      </c>
      <c r="I877" s="630">
        <v>9.2200000000000006</v>
      </c>
      <c r="J877" s="630">
        <v>9.7799999999999994</v>
      </c>
      <c r="K877"/>
    </row>
    <row r="878" spans="1:11" ht="24" customHeight="1">
      <c r="A878" s="631"/>
      <c r="B878" s="631"/>
      <c r="C878" s="631"/>
      <c r="D878" s="631"/>
      <c r="E878" s="631" t="s">
        <v>12714</v>
      </c>
      <c r="F878" s="632">
        <v>0.29192345118391178</v>
      </c>
      <c r="G878" s="631" t="s">
        <v>12715</v>
      </c>
      <c r="H878" s="632">
        <v>0.25</v>
      </c>
      <c r="I878" s="631" t="s">
        <v>12716</v>
      </c>
      <c r="J878" s="632">
        <v>0.54</v>
      </c>
      <c r="K878"/>
    </row>
    <row r="879" spans="1:11" ht="24" customHeight="1" thickBot="1">
      <c r="A879" s="631"/>
      <c r="B879" s="631"/>
      <c r="C879" s="631"/>
      <c r="D879" s="631"/>
      <c r="E879" s="631" t="s">
        <v>12717</v>
      </c>
      <c r="F879" s="632">
        <v>2.97</v>
      </c>
      <c r="G879" s="631"/>
      <c r="H879" s="806" t="s">
        <v>12718</v>
      </c>
      <c r="I879" s="806"/>
      <c r="J879" s="632">
        <v>13.51</v>
      </c>
      <c r="K879"/>
    </row>
    <row r="880" spans="1:11" ht="24" customHeight="1" thickTop="1">
      <c r="A880" s="633"/>
      <c r="B880" s="633"/>
      <c r="C880" s="633"/>
      <c r="D880" s="633"/>
      <c r="E880" s="633"/>
      <c r="F880" s="633"/>
      <c r="G880" s="633"/>
      <c r="H880" s="633"/>
      <c r="I880" s="633"/>
      <c r="J880" s="633"/>
      <c r="K880"/>
    </row>
    <row r="881" spans="1:11" ht="24" customHeight="1">
      <c r="A881" s="613" t="s">
        <v>12833</v>
      </c>
      <c r="B881" s="614" t="s">
        <v>12698</v>
      </c>
      <c r="C881" s="613" t="s">
        <v>12699</v>
      </c>
      <c r="D881" s="613" t="s">
        <v>12700</v>
      </c>
      <c r="E881" s="807" t="s">
        <v>12701</v>
      </c>
      <c r="F881" s="808"/>
      <c r="G881" s="615" t="s">
        <v>12702</v>
      </c>
      <c r="H881" s="614" t="s">
        <v>12703</v>
      </c>
      <c r="I881" s="614" t="s">
        <v>12704</v>
      </c>
      <c r="J881" s="614" t="s">
        <v>12705</v>
      </c>
      <c r="K881"/>
    </row>
    <row r="882" spans="1:11" ht="24" customHeight="1">
      <c r="A882" s="616" t="s">
        <v>12706</v>
      </c>
      <c r="B882" s="617" t="s">
        <v>13518</v>
      </c>
      <c r="C882" s="616" t="s">
        <v>8</v>
      </c>
      <c r="D882" s="616" t="s">
        <v>1795</v>
      </c>
      <c r="E882" s="809" t="s">
        <v>12819</v>
      </c>
      <c r="F882" s="810"/>
      <c r="G882" s="618" t="s">
        <v>17</v>
      </c>
      <c r="H882" s="619">
        <v>1</v>
      </c>
      <c r="I882" s="620">
        <v>12.12</v>
      </c>
      <c r="J882" s="620">
        <v>12.12</v>
      </c>
      <c r="K882"/>
    </row>
    <row r="883" spans="1:11" ht="25.5">
      <c r="A883" s="621" t="s">
        <v>12708</v>
      </c>
      <c r="B883" s="622" t="s">
        <v>13187</v>
      </c>
      <c r="C883" s="621" t="s">
        <v>8</v>
      </c>
      <c r="D883" s="621" t="s">
        <v>1516</v>
      </c>
      <c r="E883" s="811" t="s">
        <v>12707</v>
      </c>
      <c r="F883" s="812"/>
      <c r="G883" s="623" t="s">
        <v>23</v>
      </c>
      <c r="H883" s="624">
        <v>2.9000000000000001E-2</v>
      </c>
      <c r="I883" s="625">
        <v>13.87</v>
      </c>
      <c r="J883" s="625">
        <v>0.4</v>
      </c>
      <c r="K883"/>
    </row>
    <row r="884" spans="1:11" ht="15" customHeight="1">
      <c r="A884" s="621" t="s">
        <v>12708</v>
      </c>
      <c r="B884" s="622" t="s">
        <v>12981</v>
      </c>
      <c r="C884" s="621" t="s">
        <v>8</v>
      </c>
      <c r="D884" s="621" t="s">
        <v>50</v>
      </c>
      <c r="E884" s="811" t="s">
        <v>12707</v>
      </c>
      <c r="F884" s="812"/>
      <c r="G884" s="623" t="s">
        <v>23</v>
      </c>
      <c r="H884" s="624">
        <v>2.9000000000000001E-2</v>
      </c>
      <c r="I884" s="625">
        <v>17.79</v>
      </c>
      <c r="J884" s="625">
        <v>0.51</v>
      </c>
      <c r="K884"/>
    </row>
    <row r="885" spans="1:11" ht="0.95" customHeight="1">
      <c r="A885" s="626" t="s">
        <v>12709</v>
      </c>
      <c r="B885" s="627" t="s">
        <v>13467</v>
      </c>
      <c r="C885" s="626" t="s">
        <v>8</v>
      </c>
      <c r="D885" s="626" t="s">
        <v>9987</v>
      </c>
      <c r="E885" s="804" t="s">
        <v>12720</v>
      </c>
      <c r="F885" s="805"/>
      <c r="G885" s="628" t="s">
        <v>35</v>
      </c>
      <c r="H885" s="629">
        <v>0.01</v>
      </c>
      <c r="I885" s="630">
        <v>1.93</v>
      </c>
      <c r="J885" s="630">
        <v>0.01</v>
      </c>
      <c r="K885"/>
    </row>
    <row r="886" spans="1:11" ht="18" customHeight="1">
      <c r="A886" s="626" t="s">
        <v>12709</v>
      </c>
      <c r="B886" s="627" t="s">
        <v>13517</v>
      </c>
      <c r="C886" s="626" t="s">
        <v>8</v>
      </c>
      <c r="D886" s="626" t="s">
        <v>12191</v>
      </c>
      <c r="E886" s="804" t="s">
        <v>12720</v>
      </c>
      <c r="F886" s="805"/>
      <c r="G886" s="628" t="s">
        <v>17</v>
      </c>
      <c r="H886" s="629">
        <v>1.0609999999999999</v>
      </c>
      <c r="I886" s="630">
        <v>10.56</v>
      </c>
      <c r="J886" s="630">
        <v>11.2</v>
      </c>
      <c r="K886"/>
    </row>
    <row r="887" spans="1:11" ht="24" customHeight="1">
      <c r="A887" s="631"/>
      <c r="B887" s="631"/>
      <c r="C887" s="631"/>
      <c r="D887" s="631"/>
      <c r="E887" s="631" t="s">
        <v>12714</v>
      </c>
      <c r="F887" s="632">
        <v>0.35138933938804195</v>
      </c>
      <c r="G887" s="631" t="s">
        <v>12715</v>
      </c>
      <c r="H887" s="632">
        <v>0.3</v>
      </c>
      <c r="I887" s="631" t="s">
        <v>12716</v>
      </c>
      <c r="J887" s="632">
        <v>0.65</v>
      </c>
      <c r="K887"/>
    </row>
    <row r="888" spans="1:11" ht="24" customHeight="1" thickBot="1">
      <c r="A888" s="631"/>
      <c r="B888" s="631"/>
      <c r="C888" s="631"/>
      <c r="D888" s="631"/>
      <c r="E888" s="631" t="s">
        <v>12717</v>
      </c>
      <c r="F888" s="632">
        <v>3.42</v>
      </c>
      <c r="G888" s="631"/>
      <c r="H888" s="806" t="s">
        <v>12718</v>
      </c>
      <c r="I888" s="806"/>
      <c r="J888" s="632">
        <v>15.54</v>
      </c>
      <c r="K888"/>
    </row>
    <row r="889" spans="1:11" ht="24" customHeight="1" thickTop="1">
      <c r="A889" s="633"/>
      <c r="B889" s="633"/>
      <c r="C889" s="633"/>
      <c r="D889" s="633"/>
      <c r="E889" s="633"/>
      <c r="F889" s="633"/>
      <c r="G889" s="633"/>
      <c r="H889" s="633"/>
      <c r="I889" s="633"/>
      <c r="J889" s="633"/>
      <c r="K889"/>
    </row>
    <row r="890" spans="1:11" ht="24" customHeight="1">
      <c r="A890" s="613" t="s">
        <v>12834</v>
      </c>
      <c r="B890" s="614" t="s">
        <v>12698</v>
      </c>
      <c r="C890" s="613" t="s">
        <v>12699</v>
      </c>
      <c r="D890" s="613" t="s">
        <v>12700</v>
      </c>
      <c r="E890" s="807" t="s">
        <v>12701</v>
      </c>
      <c r="F890" s="808"/>
      <c r="G890" s="615" t="s">
        <v>12702</v>
      </c>
      <c r="H890" s="614" t="s">
        <v>12703</v>
      </c>
      <c r="I890" s="614" t="s">
        <v>12704</v>
      </c>
      <c r="J890" s="614" t="s">
        <v>12705</v>
      </c>
      <c r="K890"/>
    </row>
    <row r="891" spans="1:11" ht="24" customHeight="1">
      <c r="A891" s="616" t="s">
        <v>12706</v>
      </c>
      <c r="B891" s="617" t="s">
        <v>13516</v>
      </c>
      <c r="C891" s="616" t="s">
        <v>8</v>
      </c>
      <c r="D891" s="616" t="s">
        <v>1796</v>
      </c>
      <c r="E891" s="809" t="s">
        <v>12819</v>
      </c>
      <c r="F891" s="810"/>
      <c r="G891" s="618" t="s">
        <v>17</v>
      </c>
      <c r="H891" s="619">
        <v>1</v>
      </c>
      <c r="I891" s="620">
        <v>19.98</v>
      </c>
      <c r="J891" s="620">
        <v>19.98</v>
      </c>
      <c r="K891"/>
    </row>
    <row r="892" spans="1:11" ht="25.5">
      <c r="A892" s="621" t="s">
        <v>12708</v>
      </c>
      <c r="B892" s="622" t="s">
        <v>13187</v>
      </c>
      <c r="C892" s="621" t="s">
        <v>8</v>
      </c>
      <c r="D892" s="621" t="s">
        <v>1516</v>
      </c>
      <c r="E892" s="811" t="s">
        <v>12707</v>
      </c>
      <c r="F892" s="812"/>
      <c r="G892" s="623" t="s">
        <v>23</v>
      </c>
      <c r="H892" s="624">
        <v>3.4000000000000002E-2</v>
      </c>
      <c r="I892" s="625">
        <v>13.87</v>
      </c>
      <c r="J892" s="625">
        <v>0.47</v>
      </c>
      <c r="K892"/>
    </row>
    <row r="893" spans="1:11" ht="15" customHeight="1">
      <c r="A893" s="621" t="s">
        <v>12708</v>
      </c>
      <c r="B893" s="622" t="s">
        <v>12981</v>
      </c>
      <c r="C893" s="621" t="s">
        <v>8</v>
      </c>
      <c r="D893" s="621" t="s">
        <v>50</v>
      </c>
      <c r="E893" s="811" t="s">
        <v>12707</v>
      </c>
      <c r="F893" s="812"/>
      <c r="G893" s="623" t="s">
        <v>23</v>
      </c>
      <c r="H893" s="624">
        <v>3.4000000000000002E-2</v>
      </c>
      <c r="I893" s="625">
        <v>17.79</v>
      </c>
      <c r="J893" s="625">
        <v>0.6</v>
      </c>
      <c r="K893"/>
    </row>
    <row r="894" spans="1:11" ht="0.95" customHeight="1">
      <c r="A894" s="626" t="s">
        <v>12709</v>
      </c>
      <c r="B894" s="627" t="s">
        <v>13467</v>
      </c>
      <c r="C894" s="626" t="s">
        <v>8</v>
      </c>
      <c r="D894" s="626" t="s">
        <v>9987</v>
      </c>
      <c r="E894" s="804" t="s">
        <v>12720</v>
      </c>
      <c r="F894" s="805"/>
      <c r="G894" s="628" t="s">
        <v>35</v>
      </c>
      <c r="H894" s="629">
        <v>1.0999999999999999E-2</v>
      </c>
      <c r="I894" s="630">
        <v>1.93</v>
      </c>
      <c r="J894" s="630">
        <v>0.02</v>
      </c>
      <c r="K894"/>
    </row>
    <row r="895" spans="1:11" ht="18" customHeight="1">
      <c r="A895" s="626" t="s">
        <v>12709</v>
      </c>
      <c r="B895" s="627" t="s">
        <v>13515</v>
      </c>
      <c r="C895" s="626" t="s">
        <v>8</v>
      </c>
      <c r="D895" s="626" t="s">
        <v>12192</v>
      </c>
      <c r="E895" s="804" t="s">
        <v>12720</v>
      </c>
      <c r="F895" s="805"/>
      <c r="G895" s="628" t="s">
        <v>17</v>
      </c>
      <c r="H895" s="629">
        <v>1.0609999999999999</v>
      </c>
      <c r="I895" s="630">
        <v>17.809999999999999</v>
      </c>
      <c r="J895" s="630">
        <v>18.89</v>
      </c>
      <c r="K895"/>
    </row>
    <row r="896" spans="1:11" ht="36" customHeight="1">
      <c r="A896" s="631"/>
      <c r="B896" s="631"/>
      <c r="C896" s="631"/>
      <c r="D896" s="631"/>
      <c r="E896" s="631" t="s">
        <v>12714</v>
      </c>
      <c r="F896" s="632">
        <v>0.41626121742891126</v>
      </c>
      <c r="G896" s="631" t="s">
        <v>12715</v>
      </c>
      <c r="H896" s="632">
        <v>0.35</v>
      </c>
      <c r="I896" s="631" t="s">
        <v>12716</v>
      </c>
      <c r="J896" s="632">
        <v>0.77</v>
      </c>
      <c r="K896"/>
    </row>
    <row r="897" spans="1:11" ht="24" customHeight="1" thickBot="1">
      <c r="A897" s="631"/>
      <c r="B897" s="631"/>
      <c r="C897" s="631"/>
      <c r="D897" s="631"/>
      <c r="E897" s="631" t="s">
        <v>12717</v>
      </c>
      <c r="F897" s="632">
        <v>5.64</v>
      </c>
      <c r="G897" s="631"/>
      <c r="H897" s="806" t="s">
        <v>12718</v>
      </c>
      <c r="I897" s="806"/>
      <c r="J897" s="632">
        <v>25.62</v>
      </c>
      <c r="K897"/>
    </row>
    <row r="898" spans="1:11" ht="24" customHeight="1" thickTop="1">
      <c r="A898" s="633"/>
      <c r="B898" s="633"/>
      <c r="C898" s="633"/>
      <c r="D898" s="633"/>
      <c r="E898" s="633"/>
      <c r="F898" s="633"/>
      <c r="G898" s="633"/>
      <c r="H898" s="633"/>
      <c r="I898" s="633"/>
      <c r="J898" s="633"/>
      <c r="K898"/>
    </row>
    <row r="899" spans="1:11" ht="24" customHeight="1">
      <c r="A899" s="613" t="s">
        <v>12835</v>
      </c>
      <c r="B899" s="614" t="s">
        <v>12698</v>
      </c>
      <c r="C899" s="613" t="s">
        <v>12699</v>
      </c>
      <c r="D899" s="613" t="s">
        <v>12700</v>
      </c>
      <c r="E899" s="807" t="s">
        <v>12701</v>
      </c>
      <c r="F899" s="808"/>
      <c r="G899" s="615" t="s">
        <v>12702</v>
      </c>
      <c r="H899" s="614" t="s">
        <v>12703</v>
      </c>
      <c r="I899" s="614" t="s">
        <v>12704</v>
      </c>
      <c r="J899" s="614" t="s">
        <v>12705</v>
      </c>
      <c r="K899"/>
    </row>
    <row r="900" spans="1:11" ht="24" customHeight="1">
      <c r="A900" s="616" t="s">
        <v>12706</v>
      </c>
      <c r="B900" s="617" t="s">
        <v>13514</v>
      </c>
      <c r="C900" s="616" t="s">
        <v>8</v>
      </c>
      <c r="D900" s="616" t="s">
        <v>374</v>
      </c>
      <c r="E900" s="809" t="s">
        <v>12819</v>
      </c>
      <c r="F900" s="810"/>
      <c r="G900" s="618" t="s">
        <v>35</v>
      </c>
      <c r="H900" s="619">
        <v>1</v>
      </c>
      <c r="I900" s="620">
        <v>6.51</v>
      </c>
      <c r="J900" s="620">
        <v>6.51</v>
      </c>
      <c r="K900"/>
    </row>
    <row r="901" spans="1:11" ht="24" customHeight="1">
      <c r="A901" s="621" t="s">
        <v>12708</v>
      </c>
      <c r="B901" s="622" t="s">
        <v>13187</v>
      </c>
      <c r="C901" s="621" t="s">
        <v>8</v>
      </c>
      <c r="D901" s="621" t="s">
        <v>1516</v>
      </c>
      <c r="E901" s="811" t="s">
        <v>12707</v>
      </c>
      <c r="F901" s="812"/>
      <c r="G901" s="623" t="s">
        <v>23</v>
      </c>
      <c r="H901" s="624">
        <v>0.12</v>
      </c>
      <c r="I901" s="625">
        <v>13.87</v>
      </c>
      <c r="J901" s="625">
        <v>1.66</v>
      </c>
      <c r="K901"/>
    </row>
    <row r="902" spans="1:11" ht="24" customHeight="1">
      <c r="A902" s="621" t="s">
        <v>12708</v>
      </c>
      <c r="B902" s="622" t="s">
        <v>12981</v>
      </c>
      <c r="C902" s="621" t="s">
        <v>8</v>
      </c>
      <c r="D902" s="621" t="s">
        <v>50</v>
      </c>
      <c r="E902" s="811" t="s">
        <v>12707</v>
      </c>
      <c r="F902" s="812"/>
      <c r="G902" s="623" t="s">
        <v>23</v>
      </c>
      <c r="H902" s="624">
        <v>0.12</v>
      </c>
      <c r="I902" s="625">
        <v>17.79</v>
      </c>
      <c r="J902" s="625">
        <v>2.13</v>
      </c>
      <c r="K902"/>
    </row>
    <row r="903" spans="1:11">
      <c r="A903" s="626" t="s">
        <v>12709</v>
      </c>
      <c r="B903" s="627" t="s">
        <v>13468</v>
      </c>
      <c r="C903" s="626" t="s">
        <v>8</v>
      </c>
      <c r="D903" s="626" t="s">
        <v>7343</v>
      </c>
      <c r="E903" s="804" t="s">
        <v>12720</v>
      </c>
      <c r="F903" s="805"/>
      <c r="G903" s="628" t="s">
        <v>35</v>
      </c>
      <c r="H903" s="629">
        <v>1.0999999999999999E-2</v>
      </c>
      <c r="I903" s="630">
        <v>79.94</v>
      </c>
      <c r="J903" s="630">
        <v>0.87</v>
      </c>
      <c r="K903"/>
    </row>
    <row r="904" spans="1:11" ht="15" customHeight="1">
      <c r="A904" s="626" t="s">
        <v>12709</v>
      </c>
      <c r="B904" s="627" t="s">
        <v>13467</v>
      </c>
      <c r="C904" s="626" t="s">
        <v>8</v>
      </c>
      <c r="D904" s="626" t="s">
        <v>9987</v>
      </c>
      <c r="E904" s="804" t="s">
        <v>12720</v>
      </c>
      <c r="F904" s="805"/>
      <c r="G904" s="628" t="s">
        <v>35</v>
      </c>
      <c r="H904" s="629">
        <v>4.4999999999999998E-2</v>
      </c>
      <c r="I904" s="630">
        <v>1.93</v>
      </c>
      <c r="J904" s="630">
        <v>0.08</v>
      </c>
      <c r="K904"/>
    </row>
    <row r="905" spans="1:11" ht="0.95" customHeight="1">
      <c r="A905" s="626" t="s">
        <v>12709</v>
      </c>
      <c r="B905" s="627" t="s">
        <v>13466</v>
      </c>
      <c r="C905" s="626" t="s">
        <v>8</v>
      </c>
      <c r="D905" s="626" t="s">
        <v>11315</v>
      </c>
      <c r="E905" s="804" t="s">
        <v>12720</v>
      </c>
      <c r="F905" s="805"/>
      <c r="G905" s="628" t="s">
        <v>35</v>
      </c>
      <c r="H905" s="629">
        <v>1.2E-2</v>
      </c>
      <c r="I905" s="630">
        <v>69.42</v>
      </c>
      <c r="J905" s="630">
        <v>0.83</v>
      </c>
      <c r="K905"/>
    </row>
    <row r="906" spans="1:11" ht="18" customHeight="1">
      <c r="A906" s="626" t="s">
        <v>12709</v>
      </c>
      <c r="B906" s="627" t="s">
        <v>13499</v>
      </c>
      <c r="C906" s="626" t="s">
        <v>8</v>
      </c>
      <c r="D906" s="626" t="s">
        <v>11592</v>
      </c>
      <c r="E906" s="804" t="s">
        <v>12720</v>
      </c>
      <c r="F906" s="805"/>
      <c r="G906" s="628" t="s">
        <v>35</v>
      </c>
      <c r="H906" s="629">
        <v>1</v>
      </c>
      <c r="I906" s="630">
        <v>0.94</v>
      </c>
      <c r="J906" s="630">
        <v>0.94</v>
      </c>
      <c r="K906"/>
    </row>
    <row r="907" spans="1:11" ht="48" customHeight="1">
      <c r="A907" s="631"/>
      <c r="B907" s="631"/>
      <c r="C907" s="631"/>
      <c r="D907" s="631"/>
      <c r="E907" s="631" t="s">
        <v>12714</v>
      </c>
      <c r="F907" s="632">
        <v>1.4758352254297762</v>
      </c>
      <c r="G907" s="631" t="s">
        <v>12715</v>
      </c>
      <c r="H907" s="632">
        <v>1.25</v>
      </c>
      <c r="I907" s="631" t="s">
        <v>12716</v>
      </c>
      <c r="J907" s="632">
        <v>2.73</v>
      </c>
      <c r="K907"/>
    </row>
    <row r="908" spans="1:11" ht="24" customHeight="1" thickBot="1">
      <c r="A908" s="631"/>
      <c r="B908" s="631"/>
      <c r="C908" s="631"/>
      <c r="D908" s="631"/>
      <c r="E908" s="631" t="s">
        <v>12717</v>
      </c>
      <c r="F908" s="632">
        <v>1.83</v>
      </c>
      <c r="G908" s="631"/>
      <c r="H908" s="806" t="s">
        <v>12718</v>
      </c>
      <c r="I908" s="806"/>
      <c r="J908" s="632">
        <v>8.34</v>
      </c>
      <c r="K908"/>
    </row>
    <row r="909" spans="1:11" ht="24" customHeight="1" thickTop="1">
      <c r="A909" s="633"/>
      <c r="B909" s="633"/>
      <c r="C909" s="633"/>
      <c r="D909" s="633"/>
      <c r="E909" s="633"/>
      <c r="F909" s="633"/>
      <c r="G909" s="633"/>
      <c r="H909" s="633"/>
      <c r="I909" s="633"/>
      <c r="J909" s="633"/>
      <c r="K909"/>
    </row>
    <row r="910" spans="1:11" ht="24" customHeight="1">
      <c r="A910" s="613" t="s">
        <v>12836</v>
      </c>
      <c r="B910" s="614" t="s">
        <v>12698</v>
      </c>
      <c r="C910" s="613" t="s">
        <v>12699</v>
      </c>
      <c r="D910" s="613" t="s">
        <v>12700</v>
      </c>
      <c r="E910" s="807" t="s">
        <v>12701</v>
      </c>
      <c r="F910" s="808"/>
      <c r="G910" s="615" t="s">
        <v>12702</v>
      </c>
      <c r="H910" s="614" t="s">
        <v>12703</v>
      </c>
      <c r="I910" s="614" t="s">
        <v>12704</v>
      </c>
      <c r="J910" s="614" t="s">
        <v>12705</v>
      </c>
      <c r="K910"/>
    </row>
    <row r="911" spans="1:11" ht="24" customHeight="1">
      <c r="A911" s="616" t="s">
        <v>12706</v>
      </c>
      <c r="B911" s="617" t="s">
        <v>13513</v>
      </c>
      <c r="C911" s="616" t="s">
        <v>8</v>
      </c>
      <c r="D911" s="616" t="s">
        <v>3454</v>
      </c>
      <c r="E911" s="809" t="s">
        <v>12819</v>
      </c>
      <c r="F911" s="810"/>
      <c r="G911" s="618" t="s">
        <v>35</v>
      </c>
      <c r="H911" s="619">
        <v>1</v>
      </c>
      <c r="I911" s="620">
        <v>25.39</v>
      </c>
      <c r="J911" s="620">
        <v>25.39</v>
      </c>
      <c r="K911"/>
    </row>
    <row r="912" spans="1:11" ht="24" customHeight="1">
      <c r="A912" s="621" t="s">
        <v>12708</v>
      </c>
      <c r="B912" s="622" t="s">
        <v>13187</v>
      </c>
      <c r="C912" s="621" t="s">
        <v>8</v>
      </c>
      <c r="D912" s="621" t="s">
        <v>1516</v>
      </c>
      <c r="E912" s="811" t="s">
        <v>12707</v>
      </c>
      <c r="F912" s="812"/>
      <c r="G912" s="623" t="s">
        <v>23</v>
      </c>
      <c r="H912" s="624">
        <v>0.22700000000000001</v>
      </c>
      <c r="I912" s="625">
        <v>13.87</v>
      </c>
      <c r="J912" s="625">
        <v>3.14</v>
      </c>
      <c r="K912"/>
    </row>
    <row r="913" spans="1:11" ht="24" customHeight="1">
      <c r="A913" s="621" t="s">
        <v>12708</v>
      </c>
      <c r="B913" s="622" t="s">
        <v>12981</v>
      </c>
      <c r="C913" s="621" t="s">
        <v>8</v>
      </c>
      <c r="D913" s="621" t="s">
        <v>50</v>
      </c>
      <c r="E913" s="811" t="s">
        <v>12707</v>
      </c>
      <c r="F913" s="812"/>
      <c r="G913" s="623" t="s">
        <v>23</v>
      </c>
      <c r="H913" s="624">
        <v>0.22700000000000001</v>
      </c>
      <c r="I913" s="625">
        <v>17.79</v>
      </c>
      <c r="J913" s="625">
        <v>4.03</v>
      </c>
      <c r="K913"/>
    </row>
    <row r="914" spans="1:11">
      <c r="A914" s="626" t="s">
        <v>12709</v>
      </c>
      <c r="B914" s="627" t="s">
        <v>13512</v>
      </c>
      <c r="C914" s="626" t="s">
        <v>8</v>
      </c>
      <c r="D914" s="626" t="s">
        <v>7342</v>
      </c>
      <c r="E914" s="804" t="s">
        <v>12720</v>
      </c>
      <c r="F914" s="805"/>
      <c r="G914" s="628" t="s">
        <v>35</v>
      </c>
      <c r="H914" s="629">
        <v>0.107</v>
      </c>
      <c r="I914" s="630">
        <v>25.37</v>
      </c>
      <c r="J914" s="630">
        <v>2.71</v>
      </c>
      <c r="K914"/>
    </row>
    <row r="915" spans="1:11" ht="15" customHeight="1">
      <c r="A915" s="626" t="s">
        <v>12709</v>
      </c>
      <c r="B915" s="627" t="s">
        <v>13467</v>
      </c>
      <c r="C915" s="626" t="s">
        <v>8</v>
      </c>
      <c r="D915" s="626" t="s">
        <v>9987</v>
      </c>
      <c r="E915" s="804" t="s">
        <v>12720</v>
      </c>
      <c r="F915" s="805"/>
      <c r="G915" s="628" t="s">
        <v>35</v>
      </c>
      <c r="H915" s="629">
        <v>3.4000000000000002E-2</v>
      </c>
      <c r="I915" s="630">
        <v>1.93</v>
      </c>
      <c r="J915" s="630">
        <v>0.06</v>
      </c>
      <c r="K915"/>
    </row>
    <row r="916" spans="1:11" ht="0.95" customHeight="1">
      <c r="A916" s="626" t="s">
        <v>12709</v>
      </c>
      <c r="B916" s="627" t="s">
        <v>13466</v>
      </c>
      <c r="C916" s="626" t="s">
        <v>8</v>
      </c>
      <c r="D916" s="626" t="s">
        <v>11315</v>
      </c>
      <c r="E916" s="804" t="s">
        <v>12720</v>
      </c>
      <c r="F916" s="805"/>
      <c r="G916" s="628" t="s">
        <v>35</v>
      </c>
      <c r="H916" s="629">
        <v>2.7E-2</v>
      </c>
      <c r="I916" s="630">
        <v>69.42</v>
      </c>
      <c r="J916" s="630">
        <v>1.87</v>
      </c>
      <c r="K916"/>
    </row>
    <row r="917" spans="1:11" ht="18" customHeight="1">
      <c r="A917" s="626" t="s">
        <v>12709</v>
      </c>
      <c r="B917" s="627" t="s">
        <v>13511</v>
      </c>
      <c r="C917" s="626" t="s">
        <v>8</v>
      </c>
      <c r="D917" s="626" t="s">
        <v>11513</v>
      </c>
      <c r="E917" s="804" t="s">
        <v>12720</v>
      </c>
      <c r="F917" s="805"/>
      <c r="G917" s="628" t="s">
        <v>35</v>
      </c>
      <c r="H917" s="629">
        <v>1</v>
      </c>
      <c r="I917" s="630">
        <v>13.58</v>
      </c>
      <c r="J917" s="630">
        <v>13.58</v>
      </c>
      <c r="K917"/>
    </row>
    <row r="918" spans="1:11" ht="48" customHeight="1">
      <c r="A918" s="631"/>
      <c r="B918" s="631"/>
      <c r="C918" s="631"/>
      <c r="D918" s="631"/>
      <c r="E918" s="631" t="s">
        <v>12714</v>
      </c>
      <c r="F918" s="632">
        <v>2.7948967455941185</v>
      </c>
      <c r="G918" s="631" t="s">
        <v>12715</v>
      </c>
      <c r="H918" s="632">
        <v>2.38</v>
      </c>
      <c r="I918" s="631" t="s">
        <v>12716</v>
      </c>
      <c r="J918" s="632">
        <v>5.17</v>
      </c>
      <c r="K918"/>
    </row>
    <row r="919" spans="1:11" ht="24" customHeight="1" thickBot="1">
      <c r="A919" s="631"/>
      <c r="B919" s="631"/>
      <c r="C919" s="631"/>
      <c r="D919" s="631"/>
      <c r="E919" s="631" t="s">
        <v>12717</v>
      </c>
      <c r="F919" s="632">
        <v>7.17</v>
      </c>
      <c r="G919" s="631"/>
      <c r="H919" s="806" t="s">
        <v>12718</v>
      </c>
      <c r="I919" s="806"/>
      <c r="J919" s="632">
        <v>32.56</v>
      </c>
      <c r="K919"/>
    </row>
    <row r="920" spans="1:11" ht="24" customHeight="1" thickTop="1">
      <c r="A920" s="633"/>
      <c r="B920" s="633"/>
      <c r="C920" s="633"/>
      <c r="D920" s="633"/>
      <c r="E920" s="633"/>
      <c r="F920" s="633"/>
      <c r="G920" s="633"/>
      <c r="H920" s="633"/>
      <c r="I920" s="633"/>
      <c r="J920" s="633"/>
      <c r="K920"/>
    </row>
    <row r="921" spans="1:11" ht="24" customHeight="1">
      <c r="A921" s="613" t="s">
        <v>12837</v>
      </c>
      <c r="B921" s="614" t="s">
        <v>12698</v>
      </c>
      <c r="C921" s="613" t="s">
        <v>12699</v>
      </c>
      <c r="D921" s="613" t="s">
        <v>12700</v>
      </c>
      <c r="E921" s="807" t="s">
        <v>12701</v>
      </c>
      <c r="F921" s="808"/>
      <c r="G921" s="615" t="s">
        <v>12702</v>
      </c>
      <c r="H921" s="614" t="s">
        <v>12703</v>
      </c>
      <c r="I921" s="614" t="s">
        <v>12704</v>
      </c>
      <c r="J921" s="614" t="s">
        <v>12705</v>
      </c>
      <c r="K921"/>
    </row>
    <row r="922" spans="1:11" ht="24" customHeight="1">
      <c r="A922" s="616" t="s">
        <v>12706</v>
      </c>
      <c r="B922" s="617" t="s">
        <v>13510</v>
      </c>
      <c r="C922" s="616" t="s">
        <v>8</v>
      </c>
      <c r="D922" s="616" t="s">
        <v>3401</v>
      </c>
      <c r="E922" s="809" t="s">
        <v>12819</v>
      </c>
      <c r="F922" s="810"/>
      <c r="G922" s="618" t="s">
        <v>35</v>
      </c>
      <c r="H922" s="619">
        <v>1</v>
      </c>
      <c r="I922" s="620">
        <v>68.45</v>
      </c>
      <c r="J922" s="620">
        <v>68.45</v>
      </c>
      <c r="K922"/>
    </row>
    <row r="923" spans="1:11" ht="25.5">
      <c r="A923" s="621" t="s">
        <v>12708</v>
      </c>
      <c r="B923" s="622" t="s">
        <v>13187</v>
      </c>
      <c r="C923" s="621" t="s">
        <v>8</v>
      </c>
      <c r="D923" s="621" t="s">
        <v>1516</v>
      </c>
      <c r="E923" s="811" t="s">
        <v>12707</v>
      </c>
      <c r="F923" s="812"/>
      <c r="G923" s="623" t="s">
        <v>23</v>
      </c>
      <c r="H923" s="624">
        <v>0.78900000000000003</v>
      </c>
      <c r="I923" s="625">
        <v>13.87</v>
      </c>
      <c r="J923" s="625">
        <v>10.94</v>
      </c>
      <c r="K923"/>
    </row>
    <row r="924" spans="1:11" ht="15" customHeight="1">
      <c r="A924" s="621" t="s">
        <v>12708</v>
      </c>
      <c r="B924" s="622" t="s">
        <v>12981</v>
      </c>
      <c r="C924" s="621" t="s">
        <v>8</v>
      </c>
      <c r="D924" s="621" t="s">
        <v>50</v>
      </c>
      <c r="E924" s="811" t="s">
        <v>12707</v>
      </c>
      <c r="F924" s="812"/>
      <c r="G924" s="623" t="s">
        <v>23</v>
      </c>
      <c r="H924" s="624">
        <v>0.78900000000000003</v>
      </c>
      <c r="I924" s="625">
        <v>17.79</v>
      </c>
      <c r="J924" s="625">
        <v>14.03</v>
      </c>
      <c r="K924"/>
    </row>
    <row r="925" spans="1:11" ht="0.95" customHeight="1">
      <c r="A925" s="626" t="s">
        <v>12709</v>
      </c>
      <c r="B925" s="627" t="s">
        <v>13440</v>
      </c>
      <c r="C925" s="626" t="s">
        <v>8</v>
      </c>
      <c r="D925" s="626" t="s">
        <v>9427</v>
      </c>
      <c r="E925" s="804" t="s">
        <v>12720</v>
      </c>
      <c r="F925" s="805"/>
      <c r="G925" s="628" t="s">
        <v>35</v>
      </c>
      <c r="H925" s="629">
        <v>1.9E-2</v>
      </c>
      <c r="I925" s="630">
        <v>14.97</v>
      </c>
      <c r="J925" s="630">
        <v>0.28000000000000003</v>
      </c>
      <c r="K925"/>
    </row>
    <row r="926" spans="1:11" ht="18" customHeight="1">
      <c r="A926" s="626" t="s">
        <v>12709</v>
      </c>
      <c r="B926" s="627" t="s">
        <v>13509</v>
      </c>
      <c r="C926" s="626" t="s">
        <v>8</v>
      </c>
      <c r="D926" s="626" t="s">
        <v>11150</v>
      </c>
      <c r="E926" s="804" t="s">
        <v>12720</v>
      </c>
      <c r="F926" s="805"/>
      <c r="G926" s="628" t="s">
        <v>35</v>
      </c>
      <c r="H926" s="629">
        <v>1</v>
      </c>
      <c r="I926" s="630">
        <v>43.2</v>
      </c>
      <c r="J926" s="630">
        <v>43.2</v>
      </c>
      <c r="K926"/>
    </row>
    <row r="927" spans="1:11" ht="36" customHeight="1">
      <c r="A927" s="631"/>
      <c r="B927" s="631"/>
      <c r="C927" s="631"/>
      <c r="D927" s="631"/>
      <c r="E927" s="631" t="s">
        <v>12714</v>
      </c>
      <c r="F927" s="632">
        <v>9.746999675640609</v>
      </c>
      <c r="G927" s="631" t="s">
        <v>12715</v>
      </c>
      <c r="H927" s="632">
        <v>8.2799999999999994</v>
      </c>
      <c r="I927" s="631" t="s">
        <v>12716</v>
      </c>
      <c r="J927" s="632">
        <v>18.03</v>
      </c>
      <c r="K927"/>
    </row>
    <row r="928" spans="1:11" ht="24" customHeight="1" thickBot="1">
      <c r="A928" s="631"/>
      <c r="B928" s="631"/>
      <c r="C928" s="631"/>
      <c r="D928" s="631"/>
      <c r="E928" s="631" t="s">
        <v>12717</v>
      </c>
      <c r="F928" s="632">
        <v>19.329999999999998</v>
      </c>
      <c r="G928" s="631"/>
      <c r="H928" s="806" t="s">
        <v>12718</v>
      </c>
      <c r="I928" s="806"/>
      <c r="J928" s="632">
        <v>87.78</v>
      </c>
      <c r="K928"/>
    </row>
    <row r="929" spans="1:11" ht="24" customHeight="1" thickTop="1">
      <c r="A929" s="633"/>
      <c r="B929" s="633"/>
      <c r="C929" s="633"/>
      <c r="D929" s="633"/>
      <c r="E929" s="633"/>
      <c r="F929" s="633"/>
      <c r="G929" s="633"/>
      <c r="H929" s="633"/>
      <c r="I929" s="633"/>
      <c r="J929" s="633"/>
      <c r="K929"/>
    </row>
    <row r="930" spans="1:11" ht="24" customHeight="1">
      <c r="A930" s="613" t="s">
        <v>12838</v>
      </c>
      <c r="B930" s="614" t="s">
        <v>12698</v>
      </c>
      <c r="C930" s="613" t="s">
        <v>12699</v>
      </c>
      <c r="D930" s="613" t="s">
        <v>12700</v>
      </c>
      <c r="E930" s="807" t="s">
        <v>12701</v>
      </c>
      <c r="F930" s="808"/>
      <c r="G930" s="615" t="s">
        <v>12702</v>
      </c>
      <c r="H930" s="614" t="s">
        <v>12703</v>
      </c>
      <c r="I930" s="614" t="s">
        <v>12704</v>
      </c>
      <c r="J930" s="614" t="s">
        <v>12705</v>
      </c>
      <c r="K930"/>
    </row>
    <row r="931" spans="1:11" ht="24" customHeight="1">
      <c r="A931" s="616" t="s">
        <v>12706</v>
      </c>
      <c r="B931" s="617" t="s">
        <v>13508</v>
      </c>
      <c r="C931" s="616" t="s">
        <v>8</v>
      </c>
      <c r="D931" s="616" t="s">
        <v>5699</v>
      </c>
      <c r="E931" s="809" t="s">
        <v>12819</v>
      </c>
      <c r="F931" s="810"/>
      <c r="G931" s="618" t="s">
        <v>35</v>
      </c>
      <c r="H931" s="619">
        <v>1</v>
      </c>
      <c r="I931" s="620">
        <v>22.62</v>
      </c>
      <c r="J931" s="620">
        <v>22.62</v>
      </c>
      <c r="K931"/>
    </row>
    <row r="932" spans="1:11" ht="25.5">
      <c r="A932" s="621" t="s">
        <v>12708</v>
      </c>
      <c r="B932" s="622" t="s">
        <v>13187</v>
      </c>
      <c r="C932" s="621" t="s">
        <v>8</v>
      </c>
      <c r="D932" s="621" t="s">
        <v>1516</v>
      </c>
      <c r="E932" s="811" t="s">
        <v>12707</v>
      </c>
      <c r="F932" s="812"/>
      <c r="G932" s="623" t="s">
        <v>23</v>
      </c>
      <c r="H932" s="624">
        <v>0.2</v>
      </c>
      <c r="I932" s="625">
        <v>13.87</v>
      </c>
      <c r="J932" s="625">
        <v>2.77</v>
      </c>
      <c r="K932"/>
    </row>
    <row r="933" spans="1:11" ht="15" customHeight="1">
      <c r="A933" s="621" t="s">
        <v>12708</v>
      </c>
      <c r="B933" s="622" t="s">
        <v>12981</v>
      </c>
      <c r="C933" s="621" t="s">
        <v>8</v>
      </c>
      <c r="D933" s="621" t="s">
        <v>50</v>
      </c>
      <c r="E933" s="811" t="s">
        <v>12707</v>
      </c>
      <c r="F933" s="812"/>
      <c r="G933" s="623" t="s">
        <v>23</v>
      </c>
      <c r="H933" s="624">
        <v>0.2</v>
      </c>
      <c r="I933" s="625">
        <v>17.79</v>
      </c>
      <c r="J933" s="625">
        <v>3.55</v>
      </c>
      <c r="K933"/>
    </row>
    <row r="934" spans="1:11" ht="0.95" customHeight="1">
      <c r="A934" s="626" t="s">
        <v>12709</v>
      </c>
      <c r="B934" s="627" t="s">
        <v>13440</v>
      </c>
      <c r="C934" s="626" t="s">
        <v>8</v>
      </c>
      <c r="D934" s="626" t="s">
        <v>9427</v>
      </c>
      <c r="E934" s="804" t="s">
        <v>12720</v>
      </c>
      <c r="F934" s="805"/>
      <c r="G934" s="628" t="s">
        <v>35</v>
      </c>
      <c r="H934" s="629">
        <v>1.2999999999999999E-2</v>
      </c>
      <c r="I934" s="630">
        <v>14.97</v>
      </c>
      <c r="J934" s="630">
        <v>0.19</v>
      </c>
      <c r="K934"/>
    </row>
    <row r="935" spans="1:11" ht="18" customHeight="1">
      <c r="A935" s="626" t="s">
        <v>12709</v>
      </c>
      <c r="B935" s="627" t="s">
        <v>13507</v>
      </c>
      <c r="C935" s="626" t="s">
        <v>8</v>
      </c>
      <c r="D935" s="626" t="s">
        <v>11165</v>
      </c>
      <c r="E935" s="804" t="s">
        <v>12720</v>
      </c>
      <c r="F935" s="805"/>
      <c r="G935" s="628" t="s">
        <v>35</v>
      </c>
      <c r="H935" s="629">
        <v>1</v>
      </c>
      <c r="I935" s="630">
        <v>16.11</v>
      </c>
      <c r="J935" s="630">
        <v>16.11</v>
      </c>
      <c r="K935"/>
    </row>
    <row r="936" spans="1:11" ht="36" customHeight="1">
      <c r="A936" s="631"/>
      <c r="B936" s="631"/>
      <c r="C936" s="631"/>
      <c r="D936" s="631"/>
      <c r="E936" s="631" t="s">
        <v>12714</v>
      </c>
      <c r="F936" s="632">
        <v>2.4651313655530327</v>
      </c>
      <c r="G936" s="631" t="s">
        <v>12715</v>
      </c>
      <c r="H936" s="632">
        <v>2.09</v>
      </c>
      <c r="I936" s="631" t="s">
        <v>12716</v>
      </c>
      <c r="J936" s="632">
        <v>4.5599999999999996</v>
      </c>
      <c r="K936"/>
    </row>
    <row r="937" spans="1:11" ht="24" customHeight="1" thickBot="1">
      <c r="A937" s="631"/>
      <c r="B937" s="631"/>
      <c r="C937" s="631"/>
      <c r="D937" s="631"/>
      <c r="E937" s="631" t="s">
        <v>12717</v>
      </c>
      <c r="F937" s="632">
        <v>6.38</v>
      </c>
      <c r="G937" s="631"/>
      <c r="H937" s="806" t="s">
        <v>12718</v>
      </c>
      <c r="I937" s="806"/>
      <c r="J937" s="632">
        <v>29</v>
      </c>
      <c r="K937"/>
    </row>
    <row r="938" spans="1:11" ht="24" customHeight="1" thickTop="1">
      <c r="A938" s="633"/>
      <c r="B938" s="633"/>
      <c r="C938" s="633"/>
      <c r="D938" s="633"/>
      <c r="E938" s="633"/>
      <c r="F938" s="633"/>
      <c r="G938" s="633"/>
      <c r="H938" s="633"/>
      <c r="I938" s="633"/>
      <c r="J938" s="633"/>
      <c r="K938"/>
    </row>
    <row r="939" spans="1:11" ht="24" customHeight="1">
      <c r="A939" s="613" t="s">
        <v>12839</v>
      </c>
      <c r="B939" s="614" t="s">
        <v>12698</v>
      </c>
      <c r="C939" s="613" t="s">
        <v>12699</v>
      </c>
      <c r="D939" s="613" t="s">
        <v>12700</v>
      </c>
      <c r="E939" s="807" t="s">
        <v>12701</v>
      </c>
      <c r="F939" s="808"/>
      <c r="G939" s="615" t="s">
        <v>12702</v>
      </c>
      <c r="H939" s="614" t="s">
        <v>12703</v>
      </c>
      <c r="I939" s="614" t="s">
        <v>12704</v>
      </c>
      <c r="J939" s="614" t="s">
        <v>12705</v>
      </c>
      <c r="K939"/>
    </row>
    <row r="940" spans="1:11" ht="24" customHeight="1">
      <c r="A940" s="616" t="s">
        <v>12706</v>
      </c>
      <c r="B940" s="617" t="s">
        <v>13506</v>
      </c>
      <c r="C940" s="616" t="s">
        <v>8</v>
      </c>
      <c r="D940" s="616" t="s">
        <v>2133</v>
      </c>
      <c r="E940" s="809" t="s">
        <v>12819</v>
      </c>
      <c r="F940" s="810"/>
      <c r="G940" s="618" t="s">
        <v>35</v>
      </c>
      <c r="H940" s="619">
        <v>1</v>
      </c>
      <c r="I940" s="620">
        <v>54.92</v>
      </c>
      <c r="J940" s="620">
        <v>54.92</v>
      </c>
      <c r="K940"/>
    </row>
    <row r="941" spans="1:11" ht="25.5">
      <c r="A941" s="621" t="s">
        <v>12708</v>
      </c>
      <c r="B941" s="622" t="s">
        <v>13187</v>
      </c>
      <c r="C941" s="621" t="s">
        <v>8</v>
      </c>
      <c r="D941" s="621" t="s">
        <v>1516</v>
      </c>
      <c r="E941" s="811" t="s">
        <v>12707</v>
      </c>
      <c r="F941" s="812"/>
      <c r="G941" s="623" t="s">
        <v>23</v>
      </c>
      <c r="H941" s="624">
        <v>0.23</v>
      </c>
      <c r="I941" s="625">
        <v>13.87</v>
      </c>
      <c r="J941" s="625">
        <v>3.19</v>
      </c>
      <c r="K941"/>
    </row>
    <row r="942" spans="1:11" ht="15" customHeight="1">
      <c r="A942" s="621" t="s">
        <v>12708</v>
      </c>
      <c r="B942" s="622" t="s">
        <v>12981</v>
      </c>
      <c r="C942" s="621" t="s">
        <v>8</v>
      </c>
      <c r="D942" s="621" t="s">
        <v>50</v>
      </c>
      <c r="E942" s="811" t="s">
        <v>12707</v>
      </c>
      <c r="F942" s="812"/>
      <c r="G942" s="623" t="s">
        <v>23</v>
      </c>
      <c r="H942" s="624">
        <v>0.3</v>
      </c>
      <c r="I942" s="625">
        <v>17.79</v>
      </c>
      <c r="J942" s="625">
        <v>5.33</v>
      </c>
      <c r="K942"/>
    </row>
    <row r="943" spans="1:11" ht="0.95" customHeight="1">
      <c r="A943" s="626" t="s">
        <v>12709</v>
      </c>
      <c r="B943" s="627" t="s">
        <v>13440</v>
      </c>
      <c r="C943" s="626" t="s">
        <v>8</v>
      </c>
      <c r="D943" s="626" t="s">
        <v>9427</v>
      </c>
      <c r="E943" s="804" t="s">
        <v>12720</v>
      </c>
      <c r="F943" s="805"/>
      <c r="G943" s="628" t="s">
        <v>35</v>
      </c>
      <c r="H943" s="629">
        <v>1.2999999999999999E-2</v>
      </c>
      <c r="I943" s="630">
        <v>14.97</v>
      </c>
      <c r="J943" s="630">
        <v>0.19</v>
      </c>
      <c r="K943"/>
    </row>
    <row r="944" spans="1:11" ht="18" customHeight="1">
      <c r="A944" s="626" t="s">
        <v>12709</v>
      </c>
      <c r="B944" s="627" t="s">
        <v>13505</v>
      </c>
      <c r="C944" s="626" t="s">
        <v>8</v>
      </c>
      <c r="D944" s="626" t="s">
        <v>11167</v>
      </c>
      <c r="E944" s="804" t="s">
        <v>12720</v>
      </c>
      <c r="F944" s="805"/>
      <c r="G944" s="628" t="s">
        <v>35</v>
      </c>
      <c r="H944" s="629">
        <v>1</v>
      </c>
      <c r="I944" s="630">
        <v>46.21</v>
      </c>
      <c r="J944" s="630">
        <v>46.21</v>
      </c>
      <c r="K944"/>
    </row>
    <row r="945" spans="1:11" ht="48" customHeight="1">
      <c r="A945" s="631"/>
      <c r="B945" s="631"/>
      <c r="C945" s="631"/>
      <c r="D945" s="631"/>
      <c r="E945" s="631" t="s">
        <v>12714</v>
      </c>
      <c r="F945" s="632">
        <v>3.3409017191047683</v>
      </c>
      <c r="G945" s="631" t="s">
        <v>12715</v>
      </c>
      <c r="H945" s="632">
        <v>2.84</v>
      </c>
      <c r="I945" s="631" t="s">
        <v>12716</v>
      </c>
      <c r="J945" s="632">
        <v>6.18</v>
      </c>
      <c r="K945"/>
    </row>
    <row r="946" spans="1:11" ht="24" customHeight="1" thickBot="1">
      <c r="A946" s="631"/>
      <c r="B946" s="631"/>
      <c r="C946" s="631"/>
      <c r="D946" s="631"/>
      <c r="E946" s="631" t="s">
        <v>12717</v>
      </c>
      <c r="F946" s="632">
        <v>15.5</v>
      </c>
      <c r="G946" s="631"/>
      <c r="H946" s="806" t="s">
        <v>12718</v>
      </c>
      <c r="I946" s="806"/>
      <c r="J946" s="632">
        <v>70.42</v>
      </c>
      <c r="K946"/>
    </row>
    <row r="947" spans="1:11" ht="24" customHeight="1" thickTop="1">
      <c r="A947" s="633"/>
      <c r="B947" s="633"/>
      <c r="C947" s="633"/>
      <c r="D947" s="633"/>
      <c r="E947" s="633"/>
      <c r="F947" s="633"/>
      <c r="G947" s="633"/>
      <c r="H947" s="633"/>
      <c r="I947" s="633"/>
      <c r="J947" s="633"/>
      <c r="K947"/>
    </row>
    <row r="948" spans="1:11" ht="24" customHeight="1">
      <c r="A948" s="613" t="s">
        <v>12840</v>
      </c>
      <c r="B948" s="614" t="s">
        <v>12698</v>
      </c>
      <c r="C948" s="613" t="s">
        <v>12699</v>
      </c>
      <c r="D948" s="613" t="s">
        <v>12700</v>
      </c>
      <c r="E948" s="807" t="s">
        <v>12701</v>
      </c>
      <c r="F948" s="808"/>
      <c r="G948" s="615" t="s">
        <v>12702</v>
      </c>
      <c r="H948" s="614" t="s">
        <v>12703</v>
      </c>
      <c r="I948" s="614" t="s">
        <v>12704</v>
      </c>
      <c r="J948" s="614" t="s">
        <v>12705</v>
      </c>
      <c r="K948"/>
    </row>
    <row r="949" spans="1:11" ht="24" customHeight="1">
      <c r="A949" s="616" t="s">
        <v>12706</v>
      </c>
      <c r="B949" s="617" t="s">
        <v>13504</v>
      </c>
      <c r="C949" s="616" t="s">
        <v>8</v>
      </c>
      <c r="D949" s="616" t="s">
        <v>1866</v>
      </c>
      <c r="E949" s="809" t="s">
        <v>12819</v>
      </c>
      <c r="F949" s="810"/>
      <c r="G949" s="618" t="s">
        <v>35</v>
      </c>
      <c r="H949" s="619">
        <v>1</v>
      </c>
      <c r="I949" s="620">
        <v>6.43</v>
      </c>
      <c r="J949" s="620">
        <v>6.43</v>
      </c>
      <c r="K949"/>
    </row>
    <row r="950" spans="1:11" ht="24" customHeight="1">
      <c r="A950" s="621" t="s">
        <v>12708</v>
      </c>
      <c r="B950" s="622" t="s">
        <v>13187</v>
      </c>
      <c r="C950" s="621" t="s">
        <v>8</v>
      </c>
      <c r="D950" s="621" t="s">
        <v>1516</v>
      </c>
      <c r="E950" s="811" t="s">
        <v>12707</v>
      </c>
      <c r="F950" s="812"/>
      <c r="G950" s="623" t="s">
        <v>23</v>
      </c>
      <c r="H950" s="624">
        <v>5.8999999999999997E-2</v>
      </c>
      <c r="I950" s="625">
        <v>13.87</v>
      </c>
      <c r="J950" s="625">
        <v>0.81</v>
      </c>
      <c r="K950"/>
    </row>
    <row r="951" spans="1:11" ht="24" customHeight="1">
      <c r="A951" s="621" t="s">
        <v>12708</v>
      </c>
      <c r="B951" s="622" t="s">
        <v>12981</v>
      </c>
      <c r="C951" s="621" t="s">
        <v>8</v>
      </c>
      <c r="D951" s="621" t="s">
        <v>50</v>
      </c>
      <c r="E951" s="811" t="s">
        <v>12707</v>
      </c>
      <c r="F951" s="812"/>
      <c r="G951" s="623" t="s">
        <v>23</v>
      </c>
      <c r="H951" s="624">
        <v>5.8999999999999997E-2</v>
      </c>
      <c r="I951" s="625">
        <v>17.79</v>
      </c>
      <c r="J951" s="625">
        <v>1.04</v>
      </c>
      <c r="K951"/>
    </row>
    <row r="952" spans="1:11" ht="25.5">
      <c r="A952" s="626" t="s">
        <v>12709</v>
      </c>
      <c r="B952" s="627" t="s">
        <v>13503</v>
      </c>
      <c r="C952" s="626" t="s">
        <v>8</v>
      </c>
      <c r="D952" s="626" t="s">
        <v>7290</v>
      </c>
      <c r="E952" s="804" t="s">
        <v>12720</v>
      </c>
      <c r="F952" s="805"/>
      <c r="G952" s="628" t="s">
        <v>35</v>
      </c>
      <c r="H952" s="629">
        <v>1</v>
      </c>
      <c r="I952" s="630">
        <v>2.63</v>
      </c>
      <c r="J952" s="630">
        <v>2.63</v>
      </c>
      <c r="K952"/>
    </row>
    <row r="953" spans="1:11" ht="15" customHeight="1">
      <c r="A953" s="626" t="s">
        <v>12709</v>
      </c>
      <c r="B953" s="627" t="s">
        <v>13468</v>
      </c>
      <c r="C953" s="626" t="s">
        <v>8</v>
      </c>
      <c r="D953" s="626" t="s">
        <v>7343</v>
      </c>
      <c r="E953" s="804" t="s">
        <v>12720</v>
      </c>
      <c r="F953" s="805"/>
      <c r="G953" s="628" t="s">
        <v>35</v>
      </c>
      <c r="H953" s="629">
        <v>1.2E-2</v>
      </c>
      <c r="I953" s="630">
        <v>79.94</v>
      </c>
      <c r="J953" s="630">
        <v>0.95</v>
      </c>
      <c r="K953"/>
    </row>
    <row r="954" spans="1:11" ht="0.95" customHeight="1">
      <c r="A954" s="626" t="s">
        <v>12709</v>
      </c>
      <c r="B954" s="627" t="s">
        <v>13467</v>
      </c>
      <c r="C954" s="626" t="s">
        <v>8</v>
      </c>
      <c r="D954" s="626" t="s">
        <v>9987</v>
      </c>
      <c r="E954" s="804" t="s">
        <v>12720</v>
      </c>
      <c r="F954" s="805"/>
      <c r="G954" s="628" t="s">
        <v>35</v>
      </c>
      <c r="H954" s="629">
        <v>0.02</v>
      </c>
      <c r="I954" s="630">
        <v>1.93</v>
      </c>
      <c r="J954" s="630">
        <v>0.03</v>
      </c>
      <c r="K954"/>
    </row>
    <row r="955" spans="1:11" ht="18" customHeight="1">
      <c r="A955" s="626" t="s">
        <v>12709</v>
      </c>
      <c r="B955" s="627" t="s">
        <v>13466</v>
      </c>
      <c r="C955" s="626" t="s">
        <v>8</v>
      </c>
      <c r="D955" s="626" t="s">
        <v>11315</v>
      </c>
      <c r="E955" s="804" t="s">
        <v>12720</v>
      </c>
      <c r="F955" s="805"/>
      <c r="G955" s="628" t="s">
        <v>35</v>
      </c>
      <c r="H955" s="629">
        <v>1.4E-2</v>
      </c>
      <c r="I955" s="630">
        <v>69.42</v>
      </c>
      <c r="J955" s="630">
        <v>0.97</v>
      </c>
      <c r="K955"/>
    </row>
    <row r="956" spans="1:11" ht="36" customHeight="1">
      <c r="A956" s="631"/>
      <c r="B956" s="631"/>
      <c r="C956" s="631"/>
      <c r="D956" s="631"/>
      <c r="E956" s="631" t="s">
        <v>12714</v>
      </c>
      <c r="F956" s="632">
        <v>0.72440263812304029</v>
      </c>
      <c r="G956" s="631" t="s">
        <v>12715</v>
      </c>
      <c r="H956" s="632">
        <v>0.62</v>
      </c>
      <c r="I956" s="631" t="s">
        <v>12716</v>
      </c>
      <c r="J956" s="632">
        <v>1.34</v>
      </c>
      <c r="K956"/>
    </row>
    <row r="957" spans="1:11" ht="24" customHeight="1" thickBot="1">
      <c r="A957" s="631"/>
      <c r="B957" s="631"/>
      <c r="C957" s="631"/>
      <c r="D957" s="631"/>
      <c r="E957" s="631" t="s">
        <v>12717</v>
      </c>
      <c r="F957" s="632">
        <v>1.81</v>
      </c>
      <c r="G957" s="631"/>
      <c r="H957" s="806" t="s">
        <v>12718</v>
      </c>
      <c r="I957" s="806"/>
      <c r="J957" s="632">
        <v>8.24</v>
      </c>
      <c r="K957"/>
    </row>
    <row r="958" spans="1:11" ht="24" customHeight="1" thickTop="1">
      <c r="A958" s="633"/>
      <c r="B958" s="633"/>
      <c r="C958" s="633"/>
      <c r="D958" s="633"/>
      <c r="E958" s="633"/>
      <c r="F958" s="633"/>
      <c r="G958" s="633"/>
      <c r="H958" s="633"/>
      <c r="I958" s="633"/>
      <c r="J958" s="633"/>
      <c r="K958"/>
    </row>
    <row r="959" spans="1:11" ht="24" customHeight="1">
      <c r="A959" s="613" t="s">
        <v>12841</v>
      </c>
      <c r="B959" s="614" t="s">
        <v>12698</v>
      </c>
      <c r="C959" s="613" t="s">
        <v>12699</v>
      </c>
      <c r="D959" s="613" t="s">
        <v>12700</v>
      </c>
      <c r="E959" s="807" t="s">
        <v>12701</v>
      </c>
      <c r="F959" s="808"/>
      <c r="G959" s="615" t="s">
        <v>12702</v>
      </c>
      <c r="H959" s="614" t="s">
        <v>12703</v>
      </c>
      <c r="I959" s="614" t="s">
        <v>12704</v>
      </c>
      <c r="J959" s="614" t="s">
        <v>12705</v>
      </c>
      <c r="K959"/>
    </row>
    <row r="960" spans="1:11" ht="24" customHeight="1">
      <c r="A960" s="616" t="s">
        <v>12706</v>
      </c>
      <c r="B960" s="617" t="s">
        <v>13502</v>
      </c>
      <c r="C960" s="616" t="s">
        <v>8</v>
      </c>
      <c r="D960" s="616" t="s">
        <v>466</v>
      </c>
      <c r="E960" s="809" t="s">
        <v>12819</v>
      </c>
      <c r="F960" s="810"/>
      <c r="G960" s="618" t="s">
        <v>35</v>
      </c>
      <c r="H960" s="619">
        <v>1</v>
      </c>
      <c r="I960" s="620">
        <v>6.83</v>
      </c>
      <c r="J960" s="620">
        <v>6.83</v>
      </c>
      <c r="K960"/>
    </row>
    <row r="961" spans="1:11" ht="24" customHeight="1">
      <c r="A961" s="621" t="s">
        <v>12708</v>
      </c>
      <c r="B961" s="622" t="s">
        <v>13187</v>
      </c>
      <c r="C961" s="621" t="s">
        <v>8</v>
      </c>
      <c r="D961" s="621" t="s">
        <v>1516</v>
      </c>
      <c r="E961" s="811" t="s">
        <v>12707</v>
      </c>
      <c r="F961" s="812"/>
      <c r="G961" s="623" t="s">
        <v>23</v>
      </c>
      <c r="H961" s="624">
        <v>0.11899999999999999</v>
      </c>
      <c r="I961" s="625">
        <v>13.87</v>
      </c>
      <c r="J961" s="625">
        <v>1.65</v>
      </c>
      <c r="K961"/>
    </row>
    <row r="962" spans="1:11" ht="24" customHeight="1">
      <c r="A962" s="621" t="s">
        <v>12708</v>
      </c>
      <c r="B962" s="622" t="s">
        <v>12981</v>
      </c>
      <c r="C962" s="621" t="s">
        <v>8</v>
      </c>
      <c r="D962" s="621" t="s">
        <v>50</v>
      </c>
      <c r="E962" s="811" t="s">
        <v>12707</v>
      </c>
      <c r="F962" s="812"/>
      <c r="G962" s="623" t="s">
        <v>23</v>
      </c>
      <c r="H962" s="624">
        <v>0.11899999999999999</v>
      </c>
      <c r="I962" s="625">
        <v>17.79</v>
      </c>
      <c r="J962" s="625">
        <v>2.11</v>
      </c>
      <c r="K962"/>
    </row>
    <row r="963" spans="1:11">
      <c r="A963" s="626" t="s">
        <v>12709</v>
      </c>
      <c r="B963" s="627" t="s">
        <v>13468</v>
      </c>
      <c r="C963" s="626" t="s">
        <v>8</v>
      </c>
      <c r="D963" s="626" t="s">
        <v>7343</v>
      </c>
      <c r="E963" s="804" t="s">
        <v>12720</v>
      </c>
      <c r="F963" s="805"/>
      <c r="G963" s="628" t="s">
        <v>35</v>
      </c>
      <c r="H963" s="629">
        <v>8.9999999999999993E-3</v>
      </c>
      <c r="I963" s="630">
        <v>79.94</v>
      </c>
      <c r="J963" s="630">
        <v>0.71</v>
      </c>
      <c r="K963"/>
    </row>
    <row r="964" spans="1:11" ht="15" customHeight="1">
      <c r="A964" s="626" t="s">
        <v>12709</v>
      </c>
      <c r="B964" s="627" t="s">
        <v>13501</v>
      </c>
      <c r="C964" s="626" t="s">
        <v>8</v>
      </c>
      <c r="D964" s="626" t="s">
        <v>7838</v>
      </c>
      <c r="E964" s="804" t="s">
        <v>12720</v>
      </c>
      <c r="F964" s="805"/>
      <c r="G964" s="628" t="s">
        <v>35</v>
      </c>
      <c r="H964" s="629">
        <v>1</v>
      </c>
      <c r="I964" s="630">
        <v>1.49</v>
      </c>
      <c r="J964" s="630">
        <v>1.49</v>
      </c>
      <c r="K964"/>
    </row>
    <row r="965" spans="1:11" ht="0.95" customHeight="1">
      <c r="A965" s="626" t="s">
        <v>12709</v>
      </c>
      <c r="B965" s="627" t="s">
        <v>13467</v>
      </c>
      <c r="C965" s="626" t="s">
        <v>8</v>
      </c>
      <c r="D965" s="626" t="s">
        <v>9987</v>
      </c>
      <c r="E965" s="804" t="s">
        <v>12720</v>
      </c>
      <c r="F965" s="805"/>
      <c r="G965" s="628" t="s">
        <v>35</v>
      </c>
      <c r="H965" s="629">
        <v>0.06</v>
      </c>
      <c r="I965" s="630">
        <v>1.93</v>
      </c>
      <c r="J965" s="630">
        <v>0.11</v>
      </c>
      <c r="K965"/>
    </row>
    <row r="966" spans="1:11" ht="18" customHeight="1">
      <c r="A966" s="626" t="s">
        <v>12709</v>
      </c>
      <c r="B966" s="627" t="s">
        <v>13466</v>
      </c>
      <c r="C966" s="626" t="s">
        <v>8</v>
      </c>
      <c r="D966" s="626" t="s">
        <v>11315</v>
      </c>
      <c r="E966" s="804" t="s">
        <v>12720</v>
      </c>
      <c r="F966" s="805"/>
      <c r="G966" s="628" t="s">
        <v>35</v>
      </c>
      <c r="H966" s="629">
        <v>1.0999999999999999E-2</v>
      </c>
      <c r="I966" s="630">
        <v>69.42</v>
      </c>
      <c r="J966" s="630">
        <v>0.76</v>
      </c>
      <c r="K966"/>
    </row>
    <row r="967" spans="1:11" ht="36" customHeight="1">
      <c r="A967" s="631"/>
      <c r="B967" s="631"/>
      <c r="C967" s="631"/>
      <c r="D967" s="631"/>
      <c r="E967" s="631" t="s">
        <v>12714</v>
      </c>
      <c r="F967" s="632">
        <v>1.4650232457562979</v>
      </c>
      <c r="G967" s="631" t="s">
        <v>12715</v>
      </c>
      <c r="H967" s="632">
        <v>1.24</v>
      </c>
      <c r="I967" s="631" t="s">
        <v>12716</v>
      </c>
      <c r="J967" s="632">
        <v>2.71</v>
      </c>
      <c r="K967"/>
    </row>
    <row r="968" spans="1:11" ht="24" customHeight="1" thickBot="1">
      <c r="A968" s="631"/>
      <c r="B968" s="631"/>
      <c r="C968" s="631"/>
      <c r="D968" s="631"/>
      <c r="E968" s="631" t="s">
        <v>12717</v>
      </c>
      <c r="F968" s="632">
        <v>1.92</v>
      </c>
      <c r="G968" s="631"/>
      <c r="H968" s="806" t="s">
        <v>12718</v>
      </c>
      <c r="I968" s="806"/>
      <c r="J968" s="632">
        <v>8.75</v>
      </c>
      <c r="K968"/>
    </row>
    <row r="969" spans="1:11" ht="24" customHeight="1" thickTop="1">
      <c r="A969" s="633"/>
      <c r="B969" s="633"/>
      <c r="C969" s="633"/>
      <c r="D969" s="633"/>
      <c r="E969" s="633"/>
      <c r="F969" s="633"/>
      <c r="G969" s="633"/>
      <c r="H969" s="633"/>
      <c r="I969" s="633"/>
      <c r="J969" s="633"/>
      <c r="K969"/>
    </row>
    <row r="970" spans="1:11" ht="24" customHeight="1">
      <c r="A970" s="613" t="s">
        <v>12842</v>
      </c>
      <c r="B970" s="614" t="s">
        <v>12698</v>
      </c>
      <c r="C970" s="613" t="s">
        <v>12699</v>
      </c>
      <c r="D970" s="613" t="s">
        <v>12700</v>
      </c>
      <c r="E970" s="807" t="s">
        <v>12701</v>
      </c>
      <c r="F970" s="808"/>
      <c r="G970" s="615" t="s">
        <v>12702</v>
      </c>
      <c r="H970" s="614" t="s">
        <v>12703</v>
      </c>
      <c r="I970" s="614" t="s">
        <v>12704</v>
      </c>
      <c r="J970" s="614" t="s">
        <v>12705</v>
      </c>
      <c r="K970"/>
    </row>
    <row r="971" spans="1:11" ht="24" customHeight="1">
      <c r="A971" s="616" t="s">
        <v>12706</v>
      </c>
      <c r="B971" s="617" t="s">
        <v>13500</v>
      </c>
      <c r="C971" s="616" t="s">
        <v>8</v>
      </c>
      <c r="D971" s="616" t="s">
        <v>368</v>
      </c>
      <c r="E971" s="809" t="s">
        <v>12819</v>
      </c>
      <c r="F971" s="810"/>
      <c r="G971" s="618" t="s">
        <v>35</v>
      </c>
      <c r="H971" s="619">
        <v>1</v>
      </c>
      <c r="I971" s="620">
        <v>9.1</v>
      </c>
      <c r="J971" s="620">
        <v>9.1</v>
      </c>
      <c r="K971"/>
    </row>
    <row r="972" spans="1:11" ht="24" customHeight="1">
      <c r="A972" s="621" t="s">
        <v>12708</v>
      </c>
      <c r="B972" s="622" t="s">
        <v>13187</v>
      </c>
      <c r="C972" s="621" t="s">
        <v>8</v>
      </c>
      <c r="D972" s="621" t="s">
        <v>1516</v>
      </c>
      <c r="E972" s="811" t="s">
        <v>12707</v>
      </c>
      <c r="F972" s="812"/>
      <c r="G972" s="623" t="s">
        <v>23</v>
      </c>
      <c r="H972" s="624">
        <v>0.2</v>
      </c>
      <c r="I972" s="625">
        <v>13.87</v>
      </c>
      <c r="J972" s="625">
        <v>2.77</v>
      </c>
      <c r="K972"/>
    </row>
    <row r="973" spans="1:11" ht="24" customHeight="1">
      <c r="A973" s="621" t="s">
        <v>12708</v>
      </c>
      <c r="B973" s="622" t="s">
        <v>12981</v>
      </c>
      <c r="C973" s="621" t="s">
        <v>8</v>
      </c>
      <c r="D973" s="621" t="s">
        <v>50</v>
      </c>
      <c r="E973" s="811" t="s">
        <v>12707</v>
      </c>
      <c r="F973" s="812"/>
      <c r="G973" s="623" t="s">
        <v>23</v>
      </c>
      <c r="H973" s="624">
        <v>0.2</v>
      </c>
      <c r="I973" s="625">
        <v>17.79</v>
      </c>
      <c r="J973" s="625">
        <v>3.55</v>
      </c>
      <c r="K973"/>
    </row>
    <row r="974" spans="1:11">
      <c r="A974" s="626" t="s">
        <v>12709</v>
      </c>
      <c r="B974" s="627" t="s">
        <v>13468</v>
      </c>
      <c r="C974" s="626" t="s">
        <v>8</v>
      </c>
      <c r="D974" s="626" t="s">
        <v>7343</v>
      </c>
      <c r="E974" s="804" t="s">
        <v>12720</v>
      </c>
      <c r="F974" s="805"/>
      <c r="G974" s="628" t="s">
        <v>35</v>
      </c>
      <c r="H974" s="629">
        <v>1.0999999999999999E-2</v>
      </c>
      <c r="I974" s="630">
        <v>79.94</v>
      </c>
      <c r="J974" s="630">
        <v>0.87</v>
      </c>
      <c r="K974"/>
    </row>
    <row r="975" spans="1:11" ht="15" customHeight="1">
      <c r="A975" s="626" t="s">
        <v>12709</v>
      </c>
      <c r="B975" s="627" t="s">
        <v>13467</v>
      </c>
      <c r="C975" s="626" t="s">
        <v>8</v>
      </c>
      <c r="D975" s="626" t="s">
        <v>9987</v>
      </c>
      <c r="E975" s="804" t="s">
        <v>12720</v>
      </c>
      <c r="F975" s="805"/>
      <c r="G975" s="628" t="s">
        <v>35</v>
      </c>
      <c r="H975" s="629">
        <v>7.4999999999999997E-2</v>
      </c>
      <c r="I975" s="630">
        <v>1.93</v>
      </c>
      <c r="J975" s="630">
        <v>0.14000000000000001</v>
      </c>
      <c r="K975"/>
    </row>
    <row r="976" spans="1:11" ht="0.95" customHeight="1">
      <c r="A976" s="626" t="s">
        <v>12709</v>
      </c>
      <c r="B976" s="627" t="s">
        <v>13466</v>
      </c>
      <c r="C976" s="626" t="s">
        <v>8</v>
      </c>
      <c r="D976" s="626" t="s">
        <v>11315</v>
      </c>
      <c r="E976" s="804" t="s">
        <v>12720</v>
      </c>
      <c r="F976" s="805"/>
      <c r="G976" s="628" t="s">
        <v>35</v>
      </c>
      <c r="H976" s="629">
        <v>1.2E-2</v>
      </c>
      <c r="I976" s="630">
        <v>69.42</v>
      </c>
      <c r="J976" s="630">
        <v>0.83</v>
      </c>
      <c r="K976"/>
    </row>
    <row r="977" spans="1:11" ht="18" customHeight="1">
      <c r="A977" s="626" t="s">
        <v>12709</v>
      </c>
      <c r="B977" s="627" t="s">
        <v>13499</v>
      </c>
      <c r="C977" s="626" t="s">
        <v>8</v>
      </c>
      <c r="D977" s="626" t="s">
        <v>11592</v>
      </c>
      <c r="E977" s="804" t="s">
        <v>12720</v>
      </c>
      <c r="F977" s="805"/>
      <c r="G977" s="628" t="s">
        <v>35</v>
      </c>
      <c r="H977" s="629">
        <v>1</v>
      </c>
      <c r="I977" s="630">
        <v>0.94</v>
      </c>
      <c r="J977" s="630">
        <v>0.94</v>
      </c>
      <c r="K977"/>
    </row>
    <row r="978" spans="1:11" ht="24" customHeight="1">
      <c r="A978" s="631"/>
      <c r="B978" s="631"/>
      <c r="C978" s="631"/>
      <c r="D978" s="631"/>
      <c r="E978" s="631" t="s">
        <v>12714</v>
      </c>
      <c r="F978" s="632">
        <v>2.4651313655530327</v>
      </c>
      <c r="G978" s="631" t="s">
        <v>12715</v>
      </c>
      <c r="H978" s="632">
        <v>2.09</v>
      </c>
      <c r="I978" s="631" t="s">
        <v>12716</v>
      </c>
      <c r="J978" s="632">
        <v>4.5599999999999996</v>
      </c>
      <c r="K978"/>
    </row>
    <row r="979" spans="1:11" ht="24" customHeight="1" thickBot="1">
      <c r="A979" s="631"/>
      <c r="B979" s="631"/>
      <c r="C979" s="631"/>
      <c r="D979" s="631"/>
      <c r="E979" s="631" t="s">
        <v>12717</v>
      </c>
      <c r="F979" s="632">
        <v>2.56</v>
      </c>
      <c r="G979" s="631"/>
      <c r="H979" s="806" t="s">
        <v>12718</v>
      </c>
      <c r="I979" s="806"/>
      <c r="J979" s="632">
        <v>11.66</v>
      </c>
      <c r="K979"/>
    </row>
    <row r="980" spans="1:11" ht="24" customHeight="1" thickTop="1">
      <c r="A980" s="633"/>
      <c r="B980" s="633"/>
      <c r="C980" s="633"/>
      <c r="D980" s="633"/>
      <c r="E980" s="633"/>
      <c r="F980" s="633"/>
      <c r="G980" s="633"/>
      <c r="H980" s="633"/>
      <c r="I980" s="633"/>
      <c r="J980" s="633"/>
      <c r="K980"/>
    </row>
    <row r="981" spans="1:11" ht="24" customHeight="1">
      <c r="A981" s="613" t="s">
        <v>12843</v>
      </c>
      <c r="B981" s="614" t="s">
        <v>12698</v>
      </c>
      <c r="C981" s="613" t="s">
        <v>12699</v>
      </c>
      <c r="D981" s="613" t="s">
        <v>12700</v>
      </c>
      <c r="E981" s="807" t="s">
        <v>12701</v>
      </c>
      <c r="F981" s="808"/>
      <c r="G981" s="615" t="s">
        <v>12702</v>
      </c>
      <c r="H981" s="614" t="s">
        <v>12703</v>
      </c>
      <c r="I981" s="614" t="s">
        <v>12704</v>
      </c>
      <c r="J981" s="614" t="s">
        <v>12705</v>
      </c>
      <c r="K981"/>
    </row>
    <row r="982" spans="1:11" ht="24" customHeight="1">
      <c r="A982" s="616" t="s">
        <v>12706</v>
      </c>
      <c r="B982" s="617" t="s">
        <v>13498</v>
      </c>
      <c r="C982" s="616" t="s">
        <v>8</v>
      </c>
      <c r="D982" s="616" t="s">
        <v>1905</v>
      </c>
      <c r="E982" s="809" t="s">
        <v>12819</v>
      </c>
      <c r="F982" s="810"/>
      <c r="G982" s="618" t="s">
        <v>35</v>
      </c>
      <c r="H982" s="619">
        <v>1</v>
      </c>
      <c r="I982" s="620">
        <v>13.55</v>
      </c>
      <c r="J982" s="620">
        <v>13.55</v>
      </c>
      <c r="K982"/>
    </row>
    <row r="983" spans="1:11" ht="24" customHeight="1">
      <c r="A983" s="621" t="s">
        <v>12708</v>
      </c>
      <c r="B983" s="622" t="s">
        <v>13187</v>
      </c>
      <c r="C983" s="621" t="s">
        <v>8</v>
      </c>
      <c r="D983" s="621" t="s">
        <v>1516</v>
      </c>
      <c r="E983" s="811" t="s">
        <v>12707</v>
      </c>
      <c r="F983" s="812"/>
      <c r="G983" s="623" t="s">
        <v>23</v>
      </c>
      <c r="H983" s="624">
        <v>0.11899999999999999</v>
      </c>
      <c r="I983" s="625">
        <v>13.87</v>
      </c>
      <c r="J983" s="625">
        <v>1.65</v>
      </c>
      <c r="K983"/>
    </row>
    <row r="984" spans="1:11" ht="24" customHeight="1">
      <c r="A984" s="621" t="s">
        <v>12708</v>
      </c>
      <c r="B984" s="622" t="s">
        <v>12981</v>
      </c>
      <c r="C984" s="621" t="s">
        <v>8</v>
      </c>
      <c r="D984" s="621" t="s">
        <v>50</v>
      </c>
      <c r="E984" s="811" t="s">
        <v>12707</v>
      </c>
      <c r="F984" s="812"/>
      <c r="G984" s="623" t="s">
        <v>23</v>
      </c>
      <c r="H984" s="624">
        <v>0.11899999999999999</v>
      </c>
      <c r="I984" s="625">
        <v>17.79</v>
      </c>
      <c r="J984" s="625">
        <v>2.11</v>
      </c>
      <c r="K984"/>
    </row>
    <row r="985" spans="1:11">
      <c r="A985" s="626" t="s">
        <v>12709</v>
      </c>
      <c r="B985" s="627" t="s">
        <v>13468</v>
      </c>
      <c r="C985" s="626" t="s">
        <v>8</v>
      </c>
      <c r="D985" s="626" t="s">
        <v>7343</v>
      </c>
      <c r="E985" s="804" t="s">
        <v>12720</v>
      </c>
      <c r="F985" s="805"/>
      <c r="G985" s="628" t="s">
        <v>35</v>
      </c>
      <c r="H985" s="629">
        <v>1.7999999999999999E-2</v>
      </c>
      <c r="I985" s="630">
        <v>79.94</v>
      </c>
      <c r="J985" s="630">
        <v>1.43</v>
      </c>
      <c r="K985"/>
    </row>
    <row r="986" spans="1:11" ht="15" customHeight="1">
      <c r="A986" s="626" t="s">
        <v>12709</v>
      </c>
      <c r="B986" s="627" t="s">
        <v>13467</v>
      </c>
      <c r="C986" s="626" t="s">
        <v>8</v>
      </c>
      <c r="D986" s="626" t="s">
        <v>9987</v>
      </c>
      <c r="E986" s="804" t="s">
        <v>12720</v>
      </c>
      <c r="F986" s="805"/>
      <c r="G986" s="628" t="s">
        <v>35</v>
      </c>
      <c r="H986" s="629">
        <v>0.03</v>
      </c>
      <c r="I986" s="630">
        <v>1.93</v>
      </c>
      <c r="J986" s="630">
        <v>0.05</v>
      </c>
      <c r="K986"/>
    </row>
    <row r="987" spans="1:11" ht="0.95" customHeight="1">
      <c r="A987" s="626" t="s">
        <v>12709</v>
      </c>
      <c r="B987" s="627" t="s">
        <v>13466</v>
      </c>
      <c r="C987" s="626" t="s">
        <v>8</v>
      </c>
      <c r="D987" s="626" t="s">
        <v>11315</v>
      </c>
      <c r="E987" s="804" t="s">
        <v>12720</v>
      </c>
      <c r="F987" s="805"/>
      <c r="G987" s="628" t="s">
        <v>35</v>
      </c>
      <c r="H987" s="629">
        <v>2.1000000000000001E-2</v>
      </c>
      <c r="I987" s="630">
        <v>69.42</v>
      </c>
      <c r="J987" s="630">
        <v>1.45</v>
      </c>
      <c r="K987"/>
    </row>
    <row r="988" spans="1:11" ht="18" customHeight="1">
      <c r="A988" s="626" t="s">
        <v>12709</v>
      </c>
      <c r="B988" s="627" t="s">
        <v>13497</v>
      </c>
      <c r="C988" s="626" t="s">
        <v>8</v>
      </c>
      <c r="D988" s="626" t="s">
        <v>11594</v>
      </c>
      <c r="E988" s="804" t="s">
        <v>12720</v>
      </c>
      <c r="F988" s="805"/>
      <c r="G988" s="628" t="s">
        <v>35</v>
      </c>
      <c r="H988" s="629">
        <v>1</v>
      </c>
      <c r="I988" s="630">
        <v>6.86</v>
      </c>
      <c r="J988" s="630">
        <v>6.86</v>
      </c>
      <c r="K988"/>
    </row>
    <row r="989" spans="1:11" ht="36" customHeight="1">
      <c r="A989" s="631"/>
      <c r="B989" s="631"/>
      <c r="C989" s="631"/>
      <c r="D989" s="631"/>
      <c r="E989" s="631" t="s">
        <v>12714</v>
      </c>
      <c r="F989" s="632">
        <v>1.4650232457562979</v>
      </c>
      <c r="G989" s="631" t="s">
        <v>12715</v>
      </c>
      <c r="H989" s="632">
        <v>1.24</v>
      </c>
      <c r="I989" s="631" t="s">
        <v>12716</v>
      </c>
      <c r="J989" s="632">
        <v>2.71</v>
      </c>
      <c r="K989"/>
    </row>
    <row r="990" spans="1:11" ht="24" customHeight="1" thickBot="1">
      <c r="A990" s="631"/>
      <c r="B990" s="631"/>
      <c r="C990" s="631"/>
      <c r="D990" s="631"/>
      <c r="E990" s="631" t="s">
        <v>12717</v>
      </c>
      <c r="F990" s="632">
        <v>3.82</v>
      </c>
      <c r="G990" s="631"/>
      <c r="H990" s="806" t="s">
        <v>12718</v>
      </c>
      <c r="I990" s="806"/>
      <c r="J990" s="632">
        <v>17.37</v>
      </c>
      <c r="K990"/>
    </row>
    <row r="991" spans="1:11" ht="24" customHeight="1" thickTop="1">
      <c r="A991" s="633"/>
      <c r="B991" s="633"/>
      <c r="C991" s="633"/>
      <c r="D991" s="633"/>
      <c r="E991" s="633"/>
      <c r="F991" s="633"/>
      <c r="G991" s="633"/>
      <c r="H991" s="633"/>
      <c r="I991" s="633"/>
      <c r="J991" s="633"/>
      <c r="K991"/>
    </row>
    <row r="992" spans="1:11" ht="24" customHeight="1">
      <c r="A992" s="613" t="s">
        <v>12844</v>
      </c>
      <c r="B992" s="614" t="s">
        <v>12698</v>
      </c>
      <c r="C992" s="613" t="s">
        <v>12699</v>
      </c>
      <c r="D992" s="613" t="s">
        <v>12700</v>
      </c>
      <c r="E992" s="807" t="s">
        <v>12701</v>
      </c>
      <c r="F992" s="808"/>
      <c r="G992" s="615" t="s">
        <v>12702</v>
      </c>
      <c r="H992" s="614" t="s">
        <v>12703</v>
      </c>
      <c r="I992" s="614" t="s">
        <v>12704</v>
      </c>
      <c r="J992" s="614" t="s">
        <v>12705</v>
      </c>
      <c r="K992"/>
    </row>
    <row r="993" spans="1:11" ht="24" customHeight="1">
      <c r="A993" s="616" t="s">
        <v>12706</v>
      </c>
      <c r="B993" s="617" t="s">
        <v>13496</v>
      </c>
      <c r="C993" s="616" t="s">
        <v>8</v>
      </c>
      <c r="D993" s="616" t="s">
        <v>1730</v>
      </c>
      <c r="E993" s="809" t="s">
        <v>12819</v>
      </c>
      <c r="F993" s="810"/>
      <c r="G993" s="618" t="s">
        <v>35</v>
      </c>
      <c r="H993" s="619">
        <v>1</v>
      </c>
      <c r="I993" s="620">
        <v>11.43</v>
      </c>
      <c r="J993" s="620">
        <v>11.43</v>
      </c>
      <c r="K993"/>
    </row>
    <row r="994" spans="1:11" ht="24" customHeight="1">
      <c r="A994" s="621" t="s">
        <v>12708</v>
      </c>
      <c r="B994" s="622" t="s">
        <v>13187</v>
      </c>
      <c r="C994" s="621" t="s">
        <v>8</v>
      </c>
      <c r="D994" s="621" t="s">
        <v>1516</v>
      </c>
      <c r="E994" s="811" t="s">
        <v>12707</v>
      </c>
      <c r="F994" s="812"/>
      <c r="G994" s="623" t="s">
        <v>23</v>
      </c>
      <c r="H994" s="624">
        <v>0.15</v>
      </c>
      <c r="I994" s="625">
        <v>13.87</v>
      </c>
      <c r="J994" s="625">
        <v>2.08</v>
      </c>
      <c r="K994"/>
    </row>
    <row r="995" spans="1:11" ht="24" customHeight="1">
      <c r="A995" s="621" t="s">
        <v>12708</v>
      </c>
      <c r="B995" s="622" t="s">
        <v>12981</v>
      </c>
      <c r="C995" s="621" t="s">
        <v>8</v>
      </c>
      <c r="D995" s="621" t="s">
        <v>50</v>
      </c>
      <c r="E995" s="811" t="s">
        <v>12707</v>
      </c>
      <c r="F995" s="812"/>
      <c r="G995" s="623" t="s">
        <v>23</v>
      </c>
      <c r="H995" s="624">
        <v>0.15</v>
      </c>
      <c r="I995" s="625">
        <v>17.79</v>
      </c>
      <c r="J995" s="625">
        <v>2.66</v>
      </c>
      <c r="K995"/>
    </row>
    <row r="996" spans="1:11">
      <c r="A996" s="626" t="s">
        <v>12709</v>
      </c>
      <c r="B996" s="627" t="s">
        <v>13468</v>
      </c>
      <c r="C996" s="626" t="s">
        <v>8</v>
      </c>
      <c r="D996" s="626" t="s">
        <v>7343</v>
      </c>
      <c r="E996" s="804" t="s">
        <v>12720</v>
      </c>
      <c r="F996" s="805"/>
      <c r="G996" s="628" t="s">
        <v>35</v>
      </c>
      <c r="H996" s="629">
        <v>7.0000000000000001E-3</v>
      </c>
      <c r="I996" s="630">
        <v>79.94</v>
      </c>
      <c r="J996" s="630">
        <v>0.55000000000000004</v>
      </c>
      <c r="K996"/>
    </row>
    <row r="997" spans="1:11" ht="15" customHeight="1">
      <c r="A997" s="626" t="s">
        <v>12709</v>
      </c>
      <c r="B997" s="627" t="s">
        <v>13495</v>
      </c>
      <c r="C997" s="626" t="s">
        <v>8</v>
      </c>
      <c r="D997" s="626" t="s">
        <v>9748</v>
      </c>
      <c r="E997" s="804" t="s">
        <v>12720</v>
      </c>
      <c r="F997" s="805"/>
      <c r="G997" s="628" t="s">
        <v>35</v>
      </c>
      <c r="H997" s="629">
        <v>1</v>
      </c>
      <c r="I997" s="630">
        <v>5.5</v>
      </c>
      <c r="J997" s="630">
        <v>5.5</v>
      </c>
      <c r="K997"/>
    </row>
    <row r="998" spans="1:11" ht="0.95" customHeight="1">
      <c r="A998" s="626" t="s">
        <v>12709</v>
      </c>
      <c r="B998" s="627" t="s">
        <v>13467</v>
      </c>
      <c r="C998" s="626" t="s">
        <v>8</v>
      </c>
      <c r="D998" s="626" t="s">
        <v>9987</v>
      </c>
      <c r="E998" s="804" t="s">
        <v>12720</v>
      </c>
      <c r="F998" s="805"/>
      <c r="G998" s="628" t="s">
        <v>35</v>
      </c>
      <c r="H998" s="629">
        <v>0.05</v>
      </c>
      <c r="I998" s="630">
        <v>1.93</v>
      </c>
      <c r="J998" s="630">
        <v>0.09</v>
      </c>
      <c r="K998"/>
    </row>
    <row r="999" spans="1:11" ht="18" customHeight="1">
      <c r="A999" s="626" t="s">
        <v>12709</v>
      </c>
      <c r="B999" s="627" t="s">
        <v>13466</v>
      </c>
      <c r="C999" s="626" t="s">
        <v>8</v>
      </c>
      <c r="D999" s="626" t="s">
        <v>11315</v>
      </c>
      <c r="E999" s="804" t="s">
        <v>12720</v>
      </c>
      <c r="F999" s="805"/>
      <c r="G999" s="628" t="s">
        <v>35</v>
      </c>
      <c r="H999" s="629">
        <v>8.0000000000000002E-3</v>
      </c>
      <c r="I999" s="630">
        <v>69.42</v>
      </c>
      <c r="J999" s="630">
        <v>0.55000000000000004</v>
      </c>
      <c r="K999"/>
    </row>
    <row r="1000" spans="1:11" ht="24" customHeight="1">
      <c r="A1000" s="631"/>
      <c r="B1000" s="631"/>
      <c r="C1000" s="631"/>
      <c r="D1000" s="631"/>
      <c r="E1000" s="631" t="s">
        <v>12714</v>
      </c>
      <c r="F1000" s="632">
        <v>1.8488485241647745</v>
      </c>
      <c r="G1000" s="631" t="s">
        <v>12715</v>
      </c>
      <c r="H1000" s="632">
        <v>1.57</v>
      </c>
      <c r="I1000" s="631" t="s">
        <v>12716</v>
      </c>
      <c r="J1000" s="632">
        <v>3.42</v>
      </c>
      <c r="K1000"/>
    </row>
    <row r="1001" spans="1:11" ht="24" customHeight="1" thickBot="1">
      <c r="A1001" s="631"/>
      <c r="B1001" s="631"/>
      <c r="C1001" s="631"/>
      <c r="D1001" s="631"/>
      <c r="E1001" s="631" t="s">
        <v>12717</v>
      </c>
      <c r="F1001" s="632">
        <v>3.22</v>
      </c>
      <c r="G1001" s="631"/>
      <c r="H1001" s="806" t="s">
        <v>12718</v>
      </c>
      <c r="I1001" s="806"/>
      <c r="J1001" s="632">
        <v>14.65</v>
      </c>
      <c r="K1001"/>
    </row>
    <row r="1002" spans="1:11" ht="15" thickTop="1">
      <c r="A1002" s="633"/>
      <c r="B1002" s="633"/>
      <c r="C1002" s="633"/>
      <c r="D1002" s="633"/>
      <c r="E1002" s="633"/>
      <c r="F1002" s="633"/>
      <c r="G1002" s="633"/>
      <c r="H1002" s="633"/>
      <c r="I1002" s="633"/>
      <c r="J1002" s="633"/>
      <c r="K1002"/>
    </row>
    <row r="1003" spans="1:11" ht="15" customHeight="1">
      <c r="A1003" s="613" t="s">
        <v>12845</v>
      </c>
      <c r="B1003" s="614" t="s">
        <v>12698</v>
      </c>
      <c r="C1003" s="613" t="s">
        <v>12699</v>
      </c>
      <c r="D1003" s="613" t="s">
        <v>12700</v>
      </c>
      <c r="E1003" s="807" t="s">
        <v>12701</v>
      </c>
      <c r="F1003" s="808"/>
      <c r="G1003" s="615" t="s">
        <v>12702</v>
      </c>
      <c r="H1003" s="614" t="s">
        <v>12703</v>
      </c>
      <c r="I1003" s="614" t="s">
        <v>12704</v>
      </c>
      <c r="J1003" s="614" t="s">
        <v>12705</v>
      </c>
      <c r="K1003"/>
    </row>
    <row r="1004" spans="1:11" ht="0.95" customHeight="1">
      <c r="A1004" s="616" t="s">
        <v>12706</v>
      </c>
      <c r="B1004" s="617" t="s">
        <v>13494</v>
      </c>
      <c r="C1004" s="616" t="s">
        <v>8</v>
      </c>
      <c r="D1004" s="616" t="s">
        <v>4716</v>
      </c>
      <c r="E1004" s="809" t="s">
        <v>12729</v>
      </c>
      <c r="F1004" s="810"/>
      <c r="G1004" s="618" t="s">
        <v>12730</v>
      </c>
      <c r="H1004" s="619">
        <v>1</v>
      </c>
      <c r="I1004" s="620">
        <v>56.84</v>
      </c>
      <c r="J1004" s="620">
        <v>56.84</v>
      </c>
      <c r="K1004"/>
    </row>
    <row r="1005" spans="1:11" ht="18" customHeight="1">
      <c r="A1005" s="621" t="s">
        <v>12708</v>
      </c>
      <c r="B1005" s="622" t="s">
        <v>12727</v>
      </c>
      <c r="C1005" s="621" t="s">
        <v>8</v>
      </c>
      <c r="D1005" s="621" t="s">
        <v>26</v>
      </c>
      <c r="E1005" s="811" t="s">
        <v>12707</v>
      </c>
      <c r="F1005" s="812"/>
      <c r="G1005" s="623" t="s">
        <v>23</v>
      </c>
      <c r="H1005" s="624">
        <v>3.956</v>
      </c>
      <c r="I1005" s="625">
        <v>14.37</v>
      </c>
      <c r="J1005" s="625">
        <v>56.84</v>
      </c>
      <c r="K1005"/>
    </row>
    <row r="1006" spans="1:11" ht="24" customHeight="1">
      <c r="A1006" s="631"/>
      <c r="B1006" s="631"/>
      <c r="C1006" s="631"/>
      <c r="D1006" s="631"/>
      <c r="E1006" s="631" t="s">
        <v>12714</v>
      </c>
      <c r="F1006" s="632">
        <v>20.613039247486213</v>
      </c>
      <c r="G1006" s="631" t="s">
        <v>12715</v>
      </c>
      <c r="H1006" s="632">
        <v>17.52</v>
      </c>
      <c r="I1006" s="631" t="s">
        <v>12716</v>
      </c>
      <c r="J1006" s="632">
        <v>38.130000000000003</v>
      </c>
      <c r="K1006"/>
    </row>
    <row r="1007" spans="1:11" ht="24" customHeight="1" thickBot="1">
      <c r="A1007" s="631"/>
      <c r="B1007" s="631"/>
      <c r="C1007" s="631"/>
      <c r="D1007" s="631"/>
      <c r="E1007" s="631" t="s">
        <v>12717</v>
      </c>
      <c r="F1007" s="632">
        <v>16.05</v>
      </c>
      <c r="G1007" s="631"/>
      <c r="H1007" s="806" t="s">
        <v>12718</v>
      </c>
      <c r="I1007" s="806"/>
      <c r="J1007" s="632">
        <v>72.89</v>
      </c>
      <c r="K1007"/>
    </row>
    <row r="1008" spans="1:11" ht="15" thickTop="1">
      <c r="A1008" s="633"/>
      <c r="B1008" s="633"/>
      <c r="C1008" s="633"/>
      <c r="D1008" s="633"/>
      <c r="E1008" s="633"/>
      <c r="F1008" s="633"/>
      <c r="G1008" s="633"/>
      <c r="H1008" s="633"/>
      <c r="I1008" s="633"/>
      <c r="J1008" s="633"/>
      <c r="K1008"/>
    </row>
    <row r="1009" spans="1:11" ht="15" customHeight="1">
      <c r="A1009" s="613" t="s">
        <v>12846</v>
      </c>
      <c r="B1009" s="614" t="s">
        <v>12698</v>
      </c>
      <c r="C1009" s="613" t="s">
        <v>12699</v>
      </c>
      <c r="D1009" s="613" t="s">
        <v>12700</v>
      </c>
      <c r="E1009" s="807" t="s">
        <v>12701</v>
      </c>
      <c r="F1009" s="808"/>
      <c r="G1009" s="615" t="s">
        <v>12702</v>
      </c>
      <c r="H1009" s="614" t="s">
        <v>12703</v>
      </c>
      <c r="I1009" s="614" t="s">
        <v>12704</v>
      </c>
      <c r="J1009" s="614" t="s">
        <v>12705</v>
      </c>
      <c r="K1009"/>
    </row>
    <row r="1010" spans="1:11" ht="0.95" customHeight="1">
      <c r="A1010" s="616" t="s">
        <v>12706</v>
      </c>
      <c r="B1010" s="617" t="s">
        <v>13493</v>
      </c>
      <c r="C1010" s="616" t="s">
        <v>8</v>
      </c>
      <c r="D1010" s="616" t="s">
        <v>4493</v>
      </c>
      <c r="E1010" s="809" t="s">
        <v>12729</v>
      </c>
      <c r="F1010" s="810"/>
      <c r="G1010" s="618" t="s">
        <v>12730</v>
      </c>
      <c r="H1010" s="619">
        <v>1</v>
      </c>
      <c r="I1010" s="620">
        <v>34.46</v>
      </c>
      <c r="J1010" s="620">
        <v>34.46</v>
      </c>
      <c r="K1010"/>
    </row>
    <row r="1011" spans="1:11" ht="18" customHeight="1">
      <c r="A1011" s="621" t="s">
        <v>12708</v>
      </c>
      <c r="B1011" s="622" t="s">
        <v>12727</v>
      </c>
      <c r="C1011" s="621" t="s">
        <v>8</v>
      </c>
      <c r="D1011" s="621" t="s">
        <v>26</v>
      </c>
      <c r="E1011" s="811" t="s">
        <v>12707</v>
      </c>
      <c r="F1011" s="812"/>
      <c r="G1011" s="623" t="s">
        <v>23</v>
      </c>
      <c r="H1011" s="624">
        <v>2.3986000000000001</v>
      </c>
      <c r="I1011" s="625">
        <v>14.37</v>
      </c>
      <c r="J1011" s="625">
        <v>34.46</v>
      </c>
      <c r="K1011"/>
    </row>
    <row r="1012" spans="1:11" ht="36" customHeight="1">
      <c r="A1012" s="631"/>
      <c r="B1012" s="631"/>
      <c r="C1012" s="631"/>
      <c r="D1012" s="631"/>
      <c r="E1012" s="631" t="s">
        <v>12714</v>
      </c>
      <c r="F1012" s="632">
        <v>12.498648502540815</v>
      </c>
      <c r="G1012" s="631" t="s">
        <v>12715</v>
      </c>
      <c r="H1012" s="632">
        <v>10.62</v>
      </c>
      <c r="I1012" s="631" t="s">
        <v>12716</v>
      </c>
      <c r="J1012" s="632">
        <v>23.12</v>
      </c>
      <c r="K1012"/>
    </row>
    <row r="1013" spans="1:11" ht="24" customHeight="1" thickBot="1">
      <c r="A1013" s="631"/>
      <c r="B1013" s="631"/>
      <c r="C1013" s="631"/>
      <c r="D1013" s="631"/>
      <c r="E1013" s="631" t="s">
        <v>12717</v>
      </c>
      <c r="F1013" s="632">
        <v>9.73</v>
      </c>
      <c r="G1013" s="631"/>
      <c r="H1013" s="806" t="s">
        <v>12718</v>
      </c>
      <c r="I1013" s="806"/>
      <c r="J1013" s="632">
        <v>44.19</v>
      </c>
      <c r="K1013"/>
    </row>
    <row r="1014" spans="1:11" ht="24" customHeight="1" thickTop="1">
      <c r="A1014" s="633"/>
      <c r="B1014" s="633"/>
      <c r="C1014" s="633"/>
      <c r="D1014" s="633"/>
      <c r="E1014" s="633"/>
      <c r="F1014" s="633"/>
      <c r="G1014" s="633"/>
      <c r="H1014" s="633"/>
      <c r="I1014" s="633"/>
      <c r="J1014" s="633"/>
      <c r="K1014"/>
    </row>
    <row r="1015" spans="1:11" ht="24" customHeight="1">
      <c r="A1015" s="613" t="s">
        <v>12847</v>
      </c>
      <c r="B1015" s="614" t="s">
        <v>12698</v>
      </c>
      <c r="C1015" s="613" t="s">
        <v>12699</v>
      </c>
      <c r="D1015" s="613" t="s">
        <v>12700</v>
      </c>
      <c r="E1015" s="807" t="s">
        <v>12701</v>
      </c>
      <c r="F1015" s="808"/>
      <c r="G1015" s="615" t="s">
        <v>12702</v>
      </c>
      <c r="H1015" s="614" t="s">
        <v>12703</v>
      </c>
      <c r="I1015" s="614" t="s">
        <v>12704</v>
      </c>
      <c r="J1015" s="614" t="s">
        <v>12705</v>
      </c>
      <c r="K1015"/>
    </row>
    <row r="1016" spans="1:11" ht="24" customHeight="1">
      <c r="A1016" s="616" t="s">
        <v>12706</v>
      </c>
      <c r="B1016" s="617" t="s">
        <v>13492</v>
      </c>
      <c r="C1016" s="616" t="s">
        <v>8</v>
      </c>
      <c r="D1016" s="616" t="s">
        <v>438</v>
      </c>
      <c r="E1016" s="809" t="s">
        <v>12819</v>
      </c>
      <c r="F1016" s="810"/>
      <c r="G1016" s="618" t="s">
        <v>35</v>
      </c>
      <c r="H1016" s="619">
        <v>1</v>
      </c>
      <c r="I1016" s="620">
        <v>8.73</v>
      </c>
      <c r="J1016" s="620">
        <v>8.73</v>
      </c>
      <c r="K1016"/>
    </row>
    <row r="1017" spans="1:11" ht="24" customHeight="1">
      <c r="A1017" s="621" t="s">
        <v>12708</v>
      </c>
      <c r="B1017" s="622" t="s">
        <v>13187</v>
      </c>
      <c r="C1017" s="621" t="s">
        <v>8</v>
      </c>
      <c r="D1017" s="621" t="s">
        <v>1516</v>
      </c>
      <c r="E1017" s="811" t="s">
        <v>12707</v>
      </c>
      <c r="F1017" s="812"/>
      <c r="G1017" s="623" t="s">
        <v>23</v>
      </c>
      <c r="H1017" s="624">
        <v>7.0000000000000007E-2</v>
      </c>
      <c r="I1017" s="625">
        <v>13.87</v>
      </c>
      <c r="J1017" s="625">
        <v>0.97</v>
      </c>
      <c r="K1017"/>
    </row>
    <row r="1018" spans="1:11" ht="24" customHeight="1">
      <c r="A1018" s="621" t="s">
        <v>12708</v>
      </c>
      <c r="B1018" s="622" t="s">
        <v>12981</v>
      </c>
      <c r="C1018" s="621" t="s">
        <v>8</v>
      </c>
      <c r="D1018" s="621" t="s">
        <v>50</v>
      </c>
      <c r="E1018" s="811" t="s">
        <v>12707</v>
      </c>
      <c r="F1018" s="812"/>
      <c r="G1018" s="623" t="s">
        <v>23</v>
      </c>
      <c r="H1018" s="624">
        <v>7.0000000000000007E-2</v>
      </c>
      <c r="I1018" s="625">
        <v>17.79</v>
      </c>
      <c r="J1018" s="625">
        <v>1.24</v>
      </c>
      <c r="K1018"/>
    </row>
    <row r="1019" spans="1:11">
      <c r="A1019" s="626" t="s">
        <v>12709</v>
      </c>
      <c r="B1019" s="627" t="s">
        <v>13468</v>
      </c>
      <c r="C1019" s="626" t="s">
        <v>8</v>
      </c>
      <c r="D1019" s="626" t="s">
        <v>7343</v>
      </c>
      <c r="E1019" s="804" t="s">
        <v>12720</v>
      </c>
      <c r="F1019" s="805"/>
      <c r="G1019" s="628" t="s">
        <v>35</v>
      </c>
      <c r="H1019" s="629">
        <v>4.8999999999999998E-3</v>
      </c>
      <c r="I1019" s="630">
        <v>79.94</v>
      </c>
      <c r="J1019" s="630">
        <v>0.39</v>
      </c>
      <c r="K1019"/>
    </row>
    <row r="1020" spans="1:11" ht="15" customHeight="1">
      <c r="A1020" s="626" t="s">
        <v>12709</v>
      </c>
      <c r="B1020" s="627" t="s">
        <v>13467</v>
      </c>
      <c r="C1020" s="626" t="s">
        <v>8</v>
      </c>
      <c r="D1020" s="626" t="s">
        <v>9987</v>
      </c>
      <c r="E1020" s="804" t="s">
        <v>12720</v>
      </c>
      <c r="F1020" s="805"/>
      <c r="G1020" s="628" t="s">
        <v>35</v>
      </c>
      <c r="H1020" s="629">
        <v>1.7000000000000001E-2</v>
      </c>
      <c r="I1020" s="630">
        <v>1.93</v>
      </c>
      <c r="J1020" s="630">
        <v>0.03</v>
      </c>
      <c r="K1020"/>
    </row>
    <row r="1021" spans="1:11" ht="0.95" customHeight="1">
      <c r="A1021" s="626" t="s">
        <v>12709</v>
      </c>
      <c r="B1021" s="627" t="s">
        <v>13491</v>
      </c>
      <c r="C1021" s="626" t="s">
        <v>8</v>
      </c>
      <c r="D1021" s="626" t="s">
        <v>11089</v>
      </c>
      <c r="E1021" s="804" t="s">
        <v>12720</v>
      </c>
      <c r="F1021" s="805"/>
      <c r="G1021" s="628" t="s">
        <v>35</v>
      </c>
      <c r="H1021" s="629">
        <v>1</v>
      </c>
      <c r="I1021" s="630">
        <v>5.58</v>
      </c>
      <c r="J1021" s="630">
        <v>5.58</v>
      </c>
      <c r="K1021"/>
    </row>
    <row r="1022" spans="1:11" ht="18" customHeight="1">
      <c r="A1022" s="626" t="s">
        <v>12709</v>
      </c>
      <c r="B1022" s="627" t="s">
        <v>13466</v>
      </c>
      <c r="C1022" s="626" t="s">
        <v>8</v>
      </c>
      <c r="D1022" s="626" t="s">
        <v>11315</v>
      </c>
      <c r="E1022" s="804" t="s">
        <v>12720</v>
      </c>
      <c r="F1022" s="805"/>
      <c r="G1022" s="628" t="s">
        <v>35</v>
      </c>
      <c r="H1022" s="629">
        <v>7.4999999999999997E-3</v>
      </c>
      <c r="I1022" s="630">
        <v>69.42</v>
      </c>
      <c r="J1022" s="630">
        <v>0.52</v>
      </c>
      <c r="K1022"/>
    </row>
    <row r="1023" spans="1:11" ht="48" customHeight="1">
      <c r="A1023" s="631"/>
      <c r="B1023" s="631"/>
      <c r="C1023" s="631"/>
      <c r="D1023" s="631"/>
      <c r="E1023" s="631" t="s">
        <v>12714</v>
      </c>
      <c r="F1023" s="632">
        <v>0.85955238404151801</v>
      </c>
      <c r="G1023" s="631" t="s">
        <v>12715</v>
      </c>
      <c r="H1023" s="632">
        <v>0.73</v>
      </c>
      <c r="I1023" s="631" t="s">
        <v>12716</v>
      </c>
      <c r="J1023" s="632">
        <v>1.59</v>
      </c>
      <c r="K1023"/>
    </row>
    <row r="1024" spans="1:11" ht="24" customHeight="1" thickBot="1">
      <c r="A1024" s="631"/>
      <c r="B1024" s="631"/>
      <c r="C1024" s="631"/>
      <c r="D1024" s="631"/>
      <c r="E1024" s="631" t="s">
        <v>12717</v>
      </c>
      <c r="F1024" s="632">
        <v>2.46</v>
      </c>
      <c r="G1024" s="631"/>
      <c r="H1024" s="806" t="s">
        <v>12718</v>
      </c>
      <c r="I1024" s="806"/>
      <c r="J1024" s="632">
        <v>11.19</v>
      </c>
      <c r="K1024"/>
    </row>
    <row r="1025" spans="1:11" ht="24" customHeight="1" thickTop="1">
      <c r="A1025" s="633"/>
      <c r="B1025" s="633"/>
      <c r="C1025" s="633"/>
      <c r="D1025" s="633"/>
      <c r="E1025" s="633"/>
      <c r="F1025" s="633"/>
      <c r="G1025" s="633"/>
      <c r="H1025" s="633"/>
      <c r="I1025" s="633"/>
      <c r="J1025" s="633"/>
      <c r="K1025"/>
    </row>
    <row r="1026" spans="1:11" ht="24" customHeight="1">
      <c r="A1026" s="613" t="s">
        <v>12848</v>
      </c>
      <c r="B1026" s="614" t="s">
        <v>12698</v>
      </c>
      <c r="C1026" s="613" t="s">
        <v>12699</v>
      </c>
      <c r="D1026" s="613" t="s">
        <v>12700</v>
      </c>
      <c r="E1026" s="807" t="s">
        <v>12701</v>
      </c>
      <c r="F1026" s="808"/>
      <c r="G1026" s="615" t="s">
        <v>12702</v>
      </c>
      <c r="H1026" s="614" t="s">
        <v>12703</v>
      </c>
      <c r="I1026" s="614" t="s">
        <v>12704</v>
      </c>
      <c r="J1026" s="614" t="s">
        <v>12705</v>
      </c>
      <c r="K1026"/>
    </row>
    <row r="1027" spans="1:11" ht="24" customHeight="1">
      <c r="A1027" s="616" t="s">
        <v>12706</v>
      </c>
      <c r="B1027" s="617" t="s">
        <v>13490</v>
      </c>
      <c r="C1027" s="616" t="s">
        <v>8</v>
      </c>
      <c r="D1027" s="616" t="s">
        <v>1991</v>
      </c>
      <c r="E1027" s="809" t="s">
        <v>12819</v>
      </c>
      <c r="F1027" s="810"/>
      <c r="G1027" s="618" t="s">
        <v>35</v>
      </c>
      <c r="H1027" s="619">
        <v>1</v>
      </c>
      <c r="I1027" s="620">
        <v>7.98</v>
      </c>
      <c r="J1027" s="620">
        <v>7.98</v>
      </c>
      <c r="K1027"/>
    </row>
    <row r="1028" spans="1:11" ht="24" customHeight="1">
      <c r="A1028" s="621" t="s">
        <v>12708</v>
      </c>
      <c r="B1028" s="622" t="s">
        <v>13187</v>
      </c>
      <c r="C1028" s="621" t="s">
        <v>8</v>
      </c>
      <c r="D1028" s="621" t="s">
        <v>1516</v>
      </c>
      <c r="E1028" s="811" t="s">
        <v>12707</v>
      </c>
      <c r="F1028" s="812"/>
      <c r="G1028" s="623" t="s">
        <v>23</v>
      </c>
      <c r="H1028" s="624">
        <v>0.1</v>
      </c>
      <c r="I1028" s="625">
        <v>13.87</v>
      </c>
      <c r="J1028" s="625">
        <v>1.38</v>
      </c>
      <c r="K1028"/>
    </row>
    <row r="1029" spans="1:11" ht="24" customHeight="1">
      <c r="A1029" s="621" t="s">
        <v>12708</v>
      </c>
      <c r="B1029" s="622" t="s">
        <v>12981</v>
      </c>
      <c r="C1029" s="621" t="s">
        <v>8</v>
      </c>
      <c r="D1029" s="621" t="s">
        <v>50</v>
      </c>
      <c r="E1029" s="811" t="s">
        <v>12707</v>
      </c>
      <c r="F1029" s="812"/>
      <c r="G1029" s="623" t="s">
        <v>23</v>
      </c>
      <c r="H1029" s="624">
        <v>0.1</v>
      </c>
      <c r="I1029" s="625">
        <v>17.79</v>
      </c>
      <c r="J1029" s="625">
        <v>1.77</v>
      </c>
      <c r="K1029"/>
    </row>
    <row r="1030" spans="1:11">
      <c r="A1030" s="626" t="s">
        <v>12709</v>
      </c>
      <c r="B1030" s="627" t="s">
        <v>13468</v>
      </c>
      <c r="C1030" s="626" t="s">
        <v>8</v>
      </c>
      <c r="D1030" s="626" t="s">
        <v>7343</v>
      </c>
      <c r="E1030" s="804" t="s">
        <v>12720</v>
      </c>
      <c r="F1030" s="805"/>
      <c r="G1030" s="628" t="s">
        <v>35</v>
      </c>
      <c r="H1030" s="629">
        <v>9.9000000000000008E-3</v>
      </c>
      <c r="I1030" s="630">
        <v>79.94</v>
      </c>
      <c r="J1030" s="630">
        <v>0.79</v>
      </c>
      <c r="K1030"/>
    </row>
    <row r="1031" spans="1:11" ht="15" customHeight="1">
      <c r="A1031" s="626" t="s">
        <v>12709</v>
      </c>
      <c r="B1031" s="627" t="s">
        <v>13489</v>
      </c>
      <c r="C1031" s="626" t="s">
        <v>8</v>
      </c>
      <c r="D1031" s="626" t="s">
        <v>8815</v>
      </c>
      <c r="E1031" s="804" t="s">
        <v>12720</v>
      </c>
      <c r="F1031" s="805"/>
      <c r="G1031" s="628" t="s">
        <v>35</v>
      </c>
      <c r="H1031" s="629">
        <v>1</v>
      </c>
      <c r="I1031" s="630">
        <v>2.96</v>
      </c>
      <c r="J1031" s="630">
        <v>2.96</v>
      </c>
      <c r="K1031"/>
    </row>
    <row r="1032" spans="1:11" ht="0.95" customHeight="1">
      <c r="A1032" s="626" t="s">
        <v>12709</v>
      </c>
      <c r="B1032" s="627" t="s">
        <v>13467</v>
      </c>
      <c r="C1032" s="626" t="s">
        <v>8</v>
      </c>
      <c r="D1032" s="626" t="s">
        <v>9987</v>
      </c>
      <c r="E1032" s="804" t="s">
        <v>12720</v>
      </c>
      <c r="F1032" s="805"/>
      <c r="G1032" s="628" t="s">
        <v>35</v>
      </c>
      <c r="H1032" s="629">
        <v>2.1000000000000001E-2</v>
      </c>
      <c r="I1032" s="630">
        <v>1.93</v>
      </c>
      <c r="J1032" s="630">
        <v>0.04</v>
      </c>
      <c r="K1032"/>
    </row>
    <row r="1033" spans="1:11" ht="18" customHeight="1">
      <c r="A1033" s="626" t="s">
        <v>12709</v>
      </c>
      <c r="B1033" s="627" t="s">
        <v>13466</v>
      </c>
      <c r="C1033" s="626" t="s">
        <v>8</v>
      </c>
      <c r="D1033" s="626" t="s">
        <v>11315</v>
      </c>
      <c r="E1033" s="804" t="s">
        <v>12720</v>
      </c>
      <c r="F1033" s="805"/>
      <c r="G1033" s="628" t="s">
        <v>35</v>
      </c>
      <c r="H1033" s="629">
        <v>1.4999999999999999E-2</v>
      </c>
      <c r="I1033" s="630">
        <v>69.42</v>
      </c>
      <c r="J1033" s="630">
        <v>1.04</v>
      </c>
      <c r="K1033"/>
    </row>
    <row r="1034" spans="1:11" ht="48" customHeight="1">
      <c r="A1034" s="631"/>
      <c r="B1034" s="631"/>
      <c r="C1034" s="631"/>
      <c r="D1034" s="631"/>
      <c r="E1034" s="631" t="s">
        <v>12714</v>
      </c>
      <c r="F1034" s="632">
        <v>1.2271596929397772</v>
      </c>
      <c r="G1034" s="631" t="s">
        <v>12715</v>
      </c>
      <c r="H1034" s="632">
        <v>1.04</v>
      </c>
      <c r="I1034" s="631" t="s">
        <v>12716</v>
      </c>
      <c r="J1034" s="632">
        <v>2.27</v>
      </c>
      <c r="K1034"/>
    </row>
    <row r="1035" spans="1:11" ht="24" customHeight="1" thickBot="1">
      <c r="A1035" s="631"/>
      <c r="B1035" s="631"/>
      <c r="C1035" s="631"/>
      <c r="D1035" s="631"/>
      <c r="E1035" s="631" t="s">
        <v>12717</v>
      </c>
      <c r="F1035" s="632">
        <v>2.25</v>
      </c>
      <c r="G1035" s="631"/>
      <c r="H1035" s="806" t="s">
        <v>12718</v>
      </c>
      <c r="I1035" s="806"/>
      <c r="J1035" s="632">
        <v>10.23</v>
      </c>
      <c r="K1035"/>
    </row>
    <row r="1036" spans="1:11" ht="24" customHeight="1" thickTop="1">
      <c r="A1036" s="633"/>
      <c r="B1036" s="633"/>
      <c r="C1036" s="633"/>
      <c r="D1036" s="633"/>
      <c r="E1036" s="633"/>
      <c r="F1036" s="633"/>
      <c r="G1036" s="633"/>
      <c r="H1036" s="633"/>
      <c r="I1036" s="633"/>
      <c r="J1036" s="633"/>
      <c r="K1036"/>
    </row>
    <row r="1037" spans="1:11" ht="24" customHeight="1">
      <c r="A1037" s="613" t="s">
        <v>12849</v>
      </c>
      <c r="B1037" s="614" t="s">
        <v>12698</v>
      </c>
      <c r="C1037" s="613" t="s">
        <v>12699</v>
      </c>
      <c r="D1037" s="613" t="s">
        <v>12700</v>
      </c>
      <c r="E1037" s="807" t="s">
        <v>12701</v>
      </c>
      <c r="F1037" s="808"/>
      <c r="G1037" s="615" t="s">
        <v>12702</v>
      </c>
      <c r="H1037" s="614" t="s">
        <v>12703</v>
      </c>
      <c r="I1037" s="614" t="s">
        <v>12704</v>
      </c>
      <c r="J1037" s="614" t="s">
        <v>12705</v>
      </c>
      <c r="K1037"/>
    </row>
    <row r="1038" spans="1:11" ht="24" customHeight="1">
      <c r="A1038" s="616" t="s">
        <v>12706</v>
      </c>
      <c r="B1038" s="617" t="s">
        <v>13488</v>
      </c>
      <c r="C1038" s="616" t="s">
        <v>8</v>
      </c>
      <c r="D1038" s="616" t="s">
        <v>2007</v>
      </c>
      <c r="E1038" s="809" t="s">
        <v>12819</v>
      </c>
      <c r="F1038" s="810"/>
      <c r="G1038" s="618" t="s">
        <v>35</v>
      </c>
      <c r="H1038" s="619">
        <v>1</v>
      </c>
      <c r="I1038" s="620">
        <v>18.22</v>
      </c>
      <c r="J1038" s="620">
        <v>18.22</v>
      </c>
      <c r="K1038"/>
    </row>
    <row r="1039" spans="1:11" ht="36" customHeight="1">
      <c r="A1039" s="621" t="s">
        <v>12708</v>
      </c>
      <c r="B1039" s="622" t="s">
        <v>13187</v>
      </c>
      <c r="C1039" s="621" t="s">
        <v>8</v>
      </c>
      <c r="D1039" s="621" t="s">
        <v>1516</v>
      </c>
      <c r="E1039" s="811" t="s">
        <v>12707</v>
      </c>
      <c r="F1039" s="812"/>
      <c r="G1039" s="623" t="s">
        <v>23</v>
      </c>
      <c r="H1039" s="624">
        <v>0.25</v>
      </c>
      <c r="I1039" s="625">
        <v>13.87</v>
      </c>
      <c r="J1039" s="625">
        <v>3.46</v>
      </c>
      <c r="K1039"/>
    </row>
    <row r="1040" spans="1:11" ht="25.5">
      <c r="A1040" s="621" t="s">
        <v>12708</v>
      </c>
      <c r="B1040" s="622" t="s">
        <v>12981</v>
      </c>
      <c r="C1040" s="621" t="s">
        <v>8</v>
      </c>
      <c r="D1040" s="621" t="s">
        <v>50</v>
      </c>
      <c r="E1040" s="811" t="s">
        <v>12707</v>
      </c>
      <c r="F1040" s="812"/>
      <c r="G1040" s="623" t="s">
        <v>23</v>
      </c>
      <c r="H1040" s="624">
        <v>0.25</v>
      </c>
      <c r="I1040" s="625">
        <v>17.79</v>
      </c>
      <c r="J1040" s="625">
        <v>4.4400000000000004</v>
      </c>
      <c r="K1040"/>
    </row>
    <row r="1041" spans="1:11" ht="15" customHeight="1">
      <c r="A1041" s="626" t="s">
        <v>12709</v>
      </c>
      <c r="B1041" s="627" t="s">
        <v>13477</v>
      </c>
      <c r="C1041" s="626" t="s">
        <v>8</v>
      </c>
      <c r="D1041" s="626" t="s">
        <v>7400</v>
      </c>
      <c r="E1041" s="804" t="s">
        <v>12720</v>
      </c>
      <c r="F1041" s="805"/>
      <c r="G1041" s="628" t="s">
        <v>35</v>
      </c>
      <c r="H1041" s="629">
        <v>1</v>
      </c>
      <c r="I1041" s="630">
        <v>3.3</v>
      </c>
      <c r="J1041" s="630">
        <v>3.3</v>
      </c>
      <c r="K1041"/>
    </row>
    <row r="1042" spans="1:11" ht="0.95" customHeight="1">
      <c r="A1042" s="626" t="s">
        <v>12709</v>
      </c>
      <c r="B1042" s="627" t="s">
        <v>13487</v>
      </c>
      <c r="C1042" s="626" t="s">
        <v>8</v>
      </c>
      <c r="D1042" s="626" t="s">
        <v>9750</v>
      </c>
      <c r="E1042" s="804" t="s">
        <v>12720</v>
      </c>
      <c r="F1042" s="805"/>
      <c r="G1042" s="628" t="s">
        <v>35</v>
      </c>
      <c r="H1042" s="629">
        <v>1</v>
      </c>
      <c r="I1042" s="630">
        <v>5.68</v>
      </c>
      <c r="J1042" s="630">
        <v>5.68</v>
      </c>
      <c r="K1042"/>
    </row>
    <row r="1043" spans="1:11" ht="18" customHeight="1">
      <c r="A1043" s="626" t="s">
        <v>12709</v>
      </c>
      <c r="B1043" s="627" t="s">
        <v>13462</v>
      </c>
      <c r="C1043" s="626" t="s">
        <v>8</v>
      </c>
      <c r="D1043" s="626" t="s">
        <v>10684</v>
      </c>
      <c r="E1043" s="804" t="s">
        <v>12720</v>
      </c>
      <c r="F1043" s="805"/>
      <c r="G1043" s="628" t="s">
        <v>35</v>
      </c>
      <c r="H1043" s="629">
        <v>4.5999999999999999E-2</v>
      </c>
      <c r="I1043" s="630">
        <v>29.27</v>
      </c>
      <c r="J1043" s="630">
        <v>1.34</v>
      </c>
      <c r="K1043"/>
    </row>
    <row r="1044" spans="1:11" ht="48" customHeight="1">
      <c r="A1044" s="631"/>
      <c r="B1044" s="631"/>
      <c r="C1044" s="631"/>
      <c r="D1044" s="631"/>
      <c r="E1044" s="631" t="s">
        <v>12714</v>
      </c>
      <c r="F1044" s="632">
        <v>3.0814142069412909</v>
      </c>
      <c r="G1044" s="631" t="s">
        <v>12715</v>
      </c>
      <c r="H1044" s="632">
        <v>2.62</v>
      </c>
      <c r="I1044" s="631" t="s">
        <v>12716</v>
      </c>
      <c r="J1044" s="632">
        <v>5.7</v>
      </c>
      <c r="K1044"/>
    </row>
    <row r="1045" spans="1:11" ht="24" customHeight="1" thickBot="1">
      <c r="A1045" s="631"/>
      <c r="B1045" s="631"/>
      <c r="C1045" s="631"/>
      <c r="D1045" s="631"/>
      <c r="E1045" s="631" t="s">
        <v>12717</v>
      </c>
      <c r="F1045" s="632">
        <v>5.14</v>
      </c>
      <c r="G1045" s="631"/>
      <c r="H1045" s="806" t="s">
        <v>12718</v>
      </c>
      <c r="I1045" s="806"/>
      <c r="J1045" s="632">
        <v>23.36</v>
      </c>
      <c r="K1045"/>
    </row>
    <row r="1046" spans="1:11" ht="24" customHeight="1" thickTop="1">
      <c r="A1046" s="633"/>
      <c r="B1046" s="633"/>
      <c r="C1046" s="633"/>
      <c r="D1046" s="633"/>
      <c r="E1046" s="633"/>
      <c r="F1046" s="633"/>
      <c r="G1046" s="633"/>
      <c r="H1046" s="633"/>
      <c r="I1046" s="633"/>
      <c r="J1046" s="633"/>
      <c r="K1046"/>
    </row>
    <row r="1047" spans="1:11" ht="24" customHeight="1">
      <c r="A1047" s="613" t="s">
        <v>12850</v>
      </c>
      <c r="B1047" s="614" t="s">
        <v>12698</v>
      </c>
      <c r="C1047" s="613" t="s">
        <v>12699</v>
      </c>
      <c r="D1047" s="613" t="s">
        <v>12700</v>
      </c>
      <c r="E1047" s="807" t="s">
        <v>12701</v>
      </c>
      <c r="F1047" s="808"/>
      <c r="G1047" s="615" t="s">
        <v>12702</v>
      </c>
      <c r="H1047" s="614" t="s">
        <v>12703</v>
      </c>
      <c r="I1047" s="614" t="s">
        <v>12704</v>
      </c>
      <c r="J1047" s="614" t="s">
        <v>12705</v>
      </c>
      <c r="K1047"/>
    </row>
    <row r="1048" spans="1:11" ht="24" customHeight="1">
      <c r="A1048" s="616" t="s">
        <v>12706</v>
      </c>
      <c r="B1048" s="617" t="s">
        <v>13486</v>
      </c>
      <c r="C1048" s="616" t="s">
        <v>8</v>
      </c>
      <c r="D1048" s="616" t="s">
        <v>1989</v>
      </c>
      <c r="E1048" s="809" t="s">
        <v>12819</v>
      </c>
      <c r="F1048" s="810"/>
      <c r="G1048" s="618" t="s">
        <v>35</v>
      </c>
      <c r="H1048" s="619">
        <v>1</v>
      </c>
      <c r="I1048" s="620">
        <v>5.74</v>
      </c>
      <c r="J1048" s="620">
        <v>5.74</v>
      </c>
      <c r="K1048"/>
    </row>
    <row r="1049" spans="1:11" ht="24" customHeight="1">
      <c r="A1049" s="621" t="s">
        <v>12708</v>
      </c>
      <c r="B1049" s="622" t="s">
        <v>13187</v>
      </c>
      <c r="C1049" s="621" t="s">
        <v>8</v>
      </c>
      <c r="D1049" s="621" t="s">
        <v>1516</v>
      </c>
      <c r="E1049" s="811" t="s">
        <v>12707</v>
      </c>
      <c r="F1049" s="812"/>
      <c r="G1049" s="623" t="s">
        <v>23</v>
      </c>
      <c r="H1049" s="624">
        <v>0.1</v>
      </c>
      <c r="I1049" s="625">
        <v>13.87</v>
      </c>
      <c r="J1049" s="625">
        <v>1.38</v>
      </c>
      <c r="K1049"/>
    </row>
    <row r="1050" spans="1:11" ht="24" customHeight="1">
      <c r="A1050" s="621" t="s">
        <v>12708</v>
      </c>
      <c r="B1050" s="622" t="s">
        <v>12981</v>
      </c>
      <c r="C1050" s="621" t="s">
        <v>8</v>
      </c>
      <c r="D1050" s="621" t="s">
        <v>50</v>
      </c>
      <c r="E1050" s="811" t="s">
        <v>12707</v>
      </c>
      <c r="F1050" s="812"/>
      <c r="G1050" s="623" t="s">
        <v>23</v>
      </c>
      <c r="H1050" s="624">
        <v>0.1</v>
      </c>
      <c r="I1050" s="625">
        <v>17.79</v>
      </c>
      <c r="J1050" s="625">
        <v>1.77</v>
      </c>
      <c r="K1050"/>
    </row>
    <row r="1051" spans="1:11">
      <c r="A1051" s="626" t="s">
        <v>12709</v>
      </c>
      <c r="B1051" s="627" t="s">
        <v>13468</v>
      </c>
      <c r="C1051" s="626" t="s">
        <v>8</v>
      </c>
      <c r="D1051" s="626" t="s">
        <v>7343</v>
      </c>
      <c r="E1051" s="804" t="s">
        <v>12720</v>
      </c>
      <c r="F1051" s="805"/>
      <c r="G1051" s="628" t="s">
        <v>35</v>
      </c>
      <c r="H1051" s="629">
        <v>9.9000000000000008E-3</v>
      </c>
      <c r="I1051" s="630">
        <v>79.94</v>
      </c>
      <c r="J1051" s="630">
        <v>0.79</v>
      </c>
      <c r="K1051"/>
    </row>
    <row r="1052" spans="1:11" ht="15" customHeight="1">
      <c r="A1052" s="626" t="s">
        <v>12709</v>
      </c>
      <c r="B1052" s="627" t="s">
        <v>13485</v>
      </c>
      <c r="C1052" s="626" t="s">
        <v>8</v>
      </c>
      <c r="D1052" s="626" t="s">
        <v>9744</v>
      </c>
      <c r="E1052" s="804" t="s">
        <v>12720</v>
      </c>
      <c r="F1052" s="805"/>
      <c r="G1052" s="628" t="s">
        <v>35</v>
      </c>
      <c r="H1052" s="629">
        <v>1</v>
      </c>
      <c r="I1052" s="630">
        <v>0.72</v>
      </c>
      <c r="J1052" s="630">
        <v>0.72</v>
      </c>
      <c r="K1052"/>
    </row>
    <row r="1053" spans="1:11" ht="0.95" customHeight="1">
      <c r="A1053" s="626" t="s">
        <v>12709</v>
      </c>
      <c r="B1053" s="627" t="s">
        <v>13467</v>
      </c>
      <c r="C1053" s="626" t="s">
        <v>8</v>
      </c>
      <c r="D1053" s="626" t="s">
        <v>9987</v>
      </c>
      <c r="E1053" s="804" t="s">
        <v>12720</v>
      </c>
      <c r="F1053" s="805"/>
      <c r="G1053" s="628" t="s">
        <v>35</v>
      </c>
      <c r="H1053" s="629">
        <v>2.1000000000000001E-2</v>
      </c>
      <c r="I1053" s="630">
        <v>1.93</v>
      </c>
      <c r="J1053" s="630">
        <v>0.04</v>
      </c>
      <c r="K1053"/>
    </row>
    <row r="1054" spans="1:11" ht="18" customHeight="1">
      <c r="A1054" s="626" t="s">
        <v>12709</v>
      </c>
      <c r="B1054" s="627" t="s">
        <v>13466</v>
      </c>
      <c r="C1054" s="626" t="s">
        <v>8</v>
      </c>
      <c r="D1054" s="626" t="s">
        <v>11315</v>
      </c>
      <c r="E1054" s="804" t="s">
        <v>12720</v>
      </c>
      <c r="F1054" s="805"/>
      <c r="G1054" s="628" t="s">
        <v>35</v>
      </c>
      <c r="H1054" s="629">
        <v>1.4999999999999999E-2</v>
      </c>
      <c r="I1054" s="630">
        <v>69.42</v>
      </c>
      <c r="J1054" s="630">
        <v>1.04</v>
      </c>
      <c r="K1054"/>
    </row>
    <row r="1055" spans="1:11" ht="48" customHeight="1">
      <c r="A1055" s="631"/>
      <c r="B1055" s="631"/>
      <c r="C1055" s="631"/>
      <c r="D1055" s="631"/>
      <c r="E1055" s="631" t="s">
        <v>12714</v>
      </c>
      <c r="F1055" s="632">
        <v>1.2271596929397772</v>
      </c>
      <c r="G1055" s="631" t="s">
        <v>12715</v>
      </c>
      <c r="H1055" s="632">
        <v>1.04</v>
      </c>
      <c r="I1055" s="631" t="s">
        <v>12716</v>
      </c>
      <c r="J1055" s="632">
        <v>2.27</v>
      </c>
      <c r="K1055"/>
    </row>
    <row r="1056" spans="1:11" ht="24" customHeight="1" thickBot="1">
      <c r="A1056" s="631"/>
      <c r="B1056" s="631"/>
      <c r="C1056" s="631"/>
      <c r="D1056" s="631"/>
      <c r="E1056" s="631" t="s">
        <v>12717</v>
      </c>
      <c r="F1056" s="632">
        <v>1.62</v>
      </c>
      <c r="G1056" s="631"/>
      <c r="H1056" s="806" t="s">
        <v>12718</v>
      </c>
      <c r="I1056" s="806"/>
      <c r="J1056" s="632">
        <v>7.36</v>
      </c>
      <c r="K1056"/>
    </row>
    <row r="1057" spans="1:11" ht="24" customHeight="1" thickTop="1">
      <c r="A1057" s="633"/>
      <c r="B1057" s="633"/>
      <c r="C1057" s="633"/>
      <c r="D1057" s="633"/>
      <c r="E1057" s="633"/>
      <c r="F1057" s="633"/>
      <c r="G1057" s="633"/>
      <c r="H1057" s="633"/>
      <c r="I1057" s="633"/>
      <c r="J1057" s="633"/>
      <c r="K1057"/>
    </row>
    <row r="1058" spans="1:11" ht="24" customHeight="1">
      <c r="A1058" s="613" t="s">
        <v>12851</v>
      </c>
      <c r="B1058" s="614" t="s">
        <v>12698</v>
      </c>
      <c r="C1058" s="613" t="s">
        <v>12699</v>
      </c>
      <c r="D1058" s="613" t="s">
        <v>12700</v>
      </c>
      <c r="E1058" s="807" t="s">
        <v>12701</v>
      </c>
      <c r="F1058" s="808"/>
      <c r="G1058" s="615" t="s">
        <v>12702</v>
      </c>
      <c r="H1058" s="614" t="s">
        <v>12703</v>
      </c>
      <c r="I1058" s="614" t="s">
        <v>12704</v>
      </c>
      <c r="J1058" s="614" t="s">
        <v>12705</v>
      </c>
      <c r="K1058"/>
    </row>
    <row r="1059" spans="1:11" ht="24" customHeight="1">
      <c r="A1059" s="616" t="s">
        <v>12706</v>
      </c>
      <c r="B1059" s="617" t="s">
        <v>13484</v>
      </c>
      <c r="C1059" s="616" t="s">
        <v>8</v>
      </c>
      <c r="D1059" s="616" t="s">
        <v>1995</v>
      </c>
      <c r="E1059" s="809" t="s">
        <v>12819</v>
      </c>
      <c r="F1059" s="810"/>
      <c r="G1059" s="618" t="s">
        <v>35</v>
      </c>
      <c r="H1059" s="619">
        <v>1</v>
      </c>
      <c r="I1059" s="620">
        <v>8.7100000000000009</v>
      </c>
      <c r="J1059" s="620">
        <v>8.7100000000000009</v>
      </c>
      <c r="K1059"/>
    </row>
    <row r="1060" spans="1:11" ht="36" customHeight="1">
      <c r="A1060" s="621" t="s">
        <v>12708</v>
      </c>
      <c r="B1060" s="622" t="s">
        <v>13187</v>
      </c>
      <c r="C1060" s="621" t="s">
        <v>8</v>
      </c>
      <c r="D1060" s="621" t="s">
        <v>1516</v>
      </c>
      <c r="E1060" s="811" t="s">
        <v>12707</v>
      </c>
      <c r="F1060" s="812"/>
      <c r="G1060" s="623" t="s">
        <v>23</v>
      </c>
      <c r="H1060" s="624">
        <v>0.13</v>
      </c>
      <c r="I1060" s="625">
        <v>13.87</v>
      </c>
      <c r="J1060" s="625">
        <v>1.8</v>
      </c>
      <c r="K1060"/>
    </row>
    <row r="1061" spans="1:11" ht="25.5">
      <c r="A1061" s="621" t="s">
        <v>12708</v>
      </c>
      <c r="B1061" s="622" t="s">
        <v>12981</v>
      </c>
      <c r="C1061" s="621" t="s">
        <v>8</v>
      </c>
      <c r="D1061" s="621" t="s">
        <v>50</v>
      </c>
      <c r="E1061" s="811" t="s">
        <v>12707</v>
      </c>
      <c r="F1061" s="812"/>
      <c r="G1061" s="623" t="s">
        <v>23</v>
      </c>
      <c r="H1061" s="624">
        <v>0.13</v>
      </c>
      <c r="I1061" s="625">
        <v>17.79</v>
      </c>
      <c r="J1061" s="625">
        <v>2.31</v>
      </c>
      <c r="K1061"/>
    </row>
    <row r="1062" spans="1:11" ht="15" customHeight="1">
      <c r="A1062" s="626" t="s">
        <v>12709</v>
      </c>
      <c r="B1062" s="627" t="s">
        <v>13463</v>
      </c>
      <c r="C1062" s="626" t="s">
        <v>8</v>
      </c>
      <c r="D1062" s="626" t="s">
        <v>7398</v>
      </c>
      <c r="E1062" s="804" t="s">
        <v>12720</v>
      </c>
      <c r="F1062" s="805"/>
      <c r="G1062" s="628" t="s">
        <v>35</v>
      </c>
      <c r="H1062" s="629">
        <v>1</v>
      </c>
      <c r="I1062" s="630">
        <v>1.86</v>
      </c>
      <c r="J1062" s="630">
        <v>1.86</v>
      </c>
      <c r="K1062"/>
    </row>
    <row r="1063" spans="1:11" ht="0.95" customHeight="1">
      <c r="A1063" s="626" t="s">
        <v>12709</v>
      </c>
      <c r="B1063" s="627" t="s">
        <v>13483</v>
      </c>
      <c r="C1063" s="626" t="s">
        <v>8</v>
      </c>
      <c r="D1063" s="626" t="s">
        <v>9753</v>
      </c>
      <c r="E1063" s="804" t="s">
        <v>12720</v>
      </c>
      <c r="F1063" s="805"/>
      <c r="G1063" s="628" t="s">
        <v>35</v>
      </c>
      <c r="H1063" s="629">
        <v>1</v>
      </c>
      <c r="I1063" s="630">
        <v>2.16</v>
      </c>
      <c r="J1063" s="630">
        <v>2.16</v>
      </c>
      <c r="K1063"/>
    </row>
    <row r="1064" spans="1:11" ht="18" customHeight="1">
      <c r="A1064" s="626" t="s">
        <v>12709</v>
      </c>
      <c r="B1064" s="627" t="s">
        <v>13462</v>
      </c>
      <c r="C1064" s="626" t="s">
        <v>8</v>
      </c>
      <c r="D1064" s="626" t="s">
        <v>10684</v>
      </c>
      <c r="E1064" s="804" t="s">
        <v>12720</v>
      </c>
      <c r="F1064" s="805"/>
      <c r="G1064" s="628" t="s">
        <v>35</v>
      </c>
      <c r="H1064" s="629">
        <v>0.02</v>
      </c>
      <c r="I1064" s="630">
        <v>29.27</v>
      </c>
      <c r="J1064" s="630">
        <v>0.57999999999999996</v>
      </c>
      <c r="K1064"/>
    </row>
    <row r="1065" spans="1:11" ht="48" customHeight="1">
      <c r="A1065" s="631"/>
      <c r="B1065" s="631"/>
      <c r="C1065" s="631"/>
      <c r="D1065" s="631"/>
      <c r="E1065" s="631" t="s">
        <v>12714</v>
      </c>
      <c r="F1065" s="632">
        <v>1.6055789815115147</v>
      </c>
      <c r="G1065" s="631" t="s">
        <v>12715</v>
      </c>
      <c r="H1065" s="632">
        <v>1.36</v>
      </c>
      <c r="I1065" s="631" t="s">
        <v>12716</v>
      </c>
      <c r="J1065" s="632">
        <v>2.97</v>
      </c>
      <c r="K1065"/>
    </row>
    <row r="1066" spans="1:11" ht="24" customHeight="1" thickBot="1">
      <c r="A1066" s="631"/>
      <c r="B1066" s="631"/>
      <c r="C1066" s="631"/>
      <c r="D1066" s="631"/>
      <c r="E1066" s="631" t="s">
        <v>12717</v>
      </c>
      <c r="F1066" s="632">
        <v>2.4500000000000002</v>
      </c>
      <c r="G1066" s="631"/>
      <c r="H1066" s="806" t="s">
        <v>12718</v>
      </c>
      <c r="I1066" s="806"/>
      <c r="J1066" s="632">
        <v>11.16</v>
      </c>
      <c r="K1066"/>
    </row>
    <row r="1067" spans="1:11" ht="24" customHeight="1" thickTop="1">
      <c r="A1067" s="633"/>
      <c r="B1067" s="633"/>
      <c r="C1067" s="633"/>
      <c r="D1067" s="633"/>
      <c r="E1067" s="633"/>
      <c r="F1067" s="633"/>
      <c r="G1067" s="633"/>
      <c r="H1067" s="633"/>
      <c r="I1067" s="633"/>
      <c r="J1067" s="633"/>
      <c r="K1067"/>
    </row>
    <row r="1068" spans="1:11" ht="24" customHeight="1">
      <c r="A1068" s="613" t="s">
        <v>12852</v>
      </c>
      <c r="B1068" s="614" t="s">
        <v>12698</v>
      </c>
      <c r="C1068" s="613" t="s">
        <v>12699</v>
      </c>
      <c r="D1068" s="613" t="s">
        <v>12700</v>
      </c>
      <c r="E1068" s="807" t="s">
        <v>12701</v>
      </c>
      <c r="F1068" s="808"/>
      <c r="G1068" s="615" t="s">
        <v>12702</v>
      </c>
      <c r="H1068" s="614" t="s">
        <v>12703</v>
      </c>
      <c r="I1068" s="614" t="s">
        <v>12704</v>
      </c>
      <c r="J1068" s="614" t="s">
        <v>12705</v>
      </c>
      <c r="K1068"/>
    </row>
    <row r="1069" spans="1:11" ht="24" customHeight="1">
      <c r="A1069" s="616" t="s">
        <v>12706</v>
      </c>
      <c r="B1069" s="617" t="s">
        <v>13482</v>
      </c>
      <c r="C1069" s="616" t="s">
        <v>8</v>
      </c>
      <c r="D1069" s="616" t="s">
        <v>2005</v>
      </c>
      <c r="E1069" s="809" t="s">
        <v>12819</v>
      </c>
      <c r="F1069" s="810"/>
      <c r="G1069" s="618" t="s">
        <v>35</v>
      </c>
      <c r="H1069" s="619">
        <v>1</v>
      </c>
      <c r="I1069" s="620">
        <v>18.260000000000002</v>
      </c>
      <c r="J1069" s="620">
        <v>18.260000000000002</v>
      </c>
      <c r="K1069"/>
    </row>
    <row r="1070" spans="1:11" ht="36" customHeight="1">
      <c r="A1070" s="621" t="s">
        <v>12708</v>
      </c>
      <c r="B1070" s="622" t="s">
        <v>13187</v>
      </c>
      <c r="C1070" s="621" t="s">
        <v>8</v>
      </c>
      <c r="D1070" s="621" t="s">
        <v>1516</v>
      </c>
      <c r="E1070" s="811" t="s">
        <v>12707</v>
      </c>
      <c r="F1070" s="812"/>
      <c r="G1070" s="623" t="s">
        <v>23</v>
      </c>
      <c r="H1070" s="624">
        <v>0.25</v>
      </c>
      <c r="I1070" s="625">
        <v>13.87</v>
      </c>
      <c r="J1070" s="625">
        <v>3.46</v>
      </c>
      <c r="K1070"/>
    </row>
    <row r="1071" spans="1:11" ht="25.5">
      <c r="A1071" s="621" t="s">
        <v>12708</v>
      </c>
      <c r="B1071" s="622" t="s">
        <v>12981</v>
      </c>
      <c r="C1071" s="621" t="s">
        <v>8</v>
      </c>
      <c r="D1071" s="621" t="s">
        <v>50</v>
      </c>
      <c r="E1071" s="811" t="s">
        <v>12707</v>
      </c>
      <c r="F1071" s="812"/>
      <c r="G1071" s="623" t="s">
        <v>23</v>
      </c>
      <c r="H1071" s="624">
        <v>0.25</v>
      </c>
      <c r="I1071" s="625">
        <v>17.79</v>
      </c>
      <c r="J1071" s="625">
        <v>4.4400000000000004</v>
      </c>
      <c r="K1071"/>
    </row>
    <row r="1072" spans="1:11" ht="15" customHeight="1">
      <c r="A1072" s="626" t="s">
        <v>12709</v>
      </c>
      <c r="B1072" s="627" t="s">
        <v>13477</v>
      </c>
      <c r="C1072" s="626" t="s">
        <v>8</v>
      </c>
      <c r="D1072" s="626" t="s">
        <v>7400</v>
      </c>
      <c r="E1072" s="804" t="s">
        <v>12720</v>
      </c>
      <c r="F1072" s="805"/>
      <c r="G1072" s="628" t="s">
        <v>35</v>
      </c>
      <c r="H1072" s="629">
        <v>1</v>
      </c>
      <c r="I1072" s="630">
        <v>3.3</v>
      </c>
      <c r="J1072" s="630">
        <v>3.3</v>
      </c>
      <c r="K1072"/>
    </row>
    <row r="1073" spans="1:11" ht="0.95" customHeight="1">
      <c r="A1073" s="626" t="s">
        <v>12709</v>
      </c>
      <c r="B1073" s="627" t="s">
        <v>13481</v>
      </c>
      <c r="C1073" s="626" t="s">
        <v>8</v>
      </c>
      <c r="D1073" s="626" t="s">
        <v>9755</v>
      </c>
      <c r="E1073" s="804" t="s">
        <v>12720</v>
      </c>
      <c r="F1073" s="805"/>
      <c r="G1073" s="628" t="s">
        <v>35</v>
      </c>
      <c r="H1073" s="629">
        <v>1</v>
      </c>
      <c r="I1073" s="630">
        <v>5.72</v>
      </c>
      <c r="J1073" s="630">
        <v>5.72</v>
      </c>
      <c r="K1073"/>
    </row>
    <row r="1074" spans="1:11" ht="18" customHeight="1">
      <c r="A1074" s="626" t="s">
        <v>12709</v>
      </c>
      <c r="B1074" s="627" t="s">
        <v>13462</v>
      </c>
      <c r="C1074" s="626" t="s">
        <v>8</v>
      </c>
      <c r="D1074" s="626" t="s">
        <v>10684</v>
      </c>
      <c r="E1074" s="804" t="s">
        <v>12720</v>
      </c>
      <c r="F1074" s="805"/>
      <c r="G1074" s="628" t="s">
        <v>35</v>
      </c>
      <c r="H1074" s="629">
        <v>4.5999999999999999E-2</v>
      </c>
      <c r="I1074" s="630">
        <v>29.27</v>
      </c>
      <c r="J1074" s="630">
        <v>1.34</v>
      </c>
      <c r="K1074"/>
    </row>
    <row r="1075" spans="1:11" ht="48" customHeight="1">
      <c r="A1075" s="631"/>
      <c r="B1075" s="631"/>
      <c r="C1075" s="631"/>
      <c r="D1075" s="631"/>
      <c r="E1075" s="631" t="s">
        <v>12714</v>
      </c>
      <c r="F1075" s="632">
        <v>3.0814142069412909</v>
      </c>
      <c r="G1075" s="631" t="s">
        <v>12715</v>
      </c>
      <c r="H1075" s="632">
        <v>2.62</v>
      </c>
      <c r="I1075" s="631" t="s">
        <v>12716</v>
      </c>
      <c r="J1075" s="632">
        <v>5.7</v>
      </c>
      <c r="K1075"/>
    </row>
    <row r="1076" spans="1:11" ht="24" customHeight="1" thickBot="1">
      <c r="A1076" s="631"/>
      <c r="B1076" s="631"/>
      <c r="C1076" s="631"/>
      <c r="D1076" s="631"/>
      <c r="E1076" s="631" t="s">
        <v>12717</v>
      </c>
      <c r="F1076" s="632">
        <v>5.15</v>
      </c>
      <c r="G1076" s="631"/>
      <c r="H1076" s="806" t="s">
        <v>12718</v>
      </c>
      <c r="I1076" s="806"/>
      <c r="J1076" s="632">
        <v>23.41</v>
      </c>
      <c r="K1076"/>
    </row>
    <row r="1077" spans="1:11" ht="24" customHeight="1" thickTop="1">
      <c r="A1077" s="633"/>
      <c r="B1077" s="633"/>
      <c r="C1077" s="633"/>
      <c r="D1077" s="633"/>
      <c r="E1077" s="633"/>
      <c r="F1077" s="633"/>
      <c r="G1077" s="633"/>
      <c r="H1077" s="633"/>
      <c r="I1077" s="633"/>
      <c r="J1077" s="633"/>
      <c r="K1077"/>
    </row>
    <row r="1078" spans="1:11" ht="24" customHeight="1">
      <c r="A1078" s="613" t="s">
        <v>12853</v>
      </c>
      <c r="B1078" s="614" t="s">
        <v>12698</v>
      </c>
      <c r="C1078" s="613" t="s">
        <v>12699</v>
      </c>
      <c r="D1078" s="613" t="s">
        <v>12700</v>
      </c>
      <c r="E1078" s="807" t="s">
        <v>12701</v>
      </c>
      <c r="F1078" s="808"/>
      <c r="G1078" s="615" t="s">
        <v>12702</v>
      </c>
      <c r="H1078" s="614" t="s">
        <v>12703</v>
      </c>
      <c r="I1078" s="614" t="s">
        <v>12704</v>
      </c>
      <c r="J1078" s="614" t="s">
        <v>12705</v>
      </c>
      <c r="K1078"/>
    </row>
    <row r="1079" spans="1:11" ht="24" customHeight="1">
      <c r="A1079" s="616" t="s">
        <v>12706</v>
      </c>
      <c r="B1079" s="617" t="s">
        <v>13480</v>
      </c>
      <c r="C1079" s="616" t="s">
        <v>8</v>
      </c>
      <c r="D1079" s="616" t="s">
        <v>1994</v>
      </c>
      <c r="E1079" s="809" t="s">
        <v>12819</v>
      </c>
      <c r="F1079" s="810"/>
      <c r="G1079" s="618" t="s">
        <v>35</v>
      </c>
      <c r="H1079" s="619">
        <v>1</v>
      </c>
      <c r="I1079" s="620">
        <v>8.2799999999999994</v>
      </c>
      <c r="J1079" s="620">
        <v>8.2799999999999994</v>
      </c>
      <c r="K1079"/>
    </row>
    <row r="1080" spans="1:11" ht="36" customHeight="1">
      <c r="A1080" s="621" t="s">
        <v>12708</v>
      </c>
      <c r="B1080" s="622" t="s">
        <v>13187</v>
      </c>
      <c r="C1080" s="621" t="s">
        <v>8</v>
      </c>
      <c r="D1080" s="621" t="s">
        <v>1516</v>
      </c>
      <c r="E1080" s="811" t="s">
        <v>12707</v>
      </c>
      <c r="F1080" s="812"/>
      <c r="G1080" s="623" t="s">
        <v>23</v>
      </c>
      <c r="H1080" s="624">
        <v>0.13</v>
      </c>
      <c r="I1080" s="625">
        <v>13.87</v>
      </c>
      <c r="J1080" s="625">
        <v>1.8</v>
      </c>
      <c r="K1080"/>
    </row>
    <row r="1081" spans="1:11" ht="25.5">
      <c r="A1081" s="621" t="s">
        <v>12708</v>
      </c>
      <c r="B1081" s="622" t="s">
        <v>12981</v>
      </c>
      <c r="C1081" s="621" t="s">
        <v>8</v>
      </c>
      <c r="D1081" s="621" t="s">
        <v>50</v>
      </c>
      <c r="E1081" s="811" t="s">
        <v>12707</v>
      </c>
      <c r="F1081" s="812"/>
      <c r="G1081" s="623" t="s">
        <v>23</v>
      </c>
      <c r="H1081" s="624">
        <v>0.13</v>
      </c>
      <c r="I1081" s="625">
        <v>17.79</v>
      </c>
      <c r="J1081" s="625">
        <v>2.31</v>
      </c>
      <c r="K1081"/>
    </row>
    <row r="1082" spans="1:11" ht="15" customHeight="1">
      <c r="A1082" s="626" t="s">
        <v>12709</v>
      </c>
      <c r="B1082" s="627" t="s">
        <v>13463</v>
      </c>
      <c r="C1082" s="626" t="s">
        <v>8</v>
      </c>
      <c r="D1082" s="626" t="s">
        <v>7398</v>
      </c>
      <c r="E1082" s="804" t="s">
        <v>12720</v>
      </c>
      <c r="F1082" s="805"/>
      <c r="G1082" s="628" t="s">
        <v>35</v>
      </c>
      <c r="H1082" s="629">
        <v>1</v>
      </c>
      <c r="I1082" s="630">
        <v>1.86</v>
      </c>
      <c r="J1082" s="630">
        <v>1.86</v>
      </c>
      <c r="K1082"/>
    </row>
    <row r="1083" spans="1:11" ht="0.95" customHeight="1">
      <c r="A1083" s="626" t="s">
        <v>12709</v>
      </c>
      <c r="B1083" s="627" t="s">
        <v>13479</v>
      </c>
      <c r="C1083" s="626" t="s">
        <v>8</v>
      </c>
      <c r="D1083" s="626" t="s">
        <v>9758</v>
      </c>
      <c r="E1083" s="804" t="s">
        <v>12720</v>
      </c>
      <c r="F1083" s="805"/>
      <c r="G1083" s="628" t="s">
        <v>35</v>
      </c>
      <c r="H1083" s="629">
        <v>1</v>
      </c>
      <c r="I1083" s="630">
        <v>1.73</v>
      </c>
      <c r="J1083" s="630">
        <v>1.73</v>
      </c>
      <c r="K1083"/>
    </row>
    <row r="1084" spans="1:11" ht="18" customHeight="1">
      <c r="A1084" s="626" t="s">
        <v>12709</v>
      </c>
      <c r="B1084" s="627" t="s">
        <v>13462</v>
      </c>
      <c r="C1084" s="626" t="s">
        <v>8</v>
      </c>
      <c r="D1084" s="626" t="s">
        <v>10684</v>
      </c>
      <c r="E1084" s="804" t="s">
        <v>12720</v>
      </c>
      <c r="F1084" s="805"/>
      <c r="G1084" s="628" t="s">
        <v>35</v>
      </c>
      <c r="H1084" s="629">
        <v>0.02</v>
      </c>
      <c r="I1084" s="630">
        <v>29.27</v>
      </c>
      <c r="J1084" s="630">
        <v>0.57999999999999996</v>
      </c>
      <c r="K1084"/>
    </row>
    <row r="1085" spans="1:11" ht="48" customHeight="1">
      <c r="A1085" s="631"/>
      <c r="B1085" s="631"/>
      <c r="C1085" s="631"/>
      <c r="D1085" s="631"/>
      <c r="E1085" s="631" t="s">
        <v>12714</v>
      </c>
      <c r="F1085" s="632">
        <v>1.6055789815115147</v>
      </c>
      <c r="G1085" s="631" t="s">
        <v>12715</v>
      </c>
      <c r="H1085" s="632">
        <v>1.36</v>
      </c>
      <c r="I1085" s="631" t="s">
        <v>12716</v>
      </c>
      <c r="J1085" s="632">
        <v>2.97</v>
      </c>
      <c r="K1085"/>
    </row>
    <row r="1086" spans="1:11" ht="24" customHeight="1" thickBot="1">
      <c r="A1086" s="631"/>
      <c r="B1086" s="631"/>
      <c r="C1086" s="631"/>
      <c r="D1086" s="631"/>
      <c r="E1086" s="631" t="s">
        <v>12717</v>
      </c>
      <c r="F1086" s="632">
        <v>2.33</v>
      </c>
      <c r="G1086" s="631"/>
      <c r="H1086" s="806" t="s">
        <v>12718</v>
      </c>
      <c r="I1086" s="806"/>
      <c r="J1086" s="632">
        <v>10.61</v>
      </c>
      <c r="K1086"/>
    </row>
    <row r="1087" spans="1:11" ht="24" customHeight="1" thickTop="1">
      <c r="A1087" s="633"/>
      <c r="B1087" s="633"/>
      <c r="C1087" s="633"/>
      <c r="D1087" s="633"/>
      <c r="E1087" s="633"/>
      <c r="F1087" s="633"/>
      <c r="G1087" s="633"/>
      <c r="H1087" s="633"/>
      <c r="I1087" s="633"/>
      <c r="J1087" s="633"/>
      <c r="K1087"/>
    </row>
    <row r="1088" spans="1:11" ht="24" customHeight="1">
      <c r="A1088" s="613" t="s">
        <v>12854</v>
      </c>
      <c r="B1088" s="614" t="s">
        <v>12698</v>
      </c>
      <c r="C1088" s="613" t="s">
        <v>12699</v>
      </c>
      <c r="D1088" s="613" t="s">
        <v>12700</v>
      </c>
      <c r="E1088" s="807" t="s">
        <v>12701</v>
      </c>
      <c r="F1088" s="808"/>
      <c r="G1088" s="615" t="s">
        <v>12702</v>
      </c>
      <c r="H1088" s="614" t="s">
        <v>12703</v>
      </c>
      <c r="I1088" s="614" t="s">
        <v>12704</v>
      </c>
      <c r="J1088" s="614" t="s">
        <v>12705</v>
      </c>
      <c r="K1088"/>
    </row>
    <row r="1089" spans="1:11" ht="24" customHeight="1">
      <c r="A1089" s="616" t="s">
        <v>12706</v>
      </c>
      <c r="B1089" s="617" t="s">
        <v>13478</v>
      </c>
      <c r="C1089" s="616" t="s">
        <v>8</v>
      </c>
      <c r="D1089" s="616" t="s">
        <v>2088</v>
      </c>
      <c r="E1089" s="809" t="s">
        <v>12819</v>
      </c>
      <c r="F1089" s="810"/>
      <c r="G1089" s="618" t="s">
        <v>35</v>
      </c>
      <c r="H1089" s="619">
        <v>1</v>
      </c>
      <c r="I1089" s="620">
        <v>29.23</v>
      </c>
      <c r="J1089" s="620">
        <v>29.23</v>
      </c>
      <c r="K1089"/>
    </row>
    <row r="1090" spans="1:11" ht="36" customHeight="1">
      <c r="A1090" s="621" t="s">
        <v>12708</v>
      </c>
      <c r="B1090" s="622" t="s">
        <v>13187</v>
      </c>
      <c r="C1090" s="621" t="s">
        <v>8</v>
      </c>
      <c r="D1090" s="621" t="s">
        <v>1516</v>
      </c>
      <c r="E1090" s="811" t="s">
        <v>12707</v>
      </c>
      <c r="F1090" s="812"/>
      <c r="G1090" s="623" t="s">
        <v>23</v>
      </c>
      <c r="H1090" s="624">
        <v>0.16</v>
      </c>
      <c r="I1090" s="625">
        <v>13.87</v>
      </c>
      <c r="J1090" s="625">
        <v>2.21</v>
      </c>
      <c r="K1090"/>
    </row>
    <row r="1091" spans="1:11" ht="25.5">
      <c r="A1091" s="621" t="s">
        <v>12708</v>
      </c>
      <c r="B1091" s="622" t="s">
        <v>12981</v>
      </c>
      <c r="C1091" s="621" t="s">
        <v>8</v>
      </c>
      <c r="D1091" s="621" t="s">
        <v>50</v>
      </c>
      <c r="E1091" s="811" t="s">
        <v>12707</v>
      </c>
      <c r="F1091" s="812"/>
      <c r="G1091" s="623" t="s">
        <v>23</v>
      </c>
      <c r="H1091" s="624">
        <v>0.16</v>
      </c>
      <c r="I1091" s="625">
        <v>17.79</v>
      </c>
      <c r="J1091" s="625">
        <v>2.84</v>
      </c>
      <c r="K1091"/>
    </row>
    <row r="1092" spans="1:11" ht="15" customHeight="1">
      <c r="A1092" s="626" t="s">
        <v>12709</v>
      </c>
      <c r="B1092" s="627" t="s">
        <v>13477</v>
      </c>
      <c r="C1092" s="626" t="s">
        <v>8</v>
      </c>
      <c r="D1092" s="626" t="s">
        <v>7400</v>
      </c>
      <c r="E1092" s="804" t="s">
        <v>12720</v>
      </c>
      <c r="F1092" s="805"/>
      <c r="G1092" s="628" t="s">
        <v>35</v>
      </c>
      <c r="H1092" s="629">
        <v>2</v>
      </c>
      <c r="I1092" s="630">
        <v>3.3</v>
      </c>
      <c r="J1092" s="630">
        <v>6.6</v>
      </c>
      <c r="K1092"/>
    </row>
    <row r="1093" spans="1:11" ht="0.95" customHeight="1">
      <c r="A1093" s="626" t="s">
        <v>12709</v>
      </c>
      <c r="B1093" s="627" t="s">
        <v>13476</v>
      </c>
      <c r="C1093" s="626" t="s">
        <v>8</v>
      </c>
      <c r="D1093" s="626" t="s">
        <v>9867</v>
      </c>
      <c r="E1093" s="804" t="s">
        <v>12720</v>
      </c>
      <c r="F1093" s="805"/>
      <c r="G1093" s="628" t="s">
        <v>35</v>
      </c>
      <c r="H1093" s="629">
        <v>1</v>
      </c>
      <c r="I1093" s="630">
        <v>14.89</v>
      </c>
      <c r="J1093" s="630">
        <v>14.89</v>
      </c>
      <c r="K1093"/>
    </row>
    <row r="1094" spans="1:11" ht="18" customHeight="1">
      <c r="A1094" s="626" t="s">
        <v>12709</v>
      </c>
      <c r="B1094" s="627" t="s">
        <v>13462</v>
      </c>
      <c r="C1094" s="626" t="s">
        <v>8</v>
      </c>
      <c r="D1094" s="626" t="s">
        <v>10684</v>
      </c>
      <c r="E1094" s="804" t="s">
        <v>12720</v>
      </c>
      <c r="F1094" s="805"/>
      <c r="G1094" s="628" t="s">
        <v>35</v>
      </c>
      <c r="H1094" s="629">
        <v>9.1999999999999998E-2</v>
      </c>
      <c r="I1094" s="630">
        <v>29.27</v>
      </c>
      <c r="J1094" s="630">
        <v>2.69</v>
      </c>
      <c r="K1094"/>
    </row>
    <row r="1095" spans="1:11" ht="36" customHeight="1">
      <c r="A1095" s="631"/>
      <c r="B1095" s="631"/>
      <c r="C1095" s="631"/>
      <c r="D1095" s="631"/>
      <c r="E1095" s="631" t="s">
        <v>12714</v>
      </c>
      <c r="F1095" s="632">
        <v>1.9731862904097741</v>
      </c>
      <c r="G1095" s="631" t="s">
        <v>12715</v>
      </c>
      <c r="H1095" s="632">
        <v>1.68</v>
      </c>
      <c r="I1095" s="631" t="s">
        <v>12716</v>
      </c>
      <c r="J1095" s="632">
        <v>3.65</v>
      </c>
      <c r="K1095"/>
    </row>
    <row r="1096" spans="1:11" ht="24" customHeight="1" thickBot="1">
      <c r="A1096" s="631"/>
      <c r="B1096" s="631"/>
      <c r="C1096" s="631"/>
      <c r="D1096" s="631"/>
      <c r="E1096" s="631" t="s">
        <v>12717</v>
      </c>
      <c r="F1096" s="632">
        <v>8.25</v>
      </c>
      <c r="G1096" s="631"/>
      <c r="H1096" s="806" t="s">
        <v>12718</v>
      </c>
      <c r="I1096" s="806"/>
      <c r="J1096" s="632">
        <v>37.479999999999997</v>
      </c>
      <c r="K1096"/>
    </row>
    <row r="1097" spans="1:11" ht="24" customHeight="1" thickTop="1">
      <c r="A1097" s="633"/>
      <c r="B1097" s="633"/>
      <c r="C1097" s="633"/>
      <c r="D1097" s="633"/>
      <c r="E1097" s="633"/>
      <c r="F1097" s="633"/>
      <c r="G1097" s="633"/>
      <c r="H1097" s="633"/>
      <c r="I1097" s="633"/>
      <c r="J1097" s="633"/>
      <c r="K1097"/>
    </row>
    <row r="1098" spans="1:11" ht="24" customHeight="1">
      <c r="A1098" s="613" t="s">
        <v>12855</v>
      </c>
      <c r="B1098" s="614" t="s">
        <v>12698</v>
      </c>
      <c r="C1098" s="613" t="s">
        <v>12699</v>
      </c>
      <c r="D1098" s="613" t="s">
        <v>12700</v>
      </c>
      <c r="E1098" s="807" t="s">
        <v>12701</v>
      </c>
      <c r="F1098" s="808"/>
      <c r="G1098" s="615" t="s">
        <v>12702</v>
      </c>
      <c r="H1098" s="614" t="s">
        <v>12703</v>
      </c>
      <c r="I1098" s="614" t="s">
        <v>12704</v>
      </c>
      <c r="J1098" s="614" t="s">
        <v>12705</v>
      </c>
      <c r="K1098"/>
    </row>
    <row r="1099" spans="1:11" ht="24" customHeight="1">
      <c r="A1099" s="616" t="s">
        <v>12706</v>
      </c>
      <c r="B1099" s="617" t="s">
        <v>13475</v>
      </c>
      <c r="C1099" s="616" t="s">
        <v>8</v>
      </c>
      <c r="D1099" s="616" t="s">
        <v>1979</v>
      </c>
      <c r="E1099" s="809" t="s">
        <v>12819</v>
      </c>
      <c r="F1099" s="810"/>
      <c r="G1099" s="618" t="s">
        <v>17</v>
      </c>
      <c r="H1099" s="619">
        <v>1</v>
      </c>
      <c r="I1099" s="620">
        <v>41.47</v>
      </c>
      <c r="J1099" s="620">
        <v>41.47</v>
      </c>
      <c r="K1099"/>
    </row>
    <row r="1100" spans="1:11" ht="24" customHeight="1">
      <c r="A1100" s="621" t="s">
        <v>12708</v>
      </c>
      <c r="B1100" s="622" t="s">
        <v>13187</v>
      </c>
      <c r="C1100" s="621" t="s">
        <v>8</v>
      </c>
      <c r="D1100" s="621" t="s">
        <v>1516</v>
      </c>
      <c r="E1100" s="811" t="s">
        <v>12707</v>
      </c>
      <c r="F1100" s="812"/>
      <c r="G1100" s="623" t="s">
        <v>23</v>
      </c>
      <c r="H1100" s="624">
        <v>0.74</v>
      </c>
      <c r="I1100" s="625">
        <v>13.87</v>
      </c>
      <c r="J1100" s="625">
        <v>10.26</v>
      </c>
      <c r="K1100"/>
    </row>
    <row r="1101" spans="1:11" ht="24" customHeight="1">
      <c r="A1101" s="621" t="s">
        <v>12708</v>
      </c>
      <c r="B1101" s="622" t="s">
        <v>12981</v>
      </c>
      <c r="C1101" s="621" t="s">
        <v>8</v>
      </c>
      <c r="D1101" s="621" t="s">
        <v>50</v>
      </c>
      <c r="E1101" s="811" t="s">
        <v>12707</v>
      </c>
      <c r="F1101" s="812"/>
      <c r="G1101" s="623" t="s">
        <v>23</v>
      </c>
      <c r="H1101" s="624">
        <v>0.74</v>
      </c>
      <c r="I1101" s="625">
        <v>17.79</v>
      </c>
      <c r="J1101" s="625">
        <v>13.16</v>
      </c>
      <c r="K1101"/>
    </row>
    <row r="1102" spans="1:11">
      <c r="A1102" s="626" t="s">
        <v>12709</v>
      </c>
      <c r="B1102" s="627" t="s">
        <v>13468</v>
      </c>
      <c r="C1102" s="626" t="s">
        <v>8</v>
      </c>
      <c r="D1102" s="626" t="s">
        <v>7343</v>
      </c>
      <c r="E1102" s="804" t="s">
        <v>12720</v>
      </c>
      <c r="F1102" s="805"/>
      <c r="G1102" s="628" t="s">
        <v>35</v>
      </c>
      <c r="H1102" s="629">
        <v>3.6299999999999999E-2</v>
      </c>
      <c r="I1102" s="630">
        <v>79.94</v>
      </c>
      <c r="J1102" s="630">
        <v>2.9</v>
      </c>
      <c r="K1102"/>
    </row>
    <row r="1103" spans="1:11" ht="15" customHeight="1">
      <c r="A1103" s="626" t="s">
        <v>12709</v>
      </c>
      <c r="B1103" s="627" t="s">
        <v>13467</v>
      </c>
      <c r="C1103" s="626" t="s">
        <v>8</v>
      </c>
      <c r="D1103" s="626" t="s">
        <v>9987</v>
      </c>
      <c r="E1103" s="804" t="s">
        <v>12720</v>
      </c>
      <c r="F1103" s="805"/>
      <c r="G1103" s="628" t="s">
        <v>35</v>
      </c>
      <c r="H1103" s="629">
        <v>0.247</v>
      </c>
      <c r="I1103" s="630">
        <v>1.93</v>
      </c>
      <c r="J1103" s="630">
        <v>0.47</v>
      </c>
      <c r="K1103"/>
    </row>
    <row r="1104" spans="1:11" ht="0.95" customHeight="1">
      <c r="A1104" s="626" t="s">
        <v>12709</v>
      </c>
      <c r="B1104" s="627" t="s">
        <v>13466</v>
      </c>
      <c r="C1104" s="626" t="s">
        <v>8</v>
      </c>
      <c r="D1104" s="626" t="s">
        <v>11315</v>
      </c>
      <c r="E1104" s="804" t="s">
        <v>12720</v>
      </c>
      <c r="F1104" s="805"/>
      <c r="G1104" s="628" t="s">
        <v>35</v>
      </c>
      <c r="H1104" s="629">
        <v>5.9299999999999999E-2</v>
      </c>
      <c r="I1104" s="630">
        <v>69.42</v>
      </c>
      <c r="J1104" s="630">
        <v>4.1100000000000003</v>
      </c>
      <c r="K1104"/>
    </row>
    <row r="1105" spans="1:11" ht="18" customHeight="1">
      <c r="A1105" s="626" t="s">
        <v>12709</v>
      </c>
      <c r="B1105" s="627" t="s">
        <v>13474</v>
      </c>
      <c r="C1105" s="626" t="s">
        <v>8</v>
      </c>
      <c r="D1105" s="626" t="s">
        <v>12137</v>
      </c>
      <c r="E1105" s="804" t="s">
        <v>12720</v>
      </c>
      <c r="F1105" s="805"/>
      <c r="G1105" s="628" t="s">
        <v>17</v>
      </c>
      <c r="H1105" s="629">
        <v>1.05</v>
      </c>
      <c r="I1105" s="630">
        <v>10.07</v>
      </c>
      <c r="J1105" s="630">
        <v>10.57</v>
      </c>
      <c r="K1105"/>
    </row>
    <row r="1106" spans="1:11" ht="36" customHeight="1">
      <c r="A1106" s="631"/>
      <c r="B1106" s="631"/>
      <c r="C1106" s="631"/>
      <c r="D1106" s="631"/>
      <c r="E1106" s="631" t="s">
        <v>12714</v>
      </c>
      <c r="F1106" s="632">
        <v>9.1361228240890906</v>
      </c>
      <c r="G1106" s="631" t="s">
        <v>12715</v>
      </c>
      <c r="H1106" s="632">
        <v>7.76</v>
      </c>
      <c r="I1106" s="631" t="s">
        <v>12716</v>
      </c>
      <c r="J1106" s="632">
        <v>16.899999999999999</v>
      </c>
      <c r="K1106"/>
    </row>
    <row r="1107" spans="1:11" ht="24" customHeight="1" thickBot="1">
      <c r="A1107" s="631"/>
      <c r="B1107" s="631"/>
      <c r="C1107" s="631"/>
      <c r="D1107" s="631"/>
      <c r="E1107" s="631" t="s">
        <v>12717</v>
      </c>
      <c r="F1107" s="632">
        <v>11.71</v>
      </c>
      <c r="G1107" s="631"/>
      <c r="H1107" s="806" t="s">
        <v>12718</v>
      </c>
      <c r="I1107" s="806"/>
      <c r="J1107" s="632">
        <v>53.18</v>
      </c>
      <c r="K1107"/>
    </row>
    <row r="1108" spans="1:11" ht="24" customHeight="1" thickTop="1">
      <c r="A1108" s="633"/>
      <c r="B1108" s="633"/>
      <c r="C1108" s="633"/>
      <c r="D1108" s="633"/>
      <c r="E1108" s="633"/>
      <c r="F1108" s="633"/>
      <c r="G1108" s="633"/>
      <c r="H1108" s="633"/>
      <c r="I1108" s="633"/>
      <c r="J1108" s="633"/>
      <c r="K1108"/>
    </row>
    <row r="1109" spans="1:11" ht="24" customHeight="1">
      <c r="A1109" s="613" t="s">
        <v>12856</v>
      </c>
      <c r="B1109" s="614" t="s">
        <v>12698</v>
      </c>
      <c r="C1109" s="613" t="s">
        <v>12699</v>
      </c>
      <c r="D1109" s="613" t="s">
        <v>12700</v>
      </c>
      <c r="E1109" s="807" t="s">
        <v>12701</v>
      </c>
      <c r="F1109" s="808"/>
      <c r="G1109" s="615" t="s">
        <v>12702</v>
      </c>
      <c r="H1109" s="614" t="s">
        <v>12703</v>
      </c>
      <c r="I1109" s="614" t="s">
        <v>12704</v>
      </c>
      <c r="J1109" s="614" t="s">
        <v>12705</v>
      </c>
      <c r="K1109"/>
    </row>
    <row r="1110" spans="1:11" ht="24" customHeight="1">
      <c r="A1110" s="616" t="s">
        <v>12706</v>
      </c>
      <c r="B1110" s="617" t="s">
        <v>13473</v>
      </c>
      <c r="C1110" s="616" t="s">
        <v>8</v>
      </c>
      <c r="D1110" s="616" t="s">
        <v>2102</v>
      </c>
      <c r="E1110" s="809" t="s">
        <v>12819</v>
      </c>
      <c r="F1110" s="810"/>
      <c r="G1110" s="618" t="s">
        <v>17</v>
      </c>
      <c r="H1110" s="619">
        <v>1</v>
      </c>
      <c r="I1110" s="620">
        <v>42.3</v>
      </c>
      <c r="J1110" s="620">
        <v>42.3</v>
      </c>
      <c r="K1110"/>
    </row>
    <row r="1111" spans="1:11" ht="24" customHeight="1">
      <c r="A1111" s="621" t="s">
        <v>12708</v>
      </c>
      <c r="B1111" s="622" t="s">
        <v>13187</v>
      </c>
      <c r="C1111" s="621" t="s">
        <v>8</v>
      </c>
      <c r="D1111" s="621" t="s">
        <v>1516</v>
      </c>
      <c r="E1111" s="811" t="s">
        <v>12707</v>
      </c>
      <c r="F1111" s="812"/>
      <c r="G1111" s="623" t="s">
        <v>23</v>
      </c>
      <c r="H1111" s="624">
        <v>0.37</v>
      </c>
      <c r="I1111" s="625">
        <v>13.87</v>
      </c>
      <c r="J1111" s="625">
        <v>5.13</v>
      </c>
      <c r="K1111"/>
    </row>
    <row r="1112" spans="1:11" ht="24" customHeight="1">
      <c r="A1112" s="621" t="s">
        <v>12708</v>
      </c>
      <c r="B1112" s="622" t="s">
        <v>12981</v>
      </c>
      <c r="C1112" s="621" t="s">
        <v>8</v>
      </c>
      <c r="D1112" s="621" t="s">
        <v>50</v>
      </c>
      <c r="E1112" s="811" t="s">
        <v>12707</v>
      </c>
      <c r="F1112" s="812"/>
      <c r="G1112" s="623" t="s">
        <v>23</v>
      </c>
      <c r="H1112" s="624">
        <v>0.37</v>
      </c>
      <c r="I1112" s="625">
        <v>17.79</v>
      </c>
      <c r="J1112" s="625">
        <v>6.58</v>
      </c>
      <c r="K1112"/>
    </row>
    <row r="1113" spans="1:11">
      <c r="A1113" s="626" t="s">
        <v>12709</v>
      </c>
      <c r="B1113" s="627" t="s">
        <v>13468</v>
      </c>
      <c r="C1113" s="626" t="s">
        <v>8</v>
      </c>
      <c r="D1113" s="626" t="s">
        <v>7343</v>
      </c>
      <c r="E1113" s="804" t="s">
        <v>12720</v>
      </c>
      <c r="F1113" s="805"/>
      <c r="G1113" s="628" t="s">
        <v>35</v>
      </c>
      <c r="H1113" s="629">
        <v>1.72E-2</v>
      </c>
      <c r="I1113" s="630">
        <v>79.94</v>
      </c>
      <c r="J1113" s="630">
        <v>1.37</v>
      </c>
      <c r="K1113"/>
    </row>
    <row r="1114" spans="1:11" ht="15" customHeight="1">
      <c r="A1114" s="626" t="s">
        <v>12709</v>
      </c>
      <c r="B1114" s="627" t="s">
        <v>13467</v>
      </c>
      <c r="C1114" s="626" t="s">
        <v>8</v>
      </c>
      <c r="D1114" s="626" t="s">
        <v>9987</v>
      </c>
      <c r="E1114" s="804" t="s">
        <v>12720</v>
      </c>
      <c r="F1114" s="805"/>
      <c r="G1114" s="628" t="s">
        <v>35</v>
      </c>
      <c r="H1114" s="629">
        <v>0.123</v>
      </c>
      <c r="I1114" s="630">
        <v>1.93</v>
      </c>
      <c r="J1114" s="630">
        <v>0.23</v>
      </c>
      <c r="K1114"/>
    </row>
    <row r="1115" spans="1:11" ht="0.95" customHeight="1">
      <c r="A1115" s="626" t="s">
        <v>12709</v>
      </c>
      <c r="B1115" s="627" t="s">
        <v>13466</v>
      </c>
      <c r="C1115" s="626" t="s">
        <v>8</v>
      </c>
      <c r="D1115" s="626" t="s">
        <v>11315</v>
      </c>
      <c r="E1115" s="804" t="s">
        <v>12720</v>
      </c>
      <c r="F1115" s="805"/>
      <c r="G1115" s="628" t="s">
        <v>35</v>
      </c>
      <c r="H1115" s="629">
        <v>2.8199999999999999E-2</v>
      </c>
      <c r="I1115" s="630">
        <v>69.42</v>
      </c>
      <c r="J1115" s="630">
        <v>1.95</v>
      </c>
      <c r="K1115"/>
    </row>
    <row r="1116" spans="1:11" ht="18" customHeight="1">
      <c r="A1116" s="626" t="s">
        <v>12709</v>
      </c>
      <c r="B1116" s="627" t="s">
        <v>13472</v>
      </c>
      <c r="C1116" s="626" t="s">
        <v>8</v>
      </c>
      <c r="D1116" s="626" t="s">
        <v>12138</v>
      </c>
      <c r="E1116" s="804" t="s">
        <v>12720</v>
      </c>
      <c r="F1116" s="805"/>
      <c r="G1116" s="628" t="s">
        <v>17</v>
      </c>
      <c r="H1116" s="629">
        <v>1.05</v>
      </c>
      <c r="I1116" s="630">
        <v>25.76</v>
      </c>
      <c r="J1116" s="630">
        <v>27.04</v>
      </c>
      <c r="K1116"/>
    </row>
    <row r="1117" spans="1:11" ht="36" customHeight="1">
      <c r="A1117" s="631"/>
      <c r="B1117" s="631"/>
      <c r="C1117" s="631"/>
      <c r="D1117" s="631"/>
      <c r="E1117" s="631" t="s">
        <v>12714</v>
      </c>
      <c r="F1117" s="632">
        <v>4.5680614120445453</v>
      </c>
      <c r="G1117" s="631" t="s">
        <v>12715</v>
      </c>
      <c r="H1117" s="632">
        <v>3.88</v>
      </c>
      <c r="I1117" s="631" t="s">
        <v>12716</v>
      </c>
      <c r="J1117" s="632">
        <v>8.4499999999999993</v>
      </c>
      <c r="K1117"/>
    </row>
    <row r="1118" spans="1:11" ht="24" customHeight="1" thickBot="1">
      <c r="A1118" s="631"/>
      <c r="B1118" s="631"/>
      <c r="C1118" s="631"/>
      <c r="D1118" s="631"/>
      <c r="E1118" s="631" t="s">
        <v>12717</v>
      </c>
      <c r="F1118" s="632">
        <v>11.94</v>
      </c>
      <c r="G1118" s="631"/>
      <c r="H1118" s="806" t="s">
        <v>12718</v>
      </c>
      <c r="I1118" s="806"/>
      <c r="J1118" s="632">
        <v>54.24</v>
      </c>
      <c r="K1118"/>
    </row>
    <row r="1119" spans="1:11" ht="24" customHeight="1" thickTop="1">
      <c r="A1119" s="633"/>
      <c r="B1119" s="633"/>
      <c r="C1119" s="633"/>
      <c r="D1119" s="633"/>
      <c r="E1119" s="633"/>
      <c r="F1119" s="633"/>
      <c r="G1119" s="633"/>
      <c r="H1119" s="633"/>
      <c r="I1119" s="633"/>
      <c r="J1119" s="633"/>
      <c r="K1119"/>
    </row>
    <row r="1120" spans="1:11" ht="24" customHeight="1">
      <c r="A1120" s="613" t="s">
        <v>12857</v>
      </c>
      <c r="B1120" s="614" t="s">
        <v>12698</v>
      </c>
      <c r="C1120" s="613" t="s">
        <v>12699</v>
      </c>
      <c r="D1120" s="613" t="s">
        <v>12700</v>
      </c>
      <c r="E1120" s="807" t="s">
        <v>12701</v>
      </c>
      <c r="F1120" s="808"/>
      <c r="G1120" s="615" t="s">
        <v>12702</v>
      </c>
      <c r="H1120" s="614" t="s">
        <v>12703</v>
      </c>
      <c r="I1120" s="614" t="s">
        <v>12704</v>
      </c>
      <c r="J1120" s="614" t="s">
        <v>12705</v>
      </c>
      <c r="K1120"/>
    </row>
    <row r="1121" spans="1:11" ht="24" customHeight="1">
      <c r="A1121" s="616" t="s">
        <v>12706</v>
      </c>
      <c r="B1121" s="617" t="s">
        <v>13471</v>
      </c>
      <c r="C1121" s="616" t="s">
        <v>8</v>
      </c>
      <c r="D1121" s="616" t="s">
        <v>1976</v>
      </c>
      <c r="E1121" s="809" t="s">
        <v>12819</v>
      </c>
      <c r="F1121" s="810"/>
      <c r="G1121" s="618" t="s">
        <v>17</v>
      </c>
      <c r="H1121" s="619">
        <v>1</v>
      </c>
      <c r="I1121" s="620">
        <v>13.49</v>
      </c>
      <c r="J1121" s="620">
        <v>13.49</v>
      </c>
      <c r="K1121"/>
    </row>
    <row r="1122" spans="1:11" ht="25.5">
      <c r="A1122" s="621" t="s">
        <v>12708</v>
      </c>
      <c r="B1122" s="622" t="s">
        <v>13187</v>
      </c>
      <c r="C1122" s="621" t="s">
        <v>8</v>
      </c>
      <c r="D1122" s="621" t="s">
        <v>1516</v>
      </c>
      <c r="E1122" s="811" t="s">
        <v>12707</v>
      </c>
      <c r="F1122" s="812"/>
      <c r="G1122" s="623" t="s">
        <v>23</v>
      </c>
      <c r="H1122" s="624">
        <v>0.3</v>
      </c>
      <c r="I1122" s="625">
        <v>13.87</v>
      </c>
      <c r="J1122" s="625">
        <v>4.16</v>
      </c>
      <c r="K1122"/>
    </row>
    <row r="1123" spans="1:11" ht="15" customHeight="1">
      <c r="A1123" s="621" t="s">
        <v>12708</v>
      </c>
      <c r="B1123" s="622" t="s">
        <v>12981</v>
      </c>
      <c r="C1123" s="621" t="s">
        <v>8</v>
      </c>
      <c r="D1123" s="621" t="s">
        <v>50</v>
      </c>
      <c r="E1123" s="811" t="s">
        <v>12707</v>
      </c>
      <c r="F1123" s="812"/>
      <c r="G1123" s="623" t="s">
        <v>23</v>
      </c>
      <c r="H1123" s="624">
        <v>0.3</v>
      </c>
      <c r="I1123" s="625">
        <v>17.79</v>
      </c>
      <c r="J1123" s="625">
        <v>5.33</v>
      </c>
      <c r="K1123"/>
    </row>
    <row r="1124" spans="1:11" ht="0.95" customHeight="1">
      <c r="A1124" s="626" t="s">
        <v>12709</v>
      </c>
      <c r="B1124" s="627" t="s">
        <v>13467</v>
      </c>
      <c r="C1124" s="626" t="s">
        <v>8</v>
      </c>
      <c r="D1124" s="626" t="s">
        <v>9987</v>
      </c>
      <c r="E1124" s="804" t="s">
        <v>12720</v>
      </c>
      <c r="F1124" s="805"/>
      <c r="G1124" s="628" t="s">
        <v>35</v>
      </c>
      <c r="H1124" s="629">
        <v>0.1</v>
      </c>
      <c r="I1124" s="630">
        <v>1.93</v>
      </c>
      <c r="J1124" s="630">
        <v>0.19</v>
      </c>
      <c r="K1124"/>
    </row>
    <row r="1125" spans="1:11" ht="18" customHeight="1">
      <c r="A1125" s="626" t="s">
        <v>12709</v>
      </c>
      <c r="B1125" s="627" t="s">
        <v>13470</v>
      </c>
      <c r="C1125" s="626" t="s">
        <v>8</v>
      </c>
      <c r="D1125" s="626" t="s">
        <v>12139</v>
      </c>
      <c r="E1125" s="804" t="s">
        <v>12720</v>
      </c>
      <c r="F1125" s="805"/>
      <c r="G1125" s="628" t="s">
        <v>17</v>
      </c>
      <c r="H1125" s="629">
        <v>1.05</v>
      </c>
      <c r="I1125" s="630">
        <v>3.63</v>
      </c>
      <c r="J1125" s="630">
        <v>3.81</v>
      </c>
      <c r="K1125"/>
    </row>
    <row r="1126" spans="1:11" ht="36" customHeight="1">
      <c r="A1126" s="631"/>
      <c r="B1126" s="631"/>
      <c r="C1126" s="631"/>
      <c r="D1126" s="631"/>
      <c r="E1126" s="631" t="s">
        <v>12714</v>
      </c>
      <c r="F1126" s="632">
        <v>3.7031030381662884</v>
      </c>
      <c r="G1126" s="631" t="s">
        <v>12715</v>
      </c>
      <c r="H1126" s="632">
        <v>3.15</v>
      </c>
      <c r="I1126" s="631" t="s">
        <v>12716</v>
      </c>
      <c r="J1126" s="632">
        <v>6.85</v>
      </c>
      <c r="K1126"/>
    </row>
    <row r="1127" spans="1:11" ht="24" customHeight="1" thickBot="1">
      <c r="A1127" s="631"/>
      <c r="B1127" s="631"/>
      <c r="C1127" s="631"/>
      <c r="D1127" s="631"/>
      <c r="E1127" s="631" t="s">
        <v>12717</v>
      </c>
      <c r="F1127" s="632">
        <v>3.8</v>
      </c>
      <c r="G1127" s="631"/>
      <c r="H1127" s="806" t="s">
        <v>12718</v>
      </c>
      <c r="I1127" s="806"/>
      <c r="J1127" s="632">
        <v>17.29</v>
      </c>
      <c r="K1127"/>
    </row>
    <row r="1128" spans="1:11" ht="24" customHeight="1" thickTop="1">
      <c r="A1128" s="633"/>
      <c r="B1128" s="633"/>
      <c r="C1128" s="633"/>
      <c r="D1128" s="633"/>
      <c r="E1128" s="633"/>
      <c r="F1128" s="633"/>
      <c r="G1128" s="633"/>
      <c r="H1128" s="633"/>
      <c r="I1128" s="633"/>
      <c r="J1128" s="633"/>
      <c r="K1128"/>
    </row>
    <row r="1129" spans="1:11" ht="24" customHeight="1">
      <c r="A1129" s="613" t="s">
        <v>12858</v>
      </c>
      <c r="B1129" s="614" t="s">
        <v>12698</v>
      </c>
      <c r="C1129" s="613" t="s">
        <v>12699</v>
      </c>
      <c r="D1129" s="613" t="s">
        <v>12700</v>
      </c>
      <c r="E1129" s="807" t="s">
        <v>12701</v>
      </c>
      <c r="F1129" s="808"/>
      <c r="G1129" s="615" t="s">
        <v>12702</v>
      </c>
      <c r="H1129" s="614" t="s">
        <v>12703</v>
      </c>
      <c r="I1129" s="614" t="s">
        <v>12704</v>
      </c>
      <c r="J1129" s="614" t="s">
        <v>12705</v>
      </c>
      <c r="K1129"/>
    </row>
    <row r="1130" spans="1:11" ht="24" customHeight="1">
      <c r="A1130" s="616" t="s">
        <v>12706</v>
      </c>
      <c r="B1130" s="617" t="s">
        <v>13469</v>
      </c>
      <c r="C1130" s="616" t="s">
        <v>8</v>
      </c>
      <c r="D1130" s="616" t="s">
        <v>1977</v>
      </c>
      <c r="E1130" s="809" t="s">
        <v>12819</v>
      </c>
      <c r="F1130" s="810"/>
      <c r="G1130" s="618" t="s">
        <v>17</v>
      </c>
      <c r="H1130" s="619">
        <v>1</v>
      </c>
      <c r="I1130" s="620">
        <v>20.74</v>
      </c>
      <c r="J1130" s="620">
        <v>20.74</v>
      </c>
      <c r="K1130"/>
    </row>
    <row r="1131" spans="1:11" ht="24" customHeight="1">
      <c r="A1131" s="621" t="s">
        <v>12708</v>
      </c>
      <c r="B1131" s="622" t="s">
        <v>13187</v>
      </c>
      <c r="C1131" s="621" t="s">
        <v>8</v>
      </c>
      <c r="D1131" s="621" t="s">
        <v>1516</v>
      </c>
      <c r="E1131" s="811" t="s">
        <v>12707</v>
      </c>
      <c r="F1131" s="812"/>
      <c r="G1131" s="623" t="s">
        <v>23</v>
      </c>
      <c r="H1131" s="624">
        <v>0.38</v>
      </c>
      <c r="I1131" s="625">
        <v>13.87</v>
      </c>
      <c r="J1131" s="625">
        <v>5.27</v>
      </c>
      <c r="K1131"/>
    </row>
    <row r="1132" spans="1:11" ht="24" customHeight="1">
      <c r="A1132" s="621" t="s">
        <v>12708</v>
      </c>
      <c r="B1132" s="622" t="s">
        <v>12981</v>
      </c>
      <c r="C1132" s="621" t="s">
        <v>8</v>
      </c>
      <c r="D1132" s="621" t="s">
        <v>50</v>
      </c>
      <c r="E1132" s="811" t="s">
        <v>12707</v>
      </c>
      <c r="F1132" s="812"/>
      <c r="G1132" s="623" t="s">
        <v>23</v>
      </c>
      <c r="H1132" s="624">
        <v>0.38</v>
      </c>
      <c r="I1132" s="625">
        <v>17.79</v>
      </c>
      <c r="J1132" s="625">
        <v>6.76</v>
      </c>
      <c r="K1132"/>
    </row>
    <row r="1133" spans="1:11">
      <c r="A1133" s="626" t="s">
        <v>12709</v>
      </c>
      <c r="B1133" s="627" t="s">
        <v>13468</v>
      </c>
      <c r="C1133" s="626" t="s">
        <v>8</v>
      </c>
      <c r="D1133" s="626" t="s">
        <v>7343</v>
      </c>
      <c r="E1133" s="804" t="s">
        <v>12720</v>
      </c>
      <c r="F1133" s="805"/>
      <c r="G1133" s="628" t="s">
        <v>35</v>
      </c>
      <c r="H1133" s="629">
        <v>1.0800000000000001E-2</v>
      </c>
      <c r="I1133" s="630">
        <v>79.94</v>
      </c>
      <c r="J1133" s="630">
        <v>0.86</v>
      </c>
      <c r="K1133"/>
    </row>
    <row r="1134" spans="1:11" ht="15" customHeight="1">
      <c r="A1134" s="626" t="s">
        <v>12709</v>
      </c>
      <c r="B1134" s="627" t="s">
        <v>13467</v>
      </c>
      <c r="C1134" s="626" t="s">
        <v>8</v>
      </c>
      <c r="D1134" s="626" t="s">
        <v>9987</v>
      </c>
      <c r="E1134" s="804" t="s">
        <v>12720</v>
      </c>
      <c r="F1134" s="805"/>
      <c r="G1134" s="628" t="s">
        <v>35</v>
      </c>
      <c r="H1134" s="629">
        <v>0.127</v>
      </c>
      <c r="I1134" s="630">
        <v>1.93</v>
      </c>
      <c r="J1134" s="630">
        <v>0.24</v>
      </c>
      <c r="K1134"/>
    </row>
    <row r="1135" spans="1:11" ht="0.95" customHeight="1">
      <c r="A1135" s="626" t="s">
        <v>12709</v>
      </c>
      <c r="B1135" s="627" t="s">
        <v>13466</v>
      </c>
      <c r="C1135" s="626" t="s">
        <v>8</v>
      </c>
      <c r="D1135" s="626" t="s">
        <v>11315</v>
      </c>
      <c r="E1135" s="804" t="s">
        <v>12720</v>
      </c>
      <c r="F1135" s="805"/>
      <c r="G1135" s="628" t="s">
        <v>35</v>
      </c>
      <c r="H1135" s="629">
        <v>1.6299999999999999E-2</v>
      </c>
      <c r="I1135" s="630">
        <v>69.42</v>
      </c>
      <c r="J1135" s="630">
        <v>1.1299999999999999</v>
      </c>
      <c r="K1135"/>
    </row>
    <row r="1136" spans="1:11" ht="18" customHeight="1">
      <c r="A1136" s="626" t="s">
        <v>12709</v>
      </c>
      <c r="B1136" s="627" t="s">
        <v>13465</v>
      </c>
      <c r="C1136" s="626" t="s">
        <v>8</v>
      </c>
      <c r="D1136" s="626" t="s">
        <v>12166</v>
      </c>
      <c r="E1136" s="804" t="s">
        <v>12720</v>
      </c>
      <c r="F1136" s="805"/>
      <c r="G1136" s="628" t="s">
        <v>17</v>
      </c>
      <c r="H1136" s="629">
        <v>1.05</v>
      </c>
      <c r="I1136" s="630">
        <v>6.18</v>
      </c>
      <c r="J1136" s="630">
        <v>6.48</v>
      </c>
      <c r="K1136"/>
    </row>
    <row r="1137" spans="1:11" ht="48" customHeight="1">
      <c r="A1137" s="631"/>
      <c r="B1137" s="631"/>
      <c r="C1137" s="631"/>
      <c r="D1137" s="631"/>
      <c r="E1137" s="631" t="s">
        <v>12714</v>
      </c>
      <c r="F1137" s="632">
        <v>4.6869931884528055</v>
      </c>
      <c r="G1137" s="631" t="s">
        <v>12715</v>
      </c>
      <c r="H1137" s="632">
        <v>3.98</v>
      </c>
      <c r="I1137" s="631" t="s">
        <v>12716</v>
      </c>
      <c r="J1137" s="632">
        <v>8.67</v>
      </c>
      <c r="K1137"/>
    </row>
    <row r="1138" spans="1:11" ht="24" customHeight="1" thickBot="1">
      <c r="A1138" s="631"/>
      <c r="B1138" s="631"/>
      <c r="C1138" s="631"/>
      <c r="D1138" s="631"/>
      <c r="E1138" s="631" t="s">
        <v>12717</v>
      </c>
      <c r="F1138" s="632">
        <v>5.85</v>
      </c>
      <c r="G1138" s="631"/>
      <c r="H1138" s="806" t="s">
        <v>12718</v>
      </c>
      <c r="I1138" s="806"/>
      <c r="J1138" s="632">
        <v>26.59</v>
      </c>
      <c r="K1138"/>
    </row>
    <row r="1139" spans="1:11" ht="24" customHeight="1" thickTop="1">
      <c r="A1139" s="633"/>
      <c r="B1139" s="633"/>
      <c r="C1139" s="633"/>
      <c r="D1139" s="633"/>
      <c r="E1139" s="633"/>
      <c r="F1139" s="633"/>
      <c r="G1139" s="633"/>
      <c r="H1139" s="633"/>
      <c r="I1139" s="633"/>
      <c r="J1139" s="633"/>
      <c r="K1139"/>
    </row>
    <row r="1140" spans="1:11" ht="24" customHeight="1">
      <c r="A1140" s="613" t="s">
        <v>14455</v>
      </c>
      <c r="B1140" s="614" t="s">
        <v>12698</v>
      </c>
      <c r="C1140" s="613" t="s">
        <v>12699</v>
      </c>
      <c r="D1140" s="613" t="s">
        <v>12700</v>
      </c>
      <c r="E1140" s="807" t="s">
        <v>12701</v>
      </c>
      <c r="F1140" s="808"/>
      <c r="G1140" s="615" t="s">
        <v>12702</v>
      </c>
      <c r="H1140" s="614" t="s">
        <v>12703</v>
      </c>
      <c r="I1140" s="614" t="s">
        <v>12704</v>
      </c>
      <c r="J1140" s="614" t="s">
        <v>12705</v>
      </c>
      <c r="K1140"/>
    </row>
    <row r="1141" spans="1:11" ht="24" customHeight="1">
      <c r="A1141" s="616" t="s">
        <v>12706</v>
      </c>
      <c r="B1141" s="617" t="s">
        <v>14454</v>
      </c>
      <c r="C1141" s="616" t="s">
        <v>8</v>
      </c>
      <c r="D1141" s="616" t="s">
        <v>2036</v>
      </c>
      <c r="E1141" s="809" t="s">
        <v>12819</v>
      </c>
      <c r="F1141" s="810"/>
      <c r="G1141" s="618" t="s">
        <v>35</v>
      </c>
      <c r="H1141" s="619">
        <v>1</v>
      </c>
      <c r="I1141" s="620">
        <v>9.07</v>
      </c>
      <c r="J1141" s="620">
        <v>9.07</v>
      </c>
      <c r="K1141"/>
    </row>
    <row r="1142" spans="1:11" ht="24" customHeight="1">
      <c r="A1142" s="621" t="s">
        <v>12708</v>
      </c>
      <c r="B1142" s="622" t="s">
        <v>13187</v>
      </c>
      <c r="C1142" s="621" t="s">
        <v>8</v>
      </c>
      <c r="D1142" s="621" t="s">
        <v>1516</v>
      </c>
      <c r="E1142" s="811" t="s">
        <v>12707</v>
      </c>
      <c r="F1142" s="812"/>
      <c r="G1142" s="623" t="s">
        <v>23</v>
      </c>
      <c r="H1142" s="624">
        <v>0.14000000000000001</v>
      </c>
      <c r="I1142" s="625">
        <v>13.87</v>
      </c>
      <c r="J1142" s="625">
        <v>1.94</v>
      </c>
      <c r="K1142"/>
    </row>
    <row r="1143" spans="1:11" ht="24" customHeight="1">
      <c r="A1143" s="621" t="s">
        <v>12708</v>
      </c>
      <c r="B1143" s="622" t="s">
        <v>12981</v>
      </c>
      <c r="C1143" s="621" t="s">
        <v>8</v>
      </c>
      <c r="D1143" s="621" t="s">
        <v>50</v>
      </c>
      <c r="E1143" s="811" t="s">
        <v>12707</v>
      </c>
      <c r="F1143" s="812"/>
      <c r="G1143" s="623" t="s">
        <v>23</v>
      </c>
      <c r="H1143" s="624">
        <v>0.14000000000000001</v>
      </c>
      <c r="I1143" s="625">
        <v>17.79</v>
      </c>
      <c r="J1143" s="625">
        <v>2.4900000000000002</v>
      </c>
      <c r="K1143"/>
    </row>
    <row r="1144" spans="1:11">
      <c r="A1144" s="626" t="s">
        <v>12709</v>
      </c>
      <c r="B1144" s="627" t="s">
        <v>13468</v>
      </c>
      <c r="C1144" s="626" t="s">
        <v>8</v>
      </c>
      <c r="D1144" s="626" t="s">
        <v>7343</v>
      </c>
      <c r="E1144" s="804" t="s">
        <v>12720</v>
      </c>
      <c r="F1144" s="805"/>
      <c r="G1144" s="628" t="s">
        <v>35</v>
      </c>
      <c r="H1144" s="629">
        <v>1.4800000000000001E-2</v>
      </c>
      <c r="I1144" s="630">
        <v>79.94</v>
      </c>
      <c r="J1144" s="630">
        <v>1.18</v>
      </c>
      <c r="K1144"/>
    </row>
    <row r="1145" spans="1:11" ht="15" customHeight="1">
      <c r="A1145" s="626" t="s">
        <v>12709</v>
      </c>
      <c r="B1145" s="627" t="s">
        <v>13467</v>
      </c>
      <c r="C1145" s="626" t="s">
        <v>8</v>
      </c>
      <c r="D1145" s="626" t="s">
        <v>9987</v>
      </c>
      <c r="E1145" s="804" t="s">
        <v>12720</v>
      </c>
      <c r="F1145" s="805"/>
      <c r="G1145" s="628" t="s">
        <v>35</v>
      </c>
      <c r="H1145" s="629">
        <v>5.0999999999999997E-2</v>
      </c>
      <c r="I1145" s="630">
        <v>1.93</v>
      </c>
      <c r="J1145" s="630">
        <v>0.09</v>
      </c>
      <c r="K1145"/>
    </row>
    <row r="1146" spans="1:11" ht="0.95" customHeight="1">
      <c r="A1146" s="626" t="s">
        <v>12709</v>
      </c>
      <c r="B1146" s="627" t="s">
        <v>13466</v>
      </c>
      <c r="C1146" s="626" t="s">
        <v>8</v>
      </c>
      <c r="D1146" s="626" t="s">
        <v>11315</v>
      </c>
      <c r="E1146" s="804" t="s">
        <v>12720</v>
      </c>
      <c r="F1146" s="805"/>
      <c r="G1146" s="628" t="s">
        <v>35</v>
      </c>
      <c r="H1146" s="629">
        <v>1.4999999999999999E-2</v>
      </c>
      <c r="I1146" s="630">
        <v>69.42</v>
      </c>
      <c r="J1146" s="630">
        <v>1.04</v>
      </c>
      <c r="K1146"/>
    </row>
    <row r="1147" spans="1:11" ht="18" customHeight="1">
      <c r="A1147" s="626" t="s">
        <v>12709</v>
      </c>
      <c r="B1147" s="627" t="s">
        <v>14453</v>
      </c>
      <c r="C1147" s="626" t="s">
        <v>8</v>
      </c>
      <c r="D1147" s="626" t="s">
        <v>11554</v>
      </c>
      <c r="E1147" s="804" t="s">
        <v>12720</v>
      </c>
      <c r="F1147" s="805"/>
      <c r="G1147" s="628" t="s">
        <v>35</v>
      </c>
      <c r="H1147" s="629">
        <v>1</v>
      </c>
      <c r="I1147" s="630">
        <v>2.33</v>
      </c>
      <c r="J1147" s="630">
        <v>2.33</v>
      </c>
      <c r="K1147"/>
    </row>
    <row r="1148" spans="1:11" ht="48" customHeight="1">
      <c r="A1148" s="631"/>
      <c r="B1148" s="631"/>
      <c r="C1148" s="631"/>
      <c r="D1148" s="631"/>
      <c r="E1148" s="631" t="s">
        <v>12714</v>
      </c>
      <c r="F1148" s="632">
        <v>1.7245107579197752</v>
      </c>
      <c r="G1148" s="631" t="s">
        <v>12715</v>
      </c>
      <c r="H1148" s="632">
        <v>1.47</v>
      </c>
      <c r="I1148" s="631" t="s">
        <v>12716</v>
      </c>
      <c r="J1148" s="632">
        <v>3.19</v>
      </c>
      <c r="K1148"/>
    </row>
    <row r="1149" spans="1:11" ht="24" customHeight="1" thickBot="1">
      <c r="A1149" s="631"/>
      <c r="B1149" s="631"/>
      <c r="C1149" s="631"/>
      <c r="D1149" s="631"/>
      <c r="E1149" s="631" t="s">
        <v>12717</v>
      </c>
      <c r="F1149" s="632">
        <v>2.56</v>
      </c>
      <c r="G1149" s="631"/>
      <c r="H1149" s="806" t="s">
        <v>12718</v>
      </c>
      <c r="I1149" s="806"/>
      <c r="J1149" s="632">
        <v>11.63</v>
      </c>
      <c r="K1149"/>
    </row>
    <row r="1150" spans="1:11" ht="24" customHeight="1" thickTop="1">
      <c r="A1150" s="633"/>
      <c r="B1150" s="633"/>
      <c r="C1150" s="633"/>
      <c r="D1150" s="633"/>
      <c r="E1150" s="633"/>
      <c r="F1150" s="633"/>
      <c r="G1150" s="633"/>
      <c r="H1150" s="633"/>
      <c r="I1150" s="633"/>
      <c r="J1150" s="633"/>
      <c r="K1150"/>
    </row>
    <row r="1151" spans="1:11" ht="24" customHeight="1">
      <c r="A1151" s="613" t="s">
        <v>14842</v>
      </c>
      <c r="B1151" s="614" t="s">
        <v>12698</v>
      </c>
      <c r="C1151" s="613" t="s">
        <v>12699</v>
      </c>
      <c r="D1151" s="613" t="s">
        <v>12700</v>
      </c>
      <c r="E1151" s="807" t="s">
        <v>12701</v>
      </c>
      <c r="F1151" s="808"/>
      <c r="G1151" s="615" t="s">
        <v>12702</v>
      </c>
      <c r="H1151" s="614" t="s">
        <v>12703</v>
      </c>
      <c r="I1151" s="614" t="s">
        <v>12704</v>
      </c>
      <c r="J1151" s="614" t="s">
        <v>12705</v>
      </c>
      <c r="K1151"/>
    </row>
    <row r="1152" spans="1:11" ht="36" customHeight="1">
      <c r="A1152" s="616" t="s">
        <v>12706</v>
      </c>
      <c r="B1152" s="617" t="s">
        <v>14843</v>
      </c>
      <c r="C1152" s="616" t="s">
        <v>8</v>
      </c>
      <c r="D1152" s="616" t="s">
        <v>5011</v>
      </c>
      <c r="E1152" s="809" t="s">
        <v>12819</v>
      </c>
      <c r="F1152" s="810"/>
      <c r="G1152" s="618" t="s">
        <v>35</v>
      </c>
      <c r="H1152" s="619">
        <v>1</v>
      </c>
      <c r="I1152" s="620">
        <v>313.43</v>
      </c>
      <c r="J1152" s="620">
        <v>313.43</v>
      </c>
      <c r="K1152"/>
    </row>
    <row r="1153" spans="1:11" ht="24" customHeight="1">
      <c r="A1153" s="621" t="s">
        <v>12708</v>
      </c>
      <c r="B1153" s="622" t="s">
        <v>13069</v>
      </c>
      <c r="C1153" s="621" t="s">
        <v>8</v>
      </c>
      <c r="D1153" s="621" t="s">
        <v>1023</v>
      </c>
      <c r="E1153" s="811" t="s">
        <v>12726</v>
      </c>
      <c r="F1153" s="812"/>
      <c r="G1153" s="623" t="s">
        <v>44</v>
      </c>
      <c r="H1153" s="624">
        <v>8.6999999999999994E-3</v>
      </c>
      <c r="I1153" s="625">
        <v>78.23</v>
      </c>
      <c r="J1153" s="625">
        <v>0.68</v>
      </c>
      <c r="K1153"/>
    </row>
    <row r="1154" spans="1:11" ht="51">
      <c r="A1154" s="621" t="s">
        <v>12708</v>
      </c>
      <c r="B1154" s="622" t="s">
        <v>13070</v>
      </c>
      <c r="C1154" s="621" t="s">
        <v>8</v>
      </c>
      <c r="D1154" s="621" t="s">
        <v>1024</v>
      </c>
      <c r="E1154" s="811" t="s">
        <v>12726</v>
      </c>
      <c r="F1154" s="812"/>
      <c r="G1154" s="623" t="s">
        <v>61</v>
      </c>
      <c r="H1154" s="624">
        <v>2.9399999999999999E-2</v>
      </c>
      <c r="I1154" s="625">
        <v>32.1</v>
      </c>
      <c r="J1154" s="625">
        <v>0.94</v>
      </c>
      <c r="K1154"/>
    </row>
    <row r="1155" spans="1:11" ht="26.25" customHeight="1">
      <c r="A1155" s="621" t="s">
        <v>12708</v>
      </c>
      <c r="B1155" s="622" t="s">
        <v>13255</v>
      </c>
      <c r="C1155" s="621" t="s">
        <v>8</v>
      </c>
      <c r="D1155" s="621" t="s">
        <v>725</v>
      </c>
      <c r="E1155" s="811" t="s">
        <v>12734</v>
      </c>
      <c r="F1155" s="812"/>
      <c r="G1155" s="623" t="s">
        <v>12730</v>
      </c>
      <c r="H1155" s="624">
        <v>7.4399999999999994E-2</v>
      </c>
      <c r="I1155" s="625">
        <v>303.06</v>
      </c>
      <c r="J1155" s="625">
        <v>22.54</v>
      </c>
      <c r="K1155"/>
    </row>
    <row r="1156" spans="1:11" ht="25.5">
      <c r="A1156" s="621" t="s">
        <v>12708</v>
      </c>
      <c r="B1156" s="622" t="s">
        <v>13098</v>
      </c>
      <c r="C1156" s="621" t="s">
        <v>8</v>
      </c>
      <c r="D1156" s="621" t="s">
        <v>4845</v>
      </c>
      <c r="E1156" s="811" t="s">
        <v>12734</v>
      </c>
      <c r="F1156" s="812"/>
      <c r="G1156" s="623" t="s">
        <v>12730</v>
      </c>
      <c r="H1156" s="624">
        <v>4.48E-2</v>
      </c>
      <c r="I1156" s="625">
        <v>1615.86</v>
      </c>
      <c r="J1156" s="625">
        <v>72.39</v>
      </c>
      <c r="K1156"/>
    </row>
    <row r="1157" spans="1:11" ht="30" customHeight="1">
      <c r="A1157" s="621" t="s">
        <v>12708</v>
      </c>
      <c r="B1157" s="622" t="s">
        <v>14844</v>
      </c>
      <c r="C1157" s="621" t="s">
        <v>8</v>
      </c>
      <c r="D1157" s="621" t="s">
        <v>3314</v>
      </c>
      <c r="E1157" s="811" t="s">
        <v>12729</v>
      </c>
      <c r="F1157" s="812"/>
      <c r="G1157" s="623" t="s">
        <v>12725</v>
      </c>
      <c r="H1157" s="624">
        <v>0.81</v>
      </c>
      <c r="I1157" s="625">
        <v>4.17</v>
      </c>
      <c r="J1157" s="625">
        <v>3.37</v>
      </c>
      <c r="K1157"/>
    </row>
    <row r="1158" spans="1:11" ht="60" customHeight="1">
      <c r="A1158" s="621" t="s">
        <v>12708</v>
      </c>
      <c r="B1158" s="622" t="s">
        <v>13316</v>
      </c>
      <c r="C1158" s="621" t="s">
        <v>8</v>
      </c>
      <c r="D1158" s="621" t="s">
        <v>5774</v>
      </c>
      <c r="E1158" s="811" t="s">
        <v>12707</v>
      </c>
      <c r="F1158" s="812"/>
      <c r="G1158" s="623" t="s">
        <v>12730</v>
      </c>
      <c r="H1158" s="624">
        <v>1.4E-3</v>
      </c>
      <c r="I1158" s="625">
        <v>298.38</v>
      </c>
      <c r="J1158" s="625">
        <v>0.41</v>
      </c>
      <c r="K1158"/>
    </row>
    <row r="1159" spans="1:11" ht="36" customHeight="1">
      <c r="A1159" s="621" t="s">
        <v>12708</v>
      </c>
      <c r="B1159" s="622" t="s">
        <v>14845</v>
      </c>
      <c r="C1159" s="621" t="s">
        <v>8</v>
      </c>
      <c r="D1159" s="621" t="s">
        <v>5874</v>
      </c>
      <c r="E1159" s="811" t="s">
        <v>12707</v>
      </c>
      <c r="F1159" s="812"/>
      <c r="G1159" s="623" t="s">
        <v>12730</v>
      </c>
      <c r="H1159" s="624">
        <v>7.2800000000000004E-2</v>
      </c>
      <c r="I1159" s="625">
        <v>453.9</v>
      </c>
      <c r="J1159" s="625">
        <v>33.04</v>
      </c>
      <c r="K1159"/>
    </row>
    <row r="1160" spans="1:11" ht="24" customHeight="1">
      <c r="A1160" s="621" t="s">
        <v>12708</v>
      </c>
      <c r="B1160" s="622" t="s">
        <v>12745</v>
      </c>
      <c r="C1160" s="621" t="s">
        <v>8</v>
      </c>
      <c r="D1160" s="621" t="s">
        <v>47</v>
      </c>
      <c r="E1160" s="811" t="s">
        <v>12707</v>
      </c>
      <c r="F1160" s="812"/>
      <c r="G1160" s="623" t="s">
        <v>23</v>
      </c>
      <c r="H1160" s="624">
        <v>4.2229999999999999</v>
      </c>
      <c r="I1160" s="625">
        <v>17.760000000000002</v>
      </c>
      <c r="J1160" s="625">
        <v>75</v>
      </c>
      <c r="K1160"/>
    </row>
    <row r="1161" spans="1:11" ht="24" customHeight="1">
      <c r="A1161" s="621" t="s">
        <v>12708</v>
      </c>
      <c r="B1161" s="622" t="s">
        <v>12727</v>
      </c>
      <c r="C1161" s="621" t="s">
        <v>8</v>
      </c>
      <c r="D1161" s="621" t="s">
        <v>26</v>
      </c>
      <c r="E1161" s="811" t="s">
        <v>12707</v>
      </c>
      <c r="F1161" s="812"/>
      <c r="G1161" s="623" t="s">
        <v>23</v>
      </c>
      <c r="H1161" s="624">
        <v>4.2229999999999999</v>
      </c>
      <c r="I1161" s="625">
        <v>14.37</v>
      </c>
      <c r="J1161" s="625">
        <v>60.68</v>
      </c>
      <c r="K1161"/>
    </row>
    <row r="1162" spans="1:11" ht="36" customHeight="1">
      <c r="A1162" s="626" t="s">
        <v>12709</v>
      </c>
      <c r="B1162" s="627" t="s">
        <v>13430</v>
      </c>
      <c r="C1162" s="626" t="s">
        <v>8</v>
      </c>
      <c r="D1162" s="626" t="s">
        <v>7741</v>
      </c>
      <c r="E1162" s="804" t="s">
        <v>12720</v>
      </c>
      <c r="F1162" s="805"/>
      <c r="G1162" s="628" t="s">
        <v>35</v>
      </c>
      <c r="H1162" s="629">
        <v>22.4145</v>
      </c>
      <c r="I1162" s="630">
        <v>1.98</v>
      </c>
      <c r="J1162" s="630">
        <v>44.38</v>
      </c>
      <c r="K1162"/>
    </row>
    <row r="1163" spans="1:11" ht="36" customHeight="1">
      <c r="A1163" s="631"/>
      <c r="B1163" s="631"/>
      <c r="C1163" s="631"/>
      <c r="D1163" s="631"/>
      <c r="E1163" s="631" t="s">
        <v>12714</v>
      </c>
      <c r="F1163" s="632">
        <v>73.521461779651858</v>
      </c>
      <c r="G1163" s="631" t="s">
        <v>12715</v>
      </c>
      <c r="H1163" s="632">
        <v>62.48</v>
      </c>
      <c r="I1163" s="631" t="s">
        <v>12716</v>
      </c>
      <c r="J1163" s="632">
        <v>136</v>
      </c>
      <c r="K1163"/>
    </row>
    <row r="1164" spans="1:11" ht="15" customHeight="1" thickBot="1">
      <c r="A1164" s="631"/>
      <c r="B1164" s="631"/>
      <c r="C1164" s="631"/>
      <c r="D1164" s="631"/>
      <c r="E1164" s="631" t="s">
        <v>12717</v>
      </c>
      <c r="F1164" s="632">
        <v>88.51</v>
      </c>
      <c r="G1164" s="631"/>
      <c r="H1164" s="806" t="s">
        <v>12718</v>
      </c>
      <c r="I1164" s="806"/>
      <c r="J1164" s="632">
        <v>401.94</v>
      </c>
      <c r="K1164"/>
    </row>
    <row r="1165" spans="1:11" ht="15" customHeight="1" thickTop="1">
      <c r="A1165" s="633"/>
      <c r="B1165" s="633"/>
      <c r="C1165" s="633"/>
      <c r="D1165" s="633"/>
      <c r="E1165" s="633"/>
      <c r="F1165" s="633"/>
      <c r="G1165" s="633"/>
      <c r="H1165" s="633"/>
      <c r="I1165" s="633"/>
      <c r="J1165" s="633"/>
      <c r="K1165"/>
    </row>
    <row r="1166" spans="1:11" ht="0.95" customHeight="1">
      <c r="A1166" s="613" t="s">
        <v>12859</v>
      </c>
      <c r="B1166" s="614" t="s">
        <v>12698</v>
      </c>
      <c r="C1166" s="613" t="s">
        <v>12699</v>
      </c>
      <c r="D1166" s="613" t="s">
        <v>12700</v>
      </c>
      <c r="E1166" s="807" t="s">
        <v>12701</v>
      </c>
      <c r="F1166" s="808"/>
      <c r="G1166" s="615" t="s">
        <v>12702</v>
      </c>
      <c r="H1166" s="614" t="s">
        <v>12703</v>
      </c>
      <c r="I1166" s="614" t="s">
        <v>12704</v>
      </c>
      <c r="J1166" s="614" t="s">
        <v>12705</v>
      </c>
      <c r="K1166"/>
    </row>
    <row r="1167" spans="1:11" ht="18" customHeight="1">
      <c r="A1167" s="616" t="s">
        <v>12706</v>
      </c>
      <c r="B1167" s="617" t="s">
        <v>13464</v>
      </c>
      <c r="C1167" s="616" t="s">
        <v>8</v>
      </c>
      <c r="D1167" s="616" t="s">
        <v>2038</v>
      </c>
      <c r="E1167" s="809" t="s">
        <v>12819</v>
      </c>
      <c r="F1167" s="810"/>
      <c r="G1167" s="618" t="s">
        <v>35</v>
      </c>
      <c r="H1167" s="619">
        <v>1</v>
      </c>
      <c r="I1167" s="620">
        <v>15.14</v>
      </c>
      <c r="J1167" s="620">
        <v>15.14</v>
      </c>
      <c r="K1167"/>
    </row>
    <row r="1168" spans="1:11" ht="60" customHeight="1">
      <c r="A1168" s="621" t="s">
        <v>12708</v>
      </c>
      <c r="B1168" s="622" t="s">
        <v>13187</v>
      </c>
      <c r="C1168" s="621" t="s">
        <v>8</v>
      </c>
      <c r="D1168" s="621" t="s">
        <v>1516</v>
      </c>
      <c r="E1168" s="811" t="s">
        <v>12707</v>
      </c>
      <c r="F1168" s="812"/>
      <c r="G1168" s="623" t="s">
        <v>23</v>
      </c>
      <c r="H1168" s="624">
        <v>0.17</v>
      </c>
      <c r="I1168" s="625">
        <v>13.87</v>
      </c>
      <c r="J1168" s="625">
        <v>2.35</v>
      </c>
      <c r="K1168"/>
    </row>
    <row r="1169" spans="1:11" ht="36" customHeight="1">
      <c r="A1169" s="621" t="s">
        <v>12708</v>
      </c>
      <c r="B1169" s="622" t="s">
        <v>12981</v>
      </c>
      <c r="C1169" s="621" t="s">
        <v>8</v>
      </c>
      <c r="D1169" s="621" t="s">
        <v>50</v>
      </c>
      <c r="E1169" s="811" t="s">
        <v>12707</v>
      </c>
      <c r="F1169" s="812"/>
      <c r="G1169" s="623" t="s">
        <v>23</v>
      </c>
      <c r="H1169" s="624">
        <v>0.17</v>
      </c>
      <c r="I1169" s="625">
        <v>17.79</v>
      </c>
      <c r="J1169" s="625">
        <v>3.02</v>
      </c>
      <c r="K1169"/>
    </row>
    <row r="1170" spans="1:11" ht="24" customHeight="1">
      <c r="A1170" s="626" t="s">
        <v>12709</v>
      </c>
      <c r="B1170" s="627" t="s">
        <v>13463</v>
      </c>
      <c r="C1170" s="626" t="s">
        <v>8</v>
      </c>
      <c r="D1170" s="626" t="s">
        <v>7398</v>
      </c>
      <c r="E1170" s="804" t="s">
        <v>12720</v>
      </c>
      <c r="F1170" s="805"/>
      <c r="G1170" s="628" t="s">
        <v>35</v>
      </c>
      <c r="H1170" s="629">
        <v>2</v>
      </c>
      <c r="I1170" s="630">
        <v>1.86</v>
      </c>
      <c r="J1170" s="630">
        <v>3.72</v>
      </c>
      <c r="K1170"/>
    </row>
    <row r="1171" spans="1:11" ht="24" customHeight="1">
      <c r="A1171" s="626" t="s">
        <v>12709</v>
      </c>
      <c r="B1171" s="627" t="s">
        <v>13462</v>
      </c>
      <c r="C1171" s="626" t="s">
        <v>8</v>
      </c>
      <c r="D1171" s="626" t="s">
        <v>10684</v>
      </c>
      <c r="E1171" s="804" t="s">
        <v>12720</v>
      </c>
      <c r="F1171" s="805"/>
      <c r="G1171" s="628" t="s">
        <v>35</v>
      </c>
      <c r="H1171" s="629">
        <v>0.04</v>
      </c>
      <c r="I1171" s="630">
        <v>29.27</v>
      </c>
      <c r="J1171" s="630">
        <v>1.17</v>
      </c>
      <c r="K1171"/>
    </row>
    <row r="1172" spans="1:11" ht="36" customHeight="1">
      <c r="A1172" s="626" t="s">
        <v>12709</v>
      </c>
      <c r="B1172" s="627" t="s">
        <v>13461</v>
      </c>
      <c r="C1172" s="626" t="s">
        <v>8</v>
      </c>
      <c r="D1172" s="626" t="s">
        <v>11587</v>
      </c>
      <c r="E1172" s="804" t="s">
        <v>12720</v>
      </c>
      <c r="F1172" s="805"/>
      <c r="G1172" s="628" t="s">
        <v>35</v>
      </c>
      <c r="H1172" s="629">
        <v>1</v>
      </c>
      <c r="I1172" s="630">
        <v>4.88</v>
      </c>
      <c r="J1172" s="630">
        <v>4.88</v>
      </c>
      <c r="K1172"/>
    </row>
    <row r="1173" spans="1:11" ht="36" customHeight="1">
      <c r="A1173" s="631"/>
      <c r="B1173" s="631"/>
      <c r="C1173" s="631"/>
      <c r="D1173" s="631"/>
      <c r="E1173" s="631" t="s">
        <v>12714</v>
      </c>
      <c r="F1173" s="632">
        <v>2.0921180668180344</v>
      </c>
      <c r="G1173" s="631" t="s">
        <v>12715</v>
      </c>
      <c r="H1173" s="632">
        <v>1.78</v>
      </c>
      <c r="I1173" s="631" t="s">
        <v>12716</v>
      </c>
      <c r="J1173" s="632">
        <v>3.87</v>
      </c>
      <c r="K1173"/>
    </row>
    <row r="1174" spans="1:11" ht="15" customHeight="1" thickBot="1">
      <c r="A1174" s="631"/>
      <c r="B1174" s="631"/>
      <c r="C1174" s="631"/>
      <c r="D1174" s="631"/>
      <c r="E1174" s="631" t="s">
        <v>12717</v>
      </c>
      <c r="F1174" s="632">
        <v>4.2699999999999996</v>
      </c>
      <c r="G1174" s="631"/>
      <c r="H1174" s="806" t="s">
        <v>12718</v>
      </c>
      <c r="I1174" s="806"/>
      <c r="J1174" s="632">
        <v>19.41</v>
      </c>
      <c r="K1174"/>
    </row>
    <row r="1175" spans="1:11" ht="15" customHeight="1" thickTop="1">
      <c r="A1175" s="633"/>
      <c r="B1175" s="633"/>
      <c r="C1175" s="633"/>
      <c r="D1175" s="633"/>
      <c r="E1175" s="633"/>
      <c r="F1175" s="633"/>
      <c r="G1175" s="633"/>
      <c r="H1175" s="633"/>
      <c r="I1175" s="633"/>
      <c r="J1175" s="633"/>
      <c r="K1175"/>
    </row>
    <row r="1176" spans="1:11" ht="0.95" customHeight="1">
      <c r="A1176" s="613" t="s">
        <v>14846</v>
      </c>
      <c r="B1176" s="614" t="s">
        <v>12698</v>
      </c>
      <c r="C1176" s="613" t="s">
        <v>12699</v>
      </c>
      <c r="D1176" s="613" t="s">
        <v>12700</v>
      </c>
      <c r="E1176" s="807" t="s">
        <v>12701</v>
      </c>
      <c r="F1176" s="808"/>
      <c r="G1176" s="615" t="s">
        <v>12702</v>
      </c>
      <c r="H1176" s="614" t="s">
        <v>12703</v>
      </c>
      <c r="I1176" s="614" t="s">
        <v>12704</v>
      </c>
      <c r="J1176" s="614" t="s">
        <v>12705</v>
      </c>
      <c r="K1176"/>
    </row>
    <row r="1177" spans="1:11" ht="18" customHeight="1">
      <c r="A1177" s="616" t="s">
        <v>12706</v>
      </c>
      <c r="B1177" s="617" t="s">
        <v>14847</v>
      </c>
      <c r="C1177" s="616" t="s">
        <v>8</v>
      </c>
      <c r="D1177" s="616" t="s">
        <v>3739</v>
      </c>
      <c r="E1177" s="809" t="s">
        <v>12819</v>
      </c>
      <c r="F1177" s="810"/>
      <c r="G1177" s="618" t="s">
        <v>35</v>
      </c>
      <c r="H1177" s="619">
        <v>1</v>
      </c>
      <c r="I1177" s="620">
        <v>163.66</v>
      </c>
      <c r="J1177" s="620">
        <v>163.66</v>
      </c>
      <c r="K1177"/>
    </row>
    <row r="1178" spans="1:11" ht="24" customHeight="1">
      <c r="A1178" s="621" t="s">
        <v>12708</v>
      </c>
      <c r="B1178" s="622" t="s">
        <v>14848</v>
      </c>
      <c r="C1178" s="621" t="s">
        <v>8</v>
      </c>
      <c r="D1178" s="621" t="s">
        <v>6941</v>
      </c>
      <c r="E1178" s="811" t="s">
        <v>12819</v>
      </c>
      <c r="F1178" s="812"/>
      <c r="G1178" s="623" t="s">
        <v>35</v>
      </c>
      <c r="H1178" s="624">
        <v>1</v>
      </c>
      <c r="I1178" s="625">
        <v>157.34</v>
      </c>
      <c r="J1178" s="625">
        <v>157.34</v>
      </c>
      <c r="K1178"/>
    </row>
    <row r="1179" spans="1:11" ht="24" customHeight="1">
      <c r="A1179" s="626" t="s">
        <v>12709</v>
      </c>
      <c r="B1179" s="627" t="s">
        <v>14849</v>
      </c>
      <c r="C1179" s="626" t="s">
        <v>8</v>
      </c>
      <c r="D1179" s="626" t="s">
        <v>8646</v>
      </c>
      <c r="E1179" s="804" t="s">
        <v>12720</v>
      </c>
      <c r="F1179" s="805"/>
      <c r="G1179" s="628" t="s">
        <v>35</v>
      </c>
      <c r="H1179" s="629">
        <v>1</v>
      </c>
      <c r="I1179" s="630">
        <v>6.32</v>
      </c>
      <c r="J1179" s="630">
        <v>6.32</v>
      </c>
      <c r="K1179"/>
    </row>
    <row r="1180" spans="1:11" ht="24" customHeight="1">
      <c r="A1180" s="631"/>
      <c r="B1180" s="631"/>
      <c r="C1180" s="631"/>
      <c r="D1180" s="631"/>
      <c r="E1180" s="631" t="s">
        <v>12714</v>
      </c>
      <c r="F1180" s="632">
        <v>5.4113958000000002</v>
      </c>
      <c r="G1180" s="631" t="s">
        <v>12715</v>
      </c>
      <c r="H1180" s="632">
        <v>4.5999999999999996</v>
      </c>
      <c r="I1180" s="631" t="s">
        <v>12716</v>
      </c>
      <c r="J1180" s="632">
        <v>10.01</v>
      </c>
      <c r="K1180"/>
    </row>
    <row r="1181" spans="1:11" ht="24" customHeight="1" thickBot="1">
      <c r="A1181" s="631"/>
      <c r="B1181" s="631"/>
      <c r="C1181" s="631"/>
      <c r="D1181" s="631"/>
      <c r="E1181" s="631" t="s">
        <v>12717</v>
      </c>
      <c r="F1181" s="632">
        <v>46.21</v>
      </c>
      <c r="G1181" s="631"/>
      <c r="H1181" s="806" t="s">
        <v>12718</v>
      </c>
      <c r="I1181" s="806"/>
      <c r="J1181" s="632">
        <v>209.87</v>
      </c>
      <c r="K1181"/>
    </row>
    <row r="1182" spans="1:11" ht="24" customHeight="1" thickTop="1">
      <c r="A1182" s="633"/>
      <c r="B1182" s="633"/>
      <c r="C1182" s="633"/>
      <c r="D1182" s="633"/>
      <c r="E1182" s="633"/>
      <c r="F1182" s="633"/>
      <c r="G1182" s="633"/>
      <c r="H1182" s="633"/>
      <c r="I1182" s="633"/>
      <c r="J1182" s="633"/>
      <c r="K1182"/>
    </row>
    <row r="1183" spans="1:11" ht="15">
      <c r="A1183" s="613" t="s">
        <v>14850</v>
      </c>
      <c r="B1183" s="614" t="s">
        <v>12698</v>
      </c>
      <c r="C1183" s="613" t="s">
        <v>12699</v>
      </c>
      <c r="D1183" s="613" t="s">
        <v>12700</v>
      </c>
      <c r="E1183" s="807" t="s">
        <v>12701</v>
      </c>
      <c r="F1183" s="808"/>
      <c r="G1183" s="615" t="s">
        <v>12702</v>
      </c>
      <c r="H1183" s="614" t="s">
        <v>12703</v>
      </c>
      <c r="I1183" s="614" t="s">
        <v>12704</v>
      </c>
      <c r="J1183" s="614" t="s">
        <v>12705</v>
      </c>
      <c r="K1183"/>
    </row>
    <row r="1184" spans="1:11" ht="15" customHeight="1">
      <c r="A1184" s="616" t="s">
        <v>12706</v>
      </c>
      <c r="B1184" s="617" t="s">
        <v>14851</v>
      </c>
      <c r="C1184" s="616" t="s">
        <v>8</v>
      </c>
      <c r="D1184" s="616" t="s">
        <v>6943</v>
      </c>
      <c r="E1184" s="809" t="s">
        <v>12819</v>
      </c>
      <c r="F1184" s="810"/>
      <c r="G1184" s="618" t="s">
        <v>35</v>
      </c>
      <c r="H1184" s="619">
        <v>1</v>
      </c>
      <c r="I1184" s="620">
        <v>598.42999999999995</v>
      </c>
      <c r="J1184" s="620">
        <v>598.42999999999995</v>
      </c>
      <c r="K1184"/>
    </row>
    <row r="1185" spans="1:11" ht="0.95" customHeight="1">
      <c r="A1185" s="621" t="s">
        <v>12708</v>
      </c>
      <c r="B1185" s="622" t="s">
        <v>14852</v>
      </c>
      <c r="C1185" s="621" t="s">
        <v>8</v>
      </c>
      <c r="D1185" s="621" t="s">
        <v>6942</v>
      </c>
      <c r="E1185" s="811" t="s">
        <v>12819</v>
      </c>
      <c r="F1185" s="812"/>
      <c r="G1185" s="623" t="s">
        <v>35</v>
      </c>
      <c r="H1185" s="624">
        <v>1</v>
      </c>
      <c r="I1185" s="625">
        <v>592.11</v>
      </c>
      <c r="J1185" s="625">
        <v>592.11</v>
      </c>
      <c r="K1185"/>
    </row>
    <row r="1186" spans="1:11" ht="18" customHeight="1">
      <c r="A1186" s="626" t="s">
        <v>12709</v>
      </c>
      <c r="B1186" s="627" t="s">
        <v>14849</v>
      </c>
      <c r="C1186" s="626" t="s">
        <v>8</v>
      </c>
      <c r="D1186" s="626" t="s">
        <v>8646</v>
      </c>
      <c r="E1186" s="804" t="s">
        <v>12720</v>
      </c>
      <c r="F1186" s="805"/>
      <c r="G1186" s="628" t="s">
        <v>35</v>
      </c>
      <c r="H1186" s="629">
        <v>1</v>
      </c>
      <c r="I1186" s="630">
        <v>6.32</v>
      </c>
      <c r="J1186" s="630">
        <v>6.32</v>
      </c>
      <c r="K1186"/>
    </row>
    <row r="1187" spans="1:11" ht="48" customHeight="1">
      <c r="A1187" s="631"/>
      <c r="B1187" s="631"/>
      <c r="C1187" s="631"/>
      <c r="D1187" s="631"/>
      <c r="E1187" s="631" t="s">
        <v>12714</v>
      </c>
      <c r="F1187" s="632">
        <v>11.2498649</v>
      </c>
      <c r="G1187" s="631" t="s">
        <v>12715</v>
      </c>
      <c r="H1187" s="632">
        <v>9.56</v>
      </c>
      <c r="I1187" s="631" t="s">
        <v>12716</v>
      </c>
      <c r="J1187" s="632">
        <v>20.81</v>
      </c>
      <c r="K1187"/>
    </row>
    <row r="1188" spans="1:11" ht="24" customHeight="1" thickBot="1">
      <c r="A1188" s="631"/>
      <c r="B1188" s="631"/>
      <c r="C1188" s="631"/>
      <c r="D1188" s="631"/>
      <c r="E1188" s="631" t="s">
        <v>12717</v>
      </c>
      <c r="F1188" s="632">
        <v>168.99</v>
      </c>
      <c r="G1188" s="631"/>
      <c r="H1188" s="806" t="s">
        <v>12718</v>
      </c>
      <c r="I1188" s="806"/>
      <c r="J1188" s="632">
        <v>767.42</v>
      </c>
      <c r="K1188"/>
    </row>
    <row r="1189" spans="1:11" ht="36" customHeight="1" thickTop="1">
      <c r="A1189" s="633"/>
      <c r="B1189" s="633"/>
      <c r="C1189" s="633"/>
      <c r="D1189" s="633"/>
      <c r="E1189" s="633"/>
      <c r="F1189" s="633"/>
      <c r="G1189" s="633"/>
      <c r="H1189" s="633"/>
      <c r="I1189" s="633"/>
      <c r="J1189" s="633"/>
      <c r="K1189"/>
    </row>
    <row r="1190" spans="1:11" ht="24" customHeight="1">
      <c r="A1190" s="613" t="s">
        <v>12860</v>
      </c>
      <c r="B1190" s="614" t="s">
        <v>12698</v>
      </c>
      <c r="C1190" s="613" t="s">
        <v>12699</v>
      </c>
      <c r="D1190" s="613" t="s">
        <v>12700</v>
      </c>
      <c r="E1190" s="807" t="s">
        <v>12701</v>
      </c>
      <c r="F1190" s="808"/>
      <c r="G1190" s="615" t="s">
        <v>12702</v>
      </c>
      <c r="H1190" s="614" t="s">
        <v>12703</v>
      </c>
      <c r="I1190" s="614" t="s">
        <v>12704</v>
      </c>
      <c r="J1190" s="614" t="s">
        <v>12705</v>
      </c>
      <c r="K1190"/>
    </row>
    <row r="1191" spans="1:11" ht="24" customHeight="1">
      <c r="A1191" s="616" t="s">
        <v>12706</v>
      </c>
      <c r="B1191" s="617" t="s">
        <v>14853</v>
      </c>
      <c r="C1191" s="616" t="s">
        <v>8</v>
      </c>
      <c r="D1191" s="616" t="s">
        <v>6951</v>
      </c>
      <c r="E1191" s="809" t="s">
        <v>12819</v>
      </c>
      <c r="F1191" s="810"/>
      <c r="G1191" s="618" t="s">
        <v>35</v>
      </c>
      <c r="H1191" s="619">
        <v>1</v>
      </c>
      <c r="I1191" s="620">
        <v>31</v>
      </c>
      <c r="J1191" s="620">
        <v>31</v>
      </c>
      <c r="K1191"/>
    </row>
    <row r="1192" spans="1:11" ht="25.5">
      <c r="A1192" s="621" t="s">
        <v>12708</v>
      </c>
      <c r="B1192" s="622" t="s">
        <v>12981</v>
      </c>
      <c r="C1192" s="621" t="s">
        <v>8</v>
      </c>
      <c r="D1192" s="621" t="s">
        <v>50</v>
      </c>
      <c r="E1192" s="811" t="s">
        <v>12707</v>
      </c>
      <c r="F1192" s="812"/>
      <c r="G1192" s="623" t="s">
        <v>23</v>
      </c>
      <c r="H1192" s="624">
        <v>0.15359999999999999</v>
      </c>
      <c r="I1192" s="625">
        <v>17.79</v>
      </c>
      <c r="J1192" s="625">
        <v>2.73</v>
      </c>
      <c r="K1192"/>
    </row>
    <row r="1193" spans="1:11" ht="15" customHeight="1">
      <c r="A1193" s="621" t="s">
        <v>12708</v>
      </c>
      <c r="B1193" s="622" t="s">
        <v>12727</v>
      </c>
      <c r="C1193" s="621" t="s">
        <v>8</v>
      </c>
      <c r="D1193" s="621" t="s">
        <v>26</v>
      </c>
      <c r="E1193" s="811" t="s">
        <v>12707</v>
      </c>
      <c r="F1193" s="812"/>
      <c r="G1193" s="623" t="s">
        <v>23</v>
      </c>
      <c r="H1193" s="624">
        <v>4.8399999999999999E-2</v>
      </c>
      <c r="I1193" s="625">
        <v>14.37</v>
      </c>
      <c r="J1193" s="625">
        <v>0.69</v>
      </c>
      <c r="K1193"/>
    </row>
    <row r="1194" spans="1:11" ht="0.95" customHeight="1">
      <c r="A1194" s="626" t="s">
        <v>12709</v>
      </c>
      <c r="B1194" s="627" t="s">
        <v>14854</v>
      </c>
      <c r="C1194" s="626" t="s">
        <v>8</v>
      </c>
      <c r="D1194" s="626" t="s">
        <v>7586</v>
      </c>
      <c r="E1194" s="804" t="s">
        <v>12720</v>
      </c>
      <c r="F1194" s="805"/>
      <c r="G1194" s="628" t="s">
        <v>35</v>
      </c>
      <c r="H1194" s="629">
        <v>1</v>
      </c>
      <c r="I1194" s="630">
        <v>27.58</v>
      </c>
      <c r="J1194" s="630">
        <v>27.58</v>
      </c>
      <c r="K1194"/>
    </row>
    <row r="1195" spans="1:11" ht="18" customHeight="1">
      <c r="A1195" s="631"/>
      <c r="B1195" s="631"/>
      <c r="C1195" s="631"/>
      <c r="D1195" s="631"/>
      <c r="E1195" s="631" t="s">
        <v>12714</v>
      </c>
      <c r="F1195" s="632">
        <v>1.3569034490215159</v>
      </c>
      <c r="G1195" s="631" t="s">
        <v>12715</v>
      </c>
      <c r="H1195" s="632">
        <v>1.1499999999999999</v>
      </c>
      <c r="I1195" s="631" t="s">
        <v>12716</v>
      </c>
      <c r="J1195" s="632">
        <v>2.5099999999999998</v>
      </c>
      <c r="K1195"/>
    </row>
    <row r="1196" spans="1:11" ht="36" customHeight="1" thickBot="1">
      <c r="A1196" s="631"/>
      <c r="B1196" s="631"/>
      <c r="C1196" s="631"/>
      <c r="D1196" s="631"/>
      <c r="E1196" s="631" t="s">
        <v>12717</v>
      </c>
      <c r="F1196" s="632">
        <v>8.75</v>
      </c>
      <c r="G1196" s="631"/>
      <c r="H1196" s="806" t="s">
        <v>12718</v>
      </c>
      <c r="I1196" s="806"/>
      <c r="J1196" s="632">
        <v>39.75</v>
      </c>
      <c r="K1196"/>
    </row>
    <row r="1197" spans="1:11" ht="24" customHeight="1" thickTop="1">
      <c r="A1197" s="633"/>
      <c r="B1197" s="633"/>
      <c r="C1197" s="633"/>
      <c r="D1197" s="633"/>
      <c r="E1197" s="633"/>
      <c r="F1197" s="633"/>
      <c r="G1197" s="633"/>
      <c r="H1197" s="633"/>
      <c r="I1197" s="633"/>
      <c r="J1197" s="633"/>
      <c r="K1197"/>
    </row>
    <row r="1198" spans="1:11" ht="24" customHeight="1">
      <c r="A1198" s="613" t="s">
        <v>12861</v>
      </c>
      <c r="B1198" s="614" t="s">
        <v>12698</v>
      </c>
      <c r="C1198" s="613" t="s">
        <v>12699</v>
      </c>
      <c r="D1198" s="613" t="s">
        <v>12700</v>
      </c>
      <c r="E1198" s="807" t="s">
        <v>12701</v>
      </c>
      <c r="F1198" s="808"/>
      <c r="G1198" s="615" t="s">
        <v>12702</v>
      </c>
      <c r="H1198" s="614" t="s">
        <v>12703</v>
      </c>
      <c r="I1198" s="614" t="s">
        <v>12704</v>
      </c>
      <c r="J1198" s="614" t="s">
        <v>12705</v>
      </c>
      <c r="K1198"/>
    </row>
    <row r="1199" spans="1:11" ht="24" customHeight="1">
      <c r="A1199" s="616" t="s">
        <v>12706</v>
      </c>
      <c r="B1199" s="617" t="s">
        <v>13460</v>
      </c>
      <c r="C1199" s="616" t="s">
        <v>8</v>
      </c>
      <c r="D1199" s="616" t="s">
        <v>6934</v>
      </c>
      <c r="E1199" s="809" t="s">
        <v>12819</v>
      </c>
      <c r="F1199" s="810"/>
      <c r="G1199" s="618" t="s">
        <v>35</v>
      </c>
      <c r="H1199" s="619">
        <v>1</v>
      </c>
      <c r="I1199" s="620">
        <v>571.85</v>
      </c>
      <c r="J1199" s="620">
        <v>571.85</v>
      </c>
      <c r="K1199"/>
    </row>
    <row r="1200" spans="1:11" ht="24" customHeight="1">
      <c r="A1200" s="621" t="s">
        <v>12708</v>
      </c>
      <c r="B1200" s="622" t="s">
        <v>12986</v>
      </c>
      <c r="C1200" s="621" t="s">
        <v>8</v>
      </c>
      <c r="D1200" s="621" t="s">
        <v>6885</v>
      </c>
      <c r="E1200" s="811" t="s">
        <v>12819</v>
      </c>
      <c r="F1200" s="812"/>
      <c r="G1200" s="623" t="s">
        <v>35</v>
      </c>
      <c r="H1200" s="624">
        <v>1</v>
      </c>
      <c r="I1200" s="625">
        <v>25.52</v>
      </c>
      <c r="J1200" s="625">
        <v>25.52</v>
      </c>
      <c r="K1200"/>
    </row>
    <row r="1201" spans="1:11" ht="25.5" customHeight="1">
      <c r="A1201" s="621" t="s">
        <v>12708</v>
      </c>
      <c r="B1201" s="622" t="s">
        <v>13043</v>
      </c>
      <c r="C1201" s="621" t="s">
        <v>8</v>
      </c>
      <c r="D1201" s="621" t="s">
        <v>6889</v>
      </c>
      <c r="E1201" s="811" t="s">
        <v>12819</v>
      </c>
      <c r="F1201" s="812"/>
      <c r="G1201" s="623" t="s">
        <v>35</v>
      </c>
      <c r="H1201" s="624">
        <v>1</v>
      </c>
      <c r="I1201" s="625">
        <v>155.6</v>
      </c>
      <c r="J1201" s="625">
        <v>155.6</v>
      </c>
      <c r="K1201"/>
    </row>
    <row r="1202" spans="1:11" ht="15" customHeight="1">
      <c r="A1202" s="621" t="s">
        <v>12708</v>
      </c>
      <c r="B1202" s="622" t="s">
        <v>13199</v>
      </c>
      <c r="C1202" s="621" t="s">
        <v>8</v>
      </c>
      <c r="D1202" s="621" t="s">
        <v>6895</v>
      </c>
      <c r="E1202" s="811" t="s">
        <v>12819</v>
      </c>
      <c r="F1202" s="812"/>
      <c r="G1202" s="623" t="s">
        <v>35</v>
      </c>
      <c r="H1202" s="624">
        <v>1</v>
      </c>
      <c r="I1202" s="625">
        <v>40.97</v>
      </c>
      <c r="J1202" s="625">
        <v>40.97</v>
      </c>
      <c r="K1202"/>
    </row>
    <row r="1203" spans="1:11" ht="0.95" customHeight="1">
      <c r="A1203" s="621" t="s">
        <v>12708</v>
      </c>
      <c r="B1203" s="622" t="s">
        <v>13152</v>
      </c>
      <c r="C1203" s="621" t="s">
        <v>8</v>
      </c>
      <c r="D1203" s="621" t="s">
        <v>6900</v>
      </c>
      <c r="E1203" s="811" t="s">
        <v>12819</v>
      </c>
      <c r="F1203" s="812"/>
      <c r="G1203" s="623" t="s">
        <v>35</v>
      </c>
      <c r="H1203" s="624">
        <v>1</v>
      </c>
      <c r="I1203" s="625">
        <v>265.85000000000002</v>
      </c>
      <c r="J1203" s="625">
        <v>265.85000000000002</v>
      </c>
      <c r="K1203"/>
    </row>
    <row r="1204" spans="1:11" ht="18" customHeight="1">
      <c r="A1204" s="621" t="s">
        <v>12708</v>
      </c>
      <c r="B1204" s="622" t="s">
        <v>13020</v>
      </c>
      <c r="C1204" s="621" t="s">
        <v>8</v>
      </c>
      <c r="D1204" s="621" t="s">
        <v>6910</v>
      </c>
      <c r="E1204" s="811" t="s">
        <v>12819</v>
      </c>
      <c r="F1204" s="812"/>
      <c r="G1204" s="623" t="s">
        <v>35</v>
      </c>
      <c r="H1204" s="624">
        <v>1</v>
      </c>
      <c r="I1204" s="625">
        <v>83.91</v>
      </c>
      <c r="J1204" s="625">
        <v>83.91</v>
      </c>
      <c r="K1204"/>
    </row>
    <row r="1205" spans="1:11" ht="48" customHeight="1">
      <c r="A1205" s="631"/>
      <c r="B1205" s="631"/>
      <c r="C1205" s="631"/>
      <c r="D1205" s="631"/>
      <c r="E1205" s="631" t="s">
        <v>12714</v>
      </c>
      <c r="F1205" s="632">
        <v>20.1697481</v>
      </c>
      <c r="G1205" s="631" t="s">
        <v>12715</v>
      </c>
      <c r="H1205" s="632">
        <v>17.14</v>
      </c>
      <c r="I1205" s="631" t="s">
        <v>12716</v>
      </c>
      <c r="J1205" s="632">
        <v>37.31</v>
      </c>
      <c r="K1205"/>
    </row>
    <row r="1206" spans="1:11" ht="36" customHeight="1" thickBot="1">
      <c r="A1206" s="631"/>
      <c r="B1206" s="631"/>
      <c r="C1206" s="631"/>
      <c r="D1206" s="631"/>
      <c r="E1206" s="631" t="s">
        <v>12717</v>
      </c>
      <c r="F1206" s="632">
        <v>161.49</v>
      </c>
      <c r="G1206" s="631"/>
      <c r="H1206" s="806" t="s">
        <v>12718</v>
      </c>
      <c r="I1206" s="806"/>
      <c r="J1206" s="632">
        <v>733.34</v>
      </c>
      <c r="K1206"/>
    </row>
    <row r="1207" spans="1:11" ht="24" customHeight="1" thickTop="1">
      <c r="A1207" s="633"/>
      <c r="B1207" s="633"/>
      <c r="C1207" s="633"/>
      <c r="D1207" s="633"/>
      <c r="E1207" s="633"/>
      <c r="F1207" s="633"/>
      <c r="G1207" s="633"/>
      <c r="H1207" s="633"/>
      <c r="I1207" s="633"/>
      <c r="J1207" s="633"/>
      <c r="K1207"/>
    </row>
    <row r="1208" spans="1:11" ht="36" customHeight="1">
      <c r="A1208" s="613" t="s">
        <v>12862</v>
      </c>
      <c r="B1208" s="614" t="s">
        <v>12698</v>
      </c>
      <c r="C1208" s="613" t="s">
        <v>12699</v>
      </c>
      <c r="D1208" s="613" t="s">
        <v>12700</v>
      </c>
      <c r="E1208" s="807" t="s">
        <v>12701</v>
      </c>
      <c r="F1208" s="808"/>
      <c r="G1208" s="615" t="s">
        <v>12702</v>
      </c>
      <c r="H1208" s="614" t="s">
        <v>12703</v>
      </c>
      <c r="I1208" s="614" t="s">
        <v>12704</v>
      </c>
      <c r="J1208" s="614" t="s">
        <v>12705</v>
      </c>
      <c r="K1208"/>
    </row>
    <row r="1209" spans="1:11" ht="51">
      <c r="A1209" s="616" t="s">
        <v>12706</v>
      </c>
      <c r="B1209" s="617" t="s">
        <v>13459</v>
      </c>
      <c r="C1209" s="616" t="s">
        <v>8</v>
      </c>
      <c r="D1209" s="616" t="s">
        <v>6936</v>
      </c>
      <c r="E1209" s="809" t="s">
        <v>12819</v>
      </c>
      <c r="F1209" s="810"/>
      <c r="G1209" s="618" t="s">
        <v>35</v>
      </c>
      <c r="H1209" s="619">
        <v>1</v>
      </c>
      <c r="I1209" s="620">
        <v>175.83</v>
      </c>
      <c r="J1209" s="620">
        <v>175.83</v>
      </c>
      <c r="K1209"/>
    </row>
    <row r="1210" spans="1:11" ht="15" customHeight="1">
      <c r="A1210" s="621" t="s">
        <v>12708</v>
      </c>
      <c r="B1210" s="622" t="s">
        <v>12982</v>
      </c>
      <c r="C1210" s="621" t="s">
        <v>8</v>
      </c>
      <c r="D1210" s="621" t="s">
        <v>6887</v>
      </c>
      <c r="E1210" s="811" t="s">
        <v>12819</v>
      </c>
      <c r="F1210" s="812"/>
      <c r="G1210" s="623" t="s">
        <v>35</v>
      </c>
      <c r="H1210" s="624">
        <v>1</v>
      </c>
      <c r="I1210" s="625">
        <v>5.75</v>
      </c>
      <c r="J1210" s="625">
        <v>5.75</v>
      </c>
      <c r="K1210"/>
    </row>
    <row r="1211" spans="1:11" ht="0.95" customHeight="1">
      <c r="A1211" s="621" t="s">
        <v>12708</v>
      </c>
      <c r="B1211" s="622" t="s">
        <v>13045</v>
      </c>
      <c r="C1211" s="621" t="s">
        <v>8</v>
      </c>
      <c r="D1211" s="621" t="s">
        <v>6891</v>
      </c>
      <c r="E1211" s="811" t="s">
        <v>12819</v>
      </c>
      <c r="F1211" s="812"/>
      <c r="G1211" s="623" t="s">
        <v>35</v>
      </c>
      <c r="H1211" s="624">
        <v>1</v>
      </c>
      <c r="I1211" s="625">
        <v>10.01</v>
      </c>
      <c r="J1211" s="625">
        <v>10.01</v>
      </c>
      <c r="K1211"/>
    </row>
    <row r="1212" spans="1:11" ht="18" customHeight="1">
      <c r="A1212" s="621" t="s">
        <v>12708</v>
      </c>
      <c r="B1212" s="622" t="s">
        <v>13197</v>
      </c>
      <c r="C1212" s="621" t="s">
        <v>8</v>
      </c>
      <c r="D1212" s="621" t="s">
        <v>6892</v>
      </c>
      <c r="E1212" s="811" t="s">
        <v>12819</v>
      </c>
      <c r="F1212" s="812"/>
      <c r="G1212" s="623" t="s">
        <v>35</v>
      </c>
      <c r="H1212" s="624">
        <v>1</v>
      </c>
      <c r="I1212" s="625">
        <v>7.08</v>
      </c>
      <c r="J1212" s="625">
        <v>7.08</v>
      </c>
      <c r="K1212"/>
    </row>
    <row r="1213" spans="1:11" ht="48" customHeight="1">
      <c r="A1213" s="621" t="s">
        <v>12708</v>
      </c>
      <c r="B1213" s="622" t="s">
        <v>13150</v>
      </c>
      <c r="C1213" s="621" t="s">
        <v>8</v>
      </c>
      <c r="D1213" s="621" t="s">
        <v>6901</v>
      </c>
      <c r="E1213" s="811" t="s">
        <v>12819</v>
      </c>
      <c r="F1213" s="812"/>
      <c r="G1213" s="623" t="s">
        <v>35</v>
      </c>
      <c r="H1213" s="624">
        <v>1</v>
      </c>
      <c r="I1213" s="625">
        <v>103.29</v>
      </c>
      <c r="J1213" s="625">
        <v>103.29</v>
      </c>
      <c r="K1213"/>
    </row>
    <row r="1214" spans="1:11" ht="24" customHeight="1">
      <c r="A1214" s="621" t="s">
        <v>12708</v>
      </c>
      <c r="B1214" s="622" t="s">
        <v>13018</v>
      </c>
      <c r="C1214" s="621" t="s">
        <v>8</v>
      </c>
      <c r="D1214" s="621" t="s">
        <v>6903</v>
      </c>
      <c r="E1214" s="811" t="s">
        <v>12819</v>
      </c>
      <c r="F1214" s="812"/>
      <c r="G1214" s="623" t="s">
        <v>35</v>
      </c>
      <c r="H1214" s="624">
        <v>1</v>
      </c>
      <c r="I1214" s="625">
        <v>49.7</v>
      </c>
      <c r="J1214" s="625">
        <v>49.7</v>
      </c>
      <c r="K1214"/>
    </row>
    <row r="1215" spans="1:11" ht="24" customHeight="1">
      <c r="A1215" s="631"/>
      <c r="B1215" s="631"/>
      <c r="C1215" s="631"/>
      <c r="D1215" s="631"/>
      <c r="E1215" s="631" t="s">
        <v>12714</v>
      </c>
      <c r="F1215" s="632">
        <v>7.8116553</v>
      </c>
      <c r="G1215" s="631" t="s">
        <v>12715</v>
      </c>
      <c r="H1215" s="632">
        <v>6.64</v>
      </c>
      <c r="I1215" s="631" t="s">
        <v>12716</v>
      </c>
      <c r="J1215" s="632">
        <v>14.45</v>
      </c>
      <c r="K1215"/>
    </row>
    <row r="1216" spans="1:11" ht="24" customHeight="1" thickBot="1">
      <c r="A1216" s="631"/>
      <c r="B1216" s="631"/>
      <c r="C1216" s="631"/>
      <c r="D1216" s="631"/>
      <c r="E1216" s="631" t="s">
        <v>12717</v>
      </c>
      <c r="F1216" s="632">
        <v>49.65</v>
      </c>
      <c r="G1216" s="631"/>
      <c r="H1216" s="806" t="s">
        <v>12718</v>
      </c>
      <c r="I1216" s="806"/>
      <c r="J1216" s="632">
        <v>225.48</v>
      </c>
      <c r="K1216"/>
    </row>
    <row r="1217" spans="1:11" ht="15" thickTop="1">
      <c r="A1217" s="633"/>
      <c r="B1217" s="633"/>
      <c r="C1217" s="633"/>
      <c r="D1217" s="633"/>
      <c r="E1217" s="633"/>
      <c r="F1217" s="633"/>
      <c r="G1217" s="633"/>
      <c r="H1217" s="633"/>
      <c r="I1217" s="633"/>
      <c r="J1217" s="633"/>
      <c r="K1217"/>
    </row>
    <row r="1218" spans="1:11" ht="15" customHeight="1">
      <c r="A1218" s="613" t="s">
        <v>12863</v>
      </c>
      <c r="B1218" s="614" t="s">
        <v>12698</v>
      </c>
      <c r="C1218" s="613" t="s">
        <v>12699</v>
      </c>
      <c r="D1218" s="613" t="s">
        <v>12700</v>
      </c>
      <c r="E1218" s="807" t="s">
        <v>12701</v>
      </c>
      <c r="F1218" s="808"/>
      <c r="G1218" s="615" t="s">
        <v>12702</v>
      </c>
      <c r="H1218" s="614" t="s">
        <v>12703</v>
      </c>
      <c r="I1218" s="614" t="s">
        <v>12704</v>
      </c>
      <c r="J1218" s="614" t="s">
        <v>12705</v>
      </c>
      <c r="K1218"/>
    </row>
    <row r="1219" spans="1:11" ht="0.95" customHeight="1">
      <c r="A1219" s="616" t="s">
        <v>12706</v>
      </c>
      <c r="B1219" s="617" t="s">
        <v>13458</v>
      </c>
      <c r="C1219" s="616" t="s">
        <v>8</v>
      </c>
      <c r="D1219" s="616" t="s">
        <v>6959</v>
      </c>
      <c r="E1219" s="809" t="s">
        <v>12819</v>
      </c>
      <c r="F1219" s="810"/>
      <c r="G1219" s="618" t="s">
        <v>35</v>
      </c>
      <c r="H1219" s="619">
        <v>1</v>
      </c>
      <c r="I1219" s="620">
        <v>71.239999999999995</v>
      </c>
      <c r="J1219" s="620">
        <v>71.239999999999995</v>
      </c>
      <c r="K1219"/>
    </row>
    <row r="1220" spans="1:11" ht="18" customHeight="1">
      <c r="A1220" s="621" t="s">
        <v>12708</v>
      </c>
      <c r="B1220" s="622" t="s">
        <v>12981</v>
      </c>
      <c r="C1220" s="621" t="s">
        <v>8</v>
      </c>
      <c r="D1220" s="621" t="s">
        <v>50</v>
      </c>
      <c r="E1220" s="811" t="s">
        <v>12707</v>
      </c>
      <c r="F1220" s="812"/>
      <c r="G1220" s="623" t="s">
        <v>23</v>
      </c>
      <c r="H1220" s="624">
        <v>0.44669999999999999</v>
      </c>
      <c r="I1220" s="625">
        <v>17.79</v>
      </c>
      <c r="J1220" s="625">
        <v>7.94</v>
      </c>
      <c r="K1220"/>
    </row>
    <row r="1221" spans="1:11" ht="36" customHeight="1">
      <c r="A1221" s="621" t="s">
        <v>12708</v>
      </c>
      <c r="B1221" s="622" t="s">
        <v>12727</v>
      </c>
      <c r="C1221" s="621" t="s">
        <v>8</v>
      </c>
      <c r="D1221" s="621" t="s">
        <v>26</v>
      </c>
      <c r="E1221" s="811" t="s">
        <v>12707</v>
      </c>
      <c r="F1221" s="812"/>
      <c r="G1221" s="623" t="s">
        <v>23</v>
      </c>
      <c r="H1221" s="624">
        <v>0.14069999999999999</v>
      </c>
      <c r="I1221" s="625">
        <v>14.37</v>
      </c>
      <c r="J1221" s="625">
        <v>2.02</v>
      </c>
      <c r="K1221"/>
    </row>
    <row r="1222" spans="1:11" ht="24" customHeight="1">
      <c r="A1222" s="626" t="s">
        <v>12709</v>
      </c>
      <c r="B1222" s="627" t="s">
        <v>13457</v>
      </c>
      <c r="C1222" s="626" t="s">
        <v>8</v>
      </c>
      <c r="D1222" s="626" t="s">
        <v>8413</v>
      </c>
      <c r="E1222" s="804" t="s">
        <v>12720</v>
      </c>
      <c r="F1222" s="805"/>
      <c r="G1222" s="628" t="s">
        <v>35</v>
      </c>
      <c r="H1222" s="629">
        <v>1</v>
      </c>
      <c r="I1222" s="630">
        <v>61.2</v>
      </c>
      <c r="J1222" s="630">
        <v>61.2</v>
      </c>
      <c r="K1222"/>
    </row>
    <row r="1223" spans="1:11" ht="24" customHeight="1">
      <c r="A1223" s="626" t="s">
        <v>12709</v>
      </c>
      <c r="B1223" s="627" t="s">
        <v>12980</v>
      </c>
      <c r="C1223" s="626" t="s">
        <v>8</v>
      </c>
      <c r="D1223" s="626" t="s">
        <v>9425</v>
      </c>
      <c r="E1223" s="804" t="s">
        <v>12720</v>
      </c>
      <c r="F1223" s="805"/>
      <c r="G1223" s="628" t="s">
        <v>35</v>
      </c>
      <c r="H1223" s="629">
        <v>2.1000000000000001E-2</v>
      </c>
      <c r="I1223" s="630">
        <v>4.0599999999999996</v>
      </c>
      <c r="J1223" s="630">
        <v>0.08</v>
      </c>
      <c r="K1223"/>
    </row>
    <row r="1224" spans="1:11" ht="24" customHeight="1">
      <c r="A1224" s="631"/>
      <c r="B1224" s="631"/>
      <c r="C1224" s="631"/>
      <c r="D1224" s="631"/>
      <c r="E1224" s="631" t="s">
        <v>12714</v>
      </c>
      <c r="F1224" s="632">
        <v>3.9625905503297654</v>
      </c>
      <c r="G1224" s="631" t="s">
        <v>12715</v>
      </c>
      <c r="H1224" s="632">
        <v>3.37</v>
      </c>
      <c r="I1224" s="631" t="s">
        <v>12716</v>
      </c>
      <c r="J1224" s="632">
        <v>7.33</v>
      </c>
      <c r="K1224"/>
    </row>
    <row r="1225" spans="1:11" ht="24" customHeight="1" thickBot="1">
      <c r="A1225" s="631"/>
      <c r="B1225" s="631"/>
      <c r="C1225" s="631"/>
      <c r="D1225" s="631"/>
      <c r="E1225" s="631" t="s">
        <v>12717</v>
      </c>
      <c r="F1225" s="632">
        <v>20.11</v>
      </c>
      <c r="G1225" s="631"/>
      <c r="H1225" s="806" t="s">
        <v>12718</v>
      </c>
      <c r="I1225" s="806"/>
      <c r="J1225" s="632">
        <v>91.35</v>
      </c>
      <c r="K1225"/>
    </row>
    <row r="1226" spans="1:11" ht="24" customHeight="1" thickTop="1">
      <c r="A1226" s="633"/>
      <c r="B1226" s="633"/>
      <c r="C1226" s="633"/>
      <c r="D1226" s="633"/>
      <c r="E1226" s="633"/>
      <c r="F1226" s="633"/>
      <c r="G1226" s="633"/>
      <c r="H1226" s="633"/>
      <c r="I1226" s="633"/>
      <c r="J1226" s="633"/>
      <c r="K1226"/>
    </row>
    <row r="1227" spans="1:11" ht="15">
      <c r="A1227" s="613" t="s">
        <v>14855</v>
      </c>
      <c r="B1227" s="614" t="s">
        <v>12698</v>
      </c>
      <c r="C1227" s="613" t="s">
        <v>12699</v>
      </c>
      <c r="D1227" s="613" t="s">
        <v>12700</v>
      </c>
      <c r="E1227" s="807" t="s">
        <v>12701</v>
      </c>
      <c r="F1227" s="808"/>
      <c r="G1227" s="615" t="s">
        <v>12702</v>
      </c>
      <c r="H1227" s="614" t="s">
        <v>12703</v>
      </c>
      <c r="I1227" s="614" t="s">
        <v>12704</v>
      </c>
      <c r="J1227" s="614" t="s">
        <v>12705</v>
      </c>
      <c r="K1227"/>
    </row>
    <row r="1228" spans="1:11" ht="15" customHeight="1">
      <c r="A1228" s="616" t="s">
        <v>12706</v>
      </c>
      <c r="B1228" s="617" t="s">
        <v>13456</v>
      </c>
      <c r="C1228" s="616" t="s">
        <v>8</v>
      </c>
      <c r="D1228" s="616" t="s">
        <v>6914</v>
      </c>
      <c r="E1228" s="809" t="s">
        <v>12819</v>
      </c>
      <c r="F1228" s="810"/>
      <c r="G1228" s="618" t="s">
        <v>35</v>
      </c>
      <c r="H1228" s="619">
        <v>1</v>
      </c>
      <c r="I1228" s="620">
        <v>621.58000000000004</v>
      </c>
      <c r="J1228" s="620">
        <v>621.58000000000004</v>
      </c>
      <c r="K1228"/>
    </row>
    <row r="1229" spans="1:11" ht="0.95" customHeight="1">
      <c r="A1229" s="621" t="s">
        <v>12708</v>
      </c>
      <c r="B1229" s="622" t="s">
        <v>13038</v>
      </c>
      <c r="C1229" s="621" t="s">
        <v>8</v>
      </c>
      <c r="D1229" s="621" t="s">
        <v>6881</v>
      </c>
      <c r="E1229" s="811" t="s">
        <v>12819</v>
      </c>
      <c r="F1229" s="812"/>
      <c r="G1229" s="623" t="s">
        <v>35</v>
      </c>
      <c r="H1229" s="624">
        <v>1</v>
      </c>
      <c r="I1229" s="625">
        <v>575.64</v>
      </c>
      <c r="J1229" s="625">
        <v>575.64</v>
      </c>
      <c r="K1229"/>
    </row>
    <row r="1230" spans="1:11" ht="18" customHeight="1">
      <c r="A1230" s="621" t="s">
        <v>12708</v>
      </c>
      <c r="B1230" s="622" t="s">
        <v>12982</v>
      </c>
      <c r="C1230" s="621" t="s">
        <v>8</v>
      </c>
      <c r="D1230" s="621" t="s">
        <v>6887</v>
      </c>
      <c r="E1230" s="811" t="s">
        <v>12819</v>
      </c>
      <c r="F1230" s="812"/>
      <c r="G1230" s="623" t="s">
        <v>35</v>
      </c>
      <c r="H1230" s="624">
        <v>1</v>
      </c>
      <c r="I1230" s="625">
        <v>5.75</v>
      </c>
      <c r="J1230" s="625">
        <v>5.75</v>
      </c>
      <c r="K1230"/>
    </row>
    <row r="1231" spans="1:11" ht="36" customHeight="1">
      <c r="A1231" s="621" t="s">
        <v>12708</v>
      </c>
      <c r="B1231" s="622" t="s">
        <v>13045</v>
      </c>
      <c r="C1231" s="621" t="s">
        <v>8</v>
      </c>
      <c r="D1231" s="621" t="s">
        <v>6891</v>
      </c>
      <c r="E1231" s="811" t="s">
        <v>12819</v>
      </c>
      <c r="F1231" s="812"/>
      <c r="G1231" s="623" t="s">
        <v>35</v>
      </c>
      <c r="H1231" s="624">
        <v>1</v>
      </c>
      <c r="I1231" s="625">
        <v>10.01</v>
      </c>
      <c r="J1231" s="625">
        <v>10.01</v>
      </c>
      <c r="K1231"/>
    </row>
    <row r="1232" spans="1:11" ht="24" customHeight="1">
      <c r="A1232" s="621" t="s">
        <v>12708</v>
      </c>
      <c r="B1232" s="622" t="s">
        <v>13016</v>
      </c>
      <c r="C1232" s="621" t="s">
        <v>8</v>
      </c>
      <c r="D1232" s="621" t="s">
        <v>6911</v>
      </c>
      <c r="E1232" s="811" t="s">
        <v>12819</v>
      </c>
      <c r="F1232" s="812"/>
      <c r="G1232" s="623" t="s">
        <v>35</v>
      </c>
      <c r="H1232" s="624">
        <v>1</v>
      </c>
      <c r="I1232" s="625">
        <v>30.18</v>
      </c>
      <c r="J1232" s="625">
        <v>30.18</v>
      </c>
      <c r="K1232"/>
    </row>
    <row r="1233" spans="1:11" ht="24" customHeight="1">
      <c r="A1233" s="631"/>
      <c r="B1233" s="631"/>
      <c r="C1233" s="631"/>
      <c r="D1233" s="631"/>
      <c r="E1233" s="631" t="s">
        <v>12714</v>
      </c>
      <c r="F1233" s="632">
        <v>19.688614999999999</v>
      </c>
      <c r="G1233" s="631" t="s">
        <v>12715</v>
      </c>
      <c r="H1233" s="632">
        <v>16.73</v>
      </c>
      <c r="I1233" s="631" t="s">
        <v>12716</v>
      </c>
      <c r="J1233" s="632">
        <v>36.42</v>
      </c>
      <c r="K1233"/>
    </row>
    <row r="1234" spans="1:11" ht="24" customHeight="1" thickBot="1">
      <c r="A1234" s="631"/>
      <c r="B1234" s="631"/>
      <c r="C1234" s="631"/>
      <c r="D1234" s="631"/>
      <c r="E1234" s="631" t="s">
        <v>12717</v>
      </c>
      <c r="F1234" s="632">
        <v>175.53</v>
      </c>
      <c r="G1234" s="631"/>
      <c r="H1234" s="806" t="s">
        <v>12718</v>
      </c>
      <c r="I1234" s="806"/>
      <c r="J1234" s="632">
        <v>797.11</v>
      </c>
      <c r="K1234"/>
    </row>
    <row r="1235" spans="1:11" ht="24" customHeight="1" thickTop="1">
      <c r="A1235" s="633"/>
      <c r="B1235" s="633"/>
      <c r="C1235" s="633"/>
      <c r="D1235" s="633"/>
      <c r="E1235" s="633"/>
      <c r="F1235" s="633"/>
      <c r="G1235" s="633"/>
      <c r="H1235" s="633"/>
      <c r="I1235" s="633"/>
      <c r="J1235" s="633"/>
      <c r="K1235"/>
    </row>
    <row r="1236" spans="1:11" ht="24" customHeight="1">
      <c r="A1236" s="613" t="s">
        <v>12864</v>
      </c>
      <c r="B1236" s="614" t="s">
        <v>12698</v>
      </c>
      <c r="C1236" s="613" t="s">
        <v>12699</v>
      </c>
      <c r="D1236" s="613" t="s">
        <v>12700</v>
      </c>
      <c r="E1236" s="807" t="s">
        <v>12701</v>
      </c>
      <c r="F1236" s="808"/>
      <c r="G1236" s="615" t="s">
        <v>12702</v>
      </c>
      <c r="H1236" s="614" t="s">
        <v>12703</v>
      </c>
      <c r="I1236" s="614" t="s">
        <v>12704</v>
      </c>
      <c r="J1236" s="614" t="s">
        <v>12705</v>
      </c>
      <c r="K1236"/>
    </row>
    <row r="1237" spans="1:11" ht="38.25" customHeight="1">
      <c r="A1237" s="616" t="s">
        <v>12706</v>
      </c>
      <c r="B1237" s="617" t="s">
        <v>13455</v>
      </c>
      <c r="C1237" s="616" t="s">
        <v>8</v>
      </c>
      <c r="D1237" s="616" t="s">
        <v>6906</v>
      </c>
      <c r="E1237" s="809" t="s">
        <v>12819</v>
      </c>
      <c r="F1237" s="810"/>
      <c r="G1237" s="618" t="s">
        <v>35</v>
      </c>
      <c r="H1237" s="619">
        <v>1</v>
      </c>
      <c r="I1237" s="620">
        <v>94.08</v>
      </c>
      <c r="J1237" s="620">
        <v>94.08</v>
      </c>
      <c r="K1237"/>
    </row>
    <row r="1238" spans="1:11" ht="15" customHeight="1">
      <c r="A1238" s="621" t="s">
        <v>12708</v>
      </c>
      <c r="B1238" s="622" t="s">
        <v>12981</v>
      </c>
      <c r="C1238" s="621" t="s">
        <v>8</v>
      </c>
      <c r="D1238" s="621" t="s">
        <v>50</v>
      </c>
      <c r="E1238" s="811" t="s">
        <v>12707</v>
      </c>
      <c r="F1238" s="812"/>
      <c r="G1238" s="623" t="s">
        <v>23</v>
      </c>
      <c r="H1238" s="624">
        <v>0.1164</v>
      </c>
      <c r="I1238" s="625">
        <v>17.79</v>
      </c>
      <c r="J1238" s="625">
        <v>2.0699999999999998</v>
      </c>
      <c r="K1238"/>
    </row>
    <row r="1239" spans="1:11" ht="0.95" customHeight="1">
      <c r="A1239" s="621" t="s">
        <v>12708</v>
      </c>
      <c r="B1239" s="622" t="s">
        <v>12727</v>
      </c>
      <c r="C1239" s="621" t="s">
        <v>8</v>
      </c>
      <c r="D1239" s="621" t="s">
        <v>26</v>
      </c>
      <c r="E1239" s="811" t="s">
        <v>12707</v>
      </c>
      <c r="F1239" s="812"/>
      <c r="G1239" s="623" t="s">
        <v>23</v>
      </c>
      <c r="H1239" s="624">
        <v>3.6700000000000003E-2</v>
      </c>
      <c r="I1239" s="625">
        <v>14.37</v>
      </c>
      <c r="J1239" s="625">
        <v>0.52</v>
      </c>
      <c r="K1239"/>
    </row>
    <row r="1240" spans="1:11" ht="18" customHeight="1">
      <c r="A1240" s="626" t="s">
        <v>12709</v>
      </c>
      <c r="B1240" s="627" t="s">
        <v>12980</v>
      </c>
      <c r="C1240" s="626" t="s">
        <v>8</v>
      </c>
      <c r="D1240" s="626" t="s">
        <v>9425</v>
      </c>
      <c r="E1240" s="804" t="s">
        <v>12720</v>
      </c>
      <c r="F1240" s="805"/>
      <c r="G1240" s="628" t="s">
        <v>35</v>
      </c>
      <c r="H1240" s="629">
        <v>2.1000000000000001E-2</v>
      </c>
      <c r="I1240" s="630">
        <v>4.0599999999999996</v>
      </c>
      <c r="J1240" s="630">
        <v>0.08</v>
      </c>
      <c r="K1240"/>
    </row>
    <row r="1241" spans="1:11" ht="36" customHeight="1">
      <c r="A1241" s="626" t="s">
        <v>12709</v>
      </c>
      <c r="B1241" s="627" t="s">
        <v>13454</v>
      </c>
      <c r="C1241" s="626" t="s">
        <v>8</v>
      </c>
      <c r="D1241" s="626" t="s">
        <v>11825</v>
      </c>
      <c r="E1241" s="804" t="s">
        <v>12720</v>
      </c>
      <c r="F1241" s="805"/>
      <c r="G1241" s="628" t="s">
        <v>35</v>
      </c>
      <c r="H1241" s="629">
        <v>1</v>
      </c>
      <c r="I1241" s="630">
        <v>91.41</v>
      </c>
      <c r="J1241" s="630">
        <v>91.41</v>
      </c>
      <c r="K1241"/>
    </row>
    <row r="1242" spans="1:11" ht="24" customHeight="1">
      <c r="A1242" s="631"/>
      <c r="B1242" s="631"/>
      <c r="C1242" s="631"/>
      <c r="D1242" s="631"/>
      <c r="E1242" s="631" t="s">
        <v>12714</v>
      </c>
      <c r="F1242" s="632">
        <v>1.0271380689804304</v>
      </c>
      <c r="G1242" s="631" t="s">
        <v>12715</v>
      </c>
      <c r="H1242" s="632">
        <v>0.87</v>
      </c>
      <c r="I1242" s="631" t="s">
        <v>12716</v>
      </c>
      <c r="J1242" s="632">
        <v>1.9</v>
      </c>
      <c r="K1242"/>
    </row>
    <row r="1243" spans="1:11" ht="24" customHeight="1" thickBot="1">
      <c r="A1243" s="631"/>
      <c r="B1243" s="631"/>
      <c r="C1243" s="631"/>
      <c r="D1243" s="631"/>
      <c r="E1243" s="631" t="s">
        <v>12717</v>
      </c>
      <c r="F1243" s="632">
        <v>26.56</v>
      </c>
      <c r="G1243" s="631"/>
      <c r="H1243" s="806" t="s">
        <v>12718</v>
      </c>
      <c r="I1243" s="806"/>
      <c r="J1243" s="632">
        <v>120.64</v>
      </c>
      <c r="K1243"/>
    </row>
    <row r="1244" spans="1:11" ht="24" customHeight="1" thickTop="1">
      <c r="A1244" s="633"/>
      <c r="B1244" s="633"/>
      <c r="C1244" s="633"/>
      <c r="D1244" s="633"/>
      <c r="E1244" s="633"/>
      <c r="F1244" s="633"/>
      <c r="G1244" s="633"/>
      <c r="H1244" s="633"/>
      <c r="I1244" s="633"/>
      <c r="J1244" s="633"/>
      <c r="K1244"/>
    </row>
    <row r="1245" spans="1:11" ht="24" customHeight="1">
      <c r="A1245" s="613" t="s">
        <v>12865</v>
      </c>
      <c r="B1245" s="614" t="s">
        <v>12698</v>
      </c>
      <c r="C1245" s="613" t="s">
        <v>12699</v>
      </c>
      <c r="D1245" s="613" t="s">
        <v>12700</v>
      </c>
      <c r="E1245" s="807" t="s">
        <v>12701</v>
      </c>
      <c r="F1245" s="808"/>
      <c r="G1245" s="615" t="s">
        <v>12702</v>
      </c>
      <c r="H1245" s="614" t="s">
        <v>12703</v>
      </c>
      <c r="I1245" s="614" t="s">
        <v>12704</v>
      </c>
      <c r="J1245" s="614" t="s">
        <v>12705</v>
      </c>
      <c r="K1245"/>
    </row>
    <row r="1246" spans="1:11" ht="24" customHeight="1">
      <c r="A1246" s="616" t="s">
        <v>12706</v>
      </c>
      <c r="B1246" s="617" t="s">
        <v>13453</v>
      </c>
      <c r="C1246" s="616" t="s">
        <v>8</v>
      </c>
      <c r="D1246" s="616" t="s">
        <v>6928</v>
      </c>
      <c r="E1246" s="809" t="s">
        <v>12819</v>
      </c>
      <c r="F1246" s="810"/>
      <c r="G1246" s="618" t="s">
        <v>35</v>
      </c>
      <c r="H1246" s="619">
        <v>1</v>
      </c>
      <c r="I1246" s="620">
        <v>219.18</v>
      </c>
      <c r="J1246" s="620">
        <v>219.18</v>
      </c>
      <c r="K1246"/>
    </row>
    <row r="1247" spans="1:11" ht="25.5" customHeight="1">
      <c r="A1247" s="621" t="s">
        <v>12708</v>
      </c>
      <c r="B1247" s="622" t="s">
        <v>12984</v>
      </c>
      <c r="C1247" s="621" t="s">
        <v>8</v>
      </c>
      <c r="D1247" s="621" t="s">
        <v>6886</v>
      </c>
      <c r="E1247" s="811" t="s">
        <v>12819</v>
      </c>
      <c r="F1247" s="812"/>
      <c r="G1247" s="623" t="s">
        <v>35</v>
      </c>
      <c r="H1247" s="624">
        <v>1</v>
      </c>
      <c r="I1247" s="625">
        <v>55.07</v>
      </c>
      <c r="J1247" s="625">
        <v>55.07</v>
      </c>
      <c r="K1247"/>
    </row>
    <row r="1248" spans="1:11" ht="15" customHeight="1">
      <c r="A1248" s="621" t="s">
        <v>12708</v>
      </c>
      <c r="B1248" s="622" t="s">
        <v>13045</v>
      </c>
      <c r="C1248" s="621" t="s">
        <v>8</v>
      </c>
      <c r="D1248" s="621" t="s">
        <v>6891</v>
      </c>
      <c r="E1248" s="811" t="s">
        <v>12819</v>
      </c>
      <c r="F1248" s="812"/>
      <c r="G1248" s="623" t="s">
        <v>35</v>
      </c>
      <c r="H1248" s="624">
        <v>1</v>
      </c>
      <c r="I1248" s="625">
        <v>10.01</v>
      </c>
      <c r="J1248" s="625">
        <v>10.01</v>
      </c>
      <c r="K1248"/>
    </row>
    <row r="1249" spans="1:11" ht="0.95" customHeight="1">
      <c r="A1249" s="621" t="s">
        <v>12708</v>
      </c>
      <c r="B1249" s="622" t="s">
        <v>13234</v>
      </c>
      <c r="C1249" s="621" t="s">
        <v>8</v>
      </c>
      <c r="D1249" s="621" t="s">
        <v>6897</v>
      </c>
      <c r="E1249" s="811" t="s">
        <v>12819</v>
      </c>
      <c r="F1249" s="812"/>
      <c r="G1249" s="623" t="s">
        <v>35</v>
      </c>
      <c r="H1249" s="624">
        <v>1</v>
      </c>
      <c r="I1249" s="625">
        <v>154.1</v>
      </c>
      <c r="J1249" s="625">
        <v>154.1</v>
      </c>
      <c r="K1249"/>
    </row>
    <row r="1250" spans="1:11" ht="18" customHeight="1">
      <c r="A1250" s="631"/>
      <c r="B1250" s="631"/>
      <c r="C1250" s="631"/>
      <c r="D1250" s="631"/>
      <c r="E1250" s="631" t="s">
        <v>12714</v>
      </c>
      <c r="F1250" s="632">
        <v>6.4601578999999996</v>
      </c>
      <c r="G1250" s="631" t="s">
        <v>12715</v>
      </c>
      <c r="H1250" s="632">
        <v>5.49</v>
      </c>
      <c r="I1250" s="631" t="s">
        <v>12716</v>
      </c>
      <c r="J1250" s="632">
        <v>11.95</v>
      </c>
      <c r="K1250"/>
    </row>
    <row r="1251" spans="1:11" ht="48" customHeight="1" thickBot="1">
      <c r="A1251" s="631"/>
      <c r="B1251" s="631"/>
      <c r="C1251" s="631"/>
      <c r="D1251" s="631"/>
      <c r="E1251" s="631" t="s">
        <v>12717</v>
      </c>
      <c r="F1251" s="632">
        <v>61.89</v>
      </c>
      <c r="G1251" s="631"/>
      <c r="H1251" s="806" t="s">
        <v>12718</v>
      </c>
      <c r="I1251" s="806"/>
      <c r="J1251" s="632">
        <v>281.07</v>
      </c>
      <c r="K1251"/>
    </row>
    <row r="1252" spans="1:11" ht="24" customHeight="1" thickTop="1">
      <c r="A1252" s="633"/>
      <c r="B1252" s="633"/>
      <c r="C1252" s="633"/>
      <c r="D1252" s="633"/>
      <c r="E1252" s="633"/>
      <c r="F1252" s="633"/>
      <c r="G1252" s="633"/>
      <c r="H1252" s="633"/>
      <c r="I1252" s="633"/>
      <c r="J1252" s="633"/>
      <c r="K1252"/>
    </row>
    <row r="1253" spans="1:11" ht="24" customHeight="1">
      <c r="A1253" s="613" t="s">
        <v>12866</v>
      </c>
      <c r="B1253" s="614" t="s">
        <v>12698</v>
      </c>
      <c r="C1253" s="613" t="s">
        <v>12699</v>
      </c>
      <c r="D1253" s="613" t="s">
        <v>12700</v>
      </c>
      <c r="E1253" s="807" t="s">
        <v>12701</v>
      </c>
      <c r="F1253" s="808"/>
      <c r="G1253" s="615" t="s">
        <v>12702</v>
      </c>
      <c r="H1253" s="614" t="s">
        <v>12703</v>
      </c>
      <c r="I1253" s="614" t="s">
        <v>12704</v>
      </c>
      <c r="J1253" s="614" t="s">
        <v>12705</v>
      </c>
      <c r="K1253"/>
    </row>
    <row r="1254" spans="1:11" ht="24" customHeight="1">
      <c r="A1254" s="616" t="s">
        <v>12706</v>
      </c>
      <c r="B1254" s="617" t="s">
        <v>13452</v>
      </c>
      <c r="C1254" s="616" t="s">
        <v>8</v>
      </c>
      <c r="D1254" s="616" t="s">
        <v>650</v>
      </c>
      <c r="E1254" s="809" t="s">
        <v>12819</v>
      </c>
      <c r="F1254" s="810"/>
      <c r="G1254" s="618" t="s">
        <v>17</v>
      </c>
      <c r="H1254" s="619">
        <v>1</v>
      </c>
      <c r="I1254" s="620">
        <v>24.65</v>
      </c>
      <c r="J1254" s="620">
        <v>24.65</v>
      </c>
      <c r="K1254"/>
    </row>
    <row r="1255" spans="1:11" ht="24" customHeight="1">
      <c r="A1255" s="621" t="s">
        <v>12708</v>
      </c>
      <c r="B1255" s="622" t="s">
        <v>13187</v>
      </c>
      <c r="C1255" s="621" t="s">
        <v>8</v>
      </c>
      <c r="D1255" s="621" t="s">
        <v>1516</v>
      </c>
      <c r="E1255" s="811" t="s">
        <v>12707</v>
      </c>
      <c r="F1255" s="812"/>
      <c r="G1255" s="623" t="s">
        <v>23</v>
      </c>
      <c r="H1255" s="624">
        <v>0.29699999999999999</v>
      </c>
      <c r="I1255" s="625">
        <v>13.87</v>
      </c>
      <c r="J1255" s="625">
        <v>4.1100000000000003</v>
      </c>
      <c r="K1255"/>
    </row>
    <row r="1256" spans="1:11" ht="24" customHeight="1">
      <c r="A1256" s="621" t="s">
        <v>12708</v>
      </c>
      <c r="B1256" s="622" t="s">
        <v>12981</v>
      </c>
      <c r="C1256" s="621" t="s">
        <v>8</v>
      </c>
      <c r="D1256" s="621" t="s">
        <v>50</v>
      </c>
      <c r="E1256" s="811" t="s">
        <v>12707</v>
      </c>
      <c r="F1256" s="812"/>
      <c r="G1256" s="623" t="s">
        <v>23</v>
      </c>
      <c r="H1256" s="624">
        <v>0.29699999999999999</v>
      </c>
      <c r="I1256" s="625">
        <v>17.79</v>
      </c>
      <c r="J1256" s="625">
        <v>5.28</v>
      </c>
      <c r="K1256"/>
    </row>
    <row r="1257" spans="1:11" ht="25.5">
      <c r="A1257" s="626" t="s">
        <v>12709</v>
      </c>
      <c r="B1257" s="627" t="s">
        <v>13451</v>
      </c>
      <c r="C1257" s="626" t="s">
        <v>8</v>
      </c>
      <c r="D1257" s="626" t="s">
        <v>11925</v>
      </c>
      <c r="E1257" s="804" t="s">
        <v>12720</v>
      </c>
      <c r="F1257" s="805"/>
      <c r="G1257" s="628" t="s">
        <v>17</v>
      </c>
      <c r="H1257" s="629">
        <v>1.0389999999999999</v>
      </c>
      <c r="I1257" s="630">
        <v>14.69</v>
      </c>
      <c r="J1257" s="630">
        <v>15.26</v>
      </c>
      <c r="K1257"/>
    </row>
    <row r="1258" spans="1:11" ht="15" customHeight="1">
      <c r="A1258" s="631"/>
      <c r="B1258" s="631"/>
      <c r="C1258" s="631"/>
      <c r="D1258" s="631"/>
      <c r="E1258" s="631" t="s">
        <v>12714</v>
      </c>
      <c r="F1258" s="632">
        <v>3.6652611093091143</v>
      </c>
      <c r="G1258" s="631" t="s">
        <v>12715</v>
      </c>
      <c r="H1258" s="632">
        <v>3.11</v>
      </c>
      <c r="I1258" s="631" t="s">
        <v>12716</v>
      </c>
      <c r="J1258" s="632">
        <v>6.78</v>
      </c>
      <c r="K1258"/>
    </row>
    <row r="1259" spans="1:11" ht="0.95" customHeight="1" thickBot="1">
      <c r="A1259" s="631"/>
      <c r="B1259" s="631"/>
      <c r="C1259" s="631"/>
      <c r="D1259" s="631"/>
      <c r="E1259" s="631" t="s">
        <v>12717</v>
      </c>
      <c r="F1259" s="632">
        <v>6.96</v>
      </c>
      <c r="G1259" s="631"/>
      <c r="H1259" s="806" t="s">
        <v>12718</v>
      </c>
      <c r="I1259" s="806"/>
      <c r="J1259" s="632">
        <v>31.61</v>
      </c>
      <c r="K1259"/>
    </row>
    <row r="1260" spans="1:11" ht="18" customHeight="1" thickTop="1">
      <c r="A1260" s="633"/>
      <c r="B1260" s="633"/>
      <c r="C1260" s="633"/>
      <c r="D1260" s="633"/>
      <c r="E1260" s="633"/>
      <c r="F1260" s="633"/>
      <c r="G1260" s="633"/>
      <c r="H1260" s="633"/>
      <c r="I1260" s="633"/>
      <c r="J1260" s="633"/>
      <c r="K1260"/>
    </row>
    <row r="1261" spans="1:11" ht="48" customHeight="1">
      <c r="A1261" s="613" t="s">
        <v>12867</v>
      </c>
      <c r="B1261" s="614" t="s">
        <v>12698</v>
      </c>
      <c r="C1261" s="613" t="s">
        <v>12699</v>
      </c>
      <c r="D1261" s="613" t="s">
        <v>12700</v>
      </c>
      <c r="E1261" s="807" t="s">
        <v>12701</v>
      </c>
      <c r="F1261" s="808"/>
      <c r="G1261" s="615" t="s">
        <v>12702</v>
      </c>
      <c r="H1261" s="614" t="s">
        <v>12703</v>
      </c>
      <c r="I1261" s="614" t="s">
        <v>12704</v>
      </c>
      <c r="J1261" s="614" t="s">
        <v>12705</v>
      </c>
      <c r="K1261"/>
    </row>
    <row r="1262" spans="1:11" ht="24" customHeight="1">
      <c r="A1262" s="616" t="s">
        <v>12706</v>
      </c>
      <c r="B1262" s="617" t="s">
        <v>13450</v>
      </c>
      <c r="C1262" s="616" t="s">
        <v>8</v>
      </c>
      <c r="D1262" s="616" t="s">
        <v>3078</v>
      </c>
      <c r="E1262" s="809" t="s">
        <v>12819</v>
      </c>
      <c r="F1262" s="810"/>
      <c r="G1262" s="618" t="s">
        <v>35</v>
      </c>
      <c r="H1262" s="619">
        <v>1</v>
      </c>
      <c r="I1262" s="620">
        <v>25.75</v>
      </c>
      <c r="J1262" s="620">
        <v>25.75</v>
      </c>
      <c r="K1262"/>
    </row>
    <row r="1263" spans="1:11" ht="24" customHeight="1">
      <c r="A1263" s="621" t="s">
        <v>12708</v>
      </c>
      <c r="B1263" s="622" t="s">
        <v>13187</v>
      </c>
      <c r="C1263" s="621" t="s">
        <v>8</v>
      </c>
      <c r="D1263" s="621" t="s">
        <v>1516</v>
      </c>
      <c r="E1263" s="811" t="s">
        <v>12707</v>
      </c>
      <c r="F1263" s="812"/>
      <c r="G1263" s="623" t="s">
        <v>23</v>
      </c>
      <c r="H1263" s="624">
        <v>0.29699999999999999</v>
      </c>
      <c r="I1263" s="625">
        <v>13.87</v>
      </c>
      <c r="J1263" s="625">
        <v>4.1100000000000003</v>
      </c>
      <c r="K1263"/>
    </row>
    <row r="1264" spans="1:11" ht="24" customHeight="1">
      <c r="A1264" s="621" t="s">
        <v>12708</v>
      </c>
      <c r="B1264" s="622" t="s">
        <v>12981</v>
      </c>
      <c r="C1264" s="621" t="s">
        <v>8</v>
      </c>
      <c r="D1264" s="621" t="s">
        <v>50</v>
      </c>
      <c r="E1264" s="811" t="s">
        <v>12707</v>
      </c>
      <c r="F1264" s="812"/>
      <c r="G1264" s="623" t="s">
        <v>23</v>
      </c>
      <c r="H1264" s="624">
        <v>0.29699999999999999</v>
      </c>
      <c r="I1264" s="625">
        <v>17.79</v>
      </c>
      <c r="J1264" s="625">
        <v>5.28</v>
      </c>
      <c r="K1264"/>
    </row>
    <row r="1265" spans="1:11" ht="24" customHeight="1">
      <c r="A1265" s="626" t="s">
        <v>12709</v>
      </c>
      <c r="B1265" s="627" t="s">
        <v>13440</v>
      </c>
      <c r="C1265" s="626" t="s">
        <v>8</v>
      </c>
      <c r="D1265" s="626" t="s">
        <v>9427</v>
      </c>
      <c r="E1265" s="804" t="s">
        <v>12720</v>
      </c>
      <c r="F1265" s="805"/>
      <c r="G1265" s="628" t="s">
        <v>35</v>
      </c>
      <c r="H1265" s="629">
        <v>1.0999999999999999E-2</v>
      </c>
      <c r="I1265" s="630">
        <v>14.97</v>
      </c>
      <c r="J1265" s="630">
        <v>0.16</v>
      </c>
      <c r="K1265"/>
    </row>
    <row r="1266" spans="1:11" ht="24" customHeight="1">
      <c r="A1266" s="626" t="s">
        <v>12709</v>
      </c>
      <c r="B1266" s="627" t="s">
        <v>13439</v>
      </c>
      <c r="C1266" s="626" t="s">
        <v>8</v>
      </c>
      <c r="D1266" s="626" t="s">
        <v>9475</v>
      </c>
      <c r="E1266" s="804" t="s">
        <v>12720</v>
      </c>
      <c r="F1266" s="805"/>
      <c r="G1266" s="628" t="s">
        <v>58</v>
      </c>
      <c r="H1266" s="629">
        <v>3.0000000000000001E-3</v>
      </c>
      <c r="I1266" s="630">
        <v>24.03</v>
      </c>
      <c r="J1266" s="630">
        <v>7.0000000000000007E-2</v>
      </c>
      <c r="K1266"/>
    </row>
    <row r="1267" spans="1:11" ht="25.5">
      <c r="A1267" s="626" t="s">
        <v>12709</v>
      </c>
      <c r="B1267" s="627" t="s">
        <v>13449</v>
      </c>
      <c r="C1267" s="626" t="s">
        <v>8</v>
      </c>
      <c r="D1267" s="626" t="s">
        <v>12222</v>
      </c>
      <c r="E1267" s="804" t="s">
        <v>12720</v>
      </c>
      <c r="F1267" s="805"/>
      <c r="G1267" s="628" t="s">
        <v>35</v>
      </c>
      <c r="H1267" s="629">
        <v>1</v>
      </c>
      <c r="I1267" s="630">
        <v>16.13</v>
      </c>
      <c r="J1267" s="630">
        <v>16.13</v>
      </c>
      <c r="K1267"/>
    </row>
    <row r="1268" spans="1:11" ht="15" customHeight="1">
      <c r="A1268" s="631"/>
      <c r="B1268" s="631"/>
      <c r="C1268" s="631"/>
      <c r="D1268" s="631"/>
      <c r="E1268" s="631" t="s">
        <v>12714</v>
      </c>
      <c r="F1268" s="632">
        <v>3.6652611093091143</v>
      </c>
      <c r="G1268" s="631" t="s">
        <v>12715</v>
      </c>
      <c r="H1268" s="632">
        <v>3.11</v>
      </c>
      <c r="I1268" s="631" t="s">
        <v>12716</v>
      </c>
      <c r="J1268" s="632">
        <v>6.78</v>
      </c>
      <c r="K1268"/>
    </row>
    <row r="1269" spans="1:11" ht="0.95" customHeight="1" thickBot="1">
      <c r="A1269" s="631"/>
      <c r="B1269" s="631"/>
      <c r="C1269" s="631"/>
      <c r="D1269" s="631"/>
      <c r="E1269" s="631" t="s">
        <v>12717</v>
      </c>
      <c r="F1269" s="632">
        <v>7.27</v>
      </c>
      <c r="G1269" s="631"/>
      <c r="H1269" s="806" t="s">
        <v>12718</v>
      </c>
      <c r="I1269" s="806"/>
      <c r="J1269" s="632">
        <v>33.020000000000003</v>
      </c>
      <c r="K1269"/>
    </row>
    <row r="1270" spans="1:11" ht="18" customHeight="1" thickTop="1">
      <c r="A1270" s="633"/>
      <c r="B1270" s="633"/>
      <c r="C1270" s="633"/>
      <c r="D1270" s="633"/>
      <c r="E1270" s="633"/>
      <c r="F1270" s="633"/>
      <c r="G1270" s="633"/>
      <c r="H1270" s="633"/>
      <c r="I1270" s="633"/>
      <c r="J1270" s="633"/>
      <c r="K1270"/>
    </row>
    <row r="1271" spans="1:11" ht="36" customHeight="1">
      <c r="A1271" s="613" t="s">
        <v>12868</v>
      </c>
      <c r="B1271" s="614" t="s">
        <v>12698</v>
      </c>
      <c r="C1271" s="613" t="s">
        <v>12699</v>
      </c>
      <c r="D1271" s="613" t="s">
        <v>12700</v>
      </c>
      <c r="E1271" s="807" t="s">
        <v>12701</v>
      </c>
      <c r="F1271" s="808"/>
      <c r="G1271" s="615" t="s">
        <v>12702</v>
      </c>
      <c r="H1271" s="614" t="s">
        <v>12703</v>
      </c>
      <c r="I1271" s="614" t="s">
        <v>12704</v>
      </c>
      <c r="J1271" s="614" t="s">
        <v>12705</v>
      </c>
      <c r="K1271"/>
    </row>
    <row r="1272" spans="1:11" ht="24" customHeight="1">
      <c r="A1272" s="616" t="s">
        <v>12706</v>
      </c>
      <c r="B1272" s="617" t="s">
        <v>13448</v>
      </c>
      <c r="C1272" s="616" t="s">
        <v>8</v>
      </c>
      <c r="D1272" s="616" t="s">
        <v>2903</v>
      </c>
      <c r="E1272" s="809" t="s">
        <v>12819</v>
      </c>
      <c r="F1272" s="810"/>
      <c r="G1272" s="618" t="s">
        <v>35</v>
      </c>
      <c r="H1272" s="619">
        <v>1</v>
      </c>
      <c r="I1272" s="620">
        <v>13.55</v>
      </c>
      <c r="J1272" s="620">
        <v>13.55</v>
      </c>
      <c r="K1272"/>
    </row>
    <row r="1273" spans="1:11" ht="24" customHeight="1">
      <c r="A1273" s="621" t="s">
        <v>12708</v>
      </c>
      <c r="B1273" s="622" t="s">
        <v>13187</v>
      </c>
      <c r="C1273" s="621" t="s">
        <v>8</v>
      </c>
      <c r="D1273" s="621" t="s">
        <v>1516</v>
      </c>
      <c r="E1273" s="811" t="s">
        <v>12707</v>
      </c>
      <c r="F1273" s="812"/>
      <c r="G1273" s="623" t="s">
        <v>23</v>
      </c>
      <c r="H1273" s="624">
        <v>0.29699999999999999</v>
      </c>
      <c r="I1273" s="625">
        <v>13.87</v>
      </c>
      <c r="J1273" s="625">
        <v>4.1100000000000003</v>
      </c>
      <c r="K1273"/>
    </row>
    <row r="1274" spans="1:11" ht="24" customHeight="1">
      <c r="A1274" s="621" t="s">
        <v>12708</v>
      </c>
      <c r="B1274" s="622" t="s">
        <v>12981</v>
      </c>
      <c r="C1274" s="621" t="s">
        <v>8</v>
      </c>
      <c r="D1274" s="621" t="s">
        <v>50</v>
      </c>
      <c r="E1274" s="811" t="s">
        <v>12707</v>
      </c>
      <c r="F1274" s="812"/>
      <c r="G1274" s="623" t="s">
        <v>23</v>
      </c>
      <c r="H1274" s="624">
        <v>0.29699999999999999</v>
      </c>
      <c r="I1274" s="625">
        <v>17.79</v>
      </c>
      <c r="J1274" s="625">
        <v>5.28</v>
      </c>
      <c r="K1274"/>
    </row>
    <row r="1275" spans="1:11" ht="24" customHeight="1">
      <c r="A1275" s="626" t="s">
        <v>12709</v>
      </c>
      <c r="B1275" s="627" t="s">
        <v>13440</v>
      </c>
      <c r="C1275" s="626" t="s">
        <v>8</v>
      </c>
      <c r="D1275" s="626" t="s">
        <v>9427</v>
      </c>
      <c r="E1275" s="804" t="s">
        <v>12720</v>
      </c>
      <c r="F1275" s="805"/>
      <c r="G1275" s="628" t="s">
        <v>35</v>
      </c>
      <c r="H1275" s="629">
        <v>1.0999999999999999E-2</v>
      </c>
      <c r="I1275" s="630">
        <v>14.97</v>
      </c>
      <c r="J1275" s="630">
        <v>0.16</v>
      </c>
      <c r="K1275"/>
    </row>
    <row r="1276" spans="1:11">
      <c r="A1276" s="626" t="s">
        <v>12709</v>
      </c>
      <c r="B1276" s="627" t="s">
        <v>13439</v>
      </c>
      <c r="C1276" s="626" t="s">
        <v>8</v>
      </c>
      <c r="D1276" s="626" t="s">
        <v>9475</v>
      </c>
      <c r="E1276" s="804" t="s">
        <v>12720</v>
      </c>
      <c r="F1276" s="805"/>
      <c r="G1276" s="628" t="s">
        <v>58</v>
      </c>
      <c r="H1276" s="629">
        <v>3.0000000000000001E-3</v>
      </c>
      <c r="I1276" s="630">
        <v>24.03</v>
      </c>
      <c r="J1276" s="630">
        <v>7.0000000000000007E-2</v>
      </c>
      <c r="K1276"/>
    </row>
    <row r="1277" spans="1:11" ht="15" customHeight="1">
      <c r="A1277" s="626" t="s">
        <v>12709</v>
      </c>
      <c r="B1277" s="627" t="s">
        <v>13447</v>
      </c>
      <c r="C1277" s="626" t="s">
        <v>8</v>
      </c>
      <c r="D1277" s="626" t="s">
        <v>10509</v>
      </c>
      <c r="E1277" s="804" t="s">
        <v>12720</v>
      </c>
      <c r="F1277" s="805"/>
      <c r="G1277" s="628" t="s">
        <v>35</v>
      </c>
      <c r="H1277" s="629">
        <v>1</v>
      </c>
      <c r="I1277" s="630">
        <v>3.93</v>
      </c>
      <c r="J1277" s="630">
        <v>3.93</v>
      </c>
      <c r="K1277"/>
    </row>
    <row r="1278" spans="1:11" ht="0.95" customHeight="1">
      <c r="A1278" s="631"/>
      <c r="B1278" s="631"/>
      <c r="C1278" s="631"/>
      <c r="D1278" s="631"/>
      <c r="E1278" s="631" t="s">
        <v>12714</v>
      </c>
      <c r="F1278" s="632">
        <v>3.6652611093091143</v>
      </c>
      <c r="G1278" s="631" t="s">
        <v>12715</v>
      </c>
      <c r="H1278" s="632">
        <v>3.11</v>
      </c>
      <c r="I1278" s="631" t="s">
        <v>12716</v>
      </c>
      <c r="J1278" s="632">
        <v>6.78</v>
      </c>
      <c r="K1278"/>
    </row>
    <row r="1279" spans="1:11" ht="18" customHeight="1" thickBot="1">
      <c r="A1279" s="631"/>
      <c r="B1279" s="631"/>
      <c r="C1279" s="631"/>
      <c r="D1279" s="631"/>
      <c r="E1279" s="631" t="s">
        <v>12717</v>
      </c>
      <c r="F1279" s="632">
        <v>3.82</v>
      </c>
      <c r="G1279" s="631"/>
      <c r="H1279" s="806" t="s">
        <v>12718</v>
      </c>
      <c r="I1279" s="806"/>
      <c r="J1279" s="632">
        <v>17.37</v>
      </c>
      <c r="K1279"/>
    </row>
    <row r="1280" spans="1:11" ht="36" customHeight="1" thickTop="1">
      <c r="A1280" s="633"/>
      <c r="B1280" s="633"/>
      <c r="C1280" s="633"/>
      <c r="D1280" s="633"/>
      <c r="E1280" s="633"/>
      <c r="F1280" s="633"/>
      <c r="G1280" s="633"/>
      <c r="H1280" s="633"/>
      <c r="I1280" s="633"/>
      <c r="J1280" s="633"/>
      <c r="K1280"/>
    </row>
    <row r="1281" spans="1:11" ht="24" customHeight="1">
      <c r="A1281" s="613" t="s">
        <v>12869</v>
      </c>
      <c r="B1281" s="614" t="s">
        <v>12698</v>
      </c>
      <c r="C1281" s="613" t="s">
        <v>12699</v>
      </c>
      <c r="D1281" s="613" t="s">
        <v>12700</v>
      </c>
      <c r="E1281" s="807" t="s">
        <v>12701</v>
      </c>
      <c r="F1281" s="808"/>
      <c r="G1281" s="615" t="s">
        <v>12702</v>
      </c>
      <c r="H1281" s="614" t="s">
        <v>12703</v>
      </c>
      <c r="I1281" s="614" t="s">
        <v>12704</v>
      </c>
      <c r="J1281" s="614" t="s">
        <v>12705</v>
      </c>
      <c r="K1281"/>
    </row>
    <row r="1282" spans="1:11" ht="24" customHeight="1">
      <c r="A1282" s="616" t="s">
        <v>12706</v>
      </c>
      <c r="B1282" s="617" t="s">
        <v>13446</v>
      </c>
      <c r="C1282" s="616" t="s">
        <v>8</v>
      </c>
      <c r="D1282" s="616" t="s">
        <v>2902</v>
      </c>
      <c r="E1282" s="809" t="s">
        <v>12819</v>
      </c>
      <c r="F1282" s="810"/>
      <c r="G1282" s="618" t="s">
        <v>35</v>
      </c>
      <c r="H1282" s="619">
        <v>1</v>
      </c>
      <c r="I1282" s="620">
        <v>8.44</v>
      </c>
      <c r="J1282" s="620">
        <v>8.44</v>
      </c>
      <c r="K1282"/>
    </row>
    <row r="1283" spans="1:11" ht="24" customHeight="1">
      <c r="A1283" s="621" t="s">
        <v>12708</v>
      </c>
      <c r="B1283" s="622" t="s">
        <v>13187</v>
      </c>
      <c r="C1283" s="621" t="s">
        <v>8</v>
      </c>
      <c r="D1283" s="621" t="s">
        <v>1516</v>
      </c>
      <c r="E1283" s="811" t="s">
        <v>12707</v>
      </c>
      <c r="F1283" s="812"/>
      <c r="G1283" s="623" t="s">
        <v>23</v>
      </c>
      <c r="H1283" s="624">
        <v>0.17299999999999999</v>
      </c>
      <c r="I1283" s="625">
        <v>13.87</v>
      </c>
      <c r="J1283" s="625">
        <v>2.39</v>
      </c>
      <c r="K1283"/>
    </row>
    <row r="1284" spans="1:11" ht="24" customHeight="1">
      <c r="A1284" s="621" t="s">
        <v>12708</v>
      </c>
      <c r="B1284" s="622" t="s">
        <v>12981</v>
      </c>
      <c r="C1284" s="621" t="s">
        <v>8</v>
      </c>
      <c r="D1284" s="621" t="s">
        <v>50</v>
      </c>
      <c r="E1284" s="811" t="s">
        <v>12707</v>
      </c>
      <c r="F1284" s="812"/>
      <c r="G1284" s="623" t="s">
        <v>23</v>
      </c>
      <c r="H1284" s="624">
        <v>0.17299999999999999</v>
      </c>
      <c r="I1284" s="625">
        <v>17.79</v>
      </c>
      <c r="J1284" s="625">
        <v>3.07</v>
      </c>
      <c r="K1284"/>
    </row>
    <row r="1285" spans="1:11">
      <c r="A1285" s="626" t="s">
        <v>12709</v>
      </c>
      <c r="B1285" s="627" t="s">
        <v>13440</v>
      </c>
      <c r="C1285" s="626" t="s">
        <v>8</v>
      </c>
      <c r="D1285" s="626" t="s">
        <v>9427</v>
      </c>
      <c r="E1285" s="804" t="s">
        <v>12720</v>
      </c>
      <c r="F1285" s="805"/>
      <c r="G1285" s="628" t="s">
        <v>35</v>
      </c>
      <c r="H1285" s="629">
        <v>8.0000000000000002E-3</v>
      </c>
      <c r="I1285" s="630">
        <v>14.97</v>
      </c>
      <c r="J1285" s="630">
        <v>0.11</v>
      </c>
      <c r="K1285"/>
    </row>
    <row r="1286" spans="1:11" ht="15" customHeight="1">
      <c r="A1286" s="626" t="s">
        <v>12709</v>
      </c>
      <c r="B1286" s="627" t="s">
        <v>13439</v>
      </c>
      <c r="C1286" s="626" t="s">
        <v>8</v>
      </c>
      <c r="D1286" s="626" t="s">
        <v>9475</v>
      </c>
      <c r="E1286" s="804" t="s">
        <v>12720</v>
      </c>
      <c r="F1286" s="805"/>
      <c r="G1286" s="628" t="s">
        <v>58</v>
      </c>
      <c r="H1286" s="629">
        <v>2E-3</v>
      </c>
      <c r="I1286" s="630">
        <v>24.03</v>
      </c>
      <c r="J1286" s="630">
        <v>0.04</v>
      </c>
      <c r="K1286"/>
    </row>
    <row r="1287" spans="1:11" ht="0.95" customHeight="1">
      <c r="A1287" s="626" t="s">
        <v>12709</v>
      </c>
      <c r="B1287" s="627" t="s">
        <v>13445</v>
      </c>
      <c r="C1287" s="626" t="s">
        <v>8</v>
      </c>
      <c r="D1287" s="626" t="s">
        <v>10505</v>
      </c>
      <c r="E1287" s="804" t="s">
        <v>12720</v>
      </c>
      <c r="F1287" s="805"/>
      <c r="G1287" s="628" t="s">
        <v>35</v>
      </c>
      <c r="H1287" s="629">
        <v>1</v>
      </c>
      <c r="I1287" s="630">
        <v>2.83</v>
      </c>
      <c r="J1287" s="630">
        <v>2.83</v>
      </c>
      <c r="K1287"/>
    </row>
    <row r="1288" spans="1:11" ht="18" customHeight="1">
      <c r="A1288" s="631"/>
      <c r="B1288" s="631"/>
      <c r="C1288" s="631"/>
      <c r="D1288" s="631"/>
      <c r="E1288" s="631" t="s">
        <v>12714</v>
      </c>
      <c r="F1288" s="632">
        <v>2.129959995675208</v>
      </c>
      <c r="G1288" s="631" t="s">
        <v>12715</v>
      </c>
      <c r="H1288" s="632">
        <v>1.81</v>
      </c>
      <c r="I1288" s="631" t="s">
        <v>12716</v>
      </c>
      <c r="J1288" s="632">
        <v>3.94</v>
      </c>
      <c r="K1288"/>
    </row>
    <row r="1289" spans="1:11" ht="36" customHeight="1" thickBot="1">
      <c r="A1289" s="631"/>
      <c r="B1289" s="631"/>
      <c r="C1289" s="631"/>
      <c r="D1289" s="631"/>
      <c r="E1289" s="631" t="s">
        <v>12717</v>
      </c>
      <c r="F1289" s="632">
        <v>2.38</v>
      </c>
      <c r="G1289" s="631"/>
      <c r="H1289" s="806" t="s">
        <v>12718</v>
      </c>
      <c r="I1289" s="806"/>
      <c r="J1289" s="632">
        <v>10.82</v>
      </c>
      <c r="K1289"/>
    </row>
    <row r="1290" spans="1:11" ht="24" customHeight="1" thickTop="1">
      <c r="A1290" s="633"/>
      <c r="B1290" s="633"/>
      <c r="C1290" s="633"/>
      <c r="D1290" s="633"/>
      <c r="E1290" s="633"/>
      <c r="F1290" s="633"/>
      <c r="G1290" s="633"/>
      <c r="H1290" s="633"/>
      <c r="I1290" s="633"/>
      <c r="J1290" s="633"/>
      <c r="K1290"/>
    </row>
    <row r="1291" spans="1:11" ht="24" customHeight="1">
      <c r="A1291" s="613" t="s">
        <v>12870</v>
      </c>
      <c r="B1291" s="614" t="s">
        <v>12698</v>
      </c>
      <c r="C1291" s="613" t="s">
        <v>12699</v>
      </c>
      <c r="D1291" s="613" t="s">
        <v>12700</v>
      </c>
      <c r="E1291" s="807" t="s">
        <v>12701</v>
      </c>
      <c r="F1291" s="808"/>
      <c r="G1291" s="615" t="s">
        <v>12702</v>
      </c>
      <c r="H1291" s="614" t="s">
        <v>12703</v>
      </c>
      <c r="I1291" s="614" t="s">
        <v>12704</v>
      </c>
      <c r="J1291" s="614" t="s">
        <v>12705</v>
      </c>
      <c r="K1291"/>
    </row>
    <row r="1292" spans="1:11" ht="24" customHeight="1">
      <c r="A1292" s="616" t="s">
        <v>12706</v>
      </c>
      <c r="B1292" s="617" t="s">
        <v>13444</v>
      </c>
      <c r="C1292" s="616" t="s">
        <v>8</v>
      </c>
      <c r="D1292" s="616" t="s">
        <v>662</v>
      </c>
      <c r="E1292" s="809" t="s">
        <v>12819</v>
      </c>
      <c r="F1292" s="810"/>
      <c r="G1292" s="618" t="s">
        <v>35</v>
      </c>
      <c r="H1292" s="619">
        <v>1</v>
      </c>
      <c r="I1292" s="620">
        <v>14.42</v>
      </c>
      <c r="J1292" s="620">
        <v>14.42</v>
      </c>
      <c r="K1292"/>
    </row>
    <row r="1293" spans="1:11" ht="24" customHeight="1">
      <c r="A1293" s="621" t="s">
        <v>12708</v>
      </c>
      <c r="B1293" s="622" t="s">
        <v>13187</v>
      </c>
      <c r="C1293" s="621" t="s">
        <v>8</v>
      </c>
      <c r="D1293" s="621" t="s">
        <v>1516</v>
      </c>
      <c r="E1293" s="811" t="s">
        <v>12707</v>
      </c>
      <c r="F1293" s="812"/>
      <c r="G1293" s="623" t="s">
        <v>23</v>
      </c>
      <c r="H1293" s="624">
        <v>0.29699999999999999</v>
      </c>
      <c r="I1293" s="625">
        <v>13.87</v>
      </c>
      <c r="J1293" s="625">
        <v>4.1100000000000003</v>
      </c>
      <c r="K1293"/>
    </row>
    <row r="1294" spans="1:11" ht="25.5">
      <c r="A1294" s="621" t="s">
        <v>12708</v>
      </c>
      <c r="B1294" s="622" t="s">
        <v>12981</v>
      </c>
      <c r="C1294" s="621" t="s">
        <v>8</v>
      </c>
      <c r="D1294" s="621" t="s">
        <v>50</v>
      </c>
      <c r="E1294" s="811" t="s">
        <v>12707</v>
      </c>
      <c r="F1294" s="812"/>
      <c r="G1294" s="623" t="s">
        <v>23</v>
      </c>
      <c r="H1294" s="624">
        <v>0.29699999999999999</v>
      </c>
      <c r="I1294" s="625">
        <v>17.79</v>
      </c>
      <c r="J1294" s="625">
        <v>5.28</v>
      </c>
      <c r="K1294"/>
    </row>
    <row r="1295" spans="1:11" ht="15" customHeight="1">
      <c r="A1295" s="626" t="s">
        <v>12709</v>
      </c>
      <c r="B1295" s="627" t="s">
        <v>13440</v>
      </c>
      <c r="C1295" s="626" t="s">
        <v>8</v>
      </c>
      <c r="D1295" s="626" t="s">
        <v>9427</v>
      </c>
      <c r="E1295" s="804" t="s">
        <v>12720</v>
      </c>
      <c r="F1295" s="805"/>
      <c r="G1295" s="628" t="s">
        <v>35</v>
      </c>
      <c r="H1295" s="629">
        <v>1.0999999999999999E-2</v>
      </c>
      <c r="I1295" s="630">
        <v>14.97</v>
      </c>
      <c r="J1295" s="630">
        <v>0.16</v>
      </c>
      <c r="K1295"/>
    </row>
    <row r="1296" spans="1:11" ht="0.95" customHeight="1">
      <c r="A1296" s="626" t="s">
        <v>12709</v>
      </c>
      <c r="B1296" s="627" t="s">
        <v>13439</v>
      </c>
      <c r="C1296" s="626" t="s">
        <v>8</v>
      </c>
      <c r="D1296" s="626" t="s">
        <v>9475</v>
      </c>
      <c r="E1296" s="804" t="s">
        <v>12720</v>
      </c>
      <c r="F1296" s="805"/>
      <c r="G1296" s="628" t="s">
        <v>58</v>
      </c>
      <c r="H1296" s="629">
        <v>3.0000000000000001E-3</v>
      </c>
      <c r="I1296" s="630">
        <v>24.03</v>
      </c>
      <c r="J1296" s="630">
        <v>7.0000000000000007E-2</v>
      </c>
      <c r="K1296"/>
    </row>
    <row r="1297" spans="1:11" ht="18" customHeight="1">
      <c r="A1297" s="626" t="s">
        <v>12709</v>
      </c>
      <c r="B1297" s="627" t="s">
        <v>13443</v>
      </c>
      <c r="C1297" s="626" t="s">
        <v>8</v>
      </c>
      <c r="D1297" s="626" t="s">
        <v>10145</v>
      </c>
      <c r="E1297" s="804" t="s">
        <v>12720</v>
      </c>
      <c r="F1297" s="805"/>
      <c r="G1297" s="628" t="s">
        <v>35</v>
      </c>
      <c r="H1297" s="629">
        <v>1</v>
      </c>
      <c r="I1297" s="630">
        <v>4.8</v>
      </c>
      <c r="J1297" s="630">
        <v>4.8</v>
      </c>
      <c r="K1297"/>
    </row>
    <row r="1298" spans="1:11" ht="24" customHeight="1">
      <c r="A1298" s="631"/>
      <c r="B1298" s="631"/>
      <c r="C1298" s="631"/>
      <c r="D1298" s="631"/>
      <c r="E1298" s="631" t="s">
        <v>12714</v>
      </c>
      <c r="F1298" s="632">
        <v>3.6652611093091143</v>
      </c>
      <c r="G1298" s="631" t="s">
        <v>12715</v>
      </c>
      <c r="H1298" s="632">
        <v>3.11</v>
      </c>
      <c r="I1298" s="631" t="s">
        <v>12716</v>
      </c>
      <c r="J1298" s="632">
        <v>6.78</v>
      </c>
      <c r="K1298"/>
    </row>
    <row r="1299" spans="1:11" ht="24" customHeight="1" thickBot="1">
      <c r="A1299" s="631"/>
      <c r="B1299" s="631"/>
      <c r="C1299" s="631"/>
      <c r="D1299" s="631"/>
      <c r="E1299" s="631" t="s">
        <v>12717</v>
      </c>
      <c r="F1299" s="632">
        <v>4.07</v>
      </c>
      <c r="G1299" s="631"/>
      <c r="H1299" s="806" t="s">
        <v>12718</v>
      </c>
      <c r="I1299" s="806"/>
      <c r="J1299" s="632">
        <v>18.489999999999998</v>
      </c>
      <c r="K1299"/>
    </row>
    <row r="1300" spans="1:11" ht="24" customHeight="1" thickTop="1">
      <c r="A1300" s="633"/>
      <c r="B1300" s="633"/>
      <c r="C1300" s="633"/>
      <c r="D1300" s="633"/>
      <c r="E1300" s="633"/>
      <c r="F1300" s="633"/>
      <c r="G1300" s="633"/>
      <c r="H1300" s="633"/>
      <c r="I1300" s="633"/>
      <c r="J1300" s="633"/>
      <c r="K1300"/>
    </row>
    <row r="1301" spans="1:11" ht="24" customHeight="1">
      <c r="A1301" s="613" t="s">
        <v>12871</v>
      </c>
      <c r="B1301" s="614" t="s">
        <v>12698</v>
      </c>
      <c r="C1301" s="613" t="s">
        <v>12699</v>
      </c>
      <c r="D1301" s="613" t="s">
        <v>12700</v>
      </c>
      <c r="E1301" s="807" t="s">
        <v>12701</v>
      </c>
      <c r="F1301" s="808"/>
      <c r="G1301" s="615" t="s">
        <v>12702</v>
      </c>
      <c r="H1301" s="614" t="s">
        <v>12703</v>
      </c>
      <c r="I1301" s="614" t="s">
        <v>12704</v>
      </c>
      <c r="J1301" s="614" t="s">
        <v>12705</v>
      </c>
      <c r="K1301"/>
    </row>
    <row r="1302" spans="1:11" ht="38.25" customHeight="1">
      <c r="A1302" s="616" t="s">
        <v>12706</v>
      </c>
      <c r="B1302" s="617" t="s">
        <v>13442</v>
      </c>
      <c r="C1302" s="616" t="s">
        <v>8</v>
      </c>
      <c r="D1302" s="616" t="s">
        <v>2908</v>
      </c>
      <c r="E1302" s="809" t="s">
        <v>12819</v>
      </c>
      <c r="F1302" s="810"/>
      <c r="G1302" s="618" t="s">
        <v>35</v>
      </c>
      <c r="H1302" s="619">
        <v>1</v>
      </c>
      <c r="I1302" s="620">
        <v>19.510000000000002</v>
      </c>
      <c r="J1302" s="620">
        <v>19.510000000000002</v>
      </c>
      <c r="K1302"/>
    </row>
    <row r="1303" spans="1:11" ht="15" customHeight="1">
      <c r="A1303" s="621" t="s">
        <v>12708</v>
      </c>
      <c r="B1303" s="622" t="s">
        <v>13187</v>
      </c>
      <c r="C1303" s="621" t="s">
        <v>8</v>
      </c>
      <c r="D1303" s="621" t="s">
        <v>1516</v>
      </c>
      <c r="E1303" s="811" t="s">
        <v>12707</v>
      </c>
      <c r="F1303" s="812"/>
      <c r="G1303" s="623" t="s">
        <v>23</v>
      </c>
      <c r="H1303" s="624">
        <v>0.44500000000000001</v>
      </c>
      <c r="I1303" s="625">
        <v>13.87</v>
      </c>
      <c r="J1303" s="625">
        <v>6.17</v>
      </c>
      <c r="K1303"/>
    </row>
    <row r="1304" spans="1:11" ht="0.95" customHeight="1">
      <c r="A1304" s="621" t="s">
        <v>12708</v>
      </c>
      <c r="B1304" s="622" t="s">
        <v>12981</v>
      </c>
      <c r="C1304" s="621" t="s">
        <v>8</v>
      </c>
      <c r="D1304" s="621" t="s">
        <v>50</v>
      </c>
      <c r="E1304" s="811" t="s">
        <v>12707</v>
      </c>
      <c r="F1304" s="812"/>
      <c r="G1304" s="623" t="s">
        <v>23</v>
      </c>
      <c r="H1304" s="624">
        <v>0.44500000000000001</v>
      </c>
      <c r="I1304" s="625">
        <v>17.79</v>
      </c>
      <c r="J1304" s="625">
        <v>7.91</v>
      </c>
      <c r="K1304"/>
    </row>
    <row r="1305" spans="1:11" ht="18" customHeight="1">
      <c r="A1305" s="626" t="s">
        <v>12709</v>
      </c>
      <c r="B1305" s="627" t="s">
        <v>13441</v>
      </c>
      <c r="C1305" s="626" t="s">
        <v>8</v>
      </c>
      <c r="D1305" s="626" t="s">
        <v>8734</v>
      </c>
      <c r="E1305" s="804" t="s">
        <v>12720</v>
      </c>
      <c r="F1305" s="805"/>
      <c r="G1305" s="628" t="s">
        <v>35</v>
      </c>
      <c r="H1305" s="629">
        <v>1</v>
      </c>
      <c r="I1305" s="630">
        <v>5.2</v>
      </c>
      <c r="J1305" s="630">
        <v>5.2</v>
      </c>
      <c r="K1305"/>
    </row>
    <row r="1306" spans="1:11" ht="36" customHeight="1">
      <c r="A1306" s="626" t="s">
        <v>12709</v>
      </c>
      <c r="B1306" s="627" t="s">
        <v>13440</v>
      </c>
      <c r="C1306" s="626" t="s">
        <v>8</v>
      </c>
      <c r="D1306" s="626" t="s">
        <v>9427</v>
      </c>
      <c r="E1306" s="804" t="s">
        <v>12720</v>
      </c>
      <c r="F1306" s="805"/>
      <c r="G1306" s="628" t="s">
        <v>35</v>
      </c>
      <c r="H1306" s="629">
        <v>1.0999999999999999E-2</v>
      </c>
      <c r="I1306" s="630">
        <v>14.97</v>
      </c>
      <c r="J1306" s="630">
        <v>0.16</v>
      </c>
      <c r="K1306"/>
    </row>
    <row r="1307" spans="1:11" ht="60" customHeight="1">
      <c r="A1307" s="626" t="s">
        <v>12709</v>
      </c>
      <c r="B1307" s="627" t="s">
        <v>13439</v>
      </c>
      <c r="C1307" s="626" t="s">
        <v>8</v>
      </c>
      <c r="D1307" s="626" t="s">
        <v>9475</v>
      </c>
      <c r="E1307" s="804" t="s">
        <v>12720</v>
      </c>
      <c r="F1307" s="805"/>
      <c r="G1307" s="628" t="s">
        <v>58</v>
      </c>
      <c r="H1307" s="629">
        <v>3.0000000000000001E-3</v>
      </c>
      <c r="I1307" s="630">
        <v>24.03</v>
      </c>
      <c r="J1307" s="630">
        <v>7.0000000000000007E-2</v>
      </c>
      <c r="K1307"/>
    </row>
    <row r="1308" spans="1:11" ht="60" customHeight="1">
      <c r="A1308" s="631"/>
      <c r="B1308" s="631"/>
      <c r="C1308" s="631"/>
      <c r="D1308" s="631"/>
      <c r="E1308" s="631" t="s">
        <v>12714</v>
      </c>
      <c r="F1308" s="632">
        <v>5.4924856741269323</v>
      </c>
      <c r="G1308" s="631" t="s">
        <v>12715</v>
      </c>
      <c r="H1308" s="632">
        <v>4.67</v>
      </c>
      <c r="I1308" s="631" t="s">
        <v>12716</v>
      </c>
      <c r="J1308" s="632">
        <v>10.16</v>
      </c>
      <c r="K1308"/>
    </row>
    <row r="1309" spans="1:11" ht="36" customHeight="1" thickBot="1">
      <c r="A1309" s="631"/>
      <c r="B1309" s="631"/>
      <c r="C1309" s="631"/>
      <c r="D1309" s="631"/>
      <c r="E1309" s="631" t="s">
        <v>12717</v>
      </c>
      <c r="F1309" s="632">
        <v>5.5</v>
      </c>
      <c r="G1309" s="631"/>
      <c r="H1309" s="806" t="s">
        <v>12718</v>
      </c>
      <c r="I1309" s="806"/>
      <c r="J1309" s="632">
        <v>25.01</v>
      </c>
      <c r="K1309"/>
    </row>
    <row r="1310" spans="1:11" ht="48" customHeight="1" thickTop="1">
      <c r="A1310" s="633"/>
      <c r="B1310" s="633"/>
      <c r="C1310" s="633"/>
      <c r="D1310" s="633"/>
      <c r="E1310" s="633"/>
      <c r="F1310" s="633"/>
      <c r="G1310" s="633"/>
      <c r="H1310" s="633"/>
      <c r="I1310" s="633"/>
      <c r="J1310" s="633"/>
      <c r="K1310"/>
    </row>
    <row r="1311" spans="1:11" ht="36" customHeight="1">
      <c r="A1311" s="613" t="s">
        <v>12872</v>
      </c>
      <c r="B1311" s="614" t="s">
        <v>12698</v>
      </c>
      <c r="C1311" s="613" t="s">
        <v>12699</v>
      </c>
      <c r="D1311" s="613" t="s">
        <v>12700</v>
      </c>
      <c r="E1311" s="807" t="s">
        <v>12701</v>
      </c>
      <c r="F1311" s="808"/>
      <c r="G1311" s="615" t="s">
        <v>12702</v>
      </c>
      <c r="H1311" s="614" t="s">
        <v>12703</v>
      </c>
      <c r="I1311" s="614" t="s">
        <v>12704</v>
      </c>
      <c r="J1311" s="614" t="s">
        <v>12705</v>
      </c>
      <c r="K1311"/>
    </row>
    <row r="1312" spans="1:11" ht="36" customHeight="1">
      <c r="A1312" s="616" t="s">
        <v>12706</v>
      </c>
      <c r="B1312" s="617" t="s">
        <v>13438</v>
      </c>
      <c r="C1312" s="616" t="s">
        <v>8</v>
      </c>
      <c r="D1312" s="616" t="s">
        <v>2544</v>
      </c>
      <c r="E1312" s="809" t="s">
        <v>12873</v>
      </c>
      <c r="F1312" s="810"/>
      <c r="G1312" s="618" t="s">
        <v>35</v>
      </c>
      <c r="H1312" s="619">
        <v>1</v>
      </c>
      <c r="I1312" s="620">
        <v>6.79</v>
      </c>
      <c r="J1312" s="620">
        <v>6.79</v>
      </c>
      <c r="K1312"/>
    </row>
    <row r="1313" spans="1:11" ht="24" customHeight="1">
      <c r="A1313" s="621" t="s">
        <v>12708</v>
      </c>
      <c r="B1313" s="622" t="s">
        <v>13307</v>
      </c>
      <c r="C1313" s="621" t="s">
        <v>8</v>
      </c>
      <c r="D1313" s="621" t="s">
        <v>5862</v>
      </c>
      <c r="E1313" s="811" t="s">
        <v>12707</v>
      </c>
      <c r="F1313" s="812"/>
      <c r="G1313" s="623" t="s">
        <v>12730</v>
      </c>
      <c r="H1313" s="624">
        <v>8.9999999999999998E-4</v>
      </c>
      <c r="I1313" s="625">
        <v>426.67</v>
      </c>
      <c r="J1313" s="625">
        <v>0.38</v>
      </c>
      <c r="K1313"/>
    </row>
    <row r="1314" spans="1:11" ht="24" customHeight="1">
      <c r="A1314" s="621" t="s">
        <v>12708</v>
      </c>
      <c r="B1314" s="622" t="s">
        <v>13023</v>
      </c>
      <c r="C1314" s="621" t="s">
        <v>8</v>
      </c>
      <c r="D1314" s="621" t="s">
        <v>54</v>
      </c>
      <c r="E1314" s="811" t="s">
        <v>12707</v>
      </c>
      <c r="F1314" s="812"/>
      <c r="G1314" s="623" t="s">
        <v>23</v>
      </c>
      <c r="H1314" s="624">
        <v>0.14499999999999999</v>
      </c>
      <c r="I1314" s="625">
        <v>14.33</v>
      </c>
      <c r="J1314" s="625">
        <v>2.0699999999999998</v>
      </c>
      <c r="K1314"/>
    </row>
    <row r="1315" spans="1:11" ht="24" customHeight="1">
      <c r="A1315" s="621" t="s">
        <v>12708</v>
      </c>
      <c r="B1315" s="622" t="s">
        <v>13022</v>
      </c>
      <c r="C1315" s="621" t="s">
        <v>8</v>
      </c>
      <c r="D1315" s="621" t="s">
        <v>52</v>
      </c>
      <c r="E1315" s="811" t="s">
        <v>12707</v>
      </c>
      <c r="F1315" s="812"/>
      <c r="G1315" s="623" t="s">
        <v>23</v>
      </c>
      <c r="H1315" s="624">
        <v>0.14499999999999999</v>
      </c>
      <c r="I1315" s="625">
        <v>18.38</v>
      </c>
      <c r="J1315" s="625">
        <v>2.66</v>
      </c>
      <c r="K1315"/>
    </row>
    <row r="1316" spans="1:11" ht="25.5">
      <c r="A1316" s="626" t="s">
        <v>12709</v>
      </c>
      <c r="B1316" s="627" t="s">
        <v>13436</v>
      </c>
      <c r="C1316" s="626" t="s">
        <v>8</v>
      </c>
      <c r="D1316" s="626" t="s">
        <v>8131</v>
      </c>
      <c r="E1316" s="804" t="s">
        <v>12720</v>
      </c>
      <c r="F1316" s="805"/>
      <c r="G1316" s="628" t="s">
        <v>35</v>
      </c>
      <c r="H1316" s="629">
        <v>1</v>
      </c>
      <c r="I1316" s="630">
        <v>1.68</v>
      </c>
      <c r="J1316" s="630">
        <v>1.68</v>
      </c>
      <c r="K1316"/>
    </row>
    <row r="1317" spans="1:11" ht="15" customHeight="1">
      <c r="A1317" s="631"/>
      <c r="B1317" s="631"/>
      <c r="C1317" s="631"/>
      <c r="D1317" s="631"/>
      <c r="E1317" s="631" t="s">
        <v>12714</v>
      </c>
      <c r="F1317" s="632">
        <v>1.8434425343280354</v>
      </c>
      <c r="G1317" s="631" t="s">
        <v>12715</v>
      </c>
      <c r="H1317" s="632">
        <v>1.57</v>
      </c>
      <c r="I1317" s="631" t="s">
        <v>12716</v>
      </c>
      <c r="J1317" s="632">
        <v>3.41</v>
      </c>
      <c r="K1317"/>
    </row>
    <row r="1318" spans="1:11" ht="0.95" customHeight="1" thickBot="1">
      <c r="A1318" s="631"/>
      <c r="B1318" s="631"/>
      <c r="C1318" s="631"/>
      <c r="D1318" s="631"/>
      <c r="E1318" s="631" t="s">
        <v>12717</v>
      </c>
      <c r="F1318" s="632">
        <v>1.91</v>
      </c>
      <c r="G1318" s="631"/>
      <c r="H1318" s="806" t="s">
        <v>12718</v>
      </c>
      <c r="I1318" s="806"/>
      <c r="J1318" s="632">
        <v>8.6999999999999993</v>
      </c>
      <c r="K1318"/>
    </row>
    <row r="1319" spans="1:11" ht="18" customHeight="1" thickTop="1">
      <c r="A1319" s="633"/>
      <c r="B1319" s="633"/>
      <c r="C1319" s="633"/>
      <c r="D1319" s="633"/>
      <c r="E1319" s="633"/>
      <c r="F1319" s="633"/>
      <c r="G1319" s="633"/>
      <c r="H1319" s="633"/>
      <c r="I1319" s="633"/>
      <c r="J1319" s="633"/>
      <c r="K1319"/>
    </row>
    <row r="1320" spans="1:11" ht="36" customHeight="1">
      <c r="A1320" s="613" t="s">
        <v>12874</v>
      </c>
      <c r="B1320" s="614" t="s">
        <v>12698</v>
      </c>
      <c r="C1320" s="613" t="s">
        <v>12699</v>
      </c>
      <c r="D1320" s="613" t="s">
        <v>12700</v>
      </c>
      <c r="E1320" s="807" t="s">
        <v>12701</v>
      </c>
      <c r="F1320" s="808"/>
      <c r="G1320" s="615" t="s">
        <v>12702</v>
      </c>
      <c r="H1320" s="614" t="s">
        <v>12703</v>
      </c>
      <c r="I1320" s="614" t="s">
        <v>12704</v>
      </c>
      <c r="J1320" s="614" t="s">
        <v>12705</v>
      </c>
      <c r="K1320"/>
    </row>
    <row r="1321" spans="1:11" ht="24" customHeight="1">
      <c r="A1321" s="616" t="s">
        <v>12706</v>
      </c>
      <c r="B1321" s="617" t="s">
        <v>13437</v>
      </c>
      <c r="C1321" s="616" t="s">
        <v>8</v>
      </c>
      <c r="D1321" s="616" t="s">
        <v>2543</v>
      </c>
      <c r="E1321" s="809" t="s">
        <v>12873</v>
      </c>
      <c r="F1321" s="810"/>
      <c r="G1321" s="618" t="s">
        <v>35</v>
      </c>
      <c r="H1321" s="619">
        <v>1</v>
      </c>
      <c r="I1321" s="620">
        <v>10.119999999999999</v>
      </c>
      <c r="J1321" s="620">
        <v>10.119999999999999</v>
      </c>
      <c r="K1321"/>
    </row>
    <row r="1322" spans="1:11" ht="24" customHeight="1">
      <c r="A1322" s="621" t="s">
        <v>12708</v>
      </c>
      <c r="B1322" s="622" t="s">
        <v>13307</v>
      </c>
      <c r="C1322" s="621" t="s">
        <v>8</v>
      </c>
      <c r="D1322" s="621" t="s">
        <v>5862</v>
      </c>
      <c r="E1322" s="811" t="s">
        <v>12707</v>
      </c>
      <c r="F1322" s="812"/>
      <c r="G1322" s="623" t="s">
        <v>12730</v>
      </c>
      <c r="H1322" s="624">
        <v>8.9999999999999998E-4</v>
      </c>
      <c r="I1322" s="625">
        <v>426.67</v>
      </c>
      <c r="J1322" s="625">
        <v>0.38</v>
      </c>
      <c r="K1322"/>
    </row>
    <row r="1323" spans="1:11" ht="48" customHeight="1">
      <c r="A1323" s="621" t="s">
        <v>12708</v>
      </c>
      <c r="B1323" s="622" t="s">
        <v>13023</v>
      </c>
      <c r="C1323" s="621" t="s">
        <v>8</v>
      </c>
      <c r="D1323" s="621" t="s">
        <v>54</v>
      </c>
      <c r="E1323" s="811" t="s">
        <v>12707</v>
      </c>
      <c r="F1323" s="812"/>
      <c r="G1323" s="623" t="s">
        <v>23</v>
      </c>
      <c r="H1323" s="624">
        <v>0.247</v>
      </c>
      <c r="I1323" s="625">
        <v>14.33</v>
      </c>
      <c r="J1323" s="625">
        <v>3.53</v>
      </c>
      <c r="K1323"/>
    </row>
    <row r="1324" spans="1:11" ht="24" customHeight="1">
      <c r="A1324" s="621" t="s">
        <v>12708</v>
      </c>
      <c r="B1324" s="622" t="s">
        <v>13022</v>
      </c>
      <c r="C1324" s="621" t="s">
        <v>8</v>
      </c>
      <c r="D1324" s="621" t="s">
        <v>52</v>
      </c>
      <c r="E1324" s="811" t="s">
        <v>12707</v>
      </c>
      <c r="F1324" s="812"/>
      <c r="G1324" s="623" t="s">
        <v>23</v>
      </c>
      <c r="H1324" s="624">
        <v>0.247</v>
      </c>
      <c r="I1324" s="625">
        <v>18.38</v>
      </c>
      <c r="J1324" s="625">
        <v>4.53</v>
      </c>
      <c r="K1324"/>
    </row>
    <row r="1325" spans="1:11" ht="25.5">
      <c r="A1325" s="626" t="s">
        <v>12709</v>
      </c>
      <c r="B1325" s="627" t="s">
        <v>13436</v>
      </c>
      <c r="C1325" s="626" t="s">
        <v>8</v>
      </c>
      <c r="D1325" s="626" t="s">
        <v>8131</v>
      </c>
      <c r="E1325" s="804" t="s">
        <v>12720</v>
      </c>
      <c r="F1325" s="805"/>
      <c r="G1325" s="628" t="s">
        <v>35</v>
      </c>
      <c r="H1325" s="629">
        <v>1</v>
      </c>
      <c r="I1325" s="630">
        <v>1.68</v>
      </c>
      <c r="J1325" s="630">
        <v>1.68</v>
      </c>
      <c r="K1325"/>
    </row>
    <row r="1326" spans="1:11" ht="15" customHeight="1">
      <c r="A1326" s="631"/>
      <c r="B1326" s="631"/>
      <c r="C1326" s="631"/>
      <c r="D1326" s="631"/>
      <c r="E1326" s="631" t="s">
        <v>12714</v>
      </c>
      <c r="F1326" s="632">
        <v>3.1192561357984645</v>
      </c>
      <c r="G1326" s="631" t="s">
        <v>12715</v>
      </c>
      <c r="H1326" s="632">
        <v>2.65</v>
      </c>
      <c r="I1326" s="631" t="s">
        <v>12716</v>
      </c>
      <c r="J1326" s="632">
        <v>5.77</v>
      </c>
      <c r="K1326"/>
    </row>
    <row r="1327" spans="1:11" ht="0.95" customHeight="1" thickBot="1">
      <c r="A1327" s="631"/>
      <c r="B1327" s="631"/>
      <c r="C1327" s="631"/>
      <c r="D1327" s="631"/>
      <c r="E1327" s="631" t="s">
        <v>12717</v>
      </c>
      <c r="F1327" s="632">
        <v>2.85</v>
      </c>
      <c r="G1327" s="631"/>
      <c r="H1327" s="806" t="s">
        <v>12718</v>
      </c>
      <c r="I1327" s="806"/>
      <c r="J1327" s="632">
        <v>12.97</v>
      </c>
      <c r="K1327"/>
    </row>
    <row r="1328" spans="1:11" ht="18" customHeight="1" thickTop="1">
      <c r="A1328" s="633"/>
      <c r="B1328" s="633"/>
      <c r="C1328" s="633"/>
      <c r="D1328" s="633"/>
      <c r="E1328" s="633"/>
      <c r="F1328" s="633"/>
      <c r="G1328" s="633"/>
      <c r="H1328" s="633"/>
      <c r="I1328" s="633"/>
      <c r="J1328" s="633"/>
      <c r="K1328"/>
    </row>
    <row r="1329" spans="1:11" ht="36" customHeight="1">
      <c r="A1329" s="613" t="s">
        <v>12875</v>
      </c>
      <c r="B1329" s="614" t="s">
        <v>12698</v>
      </c>
      <c r="C1329" s="613" t="s">
        <v>12699</v>
      </c>
      <c r="D1329" s="613" t="s">
        <v>12700</v>
      </c>
      <c r="E1329" s="807" t="s">
        <v>12701</v>
      </c>
      <c r="F1329" s="808"/>
      <c r="G1329" s="615" t="s">
        <v>12702</v>
      </c>
      <c r="H1329" s="614" t="s">
        <v>12703</v>
      </c>
      <c r="I1329" s="614" t="s">
        <v>12704</v>
      </c>
      <c r="J1329" s="614" t="s">
        <v>12705</v>
      </c>
      <c r="K1329"/>
    </row>
    <row r="1330" spans="1:11" ht="24" customHeight="1">
      <c r="A1330" s="616" t="s">
        <v>12706</v>
      </c>
      <c r="B1330" s="617" t="s">
        <v>13435</v>
      </c>
      <c r="C1330" s="616" t="s">
        <v>8</v>
      </c>
      <c r="D1330" s="616" t="s">
        <v>657</v>
      </c>
      <c r="E1330" s="809" t="s">
        <v>12873</v>
      </c>
      <c r="F1330" s="810"/>
      <c r="G1330" s="618" t="s">
        <v>35</v>
      </c>
      <c r="H1330" s="619">
        <v>1</v>
      </c>
      <c r="I1330" s="620">
        <v>18.62</v>
      </c>
      <c r="J1330" s="620">
        <v>18.62</v>
      </c>
      <c r="K1330"/>
    </row>
    <row r="1331" spans="1:11" ht="24" customHeight="1">
      <c r="A1331" s="621" t="s">
        <v>12708</v>
      </c>
      <c r="B1331" s="622" t="s">
        <v>13307</v>
      </c>
      <c r="C1331" s="621" t="s">
        <v>8</v>
      </c>
      <c r="D1331" s="621" t="s">
        <v>5862</v>
      </c>
      <c r="E1331" s="811" t="s">
        <v>12707</v>
      </c>
      <c r="F1331" s="812"/>
      <c r="G1331" s="623" t="s">
        <v>12730</v>
      </c>
      <c r="H1331" s="624">
        <v>8.9999999999999998E-4</v>
      </c>
      <c r="I1331" s="625">
        <v>426.67</v>
      </c>
      <c r="J1331" s="625">
        <v>0.38</v>
      </c>
      <c r="K1331"/>
    </row>
    <row r="1332" spans="1:11" ht="48" customHeight="1">
      <c r="A1332" s="621" t="s">
        <v>12708</v>
      </c>
      <c r="B1332" s="622" t="s">
        <v>13023</v>
      </c>
      <c r="C1332" s="621" t="s">
        <v>8</v>
      </c>
      <c r="D1332" s="621" t="s">
        <v>54</v>
      </c>
      <c r="E1332" s="811" t="s">
        <v>12707</v>
      </c>
      <c r="F1332" s="812"/>
      <c r="G1332" s="623" t="s">
        <v>23</v>
      </c>
      <c r="H1332" s="624">
        <v>0.51900000000000002</v>
      </c>
      <c r="I1332" s="625">
        <v>14.33</v>
      </c>
      <c r="J1332" s="625">
        <v>7.43</v>
      </c>
      <c r="K1332"/>
    </row>
    <row r="1333" spans="1:11" ht="24" customHeight="1">
      <c r="A1333" s="621" t="s">
        <v>12708</v>
      </c>
      <c r="B1333" s="622" t="s">
        <v>13022</v>
      </c>
      <c r="C1333" s="621" t="s">
        <v>8</v>
      </c>
      <c r="D1333" s="621" t="s">
        <v>52</v>
      </c>
      <c r="E1333" s="811" t="s">
        <v>12707</v>
      </c>
      <c r="F1333" s="812"/>
      <c r="G1333" s="623" t="s">
        <v>23</v>
      </c>
      <c r="H1333" s="624">
        <v>0.51900000000000002</v>
      </c>
      <c r="I1333" s="625">
        <v>18.38</v>
      </c>
      <c r="J1333" s="625">
        <v>9.5299999999999994</v>
      </c>
      <c r="K1333"/>
    </row>
    <row r="1334" spans="1:11">
      <c r="A1334" s="626" t="s">
        <v>12709</v>
      </c>
      <c r="B1334" s="627" t="s">
        <v>13434</v>
      </c>
      <c r="C1334" s="626" t="s">
        <v>8</v>
      </c>
      <c r="D1334" s="626" t="s">
        <v>8102</v>
      </c>
      <c r="E1334" s="804" t="s">
        <v>12720</v>
      </c>
      <c r="F1334" s="805"/>
      <c r="G1334" s="628" t="s">
        <v>35</v>
      </c>
      <c r="H1334" s="629">
        <v>1</v>
      </c>
      <c r="I1334" s="630">
        <v>1.28</v>
      </c>
      <c r="J1334" s="630">
        <v>1.28</v>
      </c>
      <c r="K1334"/>
    </row>
    <row r="1335" spans="1:11" ht="15" customHeight="1">
      <c r="A1335" s="631"/>
      <c r="B1335" s="631"/>
      <c r="C1335" s="631"/>
      <c r="D1335" s="631"/>
      <c r="E1335" s="631" t="s">
        <v>12714</v>
      </c>
      <c r="F1335" s="632">
        <v>6.514217753270624</v>
      </c>
      <c r="G1335" s="631" t="s">
        <v>12715</v>
      </c>
      <c r="H1335" s="632">
        <v>5.54</v>
      </c>
      <c r="I1335" s="631" t="s">
        <v>12716</v>
      </c>
      <c r="J1335" s="632">
        <v>12.05</v>
      </c>
      <c r="K1335"/>
    </row>
    <row r="1336" spans="1:11" ht="0.95" customHeight="1" thickBot="1">
      <c r="A1336" s="631"/>
      <c r="B1336" s="631"/>
      <c r="C1336" s="631"/>
      <c r="D1336" s="631"/>
      <c r="E1336" s="631" t="s">
        <v>12717</v>
      </c>
      <c r="F1336" s="632">
        <v>5.25</v>
      </c>
      <c r="G1336" s="631"/>
      <c r="H1336" s="806" t="s">
        <v>12718</v>
      </c>
      <c r="I1336" s="806"/>
      <c r="J1336" s="632">
        <v>23.87</v>
      </c>
      <c r="K1336"/>
    </row>
    <row r="1337" spans="1:11" ht="18" customHeight="1" thickTop="1">
      <c r="A1337" s="633"/>
      <c r="B1337" s="633"/>
      <c r="C1337" s="633"/>
      <c r="D1337" s="633"/>
      <c r="E1337" s="633"/>
      <c r="F1337" s="633"/>
      <c r="G1337" s="633"/>
      <c r="H1337" s="633"/>
      <c r="I1337" s="633"/>
      <c r="J1337" s="633"/>
      <c r="K1337"/>
    </row>
    <row r="1338" spans="1:11" ht="36" customHeight="1">
      <c r="A1338" s="613" t="s">
        <v>12876</v>
      </c>
      <c r="B1338" s="614" t="s">
        <v>12698</v>
      </c>
      <c r="C1338" s="613" t="s">
        <v>12699</v>
      </c>
      <c r="D1338" s="613" t="s">
        <v>12700</v>
      </c>
      <c r="E1338" s="807" t="s">
        <v>12701</v>
      </c>
      <c r="F1338" s="808"/>
      <c r="G1338" s="615" t="s">
        <v>12702</v>
      </c>
      <c r="H1338" s="614" t="s">
        <v>12703</v>
      </c>
      <c r="I1338" s="614" t="s">
        <v>12704</v>
      </c>
      <c r="J1338" s="614" t="s">
        <v>12705</v>
      </c>
      <c r="K1338"/>
    </row>
    <row r="1339" spans="1:11" ht="24" customHeight="1">
      <c r="A1339" s="616" t="s">
        <v>12706</v>
      </c>
      <c r="B1339" s="617" t="s">
        <v>13433</v>
      </c>
      <c r="C1339" s="616" t="s">
        <v>8</v>
      </c>
      <c r="D1339" s="616" t="s">
        <v>2541</v>
      </c>
      <c r="E1339" s="809" t="s">
        <v>12873</v>
      </c>
      <c r="F1339" s="810"/>
      <c r="G1339" s="618" t="s">
        <v>35</v>
      </c>
      <c r="H1339" s="619">
        <v>1</v>
      </c>
      <c r="I1339" s="620">
        <v>7.66</v>
      </c>
      <c r="J1339" s="620">
        <v>7.66</v>
      </c>
      <c r="K1339"/>
    </row>
    <row r="1340" spans="1:11" ht="24" customHeight="1">
      <c r="A1340" s="621" t="s">
        <v>12708</v>
      </c>
      <c r="B1340" s="622" t="s">
        <v>13023</v>
      </c>
      <c r="C1340" s="621" t="s">
        <v>8</v>
      </c>
      <c r="D1340" s="621" t="s">
        <v>54</v>
      </c>
      <c r="E1340" s="811" t="s">
        <v>12707</v>
      </c>
      <c r="F1340" s="812"/>
      <c r="G1340" s="623" t="s">
        <v>23</v>
      </c>
      <c r="H1340" s="624">
        <v>0.14299999999999999</v>
      </c>
      <c r="I1340" s="625">
        <v>14.33</v>
      </c>
      <c r="J1340" s="625">
        <v>2.04</v>
      </c>
      <c r="K1340"/>
    </row>
    <row r="1341" spans="1:11" ht="48" customHeight="1">
      <c r="A1341" s="621" t="s">
        <v>12708</v>
      </c>
      <c r="B1341" s="622" t="s">
        <v>13022</v>
      </c>
      <c r="C1341" s="621" t="s">
        <v>8</v>
      </c>
      <c r="D1341" s="621" t="s">
        <v>52</v>
      </c>
      <c r="E1341" s="811" t="s">
        <v>12707</v>
      </c>
      <c r="F1341" s="812"/>
      <c r="G1341" s="623" t="s">
        <v>23</v>
      </c>
      <c r="H1341" s="624">
        <v>0.14299999999999999</v>
      </c>
      <c r="I1341" s="625">
        <v>18.38</v>
      </c>
      <c r="J1341" s="625">
        <v>2.62</v>
      </c>
      <c r="K1341"/>
    </row>
    <row r="1342" spans="1:11" ht="24" customHeight="1">
      <c r="A1342" s="626" t="s">
        <v>12709</v>
      </c>
      <c r="B1342" s="627" t="s">
        <v>13432</v>
      </c>
      <c r="C1342" s="626" t="s">
        <v>8</v>
      </c>
      <c r="D1342" s="626" t="s">
        <v>8144</v>
      </c>
      <c r="E1342" s="804" t="s">
        <v>12720</v>
      </c>
      <c r="F1342" s="805"/>
      <c r="G1342" s="628" t="s">
        <v>35</v>
      </c>
      <c r="H1342" s="629">
        <v>1</v>
      </c>
      <c r="I1342" s="630">
        <v>3</v>
      </c>
      <c r="J1342" s="630">
        <v>3</v>
      </c>
      <c r="K1342"/>
    </row>
    <row r="1343" spans="1:11" ht="25.5">
      <c r="A1343" s="631"/>
      <c r="B1343" s="631"/>
      <c r="C1343" s="631"/>
      <c r="D1343" s="631"/>
      <c r="E1343" s="631" t="s">
        <v>12714</v>
      </c>
      <c r="F1343" s="632">
        <v>1.7839766461239053</v>
      </c>
      <c r="G1343" s="631" t="s">
        <v>12715</v>
      </c>
      <c r="H1343" s="632">
        <v>1.52</v>
      </c>
      <c r="I1343" s="631" t="s">
        <v>12716</v>
      </c>
      <c r="J1343" s="632">
        <v>3.3</v>
      </c>
      <c r="K1343"/>
    </row>
    <row r="1344" spans="1:11" ht="15" customHeight="1" thickBot="1">
      <c r="A1344" s="631"/>
      <c r="B1344" s="631"/>
      <c r="C1344" s="631"/>
      <c r="D1344" s="631"/>
      <c r="E1344" s="631" t="s">
        <v>12717</v>
      </c>
      <c r="F1344" s="632">
        <v>2.16</v>
      </c>
      <c r="G1344" s="631"/>
      <c r="H1344" s="806" t="s">
        <v>12718</v>
      </c>
      <c r="I1344" s="806"/>
      <c r="J1344" s="632">
        <v>9.82</v>
      </c>
      <c r="K1344"/>
    </row>
    <row r="1345" spans="1:11" ht="0.95" customHeight="1" thickTop="1">
      <c r="A1345" s="633"/>
      <c r="B1345" s="633"/>
      <c r="C1345" s="633"/>
      <c r="D1345" s="633"/>
      <c r="E1345" s="633"/>
      <c r="F1345" s="633"/>
      <c r="G1345" s="633"/>
      <c r="H1345" s="633"/>
      <c r="I1345" s="633"/>
      <c r="J1345" s="633"/>
      <c r="K1345"/>
    </row>
    <row r="1346" spans="1:11" ht="18" customHeight="1">
      <c r="A1346" s="613" t="s">
        <v>12877</v>
      </c>
      <c r="B1346" s="614" t="s">
        <v>12698</v>
      </c>
      <c r="C1346" s="613" t="s">
        <v>12699</v>
      </c>
      <c r="D1346" s="613" t="s">
        <v>12700</v>
      </c>
      <c r="E1346" s="807" t="s">
        <v>12701</v>
      </c>
      <c r="F1346" s="808"/>
      <c r="G1346" s="615" t="s">
        <v>12702</v>
      </c>
      <c r="H1346" s="614" t="s">
        <v>12703</v>
      </c>
      <c r="I1346" s="614" t="s">
        <v>12704</v>
      </c>
      <c r="J1346" s="614" t="s">
        <v>12705</v>
      </c>
      <c r="K1346"/>
    </row>
    <row r="1347" spans="1:11" ht="36" customHeight="1">
      <c r="A1347" s="616" t="s">
        <v>12706</v>
      </c>
      <c r="B1347" s="617" t="s">
        <v>13431</v>
      </c>
      <c r="C1347" s="616" t="s">
        <v>8</v>
      </c>
      <c r="D1347" s="616" t="s">
        <v>4892</v>
      </c>
      <c r="E1347" s="809" t="s">
        <v>12873</v>
      </c>
      <c r="F1347" s="810"/>
      <c r="G1347" s="618" t="s">
        <v>35</v>
      </c>
      <c r="H1347" s="619">
        <v>1</v>
      </c>
      <c r="I1347" s="620">
        <v>268.14999999999998</v>
      </c>
      <c r="J1347" s="620">
        <v>268.14999999999998</v>
      </c>
      <c r="K1347"/>
    </row>
    <row r="1348" spans="1:11" ht="24" customHeight="1">
      <c r="A1348" s="621" t="s">
        <v>12708</v>
      </c>
      <c r="B1348" s="622" t="s">
        <v>13069</v>
      </c>
      <c r="C1348" s="621" t="s">
        <v>8</v>
      </c>
      <c r="D1348" s="621" t="s">
        <v>1023</v>
      </c>
      <c r="E1348" s="811" t="s">
        <v>12726</v>
      </c>
      <c r="F1348" s="812"/>
      <c r="G1348" s="623" t="s">
        <v>44</v>
      </c>
      <c r="H1348" s="624">
        <v>8.6999999999999994E-3</v>
      </c>
      <c r="I1348" s="625">
        <v>78.23</v>
      </c>
      <c r="J1348" s="625">
        <v>0.68</v>
      </c>
      <c r="K1348"/>
    </row>
    <row r="1349" spans="1:11" ht="24" customHeight="1">
      <c r="A1349" s="621" t="s">
        <v>12708</v>
      </c>
      <c r="B1349" s="622" t="s">
        <v>13070</v>
      </c>
      <c r="C1349" s="621" t="s">
        <v>8</v>
      </c>
      <c r="D1349" s="621" t="s">
        <v>1024</v>
      </c>
      <c r="E1349" s="811" t="s">
        <v>12726</v>
      </c>
      <c r="F1349" s="812"/>
      <c r="G1349" s="623" t="s">
        <v>61</v>
      </c>
      <c r="H1349" s="624">
        <v>2.9399999999999999E-2</v>
      </c>
      <c r="I1349" s="625">
        <v>32.1</v>
      </c>
      <c r="J1349" s="625">
        <v>0.94</v>
      </c>
      <c r="K1349"/>
    </row>
    <row r="1350" spans="1:11" ht="48" customHeight="1">
      <c r="A1350" s="621" t="s">
        <v>12708</v>
      </c>
      <c r="B1350" s="622" t="s">
        <v>13098</v>
      </c>
      <c r="C1350" s="621" t="s">
        <v>8</v>
      </c>
      <c r="D1350" s="621" t="s">
        <v>4845</v>
      </c>
      <c r="E1350" s="811" t="s">
        <v>12734</v>
      </c>
      <c r="F1350" s="812"/>
      <c r="G1350" s="623" t="s">
        <v>12730</v>
      </c>
      <c r="H1350" s="624">
        <v>4.48E-2</v>
      </c>
      <c r="I1350" s="625">
        <v>1615.86</v>
      </c>
      <c r="J1350" s="625">
        <v>72.39</v>
      </c>
      <c r="K1350"/>
    </row>
    <row r="1351" spans="1:11" ht="24" customHeight="1">
      <c r="A1351" s="621" t="s">
        <v>12708</v>
      </c>
      <c r="B1351" s="622" t="s">
        <v>13156</v>
      </c>
      <c r="C1351" s="621" t="s">
        <v>8</v>
      </c>
      <c r="D1351" s="621" t="s">
        <v>3327</v>
      </c>
      <c r="E1351" s="811" t="s">
        <v>12729</v>
      </c>
      <c r="F1351" s="812"/>
      <c r="G1351" s="623" t="s">
        <v>12730</v>
      </c>
      <c r="H1351" s="624">
        <v>8.1000000000000003E-2</v>
      </c>
      <c r="I1351" s="625">
        <v>182.73</v>
      </c>
      <c r="J1351" s="625">
        <v>14.8</v>
      </c>
      <c r="K1351"/>
    </row>
    <row r="1352" spans="1:11" ht="38.25">
      <c r="A1352" s="621" t="s">
        <v>12708</v>
      </c>
      <c r="B1352" s="622" t="s">
        <v>13316</v>
      </c>
      <c r="C1352" s="621" t="s">
        <v>8</v>
      </c>
      <c r="D1352" s="621" t="s">
        <v>5774</v>
      </c>
      <c r="E1352" s="811" t="s">
        <v>12707</v>
      </c>
      <c r="F1352" s="812"/>
      <c r="G1352" s="623" t="s">
        <v>12730</v>
      </c>
      <c r="H1352" s="624">
        <v>1.4E-3</v>
      </c>
      <c r="I1352" s="625">
        <v>298.38</v>
      </c>
      <c r="J1352" s="625">
        <v>0.41</v>
      </c>
      <c r="K1352"/>
    </row>
    <row r="1353" spans="1:11" ht="15" customHeight="1">
      <c r="A1353" s="621" t="s">
        <v>12708</v>
      </c>
      <c r="B1353" s="622" t="s">
        <v>13317</v>
      </c>
      <c r="C1353" s="621" t="s">
        <v>8</v>
      </c>
      <c r="D1353" s="621" t="s">
        <v>5861</v>
      </c>
      <c r="E1353" s="811" t="s">
        <v>12707</v>
      </c>
      <c r="F1353" s="812"/>
      <c r="G1353" s="623" t="s">
        <v>12730</v>
      </c>
      <c r="H1353" s="624">
        <v>5.7500000000000002E-2</v>
      </c>
      <c r="I1353" s="625">
        <v>349.74</v>
      </c>
      <c r="J1353" s="625">
        <v>20.11</v>
      </c>
      <c r="K1353"/>
    </row>
    <row r="1354" spans="1:11" ht="0.95" customHeight="1">
      <c r="A1354" s="621" t="s">
        <v>12708</v>
      </c>
      <c r="B1354" s="622" t="s">
        <v>12745</v>
      </c>
      <c r="C1354" s="621" t="s">
        <v>8</v>
      </c>
      <c r="D1354" s="621" t="s">
        <v>47</v>
      </c>
      <c r="E1354" s="811" t="s">
        <v>12707</v>
      </c>
      <c r="F1354" s="812"/>
      <c r="G1354" s="623" t="s">
        <v>23</v>
      </c>
      <c r="H1354" s="624">
        <v>3.5310000000000001</v>
      </c>
      <c r="I1354" s="625">
        <v>17.760000000000002</v>
      </c>
      <c r="J1354" s="625">
        <v>62.71</v>
      </c>
      <c r="K1354"/>
    </row>
    <row r="1355" spans="1:11" ht="18" customHeight="1">
      <c r="A1355" s="621" t="s">
        <v>12708</v>
      </c>
      <c r="B1355" s="622" t="s">
        <v>12727</v>
      </c>
      <c r="C1355" s="621" t="s">
        <v>8</v>
      </c>
      <c r="D1355" s="621" t="s">
        <v>26</v>
      </c>
      <c r="E1355" s="811" t="s">
        <v>12707</v>
      </c>
      <c r="F1355" s="812"/>
      <c r="G1355" s="623" t="s">
        <v>23</v>
      </c>
      <c r="H1355" s="624">
        <v>3.5310000000000001</v>
      </c>
      <c r="I1355" s="625">
        <v>14.37</v>
      </c>
      <c r="J1355" s="625">
        <v>50.74</v>
      </c>
      <c r="K1355"/>
    </row>
    <row r="1356" spans="1:11" ht="36" customHeight="1">
      <c r="A1356" s="626" t="s">
        <v>12709</v>
      </c>
      <c r="B1356" s="627" t="s">
        <v>13430</v>
      </c>
      <c r="C1356" s="626" t="s">
        <v>8</v>
      </c>
      <c r="D1356" s="626" t="s">
        <v>7741</v>
      </c>
      <c r="E1356" s="804" t="s">
        <v>12720</v>
      </c>
      <c r="F1356" s="805"/>
      <c r="G1356" s="628" t="s">
        <v>35</v>
      </c>
      <c r="H1356" s="629">
        <v>22.915299999999998</v>
      </c>
      <c r="I1356" s="630">
        <v>1.98</v>
      </c>
      <c r="J1356" s="630">
        <v>45.37</v>
      </c>
      <c r="K1356"/>
    </row>
    <row r="1357" spans="1:11" ht="24" customHeight="1">
      <c r="A1357" s="631"/>
      <c r="B1357" s="631"/>
      <c r="C1357" s="631"/>
      <c r="D1357" s="631"/>
      <c r="E1357" s="631" t="s">
        <v>12714</v>
      </c>
      <c r="F1357" s="632">
        <v>63.801492053194941</v>
      </c>
      <c r="G1357" s="631" t="s">
        <v>12715</v>
      </c>
      <c r="H1357" s="632">
        <v>54.22</v>
      </c>
      <c r="I1357" s="631" t="s">
        <v>12716</v>
      </c>
      <c r="J1357" s="632">
        <v>118.02</v>
      </c>
      <c r="K1357"/>
    </row>
    <row r="1358" spans="1:11" ht="24" customHeight="1" thickBot="1">
      <c r="A1358" s="631"/>
      <c r="B1358" s="631"/>
      <c r="C1358" s="631"/>
      <c r="D1358" s="631"/>
      <c r="E1358" s="631" t="s">
        <v>12717</v>
      </c>
      <c r="F1358" s="632">
        <v>75.72</v>
      </c>
      <c r="G1358" s="631"/>
      <c r="H1358" s="806" t="s">
        <v>12718</v>
      </c>
      <c r="I1358" s="806"/>
      <c r="J1358" s="632">
        <v>343.87</v>
      </c>
      <c r="K1358"/>
    </row>
    <row r="1359" spans="1:11" ht="48" customHeight="1" thickTop="1">
      <c r="A1359" s="633"/>
      <c r="B1359" s="633"/>
      <c r="C1359" s="633"/>
      <c r="D1359" s="633"/>
      <c r="E1359" s="633"/>
      <c r="F1359" s="633"/>
      <c r="G1359" s="633"/>
      <c r="H1359" s="633"/>
      <c r="I1359" s="633"/>
      <c r="J1359" s="633"/>
      <c r="K1359"/>
    </row>
    <row r="1360" spans="1:11" ht="24" customHeight="1">
      <c r="A1360" s="613" t="s">
        <v>12878</v>
      </c>
      <c r="B1360" s="614" t="s">
        <v>12698</v>
      </c>
      <c r="C1360" s="613" t="s">
        <v>12699</v>
      </c>
      <c r="D1360" s="613" t="s">
        <v>12700</v>
      </c>
      <c r="E1360" s="807" t="s">
        <v>12701</v>
      </c>
      <c r="F1360" s="808"/>
      <c r="G1360" s="615" t="s">
        <v>12702</v>
      </c>
      <c r="H1360" s="614" t="s">
        <v>12703</v>
      </c>
      <c r="I1360" s="614" t="s">
        <v>12704</v>
      </c>
      <c r="J1360" s="614" t="s">
        <v>12705</v>
      </c>
      <c r="K1360"/>
    </row>
    <row r="1361" spans="1:11" ht="38.25" customHeight="1">
      <c r="A1361" s="616" t="s">
        <v>12706</v>
      </c>
      <c r="B1361" s="617" t="s">
        <v>13429</v>
      </c>
      <c r="C1361" s="616" t="s">
        <v>8</v>
      </c>
      <c r="D1361" s="616" t="s">
        <v>2537</v>
      </c>
      <c r="E1361" s="809" t="s">
        <v>12873</v>
      </c>
      <c r="F1361" s="810"/>
      <c r="G1361" s="618" t="s">
        <v>17</v>
      </c>
      <c r="H1361" s="619">
        <v>1</v>
      </c>
      <c r="I1361" s="620">
        <v>10.37</v>
      </c>
      <c r="J1361" s="620">
        <v>10.37</v>
      </c>
      <c r="K1361"/>
    </row>
    <row r="1362" spans="1:11" ht="15" customHeight="1">
      <c r="A1362" s="621" t="s">
        <v>12708</v>
      </c>
      <c r="B1362" s="622" t="s">
        <v>13023</v>
      </c>
      <c r="C1362" s="621" t="s">
        <v>8</v>
      </c>
      <c r="D1362" s="621" t="s">
        <v>54</v>
      </c>
      <c r="E1362" s="811" t="s">
        <v>12707</v>
      </c>
      <c r="F1362" s="812"/>
      <c r="G1362" s="623" t="s">
        <v>23</v>
      </c>
      <c r="H1362" s="624">
        <v>7.6999999999999999E-2</v>
      </c>
      <c r="I1362" s="625">
        <v>14.33</v>
      </c>
      <c r="J1362" s="625">
        <v>1.1000000000000001</v>
      </c>
      <c r="K1362"/>
    </row>
    <row r="1363" spans="1:11" ht="0.95" customHeight="1">
      <c r="A1363" s="621" t="s">
        <v>12708</v>
      </c>
      <c r="B1363" s="622" t="s">
        <v>13022</v>
      </c>
      <c r="C1363" s="621" t="s">
        <v>8</v>
      </c>
      <c r="D1363" s="621" t="s">
        <v>52</v>
      </c>
      <c r="E1363" s="811" t="s">
        <v>12707</v>
      </c>
      <c r="F1363" s="812"/>
      <c r="G1363" s="623" t="s">
        <v>23</v>
      </c>
      <c r="H1363" s="624">
        <v>7.6999999999999999E-2</v>
      </c>
      <c r="I1363" s="625">
        <v>18.38</v>
      </c>
      <c r="J1363" s="625">
        <v>1.41</v>
      </c>
      <c r="K1363"/>
    </row>
    <row r="1364" spans="1:11" ht="18" customHeight="1">
      <c r="A1364" s="626" t="s">
        <v>12709</v>
      </c>
      <c r="B1364" s="627" t="s">
        <v>13428</v>
      </c>
      <c r="C1364" s="626" t="s">
        <v>8</v>
      </c>
      <c r="D1364" s="626" t="s">
        <v>7964</v>
      </c>
      <c r="E1364" s="804" t="s">
        <v>12720</v>
      </c>
      <c r="F1364" s="805"/>
      <c r="G1364" s="628" t="s">
        <v>17</v>
      </c>
      <c r="H1364" s="629">
        <v>1.19</v>
      </c>
      <c r="I1364" s="630">
        <v>6.58</v>
      </c>
      <c r="J1364" s="630">
        <v>7.83</v>
      </c>
      <c r="K1364"/>
    </row>
    <row r="1365" spans="1:11" ht="36" customHeight="1">
      <c r="A1365" s="626" t="s">
        <v>12709</v>
      </c>
      <c r="B1365" s="627" t="s">
        <v>13370</v>
      </c>
      <c r="C1365" s="626" t="s">
        <v>8</v>
      </c>
      <c r="D1365" s="626" t="s">
        <v>9418</v>
      </c>
      <c r="E1365" s="804" t="s">
        <v>12720</v>
      </c>
      <c r="F1365" s="805"/>
      <c r="G1365" s="628" t="s">
        <v>35</v>
      </c>
      <c r="H1365" s="629">
        <v>8.9999999999999993E-3</v>
      </c>
      <c r="I1365" s="630">
        <v>3.74</v>
      </c>
      <c r="J1365" s="630">
        <v>0.03</v>
      </c>
      <c r="K1365"/>
    </row>
    <row r="1366" spans="1:11" ht="24" customHeight="1">
      <c r="A1366" s="631"/>
      <c r="B1366" s="631"/>
      <c r="C1366" s="631"/>
      <c r="D1366" s="631"/>
      <c r="E1366" s="631" t="s">
        <v>12714</v>
      </c>
      <c r="F1366" s="632">
        <v>0.95686020110282188</v>
      </c>
      <c r="G1366" s="631" t="s">
        <v>12715</v>
      </c>
      <c r="H1366" s="632">
        <v>0.81</v>
      </c>
      <c r="I1366" s="631" t="s">
        <v>12716</v>
      </c>
      <c r="J1366" s="632">
        <v>1.77</v>
      </c>
      <c r="K1366"/>
    </row>
    <row r="1367" spans="1:11" ht="24" customHeight="1" thickBot="1">
      <c r="A1367" s="631"/>
      <c r="B1367" s="631"/>
      <c r="C1367" s="631"/>
      <c r="D1367" s="631"/>
      <c r="E1367" s="631" t="s">
        <v>12717</v>
      </c>
      <c r="F1367" s="632">
        <v>2.92</v>
      </c>
      <c r="G1367" s="631"/>
      <c r="H1367" s="806" t="s">
        <v>12718</v>
      </c>
      <c r="I1367" s="806"/>
      <c r="J1367" s="632">
        <v>13.29</v>
      </c>
      <c r="K1367"/>
    </row>
    <row r="1368" spans="1:11" ht="48" customHeight="1" thickTop="1">
      <c r="A1368" s="633"/>
      <c r="B1368" s="633"/>
      <c r="C1368" s="633"/>
      <c r="D1368" s="633"/>
      <c r="E1368" s="633"/>
      <c r="F1368" s="633"/>
      <c r="G1368" s="633"/>
      <c r="H1368" s="633"/>
      <c r="I1368" s="633"/>
      <c r="J1368" s="633"/>
      <c r="K1368"/>
    </row>
    <row r="1369" spans="1:11" ht="24" customHeight="1">
      <c r="A1369" s="613" t="s">
        <v>12879</v>
      </c>
      <c r="B1369" s="614" t="s">
        <v>12698</v>
      </c>
      <c r="C1369" s="613" t="s">
        <v>12699</v>
      </c>
      <c r="D1369" s="613" t="s">
        <v>12700</v>
      </c>
      <c r="E1369" s="807" t="s">
        <v>12701</v>
      </c>
      <c r="F1369" s="808"/>
      <c r="G1369" s="615" t="s">
        <v>12702</v>
      </c>
      <c r="H1369" s="614" t="s">
        <v>12703</v>
      </c>
      <c r="I1369" s="614" t="s">
        <v>12704</v>
      </c>
      <c r="J1369" s="614" t="s">
        <v>12705</v>
      </c>
      <c r="K1369"/>
    </row>
    <row r="1370" spans="1:11" ht="25.5" customHeight="1">
      <c r="A1370" s="616" t="s">
        <v>12706</v>
      </c>
      <c r="B1370" s="617" t="s">
        <v>13427</v>
      </c>
      <c r="C1370" s="616" t="s">
        <v>8</v>
      </c>
      <c r="D1370" s="616" t="s">
        <v>3106</v>
      </c>
      <c r="E1370" s="809" t="s">
        <v>12873</v>
      </c>
      <c r="F1370" s="810"/>
      <c r="G1370" s="618" t="s">
        <v>17</v>
      </c>
      <c r="H1370" s="619">
        <v>1</v>
      </c>
      <c r="I1370" s="620">
        <v>10.8</v>
      </c>
      <c r="J1370" s="620">
        <v>10.8</v>
      </c>
      <c r="K1370"/>
    </row>
    <row r="1371" spans="1:11" ht="15" customHeight="1">
      <c r="A1371" s="621" t="s">
        <v>12708</v>
      </c>
      <c r="B1371" s="622" t="s">
        <v>13023</v>
      </c>
      <c r="C1371" s="621" t="s">
        <v>8</v>
      </c>
      <c r="D1371" s="621" t="s">
        <v>54</v>
      </c>
      <c r="E1371" s="811" t="s">
        <v>12707</v>
      </c>
      <c r="F1371" s="812"/>
      <c r="G1371" s="623" t="s">
        <v>23</v>
      </c>
      <c r="H1371" s="624">
        <v>1.2999999999999999E-2</v>
      </c>
      <c r="I1371" s="625">
        <v>14.33</v>
      </c>
      <c r="J1371" s="625">
        <v>0.18</v>
      </c>
      <c r="K1371"/>
    </row>
    <row r="1372" spans="1:11" ht="0.95" customHeight="1">
      <c r="A1372" s="621" t="s">
        <v>12708</v>
      </c>
      <c r="B1372" s="622" t="s">
        <v>13022</v>
      </c>
      <c r="C1372" s="621" t="s">
        <v>8</v>
      </c>
      <c r="D1372" s="621" t="s">
        <v>52</v>
      </c>
      <c r="E1372" s="811" t="s">
        <v>12707</v>
      </c>
      <c r="F1372" s="812"/>
      <c r="G1372" s="623" t="s">
        <v>23</v>
      </c>
      <c r="H1372" s="624">
        <v>1.2999999999999999E-2</v>
      </c>
      <c r="I1372" s="625">
        <v>18.38</v>
      </c>
      <c r="J1372" s="625">
        <v>0.23</v>
      </c>
      <c r="K1372"/>
    </row>
    <row r="1373" spans="1:11" ht="18" customHeight="1">
      <c r="A1373" s="626" t="s">
        <v>12709</v>
      </c>
      <c r="B1373" s="627" t="s">
        <v>13426</v>
      </c>
      <c r="C1373" s="626" t="s">
        <v>8</v>
      </c>
      <c r="D1373" s="626" t="s">
        <v>7967</v>
      </c>
      <c r="E1373" s="804" t="s">
        <v>12720</v>
      </c>
      <c r="F1373" s="805"/>
      <c r="G1373" s="628" t="s">
        <v>17</v>
      </c>
      <c r="H1373" s="629">
        <v>1.0269999999999999</v>
      </c>
      <c r="I1373" s="630">
        <v>10.09</v>
      </c>
      <c r="J1373" s="630">
        <v>10.36</v>
      </c>
      <c r="K1373"/>
    </row>
    <row r="1374" spans="1:11" ht="36" customHeight="1">
      <c r="A1374" s="626" t="s">
        <v>12709</v>
      </c>
      <c r="B1374" s="627" t="s">
        <v>13370</v>
      </c>
      <c r="C1374" s="626" t="s">
        <v>8</v>
      </c>
      <c r="D1374" s="626" t="s">
        <v>9418</v>
      </c>
      <c r="E1374" s="804" t="s">
        <v>12720</v>
      </c>
      <c r="F1374" s="805"/>
      <c r="G1374" s="628" t="s">
        <v>35</v>
      </c>
      <c r="H1374" s="629">
        <v>0.01</v>
      </c>
      <c r="I1374" s="630">
        <v>3.74</v>
      </c>
      <c r="J1374" s="630">
        <v>0.03</v>
      </c>
      <c r="K1374"/>
    </row>
    <row r="1375" spans="1:11" ht="24" customHeight="1">
      <c r="A1375" s="631"/>
      <c r="B1375" s="631"/>
      <c r="C1375" s="631"/>
      <c r="D1375" s="631"/>
      <c r="E1375" s="631" t="s">
        <v>12714</v>
      </c>
      <c r="F1375" s="632">
        <v>0.1567737052654341</v>
      </c>
      <c r="G1375" s="631" t="s">
        <v>12715</v>
      </c>
      <c r="H1375" s="632">
        <v>0.13</v>
      </c>
      <c r="I1375" s="631" t="s">
        <v>12716</v>
      </c>
      <c r="J1375" s="632">
        <v>0.28999999999999998</v>
      </c>
      <c r="K1375"/>
    </row>
    <row r="1376" spans="1:11" ht="24" customHeight="1" thickBot="1">
      <c r="A1376" s="631"/>
      <c r="B1376" s="631"/>
      <c r="C1376" s="631"/>
      <c r="D1376" s="631"/>
      <c r="E1376" s="631" t="s">
        <v>12717</v>
      </c>
      <c r="F1376" s="632">
        <v>3.04</v>
      </c>
      <c r="G1376" s="631"/>
      <c r="H1376" s="806" t="s">
        <v>12718</v>
      </c>
      <c r="I1376" s="806"/>
      <c r="J1376" s="632">
        <v>13.84</v>
      </c>
      <c r="K1376"/>
    </row>
    <row r="1377" spans="1:11" ht="36" customHeight="1" thickTop="1">
      <c r="A1377" s="633"/>
      <c r="B1377" s="633"/>
      <c r="C1377" s="633"/>
      <c r="D1377" s="633"/>
      <c r="E1377" s="633"/>
      <c r="F1377" s="633"/>
      <c r="G1377" s="633"/>
      <c r="H1377" s="633"/>
      <c r="I1377" s="633"/>
      <c r="J1377" s="633"/>
      <c r="K1377"/>
    </row>
    <row r="1378" spans="1:11" ht="24" customHeight="1">
      <c r="A1378" s="613" t="s">
        <v>12880</v>
      </c>
      <c r="B1378" s="614" t="s">
        <v>12698</v>
      </c>
      <c r="C1378" s="613" t="s">
        <v>12699</v>
      </c>
      <c r="D1378" s="613" t="s">
        <v>12700</v>
      </c>
      <c r="E1378" s="807" t="s">
        <v>12701</v>
      </c>
      <c r="F1378" s="808"/>
      <c r="G1378" s="615" t="s">
        <v>12702</v>
      </c>
      <c r="H1378" s="614" t="s">
        <v>12703</v>
      </c>
      <c r="I1378" s="614" t="s">
        <v>12704</v>
      </c>
      <c r="J1378" s="614" t="s">
        <v>12705</v>
      </c>
      <c r="K1378"/>
    </row>
    <row r="1379" spans="1:11" ht="25.5" customHeight="1">
      <c r="A1379" s="616" t="s">
        <v>12706</v>
      </c>
      <c r="B1379" s="617" t="s">
        <v>13425</v>
      </c>
      <c r="C1379" s="616" t="s">
        <v>8</v>
      </c>
      <c r="D1379" s="616" t="s">
        <v>3110</v>
      </c>
      <c r="E1379" s="809" t="s">
        <v>12873</v>
      </c>
      <c r="F1379" s="810"/>
      <c r="G1379" s="618" t="s">
        <v>17</v>
      </c>
      <c r="H1379" s="619">
        <v>1</v>
      </c>
      <c r="I1379" s="620">
        <v>23.9</v>
      </c>
      <c r="J1379" s="620">
        <v>23.9</v>
      </c>
      <c r="K1379"/>
    </row>
    <row r="1380" spans="1:11" ht="15" customHeight="1">
      <c r="A1380" s="621" t="s">
        <v>12708</v>
      </c>
      <c r="B1380" s="622" t="s">
        <v>13023</v>
      </c>
      <c r="C1380" s="621" t="s">
        <v>8</v>
      </c>
      <c r="D1380" s="621" t="s">
        <v>54</v>
      </c>
      <c r="E1380" s="811" t="s">
        <v>12707</v>
      </c>
      <c r="F1380" s="812"/>
      <c r="G1380" s="623" t="s">
        <v>23</v>
      </c>
      <c r="H1380" s="624">
        <v>7.2999999999999995E-2</v>
      </c>
      <c r="I1380" s="625">
        <v>14.33</v>
      </c>
      <c r="J1380" s="625">
        <v>1.04</v>
      </c>
      <c r="K1380"/>
    </row>
    <row r="1381" spans="1:11" ht="0.95" customHeight="1">
      <c r="A1381" s="621" t="s">
        <v>12708</v>
      </c>
      <c r="B1381" s="622" t="s">
        <v>13022</v>
      </c>
      <c r="C1381" s="621" t="s">
        <v>8</v>
      </c>
      <c r="D1381" s="621" t="s">
        <v>52</v>
      </c>
      <c r="E1381" s="811" t="s">
        <v>12707</v>
      </c>
      <c r="F1381" s="812"/>
      <c r="G1381" s="623" t="s">
        <v>23</v>
      </c>
      <c r="H1381" s="624">
        <v>7.2999999999999995E-2</v>
      </c>
      <c r="I1381" s="625">
        <v>18.38</v>
      </c>
      <c r="J1381" s="625">
        <v>1.34</v>
      </c>
      <c r="K1381"/>
    </row>
    <row r="1382" spans="1:11" ht="18" customHeight="1">
      <c r="A1382" s="626" t="s">
        <v>12709</v>
      </c>
      <c r="B1382" s="627" t="s">
        <v>13424</v>
      </c>
      <c r="C1382" s="626" t="s">
        <v>8</v>
      </c>
      <c r="D1382" s="626" t="s">
        <v>7973</v>
      </c>
      <c r="E1382" s="804" t="s">
        <v>12720</v>
      </c>
      <c r="F1382" s="805"/>
      <c r="G1382" s="628" t="s">
        <v>17</v>
      </c>
      <c r="H1382" s="629">
        <v>1.0149999999999999</v>
      </c>
      <c r="I1382" s="630">
        <v>21.18</v>
      </c>
      <c r="J1382" s="630">
        <v>21.49</v>
      </c>
      <c r="K1382"/>
    </row>
    <row r="1383" spans="1:11" ht="36" customHeight="1">
      <c r="A1383" s="626" t="s">
        <v>12709</v>
      </c>
      <c r="B1383" s="627" t="s">
        <v>13370</v>
      </c>
      <c r="C1383" s="626" t="s">
        <v>8</v>
      </c>
      <c r="D1383" s="626" t="s">
        <v>9418</v>
      </c>
      <c r="E1383" s="804" t="s">
        <v>12720</v>
      </c>
      <c r="F1383" s="805"/>
      <c r="G1383" s="628" t="s">
        <v>35</v>
      </c>
      <c r="H1383" s="629">
        <v>8.9999999999999993E-3</v>
      </c>
      <c r="I1383" s="630">
        <v>3.74</v>
      </c>
      <c r="J1383" s="630">
        <v>0.03</v>
      </c>
      <c r="K1383"/>
    </row>
    <row r="1384" spans="1:11" ht="24" customHeight="1">
      <c r="A1384" s="631"/>
      <c r="B1384" s="631"/>
      <c r="C1384" s="631"/>
      <c r="D1384" s="631"/>
      <c r="E1384" s="631" t="s">
        <v>12714</v>
      </c>
      <c r="F1384" s="632">
        <v>0.90820629257216989</v>
      </c>
      <c r="G1384" s="631" t="s">
        <v>12715</v>
      </c>
      <c r="H1384" s="632">
        <v>0.77</v>
      </c>
      <c r="I1384" s="631" t="s">
        <v>12716</v>
      </c>
      <c r="J1384" s="632">
        <v>1.68</v>
      </c>
      <c r="K1384"/>
    </row>
    <row r="1385" spans="1:11" ht="24" customHeight="1" thickBot="1">
      <c r="A1385" s="631"/>
      <c r="B1385" s="631"/>
      <c r="C1385" s="631"/>
      <c r="D1385" s="631"/>
      <c r="E1385" s="631" t="s">
        <v>12717</v>
      </c>
      <c r="F1385" s="632">
        <v>6.74</v>
      </c>
      <c r="G1385" s="631"/>
      <c r="H1385" s="806" t="s">
        <v>12718</v>
      </c>
      <c r="I1385" s="806"/>
      <c r="J1385" s="632">
        <v>30.64</v>
      </c>
      <c r="K1385"/>
    </row>
    <row r="1386" spans="1:11" ht="36" customHeight="1" thickTop="1">
      <c r="A1386" s="633"/>
      <c r="B1386" s="633"/>
      <c r="C1386" s="633"/>
      <c r="D1386" s="633"/>
      <c r="E1386" s="633"/>
      <c r="F1386" s="633"/>
      <c r="G1386" s="633"/>
      <c r="H1386" s="633"/>
      <c r="I1386" s="633"/>
      <c r="J1386" s="633"/>
      <c r="K1386"/>
    </row>
    <row r="1387" spans="1:11" ht="24" customHeight="1">
      <c r="A1387" s="613" t="s">
        <v>12881</v>
      </c>
      <c r="B1387" s="614" t="s">
        <v>12698</v>
      </c>
      <c r="C1387" s="613" t="s">
        <v>12699</v>
      </c>
      <c r="D1387" s="613" t="s">
        <v>12700</v>
      </c>
      <c r="E1387" s="807" t="s">
        <v>12701</v>
      </c>
      <c r="F1387" s="808"/>
      <c r="G1387" s="615" t="s">
        <v>12702</v>
      </c>
      <c r="H1387" s="614" t="s">
        <v>12703</v>
      </c>
      <c r="I1387" s="614" t="s">
        <v>12704</v>
      </c>
      <c r="J1387" s="614" t="s">
        <v>12705</v>
      </c>
      <c r="K1387"/>
    </row>
    <row r="1388" spans="1:11" ht="38.25" customHeight="1">
      <c r="A1388" s="616" t="s">
        <v>12706</v>
      </c>
      <c r="B1388" s="617" t="s">
        <v>13423</v>
      </c>
      <c r="C1388" s="616" t="s">
        <v>8</v>
      </c>
      <c r="D1388" s="616" t="s">
        <v>2533</v>
      </c>
      <c r="E1388" s="809" t="s">
        <v>12873</v>
      </c>
      <c r="F1388" s="810"/>
      <c r="G1388" s="618" t="s">
        <v>17</v>
      </c>
      <c r="H1388" s="619">
        <v>1</v>
      </c>
      <c r="I1388" s="620">
        <v>4.9000000000000004</v>
      </c>
      <c r="J1388" s="620">
        <v>4.9000000000000004</v>
      </c>
      <c r="K1388"/>
    </row>
    <row r="1389" spans="1:11" ht="15" customHeight="1">
      <c r="A1389" s="621" t="s">
        <v>12708</v>
      </c>
      <c r="B1389" s="622" t="s">
        <v>13023</v>
      </c>
      <c r="C1389" s="621" t="s">
        <v>8</v>
      </c>
      <c r="D1389" s="621" t="s">
        <v>54</v>
      </c>
      <c r="E1389" s="811" t="s">
        <v>12707</v>
      </c>
      <c r="F1389" s="812"/>
      <c r="G1389" s="623" t="s">
        <v>23</v>
      </c>
      <c r="H1389" s="624">
        <v>0.04</v>
      </c>
      <c r="I1389" s="625">
        <v>14.33</v>
      </c>
      <c r="J1389" s="625">
        <v>0.56999999999999995</v>
      </c>
      <c r="K1389"/>
    </row>
    <row r="1390" spans="1:11" ht="0.95" customHeight="1">
      <c r="A1390" s="621" t="s">
        <v>12708</v>
      </c>
      <c r="B1390" s="622" t="s">
        <v>13022</v>
      </c>
      <c r="C1390" s="621" t="s">
        <v>8</v>
      </c>
      <c r="D1390" s="621" t="s">
        <v>52</v>
      </c>
      <c r="E1390" s="811" t="s">
        <v>12707</v>
      </c>
      <c r="F1390" s="812"/>
      <c r="G1390" s="623" t="s">
        <v>23</v>
      </c>
      <c r="H1390" s="624">
        <v>0.04</v>
      </c>
      <c r="I1390" s="625">
        <v>18.38</v>
      </c>
      <c r="J1390" s="625">
        <v>0.73</v>
      </c>
      <c r="K1390"/>
    </row>
    <row r="1391" spans="1:11" ht="18" customHeight="1">
      <c r="A1391" s="626" t="s">
        <v>12709</v>
      </c>
      <c r="B1391" s="627" t="s">
        <v>13422</v>
      </c>
      <c r="C1391" s="626" t="s">
        <v>8</v>
      </c>
      <c r="D1391" s="626" t="s">
        <v>7974</v>
      </c>
      <c r="E1391" s="804" t="s">
        <v>12720</v>
      </c>
      <c r="F1391" s="805"/>
      <c r="G1391" s="628" t="s">
        <v>17</v>
      </c>
      <c r="H1391" s="629">
        <v>1.19</v>
      </c>
      <c r="I1391" s="630">
        <v>3</v>
      </c>
      <c r="J1391" s="630">
        <v>3.57</v>
      </c>
      <c r="K1391"/>
    </row>
    <row r="1392" spans="1:11" ht="36" customHeight="1">
      <c r="A1392" s="626" t="s">
        <v>12709</v>
      </c>
      <c r="B1392" s="627" t="s">
        <v>13370</v>
      </c>
      <c r="C1392" s="626" t="s">
        <v>8</v>
      </c>
      <c r="D1392" s="626" t="s">
        <v>9418</v>
      </c>
      <c r="E1392" s="804" t="s">
        <v>12720</v>
      </c>
      <c r="F1392" s="805"/>
      <c r="G1392" s="628" t="s">
        <v>35</v>
      </c>
      <c r="H1392" s="629">
        <v>8.9999999999999993E-3</v>
      </c>
      <c r="I1392" s="630">
        <v>3.74</v>
      </c>
      <c r="J1392" s="630">
        <v>0.03</v>
      </c>
      <c r="K1392"/>
    </row>
    <row r="1393" spans="1:11" ht="24" customHeight="1">
      <c r="A1393" s="631"/>
      <c r="B1393" s="631"/>
      <c r="C1393" s="631"/>
      <c r="D1393" s="631"/>
      <c r="E1393" s="631" t="s">
        <v>12714</v>
      </c>
      <c r="F1393" s="632">
        <v>0.49735106497999781</v>
      </c>
      <c r="G1393" s="631" t="s">
        <v>12715</v>
      </c>
      <c r="H1393" s="632">
        <v>0.42</v>
      </c>
      <c r="I1393" s="631" t="s">
        <v>12716</v>
      </c>
      <c r="J1393" s="632">
        <v>0.92</v>
      </c>
      <c r="K1393"/>
    </row>
    <row r="1394" spans="1:11" ht="24" customHeight="1" thickBot="1">
      <c r="A1394" s="631"/>
      <c r="B1394" s="631"/>
      <c r="C1394" s="631"/>
      <c r="D1394" s="631"/>
      <c r="E1394" s="631" t="s">
        <v>12717</v>
      </c>
      <c r="F1394" s="632">
        <v>1.38</v>
      </c>
      <c r="G1394" s="631"/>
      <c r="H1394" s="806" t="s">
        <v>12718</v>
      </c>
      <c r="I1394" s="806"/>
      <c r="J1394" s="632">
        <v>6.28</v>
      </c>
      <c r="K1394"/>
    </row>
    <row r="1395" spans="1:11" ht="36" customHeight="1" thickTop="1">
      <c r="A1395" s="633"/>
      <c r="B1395" s="633"/>
      <c r="C1395" s="633"/>
      <c r="D1395" s="633"/>
      <c r="E1395" s="633"/>
      <c r="F1395" s="633"/>
      <c r="G1395" s="633"/>
      <c r="H1395" s="633"/>
      <c r="I1395" s="633"/>
      <c r="J1395" s="633"/>
      <c r="K1395"/>
    </row>
    <row r="1396" spans="1:11" ht="24" customHeight="1">
      <c r="A1396" s="613" t="s">
        <v>12882</v>
      </c>
      <c r="B1396" s="614" t="s">
        <v>12698</v>
      </c>
      <c r="C1396" s="613" t="s">
        <v>12699</v>
      </c>
      <c r="D1396" s="613" t="s">
        <v>12700</v>
      </c>
      <c r="E1396" s="807" t="s">
        <v>12701</v>
      </c>
      <c r="F1396" s="808"/>
      <c r="G1396" s="615" t="s">
        <v>12702</v>
      </c>
      <c r="H1396" s="614" t="s">
        <v>12703</v>
      </c>
      <c r="I1396" s="614" t="s">
        <v>12704</v>
      </c>
      <c r="J1396" s="614" t="s">
        <v>12705</v>
      </c>
      <c r="K1396"/>
    </row>
    <row r="1397" spans="1:11" ht="25.5" customHeight="1">
      <c r="A1397" s="616" t="s">
        <v>12706</v>
      </c>
      <c r="B1397" s="617" t="s">
        <v>13421</v>
      </c>
      <c r="C1397" s="616" t="s">
        <v>8</v>
      </c>
      <c r="D1397" s="616" t="s">
        <v>3112</v>
      </c>
      <c r="E1397" s="809" t="s">
        <v>12873</v>
      </c>
      <c r="F1397" s="810"/>
      <c r="G1397" s="618" t="s">
        <v>17</v>
      </c>
      <c r="H1397" s="619">
        <v>1</v>
      </c>
      <c r="I1397" s="620">
        <v>33.49</v>
      </c>
      <c r="J1397" s="620">
        <v>33.49</v>
      </c>
      <c r="K1397"/>
    </row>
    <row r="1398" spans="1:11" ht="15" customHeight="1">
      <c r="A1398" s="621" t="s">
        <v>12708</v>
      </c>
      <c r="B1398" s="622" t="s">
        <v>13023</v>
      </c>
      <c r="C1398" s="621" t="s">
        <v>8</v>
      </c>
      <c r="D1398" s="621" t="s">
        <v>54</v>
      </c>
      <c r="E1398" s="811" t="s">
        <v>12707</v>
      </c>
      <c r="F1398" s="812"/>
      <c r="G1398" s="623" t="s">
        <v>23</v>
      </c>
      <c r="H1398" s="624">
        <v>8.6999999999999994E-2</v>
      </c>
      <c r="I1398" s="625">
        <v>14.33</v>
      </c>
      <c r="J1398" s="625">
        <v>1.24</v>
      </c>
      <c r="K1398"/>
    </row>
    <row r="1399" spans="1:11" ht="0.95" customHeight="1">
      <c r="A1399" s="621" t="s">
        <v>12708</v>
      </c>
      <c r="B1399" s="622" t="s">
        <v>13022</v>
      </c>
      <c r="C1399" s="621" t="s">
        <v>8</v>
      </c>
      <c r="D1399" s="621" t="s">
        <v>52</v>
      </c>
      <c r="E1399" s="811" t="s">
        <v>12707</v>
      </c>
      <c r="F1399" s="812"/>
      <c r="G1399" s="623" t="s">
        <v>23</v>
      </c>
      <c r="H1399" s="624">
        <v>8.6999999999999994E-2</v>
      </c>
      <c r="I1399" s="625">
        <v>18.38</v>
      </c>
      <c r="J1399" s="625">
        <v>1.59</v>
      </c>
      <c r="K1399"/>
    </row>
    <row r="1400" spans="1:11" ht="18" customHeight="1">
      <c r="A1400" s="626" t="s">
        <v>12709</v>
      </c>
      <c r="B1400" s="627" t="s">
        <v>13420</v>
      </c>
      <c r="C1400" s="626" t="s">
        <v>8</v>
      </c>
      <c r="D1400" s="626" t="s">
        <v>7976</v>
      </c>
      <c r="E1400" s="804" t="s">
        <v>12720</v>
      </c>
      <c r="F1400" s="805"/>
      <c r="G1400" s="628" t="s">
        <v>17</v>
      </c>
      <c r="H1400" s="629">
        <v>1.0149999999999999</v>
      </c>
      <c r="I1400" s="630">
        <v>30.18</v>
      </c>
      <c r="J1400" s="630">
        <v>30.63</v>
      </c>
      <c r="K1400"/>
    </row>
    <row r="1401" spans="1:11" ht="36" customHeight="1">
      <c r="A1401" s="626" t="s">
        <v>12709</v>
      </c>
      <c r="B1401" s="627" t="s">
        <v>13370</v>
      </c>
      <c r="C1401" s="626" t="s">
        <v>8</v>
      </c>
      <c r="D1401" s="626" t="s">
        <v>9418</v>
      </c>
      <c r="E1401" s="804" t="s">
        <v>12720</v>
      </c>
      <c r="F1401" s="805"/>
      <c r="G1401" s="628" t="s">
        <v>35</v>
      </c>
      <c r="H1401" s="629">
        <v>8.9999999999999993E-3</v>
      </c>
      <c r="I1401" s="630">
        <v>3.74</v>
      </c>
      <c r="J1401" s="630">
        <v>0.03</v>
      </c>
      <c r="K1401"/>
    </row>
    <row r="1402" spans="1:11" ht="36" customHeight="1">
      <c r="A1402" s="631"/>
      <c r="B1402" s="631"/>
      <c r="C1402" s="631"/>
      <c r="D1402" s="631"/>
      <c r="E1402" s="631" t="s">
        <v>12714</v>
      </c>
      <c r="F1402" s="632">
        <v>1.0811979673478214</v>
      </c>
      <c r="G1402" s="631" t="s">
        <v>12715</v>
      </c>
      <c r="H1402" s="632">
        <v>0.92</v>
      </c>
      <c r="I1402" s="631" t="s">
        <v>12716</v>
      </c>
      <c r="J1402" s="632">
        <v>2</v>
      </c>
      <c r="K1402"/>
    </row>
    <row r="1403" spans="1:11" ht="36" customHeight="1" thickBot="1">
      <c r="A1403" s="631"/>
      <c r="B1403" s="631"/>
      <c r="C1403" s="631"/>
      <c r="D1403" s="631"/>
      <c r="E1403" s="631" t="s">
        <v>12717</v>
      </c>
      <c r="F1403" s="632">
        <v>9.4499999999999993</v>
      </c>
      <c r="G1403" s="631"/>
      <c r="H1403" s="806" t="s">
        <v>12718</v>
      </c>
      <c r="I1403" s="806"/>
      <c r="J1403" s="632">
        <v>42.94</v>
      </c>
      <c r="K1403"/>
    </row>
    <row r="1404" spans="1:11" ht="15" thickTop="1">
      <c r="A1404" s="633"/>
      <c r="B1404" s="633"/>
      <c r="C1404" s="633"/>
      <c r="D1404" s="633"/>
      <c r="E1404" s="633"/>
      <c r="F1404" s="633"/>
      <c r="G1404" s="633"/>
      <c r="H1404" s="633"/>
      <c r="I1404" s="633"/>
      <c r="J1404" s="633"/>
      <c r="K1404"/>
    </row>
    <row r="1405" spans="1:11" ht="15" customHeight="1">
      <c r="A1405" s="613" t="s">
        <v>12883</v>
      </c>
      <c r="B1405" s="614" t="s">
        <v>12698</v>
      </c>
      <c r="C1405" s="613" t="s">
        <v>12699</v>
      </c>
      <c r="D1405" s="613" t="s">
        <v>12700</v>
      </c>
      <c r="E1405" s="807" t="s">
        <v>12701</v>
      </c>
      <c r="F1405" s="808"/>
      <c r="G1405" s="615" t="s">
        <v>12702</v>
      </c>
      <c r="H1405" s="614" t="s">
        <v>12703</v>
      </c>
      <c r="I1405" s="614" t="s">
        <v>12704</v>
      </c>
      <c r="J1405" s="614" t="s">
        <v>12705</v>
      </c>
      <c r="K1405"/>
    </row>
    <row r="1406" spans="1:11" ht="0.95" customHeight="1">
      <c r="A1406" s="616" t="s">
        <v>12706</v>
      </c>
      <c r="B1406" s="617" t="s">
        <v>13419</v>
      </c>
      <c r="C1406" s="616" t="s">
        <v>8</v>
      </c>
      <c r="D1406" s="616" t="s">
        <v>3114</v>
      </c>
      <c r="E1406" s="809" t="s">
        <v>12873</v>
      </c>
      <c r="F1406" s="810"/>
      <c r="G1406" s="618" t="s">
        <v>17</v>
      </c>
      <c r="H1406" s="619">
        <v>1</v>
      </c>
      <c r="I1406" s="620">
        <v>45.88</v>
      </c>
      <c r="J1406" s="620">
        <v>45.88</v>
      </c>
      <c r="K1406"/>
    </row>
    <row r="1407" spans="1:11" ht="18" customHeight="1">
      <c r="A1407" s="621" t="s">
        <v>12708</v>
      </c>
      <c r="B1407" s="622" t="s">
        <v>13023</v>
      </c>
      <c r="C1407" s="621" t="s">
        <v>8</v>
      </c>
      <c r="D1407" s="621" t="s">
        <v>54</v>
      </c>
      <c r="E1407" s="811" t="s">
        <v>12707</v>
      </c>
      <c r="F1407" s="812"/>
      <c r="G1407" s="623" t="s">
        <v>23</v>
      </c>
      <c r="H1407" s="624">
        <v>0.105</v>
      </c>
      <c r="I1407" s="625">
        <v>14.33</v>
      </c>
      <c r="J1407" s="625">
        <v>1.5</v>
      </c>
      <c r="K1407"/>
    </row>
    <row r="1408" spans="1:11" ht="36" customHeight="1">
      <c r="A1408" s="621" t="s">
        <v>12708</v>
      </c>
      <c r="B1408" s="622" t="s">
        <v>13022</v>
      </c>
      <c r="C1408" s="621" t="s">
        <v>8</v>
      </c>
      <c r="D1408" s="621" t="s">
        <v>52</v>
      </c>
      <c r="E1408" s="811" t="s">
        <v>12707</v>
      </c>
      <c r="F1408" s="812"/>
      <c r="G1408" s="623" t="s">
        <v>23</v>
      </c>
      <c r="H1408" s="624">
        <v>0.105</v>
      </c>
      <c r="I1408" s="625">
        <v>18.38</v>
      </c>
      <c r="J1408" s="625">
        <v>1.92</v>
      </c>
      <c r="K1408"/>
    </row>
    <row r="1409" spans="1:11" ht="36" customHeight="1">
      <c r="A1409" s="626" t="s">
        <v>12709</v>
      </c>
      <c r="B1409" s="627" t="s">
        <v>13418</v>
      </c>
      <c r="C1409" s="626" t="s">
        <v>8</v>
      </c>
      <c r="D1409" s="626" t="s">
        <v>7979</v>
      </c>
      <c r="E1409" s="804" t="s">
        <v>12720</v>
      </c>
      <c r="F1409" s="805"/>
      <c r="G1409" s="628" t="s">
        <v>17</v>
      </c>
      <c r="H1409" s="629">
        <v>1.0149999999999999</v>
      </c>
      <c r="I1409" s="630">
        <v>41.81</v>
      </c>
      <c r="J1409" s="630">
        <v>42.43</v>
      </c>
      <c r="K1409"/>
    </row>
    <row r="1410" spans="1:11" ht="36" customHeight="1">
      <c r="A1410" s="626" t="s">
        <v>12709</v>
      </c>
      <c r="B1410" s="627" t="s">
        <v>13370</v>
      </c>
      <c r="C1410" s="626" t="s">
        <v>8</v>
      </c>
      <c r="D1410" s="626" t="s">
        <v>9418</v>
      </c>
      <c r="E1410" s="804" t="s">
        <v>12720</v>
      </c>
      <c r="F1410" s="805"/>
      <c r="G1410" s="628" t="s">
        <v>35</v>
      </c>
      <c r="H1410" s="629">
        <v>8.9999999999999993E-3</v>
      </c>
      <c r="I1410" s="630">
        <v>3.74</v>
      </c>
      <c r="J1410" s="630">
        <v>0.03</v>
      </c>
      <c r="K1410"/>
    </row>
    <row r="1411" spans="1:11" ht="25.5">
      <c r="A1411" s="631"/>
      <c r="B1411" s="631"/>
      <c r="C1411" s="631"/>
      <c r="D1411" s="631"/>
      <c r="E1411" s="631" t="s">
        <v>12714</v>
      </c>
      <c r="F1411" s="632">
        <v>1.3028435506541247</v>
      </c>
      <c r="G1411" s="631" t="s">
        <v>12715</v>
      </c>
      <c r="H1411" s="632">
        <v>1.1100000000000001</v>
      </c>
      <c r="I1411" s="631" t="s">
        <v>12716</v>
      </c>
      <c r="J1411" s="632">
        <v>2.41</v>
      </c>
      <c r="K1411"/>
    </row>
    <row r="1412" spans="1:11" ht="15" customHeight="1" thickBot="1">
      <c r="A1412" s="631"/>
      <c r="B1412" s="631"/>
      <c r="C1412" s="631"/>
      <c r="D1412" s="631"/>
      <c r="E1412" s="631" t="s">
        <v>12717</v>
      </c>
      <c r="F1412" s="632">
        <v>12.95</v>
      </c>
      <c r="G1412" s="631"/>
      <c r="H1412" s="806" t="s">
        <v>12718</v>
      </c>
      <c r="I1412" s="806"/>
      <c r="J1412" s="632">
        <v>58.83</v>
      </c>
      <c r="K1412"/>
    </row>
    <row r="1413" spans="1:11" ht="0.95" customHeight="1" thickTop="1">
      <c r="A1413" s="633"/>
      <c r="B1413" s="633"/>
      <c r="C1413" s="633"/>
      <c r="D1413" s="633"/>
      <c r="E1413" s="633"/>
      <c r="F1413" s="633"/>
      <c r="G1413" s="633"/>
      <c r="H1413" s="633"/>
      <c r="I1413" s="633"/>
      <c r="J1413" s="633"/>
      <c r="K1413"/>
    </row>
    <row r="1414" spans="1:11" ht="18" customHeight="1">
      <c r="A1414" s="613" t="s">
        <v>13417</v>
      </c>
      <c r="B1414" s="614" t="s">
        <v>12698</v>
      </c>
      <c r="C1414" s="613" t="s">
        <v>12699</v>
      </c>
      <c r="D1414" s="613" t="s">
        <v>12700</v>
      </c>
      <c r="E1414" s="807" t="s">
        <v>12701</v>
      </c>
      <c r="F1414" s="808"/>
      <c r="G1414" s="615" t="s">
        <v>12702</v>
      </c>
      <c r="H1414" s="614" t="s">
        <v>12703</v>
      </c>
      <c r="I1414" s="614" t="s">
        <v>12704</v>
      </c>
      <c r="J1414" s="614" t="s">
        <v>12705</v>
      </c>
      <c r="K1414"/>
    </row>
    <row r="1415" spans="1:11" ht="36" customHeight="1">
      <c r="A1415" s="616" t="s">
        <v>12706</v>
      </c>
      <c r="B1415" s="617" t="s">
        <v>13414</v>
      </c>
      <c r="C1415" s="616" t="s">
        <v>8</v>
      </c>
      <c r="D1415" s="616" t="s">
        <v>2530</v>
      </c>
      <c r="E1415" s="809" t="s">
        <v>12873</v>
      </c>
      <c r="F1415" s="810"/>
      <c r="G1415" s="618" t="s">
        <v>17</v>
      </c>
      <c r="H1415" s="619">
        <v>1</v>
      </c>
      <c r="I1415" s="620">
        <v>2.67</v>
      </c>
      <c r="J1415" s="620">
        <v>2.67</v>
      </c>
      <c r="K1415"/>
    </row>
    <row r="1416" spans="1:11" ht="36" customHeight="1">
      <c r="A1416" s="621" t="s">
        <v>12708</v>
      </c>
      <c r="B1416" s="622" t="s">
        <v>13023</v>
      </c>
      <c r="C1416" s="621" t="s">
        <v>8</v>
      </c>
      <c r="D1416" s="621" t="s">
        <v>54</v>
      </c>
      <c r="E1416" s="811" t="s">
        <v>12707</v>
      </c>
      <c r="F1416" s="812"/>
      <c r="G1416" s="623" t="s">
        <v>23</v>
      </c>
      <c r="H1416" s="624">
        <v>0.03</v>
      </c>
      <c r="I1416" s="625">
        <v>14.33</v>
      </c>
      <c r="J1416" s="625">
        <v>0.42</v>
      </c>
      <c r="K1416"/>
    </row>
    <row r="1417" spans="1:11" ht="36" customHeight="1">
      <c r="A1417" s="621" t="s">
        <v>12708</v>
      </c>
      <c r="B1417" s="622" t="s">
        <v>13022</v>
      </c>
      <c r="C1417" s="621" t="s">
        <v>8</v>
      </c>
      <c r="D1417" s="621" t="s">
        <v>52</v>
      </c>
      <c r="E1417" s="811" t="s">
        <v>12707</v>
      </c>
      <c r="F1417" s="812"/>
      <c r="G1417" s="623" t="s">
        <v>23</v>
      </c>
      <c r="H1417" s="624">
        <v>0.03</v>
      </c>
      <c r="I1417" s="625">
        <v>18.38</v>
      </c>
      <c r="J1417" s="625">
        <v>0.55000000000000004</v>
      </c>
      <c r="K1417"/>
    </row>
    <row r="1418" spans="1:11" ht="25.5">
      <c r="A1418" s="626" t="s">
        <v>12709</v>
      </c>
      <c r="B1418" s="627" t="s">
        <v>13413</v>
      </c>
      <c r="C1418" s="626" t="s">
        <v>8</v>
      </c>
      <c r="D1418" s="626" t="s">
        <v>7990</v>
      </c>
      <c r="E1418" s="804" t="s">
        <v>12720</v>
      </c>
      <c r="F1418" s="805"/>
      <c r="G1418" s="628" t="s">
        <v>17</v>
      </c>
      <c r="H1418" s="629">
        <v>1.19</v>
      </c>
      <c r="I1418" s="630">
        <v>1.41</v>
      </c>
      <c r="J1418" s="630">
        <v>1.67</v>
      </c>
      <c r="K1418"/>
    </row>
    <row r="1419" spans="1:11" ht="15" customHeight="1">
      <c r="A1419" s="626" t="s">
        <v>12709</v>
      </c>
      <c r="B1419" s="627" t="s">
        <v>13370</v>
      </c>
      <c r="C1419" s="626" t="s">
        <v>8</v>
      </c>
      <c r="D1419" s="626" t="s">
        <v>9418</v>
      </c>
      <c r="E1419" s="804" t="s">
        <v>12720</v>
      </c>
      <c r="F1419" s="805"/>
      <c r="G1419" s="628" t="s">
        <v>35</v>
      </c>
      <c r="H1419" s="629">
        <v>8.9999999999999993E-3</v>
      </c>
      <c r="I1419" s="630">
        <v>3.74</v>
      </c>
      <c r="J1419" s="630">
        <v>0.03</v>
      </c>
      <c r="K1419"/>
    </row>
    <row r="1420" spans="1:11" ht="0.95" customHeight="1">
      <c r="A1420" s="631"/>
      <c r="B1420" s="631"/>
      <c r="C1420" s="631"/>
      <c r="D1420" s="631"/>
      <c r="E1420" s="631" t="s">
        <v>12714</v>
      </c>
      <c r="F1420" s="632">
        <v>0.36760730889825927</v>
      </c>
      <c r="G1420" s="631" t="s">
        <v>12715</v>
      </c>
      <c r="H1420" s="632">
        <v>0.31</v>
      </c>
      <c r="I1420" s="631" t="s">
        <v>12716</v>
      </c>
      <c r="J1420" s="632">
        <v>0.68</v>
      </c>
      <c r="K1420"/>
    </row>
    <row r="1421" spans="1:11" ht="18" customHeight="1" thickBot="1">
      <c r="A1421" s="631"/>
      <c r="B1421" s="631"/>
      <c r="C1421" s="631"/>
      <c r="D1421" s="631"/>
      <c r="E1421" s="631" t="s">
        <v>12717</v>
      </c>
      <c r="F1421" s="632">
        <v>0.75</v>
      </c>
      <c r="G1421" s="631"/>
      <c r="H1421" s="806" t="s">
        <v>12718</v>
      </c>
      <c r="I1421" s="806"/>
      <c r="J1421" s="632">
        <v>3.42</v>
      </c>
      <c r="K1421"/>
    </row>
    <row r="1422" spans="1:11" ht="36" customHeight="1" thickTop="1">
      <c r="A1422" s="633"/>
      <c r="B1422" s="633"/>
      <c r="C1422" s="633"/>
      <c r="D1422" s="633"/>
      <c r="E1422" s="633"/>
      <c r="F1422" s="633"/>
      <c r="G1422" s="633"/>
      <c r="H1422" s="633"/>
      <c r="I1422" s="633"/>
      <c r="J1422" s="633"/>
      <c r="K1422"/>
    </row>
    <row r="1423" spans="1:11" ht="36" customHeight="1">
      <c r="A1423" s="613" t="s">
        <v>12884</v>
      </c>
      <c r="B1423" s="614" t="s">
        <v>12698</v>
      </c>
      <c r="C1423" s="613" t="s">
        <v>12699</v>
      </c>
      <c r="D1423" s="613" t="s">
        <v>12700</v>
      </c>
      <c r="E1423" s="807" t="s">
        <v>12701</v>
      </c>
      <c r="F1423" s="808"/>
      <c r="G1423" s="615" t="s">
        <v>12702</v>
      </c>
      <c r="H1423" s="614" t="s">
        <v>12703</v>
      </c>
      <c r="I1423" s="614" t="s">
        <v>12704</v>
      </c>
      <c r="J1423" s="614" t="s">
        <v>12705</v>
      </c>
      <c r="K1423"/>
    </row>
    <row r="1424" spans="1:11" ht="36" customHeight="1">
      <c r="A1424" s="616" t="s">
        <v>12706</v>
      </c>
      <c r="B1424" s="617" t="s">
        <v>13412</v>
      </c>
      <c r="C1424" s="616" t="s">
        <v>8</v>
      </c>
      <c r="D1424" s="616" t="s">
        <v>2532</v>
      </c>
      <c r="E1424" s="809" t="s">
        <v>12873</v>
      </c>
      <c r="F1424" s="810"/>
      <c r="G1424" s="618" t="s">
        <v>17</v>
      </c>
      <c r="H1424" s="619">
        <v>1</v>
      </c>
      <c r="I1424" s="620">
        <v>4.32</v>
      </c>
      <c r="J1424" s="620">
        <v>4.32</v>
      </c>
      <c r="K1424"/>
    </row>
    <row r="1425" spans="1:11" ht="25.5">
      <c r="A1425" s="621" t="s">
        <v>12708</v>
      </c>
      <c r="B1425" s="622" t="s">
        <v>13023</v>
      </c>
      <c r="C1425" s="621" t="s">
        <v>8</v>
      </c>
      <c r="D1425" s="621" t="s">
        <v>54</v>
      </c>
      <c r="E1425" s="811" t="s">
        <v>12707</v>
      </c>
      <c r="F1425" s="812"/>
      <c r="G1425" s="623" t="s">
        <v>23</v>
      </c>
      <c r="H1425" s="624">
        <v>0.04</v>
      </c>
      <c r="I1425" s="625">
        <v>14.33</v>
      </c>
      <c r="J1425" s="625">
        <v>0.56999999999999995</v>
      </c>
      <c r="K1425"/>
    </row>
    <row r="1426" spans="1:11" ht="15" customHeight="1">
      <c r="A1426" s="621" t="s">
        <v>12708</v>
      </c>
      <c r="B1426" s="622" t="s">
        <v>13022</v>
      </c>
      <c r="C1426" s="621" t="s">
        <v>8</v>
      </c>
      <c r="D1426" s="621" t="s">
        <v>52</v>
      </c>
      <c r="E1426" s="811" t="s">
        <v>12707</v>
      </c>
      <c r="F1426" s="812"/>
      <c r="G1426" s="623" t="s">
        <v>23</v>
      </c>
      <c r="H1426" s="624">
        <v>0.04</v>
      </c>
      <c r="I1426" s="625">
        <v>18.38</v>
      </c>
      <c r="J1426" s="625">
        <v>0.73</v>
      </c>
      <c r="K1426"/>
    </row>
    <row r="1427" spans="1:11" ht="0.95" customHeight="1">
      <c r="A1427" s="626" t="s">
        <v>12709</v>
      </c>
      <c r="B1427" s="627" t="s">
        <v>13411</v>
      </c>
      <c r="C1427" s="626" t="s">
        <v>8</v>
      </c>
      <c r="D1427" s="626" t="s">
        <v>7994</v>
      </c>
      <c r="E1427" s="804" t="s">
        <v>12720</v>
      </c>
      <c r="F1427" s="805"/>
      <c r="G1427" s="628" t="s">
        <v>17</v>
      </c>
      <c r="H1427" s="629">
        <v>1.19</v>
      </c>
      <c r="I1427" s="630">
        <v>2.52</v>
      </c>
      <c r="J1427" s="630">
        <v>2.99</v>
      </c>
      <c r="K1427"/>
    </row>
    <row r="1428" spans="1:11" ht="18" customHeight="1">
      <c r="A1428" s="626" t="s">
        <v>12709</v>
      </c>
      <c r="B1428" s="627" t="s">
        <v>13370</v>
      </c>
      <c r="C1428" s="626" t="s">
        <v>8</v>
      </c>
      <c r="D1428" s="626" t="s">
        <v>9418</v>
      </c>
      <c r="E1428" s="804" t="s">
        <v>12720</v>
      </c>
      <c r="F1428" s="805"/>
      <c r="G1428" s="628" t="s">
        <v>35</v>
      </c>
      <c r="H1428" s="629">
        <v>8.9999999999999993E-3</v>
      </c>
      <c r="I1428" s="630">
        <v>3.74</v>
      </c>
      <c r="J1428" s="630">
        <v>0.03</v>
      </c>
      <c r="K1428"/>
    </row>
    <row r="1429" spans="1:11" ht="36" customHeight="1">
      <c r="A1429" s="631"/>
      <c r="B1429" s="631"/>
      <c r="C1429" s="631"/>
      <c r="D1429" s="631"/>
      <c r="E1429" s="631" t="s">
        <v>12714</v>
      </c>
      <c r="F1429" s="632">
        <v>0.49735106497999781</v>
      </c>
      <c r="G1429" s="631" t="s">
        <v>12715</v>
      </c>
      <c r="H1429" s="632">
        <v>0.42</v>
      </c>
      <c r="I1429" s="631" t="s">
        <v>12716</v>
      </c>
      <c r="J1429" s="632">
        <v>0.92</v>
      </c>
      <c r="K1429"/>
    </row>
    <row r="1430" spans="1:11" ht="36" customHeight="1" thickBot="1">
      <c r="A1430" s="631"/>
      <c r="B1430" s="631"/>
      <c r="C1430" s="631"/>
      <c r="D1430" s="631"/>
      <c r="E1430" s="631" t="s">
        <v>12717</v>
      </c>
      <c r="F1430" s="632">
        <v>1.21</v>
      </c>
      <c r="G1430" s="631"/>
      <c r="H1430" s="806" t="s">
        <v>12718</v>
      </c>
      <c r="I1430" s="806"/>
      <c r="J1430" s="632">
        <v>5.53</v>
      </c>
      <c r="K1430"/>
    </row>
    <row r="1431" spans="1:11" ht="36" customHeight="1" thickTop="1">
      <c r="A1431" s="633"/>
      <c r="B1431" s="633"/>
      <c r="C1431" s="633"/>
      <c r="D1431" s="633"/>
      <c r="E1431" s="633"/>
      <c r="F1431" s="633"/>
      <c r="G1431" s="633"/>
      <c r="H1431" s="633"/>
      <c r="I1431" s="633"/>
      <c r="J1431" s="633"/>
      <c r="K1431"/>
    </row>
    <row r="1432" spans="1:11" ht="15">
      <c r="A1432" s="613" t="s">
        <v>12885</v>
      </c>
      <c r="B1432" s="614" t="s">
        <v>12698</v>
      </c>
      <c r="C1432" s="613" t="s">
        <v>12699</v>
      </c>
      <c r="D1432" s="613" t="s">
        <v>12700</v>
      </c>
      <c r="E1432" s="807" t="s">
        <v>12701</v>
      </c>
      <c r="F1432" s="808"/>
      <c r="G1432" s="615" t="s">
        <v>12702</v>
      </c>
      <c r="H1432" s="614" t="s">
        <v>12703</v>
      </c>
      <c r="I1432" s="614" t="s">
        <v>12704</v>
      </c>
      <c r="J1432" s="614" t="s">
        <v>12705</v>
      </c>
      <c r="K1432"/>
    </row>
    <row r="1433" spans="1:11" ht="15" customHeight="1">
      <c r="A1433" s="616" t="s">
        <v>12706</v>
      </c>
      <c r="B1433" s="617" t="s">
        <v>13410</v>
      </c>
      <c r="C1433" s="616" t="s">
        <v>8</v>
      </c>
      <c r="D1433" s="616" t="s">
        <v>2534</v>
      </c>
      <c r="E1433" s="809" t="s">
        <v>12873</v>
      </c>
      <c r="F1433" s="810"/>
      <c r="G1433" s="618" t="s">
        <v>17</v>
      </c>
      <c r="H1433" s="619">
        <v>1</v>
      </c>
      <c r="I1433" s="620">
        <v>5.92</v>
      </c>
      <c r="J1433" s="620">
        <v>5.92</v>
      </c>
      <c r="K1433"/>
    </row>
    <row r="1434" spans="1:11" ht="0.95" customHeight="1">
      <c r="A1434" s="621" t="s">
        <v>12708</v>
      </c>
      <c r="B1434" s="622" t="s">
        <v>13023</v>
      </c>
      <c r="C1434" s="621" t="s">
        <v>8</v>
      </c>
      <c r="D1434" s="621" t="s">
        <v>54</v>
      </c>
      <c r="E1434" s="811" t="s">
        <v>12707</v>
      </c>
      <c r="F1434" s="812"/>
      <c r="G1434" s="623" t="s">
        <v>23</v>
      </c>
      <c r="H1434" s="624">
        <v>5.1999999999999998E-2</v>
      </c>
      <c r="I1434" s="625">
        <v>14.33</v>
      </c>
      <c r="J1434" s="625">
        <v>0.74</v>
      </c>
      <c r="K1434"/>
    </row>
    <row r="1435" spans="1:11" ht="18" customHeight="1">
      <c r="A1435" s="621" t="s">
        <v>12708</v>
      </c>
      <c r="B1435" s="622" t="s">
        <v>13022</v>
      </c>
      <c r="C1435" s="621" t="s">
        <v>8</v>
      </c>
      <c r="D1435" s="621" t="s">
        <v>52</v>
      </c>
      <c r="E1435" s="811" t="s">
        <v>12707</v>
      </c>
      <c r="F1435" s="812"/>
      <c r="G1435" s="623" t="s">
        <v>23</v>
      </c>
      <c r="H1435" s="624">
        <v>5.1999999999999998E-2</v>
      </c>
      <c r="I1435" s="625">
        <v>18.38</v>
      </c>
      <c r="J1435" s="625">
        <v>0.95</v>
      </c>
      <c r="K1435"/>
    </row>
    <row r="1436" spans="1:11" ht="36" customHeight="1">
      <c r="A1436" s="626" t="s">
        <v>12709</v>
      </c>
      <c r="B1436" s="627" t="s">
        <v>13409</v>
      </c>
      <c r="C1436" s="626" t="s">
        <v>8</v>
      </c>
      <c r="D1436" s="626" t="s">
        <v>7996</v>
      </c>
      <c r="E1436" s="804" t="s">
        <v>12720</v>
      </c>
      <c r="F1436" s="805"/>
      <c r="G1436" s="628" t="s">
        <v>17</v>
      </c>
      <c r="H1436" s="629">
        <v>1.19</v>
      </c>
      <c r="I1436" s="630">
        <v>3.53</v>
      </c>
      <c r="J1436" s="630">
        <v>4.2</v>
      </c>
      <c r="K1436"/>
    </row>
    <row r="1437" spans="1:11" ht="36" customHeight="1">
      <c r="A1437" s="626" t="s">
        <v>12709</v>
      </c>
      <c r="B1437" s="627" t="s">
        <v>13370</v>
      </c>
      <c r="C1437" s="626" t="s">
        <v>8</v>
      </c>
      <c r="D1437" s="626" t="s">
        <v>9418</v>
      </c>
      <c r="E1437" s="804" t="s">
        <v>12720</v>
      </c>
      <c r="F1437" s="805"/>
      <c r="G1437" s="628" t="s">
        <v>35</v>
      </c>
      <c r="H1437" s="629">
        <v>8.9999999999999993E-3</v>
      </c>
      <c r="I1437" s="630">
        <v>3.74</v>
      </c>
      <c r="J1437" s="630">
        <v>0.03</v>
      </c>
      <c r="K1437"/>
    </row>
    <row r="1438" spans="1:11" ht="36" customHeight="1">
      <c r="A1438" s="631"/>
      <c r="B1438" s="631"/>
      <c r="C1438" s="631"/>
      <c r="D1438" s="631"/>
      <c r="E1438" s="631" t="s">
        <v>12714</v>
      </c>
      <c r="F1438" s="632">
        <v>0.64331279057195367</v>
      </c>
      <c r="G1438" s="631" t="s">
        <v>12715</v>
      </c>
      <c r="H1438" s="632">
        <v>0.55000000000000004</v>
      </c>
      <c r="I1438" s="631" t="s">
        <v>12716</v>
      </c>
      <c r="J1438" s="632">
        <v>1.19</v>
      </c>
      <c r="K1438"/>
    </row>
    <row r="1439" spans="1:11" ht="15" customHeight="1" thickBot="1">
      <c r="A1439" s="631"/>
      <c r="B1439" s="631"/>
      <c r="C1439" s="631"/>
      <c r="D1439" s="631"/>
      <c r="E1439" s="631" t="s">
        <v>12717</v>
      </c>
      <c r="F1439" s="632">
        <v>1.67</v>
      </c>
      <c r="G1439" s="631"/>
      <c r="H1439" s="806" t="s">
        <v>12718</v>
      </c>
      <c r="I1439" s="806"/>
      <c r="J1439" s="632">
        <v>7.59</v>
      </c>
      <c r="K1439"/>
    </row>
    <row r="1440" spans="1:11" ht="15" customHeight="1" thickTop="1">
      <c r="A1440" s="633"/>
      <c r="B1440" s="633"/>
      <c r="C1440" s="633"/>
      <c r="D1440" s="633"/>
      <c r="E1440" s="633"/>
      <c r="F1440" s="633"/>
      <c r="G1440" s="633"/>
      <c r="H1440" s="633"/>
      <c r="I1440" s="633"/>
      <c r="J1440" s="633"/>
      <c r="K1440"/>
    </row>
    <row r="1441" spans="1:11" ht="0.95" customHeight="1">
      <c r="A1441" s="613" t="s">
        <v>12886</v>
      </c>
      <c r="B1441" s="614" t="s">
        <v>12698</v>
      </c>
      <c r="C1441" s="613" t="s">
        <v>12699</v>
      </c>
      <c r="D1441" s="613" t="s">
        <v>12700</v>
      </c>
      <c r="E1441" s="807" t="s">
        <v>12701</v>
      </c>
      <c r="F1441" s="808"/>
      <c r="G1441" s="615" t="s">
        <v>12702</v>
      </c>
      <c r="H1441" s="614" t="s">
        <v>12703</v>
      </c>
      <c r="I1441" s="614" t="s">
        <v>12704</v>
      </c>
      <c r="J1441" s="614" t="s">
        <v>12705</v>
      </c>
      <c r="K1441"/>
    </row>
    <row r="1442" spans="1:11" ht="18" customHeight="1">
      <c r="A1442" s="616" t="s">
        <v>12706</v>
      </c>
      <c r="B1442" s="617" t="s">
        <v>13408</v>
      </c>
      <c r="C1442" s="616" t="s">
        <v>8</v>
      </c>
      <c r="D1442" s="616" t="s">
        <v>589</v>
      </c>
      <c r="E1442" s="809" t="s">
        <v>12873</v>
      </c>
      <c r="F1442" s="810"/>
      <c r="G1442" s="618" t="s">
        <v>35</v>
      </c>
      <c r="H1442" s="619">
        <v>1</v>
      </c>
      <c r="I1442" s="620">
        <v>16.38</v>
      </c>
      <c r="J1442" s="620">
        <v>16.38</v>
      </c>
      <c r="K1442"/>
    </row>
    <row r="1443" spans="1:11" ht="36" customHeight="1">
      <c r="A1443" s="621" t="s">
        <v>12708</v>
      </c>
      <c r="B1443" s="622" t="s">
        <v>13041</v>
      </c>
      <c r="C1443" s="621" t="s">
        <v>8</v>
      </c>
      <c r="D1443" s="621" t="s">
        <v>584</v>
      </c>
      <c r="E1443" s="811" t="s">
        <v>12873</v>
      </c>
      <c r="F1443" s="812"/>
      <c r="G1443" s="623" t="s">
        <v>35</v>
      </c>
      <c r="H1443" s="624">
        <v>1</v>
      </c>
      <c r="I1443" s="625">
        <v>4.91</v>
      </c>
      <c r="J1443" s="625">
        <v>4.91</v>
      </c>
      <c r="K1443"/>
    </row>
    <row r="1444" spans="1:11" ht="36" customHeight="1">
      <c r="A1444" s="621" t="s">
        <v>12708</v>
      </c>
      <c r="B1444" s="622" t="s">
        <v>13164</v>
      </c>
      <c r="C1444" s="621" t="s">
        <v>8</v>
      </c>
      <c r="D1444" s="621" t="s">
        <v>2548</v>
      </c>
      <c r="E1444" s="811" t="s">
        <v>12873</v>
      </c>
      <c r="F1444" s="812"/>
      <c r="G1444" s="623" t="s">
        <v>35</v>
      </c>
      <c r="H1444" s="624">
        <v>1</v>
      </c>
      <c r="I1444" s="625">
        <v>11.47</v>
      </c>
      <c r="J1444" s="625">
        <v>11.47</v>
      </c>
      <c r="K1444"/>
    </row>
    <row r="1445" spans="1:11" ht="36" customHeight="1">
      <c r="A1445" s="631"/>
      <c r="B1445" s="631"/>
      <c r="C1445" s="631"/>
      <c r="D1445" s="631"/>
      <c r="E1445" s="631" t="s">
        <v>12714</v>
      </c>
      <c r="F1445" s="632">
        <v>3.7139150000000001</v>
      </c>
      <c r="G1445" s="631" t="s">
        <v>12715</v>
      </c>
      <c r="H1445" s="632">
        <v>3.16</v>
      </c>
      <c r="I1445" s="631" t="s">
        <v>12716</v>
      </c>
      <c r="J1445" s="632">
        <v>6.87</v>
      </c>
      <c r="K1445"/>
    </row>
    <row r="1446" spans="1:11" ht="15" customHeight="1" thickBot="1">
      <c r="A1446" s="631"/>
      <c r="B1446" s="631"/>
      <c r="C1446" s="631"/>
      <c r="D1446" s="631"/>
      <c r="E1446" s="631" t="s">
        <v>12717</v>
      </c>
      <c r="F1446" s="632">
        <v>4.62</v>
      </c>
      <c r="G1446" s="631"/>
      <c r="H1446" s="806" t="s">
        <v>12718</v>
      </c>
      <c r="I1446" s="806"/>
      <c r="J1446" s="632">
        <v>21</v>
      </c>
      <c r="K1446"/>
    </row>
    <row r="1447" spans="1:11" ht="15" customHeight="1" thickTop="1">
      <c r="A1447" s="633"/>
      <c r="B1447" s="633"/>
      <c r="C1447" s="633"/>
      <c r="D1447" s="633"/>
      <c r="E1447" s="633"/>
      <c r="F1447" s="633"/>
      <c r="G1447" s="633"/>
      <c r="H1447" s="633"/>
      <c r="I1447" s="633"/>
      <c r="J1447" s="633"/>
      <c r="K1447"/>
    </row>
    <row r="1448" spans="1:11" ht="0.95" customHeight="1">
      <c r="A1448" s="613" t="s">
        <v>12887</v>
      </c>
      <c r="B1448" s="614" t="s">
        <v>12698</v>
      </c>
      <c r="C1448" s="613" t="s">
        <v>12699</v>
      </c>
      <c r="D1448" s="613" t="s">
        <v>12700</v>
      </c>
      <c r="E1448" s="807" t="s">
        <v>12701</v>
      </c>
      <c r="F1448" s="808"/>
      <c r="G1448" s="615" t="s">
        <v>12702</v>
      </c>
      <c r="H1448" s="614" t="s">
        <v>12703</v>
      </c>
      <c r="I1448" s="614" t="s">
        <v>12704</v>
      </c>
      <c r="J1448" s="614" t="s">
        <v>12705</v>
      </c>
      <c r="K1448"/>
    </row>
    <row r="1449" spans="1:11" ht="18" customHeight="1">
      <c r="A1449" s="616" t="s">
        <v>12706</v>
      </c>
      <c r="B1449" s="617" t="s">
        <v>13407</v>
      </c>
      <c r="C1449" s="616" t="s">
        <v>8</v>
      </c>
      <c r="D1449" s="616" t="s">
        <v>591</v>
      </c>
      <c r="E1449" s="809" t="s">
        <v>12873</v>
      </c>
      <c r="F1449" s="810"/>
      <c r="G1449" s="618" t="s">
        <v>35</v>
      </c>
      <c r="H1449" s="619">
        <v>1</v>
      </c>
      <c r="I1449" s="620">
        <v>25.89</v>
      </c>
      <c r="J1449" s="620">
        <v>25.89</v>
      </c>
      <c r="K1449"/>
    </row>
    <row r="1450" spans="1:11" ht="36" customHeight="1">
      <c r="A1450" s="621" t="s">
        <v>12708</v>
      </c>
      <c r="B1450" s="622" t="s">
        <v>13041</v>
      </c>
      <c r="C1450" s="621" t="s">
        <v>8</v>
      </c>
      <c r="D1450" s="621" t="s">
        <v>584</v>
      </c>
      <c r="E1450" s="811" t="s">
        <v>12873</v>
      </c>
      <c r="F1450" s="812"/>
      <c r="G1450" s="623" t="s">
        <v>35</v>
      </c>
      <c r="H1450" s="624">
        <v>1</v>
      </c>
      <c r="I1450" s="625">
        <v>4.91</v>
      </c>
      <c r="J1450" s="625">
        <v>4.91</v>
      </c>
      <c r="K1450"/>
    </row>
    <row r="1451" spans="1:11" ht="36" customHeight="1">
      <c r="A1451" s="621" t="s">
        <v>12708</v>
      </c>
      <c r="B1451" s="622" t="s">
        <v>13163</v>
      </c>
      <c r="C1451" s="621" t="s">
        <v>8</v>
      </c>
      <c r="D1451" s="621" t="s">
        <v>2552</v>
      </c>
      <c r="E1451" s="811" t="s">
        <v>12873</v>
      </c>
      <c r="F1451" s="812"/>
      <c r="G1451" s="623" t="s">
        <v>35</v>
      </c>
      <c r="H1451" s="624">
        <v>1</v>
      </c>
      <c r="I1451" s="625">
        <v>20.98</v>
      </c>
      <c r="J1451" s="625">
        <v>20.98</v>
      </c>
      <c r="K1451"/>
    </row>
    <row r="1452" spans="1:11" ht="36" customHeight="1">
      <c r="A1452" s="631"/>
      <c r="B1452" s="631"/>
      <c r="C1452" s="631"/>
      <c r="D1452" s="631"/>
      <c r="E1452" s="631" t="s">
        <v>12714</v>
      </c>
      <c r="F1452" s="632">
        <v>5.7735970999999999</v>
      </c>
      <c r="G1452" s="631" t="s">
        <v>12715</v>
      </c>
      <c r="H1452" s="632">
        <v>4.91</v>
      </c>
      <c r="I1452" s="631" t="s">
        <v>12716</v>
      </c>
      <c r="J1452" s="632">
        <v>10.68</v>
      </c>
      <c r="K1452"/>
    </row>
    <row r="1453" spans="1:11" ht="15" customHeight="1" thickBot="1">
      <c r="A1453" s="631"/>
      <c r="B1453" s="631"/>
      <c r="C1453" s="631"/>
      <c r="D1453" s="631"/>
      <c r="E1453" s="631" t="s">
        <v>12717</v>
      </c>
      <c r="F1453" s="632">
        <v>7.31</v>
      </c>
      <c r="G1453" s="631"/>
      <c r="H1453" s="806" t="s">
        <v>12718</v>
      </c>
      <c r="I1453" s="806"/>
      <c r="J1453" s="632">
        <v>33.200000000000003</v>
      </c>
      <c r="K1453"/>
    </row>
    <row r="1454" spans="1:11" ht="15" customHeight="1" thickTop="1">
      <c r="A1454" s="633"/>
      <c r="B1454" s="633"/>
      <c r="C1454" s="633"/>
      <c r="D1454" s="633"/>
      <c r="E1454" s="633"/>
      <c r="F1454" s="633"/>
      <c r="G1454" s="633"/>
      <c r="H1454" s="633"/>
      <c r="I1454" s="633"/>
      <c r="J1454" s="633"/>
      <c r="K1454"/>
    </row>
    <row r="1455" spans="1:11" ht="0.95" customHeight="1">
      <c r="A1455" s="613" t="s">
        <v>12888</v>
      </c>
      <c r="B1455" s="614" t="s">
        <v>12698</v>
      </c>
      <c r="C1455" s="613" t="s">
        <v>12699</v>
      </c>
      <c r="D1455" s="613" t="s">
        <v>12700</v>
      </c>
      <c r="E1455" s="807" t="s">
        <v>12701</v>
      </c>
      <c r="F1455" s="808"/>
      <c r="G1455" s="615" t="s">
        <v>12702</v>
      </c>
      <c r="H1455" s="614" t="s">
        <v>12703</v>
      </c>
      <c r="I1455" s="614" t="s">
        <v>12704</v>
      </c>
      <c r="J1455" s="614" t="s">
        <v>12705</v>
      </c>
      <c r="K1455"/>
    </row>
    <row r="1456" spans="1:11" ht="18" customHeight="1">
      <c r="A1456" s="616" t="s">
        <v>12706</v>
      </c>
      <c r="B1456" s="617" t="s">
        <v>13406</v>
      </c>
      <c r="C1456" s="616" t="s">
        <v>8</v>
      </c>
      <c r="D1456" s="616" t="s">
        <v>594</v>
      </c>
      <c r="E1456" s="809" t="s">
        <v>12873</v>
      </c>
      <c r="F1456" s="810"/>
      <c r="G1456" s="618" t="s">
        <v>35</v>
      </c>
      <c r="H1456" s="619">
        <v>1</v>
      </c>
      <c r="I1456" s="620">
        <v>35.42</v>
      </c>
      <c r="J1456" s="620">
        <v>35.42</v>
      </c>
      <c r="K1456"/>
    </row>
    <row r="1457" spans="1:11" ht="24" customHeight="1">
      <c r="A1457" s="621" t="s">
        <v>12708</v>
      </c>
      <c r="B1457" s="622" t="s">
        <v>13041</v>
      </c>
      <c r="C1457" s="621" t="s">
        <v>8</v>
      </c>
      <c r="D1457" s="621" t="s">
        <v>584</v>
      </c>
      <c r="E1457" s="811" t="s">
        <v>12873</v>
      </c>
      <c r="F1457" s="812"/>
      <c r="G1457" s="623" t="s">
        <v>35</v>
      </c>
      <c r="H1457" s="624">
        <v>1</v>
      </c>
      <c r="I1457" s="625">
        <v>4.91</v>
      </c>
      <c r="J1457" s="625">
        <v>4.91</v>
      </c>
      <c r="K1457"/>
    </row>
    <row r="1458" spans="1:11" ht="24" customHeight="1">
      <c r="A1458" s="621" t="s">
        <v>12708</v>
      </c>
      <c r="B1458" s="622" t="s">
        <v>13162</v>
      </c>
      <c r="C1458" s="621" t="s">
        <v>8</v>
      </c>
      <c r="D1458" s="621" t="s">
        <v>2557</v>
      </c>
      <c r="E1458" s="811" t="s">
        <v>12873</v>
      </c>
      <c r="F1458" s="812"/>
      <c r="G1458" s="623" t="s">
        <v>35</v>
      </c>
      <c r="H1458" s="624">
        <v>1</v>
      </c>
      <c r="I1458" s="625">
        <v>30.51</v>
      </c>
      <c r="J1458" s="625">
        <v>30.51</v>
      </c>
      <c r="K1458"/>
    </row>
    <row r="1459" spans="1:11" ht="24" customHeight="1">
      <c r="A1459" s="631"/>
      <c r="B1459" s="631"/>
      <c r="C1459" s="631"/>
      <c r="D1459" s="631"/>
      <c r="E1459" s="631" t="s">
        <v>12714</v>
      </c>
      <c r="F1459" s="632">
        <v>7.8332793000000001</v>
      </c>
      <c r="G1459" s="631" t="s">
        <v>12715</v>
      </c>
      <c r="H1459" s="632">
        <v>6.66</v>
      </c>
      <c r="I1459" s="631" t="s">
        <v>12716</v>
      </c>
      <c r="J1459" s="632">
        <v>14.49</v>
      </c>
      <c r="K1459"/>
    </row>
    <row r="1460" spans="1:11" ht="24" customHeight="1" thickBot="1">
      <c r="A1460" s="631"/>
      <c r="B1460" s="631"/>
      <c r="C1460" s="631"/>
      <c r="D1460" s="631"/>
      <c r="E1460" s="631" t="s">
        <v>12717</v>
      </c>
      <c r="F1460" s="632">
        <v>10</v>
      </c>
      <c r="G1460" s="631"/>
      <c r="H1460" s="806" t="s">
        <v>12718</v>
      </c>
      <c r="I1460" s="806"/>
      <c r="J1460" s="632">
        <v>45.42</v>
      </c>
      <c r="K1460"/>
    </row>
    <row r="1461" spans="1:11" ht="36" customHeight="1" thickTop="1">
      <c r="A1461" s="633"/>
      <c r="B1461" s="633"/>
      <c r="C1461" s="633"/>
      <c r="D1461" s="633"/>
      <c r="E1461" s="633"/>
      <c r="F1461" s="633"/>
      <c r="G1461" s="633"/>
      <c r="H1461" s="633"/>
      <c r="I1461" s="633"/>
      <c r="J1461" s="633"/>
      <c r="K1461"/>
    </row>
    <row r="1462" spans="1:11" ht="15">
      <c r="A1462" s="613" t="s">
        <v>12889</v>
      </c>
      <c r="B1462" s="614" t="s">
        <v>12698</v>
      </c>
      <c r="C1462" s="613" t="s">
        <v>12699</v>
      </c>
      <c r="D1462" s="613" t="s">
        <v>12700</v>
      </c>
      <c r="E1462" s="807" t="s">
        <v>12701</v>
      </c>
      <c r="F1462" s="808"/>
      <c r="G1462" s="615" t="s">
        <v>12702</v>
      </c>
      <c r="H1462" s="614" t="s">
        <v>12703</v>
      </c>
      <c r="I1462" s="614" t="s">
        <v>12704</v>
      </c>
      <c r="J1462" s="614" t="s">
        <v>12705</v>
      </c>
      <c r="K1462"/>
    </row>
    <row r="1463" spans="1:11" ht="15" customHeight="1">
      <c r="A1463" s="616" t="s">
        <v>12706</v>
      </c>
      <c r="B1463" s="617" t="s">
        <v>13405</v>
      </c>
      <c r="C1463" s="616" t="s">
        <v>8</v>
      </c>
      <c r="D1463" s="616" t="s">
        <v>2564</v>
      </c>
      <c r="E1463" s="809" t="s">
        <v>12873</v>
      </c>
      <c r="F1463" s="810"/>
      <c r="G1463" s="618" t="s">
        <v>35</v>
      </c>
      <c r="H1463" s="619">
        <v>1</v>
      </c>
      <c r="I1463" s="620">
        <v>25.81</v>
      </c>
      <c r="J1463" s="620">
        <v>25.81</v>
      </c>
      <c r="K1463"/>
    </row>
    <row r="1464" spans="1:11" ht="0.95" customHeight="1">
      <c r="A1464" s="621" t="s">
        <v>12708</v>
      </c>
      <c r="B1464" s="622" t="s">
        <v>13041</v>
      </c>
      <c r="C1464" s="621" t="s">
        <v>8</v>
      </c>
      <c r="D1464" s="621" t="s">
        <v>584</v>
      </c>
      <c r="E1464" s="811" t="s">
        <v>12873</v>
      </c>
      <c r="F1464" s="812"/>
      <c r="G1464" s="623" t="s">
        <v>35</v>
      </c>
      <c r="H1464" s="624">
        <v>1</v>
      </c>
      <c r="I1464" s="625">
        <v>4.91</v>
      </c>
      <c r="J1464" s="625">
        <v>4.91</v>
      </c>
      <c r="K1464"/>
    </row>
    <row r="1465" spans="1:11" ht="18" customHeight="1">
      <c r="A1465" s="621" t="s">
        <v>12708</v>
      </c>
      <c r="B1465" s="622" t="s">
        <v>13029</v>
      </c>
      <c r="C1465" s="621" t="s">
        <v>8</v>
      </c>
      <c r="D1465" s="621" t="s">
        <v>56</v>
      </c>
      <c r="E1465" s="811" t="s">
        <v>12873</v>
      </c>
      <c r="F1465" s="812"/>
      <c r="G1465" s="623" t="s">
        <v>35</v>
      </c>
      <c r="H1465" s="624">
        <v>1</v>
      </c>
      <c r="I1465" s="625">
        <v>20.9</v>
      </c>
      <c r="J1465" s="625">
        <v>20.9</v>
      </c>
      <c r="K1465"/>
    </row>
    <row r="1466" spans="1:11" ht="24" customHeight="1">
      <c r="A1466" s="631"/>
      <c r="B1466" s="631"/>
      <c r="C1466" s="631"/>
      <c r="D1466" s="631"/>
      <c r="E1466" s="631" t="s">
        <v>12714</v>
      </c>
      <c r="F1466" s="632">
        <v>7.0980647000000001</v>
      </c>
      <c r="G1466" s="631" t="s">
        <v>12715</v>
      </c>
      <c r="H1466" s="632">
        <v>6.03</v>
      </c>
      <c r="I1466" s="631" t="s">
        <v>12716</v>
      </c>
      <c r="J1466" s="632">
        <v>13.13</v>
      </c>
      <c r="K1466"/>
    </row>
    <row r="1467" spans="1:11" ht="24" customHeight="1" thickBot="1">
      <c r="A1467" s="631"/>
      <c r="B1467" s="631"/>
      <c r="C1467" s="631"/>
      <c r="D1467" s="631"/>
      <c r="E1467" s="631" t="s">
        <v>12717</v>
      </c>
      <c r="F1467" s="632">
        <v>7.28</v>
      </c>
      <c r="G1467" s="631"/>
      <c r="H1467" s="806" t="s">
        <v>12718</v>
      </c>
      <c r="I1467" s="806"/>
      <c r="J1467" s="632">
        <v>33.090000000000003</v>
      </c>
      <c r="K1467"/>
    </row>
    <row r="1468" spans="1:11" ht="24" customHeight="1" thickTop="1">
      <c r="A1468" s="633"/>
      <c r="B1468" s="633"/>
      <c r="C1468" s="633"/>
      <c r="D1468" s="633"/>
      <c r="E1468" s="633"/>
      <c r="F1468" s="633"/>
      <c r="G1468" s="633"/>
      <c r="H1468" s="633"/>
      <c r="I1468" s="633"/>
      <c r="J1468" s="633"/>
      <c r="K1468"/>
    </row>
    <row r="1469" spans="1:11" ht="24" customHeight="1">
      <c r="A1469" s="613" t="s">
        <v>12890</v>
      </c>
      <c r="B1469" s="614" t="s">
        <v>12698</v>
      </c>
      <c r="C1469" s="613" t="s">
        <v>12699</v>
      </c>
      <c r="D1469" s="613" t="s">
        <v>12700</v>
      </c>
      <c r="E1469" s="807" t="s">
        <v>12701</v>
      </c>
      <c r="F1469" s="808"/>
      <c r="G1469" s="615" t="s">
        <v>12702</v>
      </c>
      <c r="H1469" s="614" t="s">
        <v>12703</v>
      </c>
      <c r="I1469" s="614" t="s">
        <v>12704</v>
      </c>
      <c r="J1469" s="614" t="s">
        <v>12705</v>
      </c>
      <c r="K1469"/>
    </row>
    <row r="1470" spans="1:11" ht="36" customHeight="1">
      <c r="A1470" s="616" t="s">
        <v>12706</v>
      </c>
      <c r="B1470" s="617" t="s">
        <v>13404</v>
      </c>
      <c r="C1470" s="616" t="s">
        <v>8</v>
      </c>
      <c r="D1470" s="616" t="s">
        <v>2566</v>
      </c>
      <c r="E1470" s="809" t="s">
        <v>12873</v>
      </c>
      <c r="F1470" s="810"/>
      <c r="G1470" s="618" t="s">
        <v>35</v>
      </c>
      <c r="H1470" s="619">
        <v>1</v>
      </c>
      <c r="I1470" s="620">
        <v>19.670000000000002</v>
      </c>
      <c r="J1470" s="620">
        <v>19.670000000000002</v>
      </c>
      <c r="K1470"/>
    </row>
    <row r="1471" spans="1:11" ht="38.25" customHeight="1">
      <c r="A1471" s="621" t="s">
        <v>12708</v>
      </c>
      <c r="B1471" s="622" t="s">
        <v>13041</v>
      </c>
      <c r="C1471" s="621" t="s">
        <v>8</v>
      </c>
      <c r="D1471" s="621" t="s">
        <v>584</v>
      </c>
      <c r="E1471" s="811" t="s">
        <v>12873</v>
      </c>
      <c r="F1471" s="812"/>
      <c r="G1471" s="623" t="s">
        <v>35</v>
      </c>
      <c r="H1471" s="624">
        <v>1</v>
      </c>
      <c r="I1471" s="625">
        <v>4.91</v>
      </c>
      <c r="J1471" s="625">
        <v>4.91</v>
      </c>
      <c r="K1471"/>
    </row>
    <row r="1472" spans="1:11" ht="15" customHeight="1">
      <c r="A1472" s="621" t="s">
        <v>12708</v>
      </c>
      <c r="B1472" s="622" t="s">
        <v>13024</v>
      </c>
      <c r="C1472" s="621" t="s">
        <v>8</v>
      </c>
      <c r="D1472" s="621" t="s">
        <v>600</v>
      </c>
      <c r="E1472" s="811" t="s">
        <v>12873</v>
      </c>
      <c r="F1472" s="812"/>
      <c r="G1472" s="623" t="s">
        <v>35</v>
      </c>
      <c r="H1472" s="624">
        <v>1</v>
      </c>
      <c r="I1472" s="625">
        <v>14.76</v>
      </c>
      <c r="J1472" s="625">
        <v>14.76</v>
      </c>
      <c r="K1472"/>
    </row>
    <row r="1473" spans="1:11" ht="0.95" customHeight="1">
      <c r="A1473" s="631"/>
      <c r="B1473" s="631"/>
      <c r="C1473" s="631"/>
      <c r="D1473" s="631"/>
      <c r="E1473" s="631" t="s">
        <v>12714</v>
      </c>
      <c r="F1473" s="632">
        <v>4.7464591</v>
      </c>
      <c r="G1473" s="631" t="s">
        <v>12715</v>
      </c>
      <c r="H1473" s="632">
        <v>4.03</v>
      </c>
      <c r="I1473" s="631" t="s">
        <v>12716</v>
      </c>
      <c r="J1473" s="632">
        <v>8.7799999999999994</v>
      </c>
      <c r="K1473"/>
    </row>
    <row r="1474" spans="1:11" ht="18" customHeight="1" thickBot="1">
      <c r="A1474" s="631"/>
      <c r="B1474" s="631"/>
      <c r="C1474" s="631"/>
      <c r="D1474" s="631"/>
      <c r="E1474" s="631" t="s">
        <v>12717</v>
      </c>
      <c r="F1474" s="632">
        <v>5.55</v>
      </c>
      <c r="G1474" s="631"/>
      <c r="H1474" s="806" t="s">
        <v>12718</v>
      </c>
      <c r="I1474" s="806"/>
      <c r="J1474" s="632">
        <v>25.22</v>
      </c>
      <c r="K1474"/>
    </row>
    <row r="1475" spans="1:11" ht="24" customHeight="1" thickTop="1">
      <c r="A1475" s="633"/>
      <c r="B1475" s="633"/>
      <c r="C1475" s="633"/>
      <c r="D1475" s="633"/>
      <c r="E1475" s="633"/>
      <c r="F1475" s="633"/>
      <c r="G1475" s="633"/>
      <c r="H1475" s="633"/>
      <c r="I1475" s="633"/>
      <c r="J1475" s="633"/>
      <c r="K1475"/>
    </row>
    <row r="1476" spans="1:11" ht="24" customHeight="1">
      <c r="A1476" s="613" t="s">
        <v>12891</v>
      </c>
      <c r="B1476" s="614" t="s">
        <v>12698</v>
      </c>
      <c r="C1476" s="613" t="s">
        <v>12699</v>
      </c>
      <c r="D1476" s="613" t="s">
        <v>12700</v>
      </c>
      <c r="E1476" s="807" t="s">
        <v>12701</v>
      </c>
      <c r="F1476" s="808"/>
      <c r="G1476" s="615" t="s">
        <v>12702</v>
      </c>
      <c r="H1476" s="614" t="s">
        <v>12703</v>
      </c>
      <c r="I1476" s="614" t="s">
        <v>12704</v>
      </c>
      <c r="J1476" s="614" t="s">
        <v>12705</v>
      </c>
      <c r="K1476"/>
    </row>
    <row r="1477" spans="1:11" ht="24" customHeight="1">
      <c r="A1477" s="616" t="s">
        <v>12706</v>
      </c>
      <c r="B1477" s="617" t="s">
        <v>13403</v>
      </c>
      <c r="C1477" s="616" t="s">
        <v>8</v>
      </c>
      <c r="D1477" s="616" t="s">
        <v>2565</v>
      </c>
      <c r="E1477" s="809" t="s">
        <v>12873</v>
      </c>
      <c r="F1477" s="810"/>
      <c r="G1477" s="618" t="s">
        <v>35</v>
      </c>
      <c r="H1477" s="619">
        <v>1</v>
      </c>
      <c r="I1477" s="620">
        <v>27.12</v>
      </c>
      <c r="J1477" s="620">
        <v>27.12</v>
      </c>
      <c r="K1477"/>
    </row>
    <row r="1478" spans="1:11" ht="24" customHeight="1">
      <c r="A1478" s="621" t="s">
        <v>12708</v>
      </c>
      <c r="B1478" s="622" t="s">
        <v>13041</v>
      </c>
      <c r="C1478" s="621" t="s">
        <v>8</v>
      </c>
      <c r="D1478" s="621" t="s">
        <v>584</v>
      </c>
      <c r="E1478" s="811" t="s">
        <v>12873</v>
      </c>
      <c r="F1478" s="812"/>
      <c r="G1478" s="623" t="s">
        <v>35</v>
      </c>
      <c r="H1478" s="624">
        <v>1</v>
      </c>
      <c r="I1478" s="625">
        <v>4.91</v>
      </c>
      <c r="J1478" s="625">
        <v>4.91</v>
      </c>
      <c r="K1478"/>
    </row>
    <row r="1479" spans="1:11" ht="36" customHeight="1">
      <c r="A1479" s="621" t="s">
        <v>12708</v>
      </c>
      <c r="B1479" s="622" t="s">
        <v>13028</v>
      </c>
      <c r="C1479" s="621" t="s">
        <v>8</v>
      </c>
      <c r="D1479" s="621" t="s">
        <v>599</v>
      </c>
      <c r="E1479" s="811" t="s">
        <v>12873</v>
      </c>
      <c r="F1479" s="812"/>
      <c r="G1479" s="623" t="s">
        <v>35</v>
      </c>
      <c r="H1479" s="624">
        <v>1</v>
      </c>
      <c r="I1479" s="625">
        <v>22.21</v>
      </c>
      <c r="J1479" s="625">
        <v>22.21</v>
      </c>
      <c r="K1479"/>
    </row>
    <row r="1480" spans="1:11" ht="25.5">
      <c r="A1480" s="631"/>
      <c r="B1480" s="631"/>
      <c r="C1480" s="631"/>
      <c r="D1480" s="631"/>
      <c r="E1480" s="631" t="s">
        <v>12714</v>
      </c>
      <c r="F1480" s="632">
        <v>7.0980647000000001</v>
      </c>
      <c r="G1480" s="631" t="s">
        <v>12715</v>
      </c>
      <c r="H1480" s="632">
        <v>6.03</v>
      </c>
      <c r="I1480" s="631" t="s">
        <v>12716</v>
      </c>
      <c r="J1480" s="632">
        <v>13.13</v>
      </c>
      <c r="K1480"/>
    </row>
    <row r="1481" spans="1:11" ht="15" customHeight="1" thickBot="1">
      <c r="A1481" s="631"/>
      <c r="B1481" s="631"/>
      <c r="C1481" s="631"/>
      <c r="D1481" s="631"/>
      <c r="E1481" s="631" t="s">
        <v>12717</v>
      </c>
      <c r="F1481" s="632">
        <v>7.65</v>
      </c>
      <c r="G1481" s="631"/>
      <c r="H1481" s="806" t="s">
        <v>12718</v>
      </c>
      <c r="I1481" s="806"/>
      <c r="J1481" s="632">
        <v>34.770000000000003</v>
      </c>
      <c r="K1481"/>
    </row>
    <row r="1482" spans="1:11" ht="0.95" customHeight="1" thickTop="1">
      <c r="A1482" s="633"/>
      <c r="B1482" s="633"/>
      <c r="C1482" s="633"/>
      <c r="D1482" s="633"/>
      <c r="E1482" s="633"/>
      <c r="F1482" s="633"/>
      <c r="G1482" s="633"/>
      <c r="H1482" s="633"/>
      <c r="I1482" s="633"/>
      <c r="J1482" s="633"/>
      <c r="K1482"/>
    </row>
    <row r="1483" spans="1:11" ht="18" customHeight="1">
      <c r="A1483" s="613" t="s">
        <v>12892</v>
      </c>
      <c r="B1483" s="614" t="s">
        <v>12698</v>
      </c>
      <c r="C1483" s="613" t="s">
        <v>12699</v>
      </c>
      <c r="D1483" s="613" t="s">
        <v>12700</v>
      </c>
      <c r="E1483" s="807" t="s">
        <v>12701</v>
      </c>
      <c r="F1483" s="808"/>
      <c r="G1483" s="615" t="s">
        <v>12702</v>
      </c>
      <c r="H1483" s="614" t="s">
        <v>12703</v>
      </c>
      <c r="I1483" s="614" t="s">
        <v>12704</v>
      </c>
      <c r="J1483" s="614" t="s">
        <v>12705</v>
      </c>
      <c r="K1483"/>
    </row>
    <row r="1484" spans="1:11" ht="24" customHeight="1">
      <c r="A1484" s="616" t="s">
        <v>12706</v>
      </c>
      <c r="B1484" s="617" t="s">
        <v>13402</v>
      </c>
      <c r="C1484" s="616" t="s">
        <v>8</v>
      </c>
      <c r="D1484" s="616" t="s">
        <v>2576</v>
      </c>
      <c r="E1484" s="809" t="s">
        <v>12873</v>
      </c>
      <c r="F1484" s="810"/>
      <c r="G1484" s="618" t="s">
        <v>35</v>
      </c>
      <c r="H1484" s="619">
        <v>1</v>
      </c>
      <c r="I1484" s="620">
        <v>27.66</v>
      </c>
      <c r="J1484" s="620">
        <v>27.66</v>
      </c>
      <c r="K1484"/>
    </row>
    <row r="1485" spans="1:11" ht="24" customHeight="1">
      <c r="A1485" s="621" t="s">
        <v>12708</v>
      </c>
      <c r="B1485" s="622" t="s">
        <v>13041</v>
      </c>
      <c r="C1485" s="621" t="s">
        <v>8</v>
      </c>
      <c r="D1485" s="621" t="s">
        <v>584</v>
      </c>
      <c r="E1485" s="811" t="s">
        <v>12873</v>
      </c>
      <c r="F1485" s="812"/>
      <c r="G1485" s="623" t="s">
        <v>35</v>
      </c>
      <c r="H1485" s="624">
        <v>1</v>
      </c>
      <c r="I1485" s="625">
        <v>4.91</v>
      </c>
      <c r="J1485" s="625">
        <v>4.91</v>
      </c>
      <c r="K1485"/>
    </row>
    <row r="1486" spans="1:11" ht="24" customHeight="1">
      <c r="A1486" s="621" t="s">
        <v>12708</v>
      </c>
      <c r="B1486" s="622" t="s">
        <v>13027</v>
      </c>
      <c r="C1486" s="621" t="s">
        <v>8</v>
      </c>
      <c r="D1486" s="621" t="s">
        <v>2574</v>
      </c>
      <c r="E1486" s="811" t="s">
        <v>12873</v>
      </c>
      <c r="F1486" s="812"/>
      <c r="G1486" s="623" t="s">
        <v>35</v>
      </c>
      <c r="H1486" s="624">
        <v>1</v>
      </c>
      <c r="I1486" s="625">
        <v>22.75</v>
      </c>
      <c r="J1486" s="625">
        <v>22.75</v>
      </c>
      <c r="K1486"/>
    </row>
    <row r="1487" spans="1:11" ht="24" customHeight="1">
      <c r="A1487" s="631"/>
      <c r="B1487" s="631"/>
      <c r="C1487" s="631"/>
      <c r="D1487" s="631"/>
      <c r="E1487" s="631" t="s">
        <v>12714</v>
      </c>
      <c r="F1487" s="632">
        <v>6.0114606999999998</v>
      </c>
      <c r="G1487" s="631" t="s">
        <v>12715</v>
      </c>
      <c r="H1487" s="632">
        <v>5.1100000000000003</v>
      </c>
      <c r="I1487" s="631" t="s">
        <v>12716</v>
      </c>
      <c r="J1487" s="632">
        <v>11.12</v>
      </c>
      <c r="K1487"/>
    </row>
    <row r="1488" spans="1:11" ht="36" customHeight="1" thickBot="1">
      <c r="A1488" s="631"/>
      <c r="B1488" s="631"/>
      <c r="C1488" s="631"/>
      <c r="D1488" s="631"/>
      <c r="E1488" s="631" t="s">
        <v>12717</v>
      </c>
      <c r="F1488" s="632">
        <v>7.81</v>
      </c>
      <c r="G1488" s="631"/>
      <c r="H1488" s="806" t="s">
        <v>12718</v>
      </c>
      <c r="I1488" s="806"/>
      <c r="J1488" s="632">
        <v>35.47</v>
      </c>
      <c r="K1488"/>
    </row>
    <row r="1489" spans="1:11" ht="15" thickTop="1">
      <c r="A1489" s="633"/>
      <c r="B1489" s="633"/>
      <c r="C1489" s="633"/>
      <c r="D1489" s="633"/>
      <c r="E1489" s="633"/>
      <c r="F1489" s="633"/>
      <c r="G1489" s="633"/>
      <c r="H1489" s="633"/>
      <c r="I1489" s="633"/>
      <c r="J1489" s="633"/>
      <c r="K1489"/>
    </row>
    <row r="1490" spans="1:11" ht="15" customHeight="1">
      <c r="A1490" s="613" t="s">
        <v>12893</v>
      </c>
      <c r="B1490" s="614" t="s">
        <v>12698</v>
      </c>
      <c r="C1490" s="613" t="s">
        <v>12699</v>
      </c>
      <c r="D1490" s="613" t="s">
        <v>12700</v>
      </c>
      <c r="E1490" s="807" t="s">
        <v>12701</v>
      </c>
      <c r="F1490" s="808"/>
      <c r="G1490" s="615" t="s">
        <v>12702</v>
      </c>
      <c r="H1490" s="614" t="s">
        <v>12703</v>
      </c>
      <c r="I1490" s="614" t="s">
        <v>12704</v>
      </c>
      <c r="J1490" s="614" t="s">
        <v>12705</v>
      </c>
      <c r="K1490"/>
    </row>
    <row r="1491" spans="1:11" ht="0.95" customHeight="1">
      <c r="A1491" s="616" t="s">
        <v>12706</v>
      </c>
      <c r="B1491" s="617" t="s">
        <v>13401</v>
      </c>
      <c r="C1491" s="616" t="s">
        <v>8</v>
      </c>
      <c r="D1491" s="616" t="s">
        <v>2577</v>
      </c>
      <c r="E1491" s="809" t="s">
        <v>12873</v>
      </c>
      <c r="F1491" s="810"/>
      <c r="G1491" s="618" t="s">
        <v>35</v>
      </c>
      <c r="H1491" s="619">
        <v>1</v>
      </c>
      <c r="I1491" s="620">
        <v>30.28</v>
      </c>
      <c r="J1491" s="620">
        <v>30.28</v>
      </c>
      <c r="K1491"/>
    </row>
    <row r="1492" spans="1:11" ht="18" customHeight="1">
      <c r="A1492" s="621" t="s">
        <v>12708</v>
      </c>
      <c r="B1492" s="622" t="s">
        <v>13041</v>
      </c>
      <c r="C1492" s="621" t="s">
        <v>8</v>
      </c>
      <c r="D1492" s="621" t="s">
        <v>584</v>
      </c>
      <c r="E1492" s="811" t="s">
        <v>12873</v>
      </c>
      <c r="F1492" s="812"/>
      <c r="G1492" s="623" t="s">
        <v>35</v>
      </c>
      <c r="H1492" s="624">
        <v>1</v>
      </c>
      <c r="I1492" s="625">
        <v>4.91</v>
      </c>
      <c r="J1492" s="625">
        <v>4.91</v>
      </c>
      <c r="K1492"/>
    </row>
    <row r="1493" spans="1:11" ht="24" customHeight="1">
      <c r="A1493" s="621" t="s">
        <v>12708</v>
      </c>
      <c r="B1493" s="622" t="s">
        <v>13026</v>
      </c>
      <c r="C1493" s="621" t="s">
        <v>8</v>
      </c>
      <c r="D1493" s="621" t="s">
        <v>2575</v>
      </c>
      <c r="E1493" s="811" t="s">
        <v>12873</v>
      </c>
      <c r="F1493" s="812"/>
      <c r="G1493" s="623" t="s">
        <v>35</v>
      </c>
      <c r="H1493" s="624">
        <v>1</v>
      </c>
      <c r="I1493" s="625">
        <v>25.37</v>
      </c>
      <c r="J1493" s="625">
        <v>25.37</v>
      </c>
      <c r="K1493"/>
    </row>
    <row r="1494" spans="1:11" ht="24" customHeight="1">
      <c r="A1494" s="631"/>
      <c r="B1494" s="631"/>
      <c r="C1494" s="631"/>
      <c r="D1494" s="631"/>
      <c r="E1494" s="631" t="s">
        <v>12714</v>
      </c>
      <c r="F1494" s="632">
        <v>6.0114606999999998</v>
      </c>
      <c r="G1494" s="631" t="s">
        <v>12715</v>
      </c>
      <c r="H1494" s="632">
        <v>5.1100000000000003</v>
      </c>
      <c r="I1494" s="631" t="s">
        <v>12716</v>
      </c>
      <c r="J1494" s="632">
        <v>11.12</v>
      </c>
      <c r="K1494"/>
    </row>
    <row r="1495" spans="1:11" ht="24" customHeight="1" thickBot="1">
      <c r="A1495" s="631"/>
      <c r="B1495" s="631"/>
      <c r="C1495" s="631"/>
      <c r="D1495" s="631"/>
      <c r="E1495" s="631" t="s">
        <v>12717</v>
      </c>
      <c r="F1495" s="632">
        <v>8.5500000000000007</v>
      </c>
      <c r="G1495" s="631"/>
      <c r="H1495" s="806" t="s">
        <v>12718</v>
      </c>
      <c r="I1495" s="806"/>
      <c r="J1495" s="632">
        <v>38.83</v>
      </c>
      <c r="K1495"/>
    </row>
    <row r="1496" spans="1:11" ht="24" customHeight="1" thickTop="1">
      <c r="A1496" s="633"/>
      <c r="B1496" s="633"/>
      <c r="C1496" s="633"/>
      <c r="D1496" s="633"/>
      <c r="E1496" s="633"/>
      <c r="F1496" s="633"/>
      <c r="G1496" s="633"/>
      <c r="H1496" s="633"/>
      <c r="I1496" s="633"/>
      <c r="J1496" s="633"/>
      <c r="K1496"/>
    </row>
    <row r="1497" spans="1:11" ht="36" customHeight="1">
      <c r="A1497" s="613" t="s">
        <v>12894</v>
      </c>
      <c r="B1497" s="614" t="s">
        <v>12698</v>
      </c>
      <c r="C1497" s="613" t="s">
        <v>12699</v>
      </c>
      <c r="D1497" s="613" t="s">
        <v>12700</v>
      </c>
      <c r="E1497" s="807" t="s">
        <v>12701</v>
      </c>
      <c r="F1497" s="808"/>
      <c r="G1497" s="615" t="s">
        <v>12702</v>
      </c>
      <c r="H1497" s="614" t="s">
        <v>12703</v>
      </c>
      <c r="I1497" s="614" t="s">
        <v>12704</v>
      </c>
      <c r="J1497" s="614" t="s">
        <v>12705</v>
      </c>
      <c r="K1497"/>
    </row>
    <row r="1498" spans="1:11" ht="25.5" customHeight="1">
      <c r="A1498" s="616" t="s">
        <v>12706</v>
      </c>
      <c r="B1498" s="617" t="s">
        <v>13400</v>
      </c>
      <c r="C1498" s="616" t="s">
        <v>8</v>
      </c>
      <c r="D1498" s="616" t="s">
        <v>690</v>
      </c>
      <c r="E1498" s="809" t="s">
        <v>12873</v>
      </c>
      <c r="F1498" s="810"/>
      <c r="G1498" s="618" t="s">
        <v>35</v>
      </c>
      <c r="H1498" s="619">
        <v>1</v>
      </c>
      <c r="I1498" s="620">
        <v>10.16</v>
      </c>
      <c r="J1498" s="620">
        <v>10.16</v>
      </c>
      <c r="K1498"/>
    </row>
    <row r="1499" spans="1:11" ht="15" customHeight="1">
      <c r="A1499" s="621" t="s">
        <v>12708</v>
      </c>
      <c r="B1499" s="622" t="s">
        <v>13023</v>
      </c>
      <c r="C1499" s="621" t="s">
        <v>8</v>
      </c>
      <c r="D1499" s="621" t="s">
        <v>54</v>
      </c>
      <c r="E1499" s="811" t="s">
        <v>12707</v>
      </c>
      <c r="F1499" s="812"/>
      <c r="G1499" s="623" t="s">
        <v>23</v>
      </c>
      <c r="H1499" s="624">
        <v>3.5000000000000003E-2</v>
      </c>
      <c r="I1499" s="625">
        <v>14.33</v>
      </c>
      <c r="J1499" s="625">
        <v>0.5</v>
      </c>
      <c r="K1499"/>
    </row>
    <row r="1500" spans="1:11" ht="0.95" customHeight="1">
      <c r="A1500" s="621" t="s">
        <v>12708</v>
      </c>
      <c r="B1500" s="622" t="s">
        <v>13022</v>
      </c>
      <c r="C1500" s="621" t="s">
        <v>8</v>
      </c>
      <c r="D1500" s="621" t="s">
        <v>52</v>
      </c>
      <c r="E1500" s="811" t="s">
        <v>12707</v>
      </c>
      <c r="F1500" s="812"/>
      <c r="G1500" s="623" t="s">
        <v>23</v>
      </c>
      <c r="H1500" s="624">
        <v>3.5000000000000003E-2</v>
      </c>
      <c r="I1500" s="625">
        <v>18.38</v>
      </c>
      <c r="J1500" s="625">
        <v>0.64</v>
      </c>
      <c r="K1500"/>
    </row>
    <row r="1501" spans="1:11" ht="18" customHeight="1">
      <c r="A1501" s="626" t="s">
        <v>12709</v>
      </c>
      <c r="B1501" s="627" t="s">
        <v>13396</v>
      </c>
      <c r="C1501" s="626" t="s">
        <v>8</v>
      </c>
      <c r="D1501" s="626" t="s">
        <v>9008</v>
      </c>
      <c r="E1501" s="804" t="s">
        <v>12720</v>
      </c>
      <c r="F1501" s="805"/>
      <c r="G1501" s="628" t="s">
        <v>35</v>
      </c>
      <c r="H1501" s="629">
        <v>1</v>
      </c>
      <c r="I1501" s="630">
        <v>8.33</v>
      </c>
      <c r="J1501" s="630">
        <v>8.33</v>
      </c>
      <c r="K1501"/>
    </row>
    <row r="1502" spans="1:11" ht="24" customHeight="1">
      <c r="A1502" s="626" t="s">
        <v>12709</v>
      </c>
      <c r="B1502" s="627" t="s">
        <v>13398</v>
      </c>
      <c r="C1502" s="626" t="s">
        <v>8</v>
      </c>
      <c r="D1502" s="626" t="s">
        <v>11734</v>
      </c>
      <c r="E1502" s="804" t="s">
        <v>12720</v>
      </c>
      <c r="F1502" s="805"/>
      <c r="G1502" s="628" t="s">
        <v>35</v>
      </c>
      <c r="H1502" s="629">
        <v>1</v>
      </c>
      <c r="I1502" s="630">
        <v>0.69</v>
      </c>
      <c r="J1502" s="630">
        <v>0.69</v>
      </c>
      <c r="K1502"/>
    </row>
    <row r="1503" spans="1:11" ht="24" customHeight="1">
      <c r="A1503" s="631"/>
      <c r="B1503" s="631"/>
      <c r="C1503" s="631"/>
      <c r="D1503" s="631"/>
      <c r="E1503" s="631" t="s">
        <v>12714</v>
      </c>
      <c r="F1503" s="632">
        <v>0.43247918693912857</v>
      </c>
      <c r="G1503" s="631" t="s">
        <v>12715</v>
      </c>
      <c r="H1503" s="632">
        <v>0.37</v>
      </c>
      <c r="I1503" s="631" t="s">
        <v>12716</v>
      </c>
      <c r="J1503" s="632">
        <v>0.8</v>
      </c>
      <c r="K1503"/>
    </row>
    <row r="1504" spans="1:11" ht="24" customHeight="1" thickBot="1">
      <c r="A1504" s="631"/>
      <c r="B1504" s="631"/>
      <c r="C1504" s="631"/>
      <c r="D1504" s="631"/>
      <c r="E1504" s="631" t="s">
        <v>12717</v>
      </c>
      <c r="F1504" s="632">
        <v>2.86</v>
      </c>
      <c r="G1504" s="631"/>
      <c r="H1504" s="806" t="s">
        <v>12718</v>
      </c>
      <c r="I1504" s="806"/>
      <c r="J1504" s="632">
        <v>13.02</v>
      </c>
      <c r="K1504"/>
    </row>
    <row r="1505" spans="1:11" ht="24" customHeight="1" thickTop="1">
      <c r="A1505" s="633"/>
      <c r="B1505" s="633"/>
      <c r="C1505" s="633"/>
      <c r="D1505" s="633"/>
      <c r="E1505" s="633"/>
      <c r="F1505" s="633"/>
      <c r="G1505" s="633"/>
      <c r="H1505" s="633"/>
      <c r="I1505" s="633"/>
      <c r="J1505" s="633"/>
      <c r="K1505"/>
    </row>
    <row r="1506" spans="1:11" ht="36" customHeight="1">
      <c r="A1506" s="613" t="s">
        <v>12895</v>
      </c>
      <c r="B1506" s="614" t="s">
        <v>12698</v>
      </c>
      <c r="C1506" s="613" t="s">
        <v>12699</v>
      </c>
      <c r="D1506" s="613" t="s">
        <v>12700</v>
      </c>
      <c r="E1506" s="807" t="s">
        <v>12701</v>
      </c>
      <c r="F1506" s="808"/>
      <c r="G1506" s="615" t="s">
        <v>12702</v>
      </c>
      <c r="H1506" s="614" t="s">
        <v>12703</v>
      </c>
      <c r="I1506" s="614" t="s">
        <v>12704</v>
      </c>
      <c r="J1506" s="614" t="s">
        <v>12705</v>
      </c>
      <c r="K1506"/>
    </row>
    <row r="1507" spans="1:11" ht="25.5" customHeight="1">
      <c r="A1507" s="616" t="s">
        <v>12706</v>
      </c>
      <c r="B1507" s="617" t="s">
        <v>13399</v>
      </c>
      <c r="C1507" s="616" t="s">
        <v>8</v>
      </c>
      <c r="D1507" s="616" t="s">
        <v>691</v>
      </c>
      <c r="E1507" s="809" t="s">
        <v>12873</v>
      </c>
      <c r="F1507" s="810"/>
      <c r="G1507" s="618" t="s">
        <v>35</v>
      </c>
      <c r="H1507" s="619">
        <v>1</v>
      </c>
      <c r="I1507" s="620">
        <v>10.58</v>
      </c>
      <c r="J1507" s="620">
        <v>10.58</v>
      </c>
      <c r="K1507"/>
    </row>
    <row r="1508" spans="1:11" ht="15" customHeight="1">
      <c r="A1508" s="621" t="s">
        <v>12708</v>
      </c>
      <c r="B1508" s="622" t="s">
        <v>13023</v>
      </c>
      <c r="C1508" s="621" t="s">
        <v>8</v>
      </c>
      <c r="D1508" s="621" t="s">
        <v>54</v>
      </c>
      <c r="E1508" s="811" t="s">
        <v>12707</v>
      </c>
      <c r="F1508" s="812"/>
      <c r="G1508" s="623" t="s">
        <v>23</v>
      </c>
      <c r="H1508" s="624">
        <v>4.8000000000000001E-2</v>
      </c>
      <c r="I1508" s="625">
        <v>14.33</v>
      </c>
      <c r="J1508" s="625">
        <v>0.68</v>
      </c>
      <c r="K1508"/>
    </row>
    <row r="1509" spans="1:11" ht="0.95" customHeight="1">
      <c r="A1509" s="621" t="s">
        <v>12708</v>
      </c>
      <c r="B1509" s="622" t="s">
        <v>13022</v>
      </c>
      <c r="C1509" s="621" t="s">
        <v>8</v>
      </c>
      <c r="D1509" s="621" t="s">
        <v>52</v>
      </c>
      <c r="E1509" s="811" t="s">
        <v>12707</v>
      </c>
      <c r="F1509" s="812"/>
      <c r="G1509" s="623" t="s">
        <v>23</v>
      </c>
      <c r="H1509" s="624">
        <v>4.8000000000000001E-2</v>
      </c>
      <c r="I1509" s="625">
        <v>18.38</v>
      </c>
      <c r="J1509" s="625">
        <v>0.88</v>
      </c>
      <c r="K1509"/>
    </row>
    <row r="1510" spans="1:11" ht="18" customHeight="1">
      <c r="A1510" s="626" t="s">
        <v>12709</v>
      </c>
      <c r="B1510" s="627" t="s">
        <v>13396</v>
      </c>
      <c r="C1510" s="626" t="s">
        <v>8</v>
      </c>
      <c r="D1510" s="626" t="s">
        <v>9008</v>
      </c>
      <c r="E1510" s="804" t="s">
        <v>12720</v>
      </c>
      <c r="F1510" s="805"/>
      <c r="G1510" s="628" t="s">
        <v>35</v>
      </c>
      <c r="H1510" s="629">
        <v>1</v>
      </c>
      <c r="I1510" s="630">
        <v>8.33</v>
      </c>
      <c r="J1510" s="630">
        <v>8.33</v>
      </c>
      <c r="K1510"/>
    </row>
    <row r="1511" spans="1:11" ht="24" customHeight="1">
      <c r="A1511" s="626" t="s">
        <v>12709</v>
      </c>
      <c r="B1511" s="627" t="s">
        <v>13398</v>
      </c>
      <c r="C1511" s="626" t="s">
        <v>8</v>
      </c>
      <c r="D1511" s="626" t="s">
        <v>11734</v>
      </c>
      <c r="E1511" s="804" t="s">
        <v>12720</v>
      </c>
      <c r="F1511" s="805"/>
      <c r="G1511" s="628" t="s">
        <v>35</v>
      </c>
      <c r="H1511" s="629">
        <v>1</v>
      </c>
      <c r="I1511" s="630">
        <v>0.69</v>
      </c>
      <c r="J1511" s="630">
        <v>0.69</v>
      </c>
      <c r="K1511"/>
    </row>
    <row r="1512" spans="1:11" ht="24" customHeight="1">
      <c r="A1512" s="631"/>
      <c r="B1512" s="631"/>
      <c r="C1512" s="631"/>
      <c r="D1512" s="631"/>
      <c r="E1512" s="631" t="s">
        <v>12714</v>
      </c>
      <c r="F1512" s="632">
        <v>0.5946588820413018</v>
      </c>
      <c r="G1512" s="631" t="s">
        <v>12715</v>
      </c>
      <c r="H1512" s="632">
        <v>0.51</v>
      </c>
      <c r="I1512" s="631" t="s">
        <v>12716</v>
      </c>
      <c r="J1512" s="632">
        <v>1.1000000000000001</v>
      </c>
      <c r="K1512"/>
    </row>
    <row r="1513" spans="1:11" ht="24" customHeight="1" thickBot="1">
      <c r="A1513" s="631"/>
      <c r="B1513" s="631"/>
      <c r="C1513" s="631"/>
      <c r="D1513" s="631"/>
      <c r="E1513" s="631" t="s">
        <v>12717</v>
      </c>
      <c r="F1513" s="632">
        <v>2.98</v>
      </c>
      <c r="G1513" s="631"/>
      <c r="H1513" s="806" t="s">
        <v>12718</v>
      </c>
      <c r="I1513" s="806"/>
      <c r="J1513" s="632">
        <v>13.56</v>
      </c>
      <c r="K1513"/>
    </row>
    <row r="1514" spans="1:11" ht="24" customHeight="1" thickTop="1">
      <c r="A1514" s="633"/>
      <c r="B1514" s="633"/>
      <c r="C1514" s="633"/>
      <c r="D1514" s="633"/>
      <c r="E1514" s="633"/>
      <c r="F1514" s="633"/>
      <c r="G1514" s="633"/>
      <c r="H1514" s="633"/>
      <c r="I1514" s="633"/>
      <c r="J1514" s="633"/>
      <c r="K1514"/>
    </row>
    <row r="1515" spans="1:11" ht="36" customHeight="1">
      <c r="A1515" s="613" t="s">
        <v>12896</v>
      </c>
      <c r="B1515" s="614" t="s">
        <v>12698</v>
      </c>
      <c r="C1515" s="613" t="s">
        <v>12699</v>
      </c>
      <c r="D1515" s="613" t="s">
        <v>12700</v>
      </c>
      <c r="E1515" s="807" t="s">
        <v>12701</v>
      </c>
      <c r="F1515" s="808"/>
      <c r="G1515" s="615" t="s">
        <v>12702</v>
      </c>
      <c r="H1515" s="614" t="s">
        <v>12703</v>
      </c>
      <c r="I1515" s="614" t="s">
        <v>12704</v>
      </c>
      <c r="J1515" s="614" t="s">
        <v>12705</v>
      </c>
      <c r="K1515"/>
    </row>
    <row r="1516" spans="1:11" ht="25.5" customHeight="1">
      <c r="A1516" s="616" t="s">
        <v>12706</v>
      </c>
      <c r="B1516" s="617" t="s">
        <v>13397</v>
      </c>
      <c r="C1516" s="616" t="s">
        <v>8</v>
      </c>
      <c r="D1516" s="616" t="s">
        <v>694</v>
      </c>
      <c r="E1516" s="809" t="s">
        <v>12873</v>
      </c>
      <c r="F1516" s="810"/>
      <c r="G1516" s="618" t="s">
        <v>35</v>
      </c>
      <c r="H1516" s="619">
        <v>1</v>
      </c>
      <c r="I1516" s="620">
        <v>12.38</v>
      </c>
      <c r="J1516" s="620">
        <v>12.38</v>
      </c>
      <c r="K1516"/>
    </row>
    <row r="1517" spans="1:11" ht="15" customHeight="1">
      <c r="A1517" s="621" t="s">
        <v>12708</v>
      </c>
      <c r="B1517" s="622" t="s">
        <v>13023</v>
      </c>
      <c r="C1517" s="621" t="s">
        <v>8</v>
      </c>
      <c r="D1517" s="621" t="s">
        <v>54</v>
      </c>
      <c r="E1517" s="811" t="s">
        <v>12707</v>
      </c>
      <c r="F1517" s="812"/>
      <c r="G1517" s="623" t="s">
        <v>23</v>
      </c>
      <c r="H1517" s="624">
        <v>9.0999999999999998E-2</v>
      </c>
      <c r="I1517" s="625">
        <v>14.33</v>
      </c>
      <c r="J1517" s="625">
        <v>1.3</v>
      </c>
      <c r="K1517"/>
    </row>
    <row r="1518" spans="1:11" ht="0.95" customHeight="1">
      <c r="A1518" s="621" t="s">
        <v>12708</v>
      </c>
      <c r="B1518" s="622" t="s">
        <v>13022</v>
      </c>
      <c r="C1518" s="621" t="s">
        <v>8</v>
      </c>
      <c r="D1518" s="621" t="s">
        <v>52</v>
      </c>
      <c r="E1518" s="811" t="s">
        <v>12707</v>
      </c>
      <c r="F1518" s="812"/>
      <c r="G1518" s="623" t="s">
        <v>23</v>
      </c>
      <c r="H1518" s="624">
        <v>9.0999999999999998E-2</v>
      </c>
      <c r="I1518" s="625">
        <v>18.38</v>
      </c>
      <c r="J1518" s="625">
        <v>1.67</v>
      </c>
      <c r="K1518"/>
    </row>
    <row r="1519" spans="1:11" ht="18" customHeight="1">
      <c r="A1519" s="626" t="s">
        <v>12709</v>
      </c>
      <c r="B1519" s="627" t="s">
        <v>13396</v>
      </c>
      <c r="C1519" s="626" t="s">
        <v>8</v>
      </c>
      <c r="D1519" s="626" t="s">
        <v>9008</v>
      </c>
      <c r="E1519" s="804" t="s">
        <v>12720</v>
      </c>
      <c r="F1519" s="805"/>
      <c r="G1519" s="628" t="s">
        <v>35</v>
      </c>
      <c r="H1519" s="629">
        <v>1</v>
      </c>
      <c r="I1519" s="630">
        <v>8.33</v>
      </c>
      <c r="J1519" s="630">
        <v>8.33</v>
      </c>
      <c r="K1519"/>
    </row>
    <row r="1520" spans="1:11" ht="36" customHeight="1">
      <c r="A1520" s="626" t="s">
        <v>12709</v>
      </c>
      <c r="B1520" s="627" t="s">
        <v>13394</v>
      </c>
      <c r="C1520" s="626" t="s">
        <v>8</v>
      </c>
      <c r="D1520" s="626" t="s">
        <v>11739</v>
      </c>
      <c r="E1520" s="804" t="s">
        <v>12720</v>
      </c>
      <c r="F1520" s="805"/>
      <c r="G1520" s="628" t="s">
        <v>35</v>
      </c>
      <c r="H1520" s="629">
        <v>1</v>
      </c>
      <c r="I1520" s="630">
        <v>1.08</v>
      </c>
      <c r="J1520" s="630">
        <v>1.08</v>
      </c>
      <c r="K1520"/>
    </row>
    <row r="1521" spans="1:11" ht="60" customHeight="1">
      <c r="A1521" s="631"/>
      <c r="B1521" s="631"/>
      <c r="C1521" s="631"/>
      <c r="D1521" s="631"/>
      <c r="E1521" s="631" t="s">
        <v>12714</v>
      </c>
      <c r="F1521" s="632">
        <v>1.1298518758784732</v>
      </c>
      <c r="G1521" s="631" t="s">
        <v>12715</v>
      </c>
      <c r="H1521" s="632">
        <v>0.96</v>
      </c>
      <c r="I1521" s="631" t="s">
        <v>12716</v>
      </c>
      <c r="J1521" s="632">
        <v>2.09</v>
      </c>
      <c r="K1521"/>
    </row>
    <row r="1522" spans="1:11" ht="24" customHeight="1" thickBot="1">
      <c r="A1522" s="631"/>
      <c r="B1522" s="631"/>
      <c r="C1522" s="631"/>
      <c r="D1522" s="631"/>
      <c r="E1522" s="631" t="s">
        <v>12717</v>
      </c>
      <c r="F1522" s="632">
        <v>3.49</v>
      </c>
      <c r="G1522" s="631"/>
      <c r="H1522" s="806" t="s">
        <v>12718</v>
      </c>
      <c r="I1522" s="806"/>
      <c r="J1522" s="632">
        <v>15.87</v>
      </c>
      <c r="K1522"/>
    </row>
    <row r="1523" spans="1:11" ht="24" customHeight="1" thickTop="1">
      <c r="A1523" s="633"/>
      <c r="B1523" s="633"/>
      <c r="C1523" s="633"/>
      <c r="D1523" s="633"/>
      <c r="E1523" s="633"/>
      <c r="F1523" s="633"/>
      <c r="G1523" s="633"/>
      <c r="H1523" s="633"/>
      <c r="I1523" s="633"/>
      <c r="J1523" s="633"/>
      <c r="K1523"/>
    </row>
    <row r="1524" spans="1:11" ht="24" customHeight="1">
      <c r="A1524" s="613" t="s">
        <v>12897</v>
      </c>
      <c r="B1524" s="614" t="s">
        <v>12698</v>
      </c>
      <c r="C1524" s="613" t="s">
        <v>12699</v>
      </c>
      <c r="D1524" s="613" t="s">
        <v>12700</v>
      </c>
      <c r="E1524" s="807" t="s">
        <v>12701</v>
      </c>
      <c r="F1524" s="808"/>
      <c r="G1524" s="615" t="s">
        <v>12702</v>
      </c>
      <c r="H1524" s="614" t="s">
        <v>12703</v>
      </c>
      <c r="I1524" s="614" t="s">
        <v>12704</v>
      </c>
      <c r="J1524" s="614" t="s">
        <v>12705</v>
      </c>
      <c r="K1524"/>
    </row>
    <row r="1525" spans="1:11" ht="25.5" customHeight="1">
      <c r="A1525" s="616" t="s">
        <v>12706</v>
      </c>
      <c r="B1525" s="617" t="s">
        <v>13395</v>
      </c>
      <c r="C1525" s="616" t="s">
        <v>8</v>
      </c>
      <c r="D1525" s="616" t="s">
        <v>3272</v>
      </c>
      <c r="E1525" s="809" t="s">
        <v>12873</v>
      </c>
      <c r="F1525" s="810"/>
      <c r="G1525" s="618" t="s">
        <v>35</v>
      </c>
      <c r="H1525" s="619">
        <v>1</v>
      </c>
      <c r="I1525" s="620">
        <v>55.85</v>
      </c>
      <c r="J1525" s="620">
        <v>55.85</v>
      </c>
      <c r="K1525"/>
    </row>
    <row r="1526" spans="1:11" ht="15" customHeight="1">
      <c r="A1526" s="621" t="s">
        <v>12708</v>
      </c>
      <c r="B1526" s="622" t="s">
        <v>13023</v>
      </c>
      <c r="C1526" s="621" t="s">
        <v>8</v>
      </c>
      <c r="D1526" s="621" t="s">
        <v>54</v>
      </c>
      <c r="E1526" s="811" t="s">
        <v>12707</v>
      </c>
      <c r="F1526" s="812"/>
      <c r="G1526" s="623" t="s">
        <v>23</v>
      </c>
      <c r="H1526" s="624">
        <v>0.182</v>
      </c>
      <c r="I1526" s="625">
        <v>14.33</v>
      </c>
      <c r="J1526" s="625">
        <v>2.6</v>
      </c>
      <c r="K1526"/>
    </row>
    <row r="1527" spans="1:11" ht="0.95" customHeight="1">
      <c r="A1527" s="621" t="s">
        <v>12708</v>
      </c>
      <c r="B1527" s="622" t="s">
        <v>13022</v>
      </c>
      <c r="C1527" s="621" t="s">
        <v>8</v>
      </c>
      <c r="D1527" s="621" t="s">
        <v>52</v>
      </c>
      <c r="E1527" s="811" t="s">
        <v>12707</v>
      </c>
      <c r="F1527" s="812"/>
      <c r="G1527" s="623" t="s">
        <v>23</v>
      </c>
      <c r="H1527" s="624">
        <v>0.182</v>
      </c>
      <c r="I1527" s="625">
        <v>18.38</v>
      </c>
      <c r="J1527" s="625">
        <v>3.34</v>
      </c>
      <c r="K1527"/>
    </row>
    <row r="1528" spans="1:11" ht="18" customHeight="1">
      <c r="A1528" s="626" t="s">
        <v>12709</v>
      </c>
      <c r="B1528" s="627" t="s">
        <v>13392</v>
      </c>
      <c r="C1528" s="626" t="s">
        <v>8</v>
      </c>
      <c r="D1528" s="626" t="s">
        <v>9005</v>
      </c>
      <c r="E1528" s="804" t="s">
        <v>12720</v>
      </c>
      <c r="F1528" s="805"/>
      <c r="G1528" s="628" t="s">
        <v>35</v>
      </c>
      <c r="H1528" s="629">
        <v>1</v>
      </c>
      <c r="I1528" s="630">
        <v>47.75</v>
      </c>
      <c r="J1528" s="630">
        <v>47.75</v>
      </c>
      <c r="K1528"/>
    </row>
    <row r="1529" spans="1:11" ht="36" customHeight="1">
      <c r="A1529" s="626" t="s">
        <v>12709</v>
      </c>
      <c r="B1529" s="627" t="s">
        <v>13394</v>
      </c>
      <c r="C1529" s="626" t="s">
        <v>8</v>
      </c>
      <c r="D1529" s="626" t="s">
        <v>11739</v>
      </c>
      <c r="E1529" s="804" t="s">
        <v>12720</v>
      </c>
      <c r="F1529" s="805"/>
      <c r="G1529" s="628" t="s">
        <v>35</v>
      </c>
      <c r="H1529" s="629">
        <v>2</v>
      </c>
      <c r="I1529" s="630">
        <v>1.08</v>
      </c>
      <c r="J1529" s="630">
        <v>2.16</v>
      </c>
      <c r="K1529"/>
    </row>
    <row r="1530" spans="1:11" ht="24" customHeight="1">
      <c r="A1530" s="631"/>
      <c r="B1530" s="631"/>
      <c r="C1530" s="631"/>
      <c r="D1530" s="631"/>
      <c r="E1530" s="631" t="s">
        <v>12714</v>
      </c>
      <c r="F1530" s="632">
        <v>2.2651097415936858</v>
      </c>
      <c r="G1530" s="631" t="s">
        <v>12715</v>
      </c>
      <c r="H1530" s="632">
        <v>1.92</v>
      </c>
      <c r="I1530" s="631" t="s">
        <v>12716</v>
      </c>
      <c r="J1530" s="632">
        <v>4.1900000000000004</v>
      </c>
      <c r="K1530"/>
    </row>
    <row r="1531" spans="1:11" ht="24" customHeight="1" thickBot="1">
      <c r="A1531" s="631"/>
      <c r="B1531" s="631"/>
      <c r="C1531" s="631"/>
      <c r="D1531" s="631"/>
      <c r="E1531" s="631" t="s">
        <v>12717</v>
      </c>
      <c r="F1531" s="632">
        <v>15.77</v>
      </c>
      <c r="G1531" s="631"/>
      <c r="H1531" s="806" t="s">
        <v>12718</v>
      </c>
      <c r="I1531" s="806"/>
      <c r="J1531" s="632">
        <v>71.62</v>
      </c>
      <c r="K1531"/>
    </row>
    <row r="1532" spans="1:11" ht="24" customHeight="1" thickTop="1">
      <c r="A1532" s="633"/>
      <c r="B1532" s="633"/>
      <c r="C1532" s="633"/>
      <c r="D1532" s="633"/>
      <c r="E1532" s="633"/>
      <c r="F1532" s="633"/>
      <c r="G1532" s="633"/>
      <c r="H1532" s="633"/>
      <c r="I1532" s="633"/>
      <c r="J1532" s="633"/>
      <c r="K1532"/>
    </row>
    <row r="1533" spans="1:11" ht="15">
      <c r="A1533" s="613" t="s">
        <v>12898</v>
      </c>
      <c r="B1533" s="614" t="s">
        <v>12698</v>
      </c>
      <c r="C1533" s="613" t="s">
        <v>12699</v>
      </c>
      <c r="D1533" s="613" t="s">
        <v>12700</v>
      </c>
      <c r="E1533" s="807" t="s">
        <v>12701</v>
      </c>
      <c r="F1533" s="808"/>
      <c r="G1533" s="615" t="s">
        <v>12702</v>
      </c>
      <c r="H1533" s="614" t="s">
        <v>12703</v>
      </c>
      <c r="I1533" s="614" t="s">
        <v>12704</v>
      </c>
      <c r="J1533" s="614" t="s">
        <v>12705</v>
      </c>
      <c r="K1533"/>
    </row>
    <row r="1534" spans="1:11" ht="15" customHeight="1">
      <c r="A1534" s="616" t="s">
        <v>12706</v>
      </c>
      <c r="B1534" s="617" t="s">
        <v>13393</v>
      </c>
      <c r="C1534" s="616" t="s">
        <v>8</v>
      </c>
      <c r="D1534" s="616" t="s">
        <v>3271</v>
      </c>
      <c r="E1534" s="809" t="s">
        <v>12873</v>
      </c>
      <c r="F1534" s="810"/>
      <c r="G1534" s="618" t="s">
        <v>35</v>
      </c>
      <c r="H1534" s="619">
        <v>1</v>
      </c>
      <c r="I1534" s="620">
        <v>53.89</v>
      </c>
      <c r="J1534" s="620">
        <v>53.89</v>
      </c>
      <c r="K1534"/>
    </row>
    <row r="1535" spans="1:11" ht="0.95" customHeight="1">
      <c r="A1535" s="621" t="s">
        <v>12708</v>
      </c>
      <c r="B1535" s="622" t="s">
        <v>13023</v>
      </c>
      <c r="C1535" s="621" t="s">
        <v>8</v>
      </c>
      <c r="D1535" s="621" t="s">
        <v>54</v>
      </c>
      <c r="E1535" s="811" t="s">
        <v>12707</v>
      </c>
      <c r="F1535" s="812"/>
      <c r="G1535" s="623" t="s">
        <v>23</v>
      </c>
      <c r="H1535" s="624">
        <v>0.13300000000000001</v>
      </c>
      <c r="I1535" s="625">
        <v>14.33</v>
      </c>
      <c r="J1535" s="625">
        <v>1.9</v>
      </c>
      <c r="K1535"/>
    </row>
    <row r="1536" spans="1:11" ht="18" customHeight="1">
      <c r="A1536" s="621" t="s">
        <v>12708</v>
      </c>
      <c r="B1536" s="622" t="s">
        <v>13022</v>
      </c>
      <c r="C1536" s="621" t="s">
        <v>8</v>
      </c>
      <c r="D1536" s="621" t="s">
        <v>52</v>
      </c>
      <c r="E1536" s="811" t="s">
        <v>12707</v>
      </c>
      <c r="F1536" s="812"/>
      <c r="G1536" s="623" t="s">
        <v>23</v>
      </c>
      <c r="H1536" s="624">
        <v>0.13300000000000001</v>
      </c>
      <c r="I1536" s="625">
        <v>18.38</v>
      </c>
      <c r="J1536" s="625">
        <v>2.44</v>
      </c>
      <c r="K1536"/>
    </row>
    <row r="1537" spans="1:11" ht="36" customHeight="1">
      <c r="A1537" s="626" t="s">
        <v>12709</v>
      </c>
      <c r="B1537" s="627" t="s">
        <v>13392</v>
      </c>
      <c r="C1537" s="626" t="s">
        <v>8</v>
      </c>
      <c r="D1537" s="626" t="s">
        <v>9005</v>
      </c>
      <c r="E1537" s="804" t="s">
        <v>12720</v>
      </c>
      <c r="F1537" s="805"/>
      <c r="G1537" s="628" t="s">
        <v>35</v>
      </c>
      <c r="H1537" s="629">
        <v>1</v>
      </c>
      <c r="I1537" s="630">
        <v>47.75</v>
      </c>
      <c r="J1537" s="630">
        <v>47.75</v>
      </c>
      <c r="K1537"/>
    </row>
    <row r="1538" spans="1:11" ht="60" customHeight="1">
      <c r="A1538" s="626" t="s">
        <v>12709</v>
      </c>
      <c r="B1538" s="627" t="s">
        <v>13389</v>
      </c>
      <c r="C1538" s="626" t="s">
        <v>8</v>
      </c>
      <c r="D1538" s="626" t="s">
        <v>11737</v>
      </c>
      <c r="E1538" s="804" t="s">
        <v>12720</v>
      </c>
      <c r="F1538" s="805"/>
      <c r="G1538" s="628" t="s">
        <v>35</v>
      </c>
      <c r="H1538" s="629">
        <v>2</v>
      </c>
      <c r="I1538" s="630">
        <v>0.9</v>
      </c>
      <c r="J1538" s="630">
        <v>1.8</v>
      </c>
      <c r="K1538"/>
    </row>
    <row r="1539" spans="1:11" ht="24" customHeight="1">
      <c r="A1539" s="631"/>
      <c r="B1539" s="631"/>
      <c r="C1539" s="631"/>
      <c r="D1539" s="631"/>
      <c r="E1539" s="631" t="s">
        <v>12714</v>
      </c>
      <c r="F1539" s="632">
        <v>1.6542328900421668</v>
      </c>
      <c r="G1539" s="631" t="s">
        <v>12715</v>
      </c>
      <c r="H1539" s="632">
        <v>1.41</v>
      </c>
      <c r="I1539" s="631" t="s">
        <v>12716</v>
      </c>
      <c r="J1539" s="632">
        <v>3.06</v>
      </c>
      <c r="K1539"/>
    </row>
    <row r="1540" spans="1:11" ht="24" customHeight="1" thickBot="1">
      <c r="A1540" s="631"/>
      <c r="B1540" s="631"/>
      <c r="C1540" s="631"/>
      <c r="D1540" s="631"/>
      <c r="E1540" s="631" t="s">
        <v>12717</v>
      </c>
      <c r="F1540" s="632">
        <v>15.21</v>
      </c>
      <c r="G1540" s="631"/>
      <c r="H1540" s="806" t="s">
        <v>12718</v>
      </c>
      <c r="I1540" s="806"/>
      <c r="J1540" s="632">
        <v>69.099999999999994</v>
      </c>
      <c r="K1540"/>
    </row>
    <row r="1541" spans="1:11" ht="24" customHeight="1" thickTop="1">
      <c r="A1541" s="633"/>
      <c r="B1541" s="633"/>
      <c r="C1541" s="633"/>
      <c r="D1541" s="633"/>
      <c r="E1541" s="633"/>
      <c r="F1541" s="633"/>
      <c r="G1541" s="633"/>
      <c r="H1541" s="633"/>
      <c r="I1541" s="633"/>
      <c r="J1541" s="633"/>
      <c r="K1541"/>
    </row>
    <row r="1542" spans="1:11" ht="15">
      <c r="A1542" s="613" t="s">
        <v>12899</v>
      </c>
      <c r="B1542" s="614" t="s">
        <v>12698</v>
      </c>
      <c r="C1542" s="613" t="s">
        <v>12699</v>
      </c>
      <c r="D1542" s="613" t="s">
        <v>12700</v>
      </c>
      <c r="E1542" s="807" t="s">
        <v>12701</v>
      </c>
      <c r="F1542" s="808"/>
      <c r="G1542" s="615" t="s">
        <v>12702</v>
      </c>
      <c r="H1542" s="614" t="s">
        <v>12703</v>
      </c>
      <c r="I1542" s="614" t="s">
        <v>12704</v>
      </c>
      <c r="J1542" s="614" t="s">
        <v>12705</v>
      </c>
      <c r="K1542"/>
    </row>
    <row r="1543" spans="1:11" ht="15" customHeight="1">
      <c r="A1543" s="616" t="s">
        <v>12706</v>
      </c>
      <c r="B1543" s="617" t="s">
        <v>13390</v>
      </c>
      <c r="C1543" s="616" t="s">
        <v>8</v>
      </c>
      <c r="D1543" s="616" t="s">
        <v>700</v>
      </c>
      <c r="E1543" s="809" t="s">
        <v>12873</v>
      </c>
      <c r="F1543" s="810"/>
      <c r="G1543" s="618" t="s">
        <v>35</v>
      </c>
      <c r="H1543" s="619">
        <v>1</v>
      </c>
      <c r="I1543" s="620">
        <v>67.709999999999994</v>
      </c>
      <c r="J1543" s="620">
        <v>67.709999999999994</v>
      </c>
      <c r="K1543"/>
    </row>
    <row r="1544" spans="1:11" ht="0.95" customHeight="1">
      <c r="A1544" s="621" t="s">
        <v>12708</v>
      </c>
      <c r="B1544" s="622" t="s">
        <v>13023</v>
      </c>
      <c r="C1544" s="621" t="s">
        <v>8</v>
      </c>
      <c r="D1544" s="621" t="s">
        <v>54</v>
      </c>
      <c r="E1544" s="811" t="s">
        <v>12707</v>
      </c>
      <c r="F1544" s="812"/>
      <c r="G1544" s="623" t="s">
        <v>23</v>
      </c>
      <c r="H1544" s="624">
        <v>0.19900000000000001</v>
      </c>
      <c r="I1544" s="625">
        <v>14.33</v>
      </c>
      <c r="J1544" s="625">
        <v>2.85</v>
      </c>
      <c r="K1544"/>
    </row>
    <row r="1545" spans="1:11" ht="18" customHeight="1">
      <c r="A1545" s="621" t="s">
        <v>12708</v>
      </c>
      <c r="B1545" s="622" t="s">
        <v>13022</v>
      </c>
      <c r="C1545" s="621" t="s">
        <v>8</v>
      </c>
      <c r="D1545" s="621" t="s">
        <v>52</v>
      </c>
      <c r="E1545" s="811" t="s">
        <v>12707</v>
      </c>
      <c r="F1545" s="812"/>
      <c r="G1545" s="623" t="s">
        <v>23</v>
      </c>
      <c r="H1545" s="624">
        <v>0.19900000000000001</v>
      </c>
      <c r="I1545" s="625">
        <v>18.38</v>
      </c>
      <c r="J1545" s="625">
        <v>3.65</v>
      </c>
      <c r="K1545"/>
    </row>
    <row r="1546" spans="1:11" ht="24" customHeight="1">
      <c r="A1546" s="626" t="s">
        <v>12709</v>
      </c>
      <c r="B1546" s="627" t="s">
        <v>13387</v>
      </c>
      <c r="C1546" s="626" t="s">
        <v>8</v>
      </c>
      <c r="D1546" s="626" t="s">
        <v>9010</v>
      </c>
      <c r="E1546" s="804" t="s">
        <v>12720</v>
      </c>
      <c r="F1546" s="805"/>
      <c r="G1546" s="628" t="s">
        <v>35</v>
      </c>
      <c r="H1546" s="629">
        <v>1</v>
      </c>
      <c r="I1546" s="630">
        <v>58.51</v>
      </c>
      <c r="J1546" s="630">
        <v>58.51</v>
      </c>
      <c r="K1546"/>
    </row>
    <row r="1547" spans="1:11" ht="24" customHeight="1">
      <c r="A1547" s="626" t="s">
        <v>12709</v>
      </c>
      <c r="B1547" s="627" t="s">
        <v>13389</v>
      </c>
      <c r="C1547" s="626" t="s">
        <v>8</v>
      </c>
      <c r="D1547" s="626" t="s">
        <v>11737</v>
      </c>
      <c r="E1547" s="804" t="s">
        <v>12720</v>
      </c>
      <c r="F1547" s="805"/>
      <c r="G1547" s="628" t="s">
        <v>35</v>
      </c>
      <c r="H1547" s="629">
        <v>3</v>
      </c>
      <c r="I1547" s="630">
        <v>0.9</v>
      </c>
      <c r="J1547" s="630">
        <v>2.7</v>
      </c>
      <c r="K1547"/>
    </row>
    <row r="1548" spans="1:11" ht="24" customHeight="1">
      <c r="A1548" s="631"/>
      <c r="B1548" s="631"/>
      <c r="C1548" s="631"/>
      <c r="D1548" s="631"/>
      <c r="E1548" s="631" t="s">
        <v>12714</v>
      </c>
      <c r="F1548" s="632">
        <v>2.4813493350632503</v>
      </c>
      <c r="G1548" s="631" t="s">
        <v>12715</v>
      </c>
      <c r="H1548" s="632">
        <v>2.11</v>
      </c>
      <c r="I1548" s="631" t="s">
        <v>12716</v>
      </c>
      <c r="J1548" s="632">
        <v>4.59</v>
      </c>
      <c r="K1548"/>
    </row>
    <row r="1549" spans="1:11" ht="24" customHeight="1" thickBot="1">
      <c r="A1549" s="631"/>
      <c r="B1549" s="631"/>
      <c r="C1549" s="631"/>
      <c r="D1549" s="631"/>
      <c r="E1549" s="631" t="s">
        <v>12717</v>
      </c>
      <c r="F1549" s="632">
        <v>19.12</v>
      </c>
      <c r="G1549" s="631"/>
      <c r="H1549" s="806" t="s">
        <v>12718</v>
      </c>
      <c r="I1549" s="806"/>
      <c r="J1549" s="632">
        <v>86.83</v>
      </c>
      <c r="K1549"/>
    </row>
    <row r="1550" spans="1:11" ht="15" thickTop="1">
      <c r="A1550" s="633"/>
      <c r="B1550" s="633"/>
      <c r="C1550" s="633"/>
      <c r="D1550" s="633"/>
      <c r="E1550" s="633"/>
      <c r="F1550" s="633"/>
      <c r="G1550" s="633"/>
      <c r="H1550" s="633"/>
      <c r="I1550" s="633"/>
      <c r="J1550" s="633"/>
      <c r="K1550"/>
    </row>
    <row r="1551" spans="1:11" ht="15" customHeight="1">
      <c r="A1551" s="613" t="s">
        <v>13391</v>
      </c>
      <c r="B1551" s="614" t="s">
        <v>12698</v>
      </c>
      <c r="C1551" s="613" t="s">
        <v>12699</v>
      </c>
      <c r="D1551" s="613" t="s">
        <v>12700</v>
      </c>
      <c r="E1551" s="807" t="s">
        <v>12701</v>
      </c>
      <c r="F1551" s="808"/>
      <c r="G1551" s="615" t="s">
        <v>12702</v>
      </c>
      <c r="H1551" s="614" t="s">
        <v>12703</v>
      </c>
      <c r="I1551" s="614" t="s">
        <v>12704</v>
      </c>
      <c r="J1551" s="614" t="s">
        <v>12705</v>
      </c>
      <c r="K1551"/>
    </row>
    <row r="1552" spans="1:11" ht="0.95" customHeight="1">
      <c r="A1552" s="616" t="s">
        <v>12706</v>
      </c>
      <c r="B1552" s="617" t="s">
        <v>13388</v>
      </c>
      <c r="C1552" s="616" t="s">
        <v>8</v>
      </c>
      <c r="D1552" s="616" t="s">
        <v>702</v>
      </c>
      <c r="E1552" s="809" t="s">
        <v>12873</v>
      </c>
      <c r="F1552" s="810"/>
      <c r="G1552" s="618" t="s">
        <v>35</v>
      </c>
      <c r="H1552" s="619">
        <v>1</v>
      </c>
      <c r="I1552" s="620">
        <v>75.290000000000006</v>
      </c>
      <c r="J1552" s="620">
        <v>75.290000000000006</v>
      </c>
      <c r="K1552"/>
    </row>
    <row r="1553" spans="1:11" ht="18" customHeight="1">
      <c r="A1553" s="621" t="s">
        <v>12708</v>
      </c>
      <c r="B1553" s="622" t="s">
        <v>13023</v>
      </c>
      <c r="C1553" s="621" t="s">
        <v>8</v>
      </c>
      <c r="D1553" s="621" t="s">
        <v>54</v>
      </c>
      <c r="E1553" s="811" t="s">
        <v>12707</v>
      </c>
      <c r="F1553" s="812"/>
      <c r="G1553" s="623" t="s">
        <v>23</v>
      </c>
      <c r="H1553" s="624">
        <v>0.40600000000000003</v>
      </c>
      <c r="I1553" s="625">
        <v>14.33</v>
      </c>
      <c r="J1553" s="625">
        <v>5.81</v>
      </c>
      <c r="K1553"/>
    </row>
    <row r="1554" spans="1:11" ht="24" customHeight="1">
      <c r="A1554" s="621" t="s">
        <v>12708</v>
      </c>
      <c r="B1554" s="622" t="s">
        <v>13022</v>
      </c>
      <c r="C1554" s="621" t="s">
        <v>8</v>
      </c>
      <c r="D1554" s="621" t="s">
        <v>52</v>
      </c>
      <c r="E1554" s="811" t="s">
        <v>12707</v>
      </c>
      <c r="F1554" s="812"/>
      <c r="G1554" s="623" t="s">
        <v>23</v>
      </c>
      <c r="H1554" s="624">
        <v>0.40600000000000003</v>
      </c>
      <c r="I1554" s="625">
        <v>18.38</v>
      </c>
      <c r="J1554" s="625">
        <v>7.46</v>
      </c>
      <c r="K1554"/>
    </row>
    <row r="1555" spans="1:11" ht="24" customHeight="1">
      <c r="A1555" s="626" t="s">
        <v>12709</v>
      </c>
      <c r="B1555" s="627" t="s">
        <v>13387</v>
      </c>
      <c r="C1555" s="626" t="s">
        <v>8</v>
      </c>
      <c r="D1555" s="626" t="s">
        <v>9010</v>
      </c>
      <c r="E1555" s="804" t="s">
        <v>12720</v>
      </c>
      <c r="F1555" s="805"/>
      <c r="G1555" s="628" t="s">
        <v>35</v>
      </c>
      <c r="H1555" s="629">
        <v>1</v>
      </c>
      <c r="I1555" s="630">
        <v>58.51</v>
      </c>
      <c r="J1555" s="630">
        <v>58.51</v>
      </c>
      <c r="K1555"/>
    </row>
    <row r="1556" spans="1:11" ht="24" customHeight="1">
      <c r="A1556" s="626" t="s">
        <v>12709</v>
      </c>
      <c r="B1556" s="627" t="s">
        <v>13386</v>
      </c>
      <c r="C1556" s="626" t="s">
        <v>8</v>
      </c>
      <c r="D1556" s="626" t="s">
        <v>11731</v>
      </c>
      <c r="E1556" s="804" t="s">
        <v>12720</v>
      </c>
      <c r="F1556" s="805"/>
      <c r="G1556" s="628" t="s">
        <v>35</v>
      </c>
      <c r="H1556" s="629">
        <v>3</v>
      </c>
      <c r="I1556" s="630">
        <v>1.17</v>
      </c>
      <c r="J1556" s="630">
        <v>3.51</v>
      </c>
      <c r="K1556"/>
    </row>
    <row r="1557" spans="1:11" ht="24" customHeight="1">
      <c r="A1557" s="631"/>
      <c r="B1557" s="631"/>
      <c r="C1557" s="631"/>
      <c r="D1557" s="631"/>
      <c r="E1557" s="631" t="s">
        <v>12714</v>
      </c>
      <c r="F1557" s="632">
        <v>5.0600064871878043</v>
      </c>
      <c r="G1557" s="631" t="s">
        <v>12715</v>
      </c>
      <c r="H1557" s="632">
        <v>4.3</v>
      </c>
      <c r="I1557" s="631" t="s">
        <v>12716</v>
      </c>
      <c r="J1557" s="632">
        <v>9.36</v>
      </c>
      <c r="K1557"/>
    </row>
    <row r="1558" spans="1:11" ht="15" customHeight="1" thickBot="1">
      <c r="A1558" s="631"/>
      <c r="B1558" s="631"/>
      <c r="C1558" s="631"/>
      <c r="D1558" s="631"/>
      <c r="E1558" s="631" t="s">
        <v>12717</v>
      </c>
      <c r="F1558" s="632">
        <v>21.26</v>
      </c>
      <c r="G1558" s="631"/>
      <c r="H1558" s="806" t="s">
        <v>12718</v>
      </c>
      <c r="I1558" s="806"/>
      <c r="J1558" s="632">
        <v>96.55</v>
      </c>
      <c r="K1558"/>
    </row>
    <row r="1559" spans="1:11" ht="15" customHeight="1" thickTop="1">
      <c r="A1559" s="633"/>
      <c r="B1559" s="633"/>
      <c r="C1559" s="633"/>
      <c r="D1559" s="633"/>
      <c r="E1559" s="633"/>
      <c r="F1559" s="633"/>
      <c r="G1559" s="633"/>
      <c r="H1559" s="633"/>
      <c r="I1559" s="633"/>
      <c r="J1559" s="633"/>
      <c r="K1559"/>
    </row>
    <row r="1560" spans="1:11" ht="0.95" customHeight="1">
      <c r="A1560" s="613" t="s">
        <v>14452</v>
      </c>
      <c r="B1560" s="614" t="s">
        <v>12698</v>
      </c>
      <c r="C1560" s="613" t="s">
        <v>12699</v>
      </c>
      <c r="D1560" s="613" t="s">
        <v>12700</v>
      </c>
      <c r="E1560" s="807" t="s">
        <v>12701</v>
      </c>
      <c r="F1560" s="808"/>
      <c r="G1560" s="615" t="s">
        <v>12702</v>
      </c>
      <c r="H1560" s="614" t="s">
        <v>12703</v>
      </c>
      <c r="I1560" s="614" t="s">
        <v>12704</v>
      </c>
      <c r="J1560" s="614" t="s">
        <v>12705</v>
      </c>
      <c r="K1560"/>
    </row>
    <row r="1561" spans="1:11" ht="18" customHeight="1">
      <c r="A1561" s="616" t="s">
        <v>12706</v>
      </c>
      <c r="B1561" s="617" t="s">
        <v>13385</v>
      </c>
      <c r="C1561" s="616" t="s">
        <v>8</v>
      </c>
      <c r="D1561" s="616" t="s">
        <v>2482</v>
      </c>
      <c r="E1561" s="809" t="s">
        <v>12873</v>
      </c>
      <c r="F1561" s="810"/>
      <c r="G1561" s="618" t="s">
        <v>17</v>
      </c>
      <c r="H1561" s="619">
        <v>1</v>
      </c>
      <c r="I1561" s="620">
        <v>7.74</v>
      </c>
      <c r="J1561" s="620">
        <v>7.74</v>
      </c>
      <c r="K1561"/>
    </row>
    <row r="1562" spans="1:11" ht="24" customHeight="1">
      <c r="A1562" s="621" t="s">
        <v>12708</v>
      </c>
      <c r="B1562" s="622" t="s">
        <v>13188</v>
      </c>
      <c r="C1562" s="621" t="s">
        <v>8</v>
      </c>
      <c r="D1562" s="621" t="s">
        <v>2375</v>
      </c>
      <c r="E1562" s="811" t="s">
        <v>12819</v>
      </c>
      <c r="F1562" s="812"/>
      <c r="G1562" s="623" t="s">
        <v>17</v>
      </c>
      <c r="H1562" s="624">
        <v>1</v>
      </c>
      <c r="I1562" s="625">
        <v>2.21</v>
      </c>
      <c r="J1562" s="625">
        <v>2.21</v>
      </c>
      <c r="K1562"/>
    </row>
    <row r="1563" spans="1:11" ht="24" customHeight="1">
      <c r="A1563" s="621" t="s">
        <v>12708</v>
      </c>
      <c r="B1563" s="622" t="s">
        <v>13023</v>
      </c>
      <c r="C1563" s="621" t="s">
        <v>8</v>
      </c>
      <c r="D1563" s="621" t="s">
        <v>54</v>
      </c>
      <c r="E1563" s="811" t="s">
        <v>12707</v>
      </c>
      <c r="F1563" s="812"/>
      <c r="G1563" s="623" t="s">
        <v>23</v>
      </c>
      <c r="H1563" s="624">
        <v>0.09</v>
      </c>
      <c r="I1563" s="625">
        <v>14.33</v>
      </c>
      <c r="J1563" s="625">
        <v>1.28</v>
      </c>
      <c r="K1563"/>
    </row>
    <row r="1564" spans="1:11" ht="24" customHeight="1">
      <c r="A1564" s="621" t="s">
        <v>12708</v>
      </c>
      <c r="B1564" s="622" t="s">
        <v>13022</v>
      </c>
      <c r="C1564" s="621" t="s">
        <v>8</v>
      </c>
      <c r="D1564" s="621" t="s">
        <v>52</v>
      </c>
      <c r="E1564" s="811" t="s">
        <v>12707</v>
      </c>
      <c r="F1564" s="812"/>
      <c r="G1564" s="623" t="s">
        <v>23</v>
      </c>
      <c r="H1564" s="624">
        <v>0.09</v>
      </c>
      <c r="I1564" s="625">
        <v>18.38</v>
      </c>
      <c r="J1564" s="625">
        <v>1.65</v>
      </c>
      <c r="K1564"/>
    </row>
    <row r="1565" spans="1:11" ht="24" customHeight="1">
      <c r="A1565" s="626" t="s">
        <v>12709</v>
      </c>
      <c r="B1565" s="627" t="s">
        <v>13384</v>
      </c>
      <c r="C1565" s="626" t="s">
        <v>8</v>
      </c>
      <c r="D1565" s="626" t="s">
        <v>9155</v>
      </c>
      <c r="E1565" s="804" t="s">
        <v>12720</v>
      </c>
      <c r="F1565" s="805"/>
      <c r="G1565" s="628" t="s">
        <v>17</v>
      </c>
      <c r="H1565" s="629">
        <v>1.1000000000000001</v>
      </c>
      <c r="I1565" s="630">
        <v>2.37</v>
      </c>
      <c r="J1565" s="630">
        <v>2.6</v>
      </c>
      <c r="K1565"/>
    </row>
    <row r="1566" spans="1:11" ht="25.5">
      <c r="A1566" s="631"/>
      <c r="B1566" s="631"/>
      <c r="C1566" s="631"/>
      <c r="D1566" s="631"/>
      <c r="E1566" s="631" t="s">
        <v>12714</v>
      </c>
      <c r="F1566" s="632">
        <v>1.665044869715645</v>
      </c>
      <c r="G1566" s="631" t="s">
        <v>12715</v>
      </c>
      <c r="H1566" s="632">
        <v>1.41</v>
      </c>
      <c r="I1566" s="631" t="s">
        <v>12716</v>
      </c>
      <c r="J1566" s="632">
        <v>3.08</v>
      </c>
      <c r="K1566"/>
    </row>
    <row r="1567" spans="1:11" ht="15" customHeight="1" thickBot="1">
      <c r="A1567" s="631"/>
      <c r="B1567" s="631"/>
      <c r="C1567" s="631"/>
      <c r="D1567" s="631"/>
      <c r="E1567" s="631" t="s">
        <v>12717</v>
      </c>
      <c r="F1567" s="632">
        <v>2.1800000000000002</v>
      </c>
      <c r="G1567" s="631"/>
      <c r="H1567" s="806" t="s">
        <v>12718</v>
      </c>
      <c r="I1567" s="806"/>
      <c r="J1567" s="632">
        <v>9.92</v>
      </c>
      <c r="K1567"/>
    </row>
    <row r="1568" spans="1:11" ht="0.95" customHeight="1" thickTop="1">
      <c r="A1568" s="633"/>
      <c r="B1568" s="633"/>
      <c r="C1568" s="633"/>
      <c r="D1568" s="633"/>
      <c r="E1568" s="633"/>
      <c r="F1568" s="633"/>
      <c r="G1568" s="633"/>
      <c r="H1568" s="633"/>
      <c r="I1568" s="633"/>
      <c r="J1568" s="633"/>
      <c r="K1568"/>
    </row>
    <row r="1569" spans="1:11" ht="18" customHeight="1">
      <c r="A1569" s="613" t="s">
        <v>14451</v>
      </c>
      <c r="B1569" s="614" t="s">
        <v>12698</v>
      </c>
      <c r="C1569" s="613" t="s">
        <v>12699</v>
      </c>
      <c r="D1569" s="613" t="s">
        <v>12700</v>
      </c>
      <c r="E1569" s="807" t="s">
        <v>12701</v>
      </c>
      <c r="F1569" s="808"/>
      <c r="G1569" s="615" t="s">
        <v>12702</v>
      </c>
      <c r="H1569" s="614" t="s">
        <v>12703</v>
      </c>
      <c r="I1569" s="614" t="s">
        <v>12704</v>
      </c>
      <c r="J1569" s="614" t="s">
        <v>12705</v>
      </c>
      <c r="K1569"/>
    </row>
    <row r="1570" spans="1:11" ht="48" customHeight="1">
      <c r="A1570" s="616" t="s">
        <v>12706</v>
      </c>
      <c r="B1570" s="617" t="s">
        <v>13383</v>
      </c>
      <c r="C1570" s="616" t="s">
        <v>8</v>
      </c>
      <c r="D1570" s="616" t="s">
        <v>2487</v>
      </c>
      <c r="E1570" s="809" t="s">
        <v>12873</v>
      </c>
      <c r="F1570" s="810"/>
      <c r="G1570" s="618" t="s">
        <v>17</v>
      </c>
      <c r="H1570" s="619">
        <v>1</v>
      </c>
      <c r="I1570" s="620">
        <v>6.1</v>
      </c>
      <c r="J1570" s="620">
        <v>6.1</v>
      </c>
      <c r="K1570"/>
    </row>
    <row r="1571" spans="1:11" ht="24" customHeight="1">
      <c r="A1571" s="621" t="s">
        <v>12708</v>
      </c>
      <c r="B1571" s="622" t="s">
        <v>13023</v>
      </c>
      <c r="C1571" s="621" t="s">
        <v>8</v>
      </c>
      <c r="D1571" s="621" t="s">
        <v>54</v>
      </c>
      <c r="E1571" s="811" t="s">
        <v>12707</v>
      </c>
      <c r="F1571" s="812"/>
      <c r="G1571" s="623" t="s">
        <v>23</v>
      </c>
      <c r="H1571" s="624">
        <v>0.14399999999999999</v>
      </c>
      <c r="I1571" s="625">
        <v>14.33</v>
      </c>
      <c r="J1571" s="625">
        <v>2.06</v>
      </c>
      <c r="K1571"/>
    </row>
    <row r="1572" spans="1:11" ht="24" customHeight="1">
      <c r="A1572" s="621" t="s">
        <v>12708</v>
      </c>
      <c r="B1572" s="622" t="s">
        <v>13022</v>
      </c>
      <c r="C1572" s="621" t="s">
        <v>8</v>
      </c>
      <c r="D1572" s="621" t="s">
        <v>52</v>
      </c>
      <c r="E1572" s="811" t="s">
        <v>12707</v>
      </c>
      <c r="F1572" s="812"/>
      <c r="G1572" s="623" t="s">
        <v>23</v>
      </c>
      <c r="H1572" s="624">
        <v>0.14399999999999999</v>
      </c>
      <c r="I1572" s="625">
        <v>18.38</v>
      </c>
      <c r="J1572" s="625">
        <v>2.64</v>
      </c>
      <c r="K1572"/>
    </row>
    <row r="1573" spans="1:11" ht="36" customHeight="1">
      <c r="A1573" s="626" t="s">
        <v>12709</v>
      </c>
      <c r="B1573" s="627" t="s">
        <v>13381</v>
      </c>
      <c r="C1573" s="626" t="s">
        <v>8</v>
      </c>
      <c r="D1573" s="626" t="s">
        <v>9154</v>
      </c>
      <c r="E1573" s="804" t="s">
        <v>12720</v>
      </c>
      <c r="F1573" s="805"/>
      <c r="G1573" s="628" t="s">
        <v>17</v>
      </c>
      <c r="H1573" s="629">
        <v>1.0169999999999999</v>
      </c>
      <c r="I1573" s="630">
        <v>1.38</v>
      </c>
      <c r="J1573" s="630">
        <v>1.4</v>
      </c>
      <c r="K1573"/>
    </row>
    <row r="1574" spans="1:11" ht="25.5">
      <c r="A1574" s="631"/>
      <c r="B1574" s="631"/>
      <c r="C1574" s="631"/>
      <c r="D1574" s="631"/>
      <c r="E1574" s="631" t="s">
        <v>12714</v>
      </c>
      <c r="F1574" s="632">
        <v>1.7947886257973835</v>
      </c>
      <c r="G1574" s="631" t="s">
        <v>12715</v>
      </c>
      <c r="H1574" s="632">
        <v>1.53</v>
      </c>
      <c r="I1574" s="631" t="s">
        <v>12716</v>
      </c>
      <c r="J1574" s="632">
        <v>3.32</v>
      </c>
      <c r="K1574"/>
    </row>
    <row r="1575" spans="1:11" ht="15" customHeight="1" thickBot="1">
      <c r="A1575" s="631"/>
      <c r="B1575" s="631"/>
      <c r="C1575" s="631"/>
      <c r="D1575" s="631"/>
      <c r="E1575" s="631" t="s">
        <v>12717</v>
      </c>
      <c r="F1575" s="632">
        <v>1.72</v>
      </c>
      <c r="G1575" s="631"/>
      <c r="H1575" s="806" t="s">
        <v>12718</v>
      </c>
      <c r="I1575" s="806"/>
      <c r="J1575" s="632">
        <v>7.82</v>
      </c>
      <c r="K1575"/>
    </row>
    <row r="1576" spans="1:11" ht="0.95" customHeight="1" thickTop="1">
      <c r="A1576" s="633"/>
      <c r="B1576" s="633"/>
      <c r="C1576" s="633"/>
      <c r="D1576" s="633"/>
      <c r="E1576" s="633"/>
      <c r="F1576" s="633"/>
      <c r="G1576" s="633"/>
      <c r="H1576" s="633"/>
      <c r="I1576" s="633"/>
      <c r="J1576" s="633"/>
      <c r="K1576"/>
    </row>
    <row r="1577" spans="1:11" ht="18" customHeight="1">
      <c r="A1577" s="613" t="s">
        <v>14450</v>
      </c>
      <c r="B1577" s="614" t="s">
        <v>12698</v>
      </c>
      <c r="C1577" s="613" t="s">
        <v>12699</v>
      </c>
      <c r="D1577" s="613" t="s">
        <v>12700</v>
      </c>
      <c r="E1577" s="807" t="s">
        <v>12701</v>
      </c>
      <c r="F1577" s="808"/>
      <c r="G1577" s="615" t="s">
        <v>12702</v>
      </c>
      <c r="H1577" s="614" t="s">
        <v>12703</v>
      </c>
      <c r="I1577" s="614" t="s">
        <v>12704</v>
      </c>
      <c r="J1577" s="614" t="s">
        <v>12705</v>
      </c>
      <c r="K1577"/>
    </row>
    <row r="1578" spans="1:11" ht="48" customHeight="1">
      <c r="A1578" s="616" t="s">
        <v>12706</v>
      </c>
      <c r="B1578" s="617" t="s">
        <v>13382</v>
      </c>
      <c r="C1578" s="616" t="s">
        <v>8</v>
      </c>
      <c r="D1578" s="616" t="s">
        <v>2481</v>
      </c>
      <c r="E1578" s="809" t="s">
        <v>12873</v>
      </c>
      <c r="F1578" s="810"/>
      <c r="G1578" s="618" t="s">
        <v>17</v>
      </c>
      <c r="H1578" s="619">
        <v>1</v>
      </c>
      <c r="I1578" s="620">
        <v>6</v>
      </c>
      <c r="J1578" s="620">
        <v>6</v>
      </c>
      <c r="K1578"/>
    </row>
    <row r="1579" spans="1:11" ht="24" customHeight="1">
      <c r="A1579" s="621" t="s">
        <v>12708</v>
      </c>
      <c r="B1579" s="622" t="s">
        <v>13188</v>
      </c>
      <c r="C1579" s="621" t="s">
        <v>8</v>
      </c>
      <c r="D1579" s="621" t="s">
        <v>2375</v>
      </c>
      <c r="E1579" s="811" t="s">
        <v>12819</v>
      </c>
      <c r="F1579" s="812"/>
      <c r="G1579" s="623" t="s">
        <v>17</v>
      </c>
      <c r="H1579" s="624">
        <v>1</v>
      </c>
      <c r="I1579" s="625">
        <v>2.21</v>
      </c>
      <c r="J1579" s="625">
        <v>2.21</v>
      </c>
      <c r="K1579"/>
    </row>
    <row r="1580" spans="1:11" ht="24" customHeight="1">
      <c r="A1580" s="621" t="s">
        <v>12708</v>
      </c>
      <c r="B1580" s="622" t="s">
        <v>13023</v>
      </c>
      <c r="C1580" s="621" t="s">
        <v>8</v>
      </c>
      <c r="D1580" s="621" t="s">
        <v>54</v>
      </c>
      <c r="E1580" s="811" t="s">
        <v>12707</v>
      </c>
      <c r="F1580" s="812"/>
      <c r="G1580" s="623" t="s">
        <v>23</v>
      </c>
      <c r="H1580" s="624">
        <v>7.0000000000000007E-2</v>
      </c>
      <c r="I1580" s="625">
        <v>14.33</v>
      </c>
      <c r="J1580" s="625">
        <v>1</v>
      </c>
      <c r="K1580"/>
    </row>
    <row r="1581" spans="1:11" ht="36" customHeight="1">
      <c r="A1581" s="621" t="s">
        <v>12708</v>
      </c>
      <c r="B1581" s="622" t="s">
        <v>13022</v>
      </c>
      <c r="C1581" s="621" t="s">
        <v>8</v>
      </c>
      <c r="D1581" s="621" t="s">
        <v>52</v>
      </c>
      <c r="E1581" s="811" t="s">
        <v>12707</v>
      </c>
      <c r="F1581" s="812"/>
      <c r="G1581" s="623" t="s">
        <v>23</v>
      </c>
      <c r="H1581" s="624">
        <v>7.0000000000000007E-2</v>
      </c>
      <c r="I1581" s="625">
        <v>18.38</v>
      </c>
      <c r="J1581" s="625">
        <v>1.28</v>
      </c>
      <c r="K1581"/>
    </row>
    <row r="1582" spans="1:11">
      <c r="A1582" s="626" t="s">
        <v>12709</v>
      </c>
      <c r="B1582" s="627" t="s">
        <v>13381</v>
      </c>
      <c r="C1582" s="626" t="s">
        <v>8</v>
      </c>
      <c r="D1582" s="626" t="s">
        <v>9154</v>
      </c>
      <c r="E1582" s="804" t="s">
        <v>12720</v>
      </c>
      <c r="F1582" s="805"/>
      <c r="G1582" s="628" t="s">
        <v>17</v>
      </c>
      <c r="H1582" s="629">
        <v>1.1000000000000001</v>
      </c>
      <c r="I1582" s="630">
        <v>1.38</v>
      </c>
      <c r="J1582" s="630">
        <v>1.51</v>
      </c>
      <c r="K1582"/>
    </row>
    <row r="1583" spans="1:11" ht="15" customHeight="1">
      <c r="A1583" s="631"/>
      <c r="B1583" s="631"/>
      <c r="C1583" s="631"/>
      <c r="D1583" s="631"/>
      <c r="E1583" s="631" t="s">
        <v>12714</v>
      </c>
      <c r="F1583" s="632">
        <v>1.4109633473889069</v>
      </c>
      <c r="G1583" s="631" t="s">
        <v>12715</v>
      </c>
      <c r="H1583" s="632">
        <v>1.2</v>
      </c>
      <c r="I1583" s="631" t="s">
        <v>12716</v>
      </c>
      <c r="J1583" s="632">
        <v>2.61</v>
      </c>
      <c r="K1583"/>
    </row>
    <row r="1584" spans="1:11" ht="0.95" customHeight="1" thickBot="1">
      <c r="A1584" s="631"/>
      <c r="B1584" s="631"/>
      <c r="C1584" s="631"/>
      <c r="D1584" s="631"/>
      <c r="E1584" s="631" t="s">
        <v>12717</v>
      </c>
      <c r="F1584" s="632">
        <v>1.69</v>
      </c>
      <c r="G1584" s="631"/>
      <c r="H1584" s="806" t="s">
        <v>12718</v>
      </c>
      <c r="I1584" s="806"/>
      <c r="J1584" s="632">
        <v>7.69</v>
      </c>
      <c r="K1584"/>
    </row>
    <row r="1585" spans="1:11" ht="18" customHeight="1" thickTop="1">
      <c r="A1585" s="633"/>
      <c r="B1585" s="633"/>
      <c r="C1585" s="633"/>
      <c r="D1585" s="633"/>
      <c r="E1585" s="633"/>
      <c r="F1585" s="633"/>
      <c r="G1585" s="633"/>
      <c r="H1585" s="633"/>
      <c r="I1585" s="633"/>
      <c r="J1585" s="633"/>
      <c r="K1585"/>
    </row>
    <row r="1586" spans="1:11" ht="36" customHeight="1">
      <c r="A1586" s="613" t="s">
        <v>14449</v>
      </c>
      <c r="B1586" s="614" t="s">
        <v>12698</v>
      </c>
      <c r="C1586" s="613" t="s">
        <v>12699</v>
      </c>
      <c r="D1586" s="613" t="s">
        <v>12700</v>
      </c>
      <c r="E1586" s="807" t="s">
        <v>12701</v>
      </c>
      <c r="F1586" s="808"/>
      <c r="G1586" s="615" t="s">
        <v>12702</v>
      </c>
      <c r="H1586" s="614" t="s">
        <v>12703</v>
      </c>
      <c r="I1586" s="614" t="s">
        <v>12704</v>
      </c>
      <c r="J1586" s="614" t="s">
        <v>12705</v>
      </c>
      <c r="K1586"/>
    </row>
    <row r="1587" spans="1:11" ht="24" customHeight="1">
      <c r="A1587" s="616" t="s">
        <v>12706</v>
      </c>
      <c r="B1587" s="617" t="s">
        <v>13380</v>
      </c>
      <c r="C1587" s="616" t="s">
        <v>8</v>
      </c>
      <c r="D1587" s="616" t="s">
        <v>3127</v>
      </c>
      <c r="E1587" s="809" t="s">
        <v>12873</v>
      </c>
      <c r="F1587" s="810"/>
      <c r="G1587" s="618" t="s">
        <v>17</v>
      </c>
      <c r="H1587" s="619">
        <v>1</v>
      </c>
      <c r="I1587" s="620">
        <v>10.28</v>
      </c>
      <c r="J1587" s="620">
        <v>10.28</v>
      </c>
      <c r="K1587"/>
    </row>
    <row r="1588" spans="1:11" ht="24" customHeight="1">
      <c r="A1588" s="621" t="s">
        <v>12708</v>
      </c>
      <c r="B1588" s="622" t="s">
        <v>13023</v>
      </c>
      <c r="C1588" s="621" t="s">
        <v>8</v>
      </c>
      <c r="D1588" s="621" t="s">
        <v>54</v>
      </c>
      <c r="E1588" s="811" t="s">
        <v>12707</v>
      </c>
      <c r="F1588" s="812"/>
      <c r="G1588" s="623" t="s">
        <v>23</v>
      </c>
      <c r="H1588" s="624">
        <v>0.112</v>
      </c>
      <c r="I1588" s="625">
        <v>14.33</v>
      </c>
      <c r="J1588" s="625">
        <v>1.6</v>
      </c>
      <c r="K1588"/>
    </row>
    <row r="1589" spans="1:11" ht="48" customHeight="1">
      <c r="A1589" s="621" t="s">
        <v>12708</v>
      </c>
      <c r="B1589" s="622" t="s">
        <v>13022</v>
      </c>
      <c r="C1589" s="621" t="s">
        <v>8</v>
      </c>
      <c r="D1589" s="621" t="s">
        <v>52</v>
      </c>
      <c r="E1589" s="811" t="s">
        <v>12707</v>
      </c>
      <c r="F1589" s="812"/>
      <c r="G1589" s="623" t="s">
        <v>23</v>
      </c>
      <c r="H1589" s="624">
        <v>0.112</v>
      </c>
      <c r="I1589" s="625">
        <v>18.38</v>
      </c>
      <c r="J1589" s="625">
        <v>2.0499999999999998</v>
      </c>
      <c r="K1589"/>
    </row>
    <row r="1590" spans="1:11" ht="24" customHeight="1">
      <c r="A1590" s="626" t="s">
        <v>12709</v>
      </c>
      <c r="B1590" s="627" t="s">
        <v>13379</v>
      </c>
      <c r="C1590" s="626" t="s">
        <v>8</v>
      </c>
      <c r="D1590" s="626" t="s">
        <v>9121</v>
      </c>
      <c r="E1590" s="804" t="s">
        <v>12720</v>
      </c>
      <c r="F1590" s="805"/>
      <c r="G1590" s="628" t="s">
        <v>17</v>
      </c>
      <c r="H1590" s="629">
        <v>1.1000000000000001</v>
      </c>
      <c r="I1590" s="630">
        <v>6.03</v>
      </c>
      <c r="J1590" s="630">
        <v>6.63</v>
      </c>
      <c r="K1590"/>
    </row>
    <row r="1591" spans="1:11" ht="25.5">
      <c r="A1591" s="631"/>
      <c r="B1591" s="631"/>
      <c r="C1591" s="631"/>
      <c r="D1591" s="631"/>
      <c r="E1591" s="631" t="s">
        <v>12714</v>
      </c>
      <c r="F1591" s="632">
        <v>1.3893393880419505</v>
      </c>
      <c r="G1591" s="631" t="s">
        <v>12715</v>
      </c>
      <c r="H1591" s="632">
        <v>1.18</v>
      </c>
      <c r="I1591" s="631" t="s">
        <v>12716</v>
      </c>
      <c r="J1591" s="632">
        <v>2.57</v>
      </c>
      <c r="K1591"/>
    </row>
    <row r="1592" spans="1:11" ht="15" customHeight="1" thickBot="1">
      <c r="A1592" s="631"/>
      <c r="B1592" s="631"/>
      <c r="C1592" s="631"/>
      <c r="D1592" s="631"/>
      <c r="E1592" s="631" t="s">
        <v>12717</v>
      </c>
      <c r="F1592" s="632">
        <v>2.9</v>
      </c>
      <c r="G1592" s="631"/>
      <c r="H1592" s="806" t="s">
        <v>12718</v>
      </c>
      <c r="I1592" s="806"/>
      <c r="J1592" s="632">
        <v>13.18</v>
      </c>
      <c r="K1592"/>
    </row>
    <row r="1593" spans="1:11" ht="0.95" customHeight="1" thickTop="1">
      <c r="A1593" s="633"/>
      <c r="B1593" s="633"/>
      <c r="C1593" s="633"/>
      <c r="D1593" s="633"/>
      <c r="E1593" s="633"/>
      <c r="F1593" s="633"/>
      <c r="G1593" s="633"/>
      <c r="H1593" s="633"/>
      <c r="I1593" s="633"/>
      <c r="J1593" s="633"/>
      <c r="K1593"/>
    </row>
    <row r="1594" spans="1:11" ht="18" customHeight="1">
      <c r="A1594" s="613" t="s">
        <v>12900</v>
      </c>
      <c r="B1594" s="614" t="s">
        <v>12698</v>
      </c>
      <c r="C1594" s="613" t="s">
        <v>12699</v>
      </c>
      <c r="D1594" s="613" t="s">
        <v>12700</v>
      </c>
      <c r="E1594" s="807" t="s">
        <v>12701</v>
      </c>
      <c r="F1594" s="808"/>
      <c r="G1594" s="615" t="s">
        <v>12702</v>
      </c>
      <c r="H1594" s="614" t="s">
        <v>12703</v>
      </c>
      <c r="I1594" s="614" t="s">
        <v>12704</v>
      </c>
      <c r="J1594" s="614" t="s">
        <v>12705</v>
      </c>
      <c r="K1594"/>
    </row>
    <row r="1595" spans="1:11" ht="36" customHeight="1">
      <c r="A1595" s="616" t="s">
        <v>12706</v>
      </c>
      <c r="B1595" s="617" t="s">
        <v>13378</v>
      </c>
      <c r="C1595" s="616" t="s">
        <v>8</v>
      </c>
      <c r="D1595" s="616" t="s">
        <v>3128</v>
      </c>
      <c r="E1595" s="809" t="s">
        <v>12873</v>
      </c>
      <c r="F1595" s="810"/>
      <c r="G1595" s="618" t="s">
        <v>17</v>
      </c>
      <c r="H1595" s="619">
        <v>1</v>
      </c>
      <c r="I1595" s="620">
        <v>15.05</v>
      </c>
      <c r="J1595" s="620">
        <v>15.05</v>
      </c>
      <c r="K1595"/>
    </row>
    <row r="1596" spans="1:11" ht="24" customHeight="1">
      <c r="A1596" s="621" t="s">
        <v>12708</v>
      </c>
      <c r="B1596" s="622" t="s">
        <v>13023</v>
      </c>
      <c r="C1596" s="621" t="s">
        <v>8</v>
      </c>
      <c r="D1596" s="621" t="s">
        <v>54</v>
      </c>
      <c r="E1596" s="811" t="s">
        <v>12707</v>
      </c>
      <c r="F1596" s="812"/>
      <c r="G1596" s="623" t="s">
        <v>23</v>
      </c>
      <c r="H1596" s="624">
        <v>0.129</v>
      </c>
      <c r="I1596" s="625">
        <v>14.33</v>
      </c>
      <c r="J1596" s="625">
        <v>1.84</v>
      </c>
      <c r="K1596"/>
    </row>
    <row r="1597" spans="1:11" ht="24" customHeight="1">
      <c r="A1597" s="621" t="s">
        <v>12708</v>
      </c>
      <c r="B1597" s="622" t="s">
        <v>13022</v>
      </c>
      <c r="C1597" s="621" t="s">
        <v>8</v>
      </c>
      <c r="D1597" s="621" t="s">
        <v>52</v>
      </c>
      <c r="E1597" s="811" t="s">
        <v>12707</v>
      </c>
      <c r="F1597" s="812"/>
      <c r="G1597" s="623" t="s">
        <v>23</v>
      </c>
      <c r="H1597" s="624">
        <v>0.129</v>
      </c>
      <c r="I1597" s="625">
        <v>18.38</v>
      </c>
      <c r="J1597" s="625">
        <v>2.37</v>
      </c>
      <c r="K1597"/>
    </row>
    <row r="1598" spans="1:11" ht="48" customHeight="1">
      <c r="A1598" s="626" t="s">
        <v>12709</v>
      </c>
      <c r="B1598" s="627" t="s">
        <v>13377</v>
      </c>
      <c r="C1598" s="626" t="s">
        <v>8</v>
      </c>
      <c r="D1598" s="626" t="s">
        <v>9124</v>
      </c>
      <c r="E1598" s="804" t="s">
        <v>12720</v>
      </c>
      <c r="F1598" s="805"/>
      <c r="G1598" s="628" t="s">
        <v>17</v>
      </c>
      <c r="H1598" s="629">
        <v>1.1000000000000001</v>
      </c>
      <c r="I1598" s="630">
        <v>9.86</v>
      </c>
      <c r="J1598" s="630">
        <v>10.84</v>
      </c>
      <c r="K1598"/>
    </row>
    <row r="1599" spans="1:11" ht="24" customHeight="1">
      <c r="A1599" s="631"/>
      <c r="B1599" s="631"/>
      <c r="C1599" s="631"/>
      <c r="D1599" s="631"/>
      <c r="E1599" s="631" t="s">
        <v>12714</v>
      </c>
      <c r="F1599" s="632">
        <v>1.6055789815115147</v>
      </c>
      <c r="G1599" s="631" t="s">
        <v>12715</v>
      </c>
      <c r="H1599" s="632">
        <v>1.36</v>
      </c>
      <c r="I1599" s="631" t="s">
        <v>12716</v>
      </c>
      <c r="J1599" s="632">
        <v>2.97</v>
      </c>
      <c r="K1599"/>
    </row>
    <row r="1600" spans="1:11" ht="15" customHeight="1" thickBot="1">
      <c r="A1600" s="631"/>
      <c r="B1600" s="631"/>
      <c r="C1600" s="631"/>
      <c r="D1600" s="631"/>
      <c r="E1600" s="631" t="s">
        <v>12717</v>
      </c>
      <c r="F1600" s="632">
        <v>4.25</v>
      </c>
      <c r="G1600" s="631"/>
      <c r="H1600" s="806" t="s">
        <v>12718</v>
      </c>
      <c r="I1600" s="806"/>
      <c r="J1600" s="632">
        <v>19.3</v>
      </c>
      <c r="K1600"/>
    </row>
    <row r="1601" spans="1:11" ht="15" customHeight="1" thickTop="1">
      <c r="A1601" s="633"/>
      <c r="B1601" s="633"/>
      <c r="C1601" s="633"/>
      <c r="D1601" s="633"/>
      <c r="E1601" s="633"/>
      <c r="F1601" s="633"/>
      <c r="G1601" s="633"/>
      <c r="H1601" s="633"/>
      <c r="I1601" s="633"/>
      <c r="J1601" s="633"/>
      <c r="K1601"/>
    </row>
    <row r="1602" spans="1:11" ht="0.95" customHeight="1">
      <c r="A1602" s="613" t="s">
        <v>12901</v>
      </c>
      <c r="B1602" s="614" t="s">
        <v>12698</v>
      </c>
      <c r="C1602" s="613" t="s">
        <v>12699</v>
      </c>
      <c r="D1602" s="613" t="s">
        <v>12700</v>
      </c>
      <c r="E1602" s="807" t="s">
        <v>12701</v>
      </c>
      <c r="F1602" s="808"/>
      <c r="G1602" s="615" t="s">
        <v>12702</v>
      </c>
      <c r="H1602" s="614" t="s">
        <v>12703</v>
      </c>
      <c r="I1602" s="614" t="s">
        <v>12704</v>
      </c>
      <c r="J1602" s="614" t="s">
        <v>12705</v>
      </c>
      <c r="K1602"/>
    </row>
    <row r="1603" spans="1:11" ht="18" customHeight="1">
      <c r="A1603" s="616" t="s">
        <v>12706</v>
      </c>
      <c r="B1603" s="617" t="s">
        <v>13376</v>
      </c>
      <c r="C1603" s="616" t="s">
        <v>8</v>
      </c>
      <c r="D1603" s="616" t="s">
        <v>3130</v>
      </c>
      <c r="E1603" s="809" t="s">
        <v>12873</v>
      </c>
      <c r="F1603" s="810"/>
      <c r="G1603" s="618" t="s">
        <v>17</v>
      </c>
      <c r="H1603" s="619">
        <v>1</v>
      </c>
      <c r="I1603" s="620">
        <v>25.44</v>
      </c>
      <c r="J1603" s="620">
        <v>25.44</v>
      </c>
      <c r="K1603"/>
    </row>
    <row r="1604" spans="1:11" ht="24" customHeight="1">
      <c r="A1604" s="621" t="s">
        <v>12708</v>
      </c>
      <c r="B1604" s="622" t="s">
        <v>13023</v>
      </c>
      <c r="C1604" s="621" t="s">
        <v>8</v>
      </c>
      <c r="D1604" s="621" t="s">
        <v>54</v>
      </c>
      <c r="E1604" s="811" t="s">
        <v>12707</v>
      </c>
      <c r="F1604" s="812"/>
      <c r="G1604" s="623" t="s">
        <v>23</v>
      </c>
      <c r="H1604" s="624">
        <v>0.17100000000000001</v>
      </c>
      <c r="I1604" s="625">
        <v>14.33</v>
      </c>
      <c r="J1604" s="625">
        <v>2.4500000000000002</v>
      </c>
      <c r="K1604"/>
    </row>
    <row r="1605" spans="1:11" ht="24" customHeight="1">
      <c r="A1605" s="621" t="s">
        <v>12708</v>
      </c>
      <c r="B1605" s="622" t="s">
        <v>13022</v>
      </c>
      <c r="C1605" s="621" t="s">
        <v>8</v>
      </c>
      <c r="D1605" s="621" t="s">
        <v>52</v>
      </c>
      <c r="E1605" s="811" t="s">
        <v>12707</v>
      </c>
      <c r="F1605" s="812"/>
      <c r="G1605" s="623" t="s">
        <v>23</v>
      </c>
      <c r="H1605" s="624">
        <v>0.17100000000000001</v>
      </c>
      <c r="I1605" s="625">
        <v>18.38</v>
      </c>
      <c r="J1605" s="625">
        <v>3.14</v>
      </c>
      <c r="K1605"/>
    </row>
    <row r="1606" spans="1:11" ht="24" customHeight="1">
      <c r="A1606" s="626" t="s">
        <v>12709</v>
      </c>
      <c r="B1606" s="627" t="s">
        <v>13375</v>
      </c>
      <c r="C1606" s="626" t="s">
        <v>8</v>
      </c>
      <c r="D1606" s="626" t="s">
        <v>9126</v>
      </c>
      <c r="E1606" s="804" t="s">
        <v>12720</v>
      </c>
      <c r="F1606" s="805"/>
      <c r="G1606" s="628" t="s">
        <v>17</v>
      </c>
      <c r="H1606" s="629">
        <v>1.1000000000000001</v>
      </c>
      <c r="I1606" s="630">
        <v>18.05</v>
      </c>
      <c r="J1606" s="630">
        <v>19.850000000000001</v>
      </c>
      <c r="K1606"/>
    </row>
    <row r="1607" spans="1:11" ht="36" customHeight="1">
      <c r="A1607" s="631"/>
      <c r="B1607" s="631"/>
      <c r="C1607" s="631"/>
      <c r="D1607" s="631"/>
      <c r="E1607" s="631" t="s">
        <v>12714</v>
      </c>
      <c r="F1607" s="632">
        <v>2.129959995675208</v>
      </c>
      <c r="G1607" s="631" t="s">
        <v>12715</v>
      </c>
      <c r="H1607" s="632">
        <v>1.81</v>
      </c>
      <c r="I1607" s="631" t="s">
        <v>12716</v>
      </c>
      <c r="J1607" s="632">
        <v>3.94</v>
      </c>
      <c r="K1607"/>
    </row>
    <row r="1608" spans="1:11" ht="15" customHeight="1" thickBot="1">
      <c r="A1608" s="631"/>
      <c r="B1608" s="631"/>
      <c r="C1608" s="631"/>
      <c r="D1608" s="631"/>
      <c r="E1608" s="631" t="s">
        <v>12717</v>
      </c>
      <c r="F1608" s="632">
        <v>7.18</v>
      </c>
      <c r="G1608" s="631"/>
      <c r="H1608" s="806" t="s">
        <v>12718</v>
      </c>
      <c r="I1608" s="806"/>
      <c r="J1608" s="632">
        <v>32.619999999999997</v>
      </c>
      <c r="K1608"/>
    </row>
    <row r="1609" spans="1:11" ht="15" customHeight="1" thickTop="1">
      <c r="A1609" s="633"/>
      <c r="B1609" s="633"/>
      <c r="C1609" s="633"/>
      <c r="D1609" s="633"/>
      <c r="E1609" s="633"/>
      <c r="F1609" s="633"/>
      <c r="G1609" s="633"/>
      <c r="H1609" s="633"/>
      <c r="I1609" s="633"/>
      <c r="J1609" s="633"/>
      <c r="K1609"/>
    </row>
    <row r="1610" spans="1:11" ht="0.95" customHeight="1">
      <c r="A1610" s="613" t="s">
        <v>12902</v>
      </c>
      <c r="B1610" s="614" t="s">
        <v>12698</v>
      </c>
      <c r="C1610" s="613" t="s">
        <v>12699</v>
      </c>
      <c r="D1610" s="613" t="s">
        <v>12700</v>
      </c>
      <c r="E1610" s="807" t="s">
        <v>12701</v>
      </c>
      <c r="F1610" s="808"/>
      <c r="G1610" s="615" t="s">
        <v>12702</v>
      </c>
      <c r="H1610" s="614" t="s">
        <v>12703</v>
      </c>
      <c r="I1610" s="614" t="s">
        <v>12704</v>
      </c>
      <c r="J1610" s="614" t="s">
        <v>12705</v>
      </c>
      <c r="K1610"/>
    </row>
    <row r="1611" spans="1:11" ht="18" customHeight="1">
      <c r="A1611" s="616" t="s">
        <v>12706</v>
      </c>
      <c r="B1611" s="617" t="s">
        <v>12904</v>
      </c>
      <c r="C1611" s="616" t="s">
        <v>8</v>
      </c>
      <c r="D1611" s="616" t="s">
        <v>31</v>
      </c>
      <c r="E1611" s="809" t="s">
        <v>12873</v>
      </c>
      <c r="F1611" s="810"/>
      <c r="G1611" s="618" t="s">
        <v>35</v>
      </c>
      <c r="H1611" s="619">
        <v>1</v>
      </c>
      <c r="I1611" s="620">
        <v>458.96</v>
      </c>
      <c r="J1611" s="620">
        <v>458.96</v>
      </c>
      <c r="K1611"/>
    </row>
    <row r="1612" spans="1:11" ht="24" customHeight="1">
      <c r="A1612" s="621" t="s">
        <v>12708</v>
      </c>
      <c r="B1612" s="622" t="s">
        <v>13023</v>
      </c>
      <c r="C1612" s="621" t="s">
        <v>8</v>
      </c>
      <c r="D1612" s="621" t="s">
        <v>54</v>
      </c>
      <c r="E1612" s="811" t="s">
        <v>12707</v>
      </c>
      <c r="F1612" s="812"/>
      <c r="G1612" s="623" t="s">
        <v>23</v>
      </c>
      <c r="H1612" s="624">
        <v>2.5</v>
      </c>
      <c r="I1612" s="625">
        <v>14.33</v>
      </c>
      <c r="J1612" s="625">
        <v>35.82</v>
      </c>
      <c r="K1612"/>
    </row>
    <row r="1613" spans="1:11" ht="24" customHeight="1">
      <c r="A1613" s="621" t="s">
        <v>12708</v>
      </c>
      <c r="B1613" s="622" t="s">
        <v>13022</v>
      </c>
      <c r="C1613" s="621" t="s">
        <v>8</v>
      </c>
      <c r="D1613" s="621" t="s">
        <v>52</v>
      </c>
      <c r="E1613" s="811" t="s">
        <v>12707</v>
      </c>
      <c r="F1613" s="812"/>
      <c r="G1613" s="623" t="s">
        <v>23</v>
      </c>
      <c r="H1613" s="624">
        <v>2.5</v>
      </c>
      <c r="I1613" s="625">
        <v>18.38</v>
      </c>
      <c r="J1613" s="625">
        <v>45.95</v>
      </c>
      <c r="K1613"/>
    </row>
    <row r="1614" spans="1:11" ht="24" customHeight="1">
      <c r="A1614" s="626" t="s">
        <v>12709</v>
      </c>
      <c r="B1614" s="627" t="s">
        <v>13374</v>
      </c>
      <c r="C1614" s="626" t="s">
        <v>8</v>
      </c>
      <c r="D1614" s="626" t="s">
        <v>11059</v>
      </c>
      <c r="E1614" s="804" t="s">
        <v>12720</v>
      </c>
      <c r="F1614" s="805"/>
      <c r="G1614" s="628" t="s">
        <v>35</v>
      </c>
      <c r="H1614" s="629">
        <v>1</v>
      </c>
      <c r="I1614" s="630">
        <v>377.19</v>
      </c>
      <c r="J1614" s="630">
        <v>377.19</v>
      </c>
      <c r="K1614"/>
    </row>
    <row r="1615" spans="1:11" ht="24" customHeight="1">
      <c r="A1615" s="631"/>
      <c r="B1615" s="631"/>
      <c r="C1615" s="631"/>
      <c r="D1615" s="631"/>
      <c r="E1615" s="631" t="s">
        <v>12714</v>
      </c>
      <c r="F1615" s="632">
        <v>31.203373337658125</v>
      </c>
      <c r="G1615" s="631" t="s">
        <v>12715</v>
      </c>
      <c r="H1615" s="632">
        <v>26.52</v>
      </c>
      <c r="I1615" s="631" t="s">
        <v>12716</v>
      </c>
      <c r="J1615" s="632">
        <v>57.72</v>
      </c>
      <c r="K1615"/>
    </row>
    <row r="1616" spans="1:11" ht="24" customHeight="1" thickBot="1">
      <c r="A1616" s="631"/>
      <c r="B1616" s="631"/>
      <c r="C1616" s="631"/>
      <c r="D1616" s="631"/>
      <c r="E1616" s="631" t="s">
        <v>12717</v>
      </c>
      <c r="F1616" s="632">
        <v>129.61000000000001</v>
      </c>
      <c r="G1616" s="631"/>
      <c r="H1616" s="806" t="s">
        <v>12718</v>
      </c>
      <c r="I1616" s="806"/>
      <c r="J1616" s="632">
        <v>588.57000000000005</v>
      </c>
      <c r="K1616"/>
    </row>
    <row r="1617" spans="1:11" ht="15" thickTop="1">
      <c r="A1617" s="633"/>
      <c r="B1617" s="633"/>
      <c r="C1617" s="633"/>
      <c r="D1617" s="633"/>
      <c r="E1617" s="633"/>
      <c r="F1617" s="633"/>
      <c r="G1617" s="633"/>
      <c r="H1617" s="633"/>
      <c r="I1617" s="633"/>
      <c r="J1617" s="633"/>
      <c r="K1617"/>
    </row>
    <row r="1618" spans="1:11" ht="15" customHeight="1">
      <c r="A1618" s="613" t="s">
        <v>12903</v>
      </c>
      <c r="B1618" s="614" t="s">
        <v>12698</v>
      </c>
      <c r="C1618" s="613" t="s">
        <v>12699</v>
      </c>
      <c r="D1618" s="613" t="s">
        <v>12700</v>
      </c>
      <c r="E1618" s="807" t="s">
        <v>12701</v>
      </c>
      <c r="F1618" s="808"/>
      <c r="G1618" s="615" t="s">
        <v>12702</v>
      </c>
      <c r="H1618" s="614" t="s">
        <v>12703</v>
      </c>
      <c r="I1618" s="614" t="s">
        <v>12704</v>
      </c>
      <c r="J1618" s="614" t="s">
        <v>12705</v>
      </c>
      <c r="K1618"/>
    </row>
    <row r="1619" spans="1:11" ht="0.95" customHeight="1">
      <c r="A1619" s="616" t="s">
        <v>12706</v>
      </c>
      <c r="B1619" s="617" t="s">
        <v>12905</v>
      </c>
      <c r="C1619" s="616" t="s">
        <v>8</v>
      </c>
      <c r="D1619" s="616" t="s">
        <v>32</v>
      </c>
      <c r="E1619" s="809" t="s">
        <v>12873</v>
      </c>
      <c r="F1619" s="810"/>
      <c r="G1619" s="618" t="s">
        <v>35</v>
      </c>
      <c r="H1619" s="619">
        <v>1</v>
      </c>
      <c r="I1619" s="620">
        <v>526.41999999999996</v>
      </c>
      <c r="J1619" s="620">
        <v>526.41999999999996</v>
      </c>
      <c r="K1619"/>
    </row>
    <row r="1620" spans="1:11" ht="18" customHeight="1">
      <c r="A1620" s="621" t="s">
        <v>12708</v>
      </c>
      <c r="B1620" s="622" t="s">
        <v>13023</v>
      </c>
      <c r="C1620" s="621" t="s">
        <v>8</v>
      </c>
      <c r="D1620" s="621" t="s">
        <v>54</v>
      </c>
      <c r="E1620" s="811" t="s">
        <v>12707</v>
      </c>
      <c r="F1620" s="812"/>
      <c r="G1620" s="623" t="s">
        <v>23</v>
      </c>
      <c r="H1620" s="624">
        <v>3</v>
      </c>
      <c r="I1620" s="625">
        <v>14.33</v>
      </c>
      <c r="J1620" s="625">
        <v>42.99</v>
      </c>
      <c r="K1620"/>
    </row>
    <row r="1621" spans="1:11" ht="36" customHeight="1">
      <c r="A1621" s="621" t="s">
        <v>12708</v>
      </c>
      <c r="B1621" s="622" t="s">
        <v>13022</v>
      </c>
      <c r="C1621" s="621" t="s">
        <v>8</v>
      </c>
      <c r="D1621" s="621" t="s">
        <v>52</v>
      </c>
      <c r="E1621" s="811" t="s">
        <v>12707</v>
      </c>
      <c r="F1621" s="812"/>
      <c r="G1621" s="623" t="s">
        <v>23</v>
      </c>
      <c r="H1621" s="624">
        <v>3</v>
      </c>
      <c r="I1621" s="625">
        <v>18.38</v>
      </c>
      <c r="J1621" s="625">
        <v>55.14</v>
      </c>
      <c r="K1621"/>
    </row>
    <row r="1622" spans="1:11" ht="60" customHeight="1">
      <c r="A1622" s="626" t="s">
        <v>12709</v>
      </c>
      <c r="B1622" s="627" t="s">
        <v>13373</v>
      </c>
      <c r="C1622" s="626" t="s">
        <v>8</v>
      </c>
      <c r="D1622" s="626" t="s">
        <v>11051</v>
      </c>
      <c r="E1622" s="804" t="s">
        <v>12720</v>
      </c>
      <c r="F1622" s="805"/>
      <c r="G1622" s="628" t="s">
        <v>35</v>
      </c>
      <c r="H1622" s="629">
        <v>1</v>
      </c>
      <c r="I1622" s="630">
        <v>428.29</v>
      </c>
      <c r="J1622" s="630">
        <v>428.29</v>
      </c>
      <c r="K1622"/>
    </row>
    <row r="1623" spans="1:11" ht="24" customHeight="1">
      <c r="A1623" s="631"/>
      <c r="B1623" s="631"/>
      <c r="C1623" s="631"/>
      <c r="D1623" s="631"/>
      <c r="E1623" s="631" t="s">
        <v>12714</v>
      </c>
      <c r="F1623" s="632">
        <v>37.4472916</v>
      </c>
      <c r="G1623" s="631" t="s">
        <v>12715</v>
      </c>
      <c r="H1623" s="632">
        <v>31.82</v>
      </c>
      <c r="I1623" s="631" t="s">
        <v>12716</v>
      </c>
      <c r="J1623" s="632">
        <v>69.27</v>
      </c>
      <c r="K1623"/>
    </row>
    <row r="1624" spans="1:11" ht="24" customHeight="1" thickBot="1">
      <c r="A1624" s="631"/>
      <c r="B1624" s="631"/>
      <c r="C1624" s="631"/>
      <c r="D1624" s="631"/>
      <c r="E1624" s="631" t="s">
        <v>12717</v>
      </c>
      <c r="F1624" s="632">
        <v>148.66</v>
      </c>
      <c r="G1624" s="631"/>
      <c r="H1624" s="806" t="s">
        <v>12718</v>
      </c>
      <c r="I1624" s="806"/>
      <c r="J1624" s="632">
        <v>675.08</v>
      </c>
      <c r="K1624"/>
    </row>
    <row r="1625" spans="1:11" ht="24" customHeight="1" thickTop="1">
      <c r="A1625" s="633"/>
      <c r="B1625" s="633"/>
      <c r="C1625" s="633"/>
      <c r="D1625" s="633"/>
      <c r="E1625" s="633"/>
      <c r="F1625" s="633"/>
      <c r="G1625" s="633"/>
      <c r="H1625" s="633"/>
      <c r="I1625" s="633"/>
      <c r="J1625" s="633"/>
      <c r="K1625"/>
    </row>
    <row r="1626" spans="1:11" ht="15">
      <c r="A1626" s="613" t="s">
        <v>12906</v>
      </c>
      <c r="B1626" s="614" t="s">
        <v>12698</v>
      </c>
      <c r="C1626" s="613" t="s">
        <v>12699</v>
      </c>
      <c r="D1626" s="613" t="s">
        <v>12700</v>
      </c>
      <c r="E1626" s="807" t="s">
        <v>12701</v>
      </c>
      <c r="F1626" s="808"/>
      <c r="G1626" s="615" t="s">
        <v>12702</v>
      </c>
      <c r="H1626" s="614" t="s">
        <v>12703</v>
      </c>
      <c r="I1626" s="614" t="s">
        <v>12704</v>
      </c>
      <c r="J1626" s="614" t="s">
        <v>12705</v>
      </c>
      <c r="K1626"/>
    </row>
    <row r="1627" spans="1:11" ht="15" customHeight="1">
      <c r="A1627" s="616" t="s">
        <v>12706</v>
      </c>
      <c r="B1627" s="617" t="s">
        <v>13372</v>
      </c>
      <c r="C1627" s="616" t="s">
        <v>8</v>
      </c>
      <c r="D1627" s="616" t="s">
        <v>3122</v>
      </c>
      <c r="E1627" s="809" t="s">
        <v>12873</v>
      </c>
      <c r="F1627" s="810"/>
      <c r="G1627" s="618" t="s">
        <v>17</v>
      </c>
      <c r="H1627" s="619">
        <v>1</v>
      </c>
      <c r="I1627" s="620">
        <v>118.41</v>
      </c>
      <c r="J1627" s="620">
        <v>118.41</v>
      </c>
      <c r="K1627"/>
    </row>
    <row r="1628" spans="1:11" ht="0.95" customHeight="1">
      <c r="A1628" s="621" t="s">
        <v>12708</v>
      </c>
      <c r="B1628" s="622" t="s">
        <v>13023</v>
      </c>
      <c r="C1628" s="621" t="s">
        <v>8</v>
      </c>
      <c r="D1628" s="621" t="s">
        <v>54</v>
      </c>
      <c r="E1628" s="811" t="s">
        <v>12707</v>
      </c>
      <c r="F1628" s="812"/>
      <c r="G1628" s="623" t="s">
        <v>23</v>
      </c>
      <c r="H1628" s="624">
        <v>0.21199999999999999</v>
      </c>
      <c r="I1628" s="625">
        <v>14.33</v>
      </c>
      <c r="J1628" s="625">
        <v>3.03</v>
      </c>
      <c r="K1628"/>
    </row>
    <row r="1629" spans="1:11" ht="18" customHeight="1">
      <c r="A1629" s="621" t="s">
        <v>12708</v>
      </c>
      <c r="B1629" s="622" t="s">
        <v>13022</v>
      </c>
      <c r="C1629" s="621" t="s">
        <v>8</v>
      </c>
      <c r="D1629" s="621" t="s">
        <v>52</v>
      </c>
      <c r="E1629" s="811" t="s">
        <v>12707</v>
      </c>
      <c r="F1629" s="812"/>
      <c r="G1629" s="623" t="s">
        <v>23</v>
      </c>
      <c r="H1629" s="624">
        <v>0.21199999999999999</v>
      </c>
      <c r="I1629" s="625">
        <v>18.38</v>
      </c>
      <c r="J1629" s="625">
        <v>3.89</v>
      </c>
      <c r="K1629"/>
    </row>
    <row r="1630" spans="1:11" ht="36" customHeight="1">
      <c r="A1630" s="626" t="s">
        <v>12709</v>
      </c>
      <c r="B1630" s="627" t="s">
        <v>13371</v>
      </c>
      <c r="C1630" s="626" t="s">
        <v>8</v>
      </c>
      <c r="D1630" s="626" t="s">
        <v>7968</v>
      </c>
      <c r="E1630" s="804" t="s">
        <v>12720</v>
      </c>
      <c r="F1630" s="805"/>
      <c r="G1630" s="628" t="s">
        <v>17</v>
      </c>
      <c r="H1630" s="629">
        <v>1.0149999999999999</v>
      </c>
      <c r="I1630" s="630">
        <v>109.82</v>
      </c>
      <c r="J1630" s="630">
        <v>111.46</v>
      </c>
      <c r="K1630"/>
    </row>
    <row r="1631" spans="1:11" ht="60" customHeight="1">
      <c r="A1631" s="626" t="s">
        <v>12709</v>
      </c>
      <c r="B1631" s="627" t="s">
        <v>13370</v>
      </c>
      <c r="C1631" s="626" t="s">
        <v>8</v>
      </c>
      <c r="D1631" s="626" t="s">
        <v>9418</v>
      </c>
      <c r="E1631" s="804" t="s">
        <v>12720</v>
      </c>
      <c r="F1631" s="805"/>
      <c r="G1631" s="628" t="s">
        <v>35</v>
      </c>
      <c r="H1631" s="629">
        <v>8.9999999999999993E-3</v>
      </c>
      <c r="I1631" s="630">
        <v>3.74</v>
      </c>
      <c r="J1631" s="630">
        <v>0.03</v>
      </c>
      <c r="K1631"/>
    </row>
    <row r="1632" spans="1:11" ht="60" customHeight="1">
      <c r="A1632" s="631"/>
      <c r="B1632" s="631"/>
      <c r="C1632" s="631"/>
      <c r="D1632" s="631"/>
      <c r="E1632" s="631" t="s">
        <v>12714</v>
      </c>
      <c r="F1632" s="632">
        <v>2.6381230403286842</v>
      </c>
      <c r="G1632" s="631" t="s">
        <v>12715</v>
      </c>
      <c r="H1632" s="632">
        <v>2.2400000000000002</v>
      </c>
      <c r="I1632" s="631" t="s">
        <v>12716</v>
      </c>
      <c r="J1632" s="632">
        <v>4.88</v>
      </c>
      <c r="K1632"/>
    </row>
    <row r="1633" spans="1:11" ht="36" customHeight="1" thickBot="1">
      <c r="A1633" s="631"/>
      <c r="B1633" s="631"/>
      <c r="C1633" s="631"/>
      <c r="D1633" s="631"/>
      <c r="E1633" s="631" t="s">
        <v>12717</v>
      </c>
      <c r="F1633" s="632">
        <v>33.43</v>
      </c>
      <c r="G1633" s="631"/>
      <c r="H1633" s="806" t="s">
        <v>12718</v>
      </c>
      <c r="I1633" s="806"/>
      <c r="J1633" s="632">
        <v>151.84</v>
      </c>
      <c r="K1633"/>
    </row>
    <row r="1634" spans="1:11" ht="48" customHeight="1" thickTop="1">
      <c r="A1634" s="633"/>
      <c r="B1634" s="633"/>
      <c r="C1634" s="633"/>
      <c r="D1634" s="633"/>
      <c r="E1634" s="633"/>
      <c r="F1634" s="633"/>
      <c r="G1634" s="633"/>
      <c r="H1634" s="633"/>
      <c r="I1634" s="633"/>
      <c r="J1634" s="633"/>
      <c r="K1634"/>
    </row>
    <row r="1635" spans="1:11" ht="36" customHeight="1">
      <c r="A1635" s="613" t="s">
        <v>14448</v>
      </c>
      <c r="B1635" s="614" t="s">
        <v>12698</v>
      </c>
      <c r="C1635" s="613" t="s">
        <v>12699</v>
      </c>
      <c r="D1635" s="613" t="s">
        <v>12700</v>
      </c>
      <c r="E1635" s="807" t="s">
        <v>12701</v>
      </c>
      <c r="F1635" s="808"/>
      <c r="G1635" s="615" t="s">
        <v>12702</v>
      </c>
      <c r="H1635" s="614" t="s">
        <v>12703</v>
      </c>
      <c r="I1635" s="614" t="s">
        <v>12704</v>
      </c>
      <c r="J1635" s="614" t="s">
        <v>12705</v>
      </c>
      <c r="K1635"/>
    </row>
    <row r="1636" spans="1:11" ht="36" customHeight="1">
      <c r="A1636" s="616" t="s">
        <v>12706</v>
      </c>
      <c r="B1636" s="617" t="s">
        <v>13416</v>
      </c>
      <c r="C1636" s="616" t="s">
        <v>8</v>
      </c>
      <c r="D1636" s="616" t="s">
        <v>3116</v>
      </c>
      <c r="E1636" s="809" t="s">
        <v>12873</v>
      </c>
      <c r="F1636" s="810"/>
      <c r="G1636" s="618" t="s">
        <v>17</v>
      </c>
      <c r="H1636" s="619">
        <v>1</v>
      </c>
      <c r="I1636" s="620">
        <v>60.58</v>
      </c>
      <c r="J1636" s="620">
        <v>60.58</v>
      </c>
      <c r="K1636"/>
    </row>
    <row r="1637" spans="1:11" ht="24" customHeight="1">
      <c r="A1637" s="621" t="s">
        <v>12708</v>
      </c>
      <c r="B1637" s="622" t="s">
        <v>13023</v>
      </c>
      <c r="C1637" s="621" t="s">
        <v>8</v>
      </c>
      <c r="D1637" s="621" t="s">
        <v>54</v>
      </c>
      <c r="E1637" s="811" t="s">
        <v>12707</v>
      </c>
      <c r="F1637" s="812"/>
      <c r="G1637" s="623" t="s">
        <v>23</v>
      </c>
      <c r="H1637" s="624">
        <v>0.128</v>
      </c>
      <c r="I1637" s="625">
        <v>14.33</v>
      </c>
      <c r="J1637" s="625">
        <v>1.83</v>
      </c>
      <c r="K1637"/>
    </row>
    <row r="1638" spans="1:11" ht="24" customHeight="1">
      <c r="A1638" s="621" t="s">
        <v>12708</v>
      </c>
      <c r="B1638" s="622" t="s">
        <v>13022</v>
      </c>
      <c r="C1638" s="621" t="s">
        <v>8</v>
      </c>
      <c r="D1638" s="621" t="s">
        <v>52</v>
      </c>
      <c r="E1638" s="811" t="s">
        <v>12707</v>
      </c>
      <c r="F1638" s="812"/>
      <c r="G1638" s="623" t="s">
        <v>23</v>
      </c>
      <c r="H1638" s="624">
        <v>0.128</v>
      </c>
      <c r="I1638" s="625">
        <v>18.38</v>
      </c>
      <c r="J1638" s="625">
        <v>2.35</v>
      </c>
      <c r="K1638"/>
    </row>
    <row r="1639" spans="1:11" ht="24" customHeight="1">
      <c r="A1639" s="626" t="s">
        <v>12709</v>
      </c>
      <c r="B1639" s="627" t="s">
        <v>13415</v>
      </c>
      <c r="C1639" s="626" t="s">
        <v>8</v>
      </c>
      <c r="D1639" s="626" t="s">
        <v>7980</v>
      </c>
      <c r="E1639" s="804" t="s">
        <v>12720</v>
      </c>
      <c r="F1639" s="805"/>
      <c r="G1639" s="628" t="s">
        <v>17</v>
      </c>
      <c r="H1639" s="629">
        <v>1.0149999999999999</v>
      </c>
      <c r="I1639" s="630">
        <v>55.54</v>
      </c>
      <c r="J1639" s="630">
        <v>56.37</v>
      </c>
      <c r="K1639"/>
    </row>
    <row r="1640" spans="1:11" ht="25.5">
      <c r="A1640" s="626" t="s">
        <v>12709</v>
      </c>
      <c r="B1640" s="627" t="s">
        <v>13370</v>
      </c>
      <c r="C1640" s="626" t="s">
        <v>8</v>
      </c>
      <c r="D1640" s="626" t="s">
        <v>9418</v>
      </c>
      <c r="E1640" s="804" t="s">
        <v>12720</v>
      </c>
      <c r="F1640" s="805"/>
      <c r="G1640" s="628" t="s">
        <v>35</v>
      </c>
      <c r="H1640" s="629">
        <v>8.9999999999999993E-3</v>
      </c>
      <c r="I1640" s="630">
        <v>3.74</v>
      </c>
      <c r="J1640" s="630">
        <v>0.03</v>
      </c>
      <c r="K1640"/>
    </row>
    <row r="1641" spans="1:11" ht="15" customHeight="1">
      <c r="A1641" s="631"/>
      <c r="B1641" s="631"/>
      <c r="C1641" s="631"/>
      <c r="D1641" s="631"/>
      <c r="E1641" s="631" t="s">
        <v>12714</v>
      </c>
      <c r="F1641" s="632">
        <v>1.5893610120012975</v>
      </c>
      <c r="G1641" s="631" t="s">
        <v>12715</v>
      </c>
      <c r="H1641" s="632">
        <v>1.35</v>
      </c>
      <c r="I1641" s="631" t="s">
        <v>12716</v>
      </c>
      <c r="J1641" s="632">
        <v>2.94</v>
      </c>
      <c r="K1641"/>
    </row>
    <row r="1642" spans="1:11" ht="0.95" customHeight="1" thickBot="1">
      <c r="A1642" s="631"/>
      <c r="B1642" s="631"/>
      <c r="C1642" s="631"/>
      <c r="D1642" s="631"/>
      <c r="E1642" s="631" t="s">
        <v>12717</v>
      </c>
      <c r="F1642" s="632">
        <v>17.100000000000001</v>
      </c>
      <c r="G1642" s="631"/>
      <c r="H1642" s="806" t="s">
        <v>12718</v>
      </c>
      <c r="I1642" s="806"/>
      <c r="J1642" s="632">
        <v>77.680000000000007</v>
      </c>
      <c r="K1642"/>
    </row>
    <row r="1643" spans="1:11" ht="18" customHeight="1" thickTop="1">
      <c r="A1643" s="633"/>
      <c r="B1643" s="633"/>
      <c r="C1643" s="633"/>
      <c r="D1643" s="633"/>
      <c r="E1643" s="633"/>
      <c r="F1643" s="633"/>
      <c r="G1643" s="633"/>
      <c r="H1643" s="633"/>
      <c r="I1643" s="633"/>
      <c r="J1643" s="633"/>
      <c r="K1643"/>
    </row>
    <row r="1644" spans="1:11" ht="24" customHeight="1">
      <c r="A1644" s="613" t="s">
        <v>12907</v>
      </c>
      <c r="B1644" s="614" t="s">
        <v>12698</v>
      </c>
      <c r="C1644" s="613" t="s">
        <v>12699</v>
      </c>
      <c r="D1644" s="613" t="s">
        <v>12700</v>
      </c>
      <c r="E1644" s="807" t="s">
        <v>12701</v>
      </c>
      <c r="F1644" s="808"/>
      <c r="G1644" s="615" t="s">
        <v>12702</v>
      </c>
      <c r="H1644" s="614" t="s">
        <v>12703</v>
      </c>
      <c r="I1644" s="614" t="s">
        <v>12704</v>
      </c>
      <c r="J1644" s="614" t="s">
        <v>12705</v>
      </c>
      <c r="K1644"/>
    </row>
    <row r="1645" spans="1:11" ht="24" customHeight="1">
      <c r="A1645" s="616" t="s">
        <v>12706</v>
      </c>
      <c r="B1645" s="617" t="s">
        <v>13369</v>
      </c>
      <c r="C1645" s="616" t="s">
        <v>8</v>
      </c>
      <c r="D1645" s="616" t="s">
        <v>5652</v>
      </c>
      <c r="E1645" s="809" t="s">
        <v>12873</v>
      </c>
      <c r="F1645" s="810"/>
      <c r="G1645" s="618" t="s">
        <v>17</v>
      </c>
      <c r="H1645" s="619">
        <v>1</v>
      </c>
      <c r="I1645" s="620">
        <v>18.690000000000001</v>
      </c>
      <c r="J1645" s="620">
        <v>18.690000000000001</v>
      </c>
      <c r="K1645"/>
    </row>
    <row r="1646" spans="1:11" ht="24" customHeight="1">
      <c r="A1646" s="621" t="s">
        <v>12708</v>
      </c>
      <c r="B1646" s="622" t="s">
        <v>13023</v>
      </c>
      <c r="C1646" s="621" t="s">
        <v>8</v>
      </c>
      <c r="D1646" s="621" t="s">
        <v>54</v>
      </c>
      <c r="E1646" s="811" t="s">
        <v>12707</v>
      </c>
      <c r="F1646" s="812"/>
      <c r="G1646" s="623" t="s">
        <v>23</v>
      </c>
      <c r="H1646" s="624">
        <v>0.23</v>
      </c>
      <c r="I1646" s="625">
        <v>14.33</v>
      </c>
      <c r="J1646" s="625">
        <v>3.29</v>
      </c>
      <c r="K1646"/>
    </row>
    <row r="1647" spans="1:11" ht="24" customHeight="1">
      <c r="A1647" s="621" t="s">
        <v>12708</v>
      </c>
      <c r="B1647" s="622" t="s">
        <v>13022</v>
      </c>
      <c r="C1647" s="621" t="s">
        <v>8</v>
      </c>
      <c r="D1647" s="621" t="s">
        <v>52</v>
      </c>
      <c r="E1647" s="811" t="s">
        <v>12707</v>
      </c>
      <c r="F1647" s="812"/>
      <c r="G1647" s="623" t="s">
        <v>23</v>
      </c>
      <c r="H1647" s="624">
        <v>0.23</v>
      </c>
      <c r="I1647" s="625">
        <v>18.38</v>
      </c>
      <c r="J1647" s="625">
        <v>4.22</v>
      </c>
      <c r="K1647"/>
    </row>
    <row r="1648" spans="1:11" ht="36" customHeight="1">
      <c r="A1648" s="626" t="s">
        <v>12709</v>
      </c>
      <c r="B1648" s="627" t="s">
        <v>13368</v>
      </c>
      <c r="C1648" s="626" t="s">
        <v>8</v>
      </c>
      <c r="D1648" s="626" t="s">
        <v>9166</v>
      </c>
      <c r="E1648" s="804" t="s">
        <v>12720</v>
      </c>
      <c r="F1648" s="805"/>
      <c r="G1648" s="628" t="s">
        <v>17</v>
      </c>
      <c r="H1648" s="629">
        <v>1.1000000000000001</v>
      </c>
      <c r="I1648" s="630">
        <v>10.17</v>
      </c>
      <c r="J1648" s="630">
        <v>11.18</v>
      </c>
      <c r="K1648"/>
    </row>
    <row r="1649" spans="1:11" ht="25.5">
      <c r="A1649" s="631"/>
      <c r="B1649" s="631"/>
      <c r="C1649" s="631"/>
      <c r="D1649" s="631"/>
      <c r="E1649" s="631" t="s">
        <v>12714</v>
      </c>
      <c r="F1649" s="632">
        <v>2.8651746134717269</v>
      </c>
      <c r="G1649" s="631" t="s">
        <v>12715</v>
      </c>
      <c r="H1649" s="632">
        <v>2.4300000000000002</v>
      </c>
      <c r="I1649" s="631" t="s">
        <v>12716</v>
      </c>
      <c r="J1649" s="632">
        <v>5.3</v>
      </c>
      <c r="K1649"/>
    </row>
    <row r="1650" spans="1:11" ht="15" customHeight="1" thickBot="1">
      <c r="A1650" s="631"/>
      <c r="B1650" s="631"/>
      <c r="C1650" s="631"/>
      <c r="D1650" s="631"/>
      <c r="E1650" s="631" t="s">
        <v>12717</v>
      </c>
      <c r="F1650" s="632">
        <v>5.27</v>
      </c>
      <c r="G1650" s="631"/>
      <c r="H1650" s="806" t="s">
        <v>12718</v>
      </c>
      <c r="I1650" s="806"/>
      <c r="J1650" s="632">
        <v>23.96</v>
      </c>
      <c r="K1650"/>
    </row>
    <row r="1651" spans="1:11" ht="0.95" customHeight="1" thickTop="1">
      <c r="A1651" s="633"/>
      <c r="B1651" s="633"/>
      <c r="C1651" s="633"/>
      <c r="D1651" s="633"/>
      <c r="E1651" s="633"/>
      <c r="F1651" s="633"/>
      <c r="G1651" s="633"/>
      <c r="H1651" s="633"/>
      <c r="I1651" s="633"/>
      <c r="J1651" s="633"/>
      <c r="K1651"/>
    </row>
    <row r="1652" spans="1:11" ht="18" customHeight="1">
      <c r="A1652" s="613" t="s">
        <v>12908</v>
      </c>
      <c r="B1652" s="614" t="s">
        <v>12698</v>
      </c>
      <c r="C1652" s="613" t="s">
        <v>12699</v>
      </c>
      <c r="D1652" s="613" t="s">
        <v>12700</v>
      </c>
      <c r="E1652" s="807" t="s">
        <v>12701</v>
      </c>
      <c r="F1652" s="808"/>
      <c r="G1652" s="615" t="s">
        <v>12702</v>
      </c>
      <c r="H1652" s="614" t="s">
        <v>12703</v>
      </c>
      <c r="I1652" s="614" t="s">
        <v>12704</v>
      </c>
      <c r="J1652" s="614" t="s">
        <v>12705</v>
      </c>
      <c r="K1652"/>
    </row>
    <row r="1653" spans="1:11" ht="36" customHeight="1">
      <c r="A1653" s="616" t="s">
        <v>12706</v>
      </c>
      <c r="B1653" s="617" t="s">
        <v>13367</v>
      </c>
      <c r="C1653" s="616" t="s">
        <v>8</v>
      </c>
      <c r="D1653" s="616" t="s">
        <v>2179</v>
      </c>
      <c r="E1653" s="809" t="s">
        <v>12819</v>
      </c>
      <c r="F1653" s="810"/>
      <c r="G1653" s="618" t="s">
        <v>17</v>
      </c>
      <c r="H1653" s="619">
        <v>1</v>
      </c>
      <c r="I1653" s="620">
        <v>19.670000000000002</v>
      </c>
      <c r="J1653" s="620">
        <v>19.670000000000002</v>
      </c>
      <c r="K1653"/>
    </row>
    <row r="1654" spans="1:11" ht="36" customHeight="1">
      <c r="A1654" s="621" t="s">
        <v>12708</v>
      </c>
      <c r="B1654" s="622" t="s">
        <v>13144</v>
      </c>
      <c r="C1654" s="621" t="s">
        <v>8</v>
      </c>
      <c r="D1654" s="621" t="s">
        <v>71</v>
      </c>
      <c r="E1654" s="811" t="s">
        <v>12726</v>
      </c>
      <c r="F1654" s="812"/>
      <c r="G1654" s="623" t="s">
        <v>44</v>
      </c>
      <c r="H1654" s="624">
        <v>0.183</v>
      </c>
      <c r="I1654" s="625">
        <v>15.1</v>
      </c>
      <c r="J1654" s="625">
        <v>2.76</v>
      </c>
      <c r="K1654"/>
    </row>
    <row r="1655" spans="1:11" ht="36" customHeight="1">
      <c r="A1655" s="621" t="s">
        <v>12708</v>
      </c>
      <c r="B1655" s="622" t="s">
        <v>13145</v>
      </c>
      <c r="C1655" s="621" t="s">
        <v>8</v>
      </c>
      <c r="D1655" s="621" t="s">
        <v>85</v>
      </c>
      <c r="E1655" s="811" t="s">
        <v>12726</v>
      </c>
      <c r="F1655" s="812"/>
      <c r="G1655" s="623" t="s">
        <v>61</v>
      </c>
      <c r="H1655" s="624">
        <v>0.40100000000000002</v>
      </c>
      <c r="I1655" s="625">
        <v>13.17</v>
      </c>
      <c r="J1655" s="625">
        <v>5.28</v>
      </c>
      <c r="K1655"/>
    </row>
    <row r="1656" spans="1:11" ht="24" customHeight="1">
      <c r="A1656" s="621" t="s">
        <v>12708</v>
      </c>
      <c r="B1656" s="622" t="s">
        <v>13187</v>
      </c>
      <c r="C1656" s="621" t="s">
        <v>8</v>
      </c>
      <c r="D1656" s="621" t="s">
        <v>1516</v>
      </c>
      <c r="E1656" s="811" t="s">
        <v>12707</v>
      </c>
      <c r="F1656" s="812"/>
      <c r="G1656" s="623" t="s">
        <v>23</v>
      </c>
      <c r="H1656" s="624">
        <v>9.0999999999999998E-2</v>
      </c>
      <c r="I1656" s="625">
        <v>13.87</v>
      </c>
      <c r="J1656" s="625">
        <v>1.26</v>
      </c>
      <c r="K1656"/>
    </row>
    <row r="1657" spans="1:11" ht="24" customHeight="1">
      <c r="A1657" s="621" t="s">
        <v>12708</v>
      </c>
      <c r="B1657" s="622" t="s">
        <v>12981</v>
      </c>
      <c r="C1657" s="621" t="s">
        <v>8</v>
      </c>
      <c r="D1657" s="621" t="s">
        <v>50</v>
      </c>
      <c r="E1657" s="811" t="s">
        <v>12707</v>
      </c>
      <c r="F1657" s="812"/>
      <c r="G1657" s="623" t="s">
        <v>23</v>
      </c>
      <c r="H1657" s="624">
        <v>0.58299999999999996</v>
      </c>
      <c r="I1657" s="625">
        <v>17.79</v>
      </c>
      <c r="J1657" s="625">
        <v>10.37</v>
      </c>
      <c r="K1657"/>
    </row>
    <row r="1658" spans="1:11" ht="24" customHeight="1">
      <c r="A1658" s="631"/>
      <c r="B1658" s="631"/>
      <c r="C1658" s="631"/>
      <c r="D1658" s="631"/>
      <c r="E1658" s="631" t="s">
        <v>12714</v>
      </c>
      <c r="F1658" s="632">
        <v>7.0277867877608386</v>
      </c>
      <c r="G1658" s="631" t="s">
        <v>12715</v>
      </c>
      <c r="H1658" s="632">
        <v>5.97</v>
      </c>
      <c r="I1658" s="631" t="s">
        <v>12716</v>
      </c>
      <c r="J1658" s="632">
        <v>13</v>
      </c>
      <c r="K1658"/>
    </row>
    <row r="1659" spans="1:11" ht="24" customHeight="1" thickBot="1">
      <c r="A1659" s="631"/>
      <c r="B1659" s="631"/>
      <c r="C1659" s="631"/>
      <c r="D1659" s="631"/>
      <c r="E1659" s="631" t="s">
        <v>12717</v>
      </c>
      <c r="F1659" s="632">
        <v>5.55</v>
      </c>
      <c r="G1659" s="631"/>
      <c r="H1659" s="806" t="s">
        <v>12718</v>
      </c>
      <c r="I1659" s="806"/>
      <c r="J1659" s="632">
        <v>25.22</v>
      </c>
      <c r="K1659"/>
    </row>
    <row r="1660" spans="1:11" ht="24" customHeight="1" thickTop="1">
      <c r="A1660" s="633"/>
      <c r="B1660" s="633"/>
      <c r="C1660" s="633"/>
      <c r="D1660" s="633"/>
      <c r="E1660" s="633"/>
      <c r="F1660" s="633"/>
      <c r="G1660" s="633"/>
      <c r="H1660" s="633"/>
      <c r="I1660" s="633"/>
      <c r="J1660" s="633"/>
      <c r="K1660"/>
    </row>
    <row r="1661" spans="1:11" ht="24" customHeight="1">
      <c r="A1661" s="613" t="s">
        <v>12909</v>
      </c>
      <c r="B1661" s="614" t="s">
        <v>12698</v>
      </c>
      <c r="C1661" s="613" t="s">
        <v>12699</v>
      </c>
      <c r="D1661" s="613" t="s">
        <v>12700</v>
      </c>
      <c r="E1661" s="807" t="s">
        <v>12701</v>
      </c>
      <c r="F1661" s="808"/>
      <c r="G1661" s="615" t="s">
        <v>12702</v>
      </c>
      <c r="H1661" s="614" t="s">
        <v>12703</v>
      </c>
      <c r="I1661" s="614" t="s">
        <v>12704</v>
      </c>
      <c r="J1661" s="614" t="s">
        <v>12705</v>
      </c>
      <c r="K1661"/>
    </row>
    <row r="1662" spans="1:11" ht="24" customHeight="1">
      <c r="A1662" s="616" t="s">
        <v>12706</v>
      </c>
      <c r="B1662" s="617" t="s">
        <v>13366</v>
      </c>
      <c r="C1662" s="616" t="s">
        <v>8</v>
      </c>
      <c r="D1662" s="616" t="s">
        <v>2489</v>
      </c>
      <c r="E1662" s="809" t="s">
        <v>12873</v>
      </c>
      <c r="F1662" s="810"/>
      <c r="G1662" s="618" t="s">
        <v>17</v>
      </c>
      <c r="H1662" s="619">
        <v>1</v>
      </c>
      <c r="I1662" s="620">
        <v>6.48</v>
      </c>
      <c r="J1662" s="620">
        <v>6.48</v>
      </c>
      <c r="K1662"/>
    </row>
    <row r="1663" spans="1:11" ht="51">
      <c r="A1663" s="621" t="s">
        <v>12708</v>
      </c>
      <c r="B1663" s="622" t="s">
        <v>13188</v>
      </c>
      <c r="C1663" s="621" t="s">
        <v>8</v>
      </c>
      <c r="D1663" s="621" t="s">
        <v>2375</v>
      </c>
      <c r="E1663" s="811" t="s">
        <v>12819</v>
      </c>
      <c r="F1663" s="812"/>
      <c r="G1663" s="623" t="s">
        <v>17</v>
      </c>
      <c r="H1663" s="624">
        <v>1</v>
      </c>
      <c r="I1663" s="625">
        <v>2.21</v>
      </c>
      <c r="J1663" s="625">
        <v>2.21</v>
      </c>
      <c r="K1663"/>
    </row>
    <row r="1664" spans="1:11" ht="15" customHeight="1">
      <c r="A1664" s="621" t="s">
        <v>12708</v>
      </c>
      <c r="B1664" s="622" t="s">
        <v>13023</v>
      </c>
      <c r="C1664" s="621" t="s">
        <v>8</v>
      </c>
      <c r="D1664" s="621" t="s">
        <v>54</v>
      </c>
      <c r="E1664" s="811" t="s">
        <v>12707</v>
      </c>
      <c r="F1664" s="812"/>
      <c r="G1664" s="623" t="s">
        <v>23</v>
      </c>
      <c r="H1664" s="624">
        <v>6.5000000000000002E-2</v>
      </c>
      <c r="I1664" s="625">
        <v>14.33</v>
      </c>
      <c r="J1664" s="625">
        <v>0.93</v>
      </c>
      <c r="K1664"/>
    </row>
    <row r="1665" spans="1:11" ht="0.95" customHeight="1">
      <c r="A1665" s="621" t="s">
        <v>12708</v>
      </c>
      <c r="B1665" s="622" t="s">
        <v>13022</v>
      </c>
      <c r="C1665" s="621" t="s">
        <v>8</v>
      </c>
      <c r="D1665" s="621" t="s">
        <v>52</v>
      </c>
      <c r="E1665" s="811" t="s">
        <v>12707</v>
      </c>
      <c r="F1665" s="812"/>
      <c r="G1665" s="623" t="s">
        <v>23</v>
      </c>
      <c r="H1665" s="624">
        <v>6.5000000000000002E-2</v>
      </c>
      <c r="I1665" s="625">
        <v>18.38</v>
      </c>
      <c r="J1665" s="625">
        <v>1.19</v>
      </c>
      <c r="K1665"/>
    </row>
    <row r="1666" spans="1:11" ht="18" customHeight="1">
      <c r="A1666" s="626" t="s">
        <v>12709</v>
      </c>
      <c r="B1666" s="627" t="s">
        <v>13365</v>
      </c>
      <c r="C1666" s="626" t="s">
        <v>8</v>
      </c>
      <c r="D1666" s="626" t="s">
        <v>9123</v>
      </c>
      <c r="E1666" s="804" t="s">
        <v>12720</v>
      </c>
      <c r="F1666" s="805"/>
      <c r="G1666" s="628" t="s">
        <v>17</v>
      </c>
      <c r="H1666" s="629">
        <v>1.0169999999999999</v>
      </c>
      <c r="I1666" s="630">
        <v>2.12</v>
      </c>
      <c r="J1666" s="630">
        <v>2.15</v>
      </c>
      <c r="K1666"/>
    </row>
    <row r="1667" spans="1:11" ht="48" customHeight="1">
      <c r="A1667" s="631"/>
      <c r="B1667" s="631"/>
      <c r="C1667" s="631"/>
      <c r="D1667" s="631"/>
      <c r="E1667" s="631" t="s">
        <v>12714</v>
      </c>
      <c r="F1667" s="632">
        <v>1.3514974591847768</v>
      </c>
      <c r="G1667" s="631" t="s">
        <v>12715</v>
      </c>
      <c r="H1667" s="632">
        <v>1.1499999999999999</v>
      </c>
      <c r="I1667" s="631" t="s">
        <v>12716</v>
      </c>
      <c r="J1667" s="632">
        <v>2.5</v>
      </c>
      <c r="K1667"/>
    </row>
    <row r="1668" spans="1:11" ht="36" customHeight="1" thickBot="1">
      <c r="A1668" s="631"/>
      <c r="B1668" s="631"/>
      <c r="C1668" s="631"/>
      <c r="D1668" s="631"/>
      <c r="E1668" s="631" t="s">
        <v>12717</v>
      </c>
      <c r="F1668" s="632">
        <v>1.82</v>
      </c>
      <c r="G1668" s="631"/>
      <c r="H1668" s="806" t="s">
        <v>12718</v>
      </c>
      <c r="I1668" s="806"/>
      <c r="J1668" s="632">
        <v>8.3000000000000007</v>
      </c>
      <c r="K1668"/>
    </row>
    <row r="1669" spans="1:11" ht="36" customHeight="1" thickTop="1">
      <c r="A1669" s="633"/>
      <c r="B1669" s="633"/>
      <c r="C1669" s="633"/>
      <c r="D1669" s="633"/>
      <c r="E1669" s="633"/>
      <c r="F1669" s="633"/>
      <c r="G1669" s="633"/>
      <c r="H1669" s="633"/>
      <c r="I1669" s="633"/>
      <c r="J1669" s="633"/>
      <c r="K1669"/>
    </row>
    <row r="1670" spans="1:11" ht="24" customHeight="1">
      <c r="A1670" s="613" t="s">
        <v>12910</v>
      </c>
      <c r="B1670" s="614" t="s">
        <v>12698</v>
      </c>
      <c r="C1670" s="613" t="s">
        <v>12699</v>
      </c>
      <c r="D1670" s="613" t="s">
        <v>12700</v>
      </c>
      <c r="E1670" s="807" t="s">
        <v>12701</v>
      </c>
      <c r="F1670" s="808"/>
      <c r="G1670" s="615" t="s">
        <v>12702</v>
      </c>
      <c r="H1670" s="614" t="s">
        <v>12703</v>
      </c>
      <c r="I1670" s="614" t="s">
        <v>12704</v>
      </c>
      <c r="J1670" s="614" t="s">
        <v>12705</v>
      </c>
      <c r="K1670"/>
    </row>
    <row r="1671" spans="1:11" ht="24" customHeight="1">
      <c r="A1671" s="616" t="s">
        <v>12706</v>
      </c>
      <c r="B1671" s="617" t="s">
        <v>13364</v>
      </c>
      <c r="C1671" s="616" t="s">
        <v>8</v>
      </c>
      <c r="D1671" s="616" t="s">
        <v>4889</v>
      </c>
      <c r="E1671" s="809" t="s">
        <v>12873</v>
      </c>
      <c r="F1671" s="810"/>
      <c r="G1671" s="618" t="s">
        <v>35</v>
      </c>
      <c r="H1671" s="619">
        <v>1</v>
      </c>
      <c r="I1671" s="620">
        <v>483.47</v>
      </c>
      <c r="J1671" s="620">
        <v>483.47</v>
      </c>
      <c r="K1671"/>
    </row>
    <row r="1672" spans="1:11" ht="24" customHeight="1">
      <c r="A1672" s="621" t="s">
        <v>12708</v>
      </c>
      <c r="B1672" s="622" t="s">
        <v>13069</v>
      </c>
      <c r="C1672" s="621" t="s">
        <v>8</v>
      </c>
      <c r="D1672" s="621" t="s">
        <v>1023</v>
      </c>
      <c r="E1672" s="811" t="s">
        <v>12726</v>
      </c>
      <c r="F1672" s="812"/>
      <c r="G1672" s="623" t="s">
        <v>44</v>
      </c>
      <c r="H1672" s="624">
        <v>1.3599999999999999E-2</v>
      </c>
      <c r="I1672" s="625">
        <v>78.23</v>
      </c>
      <c r="J1672" s="625">
        <v>1.06</v>
      </c>
      <c r="K1672"/>
    </row>
    <row r="1673" spans="1:11" ht="51">
      <c r="A1673" s="621" t="s">
        <v>12708</v>
      </c>
      <c r="B1673" s="622" t="s">
        <v>13070</v>
      </c>
      <c r="C1673" s="621" t="s">
        <v>8</v>
      </c>
      <c r="D1673" s="621" t="s">
        <v>1024</v>
      </c>
      <c r="E1673" s="811" t="s">
        <v>12726</v>
      </c>
      <c r="F1673" s="812"/>
      <c r="G1673" s="623" t="s">
        <v>61</v>
      </c>
      <c r="H1673" s="624">
        <v>4.5600000000000002E-2</v>
      </c>
      <c r="I1673" s="625">
        <v>32.1</v>
      </c>
      <c r="J1673" s="625">
        <v>1.46</v>
      </c>
      <c r="K1673"/>
    </row>
    <row r="1674" spans="1:11" ht="15" customHeight="1">
      <c r="A1674" s="621" t="s">
        <v>12708</v>
      </c>
      <c r="B1674" s="622" t="s">
        <v>13098</v>
      </c>
      <c r="C1674" s="621" t="s">
        <v>8</v>
      </c>
      <c r="D1674" s="621" t="s">
        <v>4845</v>
      </c>
      <c r="E1674" s="811" t="s">
        <v>12734</v>
      </c>
      <c r="F1674" s="812"/>
      <c r="G1674" s="623" t="s">
        <v>12730</v>
      </c>
      <c r="H1674" s="624">
        <v>7.0000000000000007E-2</v>
      </c>
      <c r="I1674" s="625">
        <v>1615.86</v>
      </c>
      <c r="J1674" s="625">
        <v>113.11</v>
      </c>
      <c r="K1674"/>
    </row>
    <row r="1675" spans="1:11" ht="0.95" customHeight="1">
      <c r="A1675" s="621" t="s">
        <v>12708</v>
      </c>
      <c r="B1675" s="622" t="s">
        <v>13157</v>
      </c>
      <c r="C1675" s="621" t="s">
        <v>8</v>
      </c>
      <c r="D1675" s="621" t="s">
        <v>3331</v>
      </c>
      <c r="E1675" s="811" t="s">
        <v>12729</v>
      </c>
      <c r="F1675" s="812"/>
      <c r="G1675" s="623" t="s">
        <v>12730</v>
      </c>
      <c r="H1675" s="624">
        <v>0.121</v>
      </c>
      <c r="I1675" s="625">
        <v>155.68</v>
      </c>
      <c r="J1675" s="625">
        <v>18.829999999999998</v>
      </c>
      <c r="K1675"/>
    </row>
    <row r="1676" spans="1:11" ht="18" customHeight="1">
      <c r="A1676" s="621" t="s">
        <v>12708</v>
      </c>
      <c r="B1676" s="622" t="s">
        <v>13316</v>
      </c>
      <c r="C1676" s="621" t="s">
        <v>8</v>
      </c>
      <c r="D1676" s="621" t="s">
        <v>5774</v>
      </c>
      <c r="E1676" s="811" t="s">
        <v>12707</v>
      </c>
      <c r="F1676" s="812"/>
      <c r="G1676" s="623" t="s">
        <v>12730</v>
      </c>
      <c r="H1676" s="624">
        <v>1.8E-3</v>
      </c>
      <c r="I1676" s="625">
        <v>298.38</v>
      </c>
      <c r="J1676" s="625">
        <v>0.53</v>
      </c>
      <c r="K1676"/>
    </row>
    <row r="1677" spans="1:11" ht="36" customHeight="1">
      <c r="A1677" s="621" t="s">
        <v>12708</v>
      </c>
      <c r="B1677" s="622" t="s">
        <v>13317</v>
      </c>
      <c r="C1677" s="621" t="s">
        <v>8</v>
      </c>
      <c r="D1677" s="621" t="s">
        <v>5861</v>
      </c>
      <c r="E1677" s="811" t="s">
        <v>12707</v>
      </c>
      <c r="F1677" s="812"/>
      <c r="G1677" s="623" t="s">
        <v>12730</v>
      </c>
      <c r="H1677" s="624">
        <v>0.13059999999999999</v>
      </c>
      <c r="I1677" s="625">
        <v>349.74</v>
      </c>
      <c r="J1677" s="625">
        <v>45.67</v>
      </c>
      <c r="K1677"/>
    </row>
    <row r="1678" spans="1:11" ht="24" customHeight="1">
      <c r="A1678" s="621" t="s">
        <v>12708</v>
      </c>
      <c r="B1678" s="622" t="s">
        <v>12745</v>
      </c>
      <c r="C1678" s="621" t="s">
        <v>8</v>
      </c>
      <c r="D1678" s="621" t="s">
        <v>47</v>
      </c>
      <c r="E1678" s="811" t="s">
        <v>12707</v>
      </c>
      <c r="F1678" s="812"/>
      <c r="G1678" s="623" t="s">
        <v>23</v>
      </c>
      <c r="H1678" s="624">
        <v>6.9993999999999996</v>
      </c>
      <c r="I1678" s="625">
        <v>17.760000000000002</v>
      </c>
      <c r="J1678" s="625">
        <v>124.3</v>
      </c>
      <c r="K1678"/>
    </row>
    <row r="1679" spans="1:11" ht="24" customHeight="1">
      <c r="A1679" s="621" t="s">
        <v>12708</v>
      </c>
      <c r="B1679" s="622" t="s">
        <v>12727</v>
      </c>
      <c r="C1679" s="621" t="s">
        <v>8</v>
      </c>
      <c r="D1679" s="621" t="s">
        <v>26</v>
      </c>
      <c r="E1679" s="811" t="s">
        <v>12707</v>
      </c>
      <c r="F1679" s="812"/>
      <c r="G1679" s="623" t="s">
        <v>23</v>
      </c>
      <c r="H1679" s="624">
        <v>6.9993999999999996</v>
      </c>
      <c r="I1679" s="625">
        <v>14.37</v>
      </c>
      <c r="J1679" s="625">
        <v>100.58</v>
      </c>
      <c r="K1679"/>
    </row>
    <row r="1680" spans="1:11" ht="24" customHeight="1">
      <c r="A1680" s="626" t="s">
        <v>12709</v>
      </c>
      <c r="B1680" s="627" t="s">
        <v>13363</v>
      </c>
      <c r="C1680" s="626" t="s">
        <v>8</v>
      </c>
      <c r="D1680" s="626" t="s">
        <v>11770</v>
      </c>
      <c r="E1680" s="804" t="s">
        <v>12720</v>
      </c>
      <c r="F1680" s="805"/>
      <c r="G1680" s="628" t="s">
        <v>35</v>
      </c>
      <c r="H1680" s="629">
        <v>216.49160000000001</v>
      </c>
      <c r="I1680" s="630">
        <v>0.36</v>
      </c>
      <c r="J1680" s="630">
        <v>77.930000000000007</v>
      </c>
      <c r="K1680"/>
    </row>
    <row r="1681" spans="1:11" ht="25.5">
      <c r="A1681" s="631"/>
      <c r="B1681" s="631"/>
      <c r="C1681" s="631"/>
      <c r="D1681" s="631"/>
      <c r="E1681" s="631" t="s">
        <v>12714</v>
      </c>
      <c r="F1681" s="632">
        <v>117.43972321332036</v>
      </c>
      <c r="G1681" s="631" t="s">
        <v>12715</v>
      </c>
      <c r="H1681" s="632">
        <v>99.8</v>
      </c>
      <c r="I1681" s="631" t="s">
        <v>12716</v>
      </c>
      <c r="J1681" s="632">
        <v>217.24</v>
      </c>
      <c r="K1681"/>
    </row>
    <row r="1682" spans="1:11" ht="15" customHeight="1" thickBot="1">
      <c r="A1682" s="631"/>
      <c r="B1682" s="631"/>
      <c r="C1682" s="631"/>
      <c r="D1682" s="631"/>
      <c r="E1682" s="631" t="s">
        <v>12717</v>
      </c>
      <c r="F1682" s="632">
        <v>136.53</v>
      </c>
      <c r="G1682" s="631"/>
      <c r="H1682" s="806" t="s">
        <v>12718</v>
      </c>
      <c r="I1682" s="806"/>
      <c r="J1682" s="632">
        <v>620</v>
      </c>
      <c r="K1682"/>
    </row>
    <row r="1683" spans="1:11" ht="0.95" customHeight="1" thickTop="1">
      <c r="A1683" s="633"/>
      <c r="B1683" s="633"/>
      <c r="C1683" s="633"/>
      <c r="D1683" s="633"/>
      <c r="E1683" s="633"/>
      <c r="F1683" s="633"/>
      <c r="G1683" s="633"/>
      <c r="H1683" s="633"/>
      <c r="I1683" s="633"/>
      <c r="J1683" s="633"/>
      <c r="K1683"/>
    </row>
    <row r="1684" spans="1:11" ht="18" customHeight="1">
      <c r="A1684" s="613" t="s">
        <v>12911</v>
      </c>
      <c r="B1684" s="614" t="s">
        <v>12698</v>
      </c>
      <c r="C1684" s="613" t="s">
        <v>12699</v>
      </c>
      <c r="D1684" s="613" t="s">
        <v>12700</v>
      </c>
      <c r="E1684" s="807" t="s">
        <v>12701</v>
      </c>
      <c r="F1684" s="808"/>
      <c r="G1684" s="615" t="s">
        <v>12702</v>
      </c>
      <c r="H1684" s="614" t="s">
        <v>12703</v>
      </c>
      <c r="I1684" s="614" t="s">
        <v>12704</v>
      </c>
      <c r="J1684" s="614" t="s">
        <v>12705</v>
      </c>
      <c r="K1684"/>
    </row>
    <row r="1685" spans="1:11" ht="24" customHeight="1">
      <c r="A1685" s="616" t="s">
        <v>12706</v>
      </c>
      <c r="B1685" s="617" t="s">
        <v>13362</v>
      </c>
      <c r="C1685" s="616" t="s">
        <v>8</v>
      </c>
      <c r="D1685" s="616" t="s">
        <v>1565</v>
      </c>
      <c r="E1685" s="809" t="s">
        <v>12873</v>
      </c>
      <c r="F1685" s="810"/>
      <c r="G1685" s="618" t="s">
        <v>35</v>
      </c>
      <c r="H1685" s="619">
        <v>1</v>
      </c>
      <c r="I1685" s="620">
        <v>86.64</v>
      </c>
      <c r="J1685" s="620">
        <v>86.64</v>
      </c>
      <c r="K1685"/>
    </row>
    <row r="1686" spans="1:11" ht="24" customHeight="1">
      <c r="A1686" s="621" t="s">
        <v>12708</v>
      </c>
      <c r="B1686" s="622" t="s">
        <v>13022</v>
      </c>
      <c r="C1686" s="621" t="s">
        <v>8</v>
      </c>
      <c r="D1686" s="621" t="s">
        <v>52</v>
      </c>
      <c r="E1686" s="811" t="s">
        <v>12707</v>
      </c>
      <c r="F1686" s="812"/>
      <c r="G1686" s="623" t="s">
        <v>23</v>
      </c>
      <c r="H1686" s="624">
        <v>1.5</v>
      </c>
      <c r="I1686" s="625">
        <v>18.38</v>
      </c>
      <c r="J1686" s="625">
        <v>27.57</v>
      </c>
      <c r="K1686"/>
    </row>
    <row r="1687" spans="1:11" ht="24" customHeight="1">
      <c r="A1687" s="621" t="s">
        <v>12708</v>
      </c>
      <c r="B1687" s="622" t="s">
        <v>12727</v>
      </c>
      <c r="C1687" s="621" t="s">
        <v>8</v>
      </c>
      <c r="D1687" s="621" t="s">
        <v>26</v>
      </c>
      <c r="E1687" s="811" t="s">
        <v>12707</v>
      </c>
      <c r="F1687" s="812"/>
      <c r="G1687" s="623" t="s">
        <v>23</v>
      </c>
      <c r="H1687" s="624">
        <v>1.5</v>
      </c>
      <c r="I1687" s="625">
        <v>14.37</v>
      </c>
      <c r="J1687" s="625">
        <v>21.55</v>
      </c>
      <c r="K1687"/>
    </row>
    <row r="1688" spans="1:11" ht="24" customHeight="1">
      <c r="A1688" s="626" t="s">
        <v>12709</v>
      </c>
      <c r="B1688" s="627" t="s">
        <v>13361</v>
      </c>
      <c r="C1688" s="626" t="s">
        <v>8</v>
      </c>
      <c r="D1688" s="626" t="s">
        <v>7232</v>
      </c>
      <c r="E1688" s="804" t="s">
        <v>12720</v>
      </c>
      <c r="F1688" s="805"/>
      <c r="G1688" s="628" t="s">
        <v>35</v>
      </c>
      <c r="H1688" s="629">
        <v>1</v>
      </c>
      <c r="I1688" s="630">
        <v>15.12</v>
      </c>
      <c r="J1688" s="630">
        <v>15.12</v>
      </c>
      <c r="K1688"/>
    </row>
    <row r="1689" spans="1:11" ht="25.5">
      <c r="A1689" s="626" t="s">
        <v>12709</v>
      </c>
      <c r="B1689" s="627" t="s">
        <v>13360</v>
      </c>
      <c r="C1689" s="626" t="s">
        <v>8</v>
      </c>
      <c r="D1689" s="626" t="s">
        <v>7551</v>
      </c>
      <c r="E1689" s="804" t="s">
        <v>12720</v>
      </c>
      <c r="F1689" s="805"/>
      <c r="G1689" s="628" t="s">
        <v>35</v>
      </c>
      <c r="H1689" s="629">
        <v>1</v>
      </c>
      <c r="I1689" s="630">
        <v>22.4</v>
      </c>
      <c r="J1689" s="630">
        <v>22.4</v>
      </c>
      <c r="K1689"/>
    </row>
    <row r="1690" spans="1:11" ht="15" customHeight="1">
      <c r="A1690" s="631"/>
      <c r="B1690" s="631"/>
      <c r="C1690" s="631"/>
      <c r="D1690" s="631"/>
      <c r="E1690" s="631" t="s">
        <v>12714</v>
      </c>
      <c r="F1690" s="632">
        <v>18.818250621688833</v>
      </c>
      <c r="G1690" s="631" t="s">
        <v>12715</v>
      </c>
      <c r="H1690" s="632">
        <v>15.99</v>
      </c>
      <c r="I1690" s="631" t="s">
        <v>12716</v>
      </c>
      <c r="J1690" s="632">
        <v>34.81</v>
      </c>
      <c r="K1690"/>
    </row>
    <row r="1691" spans="1:11" ht="0.95" customHeight="1" thickBot="1">
      <c r="A1691" s="631"/>
      <c r="B1691" s="631"/>
      <c r="C1691" s="631"/>
      <c r="D1691" s="631"/>
      <c r="E1691" s="631" t="s">
        <v>12717</v>
      </c>
      <c r="F1691" s="632">
        <v>24.46</v>
      </c>
      <c r="G1691" s="631"/>
      <c r="H1691" s="806" t="s">
        <v>12718</v>
      </c>
      <c r="I1691" s="806"/>
      <c r="J1691" s="632">
        <v>111.1</v>
      </c>
      <c r="K1691"/>
    </row>
    <row r="1692" spans="1:11" ht="18" customHeight="1" thickTop="1">
      <c r="A1692" s="633"/>
      <c r="B1692" s="633"/>
      <c r="C1692" s="633"/>
      <c r="D1692" s="633"/>
      <c r="E1692" s="633"/>
      <c r="F1692" s="633"/>
      <c r="G1692" s="633"/>
      <c r="H1692" s="633"/>
      <c r="I1692" s="633"/>
      <c r="J1692" s="633"/>
      <c r="K1692"/>
    </row>
    <row r="1693" spans="1:11" ht="24" customHeight="1">
      <c r="A1693" s="613" t="s">
        <v>12912</v>
      </c>
      <c r="B1693" s="614" t="s">
        <v>12698</v>
      </c>
      <c r="C1693" s="613" t="s">
        <v>12699</v>
      </c>
      <c r="D1693" s="613" t="s">
        <v>12700</v>
      </c>
      <c r="E1693" s="807" t="s">
        <v>12701</v>
      </c>
      <c r="F1693" s="808"/>
      <c r="G1693" s="615" t="s">
        <v>12702</v>
      </c>
      <c r="H1693" s="614" t="s">
        <v>12703</v>
      </c>
      <c r="I1693" s="614" t="s">
        <v>12704</v>
      </c>
      <c r="J1693" s="614" t="s">
        <v>12705</v>
      </c>
      <c r="K1693"/>
    </row>
    <row r="1694" spans="1:11" ht="24" customHeight="1">
      <c r="A1694" s="616" t="s">
        <v>12706</v>
      </c>
      <c r="B1694" s="617" t="s">
        <v>13359</v>
      </c>
      <c r="C1694" s="616" t="s">
        <v>8</v>
      </c>
      <c r="D1694" s="616" t="s">
        <v>5432</v>
      </c>
      <c r="E1694" s="809" t="s">
        <v>12779</v>
      </c>
      <c r="F1694" s="810"/>
      <c r="G1694" s="618" t="s">
        <v>17</v>
      </c>
      <c r="H1694" s="619">
        <v>1</v>
      </c>
      <c r="I1694" s="620">
        <v>59.9</v>
      </c>
      <c r="J1694" s="620">
        <v>59.9</v>
      </c>
      <c r="K1694"/>
    </row>
    <row r="1695" spans="1:11" ht="24" customHeight="1">
      <c r="A1695" s="621" t="s">
        <v>12708</v>
      </c>
      <c r="B1695" s="622" t="s">
        <v>13184</v>
      </c>
      <c r="C1695" s="621" t="s">
        <v>8</v>
      </c>
      <c r="D1695" s="621" t="s">
        <v>3198</v>
      </c>
      <c r="E1695" s="811" t="s">
        <v>12726</v>
      </c>
      <c r="F1695" s="812"/>
      <c r="G1695" s="623" t="s">
        <v>44</v>
      </c>
      <c r="H1695" s="624">
        <v>1.32E-2</v>
      </c>
      <c r="I1695" s="625">
        <v>14.18</v>
      </c>
      <c r="J1695" s="625">
        <v>0.18</v>
      </c>
      <c r="K1695"/>
    </row>
    <row r="1696" spans="1:11" ht="36" customHeight="1">
      <c r="A1696" s="621" t="s">
        <v>12708</v>
      </c>
      <c r="B1696" s="622" t="s">
        <v>13185</v>
      </c>
      <c r="C1696" s="621" t="s">
        <v>8</v>
      </c>
      <c r="D1696" s="621" t="s">
        <v>3199</v>
      </c>
      <c r="E1696" s="811" t="s">
        <v>12726</v>
      </c>
      <c r="F1696" s="812"/>
      <c r="G1696" s="623" t="s">
        <v>61</v>
      </c>
      <c r="H1696" s="624">
        <v>1.83E-2</v>
      </c>
      <c r="I1696" s="625">
        <v>13.29</v>
      </c>
      <c r="J1696" s="625">
        <v>0.24</v>
      </c>
      <c r="K1696"/>
    </row>
    <row r="1697" spans="1:11" ht="24" customHeight="1">
      <c r="A1697" s="621" t="s">
        <v>12708</v>
      </c>
      <c r="B1697" s="622" t="s">
        <v>12727</v>
      </c>
      <c r="C1697" s="621" t="s">
        <v>8</v>
      </c>
      <c r="D1697" s="621" t="s">
        <v>26</v>
      </c>
      <c r="E1697" s="811" t="s">
        <v>12707</v>
      </c>
      <c r="F1697" s="812"/>
      <c r="G1697" s="623" t="s">
        <v>23</v>
      </c>
      <c r="H1697" s="624">
        <v>0.371</v>
      </c>
      <c r="I1697" s="625">
        <v>14.37</v>
      </c>
      <c r="J1697" s="625">
        <v>5.33</v>
      </c>
      <c r="K1697"/>
    </row>
    <row r="1698" spans="1:11" ht="25.5">
      <c r="A1698" s="621" t="s">
        <v>12708</v>
      </c>
      <c r="B1698" s="622" t="s">
        <v>13034</v>
      </c>
      <c r="C1698" s="621" t="s">
        <v>8</v>
      </c>
      <c r="D1698" s="621" t="s">
        <v>296</v>
      </c>
      <c r="E1698" s="811" t="s">
        <v>12707</v>
      </c>
      <c r="F1698" s="812"/>
      <c r="G1698" s="623" t="s">
        <v>23</v>
      </c>
      <c r="H1698" s="624">
        <v>0.27700000000000002</v>
      </c>
      <c r="I1698" s="625">
        <v>18.809999999999999</v>
      </c>
      <c r="J1698" s="625">
        <v>5.21</v>
      </c>
      <c r="K1698"/>
    </row>
    <row r="1699" spans="1:11" ht="15" customHeight="1">
      <c r="A1699" s="626" t="s">
        <v>12709</v>
      </c>
      <c r="B1699" s="627" t="s">
        <v>13358</v>
      </c>
      <c r="C1699" s="626" t="s">
        <v>8</v>
      </c>
      <c r="D1699" s="626" t="s">
        <v>8175</v>
      </c>
      <c r="E1699" s="804" t="s">
        <v>12720</v>
      </c>
      <c r="F1699" s="805"/>
      <c r="G1699" s="628" t="s">
        <v>17</v>
      </c>
      <c r="H1699" s="629">
        <v>1.05</v>
      </c>
      <c r="I1699" s="630">
        <v>39.31</v>
      </c>
      <c r="J1699" s="630">
        <v>41.27</v>
      </c>
      <c r="K1699"/>
    </row>
    <row r="1700" spans="1:11" ht="0.95" customHeight="1">
      <c r="A1700" s="626" t="s">
        <v>12709</v>
      </c>
      <c r="B1700" s="627" t="s">
        <v>13306</v>
      </c>
      <c r="C1700" s="626" t="s">
        <v>8</v>
      </c>
      <c r="D1700" s="626" t="s">
        <v>11014</v>
      </c>
      <c r="E1700" s="804" t="s">
        <v>12720</v>
      </c>
      <c r="F1700" s="805"/>
      <c r="G1700" s="628" t="s">
        <v>20</v>
      </c>
      <c r="H1700" s="629">
        <v>1.2999999999999999E-2</v>
      </c>
      <c r="I1700" s="630">
        <v>10.99</v>
      </c>
      <c r="J1700" s="630">
        <v>0.14000000000000001</v>
      </c>
      <c r="K1700"/>
    </row>
    <row r="1701" spans="1:11" ht="18" customHeight="1">
      <c r="A1701" s="626" t="s">
        <v>12709</v>
      </c>
      <c r="B1701" s="627" t="s">
        <v>13357</v>
      </c>
      <c r="C1701" s="626" t="s">
        <v>8</v>
      </c>
      <c r="D1701" s="626" t="s">
        <v>11107</v>
      </c>
      <c r="E1701" s="804" t="s">
        <v>12720</v>
      </c>
      <c r="F1701" s="805"/>
      <c r="G1701" s="628" t="s">
        <v>20</v>
      </c>
      <c r="H1701" s="629">
        <v>2.3999999999999998E-3</v>
      </c>
      <c r="I1701" s="630">
        <v>46.94</v>
      </c>
      <c r="J1701" s="630">
        <v>0.11</v>
      </c>
      <c r="K1701"/>
    </row>
    <row r="1702" spans="1:11" ht="24" customHeight="1">
      <c r="A1702" s="626" t="s">
        <v>12709</v>
      </c>
      <c r="B1702" s="627" t="s">
        <v>13356</v>
      </c>
      <c r="C1702" s="626" t="s">
        <v>8</v>
      </c>
      <c r="D1702" s="626" t="s">
        <v>11261</v>
      </c>
      <c r="E1702" s="804" t="s">
        <v>12720</v>
      </c>
      <c r="F1702" s="805"/>
      <c r="G1702" s="628" t="s">
        <v>12913</v>
      </c>
      <c r="H1702" s="629">
        <v>8.1000000000000003E-2</v>
      </c>
      <c r="I1702" s="630">
        <v>24.17</v>
      </c>
      <c r="J1702" s="630">
        <v>1.95</v>
      </c>
      <c r="K1702"/>
    </row>
    <row r="1703" spans="1:11" ht="24" customHeight="1">
      <c r="A1703" s="626" t="s">
        <v>12709</v>
      </c>
      <c r="B1703" s="627" t="s">
        <v>13355</v>
      </c>
      <c r="C1703" s="626" t="s">
        <v>8</v>
      </c>
      <c r="D1703" s="626" t="s">
        <v>11303</v>
      </c>
      <c r="E1703" s="804" t="s">
        <v>12720</v>
      </c>
      <c r="F1703" s="805"/>
      <c r="G1703" s="628" t="s">
        <v>20</v>
      </c>
      <c r="H1703" s="629">
        <v>0.09</v>
      </c>
      <c r="I1703" s="630">
        <v>60.83</v>
      </c>
      <c r="J1703" s="630">
        <v>5.47</v>
      </c>
      <c r="K1703"/>
    </row>
    <row r="1704" spans="1:11" ht="24" customHeight="1">
      <c r="A1704" s="631"/>
      <c r="B1704" s="631"/>
      <c r="C1704" s="631"/>
      <c r="D1704" s="631"/>
      <c r="E1704" s="631" t="s">
        <v>12714</v>
      </c>
      <c r="F1704" s="632">
        <v>4.1788301437993294</v>
      </c>
      <c r="G1704" s="631" t="s">
        <v>12715</v>
      </c>
      <c r="H1704" s="632">
        <v>3.55</v>
      </c>
      <c r="I1704" s="631" t="s">
        <v>12716</v>
      </c>
      <c r="J1704" s="632">
        <v>7.73</v>
      </c>
      <c r="K1704"/>
    </row>
    <row r="1705" spans="1:11" ht="24" customHeight="1" thickBot="1">
      <c r="A1705" s="631"/>
      <c r="B1705" s="631"/>
      <c r="C1705" s="631"/>
      <c r="D1705" s="631"/>
      <c r="E1705" s="631" t="s">
        <v>12717</v>
      </c>
      <c r="F1705" s="632">
        <v>16.91</v>
      </c>
      <c r="G1705" s="631"/>
      <c r="H1705" s="806" t="s">
        <v>12718</v>
      </c>
      <c r="I1705" s="806"/>
      <c r="J1705" s="632">
        <v>76.81</v>
      </c>
      <c r="K1705"/>
    </row>
    <row r="1706" spans="1:11" ht="15" thickTop="1">
      <c r="A1706" s="633"/>
      <c r="B1706" s="633"/>
      <c r="C1706" s="633"/>
      <c r="D1706" s="633"/>
      <c r="E1706" s="633"/>
      <c r="F1706" s="633"/>
      <c r="G1706" s="633"/>
      <c r="H1706" s="633"/>
      <c r="I1706" s="633"/>
      <c r="J1706" s="633"/>
      <c r="K1706"/>
    </row>
    <row r="1707" spans="1:11" ht="15" customHeight="1">
      <c r="A1707" s="613" t="s">
        <v>12914</v>
      </c>
      <c r="B1707" s="614" t="s">
        <v>12698</v>
      </c>
      <c r="C1707" s="613" t="s">
        <v>12699</v>
      </c>
      <c r="D1707" s="613" t="s">
        <v>12700</v>
      </c>
      <c r="E1707" s="807" t="s">
        <v>12701</v>
      </c>
      <c r="F1707" s="808"/>
      <c r="G1707" s="615" t="s">
        <v>12702</v>
      </c>
      <c r="H1707" s="614" t="s">
        <v>12703</v>
      </c>
      <c r="I1707" s="614" t="s">
        <v>12704</v>
      </c>
      <c r="J1707" s="614" t="s">
        <v>12705</v>
      </c>
      <c r="K1707"/>
    </row>
    <row r="1708" spans="1:11" ht="0.95" customHeight="1">
      <c r="A1708" s="616" t="s">
        <v>12706</v>
      </c>
      <c r="B1708" s="617" t="s">
        <v>13354</v>
      </c>
      <c r="C1708" s="616" t="s">
        <v>8</v>
      </c>
      <c r="D1708" s="616" t="s">
        <v>3322</v>
      </c>
      <c r="E1708" s="809" t="s">
        <v>12729</v>
      </c>
      <c r="F1708" s="810"/>
      <c r="G1708" s="618" t="s">
        <v>12730</v>
      </c>
      <c r="H1708" s="619">
        <v>1</v>
      </c>
      <c r="I1708" s="620">
        <v>135.47999999999999</v>
      </c>
      <c r="J1708" s="620">
        <v>135.47999999999999</v>
      </c>
      <c r="K1708"/>
    </row>
    <row r="1709" spans="1:11" ht="18" customHeight="1">
      <c r="A1709" s="621" t="s">
        <v>12708</v>
      </c>
      <c r="B1709" s="622" t="s">
        <v>13155</v>
      </c>
      <c r="C1709" s="621" t="s">
        <v>8</v>
      </c>
      <c r="D1709" s="621" t="s">
        <v>2447</v>
      </c>
      <c r="E1709" s="811" t="s">
        <v>12726</v>
      </c>
      <c r="F1709" s="812"/>
      <c r="G1709" s="623" t="s">
        <v>44</v>
      </c>
      <c r="H1709" s="624">
        <v>3.2000000000000001E-2</v>
      </c>
      <c r="I1709" s="625">
        <v>18.739999999999998</v>
      </c>
      <c r="J1709" s="625">
        <v>0.59</v>
      </c>
      <c r="K1709"/>
    </row>
    <row r="1710" spans="1:11" ht="48" customHeight="1">
      <c r="A1710" s="621" t="s">
        <v>12708</v>
      </c>
      <c r="B1710" s="622" t="s">
        <v>13154</v>
      </c>
      <c r="C1710" s="621" t="s">
        <v>8</v>
      </c>
      <c r="D1710" s="621" t="s">
        <v>2448</v>
      </c>
      <c r="E1710" s="811" t="s">
        <v>12726</v>
      </c>
      <c r="F1710" s="812"/>
      <c r="G1710" s="623" t="s">
        <v>61</v>
      </c>
      <c r="H1710" s="624">
        <v>0.03</v>
      </c>
      <c r="I1710" s="625">
        <v>14.15</v>
      </c>
      <c r="J1710" s="625">
        <v>0.42</v>
      </c>
      <c r="K1710"/>
    </row>
    <row r="1711" spans="1:11" ht="24" customHeight="1">
      <c r="A1711" s="621" t="s">
        <v>12708</v>
      </c>
      <c r="B1711" s="622" t="s">
        <v>12745</v>
      </c>
      <c r="C1711" s="621" t="s">
        <v>8</v>
      </c>
      <c r="D1711" s="621" t="s">
        <v>47</v>
      </c>
      <c r="E1711" s="811" t="s">
        <v>12707</v>
      </c>
      <c r="F1711" s="812"/>
      <c r="G1711" s="623" t="s">
        <v>23</v>
      </c>
      <c r="H1711" s="624">
        <v>1.6719999999999999</v>
      </c>
      <c r="I1711" s="625">
        <v>17.760000000000002</v>
      </c>
      <c r="J1711" s="625">
        <v>29.69</v>
      </c>
      <c r="K1711"/>
    </row>
    <row r="1712" spans="1:11" ht="24" customHeight="1">
      <c r="A1712" s="621" t="s">
        <v>12708</v>
      </c>
      <c r="B1712" s="622" t="s">
        <v>12727</v>
      </c>
      <c r="C1712" s="621" t="s">
        <v>8</v>
      </c>
      <c r="D1712" s="621" t="s">
        <v>26</v>
      </c>
      <c r="E1712" s="811" t="s">
        <v>12707</v>
      </c>
      <c r="F1712" s="812"/>
      <c r="G1712" s="623" t="s">
        <v>23</v>
      </c>
      <c r="H1712" s="624">
        <v>2.508</v>
      </c>
      <c r="I1712" s="625">
        <v>14.37</v>
      </c>
      <c r="J1712" s="625">
        <v>36.03</v>
      </c>
      <c r="K1712"/>
    </row>
    <row r="1713" spans="1:11" ht="36" customHeight="1">
      <c r="A1713" s="626" t="s">
        <v>12709</v>
      </c>
      <c r="B1713" s="627" t="s">
        <v>13250</v>
      </c>
      <c r="C1713" s="626" t="s">
        <v>8</v>
      </c>
      <c r="D1713" s="626" t="s">
        <v>7526</v>
      </c>
      <c r="E1713" s="804" t="s">
        <v>12720</v>
      </c>
      <c r="F1713" s="805"/>
      <c r="G1713" s="628" t="s">
        <v>12730</v>
      </c>
      <c r="H1713" s="629">
        <v>1.1000000000000001</v>
      </c>
      <c r="I1713" s="630">
        <v>62.5</v>
      </c>
      <c r="J1713" s="630">
        <v>68.75</v>
      </c>
      <c r="K1713"/>
    </row>
    <row r="1714" spans="1:11" ht="60" customHeight="1">
      <c r="A1714" s="631"/>
      <c r="B1714" s="631"/>
      <c r="C1714" s="631"/>
      <c r="D1714" s="631"/>
      <c r="E1714" s="631" t="s">
        <v>12714</v>
      </c>
      <c r="F1714" s="632">
        <v>25.100010811979672</v>
      </c>
      <c r="G1714" s="631" t="s">
        <v>12715</v>
      </c>
      <c r="H1714" s="632">
        <v>21.33</v>
      </c>
      <c r="I1714" s="631" t="s">
        <v>12716</v>
      </c>
      <c r="J1714" s="632">
        <v>46.43</v>
      </c>
      <c r="K1714"/>
    </row>
    <row r="1715" spans="1:11" ht="36" customHeight="1" thickBot="1">
      <c r="A1715" s="631"/>
      <c r="B1715" s="631"/>
      <c r="C1715" s="631"/>
      <c r="D1715" s="631"/>
      <c r="E1715" s="631" t="s">
        <v>12717</v>
      </c>
      <c r="F1715" s="632">
        <v>38.25</v>
      </c>
      <c r="G1715" s="631"/>
      <c r="H1715" s="806" t="s">
        <v>12718</v>
      </c>
      <c r="I1715" s="806"/>
      <c r="J1715" s="632">
        <v>173.73</v>
      </c>
      <c r="K1715"/>
    </row>
    <row r="1716" spans="1:11" ht="48" customHeight="1" thickTop="1">
      <c r="A1716" s="633"/>
      <c r="B1716" s="633"/>
      <c r="C1716" s="633"/>
      <c r="D1716" s="633"/>
      <c r="E1716" s="633"/>
      <c r="F1716" s="633"/>
      <c r="G1716" s="633"/>
      <c r="H1716" s="633"/>
      <c r="I1716" s="633"/>
      <c r="J1716" s="633"/>
      <c r="K1716"/>
    </row>
    <row r="1717" spans="1:11" ht="36" customHeight="1">
      <c r="A1717" s="613" t="s">
        <v>12915</v>
      </c>
      <c r="B1717" s="614" t="s">
        <v>12698</v>
      </c>
      <c r="C1717" s="613" t="s">
        <v>12699</v>
      </c>
      <c r="D1717" s="613" t="s">
        <v>12700</v>
      </c>
      <c r="E1717" s="807" t="s">
        <v>12701</v>
      </c>
      <c r="F1717" s="808"/>
      <c r="G1717" s="615" t="s">
        <v>12702</v>
      </c>
      <c r="H1717" s="614" t="s">
        <v>12703</v>
      </c>
      <c r="I1717" s="614" t="s">
        <v>12704</v>
      </c>
      <c r="J1717" s="614" t="s">
        <v>12705</v>
      </c>
      <c r="K1717"/>
    </row>
    <row r="1718" spans="1:11" ht="48" customHeight="1">
      <c r="A1718" s="616" t="s">
        <v>12706</v>
      </c>
      <c r="B1718" s="617" t="s">
        <v>12916</v>
      </c>
      <c r="C1718" s="616" t="s">
        <v>8</v>
      </c>
      <c r="D1718" s="616" t="s">
        <v>4268</v>
      </c>
      <c r="E1718" s="809" t="s">
        <v>12817</v>
      </c>
      <c r="F1718" s="810"/>
      <c r="G1718" s="618" t="s">
        <v>35</v>
      </c>
      <c r="H1718" s="619">
        <v>1</v>
      </c>
      <c r="I1718" s="620">
        <v>157.81</v>
      </c>
      <c r="J1718" s="620">
        <v>157.81</v>
      </c>
      <c r="K1718"/>
    </row>
    <row r="1719" spans="1:11" ht="25.5">
      <c r="A1719" s="621" t="s">
        <v>12708</v>
      </c>
      <c r="B1719" s="622" t="s">
        <v>12745</v>
      </c>
      <c r="C1719" s="621" t="s">
        <v>8</v>
      </c>
      <c r="D1719" s="621" t="s">
        <v>47</v>
      </c>
      <c r="E1719" s="811" t="s">
        <v>12707</v>
      </c>
      <c r="F1719" s="812"/>
      <c r="G1719" s="623" t="s">
        <v>23</v>
      </c>
      <c r="H1719" s="624">
        <v>0.5</v>
      </c>
      <c r="I1719" s="625">
        <v>17.760000000000002</v>
      </c>
      <c r="J1719" s="625">
        <v>8.8800000000000008</v>
      </c>
      <c r="K1719"/>
    </row>
    <row r="1720" spans="1:11" ht="15" customHeight="1">
      <c r="A1720" s="621" t="s">
        <v>12708</v>
      </c>
      <c r="B1720" s="622" t="s">
        <v>12727</v>
      </c>
      <c r="C1720" s="621" t="s">
        <v>8</v>
      </c>
      <c r="D1720" s="621" t="s">
        <v>26</v>
      </c>
      <c r="E1720" s="811" t="s">
        <v>12707</v>
      </c>
      <c r="F1720" s="812"/>
      <c r="G1720" s="623" t="s">
        <v>23</v>
      </c>
      <c r="H1720" s="624">
        <v>0.5</v>
      </c>
      <c r="I1720" s="625">
        <v>14.37</v>
      </c>
      <c r="J1720" s="625">
        <v>7.18</v>
      </c>
      <c r="K1720"/>
    </row>
    <row r="1721" spans="1:11" ht="0.95" customHeight="1">
      <c r="A1721" s="626" t="s">
        <v>12709</v>
      </c>
      <c r="B1721" s="627" t="s">
        <v>13353</v>
      </c>
      <c r="C1721" s="626" t="s">
        <v>8</v>
      </c>
      <c r="D1721" s="626" t="s">
        <v>9310</v>
      </c>
      <c r="E1721" s="804" t="s">
        <v>12720</v>
      </c>
      <c r="F1721" s="805"/>
      <c r="G1721" s="628" t="s">
        <v>35</v>
      </c>
      <c r="H1721" s="629">
        <v>1</v>
      </c>
      <c r="I1721" s="630">
        <v>141.75</v>
      </c>
      <c r="J1721" s="630">
        <v>141.75</v>
      </c>
      <c r="K1721"/>
    </row>
    <row r="1722" spans="1:11" ht="18" customHeight="1">
      <c r="A1722" s="631"/>
      <c r="B1722" s="631"/>
      <c r="C1722" s="631"/>
      <c r="D1722" s="631"/>
      <c r="E1722" s="631" t="s">
        <v>12714</v>
      </c>
      <c r="F1722" s="632">
        <v>6.108768515515191</v>
      </c>
      <c r="G1722" s="631" t="s">
        <v>12715</v>
      </c>
      <c r="H1722" s="632">
        <v>5.19</v>
      </c>
      <c r="I1722" s="631" t="s">
        <v>12716</v>
      </c>
      <c r="J1722" s="632">
        <v>11.3</v>
      </c>
      <c r="K1722"/>
    </row>
    <row r="1723" spans="1:11" ht="60" customHeight="1" thickBot="1">
      <c r="A1723" s="631"/>
      <c r="B1723" s="631"/>
      <c r="C1723" s="631"/>
      <c r="D1723" s="631"/>
      <c r="E1723" s="631" t="s">
        <v>12717</v>
      </c>
      <c r="F1723" s="632">
        <v>44.56</v>
      </c>
      <c r="G1723" s="631"/>
      <c r="H1723" s="806" t="s">
        <v>12718</v>
      </c>
      <c r="I1723" s="806"/>
      <c r="J1723" s="632">
        <v>202.37</v>
      </c>
      <c r="K1723"/>
    </row>
    <row r="1724" spans="1:11" ht="24" customHeight="1" thickTop="1">
      <c r="A1724" s="633"/>
      <c r="B1724" s="633"/>
      <c r="C1724" s="633"/>
      <c r="D1724" s="633"/>
      <c r="E1724" s="633"/>
      <c r="F1724" s="633"/>
      <c r="G1724" s="633"/>
      <c r="H1724" s="633"/>
      <c r="I1724" s="633"/>
      <c r="J1724" s="633"/>
      <c r="K1724"/>
    </row>
    <row r="1725" spans="1:11" ht="24" customHeight="1">
      <c r="A1725" s="613" t="s">
        <v>12917</v>
      </c>
      <c r="B1725" s="614" t="s">
        <v>12698</v>
      </c>
      <c r="C1725" s="613" t="s">
        <v>12699</v>
      </c>
      <c r="D1725" s="613" t="s">
        <v>12700</v>
      </c>
      <c r="E1725" s="807" t="s">
        <v>12701</v>
      </c>
      <c r="F1725" s="808"/>
      <c r="G1725" s="615" t="s">
        <v>12702</v>
      </c>
      <c r="H1725" s="614" t="s">
        <v>12703</v>
      </c>
      <c r="I1725" s="614" t="s">
        <v>12704</v>
      </c>
      <c r="J1725" s="614" t="s">
        <v>12705</v>
      </c>
      <c r="K1725"/>
    </row>
    <row r="1726" spans="1:11" ht="24" customHeight="1">
      <c r="A1726" s="616" t="s">
        <v>12706</v>
      </c>
      <c r="B1726" s="617" t="s">
        <v>13352</v>
      </c>
      <c r="C1726" s="616" t="s">
        <v>8</v>
      </c>
      <c r="D1726" s="616" t="s">
        <v>169</v>
      </c>
      <c r="E1726" s="809" t="s">
        <v>12817</v>
      </c>
      <c r="F1726" s="810"/>
      <c r="G1726" s="618" t="s">
        <v>35</v>
      </c>
      <c r="H1726" s="619">
        <v>1</v>
      </c>
      <c r="I1726" s="620">
        <v>178.06</v>
      </c>
      <c r="J1726" s="620">
        <v>178.06</v>
      </c>
      <c r="K1726"/>
    </row>
    <row r="1727" spans="1:11" ht="24" customHeight="1">
      <c r="A1727" s="621" t="s">
        <v>12708</v>
      </c>
      <c r="B1727" s="622" t="s">
        <v>12745</v>
      </c>
      <c r="C1727" s="621" t="s">
        <v>8</v>
      </c>
      <c r="D1727" s="621" t="s">
        <v>47</v>
      </c>
      <c r="E1727" s="811" t="s">
        <v>12707</v>
      </c>
      <c r="F1727" s="812"/>
      <c r="G1727" s="623" t="s">
        <v>23</v>
      </c>
      <c r="H1727" s="624">
        <v>0.5</v>
      </c>
      <c r="I1727" s="625">
        <v>17.760000000000002</v>
      </c>
      <c r="J1727" s="625">
        <v>8.8800000000000008</v>
      </c>
      <c r="K1727"/>
    </row>
    <row r="1728" spans="1:11" ht="24" customHeight="1">
      <c r="A1728" s="621" t="s">
        <v>12708</v>
      </c>
      <c r="B1728" s="622" t="s">
        <v>12727</v>
      </c>
      <c r="C1728" s="621" t="s">
        <v>8</v>
      </c>
      <c r="D1728" s="621" t="s">
        <v>26</v>
      </c>
      <c r="E1728" s="811" t="s">
        <v>12707</v>
      </c>
      <c r="F1728" s="812"/>
      <c r="G1728" s="623" t="s">
        <v>23</v>
      </c>
      <c r="H1728" s="624">
        <v>0.5</v>
      </c>
      <c r="I1728" s="625">
        <v>14.37</v>
      </c>
      <c r="J1728" s="625">
        <v>7.18</v>
      </c>
      <c r="K1728"/>
    </row>
    <row r="1729" spans="1:11" ht="36" customHeight="1">
      <c r="A1729" s="626" t="s">
        <v>12709</v>
      </c>
      <c r="B1729" s="627" t="s">
        <v>13351</v>
      </c>
      <c r="C1729" s="626" t="s">
        <v>8</v>
      </c>
      <c r="D1729" s="626" t="s">
        <v>9315</v>
      </c>
      <c r="E1729" s="804" t="s">
        <v>12720</v>
      </c>
      <c r="F1729" s="805"/>
      <c r="G1729" s="628" t="s">
        <v>35</v>
      </c>
      <c r="H1729" s="629">
        <v>1</v>
      </c>
      <c r="I1729" s="630">
        <v>162</v>
      </c>
      <c r="J1729" s="630">
        <v>162</v>
      </c>
      <c r="K1729"/>
    </row>
    <row r="1730" spans="1:11" ht="36" customHeight="1">
      <c r="A1730" s="631"/>
      <c r="B1730" s="631"/>
      <c r="C1730" s="631"/>
      <c r="D1730" s="631"/>
      <c r="E1730" s="631" t="s">
        <v>12714</v>
      </c>
      <c r="F1730" s="632">
        <v>6.108768515515191</v>
      </c>
      <c r="G1730" s="631" t="s">
        <v>12715</v>
      </c>
      <c r="H1730" s="632">
        <v>5.19</v>
      </c>
      <c r="I1730" s="631" t="s">
        <v>12716</v>
      </c>
      <c r="J1730" s="632">
        <v>11.3</v>
      </c>
      <c r="K1730"/>
    </row>
    <row r="1731" spans="1:11" ht="36" customHeight="1" thickBot="1">
      <c r="A1731" s="631"/>
      <c r="B1731" s="631"/>
      <c r="C1731" s="631"/>
      <c r="D1731" s="631"/>
      <c r="E1731" s="631" t="s">
        <v>12717</v>
      </c>
      <c r="F1731" s="632">
        <v>50.28</v>
      </c>
      <c r="G1731" s="631"/>
      <c r="H1731" s="806" t="s">
        <v>12718</v>
      </c>
      <c r="I1731" s="806"/>
      <c r="J1731" s="632">
        <v>228.34</v>
      </c>
      <c r="K1731"/>
    </row>
    <row r="1732" spans="1:11" ht="36" customHeight="1" thickTop="1">
      <c r="A1732" s="633"/>
      <c r="B1732" s="633"/>
      <c r="C1732" s="633"/>
      <c r="D1732" s="633"/>
      <c r="E1732" s="633"/>
      <c r="F1732" s="633"/>
      <c r="G1732" s="633"/>
      <c r="H1732" s="633"/>
      <c r="I1732" s="633"/>
      <c r="J1732" s="633"/>
      <c r="K1732"/>
    </row>
    <row r="1733" spans="1:11" ht="15">
      <c r="A1733" s="613" t="s">
        <v>12918</v>
      </c>
      <c r="B1733" s="614" t="s">
        <v>12698</v>
      </c>
      <c r="C1733" s="613" t="s">
        <v>12699</v>
      </c>
      <c r="D1733" s="613" t="s">
        <v>12700</v>
      </c>
      <c r="E1733" s="807" t="s">
        <v>12701</v>
      </c>
      <c r="F1733" s="808"/>
      <c r="G1733" s="615" t="s">
        <v>12702</v>
      </c>
      <c r="H1733" s="614" t="s">
        <v>12703</v>
      </c>
      <c r="I1733" s="614" t="s">
        <v>12704</v>
      </c>
      <c r="J1733" s="614" t="s">
        <v>12705</v>
      </c>
      <c r="K1733"/>
    </row>
    <row r="1734" spans="1:11" ht="15" customHeight="1">
      <c r="A1734" s="616" t="s">
        <v>12706</v>
      </c>
      <c r="B1734" s="617" t="s">
        <v>13350</v>
      </c>
      <c r="C1734" s="616" t="s">
        <v>8</v>
      </c>
      <c r="D1734" s="616" t="s">
        <v>126</v>
      </c>
      <c r="E1734" s="809" t="s">
        <v>12817</v>
      </c>
      <c r="F1734" s="810"/>
      <c r="G1734" s="618" t="s">
        <v>35</v>
      </c>
      <c r="H1734" s="619">
        <v>1</v>
      </c>
      <c r="I1734" s="620">
        <v>496.08</v>
      </c>
      <c r="J1734" s="620">
        <v>496.08</v>
      </c>
      <c r="K1734"/>
    </row>
    <row r="1735" spans="1:11" ht="0.95" customHeight="1">
      <c r="A1735" s="621" t="s">
        <v>12708</v>
      </c>
      <c r="B1735" s="622" t="s">
        <v>12981</v>
      </c>
      <c r="C1735" s="621" t="s">
        <v>8</v>
      </c>
      <c r="D1735" s="621" t="s">
        <v>50</v>
      </c>
      <c r="E1735" s="811" t="s">
        <v>12707</v>
      </c>
      <c r="F1735" s="812"/>
      <c r="G1735" s="623" t="s">
        <v>23</v>
      </c>
      <c r="H1735" s="624">
        <v>0.3</v>
      </c>
      <c r="I1735" s="625">
        <v>17.79</v>
      </c>
      <c r="J1735" s="625">
        <v>5.33</v>
      </c>
      <c r="K1735"/>
    </row>
    <row r="1736" spans="1:11" ht="50.1" customHeight="1">
      <c r="A1736" s="621" t="s">
        <v>12708</v>
      </c>
      <c r="B1736" s="622" t="s">
        <v>12727</v>
      </c>
      <c r="C1736" s="621" t="s">
        <v>8</v>
      </c>
      <c r="D1736" s="621" t="s">
        <v>26</v>
      </c>
      <c r="E1736" s="811" t="s">
        <v>12707</v>
      </c>
      <c r="F1736" s="812"/>
      <c r="G1736" s="623" t="s">
        <v>23</v>
      </c>
      <c r="H1736" s="624">
        <v>0.3</v>
      </c>
      <c r="I1736" s="625">
        <v>14.37</v>
      </c>
      <c r="J1736" s="625">
        <v>4.3099999999999996</v>
      </c>
      <c r="K1736"/>
    </row>
    <row r="1737" spans="1:11" ht="18" customHeight="1">
      <c r="A1737" s="626" t="s">
        <v>12709</v>
      </c>
      <c r="B1737" s="627" t="s">
        <v>13349</v>
      </c>
      <c r="C1737" s="626" t="s">
        <v>8</v>
      </c>
      <c r="D1737" s="626" t="s">
        <v>7799</v>
      </c>
      <c r="E1737" s="804" t="s">
        <v>12720</v>
      </c>
      <c r="F1737" s="805"/>
      <c r="G1737" s="628" t="s">
        <v>35</v>
      </c>
      <c r="H1737" s="629">
        <v>1</v>
      </c>
      <c r="I1737" s="630">
        <v>0.44</v>
      </c>
      <c r="J1737" s="630">
        <v>0.44</v>
      </c>
      <c r="K1737"/>
    </row>
    <row r="1738" spans="1:11" ht="24" customHeight="1">
      <c r="A1738" s="626" t="s">
        <v>12709</v>
      </c>
      <c r="B1738" s="627" t="s">
        <v>13348</v>
      </c>
      <c r="C1738" s="626" t="s">
        <v>8</v>
      </c>
      <c r="D1738" s="626" t="s">
        <v>9312</v>
      </c>
      <c r="E1738" s="804" t="s">
        <v>12720</v>
      </c>
      <c r="F1738" s="805"/>
      <c r="G1738" s="628" t="s">
        <v>35</v>
      </c>
      <c r="H1738" s="629">
        <v>1</v>
      </c>
      <c r="I1738" s="630">
        <v>486</v>
      </c>
      <c r="J1738" s="630">
        <v>486</v>
      </c>
      <c r="K1738"/>
    </row>
    <row r="1739" spans="1:11" ht="24" customHeight="1">
      <c r="A1739" s="631"/>
      <c r="B1739" s="631"/>
      <c r="C1739" s="631"/>
      <c r="D1739" s="631"/>
      <c r="E1739" s="631" t="s">
        <v>12714</v>
      </c>
      <c r="F1739" s="632">
        <v>3.7301329873499838</v>
      </c>
      <c r="G1739" s="631" t="s">
        <v>12715</v>
      </c>
      <c r="H1739" s="632">
        <v>3.17</v>
      </c>
      <c r="I1739" s="631" t="s">
        <v>12716</v>
      </c>
      <c r="J1739" s="632">
        <v>6.9</v>
      </c>
      <c r="K1739"/>
    </row>
    <row r="1740" spans="1:11" ht="24" customHeight="1" thickBot="1">
      <c r="A1740" s="631"/>
      <c r="B1740" s="631"/>
      <c r="C1740" s="631"/>
      <c r="D1740" s="631"/>
      <c r="E1740" s="631" t="s">
        <v>12717</v>
      </c>
      <c r="F1740" s="632">
        <v>140.09</v>
      </c>
      <c r="G1740" s="631"/>
      <c r="H1740" s="806" t="s">
        <v>12718</v>
      </c>
      <c r="I1740" s="806"/>
      <c r="J1740" s="632">
        <v>636.16999999999996</v>
      </c>
      <c r="K1740"/>
    </row>
    <row r="1741" spans="1:11" ht="24" customHeight="1" thickTop="1">
      <c r="A1741" s="633"/>
      <c r="B1741" s="633"/>
      <c r="C1741" s="633"/>
      <c r="D1741" s="633"/>
      <c r="E1741" s="633"/>
      <c r="F1741" s="633"/>
      <c r="G1741" s="633"/>
      <c r="H1741" s="633"/>
      <c r="I1741" s="633"/>
      <c r="J1741" s="633"/>
      <c r="K1741"/>
    </row>
    <row r="1742" spans="1:11" ht="24" customHeight="1">
      <c r="A1742" s="613" t="s">
        <v>12919</v>
      </c>
      <c r="B1742" s="614" t="s">
        <v>12698</v>
      </c>
      <c r="C1742" s="613" t="s">
        <v>12699</v>
      </c>
      <c r="D1742" s="613" t="s">
        <v>12700</v>
      </c>
      <c r="E1742" s="807" t="s">
        <v>12701</v>
      </c>
      <c r="F1742" s="808"/>
      <c r="G1742" s="615" t="s">
        <v>12702</v>
      </c>
      <c r="H1742" s="614" t="s">
        <v>12703</v>
      </c>
      <c r="I1742" s="614" t="s">
        <v>12704</v>
      </c>
      <c r="J1742" s="614" t="s">
        <v>12705</v>
      </c>
      <c r="K1742"/>
    </row>
    <row r="1743" spans="1:11" ht="24" customHeight="1">
      <c r="A1743" s="616" t="s">
        <v>12706</v>
      </c>
      <c r="B1743" s="617" t="s">
        <v>13347</v>
      </c>
      <c r="C1743" s="616" t="s">
        <v>8</v>
      </c>
      <c r="D1743" s="616" t="s">
        <v>197</v>
      </c>
      <c r="E1743" s="809" t="s">
        <v>12784</v>
      </c>
      <c r="F1743" s="810"/>
      <c r="G1743" s="618" t="s">
        <v>12725</v>
      </c>
      <c r="H1743" s="619">
        <v>1</v>
      </c>
      <c r="I1743" s="620">
        <v>16.75</v>
      </c>
      <c r="J1743" s="620">
        <v>16.75</v>
      </c>
      <c r="K1743"/>
    </row>
    <row r="1744" spans="1:11" ht="24" customHeight="1">
      <c r="A1744" s="621" t="s">
        <v>12708</v>
      </c>
      <c r="B1744" s="622" t="s">
        <v>13090</v>
      </c>
      <c r="C1744" s="621" t="s">
        <v>8</v>
      </c>
      <c r="D1744" s="621" t="s">
        <v>287</v>
      </c>
      <c r="E1744" s="811" t="s">
        <v>12707</v>
      </c>
      <c r="F1744" s="812"/>
      <c r="G1744" s="623" t="s">
        <v>23</v>
      </c>
      <c r="H1744" s="624">
        <v>0.5</v>
      </c>
      <c r="I1744" s="625">
        <v>18.88</v>
      </c>
      <c r="J1744" s="625">
        <v>9.44</v>
      </c>
      <c r="K1744"/>
    </row>
    <row r="1745" spans="1:11" ht="24" customHeight="1">
      <c r="A1745" s="621" t="s">
        <v>12708</v>
      </c>
      <c r="B1745" s="622" t="s">
        <v>12727</v>
      </c>
      <c r="C1745" s="621" t="s">
        <v>8</v>
      </c>
      <c r="D1745" s="621" t="s">
        <v>26</v>
      </c>
      <c r="E1745" s="811" t="s">
        <v>12707</v>
      </c>
      <c r="F1745" s="812"/>
      <c r="G1745" s="623" t="s">
        <v>23</v>
      </c>
      <c r="H1745" s="624">
        <v>0.33</v>
      </c>
      <c r="I1745" s="625">
        <v>14.37</v>
      </c>
      <c r="J1745" s="625">
        <v>4.74</v>
      </c>
      <c r="K1745"/>
    </row>
    <row r="1746" spans="1:11" ht="24" customHeight="1">
      <c r="A1746" s="626" t="s">
        <v>12709</v>
      </c>
      <c r="B1746" s="627" t="s">
        <v>13346</v>
      </c>
      <c r="C1746" s="626" t="s">
        <v>8</v>
      </c>
      <c r="D1746" s="626" t="s">
        <v>11779</v>
      </c>
      <c r="E1746" s="804" t="s">
        <v>12720</v>
      </c>
      <c r="F1746" s="805"/>
      <c r="G1746" s="628" t="s">
        <v>58</v>
      </c>
      <c r="H1746" s="629">
        <v>0.35</v>
      </c>
      <c r="I1746" s="630">
        <v>7.35</v>
      </c>
      <c r="J1746" s="630">
        <v>2.57</v>
      </c>
      <c r="K1746"/>
    </row>
    <row r="1747" spans="1:11" ht="25.5">
      <c r="A1747" s="631"/>
      <c r="B1747" s="631"/>
      <c r="C1747" s="631"/>
      <c r="D1747" s="631"/>
      <c r="E1747" s="631" t="s">
        <v>12714</v>
      </c>
      <c r="F1747" s="632">
        <v>5.2113742026164989</v>
      </c>
      <c r="G1747" s="631" t="s">
        <v>12715</v>
      </c>
      <c r="H1747" s="632">
        <v>4.43</v>
      </c>
      <c r="I1747" s="631" t="s">
        <v>12716</v>
      </c>
      <c r="J1747" s="632">
        <v>9.64</v>
      </c>
      <c r="K1747"/>
    </row>
    <row r="1748" spans="1:11" ht="15" customHeight="1" thickBot="1">
      <c r="A1748" s="631"/>
      <c r="B1748" s="631"/>
      <c r="C1748" s="631"/>
      <c r="D1748" s="631"/>
      <c r="E1748" s="631" t="s">
        <v>12717</v>
      </c>
      <c r="F1748" s="632">
        <v>4.7300000000000004</v>
      </c>
      <c r="G1748" s="631"/>
      <c r="H1748" s="806" t="s">
        <v>12718</v>
      </c>
      <c r="I1748" s="806"/>
      <c r="J1748" s="632">
        <v>21.48</v>
      </c>
      <c r="K1748"/>
    </row>
    <row r="1749" spans="1:11" ht="0.95" customHeight="1" thickTop="1">
      <c r="A1749" s="633"/>
      <c r="B1749" s="633"/>
      <c r="C1749" s="633"/>
      <c r="D1749" s="633"/>
      <c r="E1749" s="633"/>
      <c r="F1749" s="633"/>
      <c r="G1749" s="633"/>
      <c r="H1749" s="633"/>
      <c r="I1749" s="633"/>
      <c r="J1749" s="633"/>
      <c r="K1749"/>
    </row>
    <row r="1750" spans="1:11" ht="18" customHeight="1">
      <c r="A1750" s="613" t="s">
        <v>12920</v>
      </c>
      <c r="B1750" s="614" t="s">
        <v>12698</v>
      </c>
      <c r="C1750" s="613" t="s">
        <v>12699</v>
      </c>
      <c r="D1750" s="613" t="s">
        <v>12700</v>
      </c>
      <c r="E1750" s="807" t="s">
        <v>12701</v>
      </c>
      <c r="F1750" s="808"/>
      <c r="G1750" s="615" t="s">
        <v>12702</v>
      </c>
      <c r="H1750" s="614" t="s">
        <v>12703</v>
      </c>
      <c r="I1750" s="614" t="s">
        <v>12704</v>
      </c>
      <c r="J1750" s="614" t="s">
        <v>12705</v>
      </c>
      <c r="K1750"/>
    </row>
    <row r="1751" spans="1:11" ht="24" customHeight="1">
      <c r="A1751" s="616" t="s">
        <v>12706</v>
      </c>
      <c r="B1751" s="617" t="s">
        <v>13345</v>
      </c>
      <c r="C1751" s="616" t="s">
        <v>8</v>
      </c>
      <c r="D1751" s="616" t="s">
        <v>1160</v>
      </c>
      <c r="E1751" s="809" t="s">
        <v>12817</v>
      </c>
      <c r="F1751" s="810"/>
      <c r="G1751" s="618" t="s">
        <v>35</v>
      </c>
      <c r="H1751" s="619">
        <v>1</v>
      </c>
      <c r="I1751" s="620">
        <v>928.86</v>
      </c>
      <c r="J1751" s="620">
        <v>928.86</v>
      </c>
      <c r="K1751"/>
    </row>
    <row r="1752" spans="1:11" ht="24" customHeight="1">
      <c r="A1752" s="621" t="s">
        <v>12708</v>
      </c>
      <c r="B1752" s="622" t="s">
        <v>12981</v>
      </c>
      <c r="C1752" s="621" t="s">
        <v>8</v>
      </c>
      <c r="D1752" s="621" t="s">
        <v>50</v>
      </c>
      <c r="E1752" s="811" t="s">
        <v>12707</v>
      </c>
      <c r="F1752" s="812"/>
      <c r="G1752" s="623" t="s">
        <v>23</v>
      </c>
      <c r="H1752" s="624">
        <v>3.5</v>
      </c>
      <c r="I1752" s="625">
        <v>17.79</v>
      </c>
      <c r="J1752" s="625">
        <v>62.26</v>
      </c>
      <c r="K1752"/>
    </row>
    <row r="1753" spans="1:11" ht="24" customHeight="1">
      <c r="A1753" s="621" t="s">
        <v>12708</v>
      </c>
      <c r="B1753" s="622" t="s">
        <v>12727</v>
      </c>
      <c r="C1753" s="621" t="s">
        <v>8</v>
      </c>
      <c r="D1753" s="621" t="s">
        <v>26</v>
      </c>
      <c r="E1753" s="811" t="s">
        <v>12707</v>
      </c>
      <c r="F1753" s="812"/>
      <c r="G1753" s="623" t="s">
        <v>23</v>
      </c>
      <c r="H1753" s="624">
        <v>3.5</v>
      </c>
      <c r="I1753" s="625">
        <v>14.37</v>
      </c>
      <c r="J1753" s="625">
        <v>50.29</v>
      </c>
      <c r="K1753"/>
    </row>
    <row r="1754" spans="1:11" ht="24" customHeight="1">
      <c r="A1754" s="626" t="s">
        <v>12709</v>
      </c>
      <c r="B1754" s="627" t="s">
        <v>13344</v>
      </c>
      <c r="C1754" s="626" t="s">
        <v>8</v>
      </c>
      <c r="D1754" s="626" t="s">
        <v>7325</v>
      </c>
      <c r="E1754" s="804" t="s">
        <v>12720</v>
      </c>
      <c r="F1754" s="805"/>
      <c r="G1754" s="628" t="s">
        <v>35</v>
      </c>
      <c r="H1754" s="629">
        <v>1</v>
      </c>
      <c r="I1754" s="630">
        <v>53.37</v>
      </c>
      <c r="J1754" s="630">
        <v>53.37</v>
      </c>
      <c r="K1754"/>
    </row>
    <row r="1755" spans="1:11" ht="24" customHeight="1">
      <c r="A1755" s="626" t="s">
        <v>12709</v>
      </c>
      <c r="B1755" s="627" t="s">
        <v>13343</v>
      </c>
      <c r="C1755" s="626" t="s">
        <v>8</v>
      </c>
      <c r="D1755" s="626" t="s">
        <v>8097</v>
      </c>
      <c r="E1755" s="804" t="s">
        <v>12720</v>
      </c>
      <c r="F1755" s="805"/>
      <c r="G1755" s="628" t="s">
        <v>35</v>
      </c>
      <c r="H1755" s="629">
        <v>1</v>
      </c>
      <c r="I1755" s="630">
        <v>226.93</v>
      </c>
      <c r="J1755" s="630">
        <v>226.93</v>
      </c>
      <c r="K1755"/>
    </row>
    <row r="1756" spans="1:11" ht="24" customHeight="1">
      <c r="A1756" s="626" t="s">
        <v>12709</v>
      </c>
      <c r="B1756" s="627" t="s">
        <v>13342</v>
      </c>
      <c r="C1756" s="626" t="s">
        <v>8</v>
      </c>
      <c r="D1756" s="626" t="s">
        <v>9258</v>
      </c>
      <c r="E1756" s="804" t="s">
        <v>12720</v>
      </c>
      <c r="F1756" s="805"/>
      <c r="G1756" s="628" t="s">
        <v>35</v>
      </c>
      <c r="H1756" s="629">
        <v>1</v>
      </c>
      <c r="I1756" s="630">
        <v>43.67</v>
      </c>
      <c r="J1756" s="630">
        <v>43.67</v>
      </c>
      <c r="K1756"/>
    </row>
    <row r="1757" spans="1:11" ht="24" customHeight="1">
      <c r="A1757" s="626" t="s">
        <v>12709</v>
      </c>
      <c r="B1757" s="627" t="s">
        <v>13341</v>
      </c>
      <c r="C1757" s="626" t="s">
        <v>8</v>
      </c>
      <c r="D1757" s="626" t="s">
        <v>10307</v>
      </c>
      <c r="E1757" s="804" t="s">
        <v>12720</v>
      </c>
      <c r="F1757" s="805"/>
      <c r="G1757" s="628" t="s">
        <v>35</v>
      </c>
      <c r="H1757" s="629">
        <v>1</v>
      </c>
      <c r="I1757" s="630">
        <v>283.48</v>
      </c>
      <c r="J1757" s="630">
        <v>283.48</v>
      </c>
      <c r="K1757"/>
    </row>
    <row r="1758" spans="1:11" ht="24" customHeight="1">
      <c r="A1758" s="626" t="s">
        <v>12709</v>
      </c>
      <c r="B1758" s="627" t="s">
        <v>13340</v>
      </c>
      <c r="C1758" s="626" t="s">
        <v>8</v>
      </c>
      <c r="D1758" s="626" t="s">
        <v>11120</v>
      </c>
      <c r="E1758" s="804" t="s">
        <v>12720</v>
      </c>
      <c r="F1758" s="805"/>
      <c r="G1758" s="628" t="s">
        <v>35</v>
      </c>
      <c r="H1758" s="629">
        <v>1</v>
      </c>
      <c r="I1758" s="630">
        <v>87.02</v>
      </c>
      <c r="J1758" s="630">
        <v>87.02</v>
      </c>
      <c r="K1758"/>
    </row>
    <row r="1759" spans="1:11" ht="24" customHeight="1">
      <c r="A1759" s="626" t="s">
        <v>12709</v>
      </c>
      <c r="B1759" s="627" t="s">
        <v>13339</v>
      </c>
      <c r="C1759" s="626" t="s">
        <v>8</v>
      </c>
      <c r="D1759" s="626" t="s">
        <v>11163</v>
      </c>
      <c r="E1759" s="804" t="s">
        <v>12720</v>
      </c>
      <c r="F1759" s="805"/>
      <c r="G1759" s="628" t="s">
        <v>35</v>
      </c>
      <c r="H1759" s="629">
        <v>1</v>
      </c>
      <c r="I1759" s="630">
        <v>121.84</v>
      </c>
      <c r="J1759" s="630">
        <v>121.84</v>
      </c>
      <c r="K1759"/>
    </row>
    <row r="1760" spans="1:11" ht="25.5">
      <c r="A1760" s="631"/>
      <c r="B1760" s="631"/>
      <c r="C1760" s="631"/>
      <c r="D1760" s="631"/>
      <c r="E1760" s="631" t="s">
        <v>12714</v>
      </c>
      <c r="F1760" s="632">
        <v>43.572278084117201</v>
      </c>
      <c r="G1760" s="631" t="s">
        <v>12715</v>
      </c>
      <c r="H1760" s="632">
        <v>37.03</v>
      </c>
      <c r="I1760" s="631" t="s">
        <v>12716</v>
      </c>
      <c r="J1760" s="632">
        <v>80.599999999999994</v>
      </c>
      <c r="K1760"/>
    </row>
    <row r="1761" spans="1:11" ht="15" customHeight="1" thickBot="1">
      <c r="A1761" s="631"/>
      <c r="B1761" s="631"/>
      <c r="C1761" s="631"/>
      <c r="D1761" s="631"/>
      <c r="E1761" s="631" t="s">
        <v>12717</v>
      </c>
      <c r="F1761" s="632">
        <v>262.31</v>
      </c>
      <c r="G1761" s="631"/>
      <c r="H1761" s="806" t="s">
        <v>12718</v>
      </c>
      <c r="I1761" s="806"/>
      <c r="J1761" s="632">
        <v>1191.17</v>
      </c>
      <c r="K1761"/>
    </row>
    <row r="1762" spans="1:11" ht="0.95" customHeight="1" thickTop="1">
      <c r="A1762" s="633"/>
      <c r="B1762" s="633"/>
      <c r="C1762" s="633"/>
      <c r="D1762" s="633"/>
      <c r="E1762" s="633"/>
      <c r="F1762" s="633"/>
      <c r="G1762" s="633"/>
      <c r="H1762" s="633"/>
      <c r="I1762" s="633"/>
      <c r="J1762" s="633"/>
      <c r="K1762"/>
    </row>
    <row r="1763" spans="1:11" ht="18" customHeight="1">
      <c r="A1763" s="613" t="s">
        <v>12921</v>
      </c>
      <c r="B1763" s="614" t="s">
        <v>12698</v>
      </c>
      <c r="C1763" s="613" t="s">
        <v>12699</v>
      </c>
      <c r="D1763" s="613" t="s">
        <v>12700</v>
      </c>
      <c r="E1763" s="807" t="s">
        <v>12701</v>
      </c>
      <c r="F1763" s="808"/>
      <c r="G1763" s="615" t="s">
        <v>12702</v>
      </c>
      <c r="H1763" s="614" t="s">
        <v>12703</v>
      </c>
      <c r="I1763" s="614" t="s">
        <v>12704</v>
      </c>
      <c r="J1763" s="614" t="s">
        <v>12705</v>
      </c>
      <c r="K1763"/>
    </row>
    <row r="1764" spans="1:11" ht="24" customHeight="1">
      <c r="A1764" s="616" t="s">
        <v>12706</v>
      </c>
      <c r="B1764" s="617" t="s">
        <v>13338</v>
      </c>
      <c r="C1764" s="616" t="s">
        <v>8</v>
      </c>
      <c r="D1764" s="616" t="s">
        <v>5582</v>
      </c>
      <c r="E1764" s="809" t="s">
        <v>12790</v>
      </c>
      <c r="F1764" s="810"/>
      <c r="G1764" s="618" t="s">
        <v>17</v>
      </c>
      <c r="H1764" s="619">
        <v>1</v>
      </c>
      <c r="I1764" s="620">
        <v>367.73</v>
      </c>
      <c r="J1764" s="620">
        <v>367.73</v>
      </c>
      <c r="K1764"/>
    </row>
    <row r="1765" spans="1:11" ht="24" customHeight="1">
      <c r="A1765" s="621" t="s">
        <v>12708</v>
      </c>
      <c r="B1765" s="622" t="s">
        <v>13309</v>
      </c>
      <c r="C1765" s="621" t="s">
        <v>8</v>
      </c>
      <c r="D1765" s="621" t="s">
        <v>245</v>
      </c>
      <c r="E1765" s="811" t="s">
        <v>12707</v>
      </c>
      <c r="F1765" s="812"/>
      <c r="G1765" s="623" t="s">
        <v>23</v>
      </c>
      <c r="H1765" s="624">
        <v>4.5259999999999998</v>
      </c>
      <c r="I1765" s="625">
        <v>14.43</v>
      </c>
      <c r="J1765" s="625">
        <v>65.31</v>
      </c>
      <c r="K1765"/>
    </row>
    <row r="1766" spans="1:11" ht="24" customHeight="1">
      <c r="A1766" s="621" t="s">
        <v>12708</v>
      </c>
      <c r="B1766" s="622" t="s">
        <v>13054</v>
      </c>
      <c r="C1766" s="621" t="s">
        <v>8</v>
      </c>
      <c r="D1766" s="621" t="s">
        <v>49</v>
      </c>
      <c r="E1766" s="811" t="s">
        <v>12707</v>
      </c>
      <c r="F1766" s="812"/>
      <c r="G1766" s="623" t="s">
        <v>23</v>
      </c>
      <c r="H1766" s="624">
        <v>5.51</v>
      </c>
      <c r="I1766" s="625">
        <v>17.68</v>
      </c>
      <c r="J1766" s="625">
        <v>97.41</v>
      </c>
      <c r="K1766"/>
    </row>
    <row r="1767" spans="1:11" ht="24" customHeight="1">
      <c r="A1767" s="626" t="s">
        <v>12709</v>
      </c>
      <c r="B1767" s="627" t="s">
        <v>13337</v>
      </c>
      <c r="C1767" s="626" t="s">
        <v>8</v>
      </c>
      <c r="D1767" s="626" t="s">
        <v>8348</v>
      </c>
      <c r="E1767" s="804" t="s">
        <v>12720</v>
      </c>
      <c r="F1767" s="805"/>
      <c r="G1767" s="628" t="s">
        <v>20</v>
      </c>
      <c r="H1767" s="629">
        <v>0.89600000000000002</v>
      </c>
      <c r="I1767" s="630">
        <v>7.75</v>
      </c>
      <c r="J1767" s="630">
        <v>6.94</v>
      </c>
      <c r="K1767"/>
    </row>
    <row r="1768" spans="1:11" ht="24" customHeight="1">
      <c r="A1768" s="626" t="s">
        <v>12709</v>
      </c>
      <c r="B1768" s="627" t="s">
        <v>13336</v>
      </c>
      <c r="C1768" s="626" t="s">
        <v>8</v>
      </c>
      <c r="D1768" s="626" t="s">
        <v>9117</v>
      </c>
      <c r="E1768" s="804" t="s">
        <v>12720</v>
      </c>
      <c r="F1768" s="805"/>
      <c r="G1768" s="628" t="s">
        <v>20</v>
      </c>
      <c r="H1768" s="629">
        <v>6.5000000000000002E-2</v>
      </c>
      <c r="I1768" s="630">
        <v>12</v>
      </c>
      <c r="J1768" s="630">
        <v>0.78</v>
      </c>
      <c r="K1768"/>
    </row>
    <row r="1769" spans="1:11" ht="24" customHeight="1">
      <c r="A1769" s="626" t="s">
        <v>12709</v>
      </c>
      <c r="B1769" s="627" t="s">
        <v>13165</v>
      </c>
      <c r="C1769" s="626" t="s">
        <v>8</v>
      </c>
      <c r="D1769" s="626" t="s">
        <v>10614</v>
      </c>
      <c r="E1769" s="804" t="s">
        <v>12720</v>
      </c>
      <c r="F1769" s="805"/>
      <c r="G1769" s="628" t="s">
        <v>35</v>
      </c>
      <c r="H1769" s="629">
        <v>3.3330000000000002</v>
      </c>
      <c r="I1769" s="630">
        <v>1.65</v>
      </c>
      <c r="J1769" s="630">
        <v>5.49</v>
      </c>
      <c r="K1769"/>
    </row>
    <row r="1770" spans="1:11" ht="24" customHeight="1">
      <c r="A1770" s="626" t="s">
        <v>12709</v>
      </c>
      <c r="B1770" s="627" t="s">
        <v>13335</v>
      </c>
      <c r="C1770" s="626" t="s">
        <v>8</v>
      </c>
      <c r="D1770" s="626" t="s">
        <v>11912</v>
      </c>
      <c r="E1770" s="804" t="s">
        <v>12720</v>
      </c>
      <c r="F1770" s="805"/>
      <c r="G1770" s="628" t="s">
        <v>17</v>
      </c>
      <c r="H1770" s="629">
        <v>6.25</v>
      </c>
      <c r="I1770" s="630">
        <v>14.75</v>
      </c>
      <c r="J1770" s="630">
        <v>92.18</v>
      </c>
      <c r="K1770"/>
    </row>
    <row r="1771" spans="1:11" ht="24" customHeight="1">
      <c r="A1771" s="626" t="s">
        <v>12709</v>
      </c>
      <c r="B1771" s="627" t="s">
        <v>13334</v>
      </c>
      <c r="C1771" s="626" t="s">
        <v>8</v>
      </c>
      <c r="D1771" s="626" t="s">
        <v>11913</v>
      </c>
      <c r="E1771" s="804" t="s">
        <v>12720</v>
      </c>
      <c r="F1771" s="805"/>
      <c r="G1771" s="628" t="s">
        <v>17</v>
      </c>
      <c r="H1771" s="629">
        <v>2.0230000000000001</v>
      </c>
      <c r="I1771" s="630">
        <v>19.809999999999999</v>
      </c>
      <c r="J1771" s="630">
        <v>40.07</v>
      </c>
      <c r="K1771"/>
    </row>
    <row r="1772" spans="1:11" ht="24" customHeight="1">
      <c r="A1772" s="626" t="s">
        <v>12709</v>
      </c>
      <c r="B1772" s="627" t="s">
        <v>13333</v>
      </c>
      <c r="C1772" s="626" t="s">
        <v>8</v>
      </c>
      <c r="D1772" s="626" t="s">
        <v>11914</v>
      </c>
      <c r="E1772" s="804" t="s">
        <v>12720</v>
      </c>
      <c r="F1772" s="805"/>
      <c r="G1772" s="628" t="s">
        <v>17</v>
      </c>
      <c r="H1772" s="629">
        <v>0.92600000000000005</v>
      </c>
      <c r="I1772" s="630">
        <v>28.87</v>
      </c>
      <c r="J1772" s="630">
        <v>26.73</v>
      </c>
      <c r="K1772"/>
    </row>
    <row r="1773" spans="1:11" ht="25.5">
      <c r="A1773" s="626" t="s">
        <v>12709</v>
      </c>
      <c r="B1773" s="627" t="s">
        <v>13332</v>
      </c>
      <c r="C1773" s="626" t="s">
        <v>8</v>
      </c>
      <c r="D1773" s="626" t="s">
        <v>11915</v>
      </c>
      <c r="E1773" s="804" t="s">
        <v>12720</v>
      </c>
      <c r="F1773" s="805"/>
      <c r="G1773" s="628" t="s">
        <v>17</v>
      </c>
      <c r="H1773" s="629">
        <v>1.0289999999999999</v>
      </c>
      <c r="I1773" s="630">
        <v>31.9</v>
      </c>
      <c r="J1773" s="630">
        <v>32.82</v>
      </c>
      <c r="K1773"/>
    </row>
    <row r="1774" spans="1:11" ht="15" customHeight="1">
      <c r="A1774" s="631"/>
      <c r="B1774" s="631"/>
      <c r="C1774" s="631"/>
      <c r="D1774" s="631"/>
      <c r="E1774" s="631" t="s">
        <v>12714</v>
      </c>
      <c r="F1774" s="632">
        <v>61.979673478213861</v>
      </c>
      <c r="G1774" s="631" t="s">
        <v>12715</v>
      </c>
      <c r="H1774" s="632">
        <v>52.67</v>
      </c>
      <c r="I1774" s="631" t="s">
        <v>12716</v>
      </c>
      <c r="J1774" s="632">
        <v>114.65</v>
      </c>
      <c r="K1774"/>
    </row>
    <row r="1775" spans="1:11" ht="0.95" customHeight="1" thickBot="1">
      <c r="A1775" s="631"/>
      <c r="B1775" s="631"/>
      <c r="C1775" s="631"/>
      <c r="D1775" s="631"/>
      <c r="E1775" s="631" t="s">
        <v>12717</v>
      </c>
      <c r="F1775" s="632">
        <v>103.84</v>
      </c>
      <c r="G1775" s="631"/>
      <c r="H1775" s="806" t="s">
        <v>12718</v>
      </c>
      <c r="I1775" s="806"/>
      <c r="J1775" s="632">
        <v>471.57</v>
      </c>
      <c r="K1775"/>
    </row>
    <row r="1776" spans="1:11" ht="18" customHeight="1" thickTop="1">
      <c r="A1776" s="633"/>
      <c r="B1776" s="633"/>
      <c r="C1776" s="633"/>
      <c r="D1776" s="633"/>
      <c r="E1776" s="633"/>
      <c r="F1776" s="633"/>
      <c r="G1776" s="633"/>
      <c r="H1776" s="633"/>
      <c r="I1776" s="633"/>
      <c r="J1776" s="633"/>
      <c r="K1776"/>
    </row>
    <row r="1777" spans="1:11" ht="36" customHeight="1">
      <c r="A1777" s="813" t="s">
        <v>12922</v>
      </c>
      <c r="B1777" s="813"/>
      <c r="C1777" s="813"/>
      <c r="D1777" s="813"/>
      <c r="E1777" s="813"/>
      <c r="F1777" s="813"/>
      <c r="G1777" s="813"/>
      <c r="H1777" s="813"/>
      <c r="I1777" s="813"/>
      <c r="J1777" s="813"/>
      <c r="K1777" s="813"/>
    </row>
    <row r="1778" spans="1:11" ht="24" customHeight="1">
      <c r="A1778" s="613"/>
      <c r="B1778" s="614" t="s">
        <v>12698</v>
      </c>
      <c r="C1778" s="613" t="s">
        <v>12699</v>
      </c>
      <c r="D1778" s="613" t="s">
        <v>12700</v>
      </c>
      <c r="E1778" s="807" t="s">
        <v>12701</v>
      </c>
      <c r="F1778" s="808"/>
      <c r="G1778" s="615" t="s">
        <v>12702</v>
      </c>
      <c r="H1778" s="614" t="s">
        <v>12703</v>
      </c>
      <c r="I1778" s="614" t="s">
        <v>12704</v>
      </c>
      <c r="J1778" s="614" t="s">
        <v>12705</v>
      </c>
      <c r="K1778"/>
    </row>
    <row r="1779" spans="1:11" ht="24" customHeight="1">
      <c r="A1779" s="616" t="s">
        <v>12706</v>
      </c>
      <c r="B1779" s="617" t="s">
        <v>13237</v>
      </c>
      <c r="C1779" s="616" t="s">
        <v>8</v>
      </c>
      <c r="D1779" s="616" t="s">
        <v>236</v>
      </c>
      <c r="E1779" s="809" t="s">
        <v>12707</v>
      </c>
      <c r="F1779" s="810"/>
      <c r="G1779" s="618" t="s">
        <v>23</v>
      </c>
      <c r="H1779" s="619">
        <v>1</v>
      </c>
      <c r="I1779" s="620">
        <v>13.76</v>
      </c>
      <c r="J1779" s="620">
        <v>13.76</v>
      </c>
      <c r="K1779"/>
    </row>
    <row r="1780" spans="1:11" ht="36" customHeight="1">
      <c r="A1780" s="621" t="s">
        <v>12708</v>
      </c>
      <c r="B1780" s="622" t="s">
        <v>13231</v>
      </c>
      <c r="C1780" s="621" t="s">
        <v>8</v>
      </c>
      <c r="D1780" s="621" t="s">
        <v>3626</v>
      </c>
      <c r="E1780" s="811" t="s">
        <v>12707</v>
      </c>
      <c r="F1780" s="812"/>
      <c r="G1780" s="623" t="s">
        <v>23</v>
      </c>
      <c r="H1780" s="624">
        <v>1</v>
      </c>
      <c r="I1780" s="625">
        <v>7.0000000000000007E-2</v>
      </c>
      <c r="J1780" s="625">
        <v>7.0000000000000007E-2</v>
      </c>
      <c r="K1780"/>
    </row>
    <row r="1781" spans="1:11" ht="24" customHeight="1">
      <c r="A1781" s="626" t="s">
        <v>12709</v>
      </c>
      <c r="B1781" s="627" t="s">
        <v>13230</v>
      </c>
      <c r="C1781" s="626" t="s">
        <v>8</v>
      </c>
      <c r="D1781" s="626" t="s">
        <v>7362</v>
      </c>
      <c r="E1781" s="804" t="s">
        <v>12710</v>
      </c>
      <c r="F1781" s="805"/>
      <c r="G1781" s="628" t="s">
        <v>23</v>
      </c>
      <c r="H1781" s="629">
        <v>1</v>
      </c>
      <c r="I1781" s="630">
        <v>8.9</v>
      </c>
      <c r="J1781" s="630">
        <v>8.9</v>
      </c>
      <c r="K1781"/>
    </row>
    <row r="1782" spans="1:11">
      <c r="A1782" s="626" t="s">
        <v>12709</v>
      </c>
      <c r="B1782" s="627" t="s">
        <v>13004</v>
      </c>
      <c r="C1782" s="626" t="s">
        <v>8</v>
      </c>
      <c r="D1782" s="626" t="s">
        <v>7388</v>
      </c>
      <c r="E1782" s="804" t="s">
        <v>12712</v>
      </c>
      <c r="F1782" s="805"/>
      <c r="G1782" s="628" t="s">
        <v>23</v>
      </c>
      <c r="H1782" s="629">
        <v>1</v>
      </c>
      <c r="I1782" s="630">
        <v>2.2000000000000002</v>
      </c>
      <c r="J1782" s="630">
        <v>2.2000000000000002</v>
      </c>
      <c r="K1782"/>
    </row>
    <row r="1783" spans="1:11" ht="15" customHeight="1">
      <c r="A1783" s="626" t="s">
        <v>12709</v>
      </c>
      <c r="B1783" s="627" t="s">
        <v>13052</v>
      </c>
      <c r="C1783" s="626" t="s">
        <v>8</v>
      </c>
      <c r="D1783" s="626" t="s">
        <v>9229</v>
      </c>
      <c r="E1783" s="804" t="s">
        <v>12711</v>
      </c>
      <c r="F1783" s="805"/>
      <c r="G1783" s="628" t="s">
        <v>23</v>
      </c>
      <c r="H1783" s="629">
        <v>1</v>
      </c>
      <c r="I1783" s="630">
        <v>0.96</v>
      </c>
      <c r="J1783" s="630">
        <v>0.96</v>
      </c>
      <c r="K1783"/>
    </row>
    <row r="1784" spans="1:11" ht="0.95" customHeight="1">
      <c r="A1784" s="626" t="s">
        <v>12709</v>
      </c>
      <c r="B1784" s="627" t="s">
        <v>13002</v>
      </c>
      <c r="C1784" s="626" t="s">
        <v>8</v>
      </c>
      <c r="D1784" s="626" t="s">
        <v>9306</v>
      </c>
      <c r="E1784" s="804" t="s">
        <v>12712</v>
      </c>
      <c r="F1784" s="805"/>
      <c r="G1784" s="628" t="s">
        <v>23</v>
      </c>
      <c r="H1784" s="629">
        <v>1</v>
      </c>
      <c r="I1784" s="630">
        <v>0.35</v>
      </c>
      <c r="J1784" s="630">
        <v>0.35</v>
      </c>
      <c r="K1784"/>
    </row>
    <row r="1785" spans="1:11" ht="18" customHeight="1">
      <c r="A1785" s="626" t="s">
        <v>12709</v>
      </c>
      <c r="B1785" s="627" t="s">
        <v>13051</v>
      </c>
      <c r="C1785" s="626" t="s">
        <v>8</v>
      </c>
      <c r="D1785" s="626" t="s">
        <v>9376</v>
      </c>
      <c r="E1785" s="804" t="s">
        <v>12711</v>
      </c>
      <c r="F1785" s="805"/>
      <c r="G1785" s="628" t="s">
        <v>23</v>
      </c>
      <c r="H1785" s="629">
        <v>1</v>
      </c>
      <c r="I1785" s="630">
        <v>0.5</v>
      </c>
      <c r="J1785" s="630">
        <v>0.5</v>
      </c>
      <c r="K1785"/>
    </row>
    <row r="1786" spans="1:11" ht="36" customHeight="1">
      <c r="A1786" s="626" t="s">
        <v>12709</v>
      </c>
      <c r="B1786" s="627" t="s">
        <v>12999</v>
      </c>
      <c r="C1786" s="626" t="s">
        <v>8</v>
      </c>
      <c r="D1786" s="626" t="s">
        <v>11251</v>
      </c>
      <c r="E1786" s="804" t="s">
        <v>12713</v>
      </c>
      <c r="F1786" s="805"/>
      <c r="G1786" s="628" t="s">
        <v>23</v>
      </c>
      <c r="H1786" s="629">
        <v>1</v>
      </c>
      <c r="I1786" s="630">
        <v>7.0000000000000007E-2</v>
      </c>
      <c r="J1786" s="630">
        <v>7.0000000000000007E-2</v>
      </c>
      <c r="K1786"/>
    </row>
    <row r="1787" spans="1:11" ht="36" customHeight="1">
      <c r="A1787" s="626" t="s">
        <v>12709</v>
      </c>
      <c r="B1787" s="627" t="s">
        <v>12998</v>
      </c>
      <c r="C1787" s="626" t="s">
        <v>8</v>
      </c>
      <c r="D1787" s="626" t="s">
        <v>11861</v>
      </c>
      <c r="E1787" s="804" t="s">
        <v>12722</v>
      </c>
      <c r="F1787" s="805"/>
      <c r="G1787" s="628" t="s">
        <v>23</v>
      </c>
      <c r="H1787" s="629">
        <v>1</v>
      </c>
      <c r="I1787" s="630">
        <v>0.71</v>
      </c>
      <c r="J1787" s="630">
        <v>0.71</v>
      </c>
      <c r="K1787"/>
    </row>
    <row r="1788" spans="1:11" ht="36" customHeight="1">
      <c r="A1788" s="631"/>
      <c r="B1788" s="631"/>
      <c r="C1788" s="631"/>
      <c r="D1788" s="631"/>
      <c r="E1788" s="631" t="s">
        <v>12714</v>
      </c>
      <c r="F1788" s="632">
        <v>4.8491728835549788</v>
      </c>
      <c r="G1788" s="631" t="s">
        <v>12715</v>
      </c>
      <c r="H1788" s="632">
        <v>4.12</v>
      </c>
      <c r="I1788" s="631" t="s">
        <v>12716</v>
      </c>
      <c r="J1788" s="632">
        <v>8.9700000000000006</v>
      </c>
      <c r="K1788"/>
    </row>
    <row r="1789" spans="1:11" ht="15" customHeight="1" thickBot="1">
      <c r="A1789" s="631"/>
      <c r="B1789" s="631"/>
      <c r="C1789" s="631"/>
      <c r="D1789" s="631"/>
      <c r="E1789" s="631" t="s">
        <v>12717</v>
      </c>
      <c r="F1789" s="632">
        <v>3.88</v>
      </c>
      <c r="G1789" s="631"/>
      <c r="H1789" s="806" t="s">
        <v>12718</v>
      </c>
      <c r="I1789" s="806"/>
      <c r="J1789" s="632">
        <v>17.64</v>
      </c>
      <c r="K1789"/>
    </row>
    <row r="1790" spans="1:11" ht="15" customHeight="1" thickTop="1">
      <c r="A1790" s="633"/>
      <c r="B1790" s="633"/>
      <c r="C1790" s="633"/>
      <c r="D1790" s="633"/>
      <c r="E1790" s="633"/>
      <c r="F1790" s="633"/>
      <c r="G1790" s="633"/>
      <c r="H1790" s="633"/>
      <c r="I1790" s="633"/>
      <c r="J1790" s="633"/>
      <c r="K1790"/>
    </row>
    <row r="1791" spans="1:11" ht="0.95" customHeight="1">
      <c r="A1791" s="613"/>
      <c r="B1791" s="614" t="s">
        <v>12698</v>
      </c>
      <c r="C1791" s="613" t="s">
        <v>12699</v>
      </c>
      <c r="D1791" s="613" t="s">
        <v>12700</v>
      </c>
      <c r="E1791" s="807" t="s">
        <v>12701</v>
      </c>
      <c r="F1791" s="808"/>
      <c r="G1791" s="615" t="s">
        <v>12702</v>
      </c>
      <c r="H1791" s="614" t="s">
        <v>12703</v>
      </c>
      <c r="I1791" s="614" t="s">
        <v>12704</v>
      </c>
      <c r="J1791" s="614" t="s">
        <v>12705</v>
      </c>
      <c r="K1791"/>
    </row>
    <row r="1792" spans="1:11" ht="18" customHeight="1">
      <c r="A1792" s="616" t="s">
        <v>12706</v>
      </c>
      <c r="B1792" s="617" t="s">
        <v>13095</v>
      </c>
      <c r="C1792" s="616" t="s">
        <v>8</v>
      </c>
      <c r="D1792" s="616" t="s">
        <v>45</v>
      </c>
      <c r="E1792" s="809" t="s">
        <v>12707</v>
      </c>
      <c r="F1792" s="810"/>
      <c r="G1792" s="618" t="s">
        <v>23</v>
      </c>
      <c r="H1792" s="619">
        <v>1</v>
      </c>
      <c r="I1792" s="620">
        <v>14.91</v>
      </c>
      <c r="J1792" s="620">
        <v>14.91</v>
      </c>
      <c r="K1792"/>
    </row>
    <row r="1793" spans="1:11" ht="36" customHeight="1">
      <c r="A1793" s="621" t="s">
        <v>12708</v>
      </c>
      <c r="B1793" s="622" t="s">
        <v>13229</v>
      </c>
      <c r="C1793" s="621" t="s">
        <v>8</v>
      </c>
      <c r="D1793" s="621" t="s">
        <v>3627</v>
      </c>
      <c r="E1793" s="811" t="s">
        <v>12707</v>
      </c>
      <c r="F1793" s="812"/>
      <c r="G1793" s="623" t="s">
        <v>23</v>
      </c>
      <c r="H1793" s="624">
        <v>1</v>
      </c>
      <c r="I1793" s="625">
        <v>0.1</v>
      </c>
      <c r="J1793" s="625">
        <v>0.1</v>
      </c>
      <c r="K1793"/>
    </row>
    <row r="1794" spans="1:11" ht="36" customHeight="1">
      <c r="A1794" s="626" t="s">
        <v>12709</v>
      </c>
      <c r="B1794" s="627" t="s">
        <v>13004</v>
      </c>
      <c r="C1794" s="626" t="s">
        <v>8</v>
      </c>
      <c r="D1794" s="626" t="s">
        <v>7388</v>
      </c>
      <c r="E1794" s="804" t="s">
        <v>12712</v>
      </c>
      <c r="F1794" s="805"/>
      <c r="G1794" s="628" t="s">
        <v>23</v>
      </c>
      <c r="H1794" s="629">
        <v>1</v>
      </c>
      <c r="I1794" s="630">
        <v>2.2000000000000002</v>
      </c>
      <c r="J1794" s="630">
        <v>2.2000000000000002</v>
      </c>
      <c r="K1794"/>
    </row>
    <row r="1795" spans="1:11" ht="36" customHeight="1">
      <c r="A1795" s="626" t="s">
        <v>12709</v>
      </c>
      <c r="B1795" s="627" t="s">
        <v>13228</v>
      </c>
      <c r="C1795" s="626" t="s">
        <v>8</v>
      </c>
      <c r="D1795" s="626" t="s">
        <v>8289</v>
      </c>
      <c r="E1795" s="804" t="s">
        <v>12710</v>
      </c>
      <c r="F1795" s="805"/>
      <c r="G1795" s="628" t="s">
        <v>23</v>
      </c>
      <c r="H1795" s="629">
        <v>1</v>
      </c>
      <c r="I1795" s="630">
        <v>10.06</v>
      </c>
      <c r="J1795" s="630">
        <v>10.06</v>
      </c>
      <c r="K1795"/>
    </row>
    <row r="1796" spans="1:11" ht="36" customHeight="1">
      <c r="A1796" s="626" t="s">
        <v>12709</v>
      </c>
      <c r="B1796" s="627" t="s">
        <v>13032</v>
      </c>
      <c r="C1796" s="626" t="s">
        <v>8</v>
      </c>
      <c r="D1796" s="626" t="s">
        <v>9217</v>
      </c>
      <c r="E1796" s="804" t="s">
        <v>12711</v>
      </c>
      <c r="F1796" s="805"/>
      <c r="G1796" s="628" t="s">
        <v>23</v>
      </c>
      <c r="H1796" s="629">
        <v>1</v>
      </c>
      <c r="I1796" s="630">
        <v>1.08</v>
      </c>
      <c r="J1796" s="630">
        <v>1.08</v>
      </c>
      <c r="K1796"/>
    </row>
    <row r="1797" spans="1:11" ht="36" customHeight="1">
      <c r="A1797" s="626" t="s">
        <v>12709</v>
      </c>
      <c r="B1797" s="627" t="s">
        <v>13002</v>
      </c>
      <c r="C1797" s="626" t="s">
        <v>8</v>
      </c>
      <c r="D1797" s="626" t="s">
        <v>9306</v>
      </c>
      <c r="E1797" s="804" t="s">
        <v>12712</v>
      </c>
      <c r="F1797" s="805"/>
      <c r="G1797" s="628" t="s">
        <v>23</v>
      </c>
      <c r="H1797" s="629">
        <v>1</v>
      </c>
      <c r="I1797" s="630">
        <v>0.35</v>
      </c>
      <c r="J1797" s="630">
        <v>0.35</v>
      </c>
      <c r="K1797"/>
    </row>
    <row r="1798" spans="1:11" ht="25.5">
      <c r="A1798" s="626" t="s">
        <v>12709</v>
      </c>
      <c r="B1798" s="627" t="s">
        <v>13031</v>
      </c>
      <c r="C1798" s="626" t="s">
        <v>8</v>
      </c>
      <c r="D1798" s="626" t="s">
        <v>9364</v>
      </c>
      <c r="E1798" s="804" t="s">
        <v>12711</v>
      </c>
      <c r="F1798" s="805"/>
      <c r="G1798" s="628" t="s">
        <v>23</v>
      </c>
      <c r="H1798" s="629">
        <v>1</v>
      </c>
      <c r="I1798" s="630">
        <v>0.34</v>
      </c>
      <c r="J1798" s="630">
        <v>0.34</v>
      </c>
      <c r="K1798"/>
    </row>
    <row r="1799" spans="1:11" ht="15" customHeight="1">
      <c r="A1799" s="626" t="s">
        <v>12709</v>
      </c>
      <c r="B1799" s="627" t="s">
        <v>12999</v>
      </c>
      <c r="C1799" s="626" t="s">
        <v>8</v>
      </c>
      <c r="D1799" s="626" t="s">
        <v>11251</v>
      </c>
      <c r="E1799" s="804" t="s">
        <v>12713</v>
      </c>
      <c r="F1799" s="805"/>
      <c r="G1799" s="628" t="s">
        <v>23</v>
      </c>
      <c r="H1799" s="629">
        <v>1</v>
      </c>
      <c r="I1799" s="630">
        <v>7.0000000000000007E-2</v>
      </c>
      <c r="J1799" s="630">
        <v>7.0000000000000007E-2</v>
      </c>
      <c r="K1799"/>
    </row>
    <row r="1800" spans="1:11" ht="0.95" customHeight="1">
      <c r="A1800" s="626" t="s">
        <v>12709</v>
      </c>
      <c r="B1800" s="627" t="s">
        <v>12998</v>
      </c>
      <c r="C1800" s="626" t="s">
        <v>8</v>
      </c>
      <c r="D1800" s="626" t="s">
        <v>11861</v>
      </c>
      <c r="E1800" s="804" t="s">
        <v>12722</v>
      </c>
      <c r="F1800" s="805"/>
      <c r="G1800" s="628" t="s">
        <v>23</v>
      </c>
      <c r="H1800" s="629">
        <v>1</v>
      </c>
      <c r="I1800" s="630">
        <v>0.71</v>
      </c>
      <c r="J1800" s="630">
        <v>0.71</v>
      </c>
      <c r="K1800"/>
    </row>
    <row r="1801" spans="1:11" ht="18" customHeight="1">
      <c r="A1801" s="631"/>
      <c r="B1801" s="631"/>
      <c r="C1801" s="631"/>
      <c r="D1801" s="631"/>
      <c r="E1801" s="631" t="s">
        <v>12714</v>
      </c>
      <c r="F1801" s="632">
        <v>5.4924856999999996</v>
      </c>
      <c r="G1801" s="631" t="s">
        <v>12715</v>
      </c>
      <c r="H1801" s="632">
        <v>4.67</v>
      </c>
      <c r="I1801" s="631" t="s">
        <v>12716</v>
      </c>
      <c r="J1801" s="632">
        <v>10.16</v>
      </c>
      <c r="K1801"/>
    </row>
    <row r="1802" spans="1:11" ht="36" customHeight="1" thickBot="1">
      <c r="A1802" s="631"/>
      <c r="B1802" s="631"/>
      <c r="C1802" s="631"/>
      <c r="D1802" s="631"/>
      <c r="E1802" s="631" t="s">
        <v>12717</v>
      </c>
      <c r="F1802" s="632">
        <v>4.21</v>
      </c>
      <c r="G1802" s="631"/>
      <c r="H1802" s="806" t="s">
        <v>12718</v>
      </c>
      <c r="I1802" s="806"/>
      <c r="J1802" s="632">
        <v>19.12</v>
      </c>
      <c r="K1802"/>
    </row>
    <row r="1803" spans="1:11" ht="36" customHeight="1" thickTop="1">
      <c r="A1803" s="633"/>
      <c r="B1803" s="633"/>
      <c r="C1803" s="633"/>
      <c r="D1803" s="633"/>
      <c r="E1803" s="633"/>
      <c r="F1803" s="633"/>
      <c r="G1803" s="633"/>
      <c r="H1803" s="633"/>
      <c r="I1803" s="633"/>
      <c r="J1803" s="633"/>
      <c r="K1803"/>
    </row>
    <row r="1804" spans="1:11" ht="15">
      <c r="A1804" s="613"/>
      <c r="B1804" s="614" t="s">
        <v>12698</v>
      </c>
      <c r="C1804" s="613" t="s">
        <v>12699</v>
      </c>
      <c r="D1804" s="613" t="s">
        <v>12700</v>
      </c>
      <c r="E1804" s="807" t="s">
        <v>12701</v>
      </c>
      <c r="F1804" s="808"/>
      <c r="G1804" s="615" t="s">
        <v>12702</v>
      </c>
      <c r="H1804" s="614" t="s">
        <v>12703</v>
      </c>
      <c r="I1804" s="614" t="s">
        <v>12704</v>
      </c>
      <c r="J1804" s="614" t="s">
        <v>12705</v>
      </c>
      <c r="K1804"/>
    </row>
    <row r="1805" spans="1:11" ht="15" customHeight="1">
      <c r="A1805" s="616" t="s">
        <v>12706</v>
      </c>
      <c r="B1805" s="617" t="s">
        <v>13331</v>
      </c>
      <c r="C1805" s="616" t="s">
        <v>8</v>
      </c>
      <c r="D1805" s="616" t="s">
        <v>240</v>
      </c>
      <c r="E1805" s="809" t="s">
        <v>12707</v>
      </c>
      <c r="F1805" s="810"/>
      <c r="G1805" s="618" t="s">
        <v>23</v>
      </c>
      <c r="H1805" s="619">
        <v>1</v>
      </c>
      <c r="I1805" s="620">
        <v>17.149999999999999</v>
      </c>
      <c r="J1805" s="620">
        <v>17.149999999999999</v>
      </c>
      <c r="K1805"/>
    </row>
    <row r="1806" spans="1:11" ht="0.95" customHeight="1">
      <c r="A1806" s="621" t="s">
        <v>12708</v>
      </c>
      <c r="B1806" s="622" t="s">
        <v>13227</v>
      </c>
      <c r="C1806" s="621" t="s">
        <v>8</v>
      </c>
      <c r="D1806" s="621" t="s">
        <v>3631</v>
      </c>
      <c r="E1806" s="811" t="s">
        <v>12707</v>
      </c>
      <c r="F1806" s="812"/>
      <c r="G1806" s="623" t="s">
        <v>23</v>
      </c>
      <c r="H1806" s="624">
        <v>1</v>
      </c>
      <c r="I1806" s="625">
        <v>0.09</v>
      </c>
      <c r="J1806" s="625">
        <v>0.09</v>
      </c>
      <c r="K1806"/>
    </row>
    <row r="1807" spans="1:11" ht="18" customHeight="1">
      <c r="A1807" s="626" t="s">
        <v>12709</v>
      </c>
      <c r="B1807" s="627" t="s">
        <v>13226</v>
      </c>
      <c r="C1807" s="626" t="s">
        <v>8</v>
      </c>
      <c r="D1807" s="626" t="s">
        <v>7374</v>
      </c>
      <c r="E1807" s="804" t="s">
        <v>12710</v>
      </c>
      <c r="F1807" s="805"/>
      <c r="G1807" s="628" t="s">
        <v>23</v>
      </c>
      <c r="H1807" s="629">
        <v>1</v>
      </c>
      <c r="I1807" s="630">
        <v>12.33</v>
      </c>
      <c r="J1807" s="630">
        <v>12.33</v>
      </c>
      <c r="K1807"/>
    </row>
    <row r="1808" spans="1:11" ht="36" customHeight="1">
      <c r="A1808" s="626" t="s">
        <v>12709</v>
      </c>
      <c r="B1808" s="627" t="s">
        <v>13004</v>
      </c>
      <c r="C1808" s="626" t="s">
        <v>8</v>
      </c>
      <c r="D1808" s="626" t="s">
        <v>7388</v>
      </c>
      <c r="E1808" s="804" t="s">
        <v>12712</v>
      </c>
      <c r="F1808" s="805"/>
      <c r="G1808" s="628" t="s">
        <v>23</v>
      </c>
      <c r="H1808" s="629">
        <v>1</v>
      </c>
      <c r="I1808" s="630">
        <v>2.2000000000000002</v>
      </c>
      <c r="J1808" s="630">
        <v>2.2000000000000002</v>
      </c>
      <c r="K1808"/>
    </row>
    <row r="1809" spans="1:11" ht="36" customHeight="1">
      <c r="A1809" s="626" t="s">
        <v>12709</v>
      </c>
      <c r="B1809" s="627" t="s">
        <v>13048</v>
      </c>
      <c r="C1809" s="626" t="s">
        <v>8</v>
      </c>
      <c r="D1809" s="626" t="s">
        <v>9233</v>
      </c>
      <c r="E1809" s="804" t="s">
        <v>12711</v>
      </c>
      <c r="F1809" s="805"/>
      <c r="G1809" s="628" t="s">
        <v>23</v>
      </c>
      <c r="H1809" s="629">
        <v>1</v>
      </c>
      <c r="I1809" s="630">
        <v>1.02</v>
      </c>
      <c r="J1809" s="630">
        <v>1.02</v>
      </c>
      <c r="K1809"/>
    </row>
    <row r="1810" spans="1:11">
      <c r="A1810" s="626" t="s">
        <v>12709</v>
      </c>
      <c r="B1810" s="627" t="s">
        <v>13002</v>
      </c>
      <c r="C1810" s="626" t="s">
        <v>8</v>
      </c>
      <c r="D1810" s="626" t="s">
        <v>9306</v>
      </c>
      <c r="E1810" s="804" t="s">
        <v>12712</v>
      </c>
      <c r="F1810" s="805"/>
      <c r="G1810" s="628" t="s">
        <v>23</v>
      </c>
      <c r="H1810" s="629">
        <v>1</v>
      </c>
      <c r="I1810" s="630">
        <v>0.35</v>
      </c>
      <c r="J1810" s="630">
        <v>0.35</v>
      </c>
      <c r="K1810"/>
    </row>
    <row r="1811" spans="1:11" ht="15" customHeight="1">
      <c r="A1811" s="626" t="s">
        <v>12709</v>
      </c>
      <c r="B1811" s="627" t="s">
        <v>13047</v>
      </c>
      <c r="C1811" s="626" t="s">
        <v>8</v>
      </c>
      <c r="D1811" s="626" t="s">
        <v>9380</v>
      </c>
      <c r="E1811" s="804" t="s">
        <v>12711</v>
      </c>
      <c r="F1811" s="805"/>
      <c r="G1811" s="628" t="s">
        <v>23</v>
      </c>
      <c r="H1811" s="629">
        <v>1</v>
      </c>
      <c r="I1811" s="630">
        <v>0.38</v>
      </c>
      <c r="J1811" s="630">
        <v>0.38</v>
      </c>
      <c r="K1811"/>
    </row>
    <row r="1812" spans="1:11" ht="0.95" customHeight="1">
      <c r="A1812" s="626" t="s">
        <v>12709</v>
      </c>
      <c r="B1812" s="627" t="s">
        <v>12999</v>
      </c>
      <c r="C1812" s="626" t="s">
        <v>8</v>
      </c>
      <c r="D1812" s="626" t="s">
        <v>11251</v>
      </c>
      <c r="E1812" s="804" t="s">
        <v>12713</v>
      </c>
      <c r="F1812" s="805"/>
      <c r="G1812" s="628" t="s">
        <v>23</v>
      </c>
      <c r="H1812" s="629">
        <v>1</v>
      </c>
      <c r="I1812" s="630">
        <v>7.0000000000000007E-2</v>
      </c>
      <c r="J1812" s="630">
        <v>7.0000000000000007E-2</v>
      </c>
      <c r="K1812"/>
    </row>
    <row r="1813" spans="1:11" ht="18" customHeight="1">
      <c r="A1813" s="626" t="s">
        <v>12709</v>
      </c>
      <c r="B1813" s="627" t="s">
        <v>12998</v>
      </c>
      <c r="C1813" s="626" t="s">
        <v>8</v>
      </c>
      <c r="D1813" s="626" t="s">
        <v>11861</v>
      </c>
      <c r="E1813" s="804" t="s">
        <v>12722</v>
      </c>
      <c r="F1813" s="805"/>
      <c r="G1813" s="628" t="s">
        <v>23</v>
      </c>
      <c r="H1813" s="629">
        <v>1</v>
      </c>
      <c r="I1813" s="630">
        <v>0.71</v>
      </c>
      <c r="J1813" s="630">
        <v>0.71</v>
      </c>
      <c r="K1813"/>
    </row>
    <row r="1814" spans="1:11" ht="36" customHeight="1">
      <c r="A1814" s="631"/>
      <c r="B1814" s="631"/>
      <c r="C1814" s="631"/>
      <c r="D1814" s="631"/>
      <c r="E1814" s="631" t="s">
        <v>12714</v>
      </c>
      <c r="F1814" s="632">
        <v>6.7142394000000003</v>
      </c>
      <c r="G1814" s="631" t="s">
        <v>12715</v>
      </c>
      <c r="H1814" s="632">
        <v>5.71</v>
      </c>
      <c r="I1814" s="631" t="s">
        <v>12716</v>
      </c>
      <c r="J1814" s="632">
        <v>12.42</v>
      </c>
      <c r="K1814"/>
    </row>
    <row r="1815" spans="1:11" ht="36" customHeight="1" thickBot="1">
      <c r="A1815" s="631"/>
      <c r="B1815" s="631"/>
      <c r="C1815" s="631"/>
      <c r="D1815" s="631"/>
      <c r="E1815" s="631" t="s">
        <v>12717</v>
      </c>
      <c r="F1815" s="632">
        <v>4.84</v>
      </c>
      <c r="G1815" s="631"/>
      <c r="H1815" s="806" t="s">
        <v>12718</v>
      </c>
      <c r="I1815" s="806"/>
      <c r="J1815" s="632">
        <v>21.99</v>
      </c>
      <c r="K1815"/>
    </row>
    <row r="1816" spans="1:11" ht="15" thickTop="1">
      <c r="A1816" s="633"/>
      <c r="B1816" s="633"/>
      <c r="C1816" s="633"/>
      <c r="D1816" s="633"/>
      <c r="E1816" s="633"/>
      <c r="F1816" s="633"/>
      <c r="G1816" s="633"/>
      <c r="H1816" s="633"/>
      <c r="I1816" s="633"/>
      <c r="J1816" s="633"/>
      <c r="K1816"/>
    </row>
    <row r="1817" spans="1:11" ht="15" customHeight="1">
      <c r="A1817" s="613"/>
      <c r="B1817" s="614" t="s">
        <v>12698</v>
      </c>
      <c r="C1817" s="613" t="s">
        <v>12699</v>
      </c>
      <c r="D1817" s="613" t="s">
        <v>12700</v>
      </c>
      <c r="E1817" s="807" t="s">
        <v>12701</v>
      </c>
      <c r="F1817" s="808"/>
      <c r="G1817" s="615" t="s">
        <v>12702</v>
      </c>
      <c r="H1817" s="614" t="s">
        <v>12703</v>
      </c>
      <c r="I1817" s="614" t="s">
        <v>12704</v>
      </c>
      <c r="J1817" s="614" t="s">
        <v>12705</v>
      </c>
      <c r="K1817"/>
    </row>
    <row r="1818" spans="1:11" ht="0.95" customHeight="1">
      <c r="A1818" s="616" t="s">
        <v>12706</v>
      </c>
      <c r="B1818" s="617" t="s">
        <v>13330</v>
      </c>
      <c r="C1818" s="616" t="s">
        <v>8</v>
      </c>
      <c r="D1818" s="616" t="s">
        <v>2918</v>
      </c>
      <c r="E1818" s="809" t="s">
        <v>12726</v>
      </c>
      <c r="F1818" s="810"/>
      <c r="G1818" s="618" t="s">
        <v>61</v>
      </c>
      <c r="H1818" s="619">
        <v>1</v>
      </c>
      <c r="I1818" s="620">
        <v>0.3</v>
      </c>
      <c r="J1818" s="620">
        <v>0.3</v>
      </c>
      <c r="K1818"/>
    </row>
    <row r="1819" spans="1:11" ht="18" customHeight="1">
      <c r="A1819" s="621" t="s">
        <v>12708</v>
      </c>
      <c r="B1819" s="622" t="s">
        <v>13328</v>
      </c>
      <c r="C1819" s="621" t="s">
        <v>8</v>
      </c>
      <c r="D1819" s="621" t="s">
        <v>2913</v>
      </c>
      <c r="E1819" s="811" t="s">
        <v>12726</v>
      </c>
      <c r="F1819" s="812"/>
      <c r="G1819" s="623" t="s">
        <v>23</v>
      </c>
      <c r="H1819" s="624">
        <v>1</v>
      </c>
      <c r="I1819" s="625">
        <v>0.27</v>
      </c>
      <c r="J1819" s="625">
        <v>0.27</v>
      </c>
      <c r="K1819"/>
    </row>
    <row r="1820" spans="1:11" ht="36" customHeight="1">
      <c r="A1820" s="621" t="s">
        <v>12708</v>
      </c>
      <c r="B1820" s="622" t="s">
        <v>13327</v>
      </c>
      <c r="C1820" s="621" t="s">
        <v>8</v>
      </c>
      <c r="D1820" s="621" t="s">
        <v>2914</v>
      </c>
      <c r="E1820" s="811" t="s">
        <v>12726</v>
      </c>
      <c r="F1820" s="812"/>
      <c r="G1820" s="623" t="s">
        <v>23</v>
      </c>
      <c r="H1820" s="624">
        <v>1</v>
      </c>
      <c r="I1820" s="625">
        <v>0.03</v>
      </c>
      <c r="J1820" s="625">
        <v>0.03</v>
      </c>
      <c r="K1820"/>
    </row>
    <row r="1821" spans="1:11" ht="24" customHeight="1">
      <c r="A1821" s="631"/>
      <c r="B1821" s="631"/>
      <c r="C1821" s="631"/>
      <c r="D1821" s="631"/>
      <c r="E1821" s="631" t="s">
        <v>12714</v>
      </c>
      <c r="F1821" s="632">
        <v>0</v>
      </c>
      <c r="G1821" s="631" t="s">
        <v>12715</v>
      </c>
      <c r="H1821" s="632">
        <v>0</v>
      </c>
      <c r="I1821" s="631" t="s">
        <v>12716</v>
      </c>
      <c r="J1821" s="632">
        <v>0</v>
      </c>
      <c r="K1821"/>
    </row>
    <row r="1822" spans="1:11" ht="24" customHeight="1" thickBot="1">
      <c r="A1822" s="631"/>
      <c r="B1822" s="631"/>
      <c r="C1822" s="631"/>
      <c r="D1822" s="631"/>
      <c r="E1822" s="631" t="s">
        <v>12717</v>
      </c>
      <c r="F1822" s="632">
        <v>0.08</v>
      </c>
      <c r="G1822" s="631"/>
      <c r="H1822" s="806" t="s">
        <v>12718</v>
      </c>
      <c r="I1822" s="806"/>
      <c r="J1822" s="632">
        <v>0.38</v>
      </c>
      <c r="K1822"/>
    </row>
    <row r="1823" spans="1:11" ht="15" thickTop="1">
      <c r="A1823" s="633"/>
      <c r="B1823" s="633"/>
      <c r="C1823" s="633"/>
      <c r="D1823" s="633"/>
      <c r="E1823" s="633"/>
      <c r="F1823" s="633"/>
      <c r="G1823" s="633"/>
      <c r="H1823" s="633"/>
      <c r="I1823" s="633"/>
      <c r="J1823" s="633"/>
      <c r="K1823"/>
    </row>
    <row r="1824" spans="1:11" ht="15" customHeight="1">
      <c r="A1824" s="613"/>
      <c r="B1824" s="614" t="s">
        <v>12698</v>
      </c>
      <c r="C1824" s="613" t="s">
        <v>12699</v>
      </c>
      <c r="D1824" s="613" t="s">
        <v>12700</v>
      </c>
      <c r="E1824" s="807" t="s">
        <v>12701</v>
      </c>
      <c r="F1824" s="808"/>
      <c r="G1824" s="615" t="s">
        <v>12702</v>
      </c>
      <c r="H1824" s="614" t="s">
        <v>12703</v>
      </c>
      <c r="I1824" s="614" t="s">
        <v>12704</v>
      </c>
      <c r="J1824" s="614" t="s">
        <v>12705</v>
      </c>
      <c r="K1824"/>
    </row>
    <row r="1825" spans="1:11" ht="0.95" customHeight="1">
      <c r="A1825" s="616" t="s">
        <v>12706</v>
      </c>
      <c r="B1825" s="617" t="s">
        <v>13329</v>
      </c>
      <c r="C1825" s="616" t="s">
        <v>8</v>
      </c>
      <c r="D1825" s="616" t="s">
        <v>2917</v>
      </c>
      <c r="E1825" s="809" t="s">
        <v>12726</v>
      </c>
      <c r="F1825" s="810"/>
      <c r="G1825" s="618" t="s">
        <v>44</v>
      </c>
      <c r="H1825" s="619">
        <v>1</v>
      </c>
      <c r="I1825" s="620">
        <v>26.74</v>
      </c>
      <c r="J1825" s="620">
        <v>26.74</v>
      </c>
      <c r="K1825"/>
    </row>
    <row r="1826" spans="1:11" ht="18" customHeight="1">
      <c r="A1826" s="621" t="s">
        <v>12708</v>
      </c>
      <c r="B1826" s="622" t="s">
        <v>13328</v>
      </c>
      <c r="C1826" s="621" t="s">
        <v>8</v>
      </c>
      <c r="D1826" s="621" t="s">
        <v>2913</v>
      </c>
      <c r="E1826" s="811" t="s">
        <v>12726</v>
      </c>
      <c r="F1826" s="812"/>
      <c r="G1826" s="623" t="s">
        <v>23</v>
      </c>
      <c r="H1826" s="624">
        <v>1</v>
      </c>
      <c r="I1826" s="625">
        <v>0.27</v>
      </c>
      <c r="J1826" s="625">
        <v>0.27</v>
      </c>
      <c r="K1826"/>
    </row>
    <row r="1827" spans="1:11" ht="48" customHeight="1">
      <c r="A1827" s="621" t="s">
        <v>12708</v>
      </c>
      <c r="B1827" s="622" t="s">
        <v>13327</v>
      </c>
      <c r="C1827" s="621" t="s">
        <v>8</v>
      </c>
      <c r="D1827" s="621" t="s">
        <v>2914</v>
      </c>
      <c r="E1827" s="811" t="s">
        <v>12726</v>
      </c>
      <c r="F1827" s="812"/>
      <c r="G1827" s="623" t="s">
        <v>23</v>
      </c>
      <c r="H1827" s="624">
        <v>1</v>
      </c>
      <c r="I1827" s="625">
        <v>0.03</v>
      </c>
      <c r="J1827" s="625">
        <v>0.03</v>
      </c>
      <c r="K1827"/>
    </row>
    <row r="1828" spans="1:11" ht="24" customHeight="1">
      <c r="A1828" s="621" t="s">
        <v>12708</v>
      </c>
      <c r="B1828" s="622" t="s">
        <v>13326</v>
      </c>
      <c r="C1828" s="621" t="s">
        <v>8</v>
      </c>
      <c r="D1828" s="621" t="s">
        <v>2915</v>
      </c>
      <c r="E1828" s="811" t="s">
        <v>12726</v>
      </c>
      <c r="F1828" s="812"/>
      <c r="G1828" s="623" t="s">
        <v>23</v>
      </c>
      <c r="H1828" s="624">
        <v>1</v>
      </c>
      <c r="I1828" s="625">
        <v>0.34</v>
      </c>
      <c r="J1828" s="625">
        <v>0.34</v>
      </c>
      <c r="K1828"/>
    </row>
    <row r="1829" spans="1:11" ht="24" customHeight="1">
      <c r="A1829" s="621" t="s">
        <v>12708</v>
      </c>
      <c r="B1829" s="622" t="s">
        <v>13324</v>
      </c>
      <c r="C1829" s="621" t="s">
        <v>8</v>
      </c>
      <c r="D1829" s="621" t="s">
        <v>2916</v>
      </c>
      <c r="E1829" s="811" t="s">
        <v>12726</v>
      </c>
      <c r="F1829" s="812"/>
      <c r="G1829" s="623" t="s">
        <v>23</v>
      </c>
      <c r="H1829" s="624">
        <v>1</v>
      </c>
      <c r="I1829" s="625">
        <v>26.1</v>
      </c>
      <c r="J1829" s="625">
        <v>26.1</v>
      </c>
      <c r="K1829"/>
    </row>
    <row r="1830" spans="1:11" ht="24" customHeight="1">
      <c r="A1830" s="631"/>
      <c r="B1830" s="631"/>
      <c r="C1830" s="631"/>
      <c r="D1830" s="631"/>
      <c r="E1830" s="631" t="s">
        <v>12714</v>
      </c>
      <c r="F1830" s="632">
        <v>0</v>
      </c>
      <c r="G1830" s="631" t="s">
        <v>12715</v>
      </c>
      <c r="H1830" s="632">
        <v>0</v>
      </c>
      <c r="I1830" s="631" t="s">
        <v>12716</v>
      </c>
      <c r="J1830" s="632">
        <v>0</v>
      </c>
      <c r="K1830"/>
    </row>
    <row r="1831" spans="1:11" ht="24" customHeight="1" thickBot="1">
      <c r="A1831" s="631"/>
      <c r="B1831" s="631"/>
      <c r="C1831" s="631"/>
      <c r="D1831" s="631"/>
      <c r="E1831" s="631" t="s">
        <v>12717</v>
      </c>
      <c r="F1831" s="632">
        <v>7.55</v>
      </c>
      <c r="G1831" s="631"/>
      <c r="H1831" s="806" t="s">
        <v>12718</v>
      </c>
      <c r="I1831" s="806"/>
      <c r="J1831" s="632">
        <v>34.29</v>
      </c>
      <c r="K1831"/>
    </row>
    <row r="1832" spans="1:11" ht="15" thickTop="1">
      <c r="A1832" s="633"/>
      <c r="B1832" s="633"/>
      <c r="C1832" s="633"/>
      <c r="D1832" s="633"/>
      <c r="E1832" s="633"/>
      <c r="F1832" s="633"/>
      <c r="G1832" s="633"/>
      <c r="H1832" s="633"/>
      <c r="I1832" s="633"/>
      <c r="J1832" s="633"/>
      <c r="K1832"/>
    </row>
    <row r="1833" spans="1:11" ht="15" customHeight="1">
      <c r="A1833" s="613"/>
      <c r="B1833" s="614" t="s">
        <v>12698</v>
      </c>
      <c r="C1833" s="613" t="s">
        <v>12699</v>
      </c>
      <c r="D1833" s="613" t="s">
        <v>12700</v>
      </c>
      <c r="E1833" s="807" t="s">
        <v>12701</v>
      </c>
      <c r="F1833" s="808"/>
      <c r="G1833" s="615" t="s">
        <v>12702</v>
      </c>
      <c r="H1833" s="614" t="s">
        <v>12703</v>
      </c>
      <c r="I1833" s="614" t="s">
        <v>12704</v>
      </c>
      <c r="J1833" s="614" t="s">
        <v>12705</v>
      </c>
      <c r="K1833"/>
    </row>
    <row r="1834" spans="1:11" ht="0.95" customHeight="1">
      <c r="A1834" s="616" t="s">
        <v>12706</v>
      </c>
      <c r="B1834" s="617" t="s">
        <v>13328</v>
      </c>
      <c r="C1834" s="616" t="s">
        <v>8</v>
      </c>
      <c r="D1834" s="616" t="s">
        <v>2913</v>
      </c>
      <c r="E1834" s="809" t="s">
        <v>12726</v>
      </c>
      <c r="F1834" s="810"/>
      <c r="G1834" s="618" t="s">
        <v>23</v>
      </c>
      <c r="H1834" s="619">
        <v>1</v>
      </c>
      <c r="I1834" s="620">
        <v>0.27</v>
      </c>
      <c r="J1834" s="620">
        <v>0.27</v>
      </c>
      <c r="K1834"/>
    </row>
    <row r="1835" spans="1:11" ht="18" customHeight="1">
      <c r="A1835" s="626" t="s">
        <v>12709</v>
      </c>
      <c r="B1835" s="627" t="s">
        <v>13325</v>
      </c>
      <c r="C1835" s="626" t="s">
        <v>8</v>
      </c>
      <c r="D1835" s="626" t="s">
        <v>7456</v>
      </c>
      <c r="E1835" s="804" t="s">
        <v>12720</v>
      </c>
      <c r="F1835" s="805"/>
      <c r="G1835" s="628" t="s">
        <v>35</v>
      </c>
      <c r="H1835" s="629">
        <v>6.3999999999999997E-5</v>
      </c>
      <c r="I1835" s="630">
        <v>4271.16</v>
      </c>
      <c r="J1835" s="630">
        <v>0.27</v>
      </c>
      <c r="K1835"/>
    </row>
    <row r="1836" spans="1:11" ht="48" customHeight="1">
      <c r="A1836" s="631"/>
      <c r="B1836" s="631"/>
      <c r="C1836" s="631"/>
      <c r="D1836" s="631"/>
      <c r="E1836" s="631" t="s">
        <v>12714</v>
      </c>
      <c r="F1836" s="632">
        <v>0</v>
      </c>
      <c r="G1836" s="631" t="s">
        <v>12715</v>
      </c>
      <c r="H1836" s="632">
        <v>0</v>
      </c>
      <c r="I1836" s="631" t="s">
        <v>12716</v>
      </c>
      <c r="J1836" s="632">
        <v>0</v>
      </c>
      <c r="K1836"/>
    </row>
    <row r="1837" spans="1:11" ht="48" customHeight="1" thickBot="1">
      <c r="A1837" s="631"/>
      <c r="B1837" s="631"/>
      <c r="C1837" s="631"/>
      <c r="D1837" s="631"/>
      <c r="E1837" s="631" t="s">
        <v>12717</v>
      </c>
      <c r="F1837" s="632">
        <v>7.0000000000000007E-2</v>
      </c>
      <c r="G1837" s="631"/>
      <c r="H1837" s="806" t="s">
        <v>12718</v>
      </c>
      <c r="I1837" s="806"/>
      <c r="J1837" s="632">
        <v>0.34</v>
      </c>
      <c r="K1837"/>
    </row>
    <row r="1838" spans="1:11" ht="48" customHeight="1" thickTop="1">
      <c r="A1838" s="633"/>
      <c r="B1838" s="633"/>
      <c r="C1838" s="633"/>
      <c r="D1838" s="633"/>
      <c r="E1838" s="633"/>
      <c r="F1838" s="633"/>
      <c r="G1838" s="633"/>
      <c r="H1838" s="633"/>
      <c r="I1838" s="633"/>
      <c r="J1838" s="633"/>
      <c r="K1838"/>
    </row>
    <row r="1839" spans="1:11" ht="24" customHeight="1">
      <c r="A1839" s="613"/>
      <c r="B1839" s="614" t="s">
        <v>12698</v>
      </c>
      <c r="C1839" s="613" t="s">
        <v>12699</v>
      </c>
      <c r="D1839" s="613" t="s">
        <v>12700</v>
      </c>
      <c r="E1839" s="807" t="s">
        <v>12701</v>
      </c>
      <c r="F1839" s="808"/>
      <c r="G1839" s="615" t="s">
        <v>12702</v>
      </c>
      <c r="H1839" s="614" t="s">
        <v>12703</v>
      </c>
      <c r="I1839" s="614" t="s">
        <v>12704</v>
      </c>
      <c r="J1839" s="614" t="s">
        <v>12705</v>
      </c>
      <c r="K1839"/>
    </row>
    <row r="1840" spans="1:11" ht="24" customHeight="1">
      <c r="A1840" s="616" t="s">
        <v>12706</v>
      </c>
      <c r="B1840" s="617" t="s">
        <v>13327</v>
      </c>
      <c r="C1840" s="616" t="s">
        <v>8</v>
      </c>
      <c r="D1840" s="616" t="s">
        <v>2914</v>
      </c>
      <c r="E1840" s="809" t="s">
        <v>12726</v>
      </c>
      <c r="F1840" s="810"/>
      <c r="G1840" s="618" t="s">
        <v>23</v>
      </c>
      <c r="H1840" s="619">
        <v>1</v>
      </c>
      <c r="I1840" s="620">
        <v>0.03</v>
      </c>
      <c r="J1840" s="620">
        <v>0.03</v>
      </c>
      <c r="K1840"/>
    </row>
    <row r="1841" spans="1:11" ht="24" customHeight="1">
      <c r="A1841" s="626" t="s">
        <v>12709</v>
      </c>
      <c r="B1841" s="627" t="s">
        <v>13325</v>
      </c>
      <c r="C1841" s="626" t="s">
        <v>8</v>
      </c>
      <c r="D1841" s="626" t="s">
        <v>7456</v>
      </c>
      <c r="E1841" s="804" t="s">
        <v>12720</v>
      </c>
      <c r="F1841" s="805"/>
      <c r="G1841" s="628" t="s">
        <v>35</v>
      </c>
      <c r="H1841" s="629">
        <v>7.6000000000000001E-6</v>
      </c>
      <c r="I1841" s="630">
        <v>4271.16</v>
      </c>
      <c r="J1841" s="630">
        <v>0.03</v>
      </c>
      <c r="K1841"/>
    </row>
    <row r="1842" spans="1:11" ht="24" customHeight="1">
      <c r="A1842" s="631"/>
      <c r="B1842" s="631"/>
      <c r="C1842" s="631"/>
      <c r="D1842" s="631"/>
      <c r="E1842" s="631" t="s">
        <v>12714</v>
      </c>
      <c r="F1842" s="632">
        <v>0</v>
      </c>
      <c r="G1842" s="631" t="s">
        <v>12715</v>
      </c>
      <c r="H1842" s="632">
        <v>0</v>
      </c>
      <c r="I1842" s="631" t="s">
        <v>12716</v>
      </c>
      <c r="J1842" s="632">
        <v>0</v>
      </c>
      <c r="K1842"/>
    </row>
    <row r="1843" spans="1:11" ht="15" customHeight="1" thickBot="1">
      <c r="A1843" s="631"/>
      <c r="B1843" s="631"/>
      <c r="C1843" s="631"/>
      <c r="D1843" s="631"/>
      <c r="E1843" s="631" t="s">
        <v>12717</v>
      </c>
      <c r="F1843" s="632">
        <v>0</v>
      </c>
      <c r="G1843" s="631"/>
      <c r="H1843" s="806" t="s">
        <v>12718</v>
      </c>
      <c r="I1843" s="806"/>
      <c r="J1843" s="632">
        <v>0.03</v>
      </c>
      <c r="K1843"/>
    </row>
    <row r="1844" spans="1:11" ht="15" customHeight="1" thickTop="1">
      <c r="A1844" s="633"/>
      <c r="B1844" s="633"/>
      <c r="C1844" s="633"/>
      <c r="D1844" s="633"/>
      <c r="E1844" s="633"/>
      <c r="F1844" s="633"/>
      <c r="G1844" s="633"/>
      <c r="H1844" s="633"/>
      <c r="I1844" s="633"/>
      <c r="J1844" s="633"/>
      <c r="K1844"/>
    </row>
    <row r="1845" spans="1:11" ht="0.95" customHeight="1">
      <c r="A1845" s="613"/>
      <c r="B1845" s="614" t="s">
        <v>12698</v>
      </c>
      <c r="C1845" s="613" t="s">
        <v>12699</v>
      </c>
      <c r="D1845" s="613" t="s">
        <v>12700</v>
      </c>
      <c r="E1845" s="807" t="s">
        <v>12701</v>
      </c>
      <c r="F1845" s="808"/>
      <c r="G1845" s="615" t="s">
        <v>12702</v>
      </c>
      <c r="H1845" s="614" t="s">
        <v>12703</v>
      </c>
      <c r="I1845" s="614" t="s">
        <v>12704</v>
      </c>
      <c r="J1845" s="614" t="s">
        <v>12705</v>
      </c>
      <c r="K1845"/>
    </row>
    <row r="1846" spans="1:11" ht="18" customHeight="1">
      <c r="A1846" s="616" t="s">
        <v>12706</v>
      </c>
      <c r="B1846" s="617" t="s">
        <v>13326</v>
      </c>
      <c r="C1846" s="616" t="s">
        <v>8</v>
      </c>
      <c r="D1846" s="616" t="s">
        <v>2915</v>
      </c>
      <c r="E1846" s="809" t="s">
        <v>12726</v>
      </c>
      <c r="F1846" s="810"/>
      <c r="G1846" s="618" t="s">
        <v>23</v>
      </c>
      <c r="H1846" s="619">
        <v>1</v>
      </c>
      <c r="I1846" s="620">
        <v>0.34</v>
      </c>
      <c r="J1846" s="620">
        <v>0.34</v>
      </c>
      <c r="K1846"/>
    </row>
    <row r="1847" spans="1:11" ht="36" customHeight="1">
      <c r="A1847" s="626" t="s">
        <v>12709</v>
      </c>
      <c r="B1847" s="627" t="s">
        <v>13325</v>
      </c>
      <c r="C1847" s="626" t="s">
        <v>8</v>
      </c>
      <c r="D1847" s="626" t="s">
        <v>7456</v>
      </c>
      <c r="E1847" s="804" t="s">
        <v>12720</v>
      </c>
      <c r="F1847" s="805"/>
      <c r="G1847" s="628" t="s">
        <v>35</v>
      </c>
      <c r="H1847" s="629">
        <v>8.0000000000000007E-5</v>
      </c>
      <c r="I1847" s="630">
        <v>4271.16</v>
      </c>
      <c r="J1847" s="630">
        <v>0.34</v>
      </c>
      <c r="K1847"/>
    </row>
    <row r="1848" spans="1:11" ht="48" customHeight="1">
      <c r="A1848" s="631"/>
      <c r="B1848" s="631"/>
      <c r="C1848" s="631"/>
      <c r="D1848" s="631"/>
      <c r="E1848" s="631" t="s">
        <v>12714</v>
      </c>
      <c r="F1848" s="632">
        <v>0</v>
      </c>
      <c r="G1848" s="631" t="s">
        <v>12715</v>
      </c>
      <c r="H1848" s="632">
        <v>0</v>
      </c>
      <c r="I1848" s="631" t="s">
        <v>12716</v>
      </c>
      <c r="J1848" s="632">
        <v>0</v>
      </c>
      <c r="K1848"/>
    </row>
    <row r="1849" spans="1:11" ht="48" customHeight="1" thickBot="1">
      <c r="A1849" s="631"/>
      <c r="B1849" s="631"/>
      <c r="C1849" s="631"/>
      <c r="D1849" s="631"/>
      <c r="E1849" s="631" t="s">
        <v>12717</v>
      </c>
      <c r="F1849" s="632">
        <v>0.09</v>
      </c>
      <c r="G1849" s="631"/>
      <c r="H1849" s="806" t="s">
        <v>12718</v>
      </c>
      <c r="I1849" s="806"/>
      <c r="J1849" s="632">
        <v>0.43</v>
      </c>
      <c r="K1849"/>
    </row>
    <row r="1850" spans="1:11" ht="24" customHeight="1" thickTop="1">
      <c r="A1850" s="633"/>
      <c r="B1850" s="633"/>
      <c r="C1850" s="633"/>
      <c r="D1850" s="633"/>
      <c r="E1850" s="633"/>
      <c r="F1850" s="633"/>
      <c r="G1850" s="633"/>
      <c r="H1850" s="633"/>
      <c r="I1850" s="633"/>
      <c r="J1850" s="633"/>
      <c r="K1850"/>
    </row>
    <row r="1851" spans="1:11" ht="24" customHeight="1">
      <c r="A1851" s="613"/>
      <c r="B1851" s="614" t="s">
        <v>12698</v>
      </c>
      <c r="C1851" s="613" t="s">
        <v>12699</v>
      </c>
      <c r="D1851" s="613" t="s">
        <v>12700</v>
      </c>
      <c r="E1851" s="807" t="s">
        <v>12701</v>
      </c>
      <c r="F1851" s="808"/>
      <c r="G1851" s="615" t="s">
        <v>12702</v>
      </c>
      <c r="H1851" s="614" t="s">
        <v>12703</v>
      </c>
      <c r="I1851" s="614" t="s">
        <v>12704</v>
      </c>
      <c r="J1851" s="614" t="s">
        <v>12705</v>
      </c>
      <c r="K1851"/>
    </row>
    <row r="1852" spans="1:11" ht="24" customHeight="1">
      <c r="A1852" s="616" t="s">
        <v>12706</v>
      </c>
      <c r="B1852" s="617" t="s">
        <v>13324</v>
      </c>
      <c r="C1852" s="616" t="s">
        <v>8</v>
      </c>
      <c r="D1852" s="616" t="s">
        <v>2916</v>
      </c>
      <c r="E1852" s="809" t="s">
        <v>12726</v>
      </c>
      <c r="F1852" s="810"/>
      <c r="G1852" s="618" t="s">
        <v>23</v>
      </c>
      <c r="H1852" s="619">
        <v>1</v>
      </c>
      <c r="I1852" s="620">
        <v>26.1</v>
      </c>
      <c r="J1852" s="620">
        <v>26.1</v>
      </c>
      <c r="K1852"/>
    </row>
    <row r="1853" spans="1:11" ht="25.5">
      <c r="A1853" s="626" t="s">
        <v>12709</v>
      </c>
      <c r="B1853" s="627" t="s">
        <v>13323</v>
      </c>
      <c r="C1853" s="626" t="s">
        <v>8</v>
      </c>
      <c r="D1853" s="626" t="s">
        <v>7251</v>
      </c>
      <c r="E1853" s="804" t="s">
        <v>12720</v>
      </c>
      <c r="F1853" s="805"/>
      <c r="G1853" s="628" t="s">
        <v>20</v>
      </c>
      <c r="H1853" s="629">
        <v>0.3261</v>
      </c>
      <c r="I1853" s="630">
        <v>65.56</v>
      </c>
      <c r="J1853" s="630">
        <v>21.37</v>
      </c>
      <c r="K1853"/>
    </row>
    <row r="1854" spans="1:11" ht="15" customHeight="1">
      <c r="A1854" s="626" t="s">
        <v>12709</v>
      </c>
      <c r="B1854" s="627" t="s">
        <v>13322</v>
      </c>
      <c r="C1854" s="626" t="s">
        <v>8</v>
      </c>
      <c r="D1854" s="626" t="s">
        <v>10588</v>
      </c>
      <c r="E1854" s="804" t="s">
        <v>12720</v>
      </c>
      <c r="F1854" s="805"/>
      <c r="G1854" s="628" t="s">
        <v>12730</v>
      </c>
      <c r="H1854" s="629">
        <v>0.33</v>
      </c>
      <c r="I1854" s="630">
        <v>14.36</v>
      </c>
      <c r="J1854" s="630">
        <v>4.7300000000000004</v>
      </c>
      <c r="K1854"/>
    </row>
    <row r="1855" spans="1:11" ht="0.95" customHeight="1">
      <c r="A1855" s="631"/>
      <c r="B1855" s="631"/>
      <c r="C1855" s="631"/>
      <c r="D1855" s="631"/>
      <c r="E1855" s="631" t="s">
        <v>12714</v>
      </c>
      <c r="F1855" s="632">
        <v>0</v>
      </c>
      <c r="G1855" s="631" t="s">
        <v>12715</v>
      </c>
      <c r="H1855" s="632">
        <v>0</v>
      </c>
      <c r="I1855" s="631" t="s">
        <v>12716</v>
      </c>
      <c r="J1855" s="632">
        <v>0</v>
      </c>
      <c r="K1855"/>
    </row>
    <row r="1856" spans="1:11" ht="18" customHeight="1" thickBot="1">
      <c r="A1856" s="631"/>
      <c r="B1856" s="631"/>
      <c r="C1856" s="631"/>
      <c r="D1856" s="631"/>
      <c r="E1856" s="631" t="s">
        <v>12717</v>
      </c>
      <c r="F1856" s="632">
        <v>7.37</v>
      </c>
      <c r="G1856" s="631"/>
      <c r="H1856" s="806" t="s">
        <v>12718</v>
      </c>
      <c r="I1856" s="806"/>
      <c r="J1856" s="632">
        <v>33.47</v>
      </c>
      <c r="K1856"/>
    </row>
    <row r="1857" spans="1:11" ht="24" customHeight="1" thickTop="1">
      <c r="A1857" s="633"/>
      <c r="B1857" s="633"/>
      <c r="C1857" s="633"/>
      <c r="D1857" s="633"/>
      <c r="E1857" s="633"/>
      <c r="F1857" s="633"/>
      <c r="G1857" s="633"/>
      <c r="H1857" s="633"/>
      <c r="I1857" s="633"/>
      <c r="J1857" s="633"/>
      <c r="K1857"/>
    </row>
    <row r="1858" spans="1:11" ht="24" customHeight="1">
      <c r="A1858" s="613"/>
      <c r="B1858" s="614" t="s">
        <v>12698</v>
      </c>
      <c r="C1858" s="613" t="s">
        <v>12699</v>
      </c>
      <c r="D1858" s="613" t="s">
        <v>12700</v>
      </c>
      <c r="E1858" s="807" t="s">
        <v>12701</v>
      </c>
      <c r="F1858" s="808"/>
      <c r="G1858" s="615" t="s">
        <v>12702</v>
      </c>
      <c r="H1858" s="614" t="s">
        <v>12703</v>
      </c>
      <c r="I1858" s="614" t="s">
        <v>12704</v>
      </c>
      <c r="J1858" s="614" t="s">
        <v>12705</v>
      </c>
      <c r="K1858"/>
    </row>
    <row r="1859" spans="1:11" ht="24" customHeight="1">
      <c r="A1859" s="616" t="s">
        <v>12706</v>
      </c>
      <c r="B1859" s="617" t="s">
        <v>13321</v>
      </c>
      <c r="C1859" s="616" t="s">
        <v>8</v>
      </c>
      <c r="D1859" s="616" t="s">
        <v>5824</v>
      </c>
      <c r="E1859" s="809" t="s">
        <v>12707</v>
      </c>
      <c r="F1859" s="810"/>
      <c r="G1859" s="618" t="s">
        <v>12730</v>
      </c>
      <c r="H1859" s="619">
        <v>1</v>
      </c>
      <c r="I1859" s="620">
        <v>431.18</v>
      </c>
      <c r="J1859" s="620">
        <v>431.18</v>
      </c>
      <c r="K1859"/>
    </row>
    <row r="1860" spans="1:11" ht="24" customHeight="1">
      <c r="A1860" s="621" t="s">
        <v>12708</v>
      </c>
      <c r="B1860" s="622" t="s">
        <v>12727</v>
      </c>
      <c r="C1860" s="621" t="s">
        <v>8</v>
      </c>
      <c r="D1860" s="621" t="s">
        <v>26</v>
      </c>
      <c r="E1860" s="811" t="s">
        <v>12707</v>
      </c>
      <c r="F1860" s="812"/>
      <c r="G1860" s="623" t="s">
        <v>23</v>
      </c>
      <c r="H1860" s="624">
        <v>11.1</v>
      </c>
      <c r="I1860" s="625">
        <v>14.37</v>
      </c>
      <c r="J1860" s="625">
        <v>159.5</v>
      </c>
      <c r="K1860"/>
    </row>
    <row r="1861" spans="1:11" ht="25.5">
      <c r="A1861" s="626" t="s">
        <v>12709</v>
      </c>
      <c r="B1861" s="627" t="s">
        <v>13250</v>
      </c>
      <c r="C1861" s="626" t="s">
        <v>8</v>
      </c>
      <c r="D1861" s="626" t="s">
        <v>7526</v>
      </c>
      <c r="E1861" s="804" t="s">
        <v>12720</v>
      </c>
      <c r="F1861" s="805"/>
      <c r="G1861" s="628" t="s">
        <v>12730</v>
      </c>
      <c r="H1861" s="629">
        <v>1.1399999999999999</v>
      </c>
      <c r="I1861" s="630">
        <v>62.5</v>
      </c>
      <c r="J1861" s="630">
        <v>71.25</v>
      </c>
      <c r="K1861"/>
    </row>
    <row r="1862" spans="1:11" ht="15" customHeight="1">
      <c r="A1862" s="626" t="s">
        <v>12709</v>
      </c>
      <c r="B1862" s="627" t="s">
        <v>13319</v>
      </c>
      <c r="C1862" s="626" t="s">
        <v>8</v>
      </c>
      <c r="D1862" s="626" t="s">
        <v>8160</v>
      </c>
      <c r="E1862" s="804" t="s">
        <v>12720</v>
      </c>
      <c r="F1862" s="805"/>
      <c r="G1862" s="628" t="s">
        <v>20</v>
      </c>
      <c r="H1862" s="629">
        <v>171.13</v>
      </c>
      <c r="I1862" s="630">
        <v>0.62</v>
      </c>
      <c r="J1862" s="630">
        <v>106.1</v>
      </c>
      <c r="K1862"/>
    </row>
    <row r="1863" spans="1:11" ht="0.95" customHeight="1">
      <c r="A1863" s="626" t="s">
        <v>12709</v>
      </c>
      <c r="B1863" s="627" t="s">
        <v>13249</v>
      </c>
      <c r="C1863" s="626" t="s">
        <v>8</v>
      </c>
      <c r="D1863" s="626" t="s">
        <v>8420</v>
      </c>
      <c r="E1863" s="804" t="s">
        <v>12720</v>
      </c>
      <c r="F1863" s="805"/>
      <c r="G1863" s="628" t="s">
        <v>20</v>
      </c>
      <c r="H1863" s="629">
        <v>192.52</v>
      </c>
      <c r="I1863" s="630">
        <v>0.49</v>
      </c>
      <c r="J1863" s="630">
        <v>94.33</v>
      </c>
      <c r="K1863"/>
    </row>
    <row r="1864" spans="1:11" ht="18" customHeight="1">
      <c r="A1864" s="631"/>
      <c r="B1864" s="631"/>
      <c r="C1864" s="631"/>
      <c r="D1864" s="631"/>
      <c r="E1864" s="631" t="s">
        <v>12714</v>
      </c>
      <c r="F1864" s="632">
        <v>57.844091253108445</v>
      </c>
      <c r="G1864" s="631" t="s">
        <v>12715</v>
      </c>
      <c r="H1864" s="632">
        <v>49.16</v>
      </c>
      <c r="I1864" s="631" t="s">
        <v>12716</v>
      </c>
      <c r="J1864" s="632">
        <v>107</v>
      </c>
      <c r="K1864"/>
    </row>
    <row r="1865" spans="1:11" ht="36" customHeight="1" thickBot="1">
      <c r="A1865" s="631"/>
      <c r="B1865" s="631"/>
      <c r="C1865" s="631"/>
      <c r="D1865" s="631"/>
      <c r="E1865" s="631" t="s">
        <v>12717</v>
      </c>
      <c r="F1865" s="632">
        <v>121.76</v>
      </c>
      <c r="G1865" s="631"/>
      <c r="H1865" s="806" t="s">
        <v>12718</v>
      </c>
      <c r="I1865" s="806"/>
      <c r="J1865" s="632">
        <v>552.94000000000005</v>
      </c>
      <c r="K1865"/>
    </row>
    <row r="1866" spans="1:11" ht="48" customHeight="1" thickTop="1">
      <c r="A1866" s="633"/>
      <c r="B1866" s="633"/>
      <c r="C1866" s="633"/>
      <c r="D1866" s="633"/>
      <c r="E1866" s="633"/>
      <c r="F1866" s="633"/>
      <c r="G1866" s="633"/>
      <c r="H1866" s="633"/>
      <c r="I1866" s="633"/>
      <c r="J1866" s="633"/>
      <c r="K1866"/>
    </row>
    <row r="1867" spans="1:11" ht="48" customHeight="1">
      <c r="A1867" s="613"/>
      <c r="B1867" s="614" t="s">
        <v>12698</v>
      </c>
      <c r="C1867" s="613" t="s">
        <v>12699</v>
      </c>
      <c r="D1867" s="613" t="s">
        <v>12700</v>
      </c>
      <c r="E1867" s="807" t="s">
        <v>12701</v>
      </c>
      <c r="F1867" s="808"/>
      <c r="G1867" s="615" t="s">
        <v>12702</v>
      </c>
      <c r="H1867" s="614" t="s">
        <v>12703</v>
      </c>
      <c r="I1867" s="614" t="s">
        <v>12704</v>
      </c>
      <c r="J1867" s="614" t="s">
        <v>12705</v>
      </c>
      <c r="K1867"/>
    </row>
    <row r="1868" spans="1:11" ht="24" customHeight="1">
      <c r="A1868" s="616" t="s">
        <v>12706</v>
      </c>
      <c r="B1868" s="617" t="s">
        <v>13320</v>
      </c>
      <c r="C1868" s="616" t="s">
        <v>8</v>
      </c>
      <c r="D1868" s="616" t="s">
        <v>5758</v>
      </c>
      <c r="E1868" s="809" t="s">
        <v>12707</v>
      </c>
      <c r="F1868" s="810"/>
      <c r="G1868" s="618" t="s">
        <v>12730</v>
      </c>
      <c r="H1868" s="619">
        <v>1</v>
      </c>
      <c r="I1868" s="620">
        <v>336.77</v>
      </c>
      <c r="J1868" s="620">
        <v>336.77</v>
      </c>
      <c r="K1868"/>
    </row>
    <row r="1869" spans="1:11" ht="24" customHeight="1">
      <c r="A1869" s="621" t="s">
        <v>12708</v>
      </c>
      <c r="B1869" s="622" t="s">
        <v>13257</v>
      </c>
      <c r="C1869" s="621" t="s">
        <v>8</v>
      </c>
      <c r="D1869" s="621" t="s">
        <v>1579</v>
      </c>
      <c r="E1869" s="811" t="s">
        <v>12726</v>
      </c>
      <c r="F1869" s="812"/>
      <c r="G1869" s="623" t="s">
        <v>44</v>
      </c>
      <c r="H1869" s="624">
        <v>1.05</v>
      </c>
      <c r="I1869" s="625">
        <v>1.47</v>
      </c>
      <c r="J1869" s="625">
        <v>1.54</v>
      </c>
      <c r="K1869"/>
    </row>
    <row r="1870" spans="1:11" ht="24" customHeight="1">
      <c r="A1870" s="621" t="s">
        <v>12708</v>
      </c>
      <c r="B1870" s="622" t="s">
        <v>13256</v>
      </c>
      <c r="C1870" s="621" t="s">
        <v>8</v>
      </c>
      <c r="D1870" s="621" t="s">
        <v>1580</v>
      </c>
      <c r="E1870" s="811" t="s">
        <v>12726</v>
      </c>
      <c r="F1870" s="812"/>
      <c r="G1870" s="623" t="s">
        <v>61</v>
      </c>
      <c r="H1870" s="624">
        <v>3.45</v>
      </c>
      <c r="I1870" s="625">
        <v>0.25</v>
      </c>
      <c r="J1870" s="625">
        <v>0.86</v>
      </c>
      <c r="K1870"/>
    </row>
    <row r="1871" spans="1:11" ht="25.5">
      <c r="A1871" s="621" t="s">
        <v>12708</v>
      </c>
      <c r="B1871" s="622" t="s">
        <v>13118</v>
      </c>
      <c r="C1871" s="621" t="s">
        <v>8</v>
      </c>
      <c r="D1871" s="621" t="s">
        <v>1520</v>
      </c>
      <c r="E1871" s="811" t="s">
        <v>12707</v>
      </c>
      <c r="F1871" s="812"/>
      <c r="G1871" s="623" t="s">
        <v>23</v>
      </c>
      <c r="H1871" s="624">
        <v>4.5</v>
      </c>
      <c r="I1871" s="625">
        <v>12.88</v>
      </c>
      <c r="J1871" s="625">
        <v>57.96</v>
      </c>
      <c r="K1871"/>
    </row>
    <row r="1872" spans="1:11" ht="15" customHeight="1">
      <c r="A1872" s="626" t="s">
        <v>12709</v>
      </c>
      <c r="B1872" s="627" t="s">
        <v>13250</v>
      </c>
      <c r="C1872" s="626" t="s">
        <v>8</v>
      </c>
      <c r="D1872" s="626" t="s">
        <v>7526</v>
      </c>
      <c r="E1872" s="804" t="s">
        <v>12720</v>
      </c>
      <c r="F1872" s="805"/>
      <c r="G1872" s="628" t="s">
        <v>12730</v>
      </c>
      <c r="H1872" s="629">
        <v>1.1599999999999999</v>
      </c>
      <c r="I1872" s="630">
        <v>62.5</v>
      </c>
      <c r="J1872" s="630">
        <v>72.5</v>
      </c>
      <c r="K1872"/>
    </row>
    <row r="1873" spans="1:11" ht="0.95" customHeight="1">
      <c r="A1873" s="626" t="s">
        <v>12709</v>
      </c>
      <c r="B1873" s="627" t="s">
        <v>13319</v>
      </c>
      <c r="C1873" s="626" t="s">
        <v>8</v>
      </c>
      <c r="D1873" s="626" t="s">
        <v>8160</v>
      </c>
      <c r="E1873" s="804" t="s">
        <v>12720</v>
      </c>
      <c r="F1873" s="805"/>
      <c r="G1873" s="628" t="s">
        <v>20</v>
      </c>
      <c r="H1873" s="629">
        <v>174.1</v>
      </c>
      <c r="I1873" s="630">
        <v>0.62</v>
      </c>
      <c r="J1873" s="630">
        <v>107.94</v>
      </c>
      <c r="K1873"/>
    </row>
    <row r="1874" spans="1:11" ht="18" customHeight="1">
      <c r="A1874" s="626" t="s">
        <v>12709</v>
      </c>
      <c r="B1874" s="627" t="s">
        <v>13249</v>
      </c>
      <c r="C1874" s="626" t="s">
        <v>8</v>
      </c>
      <c r="D1874" s="626" t="s">
        <v>8420</v>
      </c>
      <c r="E1874" s="804" t="s">
        <v>12720</v>
      </c>
      <c r="F1874" s="805"/>
      <c r="G1874" s="628" t="s">
        <v>20</v>
      </c>
      <c r="H1874" s="629">
        <v>195.86</v>
      </c>
      <c r="I1874" s="630">
        <v>0.49</v>
      </c>
      <c r="J1874" s="630">
        <v>95.97</v>
      </c>
      <c r="K1874"/>
    </row>
    <row r="1875" spans="1:11" ht="36" customHeight="1">
      <c r="A1875" s="631"/>
      <c r="B1875" s="631"/>
      <c r="C1875" s="631"/>
      <c r="D1875" s="631"/>
      <c r="E1875" s="631" t="s">
        <v>12714</v>
      </c>
      <c r="F1875" s="632">
        <v>21.602335400000001</v>
      </c>
      <c r="G1875" s="631" t="s">
        <v>12715</v>
      </c>
      <c r="H1875" s="632">
        <v>18.36</v>
      </c>
      <c r="I1875" s="631" t="s">
        <v>12716</v>
      </c>
      <c r="J1875" s="632">
        <v>39.96</v>
      </c>
      <c r="K1875"/>
    </row>
    <row r="1876" spans="1:11" ht="48" customHeight="1" thickBot="1">
      <c r="A1876" s="631"/>
      <c r="B1876" s="631"/>
      <c r="C1876" s="631"/>
      <c r="D1876" s="631"/>
      <c r="E1876" s="631" t="s">
        <v>12717</v>
      </c>
      <c r="F1876" s="632">
        <v>95.1</v>
      </c>
      <c r="G1876" s="631"/>
      <c r="H1876" s="806" t="s">
        <v>12718</v>
      </c>
      <c r="I1876" s="806"/>
      <c r="J1876" s="632">
        <v>431.87</v>
      </c>
      <c r="K1876"/>
    </row>
    <row r="1877" spans="1:11" ht="48" customHeight="1" thickTop="1">
      <c r="A1877" s="633"/>
      <c r="B1877" s="633"/>
      <c r="C1877" s="633"/>
      <c r="D1877" s="633"/>
      <c r="E1877" s="633"/>
      <c r="F1877" s="633"/>
      <c r="G1877" s="633"/>
      <c r="H1877" s="633"/>
      <c r="I1877" s="633"/>
      <c r="J1877" s="633"/>
      <c r="K1877"/>
    </row>
    <row r="1878" spans="1:11" ht="24" customHeight="1">
      <c r="A1878" s="613"/>
      <c r="B1878" s="614" t="s">
        <v>12698</v>
      </c>
      <c r="C1878" s="613" t="s">
        <v>12699</v>
      </c>
      <c r="D1878" s="613" t="s">
        <v>12700</v>
      </c>
      <c r="E1878" s="807" t="s">
        <v>12701</v>
      </c>
      <c r="F1878" s="808"/>
      <c r="G1878" s="615" t="s">
        <v>12702</v>
      </c>
      <c r="H1878" s="614" t="s">
        <v>12703</v>
      </c>
      <c r="I1878" s="614" t="s">
        <v>12704</v>
      </c>
      <c r="J1878" s="614" t="s">
        <v>12705</v>
      </c>
      <c r="K1878"/>
    </row>
    <row r="1879" spans="1:11" ht="24" customHeight="1">
      <c r="A1879" s="616" t="s">
        <v>12706</v>
      </c>
      <c r="B1879" s="617" t="s">
        <v>13318</v>
      </c>
      <c r="C1879" s="616" t="s">
        <v>8</v>
      </c>
      <c r="D1879" s="616" t="s">
        <v>5772</v>
      </c>
      <c r="E1879" s="809" t="s">
        <v>12707</v>
      </c>
      <c r="F1879" s="810"/>
      <c r="G1879" s="618" t="s">
        <v>12730</v>
      </c>
      <c r="H1879" s="619">
        <v>1</v>
      </c>
      <c r="I1879" s="620">
        <v>330.09</v>
      </c>
      <c r="J1879" s="620">
        <v>330.09</v>
      </c>
      <c r="K1879"/>
    </row>
    <row r="1880" spans="1:11" ht="24" customHeight="1">
      <c r="A1880" s="621" t="s">
        <v>12708</v>
      </c>
      <c r="B1880" s="622" t="s">
        <v>13257</v>
      </c>
      <c r="C1880" s="621" t="s">
        <v>8</v>
      </c>
      <c r="D1880" s="621" t="s">
        <v>1579</v>
      </c>
      <c r="E1880" s="811" t="s">
        <v>12726</v>
      </c>
      <c r="F1880" s="812"/>
      <c r="G1880" s="623" t="s">
        <v>44</v>
      </c>
      <c r="H1880" s="624">
        <v>1.01</v>
      </c>
      <c r="I1880" s="625">
        <v>1.47</v>
      </c>
      <c r="J1880" s="625">
        <v>1.48</v>
      </c>
      <c r="K1880"/>
    </row>
    <row r="1881" spans="1:11" ht="38.25" customHeight="1">
      <c r="A1881" s="621" t="s">
        <v>12708</v>
      </c>
      <c r="B1881" s="622" t="s">
        <v>13256</v>
      </c>
      <c r="C1881" s="621" t="s">
        <v>8</v>
      </c>
      <c r="D1881" s="621" t="s">
        <v>1580</v>
      </c>
      <c r="E1881" s="811" t="s">
        <v>12726</v>
      </c>
      <c r="F1881" s="812"/>
      <c r="G1881" s="623" t="s">
        <v>61</v>
      </c>
      <c r="H1881" s="624">
        <v>3.31</v>
      </c>
      <c r="I1881" s="625">
        <v>0.25</v>
      </c>
      <c r="J1881" s="625">
        <v>0.82</v>
      </c>
      <c r="K1881"/>
    </row>
    <row r="1882" spans="1:11" ht="15" customHeight="1">
      <c r="A1882" s="621" t="s">
        <v>12708</v>
      </c>
      <c r="B1882" s="622" t="s">
        <v>13118</v>
      </c>
      <c r="C1882" s="621" t="s">
        <v>8</v>
      </c>
      <c r="D1882" s="621" t="s">
        <v>1520</v>
      </c>
      <c r="E1882" s="811" t="s">
        <v>12707</v>
      </c>
      <c r="F1882" s="812"/>
      <c r="G1882" s="623" t="s">
        <v>23</v>
      </c>
      <c r="H1882" s="624">
        <v>4.32</v>
      </c>
      <c r="I1882" s="625">
        <v>12.88</v>
      </c>
      <c r="J1882" s="625">
        <v>55.64</v>
      </c>
      <c r="K1882"/>
    </row>
    <row r="1883" spans="1:11" ht="0.95" customHeight="1">
      <c r="A1883" s="626" t="s">
        <v>12709</v>
      </c>
      <c r="B1883" s="627" t="s">
        <v>13315</v>
      </c>
      <c r="C1883" s="626" t="s">
        <v>8</v>
      </c>
      <c r="D1883" s="626" t="s">
        <v>7525</v>
      </c>
      <c r="E1883" s="804" t="s">
        <v>12720</v>
      </c>
      <c r="F1883" s="805"/>
      <c r="G1883" s="628" t="s">
        <v>12730</v>
      </c>
      <c r="H1883" s="629">
        <v>0.95</v>
      </c>
      <c r="I1883" s="630">
        <v>66.5</v>
      </c>
      <c r="J1883" s="630">
        <v>63.17</v>
      </c>
      <c r="K1883"/>
    </row>
    <row r="1884" spans="1:11" ht="18" customHeight="1">
      <c r="A1884" s="626" t="s">
        <v>12709</v>
      </c>
      <c r="B1884" s="627" t="s">
        <v>13249</v>
      </c>
      <c r="C1884" s="626" t="s">
        <v>8</v>
      </c>
      <c r="D1884" s="626" t="s">
        <v>8420</v>
      </c>
      <c r="E1884" s="804" t="s">
        <v>12720</v>
      </c>
      <c r="F1884" s="805"/>
      <c r="G1884" s="628" t="s">
        <v>20</v>
      </c>
      <c r="H1884" s="629">
        <v>426.49</v>
      </c>
      <c r="I1884" s="630">
        <v>0.49</v>
      </c>
      <c r="J1884" s="630">
        <v>208.98</v>
      </c>
      <c r="K1884"/>
    </row>
    <row r="1885" spans="1:11" ht="36" customHeight="1">
      <c r="A1885" s="631"/>
      <c r="B1885" s="631"/>
      <c r="C1885" s="631"/>
      <c r="D1885" s="631"/>
      <c r="E1885" s="631" t="s">
        <v>12714</v>
      </c>
      <c r="F1885" s="632">
        <v>20.737377013731216</v>
      </c>
      <c r="G1885" s="631" t="s">
        <v>12715</v>
      </c>
      <c r="H1885" s="632">
        <v>17.62</v>
      </c>
      <c r="I1885" s="631" t="s">
        <v>12716</v>
      </c>
      <c r="J1885" s="632">
        <v>38.36</v>
      </c>
      <c r="K1885"/>
    </row>
    <row r="1886" spans="1:11" ht="24" customHeight="1" thickBot="1">
      <c r="A1886" s="631"/>
      <c r="B1886" s="631"/>
      <c r="C1886" s="631"/>
      <c r="D1886" s="631"/>
      <c r="E1886" s="631" t="s">
        <v>12717</v>
      </c>
      <c r="F1886" s="632">
        <v>93.21</v>
      </c>
      <c r="G1886" s="631"/>
      <c r="H1886" s="806" t="s">
        <v>12718</v>
      </c>
      <c r="I1886" s="806"/>
      <c r="J1886" s="632">
        <v>423.3</v>
      </c>
      <c r="K1886"/>
    </row>
    <row r="1887" spans="1:11" ht="24" customHeight="1" thickTop="1">
      <c r="A1887" s="633"/>
      <c r="B1887" s="633"/>
      <c r="C1887" s="633"/>
      <c r="D1887" s="633"/>
      <c r="E1887" s="633"/>
      <c r="F1887" s="633"/>
      <c r="G1887" s="633"/>
      <c r="H1887" s="633"/>
      <c r="I1887" s="633"/>
      <c r="J1887" s="633"/>
      <c r="K1887"/>
    </row>
    <row r="1888" spans="1:11" ht="24" customHeight="1">
      <c r="A1888" s="613"/>
      <c r="B1888" s="614" t="s">
        <v>12698</v>
      </c>
      <c r="C1888" s="613" t="s">
        <v>12699</v>
      </c>
      <c r="D1888" s="613" t="s">
        <v>12700</v>
      </c>
      <c r="E1888" s="807" t="s">
        <v>12701</v>
      </c>
      <c r="F1888" s="808"/>
      <c r="G1888" s="615" t="s">
        <v>12702</v>
      </c>
      <c r="H1888" s="614" t="s">
        <v>12703</v>
      </c>
      <c r="I1888" s="614" t="s">
        <v>12704</v>
      </c>
      <c r="J1888" s="614" t="s">
        <v>12705</v>
      </c>
      <c r="K1888"/>
    </row>
    <row r="1889" spans="1:11" ht="38.25">
      <c r="A1889" s="616" t="s">
        <v>12706</v>
      </c>
      <c r="B1889" s="617" t="s">
        <v>14845</v>
      </c>
      <c r="C1889" s="616" t="s">
        <v>8</v>
      </c>
      <c r="D1889" s="616" t="s">
        <v>5874</v>
      </c>
      <c r="E1889" s="809" t="s">
        <v>12707</v>
      </c>
      <c r="F1889" s="810"/>
      <c r="G1889" s="618" t="s">
        <v>12730</v>
      </c>
      <c r="H1889" s="619">
        <v>1</v>
      </c>
      <c r="I1889" s="620">
        <v>453.9</v>
      </c>
      <c r="J1889" s="620">
        <v>453.9</v>
      </c>
      <c r="K1889"/>
    </row>
    <row r="1890" spans="1:11" ht="15" customHeight="1">
      <c r="A1890" s="621" t="s">
        <v>12708</v>
      </c>
      <c r="B1890" s="622" t="s">
        <v>13257</v>
      </c>
      <c r="C1890" s="621" t="s">
        <v>8</v>
      </c>
      <c r="D1890" s="621" t="s">
        <v>1579</v>
      </c>
      <c r="E1890" s="811" t="s">
        <v>12726</v>
      </c>
      <c r="F1890" s="812"/>
      <c r="G1890" s="623" t="s">
        <v>44</v>
      </c>
      <c r="H1890" s="624">
        <v>0.87</v>
      </c>
      <c r="I1890" s="625">
        <v>1.47</v>
      </c>
      <c r="J1890" s="625">
        <v>1.27</v>
      </c>
      <c r="K1890"/>
    </row>
    <row r="1891" spans="1:11" ht="0.95" customHeight="1">
      <c r="A1891" s="621" t="s">
        <v>12708</v>
      </c>
      <c r="B1891" s="622" t="s">
        <v>13256</v>
      </c>
      <c r="C1891" s="621" t="s">
        <v>8</v>
      </c>
      <c r="D1891" s="621" t="s">
        <v>1580</v>
      </c>
      <c r="E1891" s="811" t="s">
        <v>12726</v>
      </c>
      <c r="F1891" s="812"/>
      <c r="G1891" s="623" t="s">
        <v>61</v>
      </c>
      <c r="H1891" s="624">
        <v>2.88</v>
      </c>
      <c r="I1891" s="625">
        <v>0.25</v>
      </c>
      <c r="J1891" s="625">
        <v>0.72</v>
      </c>
      <c r="K1891"/>
    </row>
    <row r="1892" spans="1:11" ht="18" customHeight="1">
      <c r="A1892" s="621" t="s">
        <v>12708</v>
      </c>
      <c r="B1892" s="622" t="s">
        <v>13118</v>
      </c>
      <c r="C1892" s="621" t="s">
        <v>8</v>
      </c>
      <c r="D1892" s="621" t="s">
        <v>1520</v>
      </c>
      <c r="E1892" s="811" t="s">
        <v>12707</v>
      </c>
      <c r="F1892" s="812"/>
      <c r="G1892" s="623" t="s">
        <v>23</v>
      </c>
      <c r="H1892" s="624">
        <v>3.75</v>
      </c>
      <c r="I1892" s="625">
        <v>12.88</v>
      </c>
      <c r="J1892" s="625">
        <v>48.3</v>
      </c>
      <c r="K1892"/>
    </row>
    <row r="1893" spans="1:11" ht="36" customHeight="1">
      <c r="A1893" s="626" t="s">
        <v>12709</v>
      </c>
      <c r="B1893" s="627" t="s">
        <v>14856</v>
      </c>
      <c r="C1893" s="626" t="s">
        <v>8</v>
      </c>
      <c r="D1893" s="626" t="s">
        <v>7347</v>
      </c>
      <c r="E1893" s="804" t="s">
        <v>12720</v>
      </c>
      <c r="F1893" s="805"/>
      <c r="G1893" s="628" t="s">
        <v>58</v>
      </c>
      <c r="H1893" s="629">
        <v>19.440000000000001</v>
      </c>
      <c r="I1893" s="630">
        <v>5.04</v>
      </c>
      <c r="J1893" s="630">
        <v>97.97</v>
      </c>
      <c r="K1893"/>
    </row>
    <row r="1894" spans="1:11" ht="48" customHeight="1">
      <c r="A1894" s="626" t="s">
        <v>12709</v>
      </c>
      <c r="B1894" s="627" t="s">
        <v>13250</v>
      </c>
      <c r="C1894" s="626" t="s">
        <v>8</v>
      </c>
      <c r="D1894" s="626" t="s">
        <v>7526</v>
      </c>
      <c r="E1894" s="804" t="s">
        <v>12720</v>
      </c>
      <c r="F1894" s="805"/>
      <c r="G1894" s="628" t="s">
        <v>12730</v>
      </c>
      <c r="H1894" s="629">
        <v>1.08</v>
      </c>
      <c r="I1894" s="630">
        <v>62.5</v>
      </c>
      <c r="J1894" s="630">
        <v>67.5</v>
      </c>
      <c r="K1894"/>
    </row>
    <row r="1895" spans="1:11" ht="48" customHeight="1">
      <c r="A1895" s="626" t="s">
        <v>12709</v>
      </c>
      <c r="B1895" s="627" t="s">
        <v>13249</v>
      </c>
      <c r="C1895" s="626" t="s">
        <v>8</v>
      </c>
      <c r="D1895" s="626" t="s">
        <v>8420</v>
      </c>
      <c r="E1895" s="804" t="s">
        <v>12720</v>
      </c>
      <c r="F1895" s="805"/>
      <c r="G1895" s="628" t="s">
        <v>20</v>
      </c>
      <c r="H1895" s="629">
        <v>486</v>
      </c>
      <c r="I1895" s="630">
        <v>0.49</v>
      </c>
      <c r="J1895" s="630">
        <v>238.14</v>
      </c>
      <c r="K1895"/>
    </row>
    <row r="1896" spans="1:11" ht="24" customHeight="1">
      <c r="A1896" s="631"/>
      <c r="B1896" s="631"/>
      <c r="C1896" s="631"/>
      <c r="D1896" s="631"/>
      <c r="E1896" s="631" t="s">
        <v>12714</v>
      </c>
      <c r="F1896" s="632">
        <v>18.001946199999999</v>
      </c>
      <c r="G1896" s="631" t="s">
        <v>12715</v>
      </c>
      <c r="H1896" s="632">
        <v>15.3</v>
      </c>
      <c r="I1896" s="631" t="s">
        <v>12716</v>
      </c>
      <c r="J1896" s="632">
        <v>33.299999999999997</v>
      </c>
      <c r="K1896"/>
    </row>
    <row r="1897" spans="1:11" ht="24" customHeight="1" thickBot="1">
      <c r="A1897" s="631"/>
      <c r="B1897" s="631"/>
      <c r="C1897" s="631"/>
      <c r="D1897" s="631"/>
      <c r="E1897" s="631" t="s">
        <v>12717</v>
      </c>
      <c r="F1897" s="632">
        <v>128.18</v>
      </c>
      <c r="G1897" s="631"/>
      <c r="H1897" s="806" t="s">
        <v>12718</v>
      </c>
      <c r="I1897" s="806"/>
      <c r="J1897" s="632">
        <v>582.08000000000004</v>
      </c>
      <c r="K1897"/>
    </row>
    <row r="1898" spans="1:11" ht="24" customHeight="1" thickTop="1">
      <c r="A1898" s="633"/>
      <c r="B1898" s="633"/>
      <c r="C1898" s="633"/>
      <c r="D1898" s="633"/>
      <c r="E1898" s="633"/>
      <c r="F1898" s="633"/>
      <c r="G1898" s="633"/>
      <c r="H1898" s="633"/>
      <c r="I1898" s="633"/>
      <c r="J1898" s="633"/>
      <c r="K1898"/>
    </row>
    <row r="1899" spans="1:11" ht="15">
      <c r="A1899" s="613"/>
      <c r="B1899" s="614" t="s">
        <v>12698</v>
      </c>
      <c r="C1899" s="613" t="s">
        <v>12699</v>
      </c>
      <c r="D1899" s="613" t="s">
        <v>12700</v>
      </c>
      <c r="E1899" s="807" t="s">
        <v>12701</v>
      </c>
      <c r="F1899" s="808"/>
      <c r="G1899" s="615" t="s">
        <v>12702</v>
      </c>
      <c r="H1899" s="614" t="s">
        <v>12703</v>
      </c>
      <c r="I1899" s="614" t="s">
        <v>12704</v>
      </c>
      <c r="J1899" s="614" t="s">
        <v>12705</v>
      </c>
      <c r="K1899"/>
    </row>
    <row r="1900" spans="1:11" ht="15" customHeight="1">
      <c r="A1900" s="616" t="s">
        <v>12706</v>
      </c>
      <c r="B1900" s="617" t="s">
        <v>13307</v>
      </c>
      <c r="C1900" s="616" t="s">
        <v>8</v>
      </c>
      <c r="D1900" s="616" t="s">
        <v>5862</v>
      </c>
      <c r="E1900" s="809" t="s">
        <v>12707</v>
      </c>
      <c r="F1900" s="810"/>
      <c r="G1900" s="618" t="s">
        <v>12730</v>
      </c>
      <c r="H1900" s="619">
        <v>1</v>
      </c>
      <c r="I1900" s="620">
        <v>426.67</v>
      </c>
      <c r="J1900" s="620">
        <v>426.67</v>
      </c>
      <c r="K1900"/>
    </row>
    <row r="1901" spans="1:11" ht="0.95" customHeight="1">
      <c r="A1901" s="621" t="s">
        <v>12708</v>
      </c>
      <c r="B1901" s="622" t="s">
        <v>12727</v>
      </c>
      <c r="C1901" s="621" t="s">
        <v>8</v>
      </c>
      <c r="D1901" s="621" t="s">
        <v>26</v>
      </c>
      <c r="E1901" s="811" t="s">
        <v>12707</v>
      </c>
      <c r="F1901" s="812"/>
      <c r="G1901" s="623" t="s">
        <v>23</v>
      </c>
      <c r="H1901" s="624">
        <v>8.57</v>
      </c>
      <c r="I1901" s="625">
        <v>14.37</v>
      </c>
      <c r="J1901" s="625">
        <v>123.15</v>
      </c>
      <c r="K1901"/>
    </row>
    <row r="1902" spans="1:11" ht="18" customHeight="1">
      <c r="A1902" s="626" t="s">
        <v>12709</v>
      </c>
      <c r="B1902" s="627" t="s">
        <v>13250</v>
      </c>
      <c r="C1902" s="626" t="s">
        <v>8</v>
      </c>
      <c r="D1902" s="626" t="s">
        <v>7526</v>
      </c>
      <c r="E1902" s="804" t="s">
        <v>12720</v>
      </c>
      <c r="F1902" s="805"/>
      <c r="G1902" s="628" t="s">
        <v>12730</v>
      </c>
      <c r="H1902" s="629">
        <v>1.07</v>
      </c>
      <c r="I1902" s="630">
        <v>62.5</v>
      </c>
      <c r="J1902" s="630">
        <v>66.87</v>
      </c>
      <c r="K1902"/>
    </row>
    <row r="1903" spans="1:11" ht="24" customHeight="1">
      <c r="A1903" s="626" t="s">
        <v>12709</v>
      </c>
      <c r="B1903" s="627" t="s">
        <v>13249</v>
      </c>
      <c r="C1903" s="626" t="s">
        <v>8</v>
      </c>
      <c r="D1903" s="626" t="s">
        <v>8420</v>
      </c>
      <c r="E1903" s="804" t="s">
        <v>12720</v>
      </c>
      <c r="F1903" s="805"/>
      <c r="G1903" s="628" t="s">
        <v>20</v>
      </c>
      <c r="H1903" s="629">
        <v>482.96</v>
      </c>
      <c r="I1903" s="630">
        <v>0.49</v>
      </c>
      <c r="J1903" s="630">
        <v>236.65</v>
      </c>
      <c r="K1903"/>
    </row>
    <row r="1904" spans="1:11" ht="24" customHeight="1">
      <c r="A1904" s="631"/>
      <c r="B1904" s="631"/>
      <c r="C1904" s="631"/>
      <c r="D1904" s="631"/>
      <c r="E1904" s="631" t="s">
        <v>12714</v>
      </c>
      <c r="F1904" s="632">
        <v>44.658882041301766</v>
      </c>
      <c r="G1904" s="631" t="s">
        <v>12715</v>
      </c>
      <c r="H1904" s="632">
        <v>37.950000000000003</v>
      </c>
      <c r="I1904" s="631" t="s">
        <v>12716</v>
      </c>
      <c r="J1904" s="632">
        <v>82.61</v>
      </c>
      <c r="K1904"/>
    </row>
    <row r="1905" spans="1:11" ht="24" customHeight="1" thickBot="1">
      <c r="A1905" s="631"/>
      <c r="B1905" s="631"/>
      <c r="C1905" s="631"/>
      <c r="D1905" s="631"/>
      <c r="E1905" s="631" t="s">
        <v>12717</v>
      </c>
      <c r="F1905" s="632">
        <v>120.49</v>
      </c>
      <c r="G1905" s="631"/>
      <c r="H1905" s="806" t="s">
        <v>12718</v>
      </c>
      <c r="I1905" s="806"/>
      <c r="J1905" s="632">
        <v>547.16</v>
      </c>
      <c r="K1905"/>
    </row>
    <row r="1906" spans="1:11" ht="24" customHeight="1" thickTop="1">
      <c r="A1906" s="633"/>
      <c r="B1906" s="633"/>
      <c r="C1906" s="633"/>
      <c r="D1906" s="633"/>
      <c r="E1906" s="633"/>
      <c r="F1906" s="633"/>
      <c r="G1906" s="633"/>
      <c r="H1906" s="633"/>
      <c r="I1906" s="633"/>
      <c r="J1906" s="633"/>
      <c r="K1906"/>
    </row>
    <row r="1907" spans="1:11" ht="15">
      <c r="A1907" s="613"/>
      <c r="B1907" s="614" t="s">
        <v>12698</v>
      </c>
      <c r="C1907" s="613" t="s">
        <v>12699</v>
      </c>
      <c r="D1907" s="613" t="s">
        <v>12700</v>
      </c>
      <c r="E1907" s="807" t="s">
        <v>12701</v>
      </c>
      <c r="F1907" s="808"/>
      <c r="G1907" s="615" t="s">
        <v>12702</v>
      </c>
      <c r="H1907" s="614" t="s">
        <v>12703</v>
      </c>
      <c r="I1907" s="614" t="s">
        <v>12704</v>
      </c>
      <c r="J1907" s="614" t="s">
        <v>12705</v>
      </c>
      <c r="K1907"/>
    </row>
    <row r="1908" spans="1:11" ht="15" customHeight="1">
      <c r="A1908" s="616" t="s">
        <v>12706</v>
      </c>
      <c r="B1908" s="617" t="s">
        <v>13317</v>
      </c>
      <c r="C1908" s="616" t="s">
        <v>8</v>
      </c>
      <c r="D1908" s="616" t="s">
        <v>5861</v>
      </c>
      <c r="E1908" s="809" t="s">
        <v>12707</v>
      </c>
      <c r="F1908" s="810"/>
      <c r="G1908" s="618" t="s">
        <v>12730</v>
      </c>
      <c r="H1908" s="619">
        <v>1</v>
      </c>
      <c r="I1908" s="620">
        <v>349.74</v>
      </c>
      <c r="J1908" s="620">
        <v>349.74</v>
      </c>
      <c r="K1908"/>
    </row>
    <row r="1909" spans="1:11" ht="0.95" customHeight="1">
      <c r="A1909" s="621" t="s">
        <v>12708</v>
      </c>
      <c r="B1909" s="622" t="s">
        <v>13257</v>
      </c>
      <c r="C1909" s="621" t="s">
        <v>8</v>
      </c>
      <c r="D1909" s="621" t="s">
        <v>1579</v>
      </c>
      <c r="E1909" s="811" t="s">
        <v>12726</v>
      </c>
      <c r="F1909" s="812"/>
      <c r="G1909" s="623" t="s">
        <v>44</v>
      </c>
      <c r="H1909" s="624">
        <v>0.8</v>
      </c>
      <c r="I1909" s="625">
        <v>1.47</v>
      </c>
      <c r="J1909" s="625">
        <v>1.17</v>
      </c>
      <c r="K1909"/>
    </row>
    <row r="1910" spans="1:11" ht="18" customHeight="1">
      <c r="A1910" s="621" t="s">
        <v>12708</v>
      </c>
      <c r="B1910" s="622" t="s">
        <v>13256</v>
      </c>
      <c r="C1910" s="621" t="s">
        <v>8</v>
      </c>
      <c r="D1910" s="621" t="s">
        <v>1580</v>
      </c>
      <c r="E1910" s="811" t="s">
        <v>12726</v>
      </c>
      <c r="F1910" s="812"/>
      <c r="G1910" s="623" t="s">
        <v>61</v>
      </c>
      <c r="H1910" s="624">
        <v>2.62</v>
      </c>
      <c r="I1910" s="625">
        <v>0.25</v>
      </c>
      <c r="J1910" s="625">
        <v>0.65</v>
      </c>
      <c r="K1910"/>
    </row>
    <row r="1911" spans="1:11" ht="24" customHeight="1">
      <c r="A1911" s="621" t="s">
        <v>12708</v>
      </c>
      <c r="B1911" s="622" t="s">
        <v>13118</v>
      </c>
      <c r="C1911" s="621" t="s">
        <v>8</v>
      </c>
      <c r="D1911" s="621" t="s">
        <v>1520</v>
      </c>
      <c r="E1911" s="811" t="s">
        <v>12707</v>
      </c>
      <c r="F1911" s="812"/>
      <c r="G1911" s="623" t="s">
        <v>23</v>
      </c>
      <c r="H1911" s="624">
        <v>3.42</v>
      </c>
      <c r="I1911" s="625">
        <v>12.88</v>
      </c>
      <c r="J1911" s="625">
        <v>44.04</v>
      </c>
      <c r="K1911"/>
    </row>
    <row r="1912" spans="1:11" ht="24" customHeight="1">
      <c r="A1912" s="626" t="s">
        <v>12709</v>
      </c>
      <c r="B1912" s="627" t="s">
        <v>13250</v>
      </c>
      <c r="C1912" s="626" t="s">
        <v>8</v>
      </c>
      <c r="D1912" s="626" t="s">
        <v>7526</v>
      </c>
      <c r="E1912" s="804" t="s">
        <v>12720</v>
      </c>
      <c r="F1912" s="805"/>
      <c r="G1912" s="628" t="s">
        <v>12730</v>
      </c>
      <c r="H1912" s="629">
        <v>1.07</v>
      </c>
      <c r="I1912" s="630">
        <v>62.5</v>
      </c>
      <c r="J1912" s="630">
        <v>66.87</v>
      </c>
      <c r="K1912"/>
    </row>
    <row r="1913" spans="1:11" ht="24" customHeight="1">
      <c r="A1913" s="626" t="s">
        <v>12709</v>
      </c>
      <c r="B1913" s="627" t="s">
        <v>13249</v>
      </c>
      <c r="C1913" s="626" t="s">
        <v>8</v>
      </c>
      <c r="D1913" s="626" t="s">
        <v>8420</v>
      </c>
      <c r="E1913" s="804" t="s">
        <v>12720</v>
      </c>
      <c r="F1913" s="805"/>
      <c r="G1913" s="628" t="s">
        <v>20</v>
      </c>
      <c r="H1913" s="629">
        <v>483.7</v>
      </c>
      <c r="I1913" s="630">
        <v>0.49</v>
      </c>
      <c r="J1913" s="630">
        <v>237.01</v>
      </c>
      <c r="K1913"/>
    </row>
    <row r="1914" spans="1:11" ht="24" customHeight="1">
      <c r="A1914" s="631"/>
      <c r="B1914" s="631"/>
      <c r="C1914" s="631"/>
      <c r="D1914" s="631"/>
      <c r="E1914" s="631" t="s">
        <v>12714</v>
      </c>
      <c r="F1914" s="632">
        <v>16.412585144339928</v>
      </c>
      <c r="G1914" s="631" t="s">
        <v>12715</v>
      </c>
      <c r="H1914" s="632">
        <v>13.95</v>
      </c>
      <c r="I1914" s="631" t="s">
        <v>12716</v>
      </c>
      <c r="J1914" s="632">
        <v>30.36</v>
      </c>
      <c r="K1914"/>
    </row>
    <row r="1915" spans="1:11" ht="24" customHeight="1" thickBot="1">
      <c r="A1915" s="631"/>
      <c r="B1915" s="631"/>
      <c r="C1915" s="631"/>
      <c r="D1915" s="631"/>
      <c r="E1915" s="631" t="s">
        <v>12717</v>
      </c>
      <c r="F1915" s="632">
        <v>98.76</v>
      </c>
      <c r="G1915" s="631"/>
      <c r="H1915" s="806" t="s">
        <v>12718</v>
      </c>
      <c r="I1915" s="806"/>
      <c r="J1915" s="632">
        <v>448.5</v>
      </c>
      <c r="K1915"/>
    </row>
    <row r="1916" spans="1:11" ht="24" customHeight="1" thickTop="1">
      <c r="A1916" s="633"/>
      <c r="B1916" s="633"/>
      <c r="C1916" s="633"/>
      <c r="D1916" s="633"/>
      <c r="E1916" s="633"/>
      <c r="F1916" s="633"/>
      <c r="G1916" s="633"/>
      <c r="H1916" s="633"/>
      <c r="I1916" s="633"/>
      <c r="J1916" s="633"/>
      <c r="K1916"/>
    </row>
    <row r="1917" spans="1:11" ht="24" customHeight="1">
      <c r="A1917" s="613"/>
      <c r="B1917" s="614" t="s">
        <v>12698</v>
      </c>
      <c r="C1917" s="613" t="s">
        <v>12699</v>
      </c>
      <c r="D1917" s="613" t="s">
        <v>12700</v>
      </c>
      <c r="E1917" s="807" t="s">
        <v>12701</v>
      </c>
      <c r="F1917" s="808"/>
      <c r="G1917" s="615" t="s">
        <v>12702</v>
      </c>
      <c r="H1917" s="614" t="s">
        <v>12703</v>
      </c>
      <c r="I1917" s="614" t="s">
        <v>12704</v>
      </c>
      <c r="J1917" s="614" t="s">
        <v>12705</v>
      </c>
      <c r="K1917"/>
    </row>
    <row r="1918" spans="1:11" ht="24" customHeight="1">
      <c r="A1918" s="616" t="s">
        <v>12706</v>
      </c>
      <c r="B1918" s="617" t="s">
        <v>13316</v>
      </c>
      <c r="C1918" s="616" t="s">
        <v>8</v>
      </c>
      <c r="D1918" s="616" t="s">
        <v>5774</v>
      </c>
      <c r="E1918" s="809" t="s">
        <v>12707</v>
      </c>
      <c r="F1918" s="810"/>
      <c r="G1918" s="618" t="s">
        <v>12730</v>
      </c>
      <c r="H1918" s="619">
        <v>1</v>
      </c>
      <c r="I1918" s="620">
        <v>298.38</v>
      </c>
      <c r="J1918" s="620">
        <v>298.38</v>
      </c>
      <c r="K1918"/>
    </row>
    <row r="1919" spans="1:11" ht="24" customHeight="1">
      <c r="A1919" s="621" t="s">
        <v>12708</v>
      </c>
      <c r="B1919" s="622" t="s">
        <v>13257</v>
      </c>
      <c r="C1919" s="621" t="s">
        <v>8</v>
      </c>
      <c r="D1919" s="621" t="s">
        <v>1579</v>
      </c>
      <c r="E1919" s="811" t="s">
        <v>12726</v>
      </c>
      <c r="F1919" s="812"/>
      <c r="G1919" s="623" t="s">
        <v>44</v>
      </c>
      <c r="H1919" s="624">
        <v>1.08</v>
      </c>
      <c r="I1919" s="625">
        <v>1.47</v>
      </c>
      <c r="J1919" s="625">
        <v>1.58</v>
      </c>
      <c r="K1919"/>
    </row>
    <row r="1920" spans="1:11" ht="38.25" customHeight="1">
      <c r="A1920" s="621" t="s">
        <v>12708</v>
      </c>
      <c r="B1920" s="622" t="s">
        <v>13256</v>
      </c>
      <c r="C1920" s="621" t="s">
        <v>8</v>
      </c>
      <c r="D1920" s="621" t="s">
        <v>1580</v>
      </c>
      <c r="E1920" s="811" t="s">
        <v>12726</v>
      </c>
      <c r="F1920" s="812"/>
      <c r="G1920" s="623" t="s">
        <v>61</v>
      </c>
      <c r="H1920" s="624">
        <v>3.56</v>
      </c>
      <c r="I1920" s="625">
        <v>0.25</v>
      </c>
      <c r="J1920" s="625">
        <v>0.89</v>
      </c>
      <c r="K1920"/>
    </row>
    <row r="1921" spans="1:11" ht="15" customHeight="1">
      <c r="A1921" s="621" t="s">
        <v>12708</v>
      </c>
      <c r="B1921" s="622" t="s">
        <v>13118</v>
      </c>
      <c r="C1921" s="621" t="s">
        <v>8</v>
      </c>
      <c r="D1921" s="621" t="s">
        <v>1520</v>
      </c>
      <c r="E1921" s="811" t="s">
        <v>12707</v>
      </c>
      <c r="F1921" s="812"/>
      <c r="G1921" s="623" t="s">
        <v>23</v>
      </c>
      <c r="H1921" s="624">
        <v>4.6399999999999997</v>
      </c>
      <c r="I1921" s="625">
        <v>12.88</v>
      </c>
      <c r="J1921" s="625">
        <v>59.76</v>
      </c>
      <c r="K1921"/>
    </row>
    <row r="1922" spans="1:11" ht="0.95" customHeight="1">
      <c r="A1922" s="626" t="s">
        <v>12709</v>
      </c>
      <c r="B1922" s="627" t="s">
        <v>13315</v>
      </c>
      <c r="C1922" s="626" t="s">
        <v>8</v>
      </c>
      <c r="D1922" s="626" t="s">
        <v>7525</v>
      </c>
      <c r="E1922" s="804" t="s">
        <v>12720</v>
      </c>
      <c r="F1922" s="805"/>
      <c r="G1922" s="628" t="s">
        <v>12730</v>
      </c>
      <c r="H1922" s="629">
        <v>1.02</v>
      </c>
      <c r="I1922" s="630">
        <v>66.5</v>
      </c>
      <c r="J1922" s="630">
        <v>67.83</v>
      </c>
      <c r="K1922"/>
    </row>
    <row r="1923" spans="1:11" ht="18" customHeight="1">
      <c r="A1923" s="626" t="s">
        <v>12709</v>
      </c>
      <c r="B1923" s="627" t="s">
        <v>13249</v>
      </c>
      <c r="C1923" s="626" t="s">
        <v>8</v>
      </c>
      <c r="D1923" s="626" t="s">
        <v>8420</v>
      </c>
      <c r="E1923" s="804" t="s">
        <v>12720</v>
      </c>
      <c r="F1923" s="805"/>
      <c r="G1923" s="628" t="s">
        <v>20</v>
      </c>
      <c r="H1923" s="629">
        <v>343.52</v>
      </c>
      <c r="I1923" s="630">
        <v>0.49</v>
      </c>
      <c r="J1923" s="630">
        <v>168.32</v>
      </c>
      <c r="K1923"/>
    </row>
    <row r="1924" spans="1:11" ht="48" customHeight="1">
      <c r="A1924" s="631"/>
      <c r="B1924" s="631"/>
      <c r="C1924" s="631"/>
      <c r="D1924" s="631"/>
      <c r="E1924" s="631" t="s">
        <v>12714</v>
      </c>
      <c r="F1924" s="632">
        <v>22.272678127365122</v>
      </c>
      <c r="G1924" s="631" t="s">
        <v>12715</v>
      </c>
      <c r="H1924" s="632">
        <v>18.93</v>
      </c>
      <c r="I1924" s="631" t="s">
        <v>12716</v>
      </c>
      <c r="J1924" s="632">
        <v>41.2</v>
      </c>
      <c r="K1924"/>
    </row>
    <row r="1925" spans="1:11" ht="24" customHeight="1" thickBot="1">
      <c r="A1925" s="631"/>
      <c r="B1925" s="631"/>
      <c r="C1925" s="631"/>
      <c r="D1925" s="631"/>
      <c r="E1925" s="631" t="s">
        <v>12717</v>
      </c>
      <c r="F1925" s="632">
        <v>84.26</v>
      </c>
      <c r="G1925" s="631"/>
      <c r="H1925" s="806" t="s">
        <v>12718</v>
      </c>
      <c r="I1925" s="806"/>
      <c r="J1925" s="632">
        <v>382.64</v>
      </c>
      <c r="K1925"/>
    </row>
    <row r="1926" spans="1:11" ht="24" customHeight="1" thickTop="1">
      <c r="A1926" s="633"/>
      <c r="B1926" s="633"/>
      <c r="C1926" s="633"/>
      <c r="D1926" s="633"/>
      <c r="E1926" s="633"/>
      <c r="F1926" s="633"/>
      <c r="G1926" s="633"/>
      <c r="H1926" s="633"/>
      <c r="I1926" s="633"/>
      <c r="J1926" s="633"/>
      <c r="K1926"/>
    </row>
    <row r="1927" spans="1:11" ht="24" customHeight="1">
      <c r="A1927" s="613"/>
      <c r="B1927" s="614" t="s">
        <v>12698</v>
      </c>
      <c r="C1927" s="613" t="s">
        <v>12699</v>
      </c>
      <c r="D1927" s="613" t="s">
        <v>12700</v>
      </c>
      <c r="E1927" s="807" t="s">
        <v>12701</v>
      </c>
      <c r="F1927" s="808"/>
      <c r="G1927" s="615" t="s">
        <v>12702</v>
      </c>
      <c r="H1927" s="614" t="s">
        <v>12703</v>
      </c>
      <c r="I1927" s="614" t="s">
        <v>12704</v>
      </c>
      <c r="J1927" s="614" t="s">
        <v>12705</v>
      </c>
      <c r="K1927"/>
    </row>
    <row r="1928" spans="1:11" ht="24" customHeight="1">
      <c r="A1928" s="616" t="s">
        <v>12706</v>
      </c>
      <c r="B1928" s="617" t="s">
        <v>13314</v>
      </c>
      <c r="C1928" s="616" t="s">
        <v>8</v>
      </c>
      <c r="D1928" s="616" t="s">
        <v>5828</v>
      </c>
      <c r="E1928" s="809" t="s">
        <v>12707</v>
      </c>
      <c r="F1928" s="810"/>
      <c r="G1928" s="618" t="s">
        <v>12730</v>
      </c>
      <c r="H1928" s="619">
        <v>1</v>
      </c>
      <c r="I1928" s="620">
        <v>465.46</v>
      </c>
      <c r="J1928" s="620">
        <v>465.46</v>
      </c>
      <c r="K1928"/>
    </row>
    <row r="1929" spans="1:11" ht="36" customHeight="1">
      <c r="A1929" s="621" t="s">
        <v>12708</v>
      </c>
      <c r="B1929" s="622" t="s">
        <v>12727</v>
      </c>
      <c r="C1929" s="621" t="s">
        <v>8</v>
      </c>
      <c r="D1929" s="621" t="s">
        <v>26</v>
      </c>
      <c r="E1929" s="811" t="s">
        <v>12707</v>
      </c>
      <c r="F1929" s="812"/>
      <c r="G1929" s="623" t="s">
        <v>23</v>
      </c>
      <c r="H1929" s="624">
        <v>11.02</v>
      </c>
      <c r="I1929" s="625">
        <v>14.37</v>
      </c>
      <c r="J1929" s="625">
        <v>158.35</v>
      </c>
      <c r="K1929"/>
    </row>
    <row r="1930" spans="1:11" ht="25.5">
      <c r="A1930" s="626" t="s">
        <v>12709</v>
      </c>
      <c r="B1930" s="627" t="s">
        <v>13250</v>
      </c>
      <c r="C1930" s="626" t="s">
        <v>8</v>
      </c>
      <c r="D1930" s="626" t="s">
        <v>7526</v>
      </c>
      <c r="E1930" s="804" t="s">
        <v>12720</v>
      </c>
      <c r="F1930" s="805"/>
      <c r="G1930" s="628" t="s">
        <v>12730</v>
      </c>
      <c r="H1930" s="629">
        <v>1.35</v>
      </c>
      <c r="I1930" s="630">
        <v>62.5</v>
      </c>
      <c r="J1930" s="630">
        <v>84.37</v>
      </c>
      <c r="K1930"/>
    </row>
    <row r="1931" spans="1:11" ht="15" customHeight="1">
      <c r="A1931" s="626" t="s">
        <v>12709</v>
      </c>
      <c r="B1931" s="627" t="s">
        <v>13249</v>
      </c>
      <c r="C1931" s="626" t="s">
        <v>8</v>
      </c>
      <c r="D1931" s="626" t="s">
        <v>8420</v>
      </c>
      <c r="E1931" s="804" t="s">
        <v>12720</v>
      </c>
      <c r="F1931" s="805"/>
      <c r="G1931" s="628" t="s">
        <v>20</v>
      </c>
      <c r="H1931" s="629">
        <v>454.58</v>
      </c>
      <c r="I1931" s="630">
        <v>0.49</v>
      </c>
      <c r="J1931" s="630">
        <v>222.74</v>
      </c>
      <c r="K1931"/>
    </row>
    <row r="1932" spans="1:11" ht="0.95" customHeight="1">
      <c r="A1932" s="631"/>
      <c r="B1932" s="631"/>
      <c r="C1932" s="631"/>
      <c r="D1932" s="631"/>
      <c r="E1932" s="631" t="s">
        <v>12714</v>
      </c>
      <c r="F1932" s="632">
        <v>57.427830035679534</v>
      </c>
      <c r="G1932" s="631" t="s">
        <v>12715</v>
      </c>
      <c r="H1932" s="632">
        <v>48.8</v>
      </c>
      <c r="I1932" s="631" t="s">
        <v>12716</v>
      </c>
      <c r="J1932" s="632">
        <v>106.23</v>
      </c>
      <c r="K1932"/>
    </row>
    <row r="1933" spans="1:11" ht="18" customHeight="1" thickBot="1">
      <c r="A1933" s="631"/>
      <c r="B1933" s="631"/>
      <c r="C1933" s="631"/>
      <c r="D1933" s="631"/>
      <c r="E1933" s="631" t="s">
        <v>12717</v>
      </c>
      <c r="F1933" s="632">
        <v>131.44</v>
      </c>
      <c r="G1933" s="631"/>
      <c r="H1933" s="806" t="s">
        <v>12718</v>
      </c>
      <c r="I1933" s="806"/>
      <c r="J1933" s="632">
        <v>596.9</v>
      </c>
      <c r="K1933"/>
    </row>
    <row r="1934" spans="1:11" ht="24" customHeight="1" thickTop="1">
      <c r="A1934" s="633"/>
      <c r="B1934" s="633"/>
      <c r="C1934" s="633"/>
      <c r="D1934" s="633"/>
      <c r="E1934" s="633"/>
      <c r="F1934" s="633"/>
      <c r="G1934" s="633"/>
      <c r="H1934" s="633"/>
      <c r="I1934" s="633"/>
      <c r="J1934" s="633"/>
      <c r="K1934"/>
    </row>
    <row r="1935" spans="1:11" ht="24" customHeight="1">
      <c r="A1935" s="613"/>
      <c r="B1935" s="614" t="s">
        <v>12698</v>
      </c>
      <c r="C1935" s="613" t="s">
        <v>12699</v>
      </c>
      <c r="D1935" s="613" t="s">
        <v>12700</v>
      </c>
      <c r="E1935" s="807" t="s">
        <v>12701</v>
      </c>
      <c r="F1935" s="808"/>
      <c r="G1935" s="615" t="s">
        <v>12702</v>
      </c>
      <c r="H1935" s="614" t="s">
        <v>12703</v>
      </c>
      <c r="I1935" s="614" t="s">
        <v>12704</v>
      </c>
      <c r="J1935" s="614" t="s">
        <v>12705</v>
      </c>
      <c r="K1935"/>
    </row>
    <row r="1936" spans="1:11" ht="24" customHeight="1">
      <c r="A1936" s="616" t="s">
        <v>12706</v>
      </c>
      <c r="B1936" s="617" t="s">
        <v>13313</v>
      </c>
      <c r="C1936" s="616" t="s">
        <v>8</v>
      </c>
      <c r="D1936" s="616" t="s">
        <v>5764</v>
      </c>
      <c r="E1936" s="809" t="s">
        <v>12707</v>
      </c>
      <c r="F1936" s="810"/>
      <c r="G1936" s="618" t="s">
        <v>12730</v>
      </c>
      <c r="H1936" s="619">
        <v>1</v>
      </c>
      <c r="I1936" s="620">
        <v>375.37</v>
      </c>
      <c r="J1936" s="620">
        <v>375.37</v>
      </c>
      <c r="K1936"/>
    </row>
    <row r="1937" spans="1:11" ht="24" customHeight="1">
      <c r="A1937" s="621" t="s">
        <v>12708</v>
      </c>
      <c r="B1937" s="622" t="s">
        <v>13257</v>
      </c>
      <c r="C1937" s="621" t="s">
        <v>8</v>
      </c>
      <c r="D1937" s="621" t="s">
        <v>1579</v>
      </c>
      <c r="E1937" s="811" t="s">
        <v>12726</v>
      </c>
      <c r="F1937" s="812"/>
      <c r="G1937" s="623" t="s">
        <v>44</v>
      </c>
      <c r="H1937" s="624">
        <v>1.1299999999999999</v>
      </c>
      <c r="I1937" s="625">
        <v>1.47</v>
      </c>
      <c r="J1937" s="625">
        <v>1.66</v>
      </c>
      <c r="K1937"/>
    </row>
    <row r="1938" spans="1:11" ht="24" customHeight="1">
      <c r="A1938" s="621" t="s">
        <v>12708</v>
      </c>
      <c r="B1938" s="622" t="s">
        <v>13256</v>
      </c>
      <c r="C1938" s="621" t="s">
        <v>8</v>
      </c>
      <c r="D1938" s="621" t="s">
        <v>1580</v>
      </c>
      <c r="E1938" s="811" t="s">
        <v>12726</v>
      </c>
      <c r="F1938" s="812"/>
      <c r="G1938" s="623" t="s">
        <v>61</v>
      </c>
      <c r="H1938" s="624">
        <v>3.72</v>
      </c>
      <c r="I1938" s="625">
        <v>0.25</v>
      </c>
      <c r="J1938" s="625">
        <v>0.93</v>
      </c>
      <c r="K1938"/>
    </row>
    <row r="1939" spans="1:11" ht="24" customHeight="1">
      <c r="A1939" s="621" t="s">
        <v>12708</v>
      </c>
      <c r="B1939" s="622" t="s">
        <v>13118</v>
      </c>
      <c r="C1939" s="621" t="s">
        <v>8</v>
      </c>
      <c r="D1939" s="621" t="s">
        <v>1520</v>
      </c>
      <c r="E1939" s="811" t="s">
        <v>12707</v>
      </c>
      <c r="F1939" s="812"/>
      <c r="G1939" s="623" t="s">
        <v>23</v>
      </c>
      <c r="H1939" s="624">
        <v>4.8499999999999996</v>
      </c>
      <c r="I1939" s="625">
        <v>12.88</v>
      </c>
      <c r="J1939" s="625">
        <v>62.46</v>
      </c>
      <c r="K1939"/>
    </row>
    <row r="1940" spans="1:11" ht="24" customHeight="1">
      <c r="A1940" s="626" t="s">
        <v>12709</v>
      </c>
      <c r="B1940" s="627" t="s">
        <v>13250</v>
      </c>
      <c r="C1940" s="626" t="s">
        <v>8</v>
      </c>
      <c r="D1940" s="626" t="s">
        <v>7526</v>
      </c>
      <c r="E1940" s="804" t="s">
        <v>12720</v>
      </c>
      <c r="F1940" s="805"/>
      <c r="G1940" s="628" t="s">
        <v>12730</v>
      </c>
      <c r="H1940" s="629">
        <v>1.36</v>
      </c>
      <c r="I1940" s="630">
        <v>62.5</v>
      </c>
      <c r="J1940" s="630">
        <v>85</v>
      </c>
      <c r="K1940"/>
    </row>
    <row r="1941" spans="1:11" ht="24" customHeight="1">
      <c r="A1941" s="626" t="s">
        <v>12709</v>
      </c>
      <c r="B1941" s="627" t="s">
        <v>13249</v>
      </c>
      <c r="C1941" s="626" t="s">
        <v>8</v>
      </c>
      <c r="D1941" s="626" t="s">
        <v>8420</v>
      </c>
      <c r="E1941" s="804" t="s">
        <v>12720</v>
      </c>
      <c r="F1941" s="805"/>
      <c r="G1941" s="628" t="s">
        <v>20</v>
      </c>
      <c r="H1941" s="629">
        <v>459.85</v>
      </c>
      <c r="I1941" s="630">
        <v>0.49</v>
      </c>
      <c r="J1941" s="630">
        <v>225.32</v>
      </c>
      <c r="K1941"/>
    </row>
    <row r="1942" spans="1:11" ht="24" customHeight="1">
      <c r="A1942" s="631"/>
      <c r="B1942" s="631"/>
      <c r="C1942" s="631"/>
      <c r="D1942" s="631"/>
      <c r="E1942" s="631" t="s">
        <v>12714</v>
      </c>
      <c r="F1942" s="632">
        <v>23.278192236998596</v>
      </c>
      <c r="G1942" s="631" t="s">
        <v>12715</v>
      </c>
      <c r="H1942" s="632">
        <v>19.78</v>
      </c>
      <c r="I1942" s="631" t="s">
        <v>12716</v>
      </c>
      <c r="J1942" s="632">
        <v>43.06</v>
      </c>
      <c r="K1942"/>
    </row>
    <row r="1943" spans="1:11" ht="15" customHeight="1" thickBot="1">
      <c r="A1943" s="631"/>
      <c r="B1943" s="631"/>
      <c r="C1943" s="631"/>
      <c r="D1943" s="631"/>
      <c r="E1943" s="631" t="s">
        <v>12717</v>
      </c>
      <c r="F1943" s="632">
        <v>106</v>
      </c>
      <c r="G1943" s="631"/>
      <c r="H1943" s="806" t="s">
        <v>12718</v>
      </c>
      <c r="I1943" s="806"/>
      <c r="J1943" s="632">
        <v>481.37</v>
      </c>
      <c r="K1943"/>
    </row>
    <row r="1944" spans="1:11" ht="15" customHeight="1" thickTop="1">
      <c r="A1944" s="633"/>
      <c r="B1944" s="633"/>
      <c r="C1944" s="633"/>
      <c r="D1944" s="633"/>
      <c r="E1944" s="633"/>
      <c r="F1944" s="633"/>
      <c r="G1944" s="633"/>
      <c r="H1944" s="633"/>
      <c r="I1944" s="633"/>
      <c r="J1944" s="633"/>
      <c r="K1944"/>
    </row>
    <row r="1945" spans="1:11" ht="0.95" customHeight="1">
      <c r="A1945" s="613"/>
      <c r="B1945" s="614" t="s">
        <v>12698</v>
      </c>
      <c r="C1945" s="613" t="s">
        <v>12699</v>
      </c>
      <c r="D1945" s="613" t="s">
        <v>12700</v>
      </c>
      <c r="E1945" s="807" t="s">
        <v>12701</v>
      </c>
      <c r="F1945" s="808"/>
      <c r="G1945" s="615" t="s">
        <v>12702</v>
      </c>
      <c r="H1945" s="614" t="s">
        <v>12703</v>
      </c>
      <c r="I1945" s="614" t="s">
        <v>12704</v>
      </c>
      <c r="J1945" s="614" t="s">
        <v>12705</v>
      </c>
      <c r="K1945"/>
    </row>
    <row r="1946" spans="1:11" ht="18" customHeight="1">
      <c r="A1946" s="616" t="s">
        <v>12706</v>
      </c>
      <c r="B1946" s="617" t="s">
        <v>13312</v>
      </c>
      <c r="C1946" s="616" t="s">
        <v>8</v>
      </c>
      <c r="D1946" s="616" t="s">
        <v>5863</v>
      </c>
      <c r="E1946" s="809" t="s">
        <v>12707</v>
      </c>
      <c r="F1946" s="810"/>
      <c r="G1946" s="618" t="s">
        <v>12730</v>
      </c>
      <c r="H1946" s="619">
        <v>1</v>
      </c>
      <c r="I1946" s="620">
        <v>381.86</v>
      </c>
      <c r="J1946" s="620">
        <v>381.86</v>
      </c>
      <c r="K1946"/>
    </row>
    <row r="1947" spans="1:11" ht="24" customHeight="1">
      <c r="A1947" s="621" t="s">
        <v>12708</v>
      </c>
      <c r="B1947" s="622" t="s">
        <v>12727</v>
      </c>
      <c r="C1947" s="621" t="s">
        <v>8</v>
      </c>
      <c r="D1947" s="621" t="s">
        <v>26</v>
      </c>
      <c r="E1947" s="811" t="s">
        <v>12707</v>
      </c>
      <c r="F1947" s="812"/>
      <c r="G1947" s="623" t="s">
        <v>23</v>
      </c>
      <c r="H1947" s="624">
        <v>8.2899999999999991</v>
      </c>
      <c r="I1947" s="625">
        <v>14.37</v>
      </c>
      <c r="J1947" s="625">
        <v>119.12</v>
      </c>
      <c r="K1947"/>
    </row>
    <row r="1948" spans="1:11" ht="36" customHeight="1">
      <c r="A1948" s="626" t="s">
        <v>12709</v>
      </c>
      <c r="B1948" s="627" t="s">
        <v>13250</v>
      </c>
      <c r="C1948" s="626" t="s">
        <v>8</v>
      </c>
      <c r="D1948" s="626" t="s">
        <v>7526</v>
      </c>
      <c r="E1948" s="804" t="s">
        <v>12720</v>
      </c>
      <c r="F1948" s="805"/>
      <c r="G1948" s="628" t="s">
        <v>12730</v>
      </c>
      <c r="H1948" s="629">
        <v>1.1499999999999999</v>
      </c>
      <c r="I1948" s="630">
        <v>62.5</v>
      </c>
      <c r="J1948" s="630">
        <v>71.87</v>
      </c>
      <c r="K1948"/>
    </row>
    <row r="1949" spans="1:11" ht="24" customHeight="1">
      <c r="A1949" s="626" t="s">
        <v>12709</v>
      </c>
      <c r="B1949" s="627" t="s">
        <v>13249</v>
      </c>
      <c r="C1949" s="626" t="s">
        <v>8</v>
      </c>
      <c r="D1949" s="626" t="s">
        <v>8420</v>
      </c>
      <c r="E1949" s="804" t="s">
        <v>12720</v>
      </c>
      <c r="F1949" s="805"/>
      <c r="G1949" s="628" t="s">
        <v>20</v>
      </c>
      <c r="H1949" s="629">
        <v>389.54</v>
      </c>
      <c r="I1949" s="630">
        <v>0.49</v>
      </c>
      <c r="J1949" s="630">
        <v>190.87</v>
      </c>
      <c r="K1949"/>
    </row>
    <row r="1950" spans="1:11" ht="24" customHeight="1">
      <c r="A1950" s="631"/>
      <c r="B1950" s="631"/>
      <c r="C1950" s="631"/>
      <c r="D1950" s="631"/>
      <c r="E1950" s="631" t="s">
        <v>12714</v>
      </c>
      <c r="F1950" s="632">
        <v>43.199264785382205</v>
      </c>
      <c r="G1950" s="631" t="s">
        <v>12715</v>
      </c>
      <c r="H1950" s="632">
        <v>36.71</v>
      </c>
      <c r="I1950" s="631" t="s">
        <v>12716</v>
      </c>
      <c r="J1950" s="632">
        <v>79.91</v>
      </c>
      <c r="K1950"/>
    </row>
    <row r="1951" spans="1:11" ht="24" customHeight="1" thickBot="1">
      <c r="A1951" s="631"/>
      <c r="B1951" s="631"/>
      <c r="C1951" s="631"/>
      <c r="D1951" s="631"/>
      <c r="E1951" s="631" t="s">
        <v>12717</v>
      </c>
      <c r="F1951" s="632">
        <v>107.83</v>
      </c>
      <c r="G1951" s="631"/>
      <c r="H1951" s="806" t="s">
        <v>12718</v>
      </c>
      <c r="I1951" s="806"/>
      <c r="J1951" s="632">
        <v>489.69</v>
      </c>
      <c r="K1951"/>
    </row>
    <row r="1952" spans="1:11" ht="24" customHeight="1" thickTop="1">
      <c r="A1952" s="633"/>
      <c r="B1952" s="633"/>
      <c r="C1952" s="633"/>
      <c r="D1952" s="633"/>
      <c r="E1952" s="633"/>
      <c r="F1952" s="633"/>
      <c r="G1952" s="633"/>
      <c r="H1952" s="633"/>
      <c r="I1952" s="633"/>
      <c r="J1952" s="633"/>
      <c r="K1952"/>
    </row>
    <row r="1953" spans="1:11" ht="24" customHeight="1">
      <c r="A1953" s="613"/>
      <c r="B1953" s="614" t="s">
        <v>12698</v>
      </c>
      <c r="C1953" s="613" t="s">
        <v>12699</v>
      </c>
      <c r="D1953" s="613" t="s">
        <v>12700</v>
      </c>
      <c r="E1953" s="807" t="s">
        <v>12701</v>
      </c>
      <c r="F1953" s="808"/>
      <c r="G1953" s="615" t="s">
        <v>12702</v>
      </c>
      <c r="H1953" s="614" t="s">
        <v>12703</v>
      </c>
      <c r="I1953" s="614" t="s">
        <v>12704</v>
      </c>
      <c r="J1953" s="614" t="s">
        <v>12705</v>
      </c>
      <c r="K1953"/>
    </row>
    <row r="1954" spans="1:11" ht="24" customHeight="1">
      <c r="A1954" s="616" t="s">
        <v>12706</v>
      </c>
      <c r="B1954" s="617" t="s">
        <v>13236</v>
      </c>
      <c r="C1954" s="616" t="s">
        <v>8</v>
      </c>
      <c r="D1954" s="616" t="s">
        <v>241</v>
      </c>
      <c r="E1954" s="809" t="s">
        <v>12707</v>
      </c>
      <c r="F1954" s="810"/>
      <c r="G1954" s="618" t="s">
        <v>23</v>
      </c>
      <c r="H1954" s="619">
        <v>1</v>
      </c>
      <c r="I1954" s="620">
        <v>17.68</v>
      </c>
      <c r="J1954" s="620">
        <v>17.68</v>
      </c>
      <c r="K1954"/>
    </row>
    <row r="1955" spans="1:11" ht="24" customHeight="1">
      <c r="A1955" s="621" t="s">
        <v>12708</v>
      </c>
      <c r="B1955" s="622" t="s">
        <v>13225</v>
      </c>
      <c r="C1955" s="621" t="s">
        <v>8</v>
      </c>
      <c r="D1955" s="621" t="s">
        <v>821</v>
      </c>
      <c r="E1955" s="811" t="s">
        <v>12707</v>
      </c>
      <c r="F1955" s="812"/>
      <c r="G1955" s="623" t="s">
        <v>23</v>
      </c>
      <c r="H1955" s="624">
        <v>1</v>
      </c>
      <c r="I1955" s="625">
        <v>0.1</v>
      </c>
      <c r="J1955" s="625">
        <v>0.1</v>
      </c>
      <c r="K1955"/>
    </row>
    <row r="1956" spans="1:11">
      <c r="A1956" s="626" t="s">
        <v>12709</v>
      </c>
      <c r="B1956" s="627" t="s">
        <v>13004</v>
      </c>
      <c r="C1956" s="626" t="s">
        <v>8</v>
      </c>
      <c r="D1956" s="626" t="s">
        <v>7388</v>
      </c>
      <c r="E1956" s="804" t="s">
        <v>12712</v>
      </c>
      <c r="F1956" s="805"/>
      <c r="G1956" s="628" t="s">
        <v>23</v>
      </c>
      <c r="H1956" s="629">
        <v>1</v>
      </c>
      <c r="I1956" s="630">
        <v>2.2000000000000002</v>
      </c>
      <c r="J1956" s="630">
        <v>2.2000000000000002</v>
      </c>
      <c r="K1956"/>
    </row>
    <row r="1957" spans="1:11" ht="15" customHeight="1">
      <c r="A1957" s="626" t="s">
        <v>12709</v>
      </c>
      <c r="B1957" s="627" t="s">
        <v>13224</v>
      </c>
      <c r="C1957" s="626" t="s">
        <v>8</v>
      </c>
      <c r="D1957" s="626" t="s">
        <v>7556</v>
      </c>
      <c r="E1957" s="804" t="s">
        <v>12710</v>
      </c>
      <c r="F1957" s="805"/>
      <c r="G1957" s="628" t="s">
        <v>23</v>
      </c>
      <c r="H1957" s="629">
        <v>1</v>
      </c>
      <c r="I1957" s="630">
        <v>12.79</v>
      </c>
      <c r="J1957" s="630">
        <v>12.79</v>
      </c>
      <c r="K1957"/>
    </row>
    <row r="1958" spans="1:11" ht="0.95" customHeight="1">
      <c r="A1958" s="626" t="s">
        <v>12709</v>
      </c>
      <c r="B1958" s="627" t="s">
        <v>13052</v>
      </c>
      <c r="C1958" s="626" t="s">
        <v>8</v>
      </c>
      <c r="D1958" s="626" t="s">
        <v>9229</v>
      </c>
      <c r="E1958" s="804" t="s">
        <v>12711</v>
      </c>
      <c r="F1958" s="805"/>
      <c r="G1958" s="628" t="s">
        <v>23</v>
      </c>
      <c r="H1958" s="629">
        <v>1</v>
      </c>
      <c r="I1958" s="630">
        <v>0.96</v>
      </c>
      <c r="J1958" s="630">
        <v>0.96</v>
      </c>
      <c r="K1958"/>
    </row>
    <row r="1959" spans="1:11" ht="18" customHeight="1">
      <c r="A1959" s="626" t="s">
        <v>12709</v>
      </c>
      <c r="B1959" s="627" t="s">
        <v>13002</v>
      </c>
      <c r="C1959" s="626" t="s">
        <v>8</v>
      </c>
      <c r="D1959" s="626" t="s">
        <v>9306</v>
      </c>
      <c r="E1959" s="804" t="s">
        <v>12712</v>
      </c>
      <c r="F1959" s="805"/>
      <c r="G1959" s="628" t="s">
        <v>23</v>
      </c>
      <c r="H1959" s="629">
        <v>1</v>
      </c>
      <c r="I1959" s="630">
        <v>0.35</v>
      </c>
      <c r="J1959" s="630">
        <v>0.35</v>
      </c>
      <c r="K1959"/>
    </row>
    <row r="1960" spans="1:11" ht="24" customHeight="1">
      <c r="A1960" s="626" t="s">
        <v>12709</v>
      </c>
      <c r="B1960" s="627" t="s">
        <v>13051</v>
      </c>
      <c r="C1960" s="626" t="s">
        <v>8</v>
      </c>
      <c r="D1960" s="626" t="s">
        <v>9376</v>
      </c>
      <c r="E1960" s="804" t="s">
        <v>12711</v>
      </c>
      <c r="F1960" s="805"/>
      <c r="G1960" s="628" t="s">
        <v>23</v>
      </c>
      <c r="H1960" s="629">
        <v>1</v>
      </c>
      <c r="I1960" s="630">
        <v>0.5</v>
      </c>
      <c r="J1960" s="630">
        <v>0.5</v>
      </c>
      <c r="K1960"/>
    </row>
    <row r="1961" spans="1:11" ht="24" customHeight="1">
      <c r="A1961" s="626" t="s">
        <v>12709</v>
      </c>
      <c r="B1961" s="627" t="s">
        <v>12999</v>
      </c>
      <c r="C1961" s="626" t="s">
        <v>8</v>
      </c>
      <c r="D1961" s="626" t="s">
        <v>11251</v>
      </c>
      <c r="E1961" s="804" t="s">
        <v>12713</v>
      </c>
      <c r="F1961" s="805"/>
      <c r="G1961" s="628" t="s">
        <v>23</v>
      </c>
      <c r="H1961" s="629">
        <v>1</v>
      </c>
      <c r="I1961" s="630">
        <v>7.0000000000000007E-2</v>
      </c>
      <c r="J1961" s="630">
        <v>7.0000000000000007E-2</v>
      </c>
      <c r="K1961"/>
    </row>
    <row r="1962" spans="1:11" ht="24" customHeight="1">
      <c r="A1962" s="626" t="s">
        <v>12709</v>
      </c>
      <c r="B1962" s="627" t="s">
        <v>12998</v>
      </c>
      <c r="C1962" s="626" t="s">
        <v>8</v>
      </c>
      <c r="D1962" s="626" t="s">
        <v>11861</v>
      </c>
      <c r="E1962" s="804" t="s">
        <v>12722</v>
      </c>
      <c r="F1962" s="805"/>
      <c r="G1962" s="628" t="s">
        <v>23</v>
      </c>
      <c r="H1962" s="629">
        <v>1</v>
      </c>
      <c r="I1962" s="630">
        <v>0.71</v>
      </c>
      <c r="J1962" s="630">
        <v>0.71</v>
      </c>
      <c r="K1962"/>
    </row>
    <row r="1963" spans="1:11" ht="24" customHeight="1">
      <c r="A1963" s="631"/>
      <c r="B1963" s="631"/>
      <c r="C1963" s="631"/>
      <c r="D1963" s="631"/>
      <c r="E1963" s="631" t="s">
        <v>12714</v>
      </c>
      <c r="F1963" s="632">
        <v>6.9683209000000002</v>
      </c>
      <c r="G1963" s="631" t="s">
        <v>12715</v>
      </c>
      <c r="H1963" s="632">
        <v>5.92</v>
      </c>
      <c r="I1963" s="631" t="s">
        <v>12716</v>
      </c>
      <c r="J1963" s="632">
        <v>12.89</v>
      </c>
      <c r="K1963"/>
    </row>
    <row r="1964" spans="1:11" ht="24" customHeight="1" thickBot="1">
      <c r="A1964" s="631"/>
      <c r="B1964" s="631"/>
      <c r="C1964" s="631"/>
      <c r="D1964" s="631"/>
      <c r="E1964" s="631" t="s">
        <v>12717</v>
      </c>
      <c r="F1964" s="632">
        <v>4.99</v>
      </c>
      <c r="G1964" s="631"/>
      <c r="H1964" s="806" t="s">
        <v>12718</v>
      </c>
      <c r="I1964" s="806"/>
      <c r="J1964" s="632">
        <v>22.67</v>
      </c>
      <c r="K1964"/>
    </row>
    <row r="1965" spans="1:11" ht="24" customHeight="1" thickTop="1">
      <c r="A1965" s="633"/>
      <c r="B1965" s="633"/>
      <c r="C1965" s="633"/>
      <c r="D1965" s="633"/>
      <c r="E1965" s="633"/>
      <c r="F1965" s="633"/>
      <c r="G1965" s="633"/>
      <c r="H1965" s="633"/>
      <c r="I1965" s="633"/>
      <c r="J1965" s="633"/>
      <c r="K1965"/>
    </row>
    <row r="1966" spans="1:11" ht="24" customHeight="1">
      <c r="A1966" s="613"/>
      <c r="B1966" s="614" t="s">
        <v>12698</v>
      </c>
      <c r="C1966" s="613" t="s">
        <v>12699</v>
      </c>
      <c r="D1966" s="613" t="s">
        <v>12700</v>
      </c>
      <c r="E1966" s="807" t="s">
        <v>12701</v>
      </c>
      <c r="F1966" s="808"/>
      <c r="G1966" s="615" t="s">
        <v>12702</v>
      </c>
      <c r="H1966" s="614" t="s">
        <v>12703</v>
      </c>
      <c r="I1966" s="614" t="s">
        <v>12704</v>
      </c>
      <c r="J1966" s="614" t="s">
        <v>12705</v>
      </c>
      <c r="K1966"/>
    </row>
    <row r="1967" spans="1:11" ht="24" customHeight="1">
      <c r="A1967" s="616" t="s">
        <v>12706</v>
      </c>
      <c r="B1967" s="617" t="s">
        <v>13097</v>
      </c>
      <c r="C1967" s="616" t="s">
        <v>8</v>
      </c>
      <c r="D1967" s="616" t="s">
        <v>2969</v>
      </c>
      <c r="E1967" s="809" t="s">
        <v>12734</v>
      </c>
      <c r="F1967" s="810"/>
      <c r="G1967" s="618" t="s">
        <v>20</v>
      </c>
      <c r="H1967" s="619">
        <v>1</v>
      </c>
      <c r="I1967" s="620">
        <v>11.5</v>
      </c>
      <c r="J1967" s="620">
        <v>11.5</v>
      </c>
      <c r="K1967"/>
    </row>
    <row r="1968" spans="1:11" ht="24" customHeight="1">
      <c r="A1968" s="621" t="s">
        <v>12708</v>
      </c>
      <c r="B1968" s="622" t="s">
        <v>13239</v>
      </c>
      <c r="C1968" s="621" t="s">
        <v>8</v>
      </c>
      <c r="D1968" s="621" t="s">
        <v>2985</v>
      </c>
      <c r="E1968" s="811" t="s">
        <v>12734</v>
      </c>
      <c r="F1968" s="812"/>
      <c r="G1968" s="623" t="s">
        <v>20</v>
      </c>
      <c r="H1968" s="624">
        <v>1</v>
      </c>
      <c r="I1968" s="625">
        <v>7.03</v>
      </c>
      <c r="J1968" s="625">
        <v>7.03</v>
      </c>
      <c r="K1968"/>
    </row>
    <row r="1969" spans="1:11" ht="25.5">
      <c r="A1969" s="621" t="s">
        <v>12708</v>
      </c>
      <c r="B1969" s="622" t="s">
        <v>13237</v>
      </c>
      <c r="C1969" s="621" t="s">
        <v>8</v>
      </c>
      <c r="D1969" s="621" t="s">
        <v>236</v>
      </c>
      <c r="E1969" s="811" t="s">
        <v>12707</v>
      </c>
      <c r="F1969" s="812"/>
      <c r="G1969" s="623" t="s">
        <v>23</v>
      </c>
      <c r="H1969" s="624">
        <v>3.1E-2</v>
      </c>
      <c r="I1969" s="625">
        <v>13.76</v>
      </c>
      <c r="J1969" s="625">
        <v>0.42</v>
      </c>
      <c r="K1969"/>
    </row>
    <row r="1970" spans="1:11" ht="15" customHeight="1">
      <c r="A1970" s="621" t="s">
        <v>12708</v>
      </c>
      <c r="B1970" s="622" t="s">
        <v>13236</v>
      </c>
      <c r="C1970" s="621" t="s">
        <v>8</v>
      </c>
      <c r="D1970" s="621" t="s">
        <v>241</v>
      </c>
      <c r="E1970" s="811" t="s">
        <v>12707</v>
      </c>
      <c r="F1970" s="812"/>
      <c r="G1970" s="623" t="s">
        <v>23</v>
      </c>
      <c r="H1970" s="624">
        <v>0.18959999999999999</v>
      </c>
      <c r="I1970" s="625">
        <v>17.68</v>
      </c>
      <c r="J1970" s="625">
        <v>3.35</v>
      </c>
      <c r="K1970"/>
    </row>
    <row r="1971" spans="1:11" ht="0.95" customHeight="1">
      <c r="A1971" s="626" t="s">
        <v>12709</v>
      </c>
      <c r="B1971" s="627" t="s">
        <v>13311</v>
      </c>
      <c r="C1971" s="626" t="s">
        <v>8</v>
      </c>
      <c r="D1971" s="626" t="s">
        <v>7522</v>
      </c>
      <c r="E1971" s="804" t="s">
        <v>12720</v>
      </c>
      <c r="F1971" s="805"/>
      <c r="G1971" s="628" t="s">
        <v>20</v>
      </c>
      <c r="H1971" s="629">
        <v>2.5000000000000001E-2</v>
      </c>
      <c r="I1971" s="630">
        <v>13.6</v>
      </c>
      <c r="J1971" s="630">
        <v>0.34</v>
      </c>
      <c r="K1971"/>
    </row>
    <row r="1972" spans="1:11" ht="18" customHeight="1">
      <c r="A1972" s="626" t="s">
        <v>12709</v>
      </c>
      <c r="B1972" s="627" t="s">
        <v>13310</v>
      </c>
      <c r="C1972" s="626" t="s">
        <v>8</v>
      </c>
      <c r="D1972" s="626" t="s">
        <v>9265</v>
      </c>
      <c r="E1972" s="804" t="s">
        <v>12720</v>
      </c>
      <c r="F1972" s="805"/>
      <c r="G1972" s="628" t="s">
        <v>35</v>
      </c>
      <c r="H1972" s="629">
        <v>2.8159999999999998</v>
      </c>
      <c r="I1972" s="630">
        <v>0.13</v>
      </c>
      <c r="J1972" s="630">
        <v>0.36</v>
      </c>
      <c r="K1972"/>
    </row>
    <row r="1973" spans="1:11" ht="24" customHeight="1">
      <c r="A1973" s="631"/>
      <c r="B1973" s="631"/>
      <c r="C1973" s="631"/>
      <c r="D1973" s="631"/>
      <c r="E1973" s="631" t="s">
        <v>12714</v>
      </c>
      <c r="F1973" s="632">
        <v>2.173207914369121</v>
      </c>
      <c r="G1973" s="631" t="s">
        <v>12715</v>
      </c>
      <c r="H1973" s="632">
        <v>1.85</v>
      </c>
      <c r="I1973" s="631" t="s">
        <v>12716</v>
      </c>
      <c r="J1973" s="632">
        <v>4.0199999999999996</v>
      </c>
      <c r="K1973"/>
    </row>
    <row r="1974" spans="1:11" ht="24" customHeight="1" thickBot="1">
      <c r="A1974" s="631"/>
      <c r="B1974" s="631"/>
      <c r="C1974" s="631"/>
      <c r="D1974" s="631"/>
      <c r="E1974" s="631" t="s">
        <v>12717</v>
      </c>
      <c r="F1974" s="632">
        <v>3.24</v>
      </c>
      <c r="G1974" s="631"/>
      <c r="H1974" s="806" t="s">
        <v>12718</v>
      </c>
      <c r="I1974" s="806"/>
      <c r="J1974" s="632">
        <v>14.74</v>
      </c>
      <c r="K1974"/>
    </row>
    <row r="1975" spans="1:11" ht="24" customHeight="1" thickTop="1">
      <c r="A1975" s="633"/>
      <c r="B1975" s="633"/>
      <c r="C1975" s="633"/>
      <c r="D1975" s="633"/>
      <c r="E1975" s="633"/>
      <c r="F1975" s="633"/>
      <c r="G1975" s="633"/>
      <c r="H1975" s="633"/>
      <c r="I1975" s="633"/>
      <c r="J1975" s="633"/>
      <c r="K1975"/>
    </row>
    <row r="1976" spans="1:11" ht="24" customHeight="1">
      <c r="A1976" s="613"/>
      <c r="B1976" s="614" t="s">
        <v>12698</v>
      </c>
      <c r="C1976" s="613" t="s">
        <v>12699</v>
      </c>
      <c r="D1976" s="613" t="s">
        <v>12700</v>
      </c>
      <c r="E1976" s="807" t="s">
        <v>12701</v>
      </c>
      <c r="F1976" s="808"/>
      <c r="G1976" s="615" t="s">
        <v>12702</v>
      </c>
      <c r="H1976" s="614" t="s">
        <v>12703</v>
      </c>
      <c r="I1976" s="614" t="s">
        <v>12704</v>
      </c>
      <c r="J1976" s="614" t="s">
        <v>12705</v>
      </c>
      <c r="K1976"/>
    </row>
    <row r="1977" spans="1:11" ht="24" customHeight="1">
      <c r="A1977" s="616" t="s">
        <v>12706</v>
      </c>
      <c r="B1977" s="617" t="s">
        <v>13023</v>
      </c>
      <c r="C1977" s="616" t="s">
        <v>8</v>
      </c>
      <c r="D1977" s="616" t="s">
        <v>54</v>
      </c>
      <c r="E1977" s="809" t="s">
        <v>12707</v>
      </c>
      <c r="F1977" s="810"/>
      <c r="G1977" s="618" t="s">
        <v>23</v>
      </c>
      <c r="H1977" s="619">
        <v>1</v>
      </c>
      <c r="I1977" s="620">
        <v>14.33</v>
      </c>
      <c r="J1977" s="620">
        <v>14.33</v>
      </c>
      <c r="K1977"/>
    </row>
    <row r="1978" spans="1:11" ht="24" customHeight="1">
      <c r="A1978" s="621" t="s">
        <v>12708</v>
      </c>
      <c r="B1978" s="622" t="s">
        <v>13223</v>
      </c>
      <c r="C1978" s="621" t="s">
        <v>8</v>
      </c>
      <c r="D1978" s="621" t="s">
        <v>3633</v>
      </c>
      <c r="E1978" s="811" t="s">
        <v>12707</v>
      </c>
      <c r="F1978" s="812"/>
      <c r="G1978" s="623" t="s">
        <v>23</v>
      </c>
      <c r="H1978" s="624">
        <v>1</v>
      </c>
      <c r="I1978" s="625">
        <v>0.23</v>
      </c>
      <c r="J1978" s="625">
        <v>0.23</v>
      </c>
      <c r="K1978"/>
    </row>
    <row r="1979" spans="1:11" ht="24" customHeight="1">
      <c r="A1979" s="626" t="s">
        <v>12709</v>
      </c>
      <c r="B1979" s="627" t="s">
        <v>13222</v>
      </c>
      <c r="C1979" s="626" t="s">
        <v>8</v>
      </c>
      <c r="D1979" s="626" t="s">
        <v>7364</v>
      </c>
      <c r="E1979" s="804" t="s">
        <v>12710</v>
      </c>
      <c r="F1979" s="805"/>
      <c r="G1979" s="628" t="s">
        <v>23</v>
      </c>
      <c r="H1979" s="629">
        <v>1</v>
      </c>
      <c r="I1979" s="630">
        <v>9.2899999999999991</v>
      </c>
      <c r="J1979" s="630">
        <v>9.2899999999999991</v>
      </c>
      <c r="K1979"/>
    </row>
    <row r="1980" spans="1:11" ht="24" customHeight="1">
      <c r="A1980" s="626" t="s">
        <v>12709</v>
      </c>
      <c r="B1980" s="627" t="s">
        <v>13004</v>
      </c>
      <c r="C1980" s="626" t="s">
        <v>8</v>
      </c>
      <c r="D1980" s="626" t="s">
        <v>7388</v>
      </c>
      <c r="E1980" s="804" t="s">
        <v>12712</v>
      </c>
      <c r="F1980" s="805"/>
      <c r="G1980" s="628" t="s">
        <v>23</v>
      </c>
      <c r="H1980" s="629">
        <v>1</v>
      </c>
      <c r="I1980" s="630">
        <v>2.2000000000000002</v>
      </c>
      <c r="J1980" s="630">
        <v>2.2000000000000002</v>
      </c>
      <c r="K1980"/>
    </row>
    <row r="1981" spans="1:11" ht="24" customHeight="1">
      <c r="A1981" s="626" t="s">
        <v>12709</v>
      </c>
      <c r="B1981" s="627" t="s">
        <v>13134</v>
      </c>
      <c r="C1981" s="626" t="s">
        <v>8</v>
      </c>
      <c r="D1981" s="626" t="s">
        <v>9219</v>
      </c>
      <c r="E1981" s="804" t="s">
        <v>12711</v>
      </c>
      <c r="F1981" s="805"/>
      <c r="G1981" s="628" t="s">
        <v>23</v>
      </c>
      <c r="H1981" s="629">
        <v>1</v>
      </c>
      <c r="I1981" s="630">
        <v>0.93</v>
      </c>
      <c r="J1981" s="630">
        <v>0.93</v>
      </c>
      <c r="K1981"/>
    </row>
    <row r="1982" spans="1:11">
      <c r="A1982" s="626" t="s">
        <v>12709</v>
      </c>
      <c r="B1982" s="627" t="s">
        <v>13002</v>
      </c>
      <c r="C1982" s="626" t="s">
        <v>8</v>
      </c>
      <c r="D1982" s="626" t="s">
        <v>9306</v>
      </c>
      <c r="E1982" s="804" t="s">
        <v>12712</v>
      </c>
      <c r="F1982" s="805"/>
      <c r="G1982" s="628" t="s">
        <v>23</v>
      </c>
      <c r="H1982" s="629">
        <v>1</v>
      </c>
      <c r="I1982" s="630">
        <v>0.35</v>
      </c>
      <c r="J1982" s="630">
        <v>0.35</v>
      </c>
      <c r="K1982"/>
    </row>
    <row r="1983" spans="1:11" ht="15" customHeight="1">
      <c r="A1983" s="626" t="s">
        <v>12709</v>
      </c>
      <c r="B1983" s="627" t="s">
        <v>13133</v>
      </c>
      <c r="C1983" s="626" t="s">
        <v>8</v>
      </c>
      <c r="D1983" s="626" t="s">
        <v>9366</v>
      </c>
      <c r="E1983" s="804" t="s">
        <v>12711</v>
      </c>
      <c r="F1983" s="805"/>
      <c r="G1983" s="628" t="s">
        <v>23</v>
      </c>
      <c r="H1983" s="629">
        <v>1</v>
      </c>
      <c r="I1983" s="630">
        <v>0.55000000000000004</v>
      </c>
      <c r="J1983" s="630">
        <v>0.55000000000000004</v>
      </c>
      <c r="K1983"/>
    </row>
    <row r="1984" spans="1:11" ht="0.95" customHeight="1">
      <c r="A1984" s="626" t="s">
        <v>12709</v>
      </c>
      <c r="B1984" s="627" t="s">
        <v>12999</v>
      </c>
      <c r="C1984" s="626" t="s">
        <v>8</v>
      </c>
      <c r="D1984" s="626" t="s">
        <v>11251</v>
      </c>
      <c r="E1984" s="804" t="s">
        <v>12713</v>
      </c>
      <c r="F1984" s="805"/>
      <c r="G1984" s="628" t="s">
        <v>23</v>
      </c>
      <c r="H1984" s="629">
        <v>1</v>
      </c>
      <c r="I1984" s="630">
        <v>7.0000000000000007E-2</v>
      </c>
      <c r="J1984" s="630">
        <v>7.0000000000000007E-2</v>
      </c>
      <c r="K1984"/>
    </row>
    <row r="1985" spans="1:11" ht="18" customHeight="1">
      <c r="A1985" s="626" t="s">
        <v>12709</v>
      </c>
      <c r="B1985" s="627" t="s">
        <v>12998</v>
      </c>
      <c r="C1985" s="626" t="s">
        <v>8</v>
      </c>
      <c r="D1985" s="626" t="s">
        <v>11861</v>
      </c>
      <c r="E1985" s="804" t="s">
        <v>12722</v>
      </c>
      <c r="F1985" s="805"/>
      <c r="G1985" s="628" t="s">
        <v>23</v>
      </c>
      <c r="H1985" s="629">
        <v>1</v>
      </c>
      <c r="I1985" s="630">
        <v>0.71</v>
      </c>
      <c r="J1985" s="630">
        <v>0.71</v>
      </c>
      <c r="K1985"/>
    </row>
    <row r="1986" spans="1:11" ht="36" customHeight="1">
      <c r="A1986" s="631"/>
      <c r="B1986" s="631"/>
      <c r="C1986" s="631"/>
      <c r="D1986" s="631"/>
      <c r="E1986" s="631" t="s">
        <v>12714</v>
      </c>
      <c r="F1986" s="632">
        <v>5.1465023245756294</v>
      </c>
      <c r="G1986" s="631" t="s">
        <v>12715</v>
      </c>
      <c r="H1986" s="632">
        <v>4.37</v>
      </c>
      <c r="I1986" s="631" t="s">
        <v>12716</v>
      </c>
      <c r="J1986" s="632">
        <v>9.52</v>
      </c>
      <c r="K1986"/>
    </row>
    <row r="1987" spans="1:11" ht="24" customHeight="1" thickBot="1">
      <c r="A1987" s="631"/>
      <c r="B1987" s="631"/>
      <c r="C1987" s="631"/>
      <c r="D1987" s="631"/>
      <c r="E1987" s="631" t="s">
        <v>12717</v>
      </c>
      <c r="F1987" s="632">
        <v>4.04</v>
      </c>
      <c r="G1987" s="631"/>
      <c r="H1987" s="806" t="s">
        <v>12718</v>
      </c>
      <c r="I1987" s="806"/>
      <c r="J1987" s="632">
        <v>18.37</v>
      </c>
      <c r="K1987"/>
    </row>
    <row r="1988" spans="1:11" ht="24" customHeight="1" thickTop="1">
      <c r="A1988" s="633"/>
      <c r="B1988" s="633"/>
      <c r="C1988" s="633"/>
      <c r="D1988" s="633"/>
      <c r="E1988" s="633"/>
      <c r="F1988" s="633"/>
      <c r="G1988" s="633"/>
      <c r="H1988" s="633"/>
      <c r="I1988" s="633"/>
      <c r="J1988" s="633"/>
      <c r="K1988"/>
    </row>
    <row r="1989" spans="1:11" ht="24" customHeight="1">
      <c r="A1989" s="613"/>
      <c r="B1989" s="614" t="s">
        <v>12698</v>
      </c>
      <c r="C1989" s="613" t="s">
        <v>12699</v>
      </c>
      <c r="D1989" s="613" t="s">
        <v>12700</v>
      </c>
      <c r="E1989" s="807" t="s">
        <v>12701</v>
      </c>
      <c r="F1989" s="808"/>
      <c r="G1989" s="615" t="s">
        <v>12702</v>
      </c>
      <c r="H1989" s="614" t="s">
        <v>12703</v>
      </c>
      <c r="I1989" s="614" t="s">
        <v>12704</v>
      </c>
      <c r="J1989" s="614" t="s">
        <v>12705</v>
      </c>
      <c r="K1989"/>
    </row>
    <row r="1990" spans="1:11" ht="24" customHeight="1">
      <c r="A1990" s="616" t="s">
        <v>12706</v>
      </c>
      <c r="B1990" s="617" t="s">
        <v>13187</v>
      </c>
      <c r="C1990" s="616" t="s">
        <v>8</v>
      </c>
      <c r="D1990" s="616" t="s">
        <v>1516</v>
      </c>
      <c r="E1990" s="809" t="s">
        <v>12707</v>
      </c>
      <c r="F1990" s="810"/>
      <c r="G1990" s="618" t="s">
        <v>23</v>
      </c>
      <c r="H1990" s="619">
        <v>1</v>
      </c>
      <c r="I1990" s="620">
        <v>13.87</v>
      </c>
      <c r="J1990" s="620">
        <v>13.87</v>
      </c>
      <c r="K1990"/>
    </row>
    <row r="1991" spans="1:11" ht="24" customHeight="1">
      <c r="A1991" s="621" t="s">
        <v>12708</v>
      </c>
      <c r="B1991" s="622" t="s">
        <v>13221</v>
      </c>
      <c r="C1991" s="621" t="s">
        <v>8</v>
      </c>
      <c r="D1991" s="621" t="s">
        <v>3634</v>
      </c>
      <c r="E1991" s="811" t="s">
        <v>12707</v>
      </c>
      <c r="F1991" s="812"/>
      <c r="G1991" s="623" t="s">
        <v>23</v>
      </c>
      <c r="H1991" s="624">
        <v>1</v>
      </c>
      <c r="I1991" s="625">
        <v>0.11</v>
      </c>
      <c r="J1991" s="625">
        <v>0.11</v>
      </c>
      <c r="K1991"/>
    </row>
    <row r="1992" spans="1:11" ht="24" customHeight="1">
      <c r="A1992" s="626" t="s">
        <v>12709</v>
      </c>
      <c r="B1992" s="627" t="s">
        <v>13004</v>
      </c>
      <c r="C1992" s="626" t="s">
        <v>8</v>
      </c>
      <c r="D1992" s="626" t="s">
        <v>7388</v>
      </c>
      <c r="E1992" s="804" t="s">
        <v>12712</v>
      </c>
      <c r="F1992" s="805"/>
      <c r="G1992" s="628" t="s">
        <v>23</v>
      </c>
      <c r="H1992" s="629">
        <v>1</v>
      </c>
      <c r="I1992" s="630">
        <v>2.2000000000000002</v>
      </c>
      <c r="J1992" s="630">
        <v>2.2000000000000002</v>
      </c>
      <c r="K1992"/>
    </row>
    <row r="1993" spans="1:11" ht="24" customHeight="1">
      <c r="A1993" s="626" t="s">
        <v>12709</v>
      </c>
      <c r="B1993" s="627" t="s">
        <v>13220</v>
      </c>
      <c r="C1993" s="626" t="s">
        <v>8</v>
      </c>
      <c r="D1993" s="626" t="s">
        <v>7592</v>
      </c>
      <c r="E1993" s="804" t="s">
        <v>12710</v>
      </c>
      <c r="F1993" s="805"/>
      <c r="G1993" s="628" t="s">
        <v>23</v>
      </c>
      <c r="H1993" s="629">
        <v>1</v>
      </c>
      <c r="I1993" s="630">
        <v>9.36</v>
      </c>
      <c r="J1993" s="630">
        <v>9.36</v>
      </c>
      <c r="K1993"/>
    </row>
    <row r="1994" spans="1:11" ht="25.5">
      <c r="A1994" s="626" t="s">
        <v>12709</v>
      </c>
      <c r="B1994" s="627" t="s">
        <v>13201</v>
      </c>
      <c r="C1994" s="626" t="s">
        <v>8</v>
      </c>
      <c r="D1994" s="626" t="s">
        <v>9221</v>
      </c>
      <c r="E1994" s="804" t="s">
        <v>12711</v>
      </c>
      <c r="F1994" s="805"/>
      <c r="G1994" s="628" t="s">
        <v>23</v>
      </c>
      <c r="H1994" s="629">
        <v>1</v>
      </c>
      <c r="I1994" s="630">
        <v>0.83</v>
      </c>
      <c r="J1994" s="630">
        <v>0.83</v>
      </c>
      <c r="K1994"/>
    </row>
    <row r="1995" spans="1:11" ht="15" customHeight="1">
      <c r="A1995" s="626" t="s">
        <v>12709</v>
      </c>
      <c r="B1995" s="627" t="s">
        <v>13002</v>
      </c>
      <c r="C1995" s="626" t="s">
        <v>8</v>
      </c>
      <c r="D1995" s="626" t="s">
        <v>9306</v>
      </c>
      <c r="E1995" s="804" t="s">
        <v>12712</v>
      </c>
      <c r="F1995" s="805"/>
      <c r="G1995" s="628" t="s">
        <v>23</v>
      </c>
      <c r="H1995" s="629">
        <v>1</v>
      </c>
      <c r="I1995" s="630">
        <v>0.35</v>
      </c>
      <c r="J1995" s="630">
        <v>0.35</v>
      </c>
      <c r="K1995"/>
    </row>
    <row r="1996" spans="1:11" ht="0.95" customHeight="1">
      <c r="A1996" s="626" t="s">
        <v>12709</v>
      </c>
      <c r="B1996" s="627" t="s">
        <v>13200</v>
      </c>
      <c r="C1996" s="626" t="s">
        <v>8</v>
      </c>
      <c r="D1996" s="626" t="s">
        <v>9368</v>
      </c>
      <c r="E1996" s="804" t="s">
        <v>12711</v>
      </c>
      <c r="F1996" s="805"/>
      <c r="G1996" s="628" t="s">
        <v>23</v>
      </c>
      <c r="H1996" s="629">
        <v>1</v>
      </c>
      <c r="I1996" s="630">
        <v>0.24</v>
      </c>
      <c r="J1996" s="630">
        <v>0.24</v>
      </c>
      <c r="K1996"/>
    </row>
    <row r="1997" spans="1:11" ht="18" customHeight="1">
      <c r="A1997" s="626" t="s">
        <v>12709</v>
      </c>
      <c r="B1997" s="627" t="s">
        <v>12999</v>
      </c>
      <c r="C1997" s="626" t="s">
        <v>8</v>
      </c>
      <c r="D1997" s="626" t="s">
        <v>11251</v>
      </c>
      <c r="E1997" s="804" t="s">
        <v>12713</v>
      </c>
      <c r="F1997" s="805"/>
      <c r="G1997" s="628" t="s">
        <v>23</v>
      </c>
      <c r="H1997" s="629">
        <v>1</v>
      </c>
      <c r="I1997" s="630">
        <v>7.0000000000000007E-2</v>
      </c>
      <c r="J1997" s="630">
        <v>7.0000000000000007E-2</v>
      </c>
      <c r="K1997"/>
    </row>
    <row r="1998" spans="1:11" ht="24" customHeight="1">
      <c r="A1998" s="626" t="s">
        <v>12709</v>
      </c>
      <c r="B1998" s="627" t="s">
        <v>12998</v>
      </c>
      <c r="C1998" s="626" t="s">
        <v>8</v>
      </c>
      <c r="D1998" s="626" t="s">
        <v>11861</v>
      </c>
      <c r="E1998" s="804" t="s">
        <v>12722</v>
      </c>
      <c r="F1998" s="805"/>
      <c r="G1998" s="628" t="s">
        <v>23</v>
      </c>
      <c r="H1998" s="629">
        <v>1</v>
      </c>
      <c r="I1998" s="630">
        <v>0.71</v>
      </c>
      <c r="J1998" s="630">
        <v>0.71</v>
      </c>
      <c r="K1998"/>
    </row>
    <row r="1999" spans="1:11" ht="24" customHeight="1">
      <c r="A1999" s="631"/>
      <c r="B1999" s="631"/>
      <c r="C1999" s="631"/>
      <c r="D1999" s="631"/>
      <c r="E1999" s="631" t="s">
        <v>12714</v>
      </c>
      <c r="F1999" s="632">
        <v>5.1194723753919336</v>
      </c>
      <c r="G1999" s="631" t="s">
        <v>12715</v>
      </c>
      <c r="H1999" s="632">
        <v>4.3499999999999996</v>
      </c>
      <c r="I1999" s="631" t="s">
        <v>12716</v>
      </c>
      <c r="J1999" s="632">
        <v>9.4699999999999989</v>
      </c>
      <c r="K1999"/>
    </row>
    <row r="2000" spans="1:11" ht="24" customHeight="1" thickBot="1">
      <c r="A2000" s="631"/>
      <c r="B2000" s="631"/>
      <c r="C2000" s="631"/>
      <c r="D2000" s="631"/>
      <c r="E2000" s="631" t="s">
        <v>12717</v>
      </c>
      <c r="F2000" s="632">
        <v>3.91</v>
      </c>
      <c r="G2000" s="631"/>
      <c r="H2000" s="806" t="s">
        <v>12718</v>
      </c>
      <c r="I2000" s="806"/>
      <c r="J2000" s="632">
        <v>17.78</v>
      </c>
      <c r="K2000"/>
    </row>
    <row r="2001" spans="1:11" ht="48" customHeight="1" thickTop="1">
      <c r="A2001" s="633"/>
      <c r="B2001" s="633"/>
      <c r="C2001" s="633"/>
      <c r="D2001" s="633"/>
      <c r="E2001" s="633"/>
      <c r="F2001" s="633"/>
      <c r="G2001" s="633"/>
      <c r="H2001" s="633"/>
      <c r="I2001" s="633"/>
      <c r="J2001" s="633"/>
      <c r="K2001"/>
    </row>
    <row r="2002" spans="1:11" ht="24" customHeight="1">
      <c r="A2002" s="613"/>
      <c r="B2002" s="614" t="s">
        <v>12698</v>
      </c>
      <c r="C2002" s="613" t="s">
        <v>12699</v>
      </c>
      <c r="D2002" s="613" t="s">
        <v>12700</v>
      </c>
      <c r="E2002" s="807" t="s">
        <v>12701</v>
      </c>
      <c r="F2002" s="808"/>
      <c r="G2002" s="615" t="s">
        <v>12702</v>
      </c>
      <c r="H2002" s="614" t="s">
        <v>12703</v>
      </c>
      <c r="I2002" s="614" t="s">
        <v>12704</v>
      </c>
      <c r="J2002" s="614" t="s">
        <v>12705</v>
      </c>
      <c r="K2002"/>
    </row>
    <row r="2003" spans="1:11" ht="24" customHeight="1">
      <c r="A2003" s="616" t="s">
        <v>12706</v>
      </c>
      <c r="B2003" s="617" t="s">
        <v>13309</v>
      </c>
      <c r="C2003" s="616" t="s">
        <v>8</v>
      </c>
      <c r="D2003" s="616" t="s">
        <v>245</v>
      </c>
      <c r="E2003" s="809" t="s">
        <v>12707</v>
      </c>
      <c r="F2003" s="810"/>
      <c r="G2003" s="618" t="s">
        <v>23</v>
      </c>
      <c r="H2003" s="619">
        <v>1</v>
      </c>
      <c r="I2003" s="620">
        <v>14.43</v>
      </c>
      <c r="J2003" s="620">
        <v>14.43</v>
      </c>
      <c r="K2003"/>
    </row>
    <row r="2004" spans="1:11" ht="25.5">
      <c r="A2004" s="621" t="s">
        <v>12708</v>
      </c>
      <c r="B2004" s="622" t="s">
        <v>13219</v>
      </c>
      <c r="C2004" s="621" t="s">
        <v>8</v>
      </c>
      <c r="D2004" s="621" t="s">
        <v>3637</v>
      </c>
      <c r="E2004" s="811" t="s">
        <v>12707</v>
      </c>
      <c r="F2004" s="812"/>
      <c r="G2004" s="623" t="s">
        <v>23</v>
      </c>
      <c r="H2004" s="624">
        <v>1</v>
      </c>
      <c r="I2004" s="625">
        <v>7.0000000000000007E-2</v>
      </c>
      <c r="J2004" s="625">
        <v>7.0000000000000007E-2</v>
      </c>
      <c r="K2004"/>
    </row>
    <row r="2005" spans="1:11" ht="15" customHeight="1">
      <c r="A2005" s="626" t="s">
        <v>12709</v>
      </c>
      <c r="B2005" s="627" t="s">
        <v>13218</v>
      </c>
      <c r="C2005" s="626" t="s">
        <v>8</v>
      </c>
      <c r="D2005" s="626" t="s">
        <v>7372</v>
      </c>
      <c r="E2005" s="804" t="s">
        <v>12710</v>
      </c>
      <c r="F2005" s="805"/>
      <c r="G2005" s="628" t="s">
        <v>23</v>
      </c>
      <c r="H2005" s="629">
        <v>1</v>
      </c>
      <c r="I2005" s="630">
        <v>9.57</v>
      </c>
      <c r="J2005" s="630">
        <v>9.57</v>
      </c>
      <c r="K2005"/>
    </row>
    <row r="2006" spans="1:11" ht="0.95" customHeight="1">
      <c r="A2006" s="626" t="s">
        <v>12709</v>
      </c>
      <c r="B2006" s="627" t="s">
        <v>13004</v>
      </c>
      <c r="C2006" s="626" t="s">
        <v>8</v>
      </c>
      <c r="D2006" s="626" t="s">
        <v>7388</v>
      </c>
      <c r="E2006" s="804" t="s">
        <v>12712</v>
      </c>
      <c r="F2006" s="805"/>
      <c r="G2006" s="628" t="s">
        <v>23</v>
      </c>
      <c r="H2006" s="629">
        <v>1</v>
      </c>
      <c r="I2006" s="630">
        <v>2.2000000000000002</v>
      </c>
      <c r="J2006" s="630">
        <v>2.2000000000000002</v>
      </c>
      <c r="K2006"/>
    </row>
    <row r="2007" spans="1:11" ht="18" customHeight="1">
      <c r="A2007" s="626" t="s">
        <v>12709</v>
      </c>
      <c r="B2007" s="627" t="s">
        <v>13052</v>
      </c>
      <c r="C2007" s="626" t="s">
        <v>8</v>
      </c>
      <c r="D2007" s="626" t="s">
        <v>9229</v>
      </c>
      <c r="E2007" s="804" t="s">
        <v>12711</v>
      </c>
      <c r="F2007" s="805"/>
      <c r="G2007" s="628" t="s">
        <v>23</v>
      </c>
      <c r="H2007" s="629">
        <v>1</v>
      </c>
      <c r="I2007" s="630">
        <v>0.96</v>
      </c>
      <c r="J2007" s="630">
        <v>0.96</v>
      </c>
      <c r="K2007"/>
    </row>
    <row r="2008" spans="1:11" ht="48" customHeight="1">
      <c r="A2008" s="626" t="s">
        <v>12709</v>
      </c>
      <c r="B2008" s="627" t="s">
        <v>13002</v>
      </c>
      <c r="C2008" s="626" t="s">
        <v>8</v>
      </c>
      <c r="D2008" s="626" t="s">
        <v>9306</v>
      </c>
      <c r="E2008" s="804" t="s">
        <v>12712</v>
      </c>
      <c r="F2008" s="805"/>
      <c r="G2008" s="628" t="s">
        <v>23</v>
      </c>
      <c r="H2008" s="629">
        <v>1</v>
      </c>
      <c r="I2008" s="630">
        <v>0.35</v>
      </c>
      <c r="J2008" s="630">
        <v>0.35</v>
      </c>
      <c r="K2008"/>
    </row>
    <row r="2009" spans="1:11" ht="48" customHeight="1">
      <c r="A2009" s="626" t="s">
        <v>12709</v>
      </c>
      <c r="B2009" s="627" t="s">
        <v>13051</v>
      </c>
      <c r="C2009" s="626" t="s">
        <v>8</v>
      </c>
      <c r="D2009" s="626" t="s">
        <v>9376</v>
      </c>
      <c r="E2009" s="804" t="s">
        <v>12711</v>
      </c>
      <c r="F2009" s="805"/>
      <c r="G2009" s="628" t="s">
        <v>23</v>
      </c>
      <c r="H2009" s="629">
        <v>1</v>
      </c>
      <c r="I2009" s="630">
        <v>0.5</v>
      </c>
      <c r="J2009" s="630">
        <v>0.5</v>
      </c>
      <c r="K2009"/>
    </row>
    <row r="2010" spans="1:11" ht="36" customHeight="1">
      <c r="A2010" s="626" t="s">
        <v>12709</v>
      </c>
      <c r="B2010" s="627" t="s">
        <v>12999</v>
      </c>
      <c r="C2010" s="626" t="s">
        <v>8</v>
      </c>
      <c r="D2010" s="626" t="s">
        <v>11251</v>
      </c>
      <c r="E2010" s="804" t="s">
        <v>12713</v>
      </c>
      <c r="F2010" s="805"/>
      <c r="G2010" s="628" t="s">
        <v>23</v>
      </c>
      <c r="H2010" s="629">
        <v>1</v>
      </c>
      <c r="I2010" s="630">
        <v>7.0000000000000007E-2</v>
      </c>
      <c r="J2010" s="630">
        <v>7.0000000000000007E-2</v>
      </c>
      <c r="K2010"/>
    </row>
    <row r="2011" spans="1:11">
      <c r="A2011" s="626" t="s">
        <v>12709</v>
      </c>
      <c r="B2011" s="627" t="s">
        <v>12998</v>
      </c>
      <c r="C2011" s="626" t="s">
        <v>8</v>
      </c>
      <c r="D2011" s="626" t="s">
        <v>11861</v>
      </c>
      <c r="E2011" s="804" t="s">
        <v>12722</v>
      </c>
      <c r="F2011" s="805"/>
      <c r="G2011" s="628" t="s">
        <v>23</v>
      </c>
      <c r="H2011" s="629">
        <v>1</v>
      </c>
      <c r="I2011" s="630">
        <v>0.71</v>
      </c>
      <c r="J2011" s="630">
        <v>0.71</v>
      </c>
      <c r="K2011"/>
    </row>
    <row r="2012" spans="1:11" ht="15" customHeight="1">
      <c r="A2012" s="631"/>
      <c r="B2012" s="631"/>
      <c r="C2012" s="631"/>
      <c r="D2012" s="631"/>
      <c r="E2012" s="631" t="s">
        <v>12714</v>
      </c>
      <c r="F2012" s="632">
        <v>5.2113742026164989</v>
      </c>
      <c r="G2012" s="631" t="s">
        <v>12715</v>
      </c>
      <c r="H2012" s="632">
        <v>4.43</v>
      </c>
      <c r="I2012" s="631" t="s">
        <v>12716</v>
      </c>
      <c r="J2012" s="632">
        <v>9.64</v>
      </c>
      <c r="K2012"/>
    </row>
    <row r="2013" spans="1:11" ht="0.95" customHeight="1" thickBot="1">
      <c r="A2013" s="631"/>
      <c r="B2013" s="631"/>
      <c r="C2013" s="631"/>
      <c r="D2013" s="631"/>
      <c r="E2013" s="631" t="s">
        <v>12717</v>
      </c>
      <c r="F2013" s="632">
        <v>4.07</v>
      </c>
      <c r="G2013" s="631"/>
      <c r="H2013" s="806" t="s">
        <v>12718</v>
      </c>
      <c r="I2013" s="806"/>
      <c r="J2013" s="632">
        <v>18.5</v>
      </c>
      <c r="K2013"/>
    </row>
    <row r="2014" spans="1:11" ht="18" customHeight="1" thickTop="1">
      <c r="A2014" s="633"/>
      <c r="B2014" s="633"/>
      <c r="C2014" s="633"/>
      <c r="D2014" s="633"/>
      <c r="E2014" s="633"/>
      <c r="F2014" s="633"/>
      <c r="G2014" s="633"/>
      <c r="H2014" s="633"/>
      <c r="I2014" s="633"/>
      <c r="J2014" s="633"/>
      <c r="K2014"/>
    </row>
    <row r="2015" spans="1:11" ht="48" customHeight="1">
      <c r="A2015" s="613"/>
      <c r="B2015" s="614" t="s">
        <v>12698</v>
      </c>
      <c r="C2015" s="613" t="s">
        <v>12699</v>
      </c>
      <c r="D2015" s="613" t="s">
        <v>12700</v>
      </c>
      <c r="E2015" s="807" t="s">
        <v>12701</v>
      </c>
      <c r="F2015" s="808"/>
      <c r="G2015" s="615" t="s">
        <v>12702</v>
      </c>
      <c r="H2015" s="614" t="s">
        <v>12703</v>
      </c>
      <c r="I2015" s="614" t="s">
        <v>12704</v>
      </c>
      <c r="J2015" s="614" t="s">
        <v>12705</v>
      </c>
      <c r="K2015"/>
    </row>
    <row r="2016" spans="1:11" ht="48" customHeight="1">
      <c r="A2016" s="616" t="s">
        <v>12706</v>
      </c>
      <c r="B2016" s="617" t="s">
        <v>13308</v>
      </c>
      <c r="C2016" s="616" t="s">
        <v>8</v>
      </c>
      <c r="D2016" s="616" t="s">
        <v>25</v>
      </c>
      <c r="E2016" s="809" t="s">
        <v>12707</v>
      </c>
      <c r="F2016" s="810"/>
      <c r="G2016" s="618" t="s">
        <v>23</v>
      </c>
      <c r="H2016" s="619">
        <v>1</v>
      </c>
      <c r="I2016" s="620">
        <v>17.71</v>
      </c>
      <c r="J2016" s="620">
        <v>17.71</v>
      </c>
      <c r="K2016"/>
    </row>
    <row r="2017" spans="1:11" ht="36" customHeight="1">
      <c r="A2017" s="621" t="s">
        <v>12708</v>
      </c>
      <c r="B2017" s="622" t="s">
        <v>13217</v>
      </c>
      <c r="C2017" s="621" t="s">
        <v>8</v>
      </c>
      <c r="D2017" s="621" t="s">
        <v>3641</v>
      </c>
      <c r="E2017" s="811" t="s">
        <v>12707</v>
      </c>
      <c r="F2017" s="812"/>
      <c r="G2017" s="623" t="s">
        <v>23</v>
      </c>
      <c r="H2017" s="624">
        <v>1</v>
      </c>
      <c r="I2017" s="625">
        <v>0.13</v>
      </c>
      <c r="J2017" s="625">
        <v>0.13</v>
      </c>
      <c r="K2017"/>
    </row>
    <row r="2018" spans="1:11" ht="48" customHeight="1">
      <c r="A2018" s="626" t="s">
        <v>12709</v>
      </c>
      <c r="B2018" s="627" t="s">
        <v>13004</v>
      </c>
      <c r="C2018" s="626" t="s">
        <v>8</v>
      </c>
      <c r="D2018" s="626" t="s">
        <v>7388</v>
      </c>
      <c r="E2018" s="804" t="s">
        <v>12712</v>
      </c>
      <c r="F2018" s="805"/>
      <c r="G2018" s="628" t="s">
        <v>23</v>
      </c>
      <c r="H2018" s="629">
        <v>1</v>
      </c>
      <c r="I2018" s="630">
        <v>2.2000000000000002</v>
      </c>
      <c r="J2018" s="630">
        <v>2.2000000000000002</v>
      </c>
      <c r="K2018"/>
    </row>
    <row r="2019" spans="1:11" ht="48" customHeight="1">
      <c r="A2019" s="626" t="s">
        <v>12709</v>
      </c>
      <c r="B2019" s="627" t="s">
        <v>13216</v>
      </c>
      <c r="C2019" s="626" t="s">
        <v>8</v>
      </c>
      <c r="D2019" s="626" t="s">
        <v>7609</v>
      </c>
      <c r="E2019" s="804" t="s">
        <v>12710</v>
      </c>
      <c r="F2019" s="805"/>
      <c r="G2019" s="628" t="s">
        <v>23</v>
      </c>
      <c r="H2019" s="629">
        <v>1</v>
      </c>
      <c r="I2019" s="630">
        <v>12.79</v>
      </c>
      <c r="J2019" s="630">
        <v>12.79</v>
      </c>
      <c r="K2019"/>
    </row>
    <row r="2020" spans="1:11" ht="25.5">
      <c r="A2020" s="626" t="s">
        <v>12709</v>
      </c>
      <c r="B2020" s="627" t="s">
        <v>13052</v>
      </c>
      <c r="C2020" s="626" t="s">
        <v>8</v>
      </c>
      <c r="D2020" s="626" t="s">
        <v>9229</v>
      </c>
      <c r="E2020" s="804" t="s">
        <v>12711</v>
      </c>
      <c r="F2020" s="805"/>
      <c r="G2020" s="628" t="s">
        <v>23</v>
      </c>
      <c r="H2020" s="629">
        <v>1</v>
      </c>
      <c r="I2020" s="630">
        <v>0.96</v>
      </c>
      <c r="J2020" s="630">
        <v>0.96</v>
      </c>
      <c r="K2020"/>
    </row>
    <row r="2021" spans="1:11" ht="15" customHeight="1">
      <c r="A2021" s="626" t="s">
        <v>12709</v>
      </c>
      <c r="B2021" s="627" t="s">
        <v>13002</v>
      </c>
      <c r="C2021" s="626" t="s">
        <v>8</v>
      </c>
      <c r="D2021" s="626" t="s">
        <v>9306</v>
      </c>
      <c r="E2021" s="804" t="s">
        <v>12712</v>
      </c>
      <c r="F2021" s="805"/>
      <c r="G2021" s="628" t="s">
        <v>23</v>
      </c>
      <c r="H2021" s="629">
        <v>1</v>
      </c>
      <c r="I2021" s="630">
        <v>0.35</v>
      </c>
      <c r="J2021" s="630">
        <v>0.35</v>
      </c>
      <c r="K2021"/>
    </row>
    <row r="2022" spans="1:11" ht="0.95" customHeight="1">
      <c r="A2022" s="626" t="s">
        <v>12709</v>
      </c>
      <c r="B2022" s="627" t="s">
        <v>13051</v>
      </c>
      <c r="C2022" s="626" t="s">
        <v>8</v>
      </c>
      <c r="D2022" s="626" t="s">
        <v>9376</v>
      </c>
      <c r="E2022" s="804" t="s">
        <v>12711</v>
      </c>
      <c r="F2022" s="805"/>
      <c r="G2022" s="628" t="s">
        <v>23</v>
      </c>
      <c r="H2022" s="629">
        <v>1</v>
      </c>
      <c r="I2022" s="630">
        <v>0.5</v>
      </c>
      <c r="J2022" s="630">
        <v>0.5</v>
      </c>
      <c r="K2022"/>
    </row>
    <row r="2023" spans="1:11" ht="18" customHeight="1">
      <c r="A2023" s="626" t="s">
        <v>12709</v>
      </c>
      <c r="B2023" s="627" t="s">
        <v>12999</v>
      </c>
      <c r="C2023" s="626" t="s">
        <v>8</v>
      </c>
      <c r="D2023" s="626" t="s">
        <v>11251</v>
      </c>
      <c r="E2023" s="804" t="s">
        <v>12713</v>
      </c>
      <c r="F2023" s="805"/>
      <c r="G2023" s="628" t="s">
        <v>23</v>
      </c>
      <c r="H2023" s="629">
        <v>1</v>
      </c>
      <c r="I2023" s="630">
        <v>7.0000000000000007E-2</v>
      </c>
      <c r="J2023" s="630">
        <v>7.0000000000000007E-2</v>
      </c>
      <c r="K2023"/>
    </row>
    <row r="2024" spans="1:11" ht="48" customHeight="1">
      <c r="A2024" s="626" t="s">
        <v>12709</v>
      </c>
      <c r="B2024" s="627" t="s">
        <v>12998</v>
      </c>
      <c r="C2024" s="626" t="s">
        <v>8</v>
      </c>
      <c r="D2024" s="626" t="s">
        <v>11861</v>
      </c>
      <c r="E2024" s="804" t="s">
        <v>12722</v>
      </c>
      <c r="F2024" s="805"/>
      <c r="G2024" s="628" t="s">
        <v>23</v>
      </c>
      <c r="H2024" s="629">
        <v>1</v>
      </c>
      <c r="I2024" s="630">
        <v>0.71</v>
      </c>
      <c r="J2024" s="630">
        <v>0.71</v>
      </c>
      <c r="K2024"/>
    </row>
    <row r="2025" spans="1:11" ht="36" customHeight="1">
      <c r="A2025" s="631"/>
      <c r="B2025" s="631"/>
      <c r="C2025" s="631"/>
      <c r="D2025" s="631"/>
      <c r="E2025" s="631" t="s">
        <v>12714</v>
      </c>
      <c r="F2025" s="632">
        <v>6.9845389000000004</v>
      </c>
      <c r="G2025" s="631" t="s">
        <v>12715</v>
      </c>
      <c r="H2025" s="632">
        <v>5.94</v>
      </c>
      <c r="I2025" s="631" t="s">
        <v>12716</v>
      </c>
      <c r="J2025" s="632">
        <v>12.92</v>
      </c>
      <c r="K2025"/>
    </row>
    <row r="2026" spans="1:11" ht="15" customHeight="1" thickBot="1">
      <c r="A2026" s="631"/>
      <c r="B2026" s="631"/>
      <c r="C2026" s="631"/>
      <c r="D2026" s="631"/>
      <c r="E2026" s="631" t="s">
        <v>12717</v>
      </c>
      <c r="F2026" s="632">
        <v>5</v>
      </c>
      <c r="G2026" s="631"/>
      <c r="H2026" s="806" t="s">
        <v>12718</v>
      </c>
      <c r="I2026" s="806"/>
      <c r="J2026" s="632">
        <v>22.71</v>
      </c>
      <c r="K2026"/>
    </row>
    <row r="2027" spans="1:11" ht="15" customHeight="1" thickTop="1">
      <c r="A2027" s="633"/>
      <c r="B2027" s="633"/>
      <c r="C2027" s="633"/>
      <c r="D2027" s="633"/>
      <c r="E2027" s="633"/>
      <c r="F2027" s="633"/>
      <c r="G2027" s="633"/>
      <c r="H2027" s="633"/>
      <c r="I2027" s="633"/>
      <c r="J2027" s="633"/>
      <c r="K2027"/>
    </row>
    <row r="2028" spans="1:11" ht="0.95" customHeight="1">
      <c r="A2028" s="613"/>
      <c r="B2028" s="614" t="s">
        <v>12698</v>
      </c>
      <c r="C2028" s="613" t="s">
        <v>12699</v>
      </c>
      <c r="D2028" s="613" t="s">
        <v>12700</v>
      </c>
      <c r="E2028" s="807" t="s">
        <v>12701</v>
      </c>
      <c r="F2028" s="808"/>
      <c r="G2028" s="615" t="s">
        <v>12702</v>
      </c>
      <c r="H2028" s="614" t="s">
        <v>12703</v>
      </c>
      <c r="I2028" s="614" t="s">
        <v>12704</v>
      </c>
      <c r="J2028" s="614" t="s">
        <v>12705</v>
      </c>
      <c r="K2028"/>
    </row>
    <row r="2029" spans="1:11" ht="18" customHeight="1">
      <c r="A2029" s="616" t="s">
        <v>12706</v>
      </c>
      <c r="B2029" s="617" t="s">
        <v>13256</v>
      </c>
      <c r="C2029" s="616" t="s">
        <v>8</v>
      </c>
      <c r="D2029" s="616" t="s">
        <v>1580</v>
      </c>
      <c r="E2029" s="809" t="s">
        <v>12726</v>
      </c>
      <c r="F2029" s="810"/>
      <c r="G2029" s="618" t="s">
        <v>61</v>
      </c>
      <c r="H2029" s="619">
        <v>1</v>
      </c>
      <c r="I2029" s="620">
        <v>0.25</v>
      </c>
      <c r="J2029" s="620">
        <v>0.25</v>
      </c>
      <c r="K2029"/>
    </row>
    <row r="2030" spans="1:11" ht="36" customHeight="1">
      <c r="A2030" s="621" t="s">
        <v>12708</v>
      </c>
      <c r="B2030" s="622" t="s">
        <v>13305</v>
      </c>
      <c r="C2030" s="621" t="s">
        <v>8</v>
      </c>
      <c r="D2030" s="621" t="s">
        <v>1575</v>
      </c>
      <c r="E2030" s="811" t="s">
        <v>12726</v>
      </c>
      <c r="F2030" s="812"/>
      <c r="G2030" s="623" t="s">
        <v>23</v>
      </c>
      <c r="H2030" s="624">
        <v>1</v>
      </c>
      <c r="I2030" s="625">
        <v>0.23</v>
      </c>
      <c r="J2030" s="625">
        <v>0.23</v>
      </c>
      <c r="K2030"/>
    </row>
    <row r="2031" spans="1:11" ht="36" customHeight="1">
      <c r="A2031" s="621" t="s">
        <v>12708</v>
      </c>
      <c r="B2031" s="622" t="s">
        <v>13304</v>
      </c>
      <c r="C2031" s="621" t="s">
        <v>8</v>
      </c>
      <c r="D2031" s="621" t="s">
        <v>1576</v>
      </c>
      <c r="E2031" s="811" t="s">
        <v>12726</v>
      </c>
      <c r="F2031" s="812"/>
      <c r="G2031" s="623" t="s">
        <v>23</v>
      </c>
      <c r="H2031" s="624">
        <v>1</v>
      </c>
      <c r="I2031" s="625">
        <v>0.02</v>
      </c>
      <c r="J2031" s="625">
        <v>0.02</v>
      </c>
      <c r="K2031"/>
    </row>
    <row r="2032" spans="1:11" ht="25.5">
      <c r="A2032" s="631"/>
      <c r="B2032" s="631"/>
      <c r="C2032" s="631"/>
      <c r="D2032" s="631"/>
      <c r="E2032" s="631" t="s">
        <v>12714</v>
      </c>
      <c r="F2032" s="632">
        <v>0</v>
      </c>
      <c r="G2032" s="631" t="s">
        <v>12715</v>
      </c>
      <c r="H2032" s="632">
        <v>0</v>
      </c>
      <c r="I2032" s="631" t="s">
        <v>12716</v>
      </c>
      <c r="J2032" s="632">
        <v>0</v>
      </c>
      <c r="K2032"/>
    </row>
    <row r="2033" spans="1:11" ht="15" customHeight="1" thickBot="1">
      <c r="A2033" s="631"/>
      <c r="B2033" s="631"/>
      <c r="C2033" s="631"/>
      <c r="D2033" s="631"/>
      <c r="E2033" s="631" t="s">
        <v>12717</v>
      </c>
      <c r="F2033" s="632">
        <v>7.0000000000000007E-2</v>
      </c>
      <c r="G2033" s="631"/>
      <c r="H2033" s="806" t="s">
        <v>12718</v>
      </c>
      <c r="I2033" s="806"/>
      <c r="J2033" s="632">
        <v>0.32</v>
      </c>
      <c r="K2033"/>
    </row>
    <row r="2034" spans="1:11" ht="0.95" customHeight="1" thickTop="1">
      <c r="A2034" s="633"/>
      <c r="B2034" s="633"/>
      <c r="C2034" s="633"/>
      <c r="D2034" s="633"/>
      <c r="E2034" s="633"/>
      <c r="F2034" s="633"/>
      <c r="G2034" s="633"/>
      <c r="H2034" s="633"/>
      <c r="I2034" s="633"/>
      <c r="J2034" s="633"/>
      <c r="K2034"/>
    </row>
    <row r="2035" spans="1:11" ht="18" customHeight="1">
      <c r="A2035" s="613"/>
      <c r="B2035" s="614" t="s">
        <v>12698</v>
      </c>
      <c r="C2035" s="613" t="s">
        <v>12699</v>
      </c>
      <c r="D2035" s="613" t="s">
        <v>12700</v>
      </c>
      <c r="E2035" s="807" t="s">
        <v>12701</v>
      </c>
      <c r="F2035" s="808"/>
      <c r="G2035" s="615" t="s">
        <v>12702</v>
      </c>
      <c r="H2035" s="614" t="s">
        <v>12703</v>
      </c>
      <c r="I2035" s="614" t="s">
        <v>12704</v>
      </c>
      <c r="J2035" s="614" t="s">
        <v>12705</v>
      </c>
      <c r="K2035"/>
    </row>
    <row r="2036" spans="1:11" ht="48" customHeight="1">
      <c r="A2036" s="616" t="s">
        <v>12706</v>
      </c>
      <c r="B2036" s="617" t="s">
        <v>13257</v>
      </c>
      <c r="C2036" s="616" t="s">
        <v>8</v>
      </c>
      <c r="D2036" s="616" t="s">
        <v>1579</v>
      </c>
      <c r="E2036" s="809" t="s">
        <v>12726</v>
      </c>
      <c r="F2036" s="810"/>
      <c r="G2036" s="618" t="s">
        <v>44</v>
      </c>
      <c r="H2036" s="619">
        <v>1</v>
      </c>
      <c r="I2036" s="620">
        <v>1.47</v>
      </c>
      <c r="J2036" s="620">
        <v>1.47</v>
      </c>
      <c r="K2036"/>
    </row>
    <row r="2037" spans="1:11" ht="36" customHeight="1">
      <c r="A2037" s="621" t="s">
        <v>12708</v>
      </c>
      <c r="B2037" s="622" t="s">
        <v>13305</v>
      </c>
      <c r="C2037" s="621" t="s">
        <v>8</v>
      </c>
      <c r="D2037" s="621" t="s">
        <v>1575</v>
      </c>
      <c r="E2037" s="811" t="s">
        <v>12726</v>
      </c>
      <c r="F2037" s="812"/>
      <c r="G2037" s="623" t="s">
        <v>23</v>
      </c>
      <c r="H2037" s="624">
        <v>1</v>
      </c>
      <c r="I2037" s="625">
        <v>0.23</v>
      </c>
      <c r="J2037" s="625">
        <v>0.23</v>
      </c>
      <c r="K2037"/>
    </row>
    <row r="2038" spans="1:11" ht="38.25" customHeight="1">
      <c r="A2038" s="621" t="s">
        <v>12708</v>
      </c>
      <c r="B2038" s="622" t="s">
        <v>13304</v>
      </c>
      <c r="C2038" s="621" t="s">
        <v>8</v>
      </c>
      <c r="D2038" s="621" t="s">
        <v>1576</v>
      </c>
      <c r="E2038" s="811" t="s">
        <v>12726</v>
      </c>
      <c r="F2038" s="812"/>
      <c r="G2038" s="623" t="s">
        <v>23</v>
      </c>
      <c r="H2038" s="624">
        <v>1</v>
      </c>
      <c r="I2038" s="625">
        <v>0.02</v>
      </c>
      <c r="J2038" s="625">
        <v>0.02</v>
      </c>
      <c r="K2038"/>
    </row>
    <row r="2039" spans="1:11" ht="15" customHeight="1">
      <c r="A2039" s="621" t="s">
        <v>12708</v>
      </c>
      <c r="B2039" s="622" t="s">
        <v>13303</v>
      </c>
      <c r="C2039" s="621" t="s">
        <v>8</v>
      </c>
      <c r="D2039" s="621" t="s">
        <v>1577</v>
      </c>
      <c r="E2039" s="811" t="s">
        <v>12726</v>
      </c>
      <c r="F2039" s="812"/>
      <c r="G2039" s="623" t="s">
        <v>23</v>
      </c>
      <c r="H2039" s="624">
        <v>1</v>
      </c>
      <c r="I2039" s="625">
        <v>0.21</v>
      </c>
      <c r="J2039" s="625">
        <v>0.21</v>
      </c>
      <c r="K2039"/>
    </row>
    <row r="2040" spans="1:11" ht="0.95" customHeight="1">
      <c r="A2040" s="621" t="s">
        <v>12708</v>
      </c>
      <c r="B2040" s="622" t="s">
        <v>13301</v>
      </c>
      <c r="C2040" s="621" t="s">
        <v>8</v>
      </c>
      <c r="D2040" s="621" t="s">
        <v>1578</v>
      </c>
      <c r="E2040" s="811" t="s">
        <v>12726</v>
      </c>
      <c r="F2040" s="812"/>
      <c r="G2040" s="623" t="s">
        <v>23</v>
      </c>
      <c r="H2040" s="624">
        <v>1</v>
      </c>
      <c r="I2040" s="625">
        <v>1.01</v>
      </c>
      <c r="J2040" s="625">
        <v>1.01</v>
      </c>
      <c r="K2040"/>
    </row>
    <row r="2041" spans="1:11" ht="18" customHeight="1">
      <c r="A2041" s="631"/>
      <c r="B2041" s="631"/>
      <c r="C2041" s="631"/>
      <c r="D2041" s="631"/>
      <c r="E2041" s="631" t="s">
        <v>12714</v>
      </c>
      <c r="F2041" s="632">
        <v>0</v>
      </c>
      <c r="G2041" s="631" t="s">
        <v>12715</v>
      </c>
      <c r="H2041" s="632">
        <v>0</v>
      </c>
      <c r="I2041" s="631" t="s">
        <v>12716</v>
      </c>
      <c r="J2041" s="632">
        <v>0</v>
      </c>
      <c r="K2041"/>
    </row>
    <row r="2042" spans="1:11" ht="48" customHeight="1" thickBot="1">
      <c r="A2042" s="631"/>
      <c r="B2042" s="631"/>
      <c r="C2042" s="631"/>
      <c r="D2042" s="631"/>
      <c r="E2042" s="631" t="s">
        <v>12717</v>
      </c>
      <c r="F2042" s="632">
        <v>0.41</v>
      </c>
      <c r="G2042" s="631"/>
      <c r="H2042" s="806" t="s">
        <v>12718</v>
      </c>
      <c r="I2042" s="806"/>
      <c r="J2042" s="632">
        <v>1.88</v>
      </c>
      <c r="K2042"/>
    </row>
    <row r="2043" spans="1:11" ht="24" customHeight="1" thickTop="1">
      <c r="A2043" s="633"/>
      <c r="B2043" s="633"/>
      <c r="C2043" s="633"/>
      <c r="D2043" s="633"/>
      <c r="E2043" s="633"/>
      <c r="F2043" s="633"/>
      <c r="G2043" s="633"/>
      <c r="H2043" s="633"/>
      <c r="I2043" s="633"/>
      <c r="J2043" s="633"/>
      <c r="K2043"/>
    </row>
    <row r="2044" spans="1:11" ht="15">
      <c r="A2044" s="613"/>
      <c r="B2044" s="614" t="s">
        <v>12698</v>
      </c>
      <c r="C2044" s="613" t="s">
        <v>12699</v>
      </c>
      <c r="D2044" s="613" t="s">
        <v>12700</v>
      </c>
      <c r="E2044" s="807" t="s">
        <v>12701</v>
      </c>
      <c r="F2044" s="808"/>
      <c r="G2044" s="615" t="s">
        <v>12702</v>
      </c>
      <c r="H2044" s="614" t="s">
        <v>12703</v>
      </c>
      <c r="I2044" s="614" t="s">
        <v>12704</v>
      </c>
      <c r="J2044" s="614" t="s">
        <v>12705</v>
      </c>
      <c r="K2044"/>
    </row>
    <row r="2045" spans="1:11" ht="15" customHeight="1">
      <c r="A2045" s="616" t="s">
        <v>12706</v>
      </c>
      <c r="B2045" s="617" t="s">
        <v>13305</v>
      </c>
      <c r="C2045" s="616" t="s">
        <v>8</v>
      </c>
      <c r="D2045" s="616" t="s">
        <v>1575</v>
      </c>
      <c r="E2045" s="809" t="s">
        <v>12726</v>
      </c>
      <c r="F2045" s="810"/>
      <c r="G2045" s="618" t="s">
        <v>23</v>
      </c>
      <c r="H2045" s="619">
        <v>1</v>
      </c>
      <c r="I2045" s="620">
        <v>0.23</v>
      </c>
      <c r="J2045" s="620">
        <v>0.23</v>
      </c>
      <c r="K2045"/>
    </row>
    <row r="2046" spans="1:11" ht="0.95" customHeight="1">
      <c r="A2046" s="626" t="s">
        <v>12709</v>
      </c>
      <c r="B2046" s="627" t="s">
        <v>13302</v>
      </c>
      <c r="C2046" s="626" t="s">
        <v>8</v>
      </c>
      <c r="D2046" s="626" t="s">
        <v>7676</v>
      </c>
      <c r="E2046" s="804" t="s">
        <v>12711</v>
      </c>
      <c r="F2046" s="805"/>
      <c r="G2046" s="628" t="s">
        <v>35</v>
      </c>
      <c r="H2046" s="629">
        <v>6.3999999999999997E-5</v>
      </c>
      <c r="I2046" s="630">
        <v>3621.72</v>
      </c>
      <c r="J2046" s="630">
        <v>0.23</v>
      </c>
      <c r="K2046"/>
    </row>
    <row r="2047" spans="1:11" ht="18" customHeight="1">
      <c r="A2047" s="631"/>
      <c r="B2047" s="631"/>
      <c r="C2047" s="631"/>
      <c r="D2047" s="631"/>
      <c r="E2047" s="631" t="s">
        <v>12714</v>
      </c>
      <c r="F2047" s="632">
        <v>0</v>
      </c>
      <c r="G2047" s="631" t="s">
        <v>12715</v>
      </c>
      <c r="H2047" s="632">
        <v>0</v>
      </c>
      <c r="I2047" s="631" t="s">
        <v>12716</v>
      </c>
      <c r="J2047" s="632">
        <v>0</v>
      </c>
      <c r="K2047"/>
    </row>
    <row r="2048" spans="1:11" ht="48" customHeight="1" thickBot="1">
      <c r="A2048" s="631"/>
      <c r="B2048" s="631"/>
      <c r="C2048" s="631"/>
      <c r="D2048" s="631"/>
      <c r="E2048" s="631" t="s">
        <v>12717</v>
      </c>
      <c r="F2048" s="632">
        <v>0.06</v>
      </c>
      <c r="G2048" s="631"/>
      <c r="H2048" s="806" t="s">
        <v>12718</v>
      </c>
      <c r="I2048" s="806"/>
      <c r="J2048" s="632">
        <v>0.28999999999999998</v>
      </c>
      <c r="K2048"/>
    </row>
    <row r="2049" spans="1:11" ht="48" customHeight="1" thickTop="1">
      <c r="A2049" s="633"/>
      <c r="B2049" s="633"/>
      <c r="C2049" s="633"/>
      <c r="D2049" s="633"/>
      <c r="E2049" s="633"/>
      <c r="F2049" s="633"/>
      <c r="G2049" s="633"/>
      <c r="H2049" s="633"/>
      <c r="I2049" s="633"/>
      <c r="J2049" s="633"/>
      <c r="K2049"/>
    </row>
    <row r="2050" spans="1:11" ht="36" customHeight="1">
      <c r="A2050" s="613"/>
      <c r="B2050" s="614" t="s">
        <v>12698</v>
      </c>
      <c r="C2050" s="613" t="s">
        <v>12699</v>
      </c>
      <c r="D2050" s="613" t="s">
        <v>12700</v>
      </c>
      <c r="E2050" s="807" t="s">
        <v>12701</v>
      </c>
      <c r="F2050" s="808"/>
      <c r="G2050" s="615" t="s">
        <v>12702</v>
      </c>
      <c r="H2050" s="614" t="s">
        <v>12703</v>
      </c>
      <c r="I2050" s="614" t="s">
        <v>12704</v>
      </c>
      <c r="J2050" s="614" t="s">
        <v>12705</v>
      </c>
      <c r="K2050"/>
    </row>
    <row r="2051" spans="1:11" ht="38.25" customHeight="1">
      <c r="A2051" s="616" t="s">
        <v>12706</v>
      </c>
      <c r="B2051" s="617" t="s">
        <v>13304</v>
      </c>
      <c r="C2051" s="616" t="s">
        <v>8</v>
      </c>
      <c r="D2051" s="616" t="s">
        <v>1576</v>
      </c>
      <c r="E2051" s="809" t="s">
        <v>12726</v>
      </c>
      <c r="F2051" s="810"/>
      <c r="G2051" s="618" t="s">
        <v>23</v>
      </c>
      <c r="H2051" s="619">
        <v>1</v>
      </c>
      <c r="I2051" s="620">
        <v>0.02</v>
      </c>
      <c r="J2051" s="620">
        <v>0.02</v>
      </c>
      <c r="K2051"/>
    </row>
    <row r="2052" spans="1:11" ht="15" customHeight="1">
      <c r="A2052" s="626" t="s">
        <v>12709</v>
      </c>
      <c r="B2052" s="627" t="s">
        <v>13302</v>
      </c>
      <c r="C2052" s="626" t="s">
        <v>8</v>
      </c>
      <c r="D2052" s="626" t="s">
        <v>7676</v>
      </c>
      <c r="E2052" s="804" t="s">
        <v>12711</v>
      </c>
      <c r="F2052" s="805"/>
      <c r="G2052" s="628" t="s">
        <v>35</v>
      </c>
      <c r="H2052" s="629">
        <v>7.6000000000000001E-6</v>
      </c>
      <c r="I2052" s="630">
        <v>3621.72</v>
      </c>
      <c r="J2052" s="630">
        <v>0.02</v>
      </c>
      <c r="K2052"/>
    </row>
    <row r="2053" spans="1:11" ht="0.95" customHeight="1">
      <c r="A2053" s="631"/>
      <c r="B2053" s="631"/>
      <c r="C2053" s="631"/>
      <c r="D2053" s="631"/>
      <c r="E2053" s="631" t="s">
        <v>12714</v>
      </c>
      <c r="F2053" s="632">
        <v>0</v>
      </c>
      <c r="G2053" s="631" t="s">
        <v>12715</v>
      </c>
      <c r="H2053" s="632">
        <v>0</v>
      </c>
      <c r="I2053" s="631" t="s">
        <v>12716</v>
      </c>
      <c r="J2053" s="632">
        <v>0</v>
      </c>
      <c r="K2053"/>
    </row>
    <row r="2054" spans="1:11" ht="18" customHeight="1" thickBot="1">
      <c r="A2054" s="631"/>
      <c r="B2054" s="631"/>
      <c r="C2054" s="631"/>
      <c r="D2054" s="631"/>
      <c r="E2054" s="631" t="s">
        <v>12717</v>
      </c>
      <c r="F2054" s="632">
        <v>0</v>
      </c>
      <c r="G2054" s="631"/>
      <c r="H2054" s="806" t="s">
        <v>12718</v>
      </c>
      <c r="I2054" s="806"/>
      <c r="J2054" s="632">
        <v>0.02</v>
      </c>
      <c r="K2054"/>
    </row>
    <row r="2055" spans="1:11" ht="48" customHeight="1" thickTop="1">
      <c r="A2055" s="633"/>
      <c r="B2055" s="633"/>
      <c r="C2055" s="633"/>
      <c r="D2055" s="633"/>
      <c r="E2055" s="633"/>
      <c r="F2055" s="633"/>
      <c r="G2055" s="633"/>
      <c r="H2055" s="633"/>
      <c r="I2055" s="633"/>
      <c r="J2055" s="633"/>
      <c r="K2055"/>
    </row>
    <row r="2056" spans="1:11" ht="48" customHeight="1">
      <c r="A2056" s="613"/>
      <c r="B2056" s="614" t="s">
        <v>12698</v>
      </c>
      <c r="C2056" s="613" t="s">
        <v>12699</v>
      </c>
      <c r="D2056" s="613" t="s">
        <v>12700</v>
      </c>
      <c r="E2056" s="807" t="s">
        <v>12701</v>
      </c>
      <c r="F2056" s="808"/>
      <c r="G2056" s="615" t="s">
        <v>12702</v>
      </c>
      <c r="H2056" s="614" t="s">
        <v>12703</v>
      </c>
      <c r="I2056" s="614" t="s">
        <v>12704</v>
      </c>
      <c r="J2056" s="614" t="s">
        <v>12705</v>
      </c>
      <c r="K2056"/>
    </row>
    <row r="2057" spans="1:11" ht="36" customHeight="1">
      <c r="A2057" s="616" t="s">
        <v>12706</v>
      </c>
      <c r="B2057" s="617" t="s">
        <v>13303</v>
      </c>
      <c r="C2057" s="616" t="s">
        <v>8</v>
      </c>
      <c r="D2057" s="616" t="s">
        <v>1577</v>
      </c>
      <c r="E2057" s="809" t="s">
        <v>12726</v>
      </c>
      <c r="F2057" s="810"/>
      <c r="G2057" s="618" t="s">
        <v>23</v>
      </c>
      <c r="H2057" s="619">
        <v>1</v>
      </c>
      <c r="I2057" s="620">
        <v>0.21</v>
      </c>
      <c r="J2057" s="620">
        <v>0.21</v>
      </c>
      <c r="K2057"/>
    </row>
    <row r="2058" spans="1:11" ht="48" customHeight="1">
      <c r="A2058" s="626" t="s">
        <v>12709</v>
      </c>
      <c r="B2058" s="627" t="s">
        <v>13302</v>
      </c>
      <c r="C2058" s="626" t="s">
        <v>8</v>
      </c>
      <c r="D2058" s="626" t="s">
        <v>7676</v>
      </c>
      <c r="E2058" s="804" t="s">
        <v>12711</v>
      </c>
      <c r="F2058" s="805"/>
      <c r="G2058" s="628" t="s">
        <v>35</v>
      </c>
      <c r="H2058" s="629">
        <v>6.0000000000000002E-5</v>
      </c>
      <c r="I2058" s="630">
        <v>3621.72</v>
      </c>
      <c r="J2058" s="630">
        <v>0.21</v>
      </c>
      <c r="K2058"/>
    </row>
    <row r="2059" spans="1:11" ht="48" customHeight="1">
      <c r="A2059" s="631"/>
      <c r="B2059" s="631"/>
      <c r="C2059" s="631"/>
      <c r="D2059" s="631"/>
      <c r="E2059" s="631" t="s">
        <v>12714</v>
      </c>
      <c r="F2059" s="632">
        <v>0</v>
      </c>
      <c r="G2059" s="631" t="s">
        <v>12715</v>
      </c>
      <c r="H2059" s="632">
        <v>0</v>
      </c>
      <c r="I2059" s="631" t="s">
        <v>12716</v>
      </c>
      <c r="J2059" s="632">
        <v>0</v>
      </c>
      <c r="K2059"/>
    </row>
    <row r="2060" spans="1:11" ht="15" customHeight="1" thickBot="1">
      <c r="A2060" s="631"/>
      <c r="B2060" s="631"/>
      <c r="C2060" s="631"/>
      <c r="D2060" s="631"/>
      <c r="E2060" s="631" t="s">
        <v>12717</v>
      </c>
      <c r="F2060" s="632">
        <v>0.05</v>
      </c>
      <c r="G2060" s="631"/>
      <c r="H2060" s="806" t="s">
        <v>12718</v>
      </c>
      <c r="I2060" s="806"/>
      <c r="J2060" s="632">
        <v>0.26</v>
      </c>
      <c r="K2060"/>
    </row>
    <row r="2061" spans="1:11" ht="15" customHeight="1" thickTop="1">
      <c r="A2061" s="633"/>
      <c r="B2061" s="633"/>
      <c r="C2061" s="633"/>
      <c r="D2061" s="633"/>
      <c r="E2061" s="633"/>
      <c r="F2061" s="633"/>
      <c r="G2061" s="633"/>
      <c r="H2061" s="633"/>
      <c r="I2061" s="633"/>
      <c r="J2061" s="633"/>
      <c r="K2061"/>
    </row>
    <row r="2062" spans="1:11" ht="0.95" customHeight="1">
      <c r="A2062" s="613"/>
      <c r="B2062" s="614" t="s">
        <v>12698</v>
      </c>
      <c r="C2062" s="613" t="s">
        <v>12699</v>
      </c>
      <c r="D2062" s="613" t="s">
        <v>12700</v>
      </c>
      <c r="E2062" s="807" t="s">
        <v>12701</v>
      </c>
      <c r="F2062" s="808"/>
      <c r="G2062" s="615" t="s">
        <v>12702</v>
      </c>
      <c r="H2062" s="614" t="s">
        <v>12703</v>
      </c>
      <c r="I2062" s="614" t="s">
        <v>12704</v>
      </c>
      <c r="J2062" s="614" t="s">
        <v>12705</v>
      </c>
      <c r="K2062"/>
    </row>
    <row r="2063" spans="1:11" ht="18" customHeight="1">
      <c r="A2063" s="616" t="s">
        <v>12706</v>
      </c>
      <c r="B2063" s="617" t="s">
        <v>13301</v>
      </c>
      <c r="C2063" s="616" t="s">
        <v>8</v>
      </c>
      <c r="D2063" s="616" t="s">
        <v>1578</v>
      </c>
      <c r="E2063" s="809" t="s">
        <v>12726</v>
      </c>
      <c r="F2063" s="810"/>
      <c r="G2063" s="618" t="s">
        <v>23</v>
      </c>
      <c r="H2063" s="619">
        <v>1</v>
      </c>
      <c r="I2063" s="620">
        <v>1.01</v>
      </c>
      <c r="J2063" s="620">
        <v>1.01</v>
      </c>
      <c r="K2063"/>
    </row>
    <row r="2064" spans="1:11" ht="48" customHeight="1">
      <c r="A2064" s="626" t="s">
        <v>12709</v>
      </c>
      <c r="B2064" s="627" t="s">
        <v>12987</v>
      </c>
      <c r="C2064" s="626" t="s">
        <v>8</v>
      </c>
      <c r="D2064" s="626" t="s">
        <v>9192</v>
      </c>
      <c r="E2064" s="804" t="s">
        <v>12720</v>
      </c>
      <c r="F2064" s="805"/>
      <c r="G2064" s="628" t="s">
        <v>12923</v>
      </c>
      <c r="H2064" s="629">
        <v>1.25</v>
      </c>
      <c r="I2064" s="630">
        <v>0.81</v>
      </c>
      <c r="J2064" s="630">
        <v>1.01</v>
      </c>
      <c r="K2064"/>
    </row>
    <row r="2065" spans="1:11" ht="36" customHeight="1">
      <c r="A2065" s="631"/>
      <c r="B2065" s="631"/>
      <c r="C2065" s="631"/>
      <c r="D2065" s="631"/>
      <c r="E2065" s="631" t="s">
        <v>12714</v>
      </c>
      <c r="F2065" s="632">
        <v>0</v>
      </c>
      <c r="G2065" s="631" t="s">
        <v>12715</v>
      </c>
      <c r="H2065" s="632">
        <v>0</v>
      </c>
      <c r="I2065" s="631" t="s">
        <v>12716</v>
      </c>
      <c r="J2065" s="632">
        <v>0</v>
      </c>
      <c r="K2065"/>
    </row>
    <row r="2066" spans="1:11" ht="15" customHeight="1" thickBot="1">
      <c r="A2066" s="631"/>
      <c r="B2066" s="631"/>
      <c r="C2066" s="631"/>
      <c r="D2066" s="631"/>
      <c r="E2066" s="631" t="s">
        <v>12717</v>
      </c>
      <c r="F2066" s="632">
        <v>0.28000000000000003</v>
      </c>
      <c r="G2066" s="631"/>
      <c r="H2066" s="806" t="s">
        <v>12718</v>
      </c>
      <c r="I2066" s="806"/>
      <c r="J2066" s="632">
        <v>1.29</v>
      </c>
      <c r="K2066"/>
    </row>
    <row r="2067" spans="1:11" ht="15" customHeight="1" thickTop="1">
      <c r="A2067" s="633"/>
      <c r="B2067" s="633"/>
      <c r="C2067" s="633"/>
      <c r="D2067" s="633"/>
      <c r="E2067" s="633"/>
      <c r="F2067" s="633"/>
      <c r="G2067" s="633"/>
      <c r="H2067" s="633"/>
      <c r="I2067" s="633"/>
      <c r="J2067" s="633"/>
      <c r="K2067"/>
    </row>
    <row r="2068" spans="1:11" ht="0.95" customHeight="1">
      <c r="A2068" s="613"/>
      <c r="B2068" s="614" t="s">
        <v>12698</v>
      </c>
      <c r="C2068" s="613" t="s">
        <v>12699</v>
      </c>
      <c r="D2068" s="613" t="s">
        <v>12700</v>
      </c>
      <c r="E2068" s="807" t="s">
        <v>12701</v>
      </c>
      <c r="F2068" s="808"/>
      <c r="G2068" s="615" t="s">
        <v>12702</v>
      </c>
      <c r="H2068" s="614" t="s">
        <v>12703</v>
      </c>
      <c r="I2068" s="614" t="s">
        <v>12704</v>
      </c>
      <c r="J2068" s="614" t="s">
        <v>12705</v>
      </c>
      <c r="K2068"/>
    </row>
    <row r="2069" spans="1:11" ht="18" customHeight="1">
      <c r="A2069" s="616" t="s">
        <v>12706</v>
      </c>
      <c r="B2069" s="617" t="s">
        <v>13251</v>
      </c>
      <c r="C2069" s="616" t="s">
        <v>8</v>
      </c>
      <c r="D2069" s="616" t="s">
        <v>1649</v>
      </c>
      <c r="E2069" s="809" t="s">
        <v>12726</v>
      </c>
      <c r="F2069" s="810"/>
      <c r="G2069" s="618" t="s">
        <v>61</v>
      </c>
      <c r="H2069" s="619">
        <v>1</v>
      </c>
      <c r="I2069" s="620">
        <v>1.05</v>
      </c>
      <c r="J2069" s="620">
        <v>1.05</v>
      </c>
      <c r="K2069"/>
    </row>
    <row r="2070" spans="1:11" ht="36" customHeight="1">
      <c r="A2070" s="621" t="s">
        <v>12708</v>
      </c>
      <c r="B2070" s="622" t="s">
        <v>13300</v>
      </c>
      <c r="C2070" s="621" t="s">
        <v>8</v>
      </c>
      <c r="D2070" s="621" t="s">
        <v>1644</v>
      </c>
      <c r="E2070" s="811" t="s">
        <v>12726</v>
      </c>
      <c r="F2070" s="812"/>
      <c r="G2070" s="623" t="s">
        <v>23</v>
      </c>
      <c r="H2070" s="624">
        <v>1</v>
      </c>
      <c r="I2070" s="625">
        <v>0.94</v>
      </c>
      <c r="J2070" s="625">
        <v>0.94</v>
      </c>
      <c r="K2070"/>
    </row>
    <row r="2071" spans="1:11" ht="36" customHeight="1">
      <c r="A2071" s="621" t="s">
        <v>12708</v>
      </c>
      <c r="B2071" s="622" t="s">
        <v>13299</v>
      </c>
      <c r="C2071" s="621" t="s">
        <v>8</v>
      </c>
      <c r="D2071" s="621" t="s">
        <v>1645</v>
      </c>
      <c r="E2071" s="811" t="s">
        <v>12726</v>
      </c>
      <c r="F2071" s="812"/>
      <c r="G2071" s="623" t="s">
        <v>23</v>
      </c>
      <c r="H2071" s="624">
        <v>1</v>
      </c>
      <c r="I2071" s="625">
        <v>0.11</v>
      </c>
      <c r="J2071" s="625">
        <v>0.11</v>
      </c>
      <c r="K2071"/>
    </row>
    <row r="2072" spans="1:11" ht="25.5">
      <c r="A2072" s="631"/>
      <c r="B2072" s="631"/>
      <c r="C2072" s="631"/>
      <c r="D2072" s="631"/>
      <c r="E2072" s="631" t="s">
        <v>12714</v>
      </c>
      <c r="F2072" s="632">
        <v>0</v>
      </c>
      <c r="G2072" s="631" t="s">
        <v>12715</v>
      </c>
      <c r="H2072" s="632">
        <v>0</v>
      </c>
      <c r="I2072" s="631" t="s">
        <v>12716</v>
      </c>
      <c r="J2072" s="632">
        <v>0</v>
      </c>
      <c r="K2072"/>
    </row>
    <row r="2073" spans="1:11" ht="15" customHeight="1" thickBot="1">
      <c r="A2073" s="631"/>
      <c r="B2073" s="631"/>
      <c r="C2073" s="631"/>
      <c r="D2073" s="631"/>
      <c r="E2073" s="631" t="s">
        <v>12717</v>
      </c>
      <c r="F2073" s="632">
        <v>0.28999999999999998</v>
      </c>
      <c r="G2073" s="631"/>
      <c r="H2073" s="806" t="s">
        <v>12718</v>
      </c>
      <c r="I2073" s="806"/>
      <c r="J2073" s="632">
        <v>1.34</v>
      </c>
      <c r="K2073"/>
    </row>
    <row r="2074" spans="1:11" ht="0.95" customHeight="1" thickTop="1">
      <c r="A2074" s="633"/>
      <c r="B2074" s="633"/>
      <c r="C2074" s="633"/>
      <c r="D2074" s="633"/>
      <c r="E2074" s="633"/>
      <c r="F2074" s="633"/>
      <c r="G2074" s="633"/>
      <c r="H2074" s="633"/>
      <c r="I2074" s="633"/>
      <c r="J2074" s="633"/>
      <c r="K2074"/>
    </row>
    <row r="2075" spans="1:11" ht="18" customHeight="1">
      <c r="A2075" s="613"/>
      <c r="B2075" s="614" t="s">
        <v>12698</v>
      </c>
      <c r="C2075" s="613" t="s">
        <v>12699</v>
      </c>
      <c r="D2075" s="613" t="s">
        <v>12700</v>
      </c>
      <c r="E2075" s="807" t="s">
        <v>12701</v>
      </c>
      <c r="F2075" s="808"/>
      <c r="G2075" s="615" t="s">
        <v>12702</v>
      </c>
      <c r="H2075" s="614" t="s">
        <v>12703</v>
      </c>
      <c r="I2075" s="614" t="s">
        <v>12704</v>
      </c>
      <c r="J2075" s="614" t="s">
        <v>12705</v>
      </c>
      <c r="K2075"/>
    </row>
    <row r="2076" spans="1:11" ht="48" customHeight="1">
      <c r="A2076" s="616" t="s">
        <v>12706</v>
      </c>
      <c r="B2076" s="617" t="s">
        <v>13252</v>
      </c>
      <c r="C2076" s="616" t="s">
        <v>8</v>
      </c>
      <c r="D2076" s="616" t="s">
        <v>1648</v>
      </c>
      <c r="E2076" s="809" t="s">
        <v>12726</v>
      </c>
      <c r="F2076" s="810"/>
      <c r="G2076" s="618" t="s">
        <v>44</v>
      </c>
      <c r="H2076" s="619">
        <v>1</v>
      </c>
      <c r="I2076" s="620">
        <v>3.95</v>
      </c>
      <c r="J2076" s="620">
        <v>3.95</v>
      </c>
      <c r="K2076"/>
    </row>
    <row r="2077" spans="1:11" ht="36" customHeight="1">
      <c r="A2077" s="621" t="s">
        <v>12708</v>
      </c>
      <c r="B2077" s="622" t="s">
        <v>13300</v>
      </c>
      <c r="C2077" s="621" t="s">
        <v>8</v>
      </c>
      <c r="D2077" s="621" t="s">
        <v>1644</v>
      </c>
      <c r="E2077" s="811" t="s">
        <v>12726</v>
      </c>
      <c r="F2077" s="812"/>
      <c r="G2077" s="623" t="s">
        <v>23</v>
      </c>
      <c r="H2077" s="624">
        <v>1</v>
      </c>
      <c r="I2077" s="625">
        <v>0.94</v>
      </c>
      <c r="J2077" s="625">
        <v>0.94</v>
      </c>
      <c r="K2077"/>
    </row>
    <row r="2078" spans="1:11" ht="38.25" customHeight="1">
      <c r="A2078" s="621" t="s">
        <v>12708</v>
      </c>
      <c r="B2078" s="622" t="s">
        <v>13299</v>
      </c>
      <c r="C2078" s="621" t="s">
        <v>8</v>
      </c>
      <c r="D2078" s="621" t="s">
        <v>1645</v>
      </c>
      <c r="E2078" s="811" t="s">
        <v>12726</v>
      </c>
      <c r="F2078" s="812"/>
      <c r="G2078" s="623" t="s">
        <v>23</v>
      </c>
      <c r="H2078" s="624">
        <v>1</v>
      </c>
      <c r="I2078" s="625">
        <v>0.11</v>
      </c>
      <c r="J2078" s="625">
        <v>0.11</v>
      </c>
      <c r="K2078"/>
    </row>
    <row r="2079" spans="1:11" ht="15" customHeight="1">
      <c r="A2079" s="621" t="s">
        <v>12708</v>
      </c>
      <c r="B2079" s="622" t="s">
        <v>13298</v>
      </c>
      <c r="C2079" s="621" t="s">
        <v>8</v>
      </c>
      <c r="D2079" s="621" t="s">
        <v>1646</v>
      </c>
      <c r="E2079" s="811" t="s">
        <v>12726</v>
      </c>
      <c r="F2079" s="812"/>
      <c r="G2079" s="623" t="s">
        <v>23</v>
      </c>
      <c r="H2079" s="624">
        <v>1</v>
      </c>
      <c r="I2079" s="625">
        <v>0.88</v>
      </c>
      <c r="J2079" s="625">
        <v>0.88</v>
      </c>
      <c r="K2079"/>
    </row>
    <row r="2080" spans="1:11" ht="0.95" customHeight="1">
      <c r="A2080" s="621" t="s">
        <v>12708</v>
      </c>
      <c r="B2080" s="622" t="s">
        <v>13296</v>
      </c>
      <c r="C2080" s="621" t="s">
        <v>8</v>
      </c>
      <c r="D2080" s="621" t="s">
        <v>1647</v>
      </c>
      <c r="E2080" s="811" t="s">
        <v>12726</v>
      </c>
      <c r="F2080" s="812"/>
      <c r="G2080" s="623" t="s">
        <v>23</v>
      </c>
      <c r="H2080" s="624">
        <v>1</v>
      </c>
      <c r="I2080" s="625">
        <v>2.02</v>
      </c>
      <c r="J2080" s="625">
        <v>2.02</v>
      </c>
      <c r="K2080"/>
    </row>
    <row r="2081" spans="1:11" ht="18" customHeight="1">
      <c r="A2081" s="631"/>
      <c r="B2081" s="631"/>
      <c r="C2081" s="631"/>
      <c r="D2081" s="631"/>
      <c r="E2081" s="631" t="s">
        <v>12714</v>
      </c>
      <c r="F2081" s="632">
        <v>0</v>
      </c>
      <c r="G2081" s="631" t="s">
        <v>12715</v>
      </c>
      <c r="H2081" s="632">
        <v>0</v>
      </c>
      <c r="I2081" s="631" t="s">
        <v>12716</v>
      </c>
      <c r="J2081" s="632">
        <v>0</v>
      </c>
      <c r="K2081"/>
    </row>
    <row r="2082" spans="1:11" ht="48" customHeight="1" thickBot="1">
      <c r="A2082" s="631"/>
      <c r="B2082" s="631"/>
      <c r="C2082" s="631"/>
      <c r="D2082" s="631"/>
      <c r="E2082" s="631" t="s">
        <v>12717</v>
      </c>
      <c r="F2082" s="632">
        <v>1.1100000000000001</v>
      </c>
      <c r="G2082" s="631"/>
      <c r="H2082" s="806" t="s">
        <v>12718</v>
      </c>
      <c r="I2082" s="806"/>
      <c r="J2082" s="632">
        <v>5.0599999999999996</v>
      </c>
      <c r="K2082"/>
    </row>
    <row r="2083" spans="1:11" ht="24" customHeight="1" thickTop="1">
      <c r="A2083" s="633"/>
      <c r="B2083" s="633"/>
      <c r="C2083" s="633"/>
      <c r="D2083" s="633"/>
      <c r="E2083" s="633"/>
      <c r="F2083" s="633"/>
      <c r="G2083" s="633"/>
      <c r="H2083" s="633"/>
      <c r="I2083" s="633"/>
      <c r="J2083" s="633"/>
      <c r="K2083"/>
    </row>
    <row r="2084" spans="1:11" ht="15">
      <c r="A2084" s="613"/>
      <c r="B2084" s="614" t="s">
        <v>12698</v>
      </c>
      <c r="C2084" s="613" t="s">
        <v>12699</v>
      </c>
      <c r="D2084" s="613" t="s">
        <v>12700</v>
      </c>
      <c r="E2084" s="807" t="s">
        <v>12701</v>
      </c>
      <c r="F2084" s="808"/>
      <c r="G2084" s="615" t="s">
        <v>12702</v>
      </c>
      <c r="H2084" s="614" t="s">
        <v>12703</v>
      </c>
      <c r="I2084" s="614" t="s">
        <v>12704</v>
      </c>
      <c r="J2084" s="614" t="s">
        <v>12705</v>
      </c>
      <c r="K2084"/>
    </row>
    <row r="2085" spans="1:11" ht="15" customHeight="1">
      <c r="A2085" s="616" t="s">
        <v>12706</v>
      </c>
      <c r="B2085" s="617" t="s">
        <v>13300</v>
      </c>
      <c r="C2085" s="616" t="s">
        <v>8</v>
      </c>
      <c r="D2085" s="616" t="s">
        <v>1644</v>
      </c>
      <c r="E2085" s="809" t="s">
        <v>12726</v>
      </c>
      <c r="F2085" s="810"/>
      <c r="G2085" s="618" t="s">
        <v>23</v>
      </c>
      <c r="H2085" s="619">
        <v>1</v>
      </c>
      <c r="I2085" s="620">
        <v>0.94</v>
      </c>
      <c r="J2085" s="620">
        <v>0.94</v>
      </c>
      <c r="K2085"/>
    </row>
    <row r="2086" spans="1:11" ht="0.95" customHeight="1">
      <c r="A2086" s="626" t="s">
        <v>12709</v>
      </c>
      <c r="B2086" s="627" t="s">
        <v>13297</v>
      </c>
      <c r="C2086" s="626" t="s">
        <v>8</v>
      </c>
      <c r="D2086" s="626" t="s">
        <v>7681</v>
      </c>
      <c r="E2086" s="804" t="s">
        <v>12711</v>
      </c>
      <c r="F2086" s="805"/>
      <c r="G2086" s="628" t="s">
        <v>35</v>
      </c>
      <c r="H2086" s="629">
        <v>6.3999999999999997E-5</v>
      </c>
      <c r="I2086" s="630">
        <v>14732.42</v>
      </c>
      <c r="J2086" s="630">
        <v>0.94</v>
      </c>
      <c r="K2086"/>
    </row>
    <row r="2087" spans="1:11" ht="18" customHeight="1">
      <c r="A2087" s="631"/>
      <c r="B2087" s="631"/>
      <c r="C2087" s="631"/>
      <c r="D2087" s="631"/>
      <c r="E2087" s="631" t="s">
        <v>12714</v>
      </c>
      <c r="F2087" s="632">
        <v>0</v>
      </c>
      <c r="G2087" s="631" t="s">
        <v>12715</v>
      </c>
      <c r="H2087" s="632">
        <v>0</v>
      </c>
      <c r="I2087" s="631" t="s">
        <v>12716</v>
      </c>
      <c r="J2087" s="632">
        <v>0</v>
      </c>
      <c r="K2087"/>
    </row>
    <row r="2088" spans="1:11" ht="48" customHeight="1" thickBot="1">
      <c r="A2088" s="631"/>
      <c r="B2088" s="631"/>
      <c r="C2088" s="631"/>
      <c r="D2088" s="631"/>
      <c r="E2088" s="631" t="s">
        <v>12717</v>
      </c>
      <c r="F2088" s="632">
        <v>0.26</v>
      </c>
      <c r="G2088" s="631"/>
      <c r="H2088" s="806" t="s">
        <v>12718</v>
      </c>
      <c r="I2088" s="806"/>
      <c r="J2088" s="632">
        <v>1.2</v>
      </c>
      <c r="K2088"/>
    </row>
    <row r="2089" spans="1:11" ht="48" customHeight="1" thickTop="1">
      <c r="A2089" s="633"/>
      <c r="B2089" s="633"/>
      <c r="C2089" s="633"/>
      <c r="D2089" s="633"/>
      <c r="E2089" s="633"/>
      <c r="F2089" s="633"/>
      <c r="G2089" s="633"/>
      <c r="H2089" s="633"/>
      <c r="I2089" s="633"/>
      <c r="J2089" s="633"/>
      <c r="K2089"/>
    </row>
    <row r="2090" spans="1:11" ht="48" customHeight="1">
      <c r="A2090" s="613"/>
      <c r="B2090" s="614" t="s">
        <v>12698</v>
      </c>
      <c r="C2090" s="613" t="s">
        <v>12699</v>
      </c>
      <c r="D2090" s="613" t="s">
        <v>12700</v>
      </c>
      <c r="E2090" s="807" t="s">
        <v>12701</v>
      </c>
      <c r="F2090" s="808"/>
      <c r="G2090" s="615" t="s">
        <v>12702</v>
      </c>
      <c r="H2090" s="614" t="s">
        <v>12703</v>
      </c>
      <c r="I2090" s="614" t="s">
        <v>12704</v>
      </c>
      <c r="J2090" s="614" t="s">
        <v>12705</v>
      </c>
      <c r="K2090"/>
    </row>
    <row r="2091" spans="1:11" ht="48" customHeight="1">
      <c r="A2091" s="616" t="s">
        <v>12706</v>
      </c>
      <c r="B2091" s="617" t="s">
        <v>13299</v>
      </c>
      <c r="C2091" s="616" t="s">
        <v>8</v>
      </c>
      <c r="D2091" s="616" t="s">
        <v>1645</v>
      </c>
      <c r="E2091" s="809" t="s">
        <v>12726</v>
      </c>
      <c r="F2091" s="810"/>
      <c r="G2091" s="618" t="s">
        <v>23</v>
      </c>
      <c r="H2091" s="619">
        <v>1</v>
      </c>
      <c r="I2091" s="620">
        <v>0.11</v>
      </c>
      <c r="J2091" s="620">
        <v>0.11</v>
      </c>
      <c r="K2091"/>
    </row>
    <row r="2092" spans="1:11" ht="24" customHeight="1">
      <c r="A2092" s="626" t="s">
        <v>12709</v>
      </c>
      <c r="B2092" s="627" t="s">
        <v>13297</v>
      </c>
      <c r="C2092" s="626" t="s">
        <v>8</v>
      </c>
      <c r="D2092" s="626" t="s">
        <v>7681</v>
      </c>
      <c r="E2092" s="804" t="s">
        <v>12711</v>
      </c>
      <c r="F2092" s="805"/>
      <c r="G2092" s="628" t="s">
        <v>35</v>
      </c>
      <c r="H2092" s="629">
        <v>7.6000000000000001E-6</v>
      </c>
      <c r="I2092" s="630">
        <v>14732.42</v>
      </c>
      <c r="J2092" s="630">
        <v>0.11</v>
      </c>
      <c r="K2092"/>
    </row>
    <row r="2093" spans="1:11" ht="25.5">
      <c r="A2093" s="631"/>
      <c r="B2093" s="631"/>
      <c r="C2093" s="631"/>
      <c r="D2093" s="631"/>
      <c r="E2093" s="631" t="s">
        <v>12714</v>
      </c>
      <c r="F2093" s="632">
        <v>0</v>
      </c>
      <c r="G2093" s="631" t="s">
        <v>12715</v>
      </c>
      <c r="H2093" s="632">
        <v>0</v>
      </c>
      <c r="I2093" s="631" t="s">
        <v>12716</v>
      </c>
      <c r="J2093" s="632">
        <v>0</v>
      </c>
      <c r="K2093"/>
    </row>
    <row r="2094" spans="1:11" ht="15" customHeight="1" thickBot="1">
      <c r="A2094" s="631"/>
      <c r="B2094" s="631"/>
      <c r="C2094" s="631"/>
      <c r="D2094" s="631"/>
      <c r="E2094" s="631" t="s">
        <v>12717</v>
      </c>
      <c r="F2094" s="632">
        <v>0.03</v>
      </c>
      <c r="G2094" s="631"/>
      <c r="H2094" s="806" t="s">
        <v>12718</v>
      </c>
      <c r="I2094" s="806"/>
      <c r="J2094" s="632">
        <v>0.14000000000000001</v>
      </c>
      <c r="K2094"/>
    </row>
    <row r="2095" spans="1:11" ht="0.95" customHeight="1" thickTop="1">
      <c r="A2095" s="633"/>
      <c r="B2095" s="633"/>
      <c r="C2095" s="633"/>
      <c r="D2095" s="633"/>
      <c r="E2095" s="633"/>
      <c r="F2095" s="633"/>
      <c r="G2095" s="633"/>
      <c r="H2095" s="633"/>
      <c r="I2095" s="633"/>
      <c r="J2095" s="633"/>
      <c r="K2095"/>
    </row>
    <row r="2096" spans="1:11" ht="18" customHeight="1">
      <c r="A2096" s="613"/>
      <c r="B2096" s="614" t="s">
        <v>12698</v>
      </c>
      <c r="C2096" s="613" t="s">
        <v>12699</v>
      </c>
      <c r="D2096" s="613" t="s">
        <v>12700</v>
      </c>
      <c r="E2096" s="807" t="s">
        <v>12701</v>
      </c>
      <c r="F2096" s="808"/>
      <c r="G2096" s="615" t="s">
        <v>12702</v>
      </c>
      <c r="H2096" s="614" t="s">
        <v>12703</v>
      </c>
      <c r="I2096" s="614" t="s">
        <v>12704</v>
      </c>
      <c r="J2096" s="614" t="s">
        <v>12705</v>
      </c>
      <c r="K2096"/>
    </row>
    <row r="2097" spans="1:11" ht="48" customHeight="1">
      <c r="A2097" s="616" t="s">
        <v>12706</v>
      </c>
      <c r="B2097" s="617" t="s">
        <v>13298</v>
      </c>
      <c r="C2097" s="616" t="s">
        <v>8</v>
      </c>
      <c r="D2097" s="616" t="s">
        <v>1646</v>
      </c>
      <c r="E2097" s="809" t="s">
        <v>12726</v>
      </c>
      <c r="F2097" s="810"/>
      <c r="G2097" s="618" t="s">
        <v>23</v>
      </c>
      <c r="H2097" s="619">
        <v>1</v>
      </c>
      <c r="I2097" s="620">
        <v>0.88</v>
      </c>
      <c r="J2097" s="620">
        <v>0.88</v>
      </c>
      <c r="K2097"/>
    </row>
    <row r="2098" spans="1:11" ht="48" customHeight="1">
      <c r="A2098" s="626" t="s">
        <v>12709</v>
      </c>
      <c r="B2098" s="627" t="s">
        <v>13297</v>
      </c>
      <c r="C2098" s="626" t="s">
        <v>8</v>
      </c>
      <c r="D2098" s="626" t="s">
        <v>7681</v>
      </c>
      <c r="E2098" s="804" t="s">
        <v>12711</v>
      </c>
      <c r="F2098" s="805"/>
      <c r="G2098" s="628" t="s">
        <v>35</v>
      </c>
      <c r="H2098" s="629">
        <v>6.0000000000000002E-5</v>
      </c>
      <c r="I2098" s="630">
        <v>14732.42</v>
      </c>
      <c r="J2098" s="630">
        <v>0.88</v>
      </c>
      <c r="K2098"/>
    </row>
    <row r="2099" spans="1:11" ht="48" customHeight="1">
      <c r="A2099" s="631"/>
      <c r="B2099" s="631"/>
      <c r="C2099" s="631"/>
      <c r="D2099" s="631"/>
      <c r="E2099" s="631" t="s">
        <v>12714</v>
      </c>
      <c r="F2099" s="632">
        <v>0</v>
      </c>
      <c r="G2099" s="631" t="s">
        <v>12715</v>
      </c>
      <c r="H2099" s="632">
        <v>0</v>
      </c>
      <c r="I2099" s="631" t="s">
        <v>12716</v>
      </c>
      <c r="J2099" s="632">
        <v>0</v>
      </c>
      <c r="K2099"/>
    </row>
    <row r="2100" spans="1:11" ht="48" customHeight="1" thickBot="1">
      <c r="A2100" s="631"/>
      <c r="B2100" s="631"/>
      <c r="C2100" s="631"/>
      <c r="D2100" s="631"/>
      <c r="E2100" s="631" t="s">
        <v>12717</v>
      </c>
      <c r="F2100" s="632">
        <v>0.24</v>
      </c>
      <c r="G2100" s="631"/>
      <c r="H2100" s="806" t="s">
        <v>12718</v>
      </c>
      <c r="I2100" s="806"/>
      <c r="J2100" s="632">
        <v>1.1200000000000001</v>
      </c>
      <c r="K2100"/>
    </row>
    <row r="2101" spans="1:11" ht="48" customHeight="1" thickTop="1">
      <c r="A2101" s="633"/>
      <c r="B2101" s="633"/>
      <c r="C2101" s="633"/>
      <c r="D2101" s="633"/>
      <c r="E2101" s="633"/>
      <c r="F2101" s="633"/>
      <c r="G2101" s="633"/>
      <c r="H2101" s="633"/>
      <c r="I2101" s="633"/>
      <c r="J2101" s="633"/>
      <c r="K2101"/>
    </row>
    <row r="2102" spans="1:11" ht="48" customHeight="1">
      <c r="A2102" s="613"/>
      <c r="B2102" s="614" t="s">
        <v>12698</v>
      </c>
      <c r="C2102" s="613" t="s">
        <v>12699</v>
      </c>
      <c r="D2102" s="613" t="s">
        <v>12700</v>
      </c>
      <c r="E2102" s="807" t="s">
        <v>12701</v>
      </c>
      <c r="F2102" s="808"/>
      <c r="G2102" s="615" t="s">
        <v>12702</v>
      </c>
      <c r="H2102" s="614" t="s">
        <v>12703</v>
      </c>
      <c r="I2102" s="614" t="s">
        <v>12704</v>
      </c>
      <c r="J2102" s="614" t="s">
        <v>12705</v>
      </c>
      <c r="K2102"/>
    </row>
    <row r="2103" spans="1:11" ht="24" customHeight="1">
      <c r="A2103" s="616" t="s">
        <v>12706</v>
      </c>
      <c r="B2103" s="617" t="s">
        <v>13296</v>
      </c>
      <c r="C2103" s="616" t="s">
        <v>8</v>
      </c>
      <c r="D2103" s="616" t="s">
        <v>1647</v>
      </c>
      <c r="E2103" s="809" t="s">
        <v>12726</v>
      </c>
      <c r="F2103" s="810"/>
      <c r="G2103" s="618" t="s">
        <v>23</v>
      </c>
      <c r="H2103" s="619">
        <v>1</v>
      </c>
      <c r="I2103" s="620">
        <v>2.02</v>
      </c>
      <c r="J2103" s="620">
        <v>2.02</v>
      </c>
      <c r="K2103"/>
    </row>
    <row r="2104" spans="1:11">
      <c r="A2104" s="626" t="s">
        <v>12709</v>
      </c>
      <c r="B2104" s="627" t="s">
        <v>12987</v>
      </c>
      <c r="C2104" s="626" t="s">
        <v>8</v>
      </c>
      <c r="D2104" s="626" t="s">
        <v>9192</v>
      </c>
      <c r="E2104" s="804" t="s">
        <v>12720</v>
      </c>
      <c r="F2104" s="805"/>
      <c r="G2104" s="628" t="s">
        <v>12923</v>
      </c>
      <c r="H2104" s="629">
        <v>2.5</v>
      </c>
      <c r="I2104" s="630">
        <v>0.81</v>
      </c>
      <c r="J2104" s="630">
        <v>2.02</v>
      </c>
      <c r="K2104"/>
    </row>
    <row r="2105" spans="1:11" ht="15" customHeight="1">
      <c r="A2105" s="631"/>
      <c r="B2105" s="631"/>
      <c r="C2105" s="631"/>
      <c r="D2105" s="631"/>
      <c r="E2105" s="631" t="s">
        <v>12714</v>
      </c>
      <c r="F2105" s="632">
        <v>0</v>
      </c>
      <c r="G2105" s="631" t="s">
        <v>12715</v>
      </c>
      <c r="H2105" s="632">
        <v>0</v>
      </c>
      <c r="I2105" s="631" t="s">
        <v>12716</v>
      </c>
      <c r="J2105" s="632">
        <v>0</v>
      </c>
      <c r="K2105"/>
    </row>
    <row r="2106" spans="1:11" ht="0.95" customHeight="1" thickBot="1">
      <c r="A2106" s="631"/>
      <c r="B2106" s="631"/>
      <c r="C2106" s="631"/>
      <c r="D2106" s="631"/>
      <c r="E2106" s="631" t="s">
        <v>12717</v>
      </c>
      <c r="F2106" s="632">
        <v>0.56999999999999995</v>
      </c>
      <c r="G2106" s="631"/>
      <c r="H2106" s="806" t="s">
        <v>12718</v>
      </c>
      <c r="I2106" s="806"/>
      <c r="J2106" s="632">
        <v>2.59</v>
      </c>
      <c r="K2106"/>
    </row>
    <row r="2107" spans="1:11" ht="18" customHeight="1" thickTop="1">
      <c r="A2107" s="633"/>
      <c r="B2107" s="633"/>
      <c r="C2107" s="633"/>
      <c r="D2107" s="633"/>
      <c r="E2107" s="633"/>
      <c r="F2107" s="633"/>
      <c r="G2107" s="633"/>
      <c r="H2107" s="633"/>
      <c r="I2107" s="633"/>
      <c r="J2107" s="633"/>
      <c r="K2107"/>
    </row>
    <row r="2108" spans="1:11" ht="48" customHeight="1">
      <c r="A2108" s="613"/>
      <c r="B2108" s="614" t="s">
        <v>12698</v>
      </c>
      <c r="C2108" s="613" t="s">
        <v>12699</v>
      </c>
      <c r="D2108" s="613" t="s">
        <v>12700</v>
      </c>
      <c r="E2108" s="807" t="s">
        <v>12701</v>
      </c>
      <c r="F2108" s="808"/>
      <c r="G2108" s="615" t="s">
        <v>12702</v>
      </c>
      <c r="H2108" s="614" t="s">
        <v>12703</v>
      </c>
      <c r="I2108" s="614" t="s">
        <v>12704</v>
      </c>
      <c r="J2108" s="614" t="s">
        <v>12705</v>
      </c>
      <c r="K2108"/>
    </row>
    <row r="2109" spans="1:11" ht="24" customHeight="1">
      <c r="A2109" s="616" t="s">
        <v>12706</v>
      </c>
      <c r="B2109" s="617" t="s">
        <v>13295</v>
      </c>
      <c r="C2109" s="616" t="s">
        <v>8</v>
      </c>
      <c r="D2109" s="616" t="s">
        <v>1146</v>
      </c>
      <c r="E2109" s="809" t="s">
        <v>12726</v>
      </c>
      <c r="F2109" s="810"/>
      <c r="G2109" s="618" t="s">
        <v>61</v>
      </c>
      <c r="H2109" s="619">
        <v>1</v>
      </c>
      <c r="I2109" s="620">
        <v>29.12</v>
      </c>
      <c r="J2109" s="620">
        <v>29.12</v>
      </c>
      <c r="K2109"/>
    </row>
    <row r="2110" spans="1:11" ht="48" customHeight="1">
      <c r="A2110" s="621" t="s">
        <v>12708</v>
      </c>
      <c r="B2110" s="622" t="s">
        <v>13293</v>
      </c>
      <c r="C2110" s="621" t="s">
        <v>8</v>
      </c>
      <c r="D2110" s="621" t="s">
        <v>1114</v>
      </c>
      <c r="E2110" s="811" t="s">
        <v>12726</v>
      </c>
      <c r="F2110" s="812"/>
      <c r="G2110" s="623" t="s">
        <v>23</v>
      </c>
      <c r="H2110" s="624">
        <v>1</v>
      </c>
      <c r="I2110" s="625">
        <v>12.35</v>
      </c>
      <c r="J2110" s="625">
        <v>12.35</v>
      </c>
      <c r="K2110"/>
    </row>
    <row r="2111" spans="1:11" ht="38.25">
      <c r="A2111" s="621" t="s">
        <v>12708</v>
      </c>
      <c r="B2111" s="622" t="s">
        <v>13291</v>
      </c>
      <c r="C2111" s="621" t="s">
        <v>8</v>
      </c>
      <c r="D2111" s="621" t="s">
        <v>1115</v>
      </c>
      <c r="E2111" s="811" t="s">
        <v>12726</v>
      </c>
      <c r="F2111" s="812"/>
      <c r="G2111" s="623" t="s">
        <v>23</v>
      </c>
      <c r="H2111" s="624">
        <v>1</v>
      </c>
      <c r="I2111" s="625">
        <v>2.2799999999999998</v>
      </c>
      <c r="J2111" s="625">
        <v>2.2799999999999998</v>
      </c>
      <c r="K2111"/>
    </row>
    <row r="2112" spans="1:11" ht="15" customHeight="1">
      <c r="A2112" s="621" t="s">
        <v>12708</v>
      </c>
      <c r="B2112" s="622" t="s">
        <v>13292</v>
      </c>
      <c r="C2112" s="621" t="s">
        <v>8</v>
      </c>
      <c r="D2112" s="621" t="s">
        <v>2429</v>
      </c>
      <c r="E2112" s="811" t="s">
        <v>12726</v>
      </c>
      <c r="F2112" s="812"/>
      <c r="G2112" s="623" t="s">
        <v>23</v>
      </c>
      <c r="H2112" s="624">
        <v>1</v>
      </c>
      <c r="I2112" s="625">
        <v>0.88</v>
      </c>
      <c r="J2112" s="625">
        <v>0.88</v>
      </c>
      <c r="K2112"/>
    </row>
    <row r="2113" spans="1:11" ht="0.95" customHeight="1">
      <c r="A2113" s="621" t="s">
        <v>12708</v>
      </c>
      <c r="B2113" s="622" t="s">
        <v>13131</v>
      </c>
      <c r="C2113" s="621" t="s">
        <v>8</v>
      </c>
      <c r="D2113" s="621" t="s">
        <v>264</v>
      </c>
      <c r="E2113" s="811" t="s">
        <v>12707</v>
      </c>
      <c r="F2113" s="812"/>
      <c r="G2113" s="623" t="s">
        <v>23</v>
      </c>
      <c r="H2113" s="624">
        <v>1</v>
      </c>
      <c r="I2113" s="625">
        <v>13.61</v>
      </c>
      <c r="J2113" s="625">
        <v>13.61</v>
      </c>
      <c r="K2113"/>
    </row>
    <row r="2114" spans="1:11" ht="18" customHeight="1">
      <c r="A2114" s="631"/>
      <c r="B2114" s="631"/>
      <c r="C2114" s="631"/>
      <c r="D2114" s="631"/>
      <c r="E2114" s="631" t="s">
        <v>12714</v>
      </c>
      <c r="F2114" s="632">
        <v>5.1951561999999996</v>
      </c>
      <c r="G2114" s="631" t="s">
        <v>12715</v>
      </c>
      <c r="H2114" s="632">
        <v>4.41</v>
      </c>
      <c r="I2114" s="631" t="s">
        <v>12716</v>
      </c>
      <c r="J2114" s="632">
        <v>9.61</v>
      </c>
      <c r="K2114"/>
    </row>
    <row r="2115" spans="1:11" ht="48" customHeight="1" thickBot="1">
      <c r="A2115" s="631"/>
      <c r="B2115" s="631"/>
      <c r="C2115" s="631"/>
      <c r="D2115" s="631"/>
      <c r="E2115" s="631" t="s">
        <v>12717</v>
      </c>
      <c r="F2115" s="632">
        <v>8.2200000000000006</v>
      </c>
      <c r="G2115" s="631"/>
      <c r="H2115" s="806" t="s">
        <v>12718</v>
      </c>
      <c r="I2115" s="806"/>
      <c r="J2115" s="632">
        <v>37.340000000000003</v>
      </c>
      <c r="K2115"/>
    </row>
    <row r="2116" spans="1:11" ht="24" customHeight="1" thickTop="1">
      <c r="A2116" s="633"/>
      <c r="B2116" s="633"/>
      <c r="C2116" s="633"/>
      <c r="D2116" s="633"/>
      <c r="E2116" s="633"/>
      <c r="F2116" s="633"/>
      <c r="G2116" s="633"/>
      <c r="H2116" s="633"/>
      <c r="I2116" s="633"/>
      <c r="J2116" s="633"/>
      <c r="K2116"/>
    </row>
    <row r="2117" spans="1:11" ht="48" customHeight="1">
      <c r="A2117" s="613"/>
      <c r="B2117" s="614" t="s">
        <v>12698</v>
      </c>
      <c r="C2117" s="613" t="s">
        <v>12699</v>
      </c>
      <c r="D2117" s="613" t="s">
        <v>12700</v>
      </c>
      <c r="E2117" s="807" t="s">
        <v>12701</v>
      </c>
      <c r="F2117" s="808"/>
      <c r="G2117" s="615" t="s">
        <v>12702</v>
      </c>
      <c r="H2117" s="614" t="s">
        <v>12703</v>
      </c>
      <c r="I2117" s="614" t="s">
        <v>12704</v>
      </c>
      <c r="J2117" s="614" t="s">
        <v>12705</v>
      </c>
      <c r="K2117"/>
    </row>
    <row r="2118" spans="1:11" ht="51">
      <c r="A2118" s="616" t="s">
        <v>12706</v>
      </c>
      <c r="B2118" s="617" t="s">
        <v>13294</v>
      </c>
      <c r="C2118" s="616" t="s">
        <v>8</v>
      </c>
      <c r="D2118" s="616" t="s">
        <v>1145</v>
      </c>
      <c r="E2118" s="809" t="s">
        <v>12726</v>
      </c>
      <c r="F2118" s="810"/>
      <c r="G2118" s="618" t="s">
        <v>44</v>
      </c>
      <c r="H2118" s="619">
        <v>1</v>
      </c>
      <c r="I2118" s="620">
        <v>96.41</v>
      </c>
      <c r="J2118" s="620">
        <v>96.41</v>
      </c>
      <c r="K2118"/>
    </row>
    <row r="2119" spans="1:11" ht="15" customHeight="1">
      <c r="A2119" s="621" t="s">
        <v>12708</v>
      </c>
      <c r="B2119" s="622" t="s">
        <v>13293</v>
      </c>
      <c r="C2119" s="621" t="s">
        <v>8</v>
      </c>
      <c r="D2119" s="621" t="s">
        <v>1114</v>
      </c>
      <c r="E2119" s="811" t="s">
        <v>12726</v>
      </c>
      <c r="F2119" s="812"/>
      <c r="G2119" s="623" t="s">
        <v>23</v>
      </c>
      <c r="H2119" s="624">
        <v>1</v>
      </c>
      <c r="I2119" s="625">
        <v>12.35</v>
      </c>
      <c r="J2119" s="625">
        <v>12.35</v>
      </c>
      <c r="K2119"/>
    </row>
    <row r="2120" spans="1:11" ht="0.95" customHeight="1">
      <c r="A2120" s="621" t="s">
        <v>12708</v>
      </c>
      <c r="B2120" s="622" t="s">
        <v>13291</v>
      </c>
      <c r="C2120" s="621" t="s">
        <v>8</v>
      </c>
      <c r="D2120" s="621" t="s">
        <v>1115</v>
      </c>
      <c r="E2120" s="811" t="s">
        <v>12726</v>
      </c>
      <c r="F2120" s="812"/>
      <c r="G2120" s="623" t="s">
        <v>23</v>
      </c>
      <c r="H2120" s="624">
        <v>1</v>
      </c>
      <c r="I2120" s="625">
        <v>2.2799999999999998</v>
      </c>
      <c r="J2120" s="625">
        <v>2.2799999999999998</v>
      </c>
      <c r="K2120"/>
    </row>
    <row r="2121" spans="1:11" ht="18" customHeight="1">
      <c r="A2121" s="621" t="s">
        <v>12708</v>
      </c>
      <c r="B2121" s="622" t="s">
        <v>13290</v>
      </c>
      <c r="C2121" s="621" t="s">
        <v>8</v>
      </c>
      <c r="D2121" s="621" t="s">
        <v>1116</v>
      </c>
      <c r="E2121" s="811" t="s">
        <v>12726</v>
      </c>
      <c r="F2121" s="812"/>
      <c r="G2121" s="623" t="s">
        <v>23</v>
      </c>
      <c r="H2121" s="624">
        <v>1</v>
      </c>
      <c r="I2121" s="625">
        <v>23.17</v>
      </c>
      <c r="J2121" s="625">
        <v>23.17</v>
      </c>
      <c r="K2121"/>
    </row>
    <row r="2122" spans="1:11" ht="48" customHeight="1">
      <c r="A2122" s="621" t="s">
        <v>12708</v>
      </c>
      <c r="B2122" s="622" t="s">
        <v>13288</v>
      </c>
      <c r="C2122" s="621" t="s">
        <v>8</v>
      </c>
      <c r="D2122" s="621" t="s">
        <v>1117</v>
      </c>
      <c r="E2122" s="811" t="s">
        <v>12726</v>
      </c>
      <c r="F2122" s="812"/>
      <c r="G2122" s="623" t="s">
        <v>23</v>
      </c>
      <c r="H2122" s="624">
        <v>1</v>
      </c>
      <c r="I2122" s="625">
        <v>44.12</v>
      </c>
      <c r="J2122" s="625">
        <v>44.12</v>
      </c>
      <c r="K2122"/>
    </row>
    <row r="2123" spans="1:11" ht="24" customHeight="1">
      <c r="A2123" s="621" t="s">
        <v>12708</v>
      </c>
      <c r="B2123" s="622" t="s">
        <v>13292</v>
      </c>
      <c r="C2123" s="621" t="s">
        <v>8</v>
      </c>
      <c r="D2123" s="621" t="s">
        <v>2429</v>
      </c>
      <c r="E2123" s="811" t="s">
        <v>12726</v>
      </c>
      <c r="F2123" s="812"/>
      <c r="G2123" s="623" t="s">
        <v>23</v>
      </c>
      <c r="H2123" s="624">
        <v>1</v>
      </c>
      <c r="I2123" s="625">
        <v>0.88</v>
      </c>
      <c r="J2123" s="625">
        <v>0.88</v>
      </c>
      <c r="K2123"/>
    </row>
    <row r="2124" spans="1:11" ht="48" customHeight="1">
      <c r="A2124" s="621" t="s">
        <v>12708</v>
      </c>
      <c r="B2124" s="622" t="s">
        <v>13131</v>
      </c>
      <c r="C2124" s="621" t="s">
        <v>8</v>
      </c>
      <c r="D2124" s="621" t="s">
        <v>264</v>
      </c>
      <c r="E2124" s="811" t="s">
        <v>12707</v>
      </c>
      <c r="F2124" s="812"/>
      <c r="G2124" s="623" t="s">
        <v>23</v>
      </c>
      <c r="H2124" s="624">
        <v>1</v>
      </c>
      <c r="I2124" s="625">
        <v>13.61</v>
      </c>
      <c r="J2124" s="625">
        <v>13.61</v>
      </c>
      <c r="K2124"/>
    </row>
    <row r="2125" spans="1:11" ht="25.5">
      <c r="A2125" s="631"/>
      <c r="B2125" s="631"/>
      <c r="C2125" s="631"/>
      <c r="D2125" s="631"/>
      <c r="E2125" s="631" t="s">
        <v>12714</v>
      </c>
      <c r="F2125" s="632">
        <v>5.1951561999999996</v>
      </c>
      <c r="G2125" s="631" t="s">
        <v>12715</v>
      </c>
      <c r="H2125" s="632">
        <v>4.41</v>
      </c>
      <c r="I2125" s="631" t="s">
        <v>12716</v>
      </c>
      <c r="J2125" s="632">
        <v>9.61</v>
      </c>
      <c r="K2125"/>
    </row>
    <row r="2126" spans="1:11" ht="15" customHeight="1" thickBot="1">
      <c r="A2126" s="631"/>
      <c r="B2126" s="631"/>
      <c r="C2126" s="631"/>
      <c r="D2126" s="631"/>
      <c r="E2126" s="631" t="s">
        <v>12717</v>
      </c>
      <c r="F2126" s="632">
        <v>27.22</v>
      </c>
      <c r="G2126" s="631"/>
      <c r="H2126" s="806" t="s">
        <v>12718</v>
      </c>
      <c r="I2126" s="806"/>
      <c r="J2126" s="632">
        <v>123.63</v>
      </c>
      <c r="K2126"/>
    </row>
    <row r="2127" spans="1:11" ht="0.95" customHeight="1" thickTop="1">
      <c r="A2127" s="633"/>
      <c r="B2127" s="633"/>
      <c r="C2127" s="633"/>
      <c r="D2127" s="633"/>
      <c r="E2127" s="633"/>
      <c r="F2127" s="633"/>
      <c r="G2127" s="633"/>
      <c r="H2127" s="633"/>
      <c r="I2127" s="633"/>
      <c r="J2127" s="633"/>
      <c r="K2127"/>
    </row>
    <row r="2128" spans="1:11" ht="18" customHeight="1">
      <c r="A2128" s="613"/>
      <c r="B2128" s="614" t="s">
        <v>12698</v>
      </c>
      <c r="C2128" s="613" t="s">
        <v>12699</v>
      </c>
      <c r="D2128" s="613" t="s">
        <v>12700</v>
      </c>
      <c r="E2128" s="807" t="s">
        <v>12701</v>
      </c>
      <c r="F2128" s="808"/>
      <c r="G2128" s="615" t="s">
        <v>12702</v>
      </c>
      <c r="H2128" s="614" t="s">
        <v>12703</v>
      </c>
      <c r="I2128" s="614" t="s">
        <v>12704</v>
      </c>
      <c r="J2128" s="614" t="s">
        <v>12705</v>
      </c>
      <c r="K2128"/>
    </row>
    <row r="2129" spans="1:11" ht="48" customHeight="1">
      <c r="A2129" s="616" t="s">
        <v>12706</v>
      </c>
      <c r="B2129" s="617" t="s">
        <v>13293</v>
      </c>
      <c r="C2129" s="616" t="s">
        <v>8</v>
      </c>
      <c r="D2129" s="616" t="s">
        <v>1114</v>
      </c>
      <c r="E2129" s="809" t="s">
        <v>12726</v>
      </c>
      <c r="F2129" s="810"/>
      <c r="G2129" s="618" t="s">
        <v>23</v>
      </c>
      <c r="H2129" s="619">
        <v>1</v>
      </c>
      <c r="I2129" s="620">
        <v>12.35</v>
      </c>
      <c r="J2129" s="620">
        <v>12.35</v>
      </c>
      <c r="K2129"/>
    </row>
    <row r="2130" spans="1:11" ht="24" customHeight="1">
      <c r="A2130" s="626" t="s">
        <v>12709</v>
      </c>
      <c r="B2130" s="627" t="s">
        <v>13281</v>
      </c>
      <c r="C2130" s="626" t="s">
        <v>8</v>
      </c>
      <c r="D2130" s="626" t="s">
        <v>8070</v>
      </c>
      <c r="E2130" s="804" t="s">
        <v>12720</v>
      </c>
      <c r="F2130" s="805"/>
      <c r="G2130" s="628" t="s">
        <v>35</v>
      </c>
      <c r="H2130" s="629">
        <v>4.0000000000000003E-5</v>
      </c>
      <c r="I2130" s="630">
        <v>33930.620000000003</v>
      </c>
      <c r="J2130" s="630">
        <v>1.35</v>
      </c>
      <c r="K2130"/>
    </row>
    <row r="2131" spans="1:11" ht="48" customHeight="1">
      <c r="A2131" s="626" t="s">
        <v>12709</v>
      </c>
      <c r="B2131" s="627" t="s">
        <v>13289</v>
      </c>
      <c r="C2131" s="626" t="s">
        <v>8</v>
      </c>
      <c r="D2131" s="626" t="s">
        <v>8192</v>
      </c>
      <c r="E2131" s="804" t="s">
        <v>12711</v>
      </c>
      <c r="F2131" s="805"/>
      <c r="G2131" s="628" t="s">
        <v>35</v>
      </c>
      <c r="H2131" s="629">
        <v>4.0000000000000003E-5</v>
      </c>
      <c r="I2131" s="630">
        <v>275179.74</v>
      </c>
      <c r="J2131" s="630">
        <v>11</v>
      </c>
      <c r="K2131"/>
    </row>
    <row r="2132" spans="1:11" ht="25.5">
      <c r="A2132" s="631"/>
      <c r="B2132" s="631"/>
      <c r="C2132" s="631"/>
      <c r="D2132" s="631"/>
      <c r="E2132" s="631" t="s">
        <v>12714</v>
      </c>
      <c r="F2132" s="632">
        <v>0</v>
      </c>
      <c r="G2132" s="631" t="s">
        <v>12715</v>
      </c>
      <c r="H2132" s="632">
        <v>0</v>
      </c>
      <c r="I2132" s="631" t="s">
        <v>12716</v>
      </c>
      <c r="J2132" s="632">
        <v>0</v>
      </c>
      <c r="K2132"/>
    </row>
    <row r="2133" spans="1:11" ht="15" customHeight="1" thickBot="1">
      <c r="A2133" s="631"/>
      <c r="B2133" s="631"/>
      <c r="C2133" s="631"/>
      <c r="D2133" s="631"/>
      <c r="E2133" s="631" t="s">
        <v>12717</v>
      </c>
      <c r="F2133" s="632">
        <v>3.48</v>
      </c>
      <c r="G2133" s="631"/>
      <c r="H2133" s="806" t="s">
        <v>12718</v>
      </c>
      <c r="I2133" s="806"/>
      <c r="J2133" s="632">
        <v>15.83</v>
      </c>
      <c r="K2133"/>
    </row>
    <row r="2134" spans="1:11" ht="0.95" customHeight="1" thickTop="1">
      <c r="A2134" s="633"/>
      <c r="B2134" s="633"/>
      <c r="C2134" s="633"/>
      <c r="D2134" s="633"/>
      <c r="E2134" s="633"/>
      <c r="F2134" s="633"/>
      <c r="G2134" s="633"/>
      <c r="H2134" s="633"/>
      <c r="I2134" s="633"/>
      <c r="J2134" s="633"/>
      <c r="K2134"/>
    </row>
    <row r="2135" spans="1:11" ht="18" customHeight="1">
      <c r="A2135" s="613"/>
      <c r="B2135" s="614" t="s">
        <v>12698</v>
      </c>
      <c r="C2135" s="613" t="s">
        <v>12699</v>
      </c>
      <c r="D2135" s="613" t="s">
        <v>12700</v>
      </c>
      <c r="E2135" s="807" t="s">
        <v>12701</v>
      </c>
      <c r="F2135" s="808"/>
      <c r="G2135" s="615" t="s">
        <v>12702</v>
      </c>
      <c r="H2135" s="614" t="s">
        <v>12703</v>
      </c>
      <c r="I2135" s="614" t="s">
        <v>12704</v>
      </c>
      <c r="J2135" s="614" t="s">
        <v>12705</v>
      </c>
      <c r="K2135"/>
    </row>
    <row r="2136" spans="1:11" ht="48" customHeight="1">
      <c r="A2136" s="616" t="s">
        <v>12706</v>
      </c>
      <c r="B2136" s="617" t="s">
        <v>13292</v>
      </c>
      <c r="C2136" s="616" t="s">
        <v>8</v>
      </c>
      <c r="D2136" s="616" t="s">
        <v>2429</v>
      </c>
      <c r="E2136" s="809" t="s">
        <v>12726</v>
      </c>
      <c r="F2136" s="810"/>
      <c r="G2136" s="618" t="s">
        <v>23</v>
      </c>
      <c r="H2136" s="619">
        <v>1</v>
      </c>
      <c r="I2136" s="620">
        <v>0.88</v>
      </c>
      <c r="J2136" s="620">
        <v>0.88</v>
      </c>
      <c r="K2136"/>
    </row>
    <row r="2137" spans="1:11" ht="24" customHeight="1">
      <c r="A2137" s="626" t="s">
        <v>12709</v>
      </c>
      <c r="B2137" s="627" t="s">
        <v>13281</v>
      </c>
      <c r="C2137" s="626" t="s">
        <v>8</v>
      </c>
      <c r="D2137" s="626" t="s">
        <v>8070</v>
      </c>
      <c r="E2137" s="804" t="s">
        <v>12720</v>
      </c>
      <c r="F2137" s="805"/>
      <c r="G2137" s="628" t="s">
        <v>35</v>
      </c>
      <c r="H2137" s="629">
        <v>2.9000000000000002E-6</v>
      </c>
      <c r="I2137" s="630">
        <v>33930.620000000003</v>
      </c>
      <c r="J2137" s="630">
        <v>0.09</v>
      </c>
      <c r="K2137"/>
    </row>
    <row r="2138" spans="1:11" ht="38.25">
      <c r="A2138" s="626" t="s">
        <v>12709</v>
      </c>
      <c r="B2138" s="627" t="s">
        <v>13289</v>
      </c>
      <c r="C2138" s="626" t="s">
        <v>8</v>
      </c>
      <c r="D2138" s="626" t="s">
        <v>8192</v>
      </c>
      <c r="E2138" s="804" t="s">
        <v>12711</v>
      </c>
      <c r="F2138" s="805"/>
      <c r="G2138" s="628" t="s">
        <v>35</v>
      </c>
      <c r="H2138" s="629">
        <v>2.9000000000000002E-6</v>
      </c>
      <c r="I2138" s="630">
        <v>275179.74</v>
      </c>
      <c r="J2138" s="630">
        <v>0.79</v>
      </c>
      <c r="K2138"/>
    </row>
    <row r="2139" spans="1:11" ht="15" customHeight="1">
      <c r="A2139" s="631"/>
      <c r="B2139" s="631"/>
      <c r="C2139" s="631"/>
      <c r="D2139" s="631"/>
      <c r="E2139" s="631" t="s">
        <v>12714</v>
      </c>
      <c r="F2139" s="632">
        <v>0</v>
      </c>
      <c r="G2139" s="631" t="s">
        <v>12715</v>
      </c>
      <c r="H2139" s="632">
        <v>0</v>
      </c>
      <c r="I2139" s="631" t="s">
        <v>12716</v>
      </c>
      <c r="J2139" s="632">
        <v>0</v>
      </c>
      <c r="K2139"/>
    </row>
    <row r="2140" spans="1:11" ht="0.95" customHeight="1" thickBot="1">
      <c r="A2140" s="631"/>
      <c r="B2140" s="631"/>
      <c r="C2140" s="631"/>
      <c r="D2140" s="631"/>
      <c r="E2140" s="631" t="s">
        <v>12717</v>
      </c>
      <c r="F2140" s="632">
        <v>0.24</v>
      </c>
      <c r="G2140" s="631"/>
      <c r="H2140" s="806" t="s">
        <v>12718</v>
      </c>
      <c r="I2140" s="806"/>
      <c r="J2140" s="632">
        <v>1.1200000000000001</v>
      </c>
      <c r="K2140"/>
    </row>
    <row r="2141" spans="1:11" ht="18" customHeight="1" thickTop="1">
      <c r="A2141" s="633"/>
      <c r="B2141" s="633"/>
      <c r="C2141" s="633"/>
      <c r="D2141" s="633"/>
      <c r="E2141" s="633"/>
      <c r="F2141" s="633"/>
      <c r="G2141" s="633"/>
      <c r="H2141" s="633"/>
      <c r="I2141" s="633"/>
      <c r="J2141" s="633"/>
      <c r="K2141"/>
    </row>
    <row r="2142" spans="1:11" ht="48" customHeight="1">
      <c r="A2142" s="613"/>
      <c r="B2142" s="614" t="s">
        <v>12698</v>
      </c>
      <c r="C2142" s="613" t="s">
        <v>12699</v>
      </c>
      <c r="D2142" s="613" t="s">
        <v>12700</v>
      </c>
      <c r="E2142" s="807" t="s">
        <v>12701</v>
      </c>
      <c r="F2142" s="808"/>
      <c r="G2142" s="615" t="s">
        <v>12702</v>
      </c>
      <c r="H2142" s="614" t="s">
        <v>12703</v>
      </c>
      <c r="I2142" s="614" t="s">
        <v>12704</v>
      </c>
      <c r="J2142" s="614" t="s">
        <v>12705</v>
      </c>
      <c r="K2142"/>
    </row>
    <row r="2143" spans="1:11" ht="48" customHeight="1">
      <c r="A2143" s="616" t="s">
        <v>12706</v>
      </c>
      <c r="B2143" s="617" t="s">
        <v>13291</v>
      </c>
      <c r="C2143" s="616" t="s">
        <v>8</v>
      </c>
      <c r="D2143" s="616" t="s">
        <v>1115</v>
      </c>
      <c r="E2143" s="809" t="s">
        <v>12726</v>
      </c>
      <c r="F2143" s="810"/>
      <c r="G2143" s="618" t="s">
        <v>23</v>
      </c>
      <c r="H2143" s="619">
        <v>1</v>
      </c>
      <c r="I2143" s="620">
        <v>2.2799999999999998</v>
      </c>
      <c r="J2143" s="620">
        <v>2.2799999999999998</v>
      </c>
      <c r="K2143"/>
    </row>
    <row r="2144" spans="1:11" ht="48" customHeight="1">
      <c r="A2144" s="626" t="s">
        <v>12709</v>
      </c>
      <c r="B2144" s="627" t="s">
        <v>13281</v>
      </c>
      <c r="C2144" s="626" t="s">
        <v>8</v>
      </c>
      <c r="D2144" s="626" t="s">
        <v>8070</v>
      </c>
      <c r="E2144" s="804" t="s">
        <v>12720</v>
      </c>
      <c r="F2144" s="805"/>
      <c r="G2144" s="628" t="s">
        <v>35</v>
      </c>
      <c r="H2144" s="629">
        <v>7.4000000000000003E-6</v>
      </c>
      <c r="I2144" s="630">
        <v>33930.620000000003</v>
      </c>
      <c r="J2144" s="630">
        <v>0.25</v>
      </c>
      <c r="K2144"/>
    </row>
    <row r="2145" spans="1:11" ht="48" customHeight="1">
      <c r="A2145" s="626" t="s">
        <v>12709</v>
      </c>
      <c r="B2145" s="627" t="s">
        <v>13289</v>
      </c>
      <c r="C2145" s="626" t="s">
        <v>8</v>
      </c>
      <c r="D2145" s="626" t="s">
        <v>8192</v>
      </c>
      <c r="E2145" s="804" t="s">
        <v>12711</v>
      </c>
      <c r="F2145" s="805"/>
      <c r="G2145" s="628" t="s">
        <v>35</v>
      </c>
      <c r="H2145" s="629">
        <v>7.4000000000000003E-6</v>
      </c>
      <c r="I2145" s="630">
        <v>275179.74</v>
      </c>
      <c r="J2145" s="630">
        <v>2.0299999999999998</v>
      </c>
      <c r="K2145"/>
    </row>
    <row r="2146" spans="1:11" ht="24" customHeight="1">
      <c r="A2146" s="631"/>
      <c r="B2146" s="631"/>
      <c r="C2146" s="631"/>
      <c r="D2146" s="631"/>
      <c r="E2146" s="631" t="s">
        <v>12714</v>
      </c>
      <c r="F2146" s="632">
        <v>0</v>
      </c>
      <c r="G2146" s="631" t="s">
        <v>12715</v>
      </c>
      <c r="H2146" s="632">
        <v>0</v>
      </c>
      <c r="I2146" s="631" t="s">
        <v>12716</v>
      </c>
      <c r="J2146" s="632">
        <v>0</v>
      </c>
      <c r="K2146"/>
    </row>
    <row r="2147" spans="1:11" ht="15" customHeight="1" thickBot="1">
      <c r="A2147" s="631"/>
      <c r="B2147" s="631"/>
      <c r="C2147" s="631"/>
      <c r="D2147" s="631"/>
      <c r="E2147" s="631" t="s">
        <v>12717</v>
      </c>
      <c r="F2147" s="632">
        <v>0.64</v>
      </c>
      <c r="G2147" s="631"/>
      <c r="H2147" s="806" t="s">
        <v>12718</v>
      </c>
      <c r="I2147" s="806"/>
      <c r="J2147" s="632">
        <v>2.92</v>
      </c>
      <c r="K2147"/>
    </row>
    <row r="2148" spans="1:11" ht="15" customHeight="1" thickTop="1">
      <c r="A2148" s="633"/>
      <c r="B2148" s="633"/>
      <c r="C2148" s="633"/>
      <c r="D2148" s="633"/>
      <c r="E2148" s="633"/>
      <c r="F2148" s="633"/>
      <c r="G2148" s="633"/>
      <c r="H2148" s="633"/>
      <c r="I2148" s="633"/>
      <c r="J2148" s="633"/>
      <c r="K2148"/>
    </row>
    <row r="2149" spans="1:11" ht="0.95" customHeight="1">
      <c r="A2149" s="613"/>
      <c r="B2149" s="614" t="s">
        <v>12698</v>
      </c>
      <c r="C2149" s="613" t="s">
        <v>12699</v>
      </c>
      <c r="D2149" s="613" t="s">
        <v>12700</v>
      </c>
      <c r="E2149" s="807" t="s">
        <v>12701</v>
      </c>
      <c r="F2149" s="808"/>
      <c r="G2149" s="615" t="s">
        <v>12702</v>
      </c>
      <c r="H2149" s="614" t="s">
        <v>12703</v>
      </c>
      <c r="I2149" s="614" t="s">
        <v>12704</v>
      </c>
      <c r="J2149" s="614" t="s">
        <v>12705</v>
      </c>
      <c r="K2149"/>
    </row>
    <row r="2150" spans="1:11" ht="18" customHeight="1">
      <c r="A2150" s="616" t="s">
        <v>12706</v>
      </c>
      <c r="B2150" s="617" t="s">
        <v>13290</v>
      </c>
      <c r="C2150" s="616" t="s">
        <v>8</v>
      </c>
      <c r="D2150" s="616" t="s">
        <v>1116</v>
      </c>
      <c r="E2150" s="809" t="s">
        <v>12726</v>
      </c>
      <c r="F2150" s="810"/>
      <c r="G2150" s="618" t="s">
        <v>23</v>
      </c>
      <c r="H2150" s="619">
        <v>1</v>
      </c>
      <c r="I2150" s="620">
        <v>23.17</v>
      </c>
      <c r="J2150" s="620">
        <v>23.17</v>
      </c>
      <c r="K2150"/>
    </row>
    <row r="2151" spans="1:11" ht="48" customHeight="1">
      <c r="A2151" s="626" t="s">
        <v>12709</v>
      </c>
      <c r="B2151" s="627" t="s">
        <v>13281</v>
      </c>
      <c r="C2151" s="626" t="s">
        <v>8</v>
      </c>
      <c r="D2151" s="626" t="s">
        <v>8070</v>
      </c>
      <c r="E2151" s="804" t="s">
        <v>12720</v>
      </c>
      <c r="F2151" s="805"/>
      <c r="G2151" s="628" t="s">
        <v>35</v>
      </c>
      <c r="H2151" s="629">
        <v>7.4999999999999993E-5</v>
      </c>
      <c r="I2151" s="630">
        <v>33930.620000000003</v>
      </c>
      <c r="J2151" s="630">
        <v>2.54</v>
      </c>
      <c r="K2151"/>
    </row>
    <row r="2152" spans="1:11" ht="48" customHeight="1">
      <c r="A2152" s="626" t="s">
        <v>12709</v>
      </c>
      <c r="B2152" s="627" t="s">
        <v>13289</v>
      </c>
      <c r="C2152" s="626" t="s">
        <v>8</v>
      </c>
      <c r="D2152" s="626" t="s">
        <v>8192</v>
      </c>
      <c r="E2152" s="804" t="s">
        <v>12711</v>
      </c>
      <c r="F2152" s="805"/>
      <c r="G2152" s="628" t="s">
        <v>35</v>
      </c>
      <c r="H2152" s="629">
        <v>7.4999999999999993E-5</v>
      </c>
      <c r="I2152" s="630">
        <v>275179.74</v>
      </c>
      <c r="J2152" s="630">
        <v>20.63</v>
      </c>
      <c r="K2152"/>
    </row>
    <row r="2153" spans="1:11" ht="48" customHeight="1">
      <c r="A2153" s="631"/>
      <c r="B2153" s="631"/>
      <c r="C2153" s="631"/>
      <c r="D2153" s="631"/>
      <c r="E2153" s="631" t="s">
        <v>12714</v>
      </c>
      <c r="F2153" s="632">
        <v>0</v>
      </c>
      <c r="G2153" s="631" t="s">
        <v>12715</v>
      </c>
      <c r="H2153" s="632">
        <v>0</v>
      </c>
      <c r="I2153" s="631" t="s">
        <v>12716</v>
      </c>
      <c r="J2153" s="632">
        <v>0</v>
      </c>
      <c r="K2153"/>
    </row>
    <row r="2154" spans="1:11" ht="48" customHeight="1" thickBot="1">
      <c r="A2154" s="631"/>
      <c r="B2154" s="631"/>
      <c r="C2154" s="631"/>
      <c r="D2154" s="631"/>
      <c r="E2154" s="631" t="s">
        <v>12717</v>
      </c>
      <c r="F2154" s="632">
        <v>6.54</v>
      </c>
      <c r="G2154" s="631"/>
      <c r="H2154" s="806" t="s">
        <v>12718</v>
      </c>
      <c r="I2154" s="806"/>
      <c r="J2154" s="632">
        <v>29.71</v>
      </c>
      <c r="K2154"/>
    </row>
    <row r="2155" spans="1:11" ht="48" customHeight="1" thickTop="1">
      <c r="A2155" s="633"/>
      <c r="B2155" s="633"/>
      <c r="C2155" s="633"/>
      <c r="D2155" s="633"/>
      <c r="E2155" s="633"/>
      <c r="F2155" s="633"/>
      <c r="G2155" s="633"/>
      <c r="H2155" s="633"/>
      <c r="I2155" s="633"/>
      <c r="J2155" s="633"/>
      <c r="K2155"/>
    </row>
    <row r="2156" spans="1:11" ht="48" customHeight="1">
      <c r="A2156" s="613"/>
      <c r="B2156" s="614" t="s">
        <v>12698</v>
      </c>
      <c r="C2156" s="613" t="s">
        <v>12699</v>
      </c>
      <c r="D2156" s="613" t="s">
        <v>12700</v>
      </c>
      <c r="E2156" s="807" t="s">
        <v>12701</v>
      </c>
      <c r="F2156" s="808"/>
      <c r="G2156" s="615" t="s">
        <v>12702</v>
      </c>
      <c r="H2156" s="614" t="s">
        <v>12703</v>
      </c>
      <c r="I2156" s="614" t="s">
        <v>12704</v>
      </c>
      <c r="J2156" s="614" t="s">
        <v>12705</v>
      </c>
      <c r="K2156"/>
    </row>
    <row r="2157" spans="1:11" ht="24" customHeight="1">
      <c r="A2157" s="616" t="s">
        <v>12706</v>
      </c>
      <c r="B2157" s="617" t="s">
        <v>13288</v>
      </c>
      <c r="C2157" s="616" t="s">
        <v>8</v>
      </c>
      <c r="D2157" s="616" t="s">
        <v>1117</v>
      </c>
      <c r="E2157" s="809" t="s">
        <v>12726</v>
      </c>
      <c r="F2157" s="810"/>
      <c r="G2157" s="618" t="s">
        <v>23</v>
      </c>
      <c r="H2157" s="619">
        <v>1</v>
      </c>
      <c r="I2157" s="620">
        <v>44.12</v>
      </c>
      <c r="J2157" s="620">
        <v>44.12</v>
      </c>
      <c r="K2157"/>
    </row>
    <row r="2158" spans="1:11">
      <c r="A2158" s="626" t="s">
        <v>12709</v>
      </c>
      <c r="B2158" s="627" t="s">
        <v>13007</v>
      </c>
      <c r="C2158" s="626" t="s">
        <v>8</v>
      </c>
      <c r="D2158" s="626" t="s">
        <v>10549</v>
      </c>
      <c r="E2158" s="804" t="s">
        <v>12720</v>
      </c>
      <c r="F2158" s="805"/>
      <c r="G2158" s="628" t="s">
        <v>58</v>
      </c>
      <c r="H2158" s="629">
        <v>13.62</v>
      </c>
      <c r="I2158" s="630">
        <v>3.24</v>
      </c>
      <c r="J2158" s="630">
        <v>44.12</v>
      </c>
      <c r="K2158"/>
    </row>
    <row r="2159" spans="1:11" ht="15" customHeight="1">
      <c r="A2159" s="631"/>
      <c r="B2159" s="631"/>
      <c r="C2159" s="631"/>
      <c r="D2159" s="631"/>
      <c r="E2159" s="631" t="s">
        <v>12714</v>
      </c>
      <c r="F2159" s="632">
        <v>0</v>
      </c>
      <c r="G2159" s="631" t="s">
        <v>12715</v>
      </c>
      <c r="H2159" s="632">
        <v>0</v>
      </c>
      <c r="I2159" s="631" t="s">
        <v>12716</v>
      </c>
      <c r="J2159" s="632">
        <v>0</v>
      </c>
      <c r="K2159"/>
    </row>
    <row r="2160" spans="1:11" ht="0.95" customHeight="1" thickBot="1">
      <c r="A2160" s="631"/>
      <c r="B2160" s="631"/>
      <c r="C2160" s="631"/>
      <c r="D2160" s="631"/>
      <c r="E2160" s="631" t="s">
        <v>12717</v>
      </c>
      <c r="F2160" s="632">
        <v>12.45</v>
      </c>
      <c r="G2160" s="631"/>
      <c r="H2160" s="806" t="s">
        <v>12718</v>
      </c>
      <c r="I2160" s="806"/>
      <c r="J2160" s="632">
        <v>56.57</v>
      </c>
      <c r="K2160"/>
    </row>
    <row r="2161" spans="1:11" ht="18" customHeight="1" thickTop="1">
      <c r="A2161" s="633"/>
      <c r="B2161" s="633"/>
      <c r="C2161" s="633"/>
      <c r="D2161" s="633"/>
      <c r="E2161" s="633"/>
      <c r="F2161" s="633"/>
      <c r="G2161" s="633"/>
      <c r="H2161" s="633"/>
      <c r="I2161" s="633"/>
      <c r="J2161" s="633"/>
      <c r="K2161"/>
    </row>
    <row r="2162" spans="1:11" ht="48" customHeight="1">
      <c r="A2162" s="613"/>
      <c r="B2162" s="614" t="s">
        <v>12698</v>
      </c>
      <c r="C2162" s="613" t="s">
        <v>12699</v>
      </c>
      <c r="D2162" s="613" t="s">
        <v>12700</v>
      </c>
      <c r="E2162" s="807" t="s">
        <v>12701</v>
      </c>
      <c r="F2162" s="808"/>
      <c r="G2162" s="615" t="s">
        <v>12702</v>
      </c>
      <c r="H2162" s="614" t="s">
        <v>12703</v>
      </c>
      <c r="I2162" s="614" t="s">
        <v>12704</v>
      </c>
      <c r="J2162" s="614" t="s">
        <v>12705</v>
      </c>
      <c r="K2162"/>
    </row>
    <row r="2163" spans="1:11" ht="24" customHeight="1">
      <c r="A2163" s="616" t="s">
        <v>12706</v>
      </c>
      <c r="B2163" s="617" t="s">
        <v>13287</v>
      </c>
      <c r="C2163" s="616" t="s">
        <v>8</v>
      </c>
      <c r="D2163" s="616" t="s">
        <v>1088</v>
      </c>
      <c r="E2163" s="809" t="s">
        <v>12726</v>
      </c>
      <c r="F2163" s="810"/>
      <c r="G2163" s="618" t="s">
        <v>61</v>
      </c>
      <c r="H2163" s="619">
        <v>1</v>
      </c>
      <c r="I2163" s="620">
        <v>29.87</v>
      </c>
      <c r="J2163" s="620">
        <v>29.87</v>
      </c>
      <c r="K2163"/>
    </row>
    <row r="2164" spans="1:11" ht="48" customHeight="1">
      <c r="A2164" s="621" t="s">
        <v>12708</v>
      </c>
      <c r="B2164" s="622" t="s">
        <v>13285</v>
      </c>
      <c r="C2164" s="621" t="s">
        <v>8</v>
      </c>
      <c r="D2164" s="621" t="s">
        <v>2409</v>
      </c>
      <c r="E2164" s="811" t="s">
        <v>12726</v>
      </c>
      <c r="F2164" s="812"/>
      <c r="G2164" s="623" t="s">
        <v>23</v>
      </c>
      <c r="H2164" s="624">
        <v>1</v>
      </c>
      <c r="I2164" s="625">
        <v>12.94</v>
      </c>
      <c r="J2164" s="625">
        <v>12.94</v>
      </c>
      <c r="K2164"/>
    </row>
    <row r="2165" spans="1:11" ht="38.25" customHeight="1">
      <c r="A2165" s="621" t="s">
        <v>12708</v>
      </c>
      <c r="B2165" s="622" t="s">
        <v>13283</v>
      </c>
      <c r="C2165" s="621" t="s">
        <v>8</v>
      </c>
      <c r="D2165" s="621" t="s">
        <v>2410</v>
      </c>
      <c r="E2165" s="811" t="s">
        <v>12726</v>
      </c>
      <c r="F2165" s="812"/>
      <c r="G2165" s="623" t="s">
        <v>23</v>
      </c>
      <c r="H2165" s="624">
        <v>1</v>
      </c>
      <c r="I2165" s="625">
        <v>2.39</v>
      </c>
      <c r="J2165" s="625">
        <v>2.39</v>
      </c>
      <c r="K2165"/>
    </row>
    <row r="2166" spans="1:11" ht="15" customHeight="1">
      <c r="A2166" s="621" t="s">
        <v>12708</v>
      </c>
      <c r="B2166" s="622" t="s">
        <v>13284</v>
      </c>
      <c r="C2166" s="621" t="s">
        <v>8</v>
      </c>
      <c r="D2166" s="621" t="s">
        <v>2411</v>
      </c>
      <c r="E2166" s="811" t="s">
        <v>12726</v>
      </c>
      <c r="F2166" s="812"/>
      <c r="G2166" s="623" t="s">
        <v>23</v>
      </c>
      <c r="H2166" s="624">
        <v>1</v>
      </c>
      <c r="I2166" s="625">
        <v>0.93</v>
      </c>
      <c r="J2166" s="625">
        <v>0.93</v>
      </c>
      <c r="K2166"/>
    </row>
    <row r="2167" spans="1:11" ht="0.95" customHeight="1">
      <c r="A2167" s="621" t="s">
        <v>12708</v>
      </c>
      <c r="B2167" s="622" t="s">
        <v>13131</v>
      </c>
      <c r="C2167" s="621" t="s">
        <v>8</v>
      </c>
      <c r="D2167" s="621" t="s">
        <v>264</v>
      </c>
      <c r="E2167" s="811" t="s">
        <v>12707</v>
      </c>
      <c r="F2167" s="812"/>
      <c r="G2167" s="623" t="s">
        <v>23</v>
      </c>
      <c r="H2167" s="624">
        <v>1</v>
      </c>
      <c r="I2167" s="625">
        <v>13.61</v>
      </c>
      <c r="J2167" s="625">
        <v>13.61</v>
      </c>
      <c r="K2167"/>
    </row>
    <row r="2168" spans="1:11" ht="18" customHeight="1">
      <c r="A2168" s="631"/>
      <c r="B2168" s="631"/>
      <c r="C2168" s="631"/>
      <c r="D2168" s="631"/>
      <c r="E2168" s="631" t="s">
        <v>12714</v>
      </c>
      <c r="F2168" s="632">
        <v>5.1951561999999996</v>
      </c>
      <c r="G2168" s="631" t="s">
        <v>12715</v>
      </c>
      <c r="H2168" s="632">
        <v>4.41</v>
      </c>
      <c r="I2168" s="631" t="s">
        <v>12716</v>
      </c>
      <c r="J2168" s="632">
        <v>9.61</v>
      </c>
      <c r="K2168"/>
    </row>
    <row r="2169" spans="1:11" ht="48" customHeight="1" thickBot="1">
      <c r="A2169" s="631"/>
      <c r="B2169" s="631"/>
      <c r="C2169" s="631"/>
      <c r="D2169" s="631"/>
      <c r="E2169" s="631" t="s">
        <v>12717</v>
      </c>
      <c r="F2169" s="632">
        <v>8.43</v>
      </c>
      <c r="G2169" s="631"/>
      <c r="H2169" s="806" t="s">
        <v>12718</v>
      </c>
      <c r="I2169" s="806"/>
      <c r="J2169" s="632">
        <v>38.299999999999997</v>
      </c>
      <c r="K2169"/>
    </row>
    <row r="2170" spans="1:11" ht="24" customHeight="1" thickTop="1">
      <c r="A2170" s="633"/>
      <c r="B2170" s="633"/>
      <c r="C2170" s="633"/>
      <c r="D2170" s="633"/>
      <c r="E2170" s="633"/>
      <c r="F2170" s="633"/>
      <c r="G2170" s="633"/>
      <c r="H2170" s="633"/>
      <c r="I2170" s="633"/>
      <c r="J2170" s="633"/>
      <c r="K2170"/>
    </row>
    <row r="2171" spans="1:11" ht="48" customHeight="1">
      <c r="A2171" s="613"/>
      <c r="B2171" s="614" t="s">
        <v>12698</v>
      </c>
      <c r="C2171" s="613" t="s">
        <v>12699</v>
      </c>
      <c r="D2171" s="613" t="s">
        <v>12700</v>
      </c>
      <c r="E2171" s="807" t="s">
        <v>12701</v>
      </c>
      <c r="F2171" s="808"/>
      <c r="G2171" s="615" t="s">
        <v>12702</v>
      </c>
      <c r="H2171" s="614" t="s">
        <v>12703</v>
      </c>
      <c r="I2171" s="614" t="s">
        <v>12704</v>
      </c>
      <c r="J2171" s="614" t="s">
        <v>12705</v>
      </c>
      <c r="K2171"/>
    </row>
    <row r="2172" spans="1:11" ht="38.25" customHeight="1">
      <c r="A2172" s="616" t="s">
        <v>12706</v>
      </c>
      <c r="B2172" s="617" t="s">
        <v>13286</v>
      </c>
      <c r="C2172" s="616" t="s">
        <v>8</v>
      </c>
      <c r="D2172" s="616" t="s">
        <v>1055</v>
      </c>
      <c r="E2172" s="809" t="s">
        <v>12726</v>
      </c>
      <c r="F2172" s="810"/>
      <c r="G2172" s="618" t="s">
        <v>44</v>
      </c>
      <c r="H2172" s="619">
        <v>1</v>
      </c>
      <c r="I2172" s="620">
        <v>108.99</v>
      </c>
      <c r="J2172" s="620">
        <v>108.99</v>
      </c>
      <c r="K2172"/>
    </row>
    <row r="2173" spans="1:11" ht="15" customHeight="1">
      <c r="A2173" s="621" t="s">
        <v>12708</v>
      </c>
      <c r="B2173" s="622" t="s">
        <v>13282</v>
      </c>
      <c r="C2173" s="621" t="s">
        <v>8</v>
      </c>
      <c r="D2173" s="621" t="s">
        <v>1032</v>
      </c>
      <c r="E2173" s="811" t="s">
        <v>12726</v>
      </c>
      <c r="F2173" s="812"/>
      <c r="G2173" s="623" t="s">
        <v>23</v>
      </c>
      <c r="H2173" s="624">
        <v>1</v>
      </c>
      <c r="I2173" s="625">
        <v>24.27</v>
      </c>
      <c r="J2173" s="625">
        <v>24.27</v>
      </c>
      <c r="K2173"/>
    </row>
    <row r="2174" spans="1:11" ht="0.95" customHeight="1">
      <c r="A2174" s="621" t="s">
        <v>12708</v>
      </c>
      <c r="B2174" s="622" t="s">
        <v>13279</v>
      </c>
      <c r="C2174" s="621" t="s">
        <v>8</v>
      </c>
      <c r="D2174" s="621" t="s">
        <v>1124</v>
      </c>
      <c r="E2174" s="811" t="s">
        <v>12726</v>
      </c>
      <c r="F2174" s="812"/>
      <c r="G2174" s="623" t="s">
        <v>23</v>
      </c>
      <c r="H2174" s="624">
        <v>1</v>
      </c>
      <c r="I2174" s="625">
        <v>54.85</v>
      </c>
      <c r="J2174" s="625">
        <v>54.85</v>
      </c>
      <c r="K2174"/>
    </row>
    <row r="2175" spans="1:11" ht="18" customHeight="1">
      <c r="A2175" s="621" t="s">
        <v>12708</v>
      </c>
      <c r="B2175" s="622" t="s">
        <v>13285</v>
      </c>
      <c r="C2175" s="621" t="s">
        <v>8</v>
      </c>
      <c r="D2175" s="621" t="s">
        <v>2409</v>
      </c>
      <c r="E2175" s="811" t="s">
        <v>12726</v>
      </c>
      <c r="F2175" s="812"/>
      <c r="G2175" s="623" t="s">
        <v>23</v>
      </c>
      <c r="H2175" s="624">
        <v>1</v>
      </c>
      <c r="I2175" s="625">
        <v>12.94</v>
      </c>
      <c r="J2175" s="625">
        <v>12.94</v>
      </c>
      <c r="K2175"/>
    </row>
    <row r="2176" spans="1:11" ht="48" customHeight="1">
      <c r="A2176" s="621" t="s">
        <v>12708</v>
      </c>
      <c r="B2176" s="622" t="s">
        <v>13283</v>
      </c>
      <c r="C2176" s="621" t="s">
        <v>8</v>
      </c>
      <c r="D2176" s="621" t="s">
        <v>2410</v>
      </c>
      <c r="E2176" s="811" t="s">
        <v>12726</v>
      </c>
      <c r="F2176" s="812"/>
      <c r="G2176" s="623" t="s">
        <v>23</v>
      </c>
      <c r="H2176" s="624">
        <v>1</v>
      </c>
      <c r="I2176" s="625">
        <v>2.39</v>
      </c>
      <c r="J2176" s="625">
        <v>2.39</v>
      </c>
      <c r="K2176"/>
    </row>
    <row r="2177" spans="1:11" ht="24" customHeight="1">
      <c r="A2177" s="621" t="s">
        <v>12708</v>
      </c>
      <c r="B2177" s="622" t="s">
        <v>13284</v>
      </c>
      <c r="C2177" s="621" t="s">
        <v>8</v>
      </c>
      <c r="D2177" s="621" t="s">
        <v>2411</v>
      </c>
      <c r="E2177" s="811" t="s">
        <v>12726</v>
      </c>
      <c r="F2177" s="812"/>
      <c r="G2177" s="623" t="s">
        <v>23</v>
      </c>
      <c r="H2177" s="624">
        <v>1</v>
      </c>
      <c r="I2177" s="625">
        <v>0.93</v>
      </c>
      <c r="J2177" s="625">
        <v>0.93</v>
      </c>
      <c r="K2177"/>
    </row>
    <row r="2178" spans="1:11" ht="48" customHeight="1">
      <c r="A2178" s="621" t="s">
        <v>12708</v>
      </c>
      <c r="B2178" s="622" t="s">
        <v>13131</v>
      </c>
      <c r="C2178" s="621" t="s">
        <v>8</v>
      </c>
      <c r="D2178" s="621" t="s">
        <v>264</v>
      </c>
      <c r="E2178" s="811" t="s">
        <v>12707</v>
      </c>
      <c r="F2178" s="812"/>
      <c r="G2178" s="623" t="s">
        <v>23</v>
      </c>
      <c r="H2178" s="624">
        <v>1</v>
      </c>
      <c r="I2178" s="625">
        <v>13.61</v>
      </c>
      <c r="J2178" s="625">
        <v>13.61</v>
      </c>
      <c r="K2178"/>
    </row>
    <row r="2179" spans="1:11" ht="25.5">
      <c r="A2179" s="631"/>
      <c r="B2179" s="631"/>
      <c r="C2179" s="631"/>
      <c r="D2179" s="631"/>
      <c r="E2179" s="631" t="s">
        <v>12714</v>
      </c>
      <c r="F2179" s="632">
        <v>5.1951561999999996</v>
      </c>
      <c r="G2179" s="631" t="s">
        <v>12715</v>
      </c>
      <c r="H2179" s="632">
        <v>4.41</v>
      </c>
      <c r="I2179" s="631" t="s">
        <v>12716</v>
      </c>
      <c r="J2179" s="632">
        <v>9.61</v>
      </c>
      <c r="K2179"/>
    </row>
    <row r="2180" spans="1:11" ht="15" customHeight="1" thickBot="1">
      <c r="A2180" s="631"/>
      <c r="B2180" s="631"/>
      <c r="C2180" s="631"/>
      <c r="D2180" s="631"/>
      <c r="E2180" s="631" t="s">
        <v>12717</v>
      </c>
      <c r="F2180" s="632">
        <v>30.77</v>
      </c>
      <c r="G2180" s="631"/>
      <c r="H2180" s="806" t="s">
        <v>12718</v>
      </c>
      <c r="I2180" s="806"/>
      <c r="J2180" s="632">
        <v>139.76</v>
      </c>
      <c r="K2180"/>
    </row>
    <row r="2181" spans="1:11" ht="0.95" customHeight="1" thickTop="1">
      <c r="A2181" s="633"/>
      <c r="B2181" s="633"/>
      <c r="C2181" s="633"/>
      <c r="D2181" s="633"/>
      <c r="E2181" s="633"/>
      <c r="F2181" s="633"/>
      <c r="G2181" s="633"/>
      <c r="H2181" s="633"/>
      <c r="I2181" s="633"/>
      <c r="J2181" s="633"/>
      <c r="K2181"/>
    </row>
    <row r="2182" spans="1:11" ht="18" customHeight="1">
      <c r="A2182" s="613"/>
      <c r="B2182" s="614" t="s">
        <v>12698</v>
      </c>
      <c r="C2182" s="613" t="s">
        <v>12699</v>
      </c>
      <c r="D2182" s="613" t="s">
        <v>12700</v>
      </c>
      <c r="E2182" s="807" t="s">
        <v>12701</v>
      </c>
      <c r="F2182" s="808"/>
      <c r="G2182" s="615" t="s">
        <v>12702</v>
      </c>
      <c r="H2182" s="614" t="s">
        <v>12703</v>
      </c>
      <c r="I2182" s="614" t="s">
        <v>12704</v>
      </c>
      <c r="J2182" s="614" t="s">
        <v>12705</v>
      </c>
      <c r="K2182"/>
    </row>
    <row r="2183" spans="1:11" ht="48" customHeight="1">
      <c r="A2183" s="616" t="s">
        <v>12706</v>
      </c>
      <c r="B2183" s="617" t="s">
        <v>13285</v>
      </c>
      <c r="C2183" s="616" t="s">
        <v>8</v>
      </c>
      <c r="D2183" s="616" t="s">
        <v>2409</v>
      </c>
      <c r="E2183" s="809" t="s">
        <v>12726</v>
      </c>
      <c r="F2183" s="810"/>
      <c r="G2183" s="618" t="s">
        <v>23</v>
      </c>
      <c r="H2183" s="619">
        <v>1</v>
      </c>
      <c r="I2183" s="620">
        <v>12.94</v>
      </c>
      <c r="J2183" s="620">
        <v>12.94</v>
      </c>
      <c r="K2183"/>
    </row>
    <row r="2184" spans="1:11" ht="24" customHeight="1">
      <c r="A2184" s="626" t="s">
        <v>12709</v>
      </c>
      <c r="B2184" s="627" t="s">
        <v>13281</v>
      </c>
      <c r="C2184" s="626" t="s">
        <v>8</v>
      </c>
      <c r="D2184" s="626" t="s">
        <v>8070</v>
      </c>
      <c r="E2184" s="804" t="s">
        <v>12720</v>
      </c>
      <c r="F2184" s="805"/>
      <c r="G2184" s="628" t="s">
        <v>35</v>
      </c>
      <c r="H2184" s="629">
        <v>4.0000000000000003E-5</v>
      </c>
      <c r="I2184" s="630">
        <v>33930.620000000003</v>
      </c>
      <c r="J2184" s="630">
        <v>1.35</v>
      </c>
      <c r="K2184"/>
    </row>
    <row r="2185" spans="1:11" ht="48" customHeight="1">
      <c r="A2185" s="626" t="s">
        <v>12709</v>
      </c>
      <c r="B2185" s="627" t="s">
        <v>13280</v>
      </c>
      <c r="C2185" s="626" t="s">
        <v>8</v>
      </c>
      <c r="D2185" s="626" t="s">
        <v>8193</v>
      </c>
      <c r="E2185" s="804" t="s">
        <v>12711</v>
      </c>
      <c r="F2185" s="805"/>
      <c r="G2185" s="628" t="s">
        <v>35</v>
      </c>
      <c r="H2185" s="629">
        <v>4.0000000000000003E-5</v>
      </c>
      <c r="I2185" s="630">
        <v>289786.21000000002</v>
      </c>
      <c r="J2185" s="630">
        <v>11.59</v>
      </c>
      <c r="K2185"/>
    </row>
    <row r="2186" spans="1:11" ht="25.5">
      <c r="A2186" s="631"/>
      <c r="B2186" s="631"/>
      <c r="C2186" s="631"/>
      <c r="D2186" s="631"/>
      <c r="E2186" s="631" t="s">
        <v>12714</v>
      </c>
      <c r="F2186" s="632">
        <v>0</v>
      </c>
      <c r="G2186" s="631" t="s">
        <v>12715</v>
      </c>
      <c r="H2186" s="632">
        <v>0</v>
      </c>
      <c r="I2186" s="631" t="s">
        <v>12716</v>
      </c>
      <c r="J2186" s="632">
        <v>0</v>
      </c>
      <c r="K2186"/>
    </row>
    <row r="2187" spans="1:11" ht="15" customHeight="1" thickBot="1">
      <c r="A2187" s="631"/>
      <c r="B2187" s="631"/>
      <c r="C2187" s="631"/>
      <c r="D2187" s="631"/>
      <c r="E2187" s="631" t="s">
        <v>12717</v>
      </c>
      <c r="F2187" s="632">
        <v>3.65</v>
      </c>
      <c r="G2187" s="631"/>
      <c r="H2187" s="806" t="s">
        <v>12718</v>
      </c>
      <c r="I2187" s="806"/>
      <c r="J2187" s="632">
        <v>16.59</v>
      </c>
      <c r="K2187"/>
    </row>
    <row r="2188" spans="1:11" ht="0.95" customHeight="1" thickTop="1">
      <c r="A2188" s="633"/>
      <c r="B2188" s="633"/>
      <c r="C2188" s="633"/>
      <c r="D2188" s="633"/>
      <c r="E2188" s="633"/>
      <c r="F2188" s="633"/>
      <c r="G2188" s="633"/>
      <c r="H2188" s="633"/>
      <c r="I2188" s="633"/>
      <c r="J2188" s="633"/>
      <c r="K2188"/>
    </row>
    <row r="2189" spans="1:11" ht="18" customHeight="1">
      <c r="A2189" s="613"/>
      <c r="B2189" s="614" t="s">
        <v>12698</v>
      </c>
      <c r="C2189" s="613" t="s">
        <v>12699</v>
      </c>
      <c r="D2189" s="613" t="s">
        <v>12700</v>
      </c>
      <c r="E2189" s="807" t="s">
        <v>12701</v>
      </c>
      <c r="F2189" s="808"/>
      <c r="G2189" s="615" t="s">
        <v>12702</v>
      </c>
      <c r="H2189" s="614" t="s">
        <v>12703</v>
      </c>
      <c r="I2189" s="614" t="s">
        <v>12704</v>
      </c>
      <c r="J2189" s="614" t="s">
        <v>12705</v>
      </c>
      <c r="K2189"/>
    </row>
    <row r="2190" spans="1:11" ht="48" customHeight="1">
      <c r="A2190" s="616" t="s">
        <v>12706</v>
      </c>
      <c r="B2190" s="617" t="s">
        <v>13284</v>
      </c>
      <c r="C2190" s="616" t="s">
        <v>8</v>
      </c>
      <c r="D2190" s="616" t="s">
        <v>2411</v>
      </c>
      <c r="E2190" s="809" t="s">
        <v>12726</v>
      </c>
      <c r="F2190" s="810"/>
      <c r="G2190" s="618" t="s">
        <v>23</v>
      </c>
      <c r="H2190" s="619">
        <v>1</v>
      </c>
      <c r="I2190" s="620">
        <v>0.93</v>
      </c>
      <c r="J2190" s="620">
        <v>0.93</v>
      </c>
      <c r="K2190"/>
    </row>
    <row r="2191" spans="1:11" ht="24" customHeight="1">
      <c r="A2191" s="626" t="s">
        <v>12709</v>
      </c>
      <c r="B2191" s="627" t="s">
        <v>13281</v>
      </c>
      <c r="C2191" s="626" t="s">
        <v>8</v>
      </c>
      <c r="D2191" s="626" t="s">
        <v>8070</v>
      </c>
      <c r="E2191" s="804" t="s">
        <v>12720</v>
      </c>
      <c r="F2191" s="805"/>
      <c r="G2191" s="628" t="s">
        <v>35</v>
      </c>
      <c r="H2191" s="629">
        <v>2.9000000000000002E-6</v>
      </c>
      <c r="I2191" s="630">
        <v>33930.620000000003</v>
      </c>
      <c r="J2191" s="630">
        <v>0.09</v>
      </c>
      <c r="K2191"/>
    </row>
    <row r="2192" spans="1:11" ht="38.25">
      <c r="A2192" s="626" t="s">
        <v>12709</v>
      </c>
      <c r="B2192" s="627" t="s">
        <v>13280</v>
      </c>
      <c r="C2192" s="626" t="s">
        <v>8</v>
      </c>
      <c r="D2192" s="626" t="s">
        <v>8193</v>
      </c>
      <c r="E2192" s="804" t="s">
        <v>12711</v>
      </c>
      <c r="F2192" s="805"/>
      <c r="G2192" s="628" t="s">
        <v>35</v>
      </c>
      <c r="H2192" s="629">
        <v>2.9000000000000002E-6</v>
      </c>
      <c r="I2192" s="630">
        <v>289786.21000000002</v>
      </c>
      <c r="J2192" s="630">
        <v>0.84</v>
      </c>
      <c r="K2192"/>
    </row>
    <row r="2193" spans="1:11" ht="15" customHeight="1">
      <c r="A2193" s="631"/>
      <c r="B2193" s="631"/>
      <c r="C2193" s="631"/>
      <c r="D2193" s="631"/>
      <c r="E2193" s="631" t="s">
        <v>12714</v>
      </c>
      <c r="F2193" s="632">
        <v>0</v>
      </c>
      <c r="G2193" s="631" t="s">
        <v>12715</v>
      </c>
      <c r="H2193" s="632">
        <v>0</v>
      </c>
      <c r="I2193" s="631" t="s">
        <v>12716</v>
      </c>
      <c r="J2193" s="632">
        <v>0</v>
      </c>
      <c r="K2193"/>
    </row>
    <row r="2194" spans="1:11" ht="0.95" customHeight="1" thickBot="1">
      <c r="A2194" s="631"/>
      <c r="B2194" s="631"/>
      <c r="C2194" s="631"/>
      <c r="D2194" s="631"/>
      <c r="E2194" s="631" t="s">
        <v>12717</v>
      </c>
      <c r="F2194" s="632">
        <v>0.26</v>
      </c>
      <c r="G2194" s="631"/>
      <c r="H2194" s="806" t="s">
        <v>12718</v>
      </c>
      <c r="I2194" s="806"/>
      <c r="J2194" s="632">
        <v>1.19</v>
      </c>
      <c r="K2194"/>
    </row>
    <row r="2195" spans="1:11" ht="18" customHeight="1" thickTop="1">
      <c r="A2195" s="633"/>
      <c r="B2195" s="633"/>
      <c r="C2195" s="633"/>
      <c r="D2195" s="633"/>
      <c r="E2195" s="633"/>
      <c r="F2195" s="633"/>
      <c r="G2195" s="633"/>
      <c r="H2195" s="633"/>
      <c r="I2195" s="633"/>
      <c r="J2195" s="633"/>
      <c r="K2195"/>
    </row>
    <row r="2196" spans="1:11" ht="60" customHeight="1">
      <c r="A2196" s="613"/>
      <c r="B2196" s="614" t="s">
        <v>12698</v>
      </c>
      <c r="C2196" s="613" t="s">
        <v>12699</v>
      </c>
      <c r="D2196" s="613" t="s">
        <v>12700</v>
      </c>
      <c r="E2196" s="807" t="s">
        <v>12701</v>
      </c>
      <c r="F2196" s="808"/>
      <c r="G2196" s="615" t="s">
        <v>12702</v>
      </c>
      <c r="H2196" s="614" t="s">
        <v>12703</v>
      </c>
      <c r="I2196" s="614" t="s">
        <v>12704</v>
      </c>
      <c r="J2196" s="614" t="s">
        <v>12705</v>
      </c>
      <c r="K2196"/>
    </row>
    <row r="2197" spans="1:11" ht="60" customHeight="1">
      <c r="A2197" s="616" t="s">
        <v>12706</v>
      </c>
      <c r="B2197" s="617" t="s">
        <v>13283</v>
      </c>
      <c r="C2197" s="616" t="s">
        <v>8</v>
      </c>
      <c r="D2197" s="616" t="s">
        <v>2410</v>
      </c>
      <c r="E2197" s="809" t="s">
        <v>12726</v>
      </c>
      <c r="F2197" s="810"/>
      <c r="G2197" s="618" t="s">
        <v>23</v>
      </c>
      <c r="H2197" s="619">
        <v>1</v>
      </c>
      <c r="I2197" s="620">
        <v>2.39</v>
      </c>
      <c r="J2197" s="620">
        <v>2.39</v>
      </c>
      <c r="K2197"/>
    </row>
    <row r="2198" spans="1:11" ht="60" customHeight="1">
      <c r="A2198" s="626" t="s">
        <v>12709</v>
      </c>
      <c r="B2198" s="627" t="s">
        <v>13281</v>
      </c>
      <c r="C2198" s="626" t="s">
        <v>8</v>
      </c>
      <c r="D2198" s="626" t="s">
        <v>8070</v>
      </c>
      <c r="E2198" s="804" t="s">
        <v>12720</v>
      </c>
      <c r="F2198" s="805"/>
      <c r="G2198" s="628" t="s">
        <v>35</v>
      </c>
      <c r="H2198" s="629">
        <v>7.4000000000000003E-6</v>
      </c>
      <c r="I2198" s="630">
        <v>33930.620000000003</v>
      </c>
      <c r="J2198" s="630">
        <v>0.25</v>
      </c>
      <c r="K2198"/>
    </row>
    <row r="2199" spans="1:11" ht="60" customHeight="1">
      <c r="A2199" s="626" t="s">
        <v>12709</v>
      </c>
      <c r="B2199" s="627" t="s">
        <v>13280</v>
      </c>
      <c r="C2199" s="626" t="s">
        <v>8</v>
      </c>
      <c r="D2199" s="626" t="s">
        <v>8193</v>
      </c>
      <c r="E2199" s="804" t="s">
        <v>12711</v>
      </c>
      <c r="F2199" s="805"/>
      <c r="G2199" s="628" t="s">
        <v>35</v>
      </c>
      <c r="H2199" s="629">
        <v>7.4000000000000003E-6</v>
      </c>
      <c r="I2199" s="630">
        <v>289786.21000000002</v>
      </c>
      <c r="J2199" s="630">
        <v>2.14</v>
      </c>
      <c r="K2199"/>
    </row>
    <row r="2200" spans="1:11" ht="24" customHeight="1">
      <c r="A2200" s="631"/>
      <c r="B2200" s="631"/>
      <c r="C2200" s="631"/>
      <c r="D2200" s="631"/>
      <c r="E2200" s="631" t="s">
        <v>12714</v>
      </c>
      <c r="F2200" s="632">
        <v>0</v>
      </c>
      <c r="G2200" s="631" t="s">
        <v>12715</v>
      </c>
      <c r="H2200" s="632">
        <v>0</v>
      </c>
      <c r="I2200" s="631" t="s">
        <v>12716</v>
      </c>
      <c r="J2200" s="632">
        <v>0</v>
      </c>
      <c r="K2200"/>
    </row>
    <row r="2201" spans="1:11" ht="15" customHeight="1" thickBot="1">
      <c r="A2201" s="631"/>
      <c r="B2201" s="631"/>
      <c r="C2201" s="631"/>
      <c r="D2201" s="631"/>
      <c r="E2201" s="631" t="s">
        <v>12717</v>
      </c>
      <c r="F2201" s="632">
        <v>0.67</v>
      </c>
      <c r="G2201" s="631"/>
      <c r="H2201" s="806" t="s">
        <v>12718</v>
      </c>
      <c r="I2201" s="806"/>
      <c r="J2201" s="632">
        <v>3.06</v>
      </c>
      <c r="K2201"/>
    </row>
    <row r="2202" spans="1:11" ht="15" customHeight="1" thickTop="1">
      <c r="A2202" s="633"/>
      <c r="B2202" s="633"/>
      <c r="C2202" s="633"/>
      <c r="D2202" s="633"/>
      <c r="E2202" s="633"/>
      <c r="F2202" s="633"/>
      <c r="G2202" s="633"/>
      <c r="H2202" s="633"/>
      <c r="I2202" s="633"/>
      <c r="J2202" s="633"/>
      <c r="K2202"/>
    </row>
    <row r="2203" spans="1:11" ht="0.95" customHeight="1">
      <c r="A2203" s="613"/>
      <c r="B2203" s="614" t="s">
        <v>12698</v>
      </c>
      <c r="C2203" s="613" t="s">
        <v>12699</v>
      </c>
      <c r="D2203" s="613" t="s">
        <v>12700</v>
      </c>
      <c r="E2203" s="807" t="s">
        <v>12701</v>
      </c>
      <c r="F2203" s="808"/>
      <c r="G2203" s="615" t="s">
        <v>12702</v>
      </c>
      <c r="H2203" s="614" t="s">
        <v>12703</v>
      </c>
      <c r="I2203" s="614" t="s">
        <v>12704</v>
      </c>
      <c r="J2203" s="614" t="s">
        <v>12705</v>
      </c>
      <c r="K2203"/>
    </row>
    <row r="2204" spans="1:11" ht="18" customHeight="1">
      <c r="A2204" s="616" t="s">
        <v>12706</v>
      </c>
      <c r="B2204" s="617" t="s">
        <v>13282</v>
      </c>
      <c r="C2204" s="616" t="s">
        <v>8</v>
      </c>
      <c r="D2204" s="616" t="s">
        <v>1032</v>
      </c>
      <c r="E2204" s="809" t="s">
        <v>12726</v>
      </c>
      <c r="F2204" s="810"/>
      <c r="G2204" s="618" t="s">
        <v>23</v>
      </c>
      <c r="H2204" s="619">
        <v>1</v>
      </c>
      <c r="I2204" s="620">
        <v>24.27</v>
      </c>
      <c r="J2204" s="620">
        <v>24.27</v>
      </c>
      <c r="K2204"/>
    </row>
    <row r="2205" spans="1:11" ht="60" customHeight="1">
      <c r="A2205" s="626" t="s">
        <v>12709</v>
      </c>
      <c r="B2205" s="627" t="s">
        <v>13281</v>
      </c>
      <c r="C2205" s="626" t="s">
        <v>8</v>
      </c>
      <c r="D2205" s="626" t="s">
        <v>8070</v>
      </c>
      <c r="E2205" s="804" t="s">
        <v>12720</v>
      </c>
      <c r="F2205" s="805"/>
      <c r="G2205" s="628" t="s">
        <v>35</v>
      </c>
      <c r="H2205" s="629">
        <v>7.4999999999999993E-5</v>
      </c>
      <c r="I2205" s="630">
        <v>33930.620000000003</v>
      </c>
      <c r="J2205" s="630">
        <v>2.54</v>
      </c>
      <c r="K2205"/>
    </row>
    <row r="2206" spans="1:11" ht="60" customHeight="1">
      <c r="A2206" s="626" t="s">
        <v>12709</v>
      </c>
      <c r="B2206" s="627" t="s">
        <v>13280</v>
      </c>
      <c r="C2206" s="626" t="s">
        <v>8</v>
      </c>
      <c r="D2206" s="626" t="s">
        <v>8193</v>
      </c>
      <c r="E2206" s="804" t="s">
        <v>12711</v>
      </c>
      <c r="F2206" s="805"/>
      <c r="G2206" s="628" t="s">
        <v>35</v>
      </c>
      <c r="H2206" s="629">
        <v>7.4999999999999993E-5</v>
      </c>
      <c r="I2206" s="630">
        <v>289786.21000000002</v>
      </c>
      <c r="J2206" s="630">
        <v>21.73</v>
      </c>
      <c r="K2206"/>
    </row>
    <row r="2207" spans="1:11" ht="60" customHeight="1">
      <c r="A2207" s="631"/>
      <c r="B2207" s="631"/>
      <c r="C2207" s="631"/>
      <c r="D2207" s="631"/>
      <c r="E2207" s="631" t="s">
        <v>12714</v>
      </c>
      <c r="F2207" s="632">
        <v>0</v>
      </c>
      <c r="G2207" s="631" t="s">
        <v>12715</v>
      </c>
      <c r="H2207" s="632">
        <v>0</v>
      </c>
      <c r="I2207" s="631" t="s">
        <v>12716</v>
      </c>
      <c r="J2207" s="632">
        <v>0</v>
      </c>
      <c r="K2207"/>
    </row>
    <row r="2208" spans="1:11" ht="60" customHeight="1" thickBot="1">
      <c r="A2208" s="631"/>
      <c r="B2208" s="631"/>
      <c r="C2208" s="631"/>
      <c r="D2208" s="631"/>
      <c r="E2208" s="631" t="s">
        <v>12717</v>
      </c>
      <c r="F2208" s="632">
        <v>6.85</v>
      </c>
      <c r="G2208" s="631"/>
      <c r="H2208" s="806" t="s">
        <v>12718</v>
      </c>
      <c r="I2208" s="806"/>
      <c r="J2208" s="632">
        <v>31.12</v>
      </c>
      <c r="K2208"/>
    </row>
    <row r="2209" spans="1:11" ht="60" customHeight="1" thickTop="1">
      <c r="A2209" s="633"/>
      <c r="B2209" s="633"/>
      <c r="C2209" s="633"/>
      <c r="D2209" s="633"/>
      <c r="E2209" s="633"/>
      <c r="F2209" s="633"/>
      <c r="G2209" s="633"/>
      <c r="H2209" s="633"/>
      <c r="I2209" s="633"/>
      <c r="J2209" s="633"/>
      <c r="K2209"/>
    </row>
    <row r="2210" spans="1:11" ht="60" customHeight="1">
      <c r="A2210" s="613"/>
      <c r="B2210" s="614" t="s">
        <v>12698</v>
      </c>
      <c r="C2210" s="613" t="s">
        <v>12699</v>
      </c>
      <c r="D2210" s="613" t="s">
        <v>12700</v>
      </c>
      <c r="E2210" s="807" t="s">
        <v>12701</v>
      </c>
      <c r="F2210" s="808"/>
      <c r="G2210" s="615" t="s">
        <v>12702</v>
      </c>
      <c r="H2210" s="614" t="s">
        <v>12703</v>
      </c>
      <c r="I2210" s="614" t="s">
        <v>12704</v>
      </c>
      <c r="J2210" s="614" t="s">
        <v>12705</v>
      </c>
      <c r="K2210"/>
    </row>
    <row r="2211" spans="1:11" ht="24" customHeight="1">
      <c r="A2211" s="616" t="s">
        <v>12706</v>
      </c>
      <c r="B2211" s="617" t="s">
        <v>13279</v>
      </c>
      <c r="C2211" s="616" t="s">
        <v>8</v>
      </c>
      <c r="D2211" s="616" t="s">
        <v>1124</v>
      </c>
      <c r="E2211" s="809" t="s">
        <v>12726</v>
      </c>
      <c r="F2211" s="810"/>
      <c r="G2211" s="618" t="s">
        <v>23</v>
      </c>
      <c r="H2211" s="619">
        <v>1</v>
      </c>
      <c r="I2211" s="620">
        <v>54.85</v>
      </c>
      <c r="J2211" s="620">
        <v>54.85</v>
      </c>
      <c r="K2211"/>
    </row>
    <row r="2212" spans="1:11">
      <c r="A2212" s="626" t="s">
        <v>12709</v>
      </c>
      <c r="B2212" s="627" t="s">
        <v>13007</v>
      </c>
      <c r="C2212" s="626" t="s">
        <v>8</v>
      </c>
      <c r="D2212" s="626" t="s">
        <v>10549</v>
      </c>
      <c r="E2212" s="804" t="s">
        <v>12720</v>
      </c>
      <c r="F2212" s="805"/>
      <c r="G2212" s="628" t="s">
        <v>58</v>
      </c>
      <c r="H2212" s="629">
        <v>16.93</v>
      </c>
      <c r="I2212" s="630">
        <v>3.24</v>
      </c>
      <c r="J2212" s="630">
        <v>54.85</v>
      </c>
      <c r="K2212"/>
    </row>
    <row r="2213" spans="1:11" ht="15" customHeight="1">
      <c r="A2213" s="631"/>
      <c r="B2213" s="631"/>
      <c r="C2213" s="631"/>
      <c r="D2213" s="631"/>
      <c r="E2213" s="631" t="s">
        <v>12714</v>
      </c>
      <c r="F2213" s="632">
        <v>0</v>
      </c>
      <c r="G2213" s="631" t="s">
        <v>12715</v>
      </c>
      <c r="H2213" s="632">
        <v>0</v>
      </c>
      <c r="I2213" s="631" t="s">
        <v>12716</v>
      </c>
      <c r="J2213" s="632">
        <v>0</v>
      </c>
      <c r="K2213"/>
    </row>
    <row r="2214" spans="1:11" ht="0.95" customHeight="1" thickBot="1">
      <c r="A2214" s="631"/>
      <c r="B2214" s="631"/>
      <c r="C2214" s="631"/>
      <c r="D2214" s="631"/>
      <c r="E2214" s="631" t="s">
        <v>12717</v>
      </c>
      <c r="F2214" s="632">
        <v>15.48</v>
      </c>
      <c r="G2214" s="631"/>
      <c r="H2214" s="806" t="s">
        <v>12718</v>
      </c>
      <c r="I2214" s="806"/>
      <c r="J2214" s="632">
        <v>70.33</v>
      </c>
      <c r="K2214"/>
    </row>
    <row r="2215" spans="1:11" ht="18" customHeight="1" thickTop="1">
      <c r="A2215" s="633"/>
      <c r="B2215" s="633"/>
      <c r="C2215" s="633"/>
      <c r="D2215" s="633"/>
      <c r="E2215" s="633"/>
      <c r="F2215" s="633"/>
      <c r="G2215" s="633"/>
      <c r="H2215" s="633"/>
      <c r="I2215" s="633"/>
      <c r="J2215" s="633"/>
      <c r="K2215"/>
    </row>
    <row r="2216" spans="1:11" ht="60" customHeight="1">
      <c r="A2216" s="613"/>
      <c r="B2216" s="614" t="s">
        <v>12698</v>
      </c>
      <c r="C2216" s="613" t="s">
        <v>12699</v>
      </c>
      <c r="D2216" s="613" t="s">
        <v>12700</v>
      </c>
      <c r="E2216" s="807" t="s">
        <v>12701</v>
      </c>
      <c r="F2216" s="808"/>
      <c r="G2216" s="615" t="s">
        <v>12702</v>
      </c>
      <c r="H2216" s="614" t="s">
        <v>12703</v>
      </c>
      <c r="I2216" s="614" t="s">
        <v>12704</v>
      </c>
      <c r="J2216" s="614" t="s">
        <v>12705</v>
      </c>
      <c r="K2216"/>
    </row>
    <row r="2217" spans="1:11" ht="48" customHeight="1">
      <c r="A2217" s="616" t="s">
        <v>12706</v>
      </c>
      <c r="B2217" s="617" t="s">
        <v>12995</v>
      </c>
      <c r="C2217" s="616" t="s">
        <v>8</v>
      </c>
      <c r="D2217" s="616" t="s">
        <v>1079</v>
      </c>
      <c r="E2217" s="809" t="s">
        <v>12726</v>
      </c>
      <c r="F2217" s="810"/>
      <c r="G2217" s="618" t="s">
        <v>61</v>
      </c>
      <c r="H2217" s="619">
        <v>1</v>
      </c>
      <c r="I2217" s="620">
        <v>30.79</v>
      </c>
      <c r="J2217" s="620">
        <v>30.79</v>
      </c>
      <c r="K2217"/>
    </row>
    <row r="2218" spans="1:11" ht="48" customHeight="1">
      <c r="A2218" s="621" t="s">
        <v>12708</v>
      </c>
      <c r="B2218" s="622" t="s">
        <v>13278</v>
      </c>
      <c r="C2218" s="621" t="s">
        <v>8</v>
      </c>
      <c r="D2218" s="621" t="s">
        <v>2426</v>
      </c>
      <c r="E2218" s="811" t="s">
        <v>12726</v>
      </c>
      <c r="F2218" s="812"/>
      <c r="G2218" s="623" t="s">
        <v>23</v>
      </c>
      <c r="H2218" s="624">
        <v>1</v>
      </c>
      <c r="I2218" s="625">
        <v>12.87</v>
      </c>
      <c r="J2218" s="625">
        <v>12.87</v>
      </c>
      <c r="K2218"/>
    </row>
    <row r="2219" spans="1:11" ht="51">
      <c r="A2219" s="621" t="s">
        <v>12708</v>
      </c>
      <c r="B2219" s="622" t="s">
        <v>13276</v>
      </c>
      <c r="C2219" s="621" t="s">
        <v>8</v>
      </c>
      <c r="D2219" s="621" t="s">
        <v>2427</v>
      </c>
      <c r="E2219" s="811" t="s">
        <v>12726</v>
      </c>
      <c r="F2219" s="812"/>
      <c r="G2219" s="623" t="s">
        <v>23</v>
      </c>
      <c r="H2219" s="624">
        <v>1</v>
      </c>
      <c r="I2219" s="625">
        <v>2.69</v>
      </c>
      <c r="J2219" s="625">
        <v>2.69</v>
      </c>
      <c r="K2219"/>
    </row>
    <row r="2220" spans="1:11" ht="15" customHeight="1">
      <c r="A2220" s="621" t="s">
        <v>12708</v>
      </c>
      <c r="B2220" s="622" t="s">
        <v>13277</v>
      </c>
      <c r="C2220" s="621" t="s">
        <v>8</v>
      </c>
      <c r="D2220" s="621" t="s">
        <v>2428</v>
      </c>
      <c r="E2220" s="811" t="s">
        <v>12726</v>
      </c>
      <c r="F2220" s="812"/>
      <c r="G2220" s="623" t="s">
        <v>23</v>
      </c>
      <c r="H2220" s="624">
        <v>1</v>
      </c>
      <c r="I2220" s="625">
        <v>1.04</v>
      </c>
      <c r="J2220" s="625">
        <v>1.04</v>
      </c>
      <c r="K2220"/>
    </row>
    <row r="2221" spans="1:11" ht="0.95" customHeight="1">
      <c r="A2221" s="621" t="s">
        <v>12708</v>
      </c>
      <c r="B2221" s="622" t="s">
        <v>13128</v>
      </c>
      <c r="C2221" s="621" t="s">
        <v>8</v>
      </c>
      <c r="D2221" s="621" t="s">
        <v>265</v>
      </c>
      <c r="E2221" s="811" t="s">
        <v>12707</v>
      </c>
      <c r="F2221" s="812"/>
      <c r="G2221" s="623" t="s">
        <v>23</v>
      </c>
      <c r="H2221" s="624">
        <v>1</v>
      </c>
      <c r="I2221" s="625">
        <v>14.19</v>
      </c>
      <c r="J2221" s="625">
        <v>14.19</v>
      </c>
      <c r="K2221"/>
    </row>
    <row r="2222" spans="1:11" ht="18" customHeight="1">
      <c r="A2222" s="631"/>
      <c r="B2222" s="631"/>
      <c r="C2222" s="631"/>
      <c r="D2222" s="631"/>
      <c r="E2222" s="631" t="s">
        <v>12714</v>
      </c>
      <c r="F2222" s="632">
        <v>5.5087035999999996</v>
      </c>
      <c r="G2222" s="631" t="s">
        <v>12715</v>
      </c>
      <c r="H2222" s="632">
        <v>4.68</v>
      </c>
      <c r="I2222" s="631" t="s">
        <v>12716</v>
      </c>
      <c r="J2222" s="632">
        <v>10.19</v>
      </c>
      <c r="K2222"/>
    </row>
    <row r="2223" spans="1:11" ht="60" customHeight="1" thickBot="1">
      <c r="A2223" s="631"/>
      <c r="B2223" s="631"/>
      <c r="C2223" s="631"/>
      <c r="D2223" s="631"/>
      <c r="E2223" s="631" t="s">
        <v>12717</v>
      </c>
      <c r="F2223" s="632">
        <v>8.69</v>
      </c>
      <c r="G2223" s="631"/>
      <c r="H2223" s="806" t="s">
        <v>12718</v>
      </c>
      <c r="I2223" s="806"/>
      <c r="J2223" s="632">
        <v>39.479999999999997</v>
      </c>
      <c r="K2223"/>
    </row>
    <row r="2224" spans="1:11" ht="48" customHeight="1" thickTop="1">
      <c r="A2224" s="633"/>
      <c r="B2224" s="633"/>
      <c r="C2224" s="633"/>
      <c r="D2224" s="633"/>
      <c r="E2224" s="633"/>
      <c r="F2224" s="633"/>
      <c r="G2224" s="633"/>
      <c r="H2224" s="633"/>
      <c r="I2224" s="633"/>
      <c r="J2224" s="633"/>
      <c r="K2224"/>
    </row>
    <row r="2225" spans="1:11" ht="48" customHeight="1">
      <c r="A2225" s="613"/>
      <c r="B2225" s="614" t="s">
        <v>12698</v>
      </c>
      <c r="C2225" s="613" t="s">
        <v>12699</v>
      </c>
      <c r="D2225" s="613" t="s">
        <v>12700</v>
      </c>
      <c r="E2225" s="807" t="s">
        <v>12701</v>
      </c>
      <c r="F2225" s="808"/>
      <c r="G2225" s="615" t="s">
        <v>12702</v>
      </c>
      <c r="H2225" s="614" t="s">
        <v>12703</v>
      </c>
      <c r="I2225" s="614" t="s">
        <v>12704</v>
      </c>
      <c r="J2225" s="614" t="s">
        <v>12705</v>
      </c>
      <c r="K2225"/>
    </row>
    <row r="2226" spans="1:11" ht="51">
      <c r="A2226" s="616" t="s">
        <v>12706</v>
      </c>
      <c r="B2226" s="617" t="s">
        <v>12996</v>
      </c>
      <c r="C2226" s="616" t="s">
        <v>8</v>
      </c>
      <c r="D2226" s="616" t="s">
        <v>1078</v>
      </c>
      <c r="E2226" s="809" t="s">
        <v>12726</v>
      </c>
      <c r="F2226" s="810"/>
      <c r="G2226" s="618" t="s">
        <v>44</v>
      </c>
      <c r="H2226" s="619">
        <v>1</v>
      </c>
      <c r="I2226" s="620">
        <v>159.11000000000001</v>
      </c>
      <c r="J2226" s="620">
        <v>159.11000000000001</v>
      </c>
      <c r="K2226"/>
    </row>
    <row r="2227" spans="1:11" ht="15" customHeight="1">
      <c r="A2227" s="621" t="s">
        <v>12708</v>
      </c>
      <c r="B2227" s="622" t="s">
        <v>13275</v>
      </c>
      <c r="C2227" s="621" t="s">
        <v>8</v>
      </c>
      <c r="D2227" s="621" t="s">
        <v>1051</v>
      </c>
      <c r="E2227" s="811" t="s">
        <v>12726</v>
      </c>
      <c r="F2227" s="812"/>
      <c r="G2227" s="623" t="s">
        <v>23</v>
      </c>
      <c r="H2227" s="624">
        <v>1</v>
      </c>
      <c r="I2227" s="625">
        <v>24.13</v>
      </c>
      <c r="J2227" s="625">
        <v>24.13</v>
      </c>
      <c r="K2227"/>
    </row>
    <row r="2228" spans="1:11" ht="0.95" customHeight="1">
      <c r="A2228" s="621" t="s">
        <v>12708</v>
      </c>
      <c r="B2228" s="622" t="s">
        <v>13272</v>
      </c>
      <c r="C2228" s="621" t="s">
        <v>8</v>
      </c>
      <c r="D2228" s="621" t="s">
        <v>1132</v>
      </c>
      <c r="E2228" s="811" t="s">
        <v>12726</v>
      </c>
      <c r="F2228" s="812"/>
      <c r="G2228" s="623" t="s">
        <v>23</v>
      </c>
      <c r="H2228" s="624">
        <v>1</v>
      </c>
      <c r="I2228" s="625">
        <v>104.19</v>
      </c>
      <c r="J2228" s="625">
        <v>104.19</v>
      </c>
      <c r="K2228"/>
    </row>
    <row r="2229" spans="1:11" ht="18" customHeight="1">
      <c r="A2229" s="621" t="s">
        <v>12708</v>
      </c>
      <c r="B2229" s="622" t="s">
        <v>13278</v>
      </c>
      <c r="C2229" s="621" t="s">
        <v>8</v>
      </c>
      <c r="D2229" s="621" t="s">
        <v>2426</v>
      </c>
      <c r="E2229" s="811" t="s">
        <v>12726</v>
      </c>
      <c r="F2229" s="812"/>
      <c r="G2229" s="623" t="s">
        <v>23</v>
      </c>
      <c r="H2229" s="624">
        <v>1</v>
      </c>
      <c r="I2229" s="625">
        <v>12.87</v>
      </c>
      <c r="J2229" s="625">
        <v>12.87</v>
      </c>
      <c r="K2229"/>
    </row>
    <row r="2230" spans="1:11" ht="60" customHeight="1">
      <c r="A2230" s="621" t="s">
        <v>12708</v>
      </c>
      <c r="B2230" s="622" t="s">
        <v>13276</v>
      </c>
      <c r="C2230" s="621" t="s">
        <v>8</v>
      </c>
      <c r="D2230" s="621" t="s">
        <v>2427</v>
      </c>
      <c r="E2230" s="811" t="s">
        <v>12726</v>
      </c>
      <c r="F2230" s="812"/>
      <c r="G2230" s="623" t="s">
        <v>23</v>
      </c>
      <c r="H2230" s="624">
        <v>1</v>
      </c>
      <c r="I2230" s="625">
        <v>2.69</v>
      </c>
      <c r="J2230" s="625">
        <v>2.69</v>
      </c>
      <c r="K2230"/>
    </row>
    <row r="2231" spans="1:11" ht="48" customHeight="1">
      <c r="A2231" s="621" t="s">
        <v>12708</v>
      </c>
      <c r="B2231" s="622" t="s">
        <v>13277</v>
      </c>
      <c r="C2231" s="621" t="s">
        <v>8</v>
      </c>
      <c r="D2231" s="621" t="s">
        <v>2428</v>
      </c>
      <c r="E2231" s="811" t="s">
        <v>12726</v>
      </c>
      <c r="F2231" s="812"/>
      <c r="G2231" s="623" t="s">
        <v>23</v>
      </c>
      <c r="H2231" s="624">
        <v>1</v>
      </c>
      <c r="I2231" s="625">
        <v>1.04</v>
      </c>
      <c r="J2231" s="625">
        <v>1.04</v>
      </c>
      <c r="K2231"/>
    </row>
    <row r="2232" spans="1:11" ht="48" customHeight="1">
      <c r="A2232" s="621" t="s">
        <v>12708</v>
      </c>
      <c r="B2232" s="622" t="s">
        <v>13128</v>
      </c>
      <c r="C2232" s="621" t="s">
        <v>8</v>
      </c>
      <c r="D2232" s="621" t="s">
        <v>265</v>
      </c>
      <c r="E2232" s="811" t="s">
        <v>12707</v>
      </c>
      <c r="F2232" s="812"/>
      <c r="G2232" s="623" t="s">
        <v>23</v>
      </c>
      <c r="H2232" s="624">
        <v>1</v>
      </c>
      <c r="I2232" s="625">
        <v>14.19</v>
      </c>
      <c r="J2232" s="625">
        <v>14.19</v>
      </c>
      <c r="K2232"/>
    </row>
    <row r="2233" spans="1:11" ht="25.5">
      <c r="A2233" s="631"/>
      <c r="B2233" s="631"/>
      <c r="C2233" s="631"/>
      <c r="D2233" s="631"/>
      <c r="E2233" s="631" t="s">
        <v>12714</v>
      </c>
      <c r="F2233" s="632">
        <v>5.5087035999999996</v>
      </c>
      <c r="G2233" s="631" t="s">
        <v>12715</v>
      </c>
      <c r="H2233" s="632">
        <v>4.68</v>
      </c>
      <c r="I2233" s="631" t="s">
        <v>12716</v>
      </c>
      <c r="J2233" s="632">
        <v>10.19</v>
      </c>
      <c r="K2233"/>
    </row>
    <row r="2234" spans="1:11" ht="15" customHeight="1" thickBot="1">
      <c r="A2234" s="631"/>
      <c r="B2234" s="631"/>
      <c r="C2234" s="631"/>
      <c r="D2234" s="631"/>
      <c r="E2234" s="631" t="s">
        <v>12717</v>
      </c>
      <c r="F2234" s="632">
        <v>44.93</v>
      </c>
      <c r="G2234" s="631"/>
      <c r="H2234" s="806" t="s">
        <v>12718</v>
      </c>
      <c r="I2234" s="806"/>
      <c r="J2234" s="632">
        <v>204.04</v>
      </c>
      <c r="K2234"/>
    </row>
    <row r="2235" spans="1:11" ht="0.95" customHeight="1" thickTop="1">
      <c r="A2235" s="633"/>
      <c r="B2235" s="633"/>
      <c r="C2235" s="633"/>
      <c r="D2235" s="633"/>
      <c r="E2235" s="633"/>
      <c r="F2235" s="633"/>
      <c r="G2235" s="633"/>
      <c r="H2235" s="633"/>
      <c r="I2235" s="633"/>
      <c r="J2235" s="633"/>
      <c r="K2235"/>
    </row>
    <row r="2236" spans="1:11" ht="18" customHeight="1">
      <c r="A2236" s="613"/>
      <c r="B2236" s="614" t="s">
        <v>12698</v>
      </c>
      <c r="C2236" s="613" t="s">
        <v>12699</v>
      </c>
      <c r="D2236" s="613" t="s">
        <v>12700</v>
      </c>
      <c r="E2236" s="807" t="s">
        <v>12701</v>
      </c>
      <c r="F2236" s="808"/>
      <c r="G2236" s="615" t="s">
        <v>12702</v>
      </c>
      <c r="H2236" s="614" t="s">
        <v>12703</v>
      </c>
      <c r="I2236" s="614" t="s">
        <v>12704</v>
      </c>
      <c r="J2236" s="614" t="s">
        <v>12705</v>
      </c>
      <c r="K2236"/>
    </row>
    <row r="2237" spans="1:11" ht="60" customHeight="1">
      <c r="A2237" s="616" t="s">
        <v>12706</v>
      </c>
      <c r="B2237" s="617" t="s">
        <v>13278</v>
      </c>
      <c r="C2237" s="616" t="s">
        <v>8</v>
      </c>
      <c r="D2237" s="616" t="s">
        <v>2426</v>
      </c>
      <c r="E2237" s="809" t="s">
        <v>12726</v>
      </c>
      <c r="F2237" s="810"/>
      <c r="G2237" s="618" t="s">
        <v>23</v>
      </c>
      <c r="H2237" s="619">
        <v>1</v>
      </c>
      <c r="I2237" s="620">
        <v>12.87</v>
      </c>
      <c r="J2237" s="620">
        <v>12.87</v>
      </c>
      <c r="K2237"/>
    </row>
    <row r="2238" spans="1:11" ht="48" customHeight="1">
      <c r="A2238" s="626" t="s">
        <v>12709</v>
      </c>
      <c r="B2238" s="627" t="s">
        <v>13274</v>
      </c>
      <c r="C2238" s="626" t="s">
        <v>8</v>
      </c>
      <c r="D2238" s="626" t="s">
        <v>8201</v>
      </c>
      <c r="E2238" s="804" t="s">
        <v>12711</v>
      </c>
      <c r="F2238" s="805"/>
      <c r="G2238" s="628" t="s">
        <v>35</v>
      </c>
      <c r="H2238" s="629">
        <v>3.43E-5</v>
      </c>
      <c r="I2238" s="630">
        <v>320483.24</v>
      </c>
      <c r="J2238" s="630">
        <v>10.99</v>
      </c>
      <c r="K2238"/>
    </row>
    <row r="2239" spans="1:11" ht="48" customHeight="1">
      <c r="A2239" s="626" t="s">
        <v>12709</v>
      </c>
      <c r="B2239" s="627" t="s">
        <v>13273</v>
      </c>
      <c r="C2239" s="626" t="s">
        <v>8</v>
      </c>
      <c r="D2239" s="626" t="s">
        <v>11409</v>
      </c>
      <c r="E2239" s="804" t="s">
        <v>12720</v>
      </c>
      <c r="F2239" s="805"/>
      <c r="G2239" s="628" t="s">
        <v>35</v>
      </c>
      <c r="H2239" s="629">
        <v>3.43E-5</v>
      </c>
      <c r="I2239" s="630">
        <v>55000</v>
      </c>
      <c r="J2239" s="630">
        <v>1.88</v>
      </c>
      <c r="K2239"/>
    </row>
    <row r="2240" spans="1:11" ht="25.5">
      <c r="A2240" s="631"/>
      <c r="B2240" s="631"/>
      <c r="C2240" s="631"/>
      <c r="D2240" s="631"/>
      <c r="E2240" s="631" t="s">
        <v>12714</v>
      </c>
      <c r="F2240" s="632">
        <v>0</v>
      </c>
      <c r="G2240" s="631" t="s">
        <v>12715</v>
      </c>
      <c r="H2240" s="632">
        <v>0</v>
      </c>
      <c r="I2240" s="631" t="s">
        <v>12716</v>
      </c>
      <c r="J2240" s="632">
        <v>0</v>
      </c>
      <c r="K2240"/>
    </row>
    <row r="2241" spans="1:11" ht="15" customHeight="1" thickBot="1">
      <c r="A2241" s="631"/>
      <c r="B2241" s="631"/>
      <c r="C2241" s="631"/>
      <c r="D2241" s="631"/>
      <c r="E2241" s="631" t="s">
        <v>12717</v>
      </c>
      <c r="F2241" s="632">
        <v>3.63</v>
      </c>
      <c r="G2241" s="631"/>
      <c r="H2241" s="806" t="s">
        <v>12718</v>
      </c>
      <c r="I2241" s="806"/>
      <c r="J2241" s="632">
        <v>16.5</v>
      </c>
      <c r="K2241"/>
    </row>
    <row r="2242" spans="1:11" ht="0.95" customHeight="1" thickTop="1">
      <c r="A2242" s="633"/>
      <c r="B2242" s="633"/>
      <c r="C2242" s="633"/>
      <c r="D2242" s="633"/>
      <c r="E2242" s="633"/>
      <c r="F2242" s="633"/>
      <c r="G2242" s="633"/>
      <c r="H2242" s="633"/>
      <c r="I2242" s="633"/>
      <c r="J2242" s="633"/>
      <c r="K2242"/>
    </row>
    <row r="2243" spans="1:11" ht="18" customHeight="1">
      <c r="A2243" s="613"/>
      <c r="B2243" s="614" t="s">
        <v>12698</v>
      </c>
      <c r="C2243" s="613" t="s">
        <v>12699</v>
      </c>
      <c r="D2243" s="613" t="s">
        <v>12700</v>
      </c>
      <c r="E2243" s="807" t="s">
        <v>12701</v>
      </c>
      <c r="F2243" s="808"/>
      <c r="G2243" s="615" t="s">
        <v>12702</v>
      </c>
      <c r="H2243" s="614" t="s">
        <v>12703</v>
      </c>
      <c r="I2243" s="614" t="s">
        <v>12704</v>
      </c>
      <c r="J2243" s="614" t="s">
        <v>12705</v>
      </c>
      <c r="K2243"/>
    </row>
    <row r="2244" spans="1:11" ht="60" customHeight="1">
      <c r="A2244" s="616" t="s">
        <v>12706</v>
      </c>
      <c r="B2244" s="617" t="s">
        <v>13277</v>
      </c>
      <c r="C2244" s="616" t="s">
        <v>8</v>
      </c>
      <c r="D2244" s="616" t="s">
        <v>2428</v>
      </c>
      <c r="E2244" s="809" t="s">
        <v>12726</v>
      </c>
      <c r="F2244" s="810"/>
      <c r="G2244" s="618" t="s">
        <v>23</v>
      </c>
      <c r="H2244" s="619">
        <v>1</v>
      </c>
      <c r="I2244" s="620">
        <v>1.04</v>
      </c>
      <c r="J2244" s="620">
        <v>1.04</v>
      </c>
      <c r="K2244"/>
    </row>
    <row r="2245" spans="1:11" ht="24" customHeight="1">
      <c r="A2245" s="626" t="s">
        <v>12709</v>
      </c>
      <c r="B2245" s="627" t="s">
        <v>13274</v>
      </c>
      <c r="C2245" s="626" t="s">
        <v>8</v>
      </c>
      <c r="D2245" s="626" t="s">
        <v>8201</v>
      </c>
      <c r="E2245" s="804" t="s">
        <v>12711</v>
      </c>
      <c r="F2245" s="805"/>
      <c r="G2245" s="628" t="s">
        <v>35</v>
      </c>
      <c r="H2245" s="629">
        <v>2.7999999999999999E-6</v>
      </c>
      <c r="I2245" s="630">
        <v>320483.24</v>
      </c>
      <c r="J2245" s="630">
        <v>0.89</v>
      </c>
      <c r="K2245"/>
    </row>
    <row r="2246" spans="1:11" ht="51">
      <c r="A2246" s="626" t="s">
        <v>12709</v>
      </c>
      <c r="B2246" s="627" t="s">
        <v>13273</v>
      </c>
      <c r="C2246" s="626" t="s">
        <v>8</v>
      </c>
      <c r="D2246" s="626" t="s">
        <v>11409</v>
      </c>
      <c r="E2246" s="804" t="s">
        <v>12720</v>
      </c>
      <c r="F2246" s="805"/>
      <c r="G2246" s="628" t="s">
        <v>35</v>
      </c>
      <c r="H2246" s="629">
        <v>2.7999999999999999E-6</v>
      </c>
      <c r="I2246" s="630">
        <v>55000</v>
      </c>
      <c r="J2246" s="630">
        <v>0.15</v>
      </c>
      <c r="K2246"/>
    </row>
    <row r="2247" spans="1:11" ht="15" customHeight="1">
      <c r="A2247" s="631"/>
      <c r="B2247" s="631"/>
      <c r="C2247" s="631"/>
      <c r="D2247" s="631"/>
      <c r="E2247" s="631" t="s">
        <v>12714</v>
      </c>
      <c r="F2247" s="632">
        <v>0</v>
      </c>
      <c r="G2247" s="631" t="s">
        <v>12715</v>
      </c>
      <c r="H2247" s="632">
        <v>0</v>
      </c>
      <c r="I2247" s="631" t="s">
        <v>12716</v>
      </c>
      <c r="J2247" s="632">
        <v>0</v>
      </c>
      <c r="K2247"/>
    </row>
    <row r="2248" spans="1:11" ht="0.95" customHeight="1" thickBot="1">
      <c r="A2248" s="631"/>
      <c r="B2248" s="631"/>
      <c r="C2248" s="631"/>
      <c r="D2248" s="631"/>
      <c r="E2248" s="631" t="s">
        <v>12717</v>
      </c>
      <c r="F2248" s="632">
        <v>0.28999999999999998</v>
      </c>
      <c r="G2248" s="631"/>
      <c r="H2248" s="806" t="s">
        <v>12718</v>
      </c>
      <c r="I2248" s="806"/>
      <c r="J2248" s="632">
        <v>1.33</v>
      </c>
      <c r="K2248"/>
    </row>
    <row r="2249" spans="1:11" ht="18" customHeight="1" thickTop="1">
      <c r="A2249" s="633"/>
      <c r="B2249" s="633"/>
      <c r="C2249" s="633"/>
      <c r="D2249" s="633"/>
      <c r="E2249" s="633"/>
      <c r="F2249" s="633"/>
      <c r="G2249" s="633"/>
      <c r="H2249" s="633"/>
      <c r="I2249" s="633"/>
      <c r="J2249" s="633"/>
      <c r="K2249"/>
    </row>
    <row r="2250" spans="1:11" ht="24" customHeight="1">
      <c r="A2250" s="613"/>
      <c r="B2250" s="614" t="s">
        <v>12698</v>
      </c>
      <c r="C2250" s="613" t="s">
        <v>12699</v>
      </c>
      <c r="D2250" s="613" t="s">
        <v>12700</v>
      </c>
      <c r="E2250" s="807" t="s">
        <v>12701</v>
      </c>
      <c r="F2250" s="808"/>
      <c r="G2250" s="615" t="s">
        <v>12702</v>
      </c>
      <c r="H2250" s="614" t="s">
        <v>12703</v>
      </c>
      <c r="I2250" s="614" t="s">
        <v>12704</v>
      </c>
      <c r="J2250" s="614" t="s">
        <v>12705</v>
      </c>
      <c r="K2250"/>
    </row>
    <row r="2251" spans="1:11" ht="24" customHeight="1">
      <c r="A2251" s="616" t="s">
        <v>12706</v>
      </c>
      <c r="B2251" s="617" t="s">
        <v>13276</v>
      </c>
      <c r="C2251" s="616" t="s">
        <v>8</v>
      </c>
      <c r="D2251" s="616" t="s">
        <v>2427</v>
      </c>
      <c r="E2251" s="809" t="s">
        <v>12726</v>
      </c>
      <c r="F2251" s="810"/>
      <c r="G2251" s="618" t="s">
        <v>23</v>
      </c>
      <c r="H2251" s="619">
        <v>1</v>
      </c>
      <c r="I2251" s="620">
        <v>2.69</v>
      </c>
      <c r="J2251" s="620">
        <v>2.69</v>
      </c>
      <c r="K2251"/>
    </row>
    <row r="2252" spans="1:11" ht="24" customHeight="1">
      <c r="A2252" s="626" t="s">
        <v>12709</v>
      </c>
      <c r="B2252" s="627" t="s">
        <v>13274</v>
      </c>
      <c r="C2252" s="626" t="s">
        <v>8</v>
      </c>
      <c r="D2252" s="626" t="s">
        <v>8201</v>
      </c>
      <c r="E2252" s="804" t="s">
        <v>12711</v>
      </c>
      <c r="F2252" s="805"/>
      <c r="G2252" s="628" t="s">
        <v>35</v>
      </c>
      <c r="H2252" s="629">
        <v>7.1999999999999997E-6</v>
      </c>
      <c r="I2252" s="630">
        <v>320483.24</v>
      </c>
      <c r="J2252" s="630">
        <v>2.2999999999999998</v>
      </c>
      <c r="K2252"/>
    </row>
    <row r="2253" spans="1:11" ht="24" customHeight="1">
      <c r="A2253" s="626" t="s">
        <v>12709</v>
      </c>
      <c r="B2253" s="627" t="s">
        <v>13273</v>
      </c>
      <c r="C2253" s="626" t="s">
        <v>8</v>
      </c>
      <c r="D2253" s="626" t="s">
        <v>11409</v>
      </c>
      <c r="E2253" s="804" t="s">
        <v>12720</v>
      </c>
      <c r="F2253" s="805"/>
      <c r="G2253" s="628" t="s">
        <v>35</v>
      </c>
      <c r="H2253" s="629">
        <v>7.1999999999999997E-6</v>
      </c>
      <c r="I2253" s="630">
        <v>55000</v>
      </c>
      <c r="J2253" s="630">
        <v>0.39</v>
      </c>
      <c r="K2253"/>
    </row>
    <row r="2254" spans="1:11" ht="24" customHeight="1">
      <c r="A2254" s="631"/>
      <c r="B2254" s="631"/>
      <c r="C2254" s="631"/>
      <c r="D2254" s="631"/>
      <c r="E2254" s="631" t="s">
        <v>12714</v>
      </c>
      <c r="F2254" s="632">
        <v>0</v>
      </c>
      <c r="G2254" s="631" t="s">
        <v>12715</v>
      </c>
      <c r="H2254" s="632">
        <v>0</v>
      </c>
      <c r="I2254" s="631" t="s">
        <v>12716</v>
      </c>
      <c r="J2254" s="632">
        <v>0</v>
      </c>
      <c r="K2254"/>
    </row>
    <row r="2255" spans="1:11" ht="24" customHeight="1" thickBot="1">
      <c r="A2255" s="631"/>
      <c r="B2255" s="631"/>
      <c r="C2255" s="631"/>
      <c r="D2255" s="631"/>
      <c r="E2255" s="631" t="s">
        <v>12717</v>
      </c>
      <c r="F2255" s="632">
        <v>0.75</v>
      </c>
      <c r="G2255" s="631"/>
      <c r="H2255" s="806" t="s">
        <v>12718</v>
      </c>
      <c r="I2255" s="806"/>
      <c r="J2255" s="632">
        <v>3.44</v>
      </c>
      <c r="K2255"/>
    </row>
    <row r="2256" spans="1:11" ht="24" customHeight="1" thickTop="1">
      <c r="A2256" s="633"/>
      <c r="B2256" s="633"/>
      <c r="C2256" s="633"/>
      <c r="D2256" s="633"/>
      <c r="E2256" s="633"/>
      <c r="F2256" s="633"/>
      <c r="G2256" s="633"/>
      <c r="H2256" s="633"/>
      <c r="I2256" s="633"/>
      <c r="J2256" s="633"/>
      <c r="K2256"/>
    </row>
    <row r="2257" spans="1:11" ht="24" customHeight="1">
      <c r="A2257" s="613"/>
      <c r="B2257" s="614" t="s">
        <v>12698</v>
      </c>
      <c r="C2257" s="613" t="s">
        <v>12699</v>
      </c>
      <c r="D2257" s="613" t="s">
        <v>12700</v>
      </c>
      <c r="E2257" s="807" t="s">
        <v>12701</v>
      </c>
      <c r="F2257" s="808"/>
      <c r="G2257" s="615" t="s">
        <v>12702</v>
      </c>
      <c r="H2257" s="614" t="s">
        <v>12703</v>
      </c>
      <c r="I2257" s="614" t="s">
        <v>12704</v>
      </c>
      <c r="J2257" s="614" t="s">
        <v>12705</v>
      </c>
      <c r="K2257"/>
    </row>
    <row r="2258" spans="1:11" ht="24" customHeight="1">
      <c r="A2258" s="616" t="s">
        <v>12706</v>
      </c>
      <c r="B2258" s="617" t="s">
        <v>13275</v>
      </c>
      <c r="C2258" s="616" t="s">
        <v>8</v>
      </c>
      <c r="D2258" s="616" t="s">
        <v>1051</v>
      </c>
      <c r="E2258" s="809" t="s">
        <v>12726</v>
      </c>
      <c r="F2258" s="810"/>
      <c r="G2258" s="618" t="s">
        <v>23</v>
      </c>
      <c r="H2258" s="619">
        <v>1</v>
      </c>
      <c r="I2258" s="620">
        <v>24.13</v>
      </c>
      <c r="J2258" s="620">
        <v>24.13</v>
      </c>
      <c r="K2258"/>
    </row>
    <row r="2259" spans="1:11" ht="38.25">
      <c r="A2259" s="626" t="s">
        <v>12709</v>
      </c>
      <c r="B2259" s="627" t="s">
        <v>13274</v>
      </c>
      <c r="C2259" s="626" t="s">
        <v>8</v>
      </c>
      <c r="D2259" s="626" t="s">
        <v>8201</v>
      </c>
      <c r="E2259" s="804" t="s">
        <v>12711</v>
      </c>
      <c r="F2259" s="805"/>
      <c r="G2259" s="628" t="s">
        <v>35</v>
      </c>
      <c r="H2259" s="629">
        <v>6.4300000000000004E-5</v>
      </c>
      <c r="I2259" s="630">
        <v>320483.24</v>
      </c>
      <c r="J2259" s="630">
        <v>20.6</v>
      </c>
      <c r="K2259"/>
    </row>
    <row r="2260" spans="1:11" ht="15" customHeight="1">
      <c r="A2260" s="626" t="s">
        <v>12709</v>
      </c>
      <c r="B2260" s="627" t="s">
        <v>13273</v>
      </c>
      <c r="C2260" s="626" t="s">
        <v>8</v>
      </c>
      <c r="D2260" s="626" t="s">
        <v>11409</v>
      </c>
      <c r="E2260" s="804" t="s">
        <v>12720</v>
      </c>
      <c r="F2260" s="805"/>
      <c r="G2260" s="628" t="s">
        <v>35</v>
      </c>
      <c r="H2260" s="629">
        <v>6.4300000000000004E-5</v>
      </c>
      <c r="I2260" s="630">
        <v>55000</v>
      </c>
      <c r="J2260" s="630">
        <v>3.53</v>
      </c>
      <c r="K2260"/>
    </row>
    <row r="2261" spans="1:11" ht="0.95" customHeight="1">
      <c r="A2261" s="631"/>
      <c r="B2261" s="631"/>
      <c r="C2261" s="631"/>
      <c r="D2261" s="631"/>
      <c r="E2261" s="631" t="s">
        <v>12714</v>
      </c>
      <c r="F2261" s="632">
        <v>0</v>
      </c>
      <c r="G2261" s="631" t="s">
        <v>12715</v>
      </c>
      <c r="H2261" s="632">
        <v>0</v>
      </c>
      <c r="I2261" s="631" t="s">
        <v>12716</v>
      </c>
      <c r="J2261" s="632">
        <v>0</v>
      </c>
      <c r="K2261"/>
    </row>
    <row r="2262" spans="1:11" ht="18" customHeight="1" thickBot="1">
      <c r="A2262" s="631"/>
      <c r="B2262" s="631"/>
      <c r="C2262" s="631"/>
      <c r="D2262" s="631"/>
      <c r="E2262" s="631" t="s">
        <v>12717</v>
      </c>
      <c r="F2262" s="632">
        <v>6.81</v>
      </c>
      <c r="G2262" s="631"/>
      <c r="H2262" s="806" t="s">
        <v>12718</v>
      </c>
      <c r="I2262" s="806"/>
      <c r="J2262" s="632">
        <v>30.94</v>
      </c>
      <c r="K2262"/>
    </row>
    <row r="2263" spans="1:11" ht="24" customHeight="1" thickTop="1">
      <c r="A2263" s="633"/>
      <c r="B2263" s="633"/>
      <c r="C2263" s="633"/>
      <c r="D2263" s="633"/>
      <c r="E2263" s="633"/>
      <c r="F2263" s="633"/>
      <c r="G2263" s="633"/>
      <c r="H2263" s="633"/>
      <c r="I2263" s="633"/>
      <c r="J2263" s="633"/>
      <c r="K2263"/>
    </row>
    <row r="2264" spans="1:11" ht="24" customHeight="1">
      <c r="A2264" s="613"/>
      <c r="B2264" s="614" t="s">
        <v>12698</v>
      </c>
      <c r="C2264" s="613" t="s">
        <v>12699</v>
      </c>
      <c r="D2264" s="613" t="s">
        <v>12700</v>
      </c>
      <c r="E2264" s="807" t="s">
        <v>12701</v>
      </c>
      <c r="F2264" s="808"/>
      <c r="G2264" s="615" t="s">
        <v>12702</v>
      </c>
      <c r="H2264" s="614" t="s">
        <v>12703</v>
      </c>
      <c r="I2264" s="614" t="s">
        <v>12704</v>
      </c>
      <c r="J2264" s="614" t="s">
        <v>12705</v>
      </c>
      <c r="K2264"/>
    </row>
    <row r="2265" spans="1:11" ht="24" customHeight="1">
      <c r="A2265" s="616" t="s">
        <v>12706</v>
      </c>
      <c r="B2265" s="617" t="s">
        <v>13272</v>
      </c>
      <c r="C2265" s="616" t="s">
        <v>8</v>
      </c>
      <c r="D2265" s="616" t="s">
        <v>1132</v>
      </c>
      <c r="E2265" s="809" t="s">
        <v>12726</v>
      </c>
      <c r="F2265" s="810"/>
      <c r="G2265" s="618" t="s">
        <v>23</v>
      </c>
      <c r="H2265" s="619">
        <v>1</v>
      </c>
      <c r="I2265" s="620">
        <v>104.19</v>
      </c>
      <c r="J2265" s="620">
        <v>104.19</v>
      </c>
      <c r="K2265"/>
    </row>
    <row r="2266" spans="1:11" ht="24" customHeight="1">
      <c r="A2266" s="626" t="s">
        <v>12709</v>
      </c>
      <c r="B2266" s="627" t="s">
        <v>13007</v>
      </c>
      <c r="C2266" s="626" t="s">
        <v>8</v>
      </c>
      <c r="D2266" s="626" t="s">
        <v>10549</v>
      </c>
      <c r="E2266" s="804" t="s">
        <v>12720</v>
      </c>
      <c r="F2266" s="805"/>
      <c r="G2266" s="628" t="s">
        <v>58</v>
      </c>
      <c r="H2266" s="629">
        <v>32.159999999999997</v>
      </c>
      <c r="I2266" s="630">
        <v>3.24</v>
      </c>
      <c r="J2266" s="630">
        <v>104.19</v>
      </c>
      <c r="K2266"/>
    </row>
    <row r="2267" spans="1:11" ht="24" customHeight="1">
      <c r="A2267" s="631"/>
      <c r="B2267" s="631"/>
      <c r="C2267" s="631"/>
      <c r="D2267" s="631"/>
      <c r="E2267" s="631" t="s">
        <v>12714</v>
      </c>
      <c r="F2267" s="632">
        <v>0</v>
      </c>
      <c r="G2267" s="631" t="s">
        <v>12715</v>
      </c>
      <c r="H2267" s="632">
        <v>0</v>
      </c>
      <c r="I2267" s="631" t="s">
        <v>12716</v>
      </c>
      <c r="J2267" s="632">
        <v>0</v>
      </c>
      <c r="K2267"/>
    </row>
    <row r="2268" spans="1:11" ht="24" customHeight="1" thickBot="1">
      <c r="A2268" s="631"/>
      <c r="B2268" s="631"/>
      <c r="C2268" s="631"/>
      <c r="D2268" s="631"/>
      <c r="E2268" s="631" t="s">
        <v>12717</v>
      </c>
      <c r="F2268" s="632">
        <v>29.42</v>
      </c>
      <c r="G2268" s="631"/>
      <c r="H2268" s="806" t="s">
        <v>12718</v>
      </c>
      <c r="I2268" s="806"/>
      <c r="J2268" s="632">
        <v>133.61000000000001</v>
      </c>
      <c r="K2268"/>
    </row>
    <row r="2269" spans="1:11" ht="24" customHeight="1" thickTop="1">
      <c r="A2269" s="633"/>
      <c r="B2269" s="633"/>
      <c r="C2269" s="633"/>
      <c r="D2269" s="633"/>
      <c r="E2269" s="633"/>
      <c r="F2269" s="633"/>
      <c r="G2269" s="633"/>
      <c r="H2269" s="633"/>
      <c r="I2269" s="633"/>
      <c r="J2269" s="633"/>
      <c r="K2269"/>
    </row>
    <row r="2270" spans="1:11" ht="24" customHeight="1">
      <c r="A2270" s="613"/>
      <c r="B2270" s="614" t="s">
        <v>12698</v>
      </c>
      <c r="C2270" s="613" t="s">
        <v>12699</v>
      </c>
      <c r="D2270" s="613" t="s">
        <v>12700</v>
      </c>
      <c r="E2270" s="807" t="s">
        <v>12701</v>
      </c>
      <c r="F2270" s="808"/>
      <c r="G2270" s="615" t="s">
        <v>12702</v>
      </c>
      <c r="H2270" s="614" t="s">
        <v>12703</v>
      </c>
      <c r="I2270" s="614" t="s">
        <v>12704</v>
      </c>
      <c r="J2270" s="614" t="s">
        <v>12705</v>
      </c>
      <c r="K2270"/>
    </row>
    <row r="2271" spans="1:11" ht="24" customHeight="1">
      <c r="A2271" s="616" t="s">
        <v>12706</v>
      </c>
      <c r="B2271" s="617" t="s">
        <v>13085</v>
      </c>
      <c r="C2271" s="616" t="s">
        <v>8</v>
      </c>
      <c r="D2271" s="616" t="s">
        <v>53</v>
      </c>
      <c r="E2271" s="809" t="s">
        <v>12707</v>
      </c>
      <c r="F2271" s="810"/>
      <c r="G2271" s="618" t="s">
        <v>23</v>
      </c>
      <c r="H2271" s="619">
        <v>1</v>
      </c>
      <c r="I2271" s="620">
        <v>18.84</v>
      </c>
      <c r="J2271" s="620">
        <v>18.84</v>
      </c>
      <c r="K2271"/>
    </row>
    <row r="2272" spans="1:11" ht="25.5">
      <c r="A2272" s="621" t="s">
        <v>12708</v>
      </c>
      <c r="B2272" s="622" t="s">
        <v>13215</v>
      </c>
      <c r="C2272" s="621" t="s">
        <v>8</v>
      </c>
      <c r="D2272" s="621" t="s">
        <v>3646</v>
      </c>
      <c r="E2272" s="811" t="s">
        <v>12707</v>
      </c>
      <c r="F2272" s="812"/>
      <c r="G2272" s="623" t="s">
        <v>23</v>
      </c>
      <c r="H2272" s="624">
        <v>1</v>
      </c>
      <c r="I2272" s="625">
        <v>0.14000000000000001</v>
      </c>
      <c r="J2272" s="625">
        <v>0.14000000000000001</v>
      </c>
      <c r="K2272"/>
    </row>
    <row r="2273" spans="1:11" ht="15" customHeight="1">
      <c r="A2273" s="626" t="s">
        <v>12709</v>
      </c>
      <c r="B2273" s="627" t="s">
        <v>13004</v>
      </c>
      <c r="C2273" s="626" t="s">
        <v>8</v>
      </c>
      <c r="D2273" s="626" t="s">
        <v>7388</v>
      </c>
      <c r="E2273" s="804" t="s">
        <v>12712</v>
      </c>
      <c r="F2273" s="805"/>
      <c r="G2273" s="628" t="s">
        <v>23</v>
      </c>
      <c r="H2273" s="629">
        <v>1</v>
      </c>
      <c r="I2273" s="630">
        <v>2.2000000000000002</v>
      </c>
      <c r="J2273" s="630">
        <v>2.2000000000000002</v>
      </c>
      <c r="K2273"/>
    </row>
    <row r="2274" spans="1:11" ht="0.95" customHeight="1">
      <c r="A2274" s="626" t="s">
        <v>12709</v>
      </c>
      <c r="B2274" s="627" t="s">
        <v>13214</v>
      </c>
      <c r="C2274" s="626" t="s">
        <v>8</v>
      </c>
      <c r="D2274" s="626" t="s">
        <v>8291</v>
      </c>
      <c r="E2274" s="804" t="s">
        <v>12710</v>
      </c>
      <c r="F2274" s="805"/>
      <c r="G2274" s="628" t="s">
        <v>23</v>
      </c>
      <c r="H2274" s="629">
        <v>1</v>
      </c>
      <c r="I2274" s="630">
        <v>13.95</v>
      </c>
      <c r="J2274" s="630">
        <v>13.95</v>
      </c>
      <c r="K2274"/>
    </row>
    <row r="2275" spans="1:11" ht="18" customHeight="1">
      <c r="A2275" s="626" t="s">
        <v>12709</v>
      </c>
      <c r="B2275" s="627" t="s">
        <v>13032</v>
      </c>
      <c r="C2275" s="626" t="s">
        <v>8</v>
      </c>
      <c r="D2275" s="626" t="s">
        <v>9217</v>
      </c>
      <c r="E2275" s="804" t="s">
        <v>12711</v>
      </c>
      <c r="F2275" s="805"/>
      <c r="G2275" s="628" t="s">
        <v>23</v>
      </c>
      <c r="H2275" s="629">
        <v>1</v>
      </c>
      <c r="I2275" s="630">
        <v>1.08</v>
      </c>
      <c r="J2275" s="630">
        <v>1.08</v>
      </c>
      <c r="K2275"/>
    </row>
    <row r="2276" spans="1:11" ht="36" customHeight="1">
      <c r="A2276" s="626" t="s">
        <v>12709</v>
      </c>
      <c r="B2276" s="627" t="s">
        <v>13002</v>
      </c>
      <c r="C2276" s="626" t="s">
        <v>8</v>
      </c>
      <c r="D2276" s="626" t="s">
        <v>9306</v>
      </c>
      <c r="E2276" s="804" t="s">
        <v>12712</v>
      </c>
      <c r="F2276" s="805"/>
      <c r="G2276" s="628" t="s">
        <v>23</v>
      </c>
      <c r="H2276" s="629">
        <v>1</v>
      </c>
      <c r="I2276" s="630">
        <v>0.35</v>
      </c>
      <c r="J2276" s="630">
        <v>0.35</v>
      </c>
      <c r="K2276"/>
    </row>
    <row r="2277" spans="1:11" ht="36" customHeight="1">
      <c r="A2277" s="626" t="s">
        <v>12709</v>
      </c>
      <c r="B2277" s="627" t="s">
        <v>13031</v>
      </c>
      <c r="C2277" s="626" t="s">
        <v>8</v>
      </c>
      <c r="D2277" s="626" t="s">
        <v>9364</v>
      </c>
      <c r="E2277" s="804" t="s">
        <v>12711</v>
      </c>
      <c r="F2277" s="805"/>
      <c r="G2277" s="628" t="s">
        <v>23</v>
      </c>
      <c r="H2277" s="629">
        <v>1</v>
      </c>
      <c r="I2277" s="630">
        <v>0.34</v>
      </c>
      <c r="J2277" s="630">
        <v>0.34</v>
      </c>
      <c r="K2277"/>
    </row>
    <row r="2278" spans="1:11" ht="36" customHeight="1">
      <c r="A2278" s="626" t="s">
        <v>12709</v>
      </c>
      <c r="B2278" s="627" t="s">
        <v>12999</v>
      </c>
      <c r="C2278" s="626" t="s">
        <v>8</v>
      </c>
      <c r="D2278" s="626" t="s">
        <v>11251</v>
      </c>
      <c r="E2278" s="804" t="s">
        <v>12713</v>
      </c>
      <c r="F2278" s="805"/>
      <c r="G2278" s="628" t="s">
        <v>23</v>
      </c>
      <c r="H2278" s="629">
        <v>1</v>
      </c>
      <c r="I2278" s="630">
        <v>7.0000000000000007E-2</v>
      </c>
      <c r="J2278" s="630">
        <v>7.0000000000000007E-2</v>
      </c>
      <c r="K2278"/>
    </row>
    <row r="2279" spans="1:11" ht="24" customHeight="1">
      <c r="A2279" s="626" t="s">
        <v>12709</v>
      </c>
      <c r="B2279" s="627" t="s">
        <v>12998</v>
      </c>
      <c r="C2279" s="626" t="s">
        <v>8</v>
      </c>
      <c r="D2279" s="626" t="s">
        <v>11861</v>
      </c>
      <c r="E2279" s="804" t="s">
        <v>12722</v>
      </c>
      <c r="F2279" s="805"/>
      <c r="G2279" s="628" t="s">
        <v>23</v>
      </c>
      <c r="H2279" s="629">
        <v>1</v>
      </c>
      <c r="I2279" s="630">
        <v>0.71</v>
      </c>
      <c r="J2279" s="630">
        <v>0.71</v>
      </c>
      <c r="K2279"/>
    </row>
    <row r="2280" spans="1:11" ht="25.5">
      <c r="A2280" s="631"/>
      <c r="B2280" s="631"/>
      <c r="C2280" s="631"/>
      <c r="D2280" s="631"/>
      <c r="E2280" s="631" t="s">
        <v>12714</v>
      </c>
      <c r="F2280" s="632">
        <v>7.6170397000000003</v>
      </c>
      <c r="G2280" s="631" t="s">
        <v>12715</v>
      </c>
      <c r="H2280" s="632">
        <v>6.47</v>
      </c>
      <c r="I2280" s="631" t="s">
        <v>12716</v>
      </c>
      <c r="J2280" s="632">
        <v>14.09</v>
      </c>
      <c r="K2280"/>
    </row>
    <row r="2281" spans="1:11" ht="15" customHeight="1" thickBot="1">
      <c r="A2281" s="631"/>
      <c r="B2281" s="631"/>
      <c r="C2281" s="631"/>
      <c r="D2281" s="631"/>
      <c r="E2281" s="631" t="s">
        <v>12717</v>
      </c>
      <c r="F2281" s="632">
        <v>5.32</v>
      </c>
      <c r="G2281" s="631"/>
      <c r="H2281" s="806" t="s">
        <v>12718</v>
      </c>
      <c r="I2281" s="806"/>
      <c r="J2281" s="632">
        <v>24.16</v>
      </c>
      <c r="K2281"/>
    </row>
    <row r="2282" spans="1:11" ht="0.95" customHeight="1" thickTop="1">
      <c r="A2282" s="633"/>
      <c r="B2282" s="633"/>
      <c r="C2282" s="633"/>
      <c r="D2282" s="633"/>
      <c r="E2282" s="633"/>
      <c r="F2282" s="633"/>
      <c r="G2282" s="633"/>
      <c r="H2282" s="633"/>
      <c r="I2282" s="633"/>
      <c r="J2282" s="633"/>
      <c r="K2282"/>
    </row>
    <row r="2283" spans="1:11" ht="18" customHeight="1">
      <c r="A2283" s="613"/>
      <c r="B2283" s="614" t="s">
        <v>12698</v>
      </c>
      <c r="C2283" s="613" t="s">
        <v>12699</v>
      </c>
      <c r="D2283" s="613" t="s">
        <v>12700</v>
      </c>
      <c r="E2283" s="807" t="s">
        <v>12701</v>
      </c>
      <c r="F2283" s="808"/>
      <c r="G2283" s="615" t="s">
        <v>12702</v>
      </c>
      <c r="H2283" s="614" t="s">
        <v>12703</v>
      </c>
      <c r="I2283" s="614" t="s">
        <v>12704</v>
      </c>
      <c r="J2283" s="614" t="s">
        <v>12705</v>
      </c>
      <c r="K2283"/>
    </row>
    <row r="2284" spans="1:11" ht="36" customHeight="1">
      <c r="A2284" s="616" t="s">
        <v>12706</v>
      </c>
      <c r="B2284" s="617" t="s">
        <v>13191</v>
      </c>
      <c r="C2284" s="616" t="s">
        <v>8</v>
      </c>
      <c r="D2284" s="616" t="s">
        <v>46</v>
      </c>
      <c r="E2284" s="809" t="s">
        <v>12707</v>
      </c>
      <c r="F2284" s="810"/>
      <c r="G2284" s="618" t="s">
        <v>23</v>
      </c>
      <c r="H2284" s="619">
        <v>1</v>
      </c>
      <c r="I2284" s="620">
        <v>17.64</v>
      </c>
      <c r="J2284" s="620">
        <v>17.64</v>
      </c>
      <c r="K2284"/>
    </row>
    <row r="2285" spans="1:11" ht="36" customHeight="1">
      <c r="A2285" s="621" t="s">
        <v>12708</v>
      </c>
      <c r="B2285" s="622" t="s">
        <v>13213</v>
      </c>
      <c r="C2285" s="621" t="s">
        <v>8</v>
      </c>
      <c r="D2285" s="621" t="s">
        <v>3647</v>
      </c>
      <c r="E2285" s="811" t="s">
        <v>12707</v>
      </c>
      <c r="F2285" s="812"/>
      <c r="G2285" s="623" t="s">
        <v>23</v>
      </c>
      <c r="H2285" s="624">
        <v>1</v>
      </c>
      <c r="I2285" s="625">
        <v>0.1</v>
      </c>
      <c r="J2285" s="625">
        <v>0.1</v>
      </c>
      <c r="K2285"/>
    </row>
    <row r="2286" spans="1:11" ht="36" customHeight="1">
      <c r="A2286" s="626" t="s">
        <v>12709</v>
      </c>
      <c r="B2286" s="627" t="s">
        <v>13004</v>
      </c>
      <c r="C2286" s="626" t="s">
        <v>8</v>
      </c>
      <c r="D2286" s="626" t="s">
        <v>7388</v>
      </c>
      <c r="E2286" s="804" t="s">
        <v>12712</v>
      </c>
      <c r="F2286" s="805"/>
      <c r="G2286" s="628" t="s">
        <v>23</v>
      </c>
      <c r="H2286" s="629">
        <v>1</v>
      </c>
      <c r="I2286" s="630">
        <v>2.2000000000000002</v>
      </c>
      <c r="J2286" s="630">
        <v>2.2000000000000002</v>
      </c>
      <c r="K2286"/>
    </row>
    <row r="2287" spans="1:11" ht="36" customHeight="1">
      <c r="A2287" s="626" t="s">
        <v>12709</v>
      </c>
      <c r="B2287" s="627" t="s">
        <v>13212</v>
      </c>
      <c r="C2287" s="626" t="s">
        <v>8</v>
      </c>
      <c r="D2287" s="626" t="s">
        <v>8293</v>
      </c>
      <c r="E2287" s="804" t="s">
        <v>12710</v>
      </c>
      <c r="F2287" s="805"/>
      <c r="G2287" s="628" t="s">
        <v>23</v>
      </c>
      <c r="H2287" s="629">
        <v>1</v>
      </c>
      <c r="I2287" s="630">
        <v>12.79</v>
      </c>
      <c r="J2287" s="630">
        <v>12.79</v>
      </c>
      <c r="K2287"/>
    </row>
    <row r="2288" spans="1:11" ht="36" customHeight="1">
      <c r="A2288" s="626" t="s">
        <v>12709</v>
      </c>
      <c r="B2288" s="627" t="s">
        <v>13032</v>
      </c>
      <c r="C2288" s="626" t="s">
        <v>8</v>
      </c>
      <c r="D2288" s="626" t="s">
        <v>9217</v>
      </c>
      <c r="E2288" s="804" t="s">
        <v>12711</v>
      </c>
      <c r="F2288" s="805"/>
      <c r="G2288" s="628" t="s">
        <v>23</v>
      </c>
      <c r="H2288" s="629">
        <v>1</v>
      </c>
      <c r="I2288" s="630">
        <v>1.08</v>
      </c>
      <c r="J2288" s="630">
        <v>1.08</v>
      </c>
      <c r="K2288"/>
    </row>
    <row r="2289" spans="1:11" ht="24" customHeight="1">
      <c r="A2289" s="626" t="s">
        <v>12709</v>
      </c>
      <c r="B2289" s="627" t="s">
        <v>13002</v>
      </c>
      <c r="C2289" s="626" t="s">
        <v>8</v>
      </c>
      <c r="D2289" s="626" t="s">
        <v>9306</v>
      </c>
      <c r="E2289" s="804" t="s">
        <v>12712</v>
      </c>
      <c r="F2289" s="805"/>
      <c r="G2289" s="628" t="s">
        <v>23</v>
      </c>
      <c r="H2289" s="629">
        <v>1</v>
      </c>
      <c r="I2289" s="630">
        <v>0.35</v>
      </c>
      <c r="J2289" s="630">
        <v>0.35</v>
      </c>
      <c r="K2289"/>
    </row>
    <row r="2290" spans="1:11" ht="25.5">
      <c r="A2290" s="626" t="s">
        <v>12709</v>
      </c>
      <c r="B2290" s="627" t="s">
        <v>13031</v>
      </c>
      <c r="C2290" s="626" t="s">
        <v>8</v>
      </c>
      <c r="D2290" s="626" t="s">
        <v>9364</v>
      </c>
      <c r="E2290" s="804" t="s">
        <v>12711</v>
      </c>
      <c r="F2290" s="805"/>
      <c r="G2290" s="628" t="s">
        <v>23</v>
      </c>
      <c r="H2290" s="629">
        <v>1</v>
      </c>
      <c r="I2290" s="630">
        <v>0.34</v>
      </c>
      <c r="J2290" s="630">
        <v>0.34</v>
      </c>
      <c r="K2290"/>
    </row>
    <row r="2291" spans="1:11" ht="15" customHeight="1">
      <c r="A2291" s="626" t="s">
        <v>12709</v>
      </c>
      <c r="B2291" s="627" t="s">
        <v>12999</v>
      </c>
      <c r="C2291" s="626" t="s">
        <v>8</v>
      </c>
      <c r="D2291" s="626" t="s">
        <v>11251</v>
      </c>
      <c r="E2291" s="804" t="s">
        <v>12713</v>
      </c>
      <c r="F2291" s="805"/>
      <c r="G2291" s="628" t="s">
        <v>23</v>
      </c>
      <c r="H2291" s="629">
        <v>1</v>
      </c>
      <c r="I2291" s="630">
        <v>7.0000000000000007E-2</v>
      </c>
      <c r="J2291" s="630">
        <v>7.0000000000000007E-2</v>
      </c>
      <c r="K2291"/>
    </row>
    <row r="2292" spans="1:11" ht="0.95" customHeight="1">
      <c r="A2292" s="626" t="s">
        <v>12709</v>
      </c>
      <c r="B2292" s="627" t="s">
        <v>12998</v>
      </c>
      <c r="C2292" s="626" t="s">
        <v>8</v>
      </c>
      <c r="D2292" s="626" t="s">
        <v>11861</v>
      </c>
      <c r="E2292" s="804" t="s">
        <v>12722</v>
      </c>
      <c r="F2292" s="805"/>
      <c r="G2292" s="628" t="s">
        <v>23</v>
      </c>
      <c r="H2292" s="629">
        <v>1</v>
      </c>
      <c r="I2292" s="630">
        <v>0.71</v>
      </c>
      <c r="J2292" s="630">
        <v>0.71</v>
      </c>
      <c r="K2292"/>
    </row>
    <row r="2293" spans="1:11" ht="18" customHeight="1">
      <c r="A2293" s="631"/>
      <c r="B2293" s="631"/>
      <c r="C2293" s="631"/>
      <c r="D2293" s="631"/>
      <c r="E2293" s="631" t="s">
        <v>12714</v>
      </c>
      <c r="F2293" s="632">
        <v>6.9683209000000002</v>
      </c>
      <c r="G2293" s="631" t="s">
        <v>12715</v>
      </c>
      <c r="H2293" s="632">
        <v>5.92</v>
      </c>
      <c r="I2293" s="631" t="s">
        <v>12716</v>
      </c>
      <c r="J2293" s="632">
        <v>12.89</v>
      </c>
      <c r="K2293"/>
    </row>
    <row r="2294" spans="1:11" ht="36" customHeight="1" thickBot="1">
      <c r="A2294" s="631"/>
      <c r="B2294" s="631"/>
      <c r="C2294" s="631"/>
      <c r="D2294" s="631"/>
      <c r="E2294" s="631" t="s">
        <v>12717</v>
      </c>
      <c r="F2294" s="632">
        <v>4.9800000000000004</v>
      </c>
      <c r="G2294" s="631"/>
      <c r="H2294" s="806" t="s">
        <v>12718</v>
      </c>
      <c r="I2294" s="806"/>
      <c r="J2294" s="632">
        <v>22.62</v>
      </c>
      <c r="K2294"/>
    </row>
    <row r="2295" spans="1:11" ht="24" customHeight="1" thickTop="1">
      <c r="A2295" s="633"/>
      <c r="B2295" s="633"/>
      <c r="C2295" s="633"/>
      <c r="D2295" s="633"/>
      <c r="E2295" s="633"/>
      <c r="F2295" s="633"/>
      <c r="G2295" s="633"/>
      <c r="H2295" s="633"/>
      <c r="I2295" s="633"/>
      <c r="J2295" s="633"/>
      <c r="K2295"/>
    </row>
    <row r="2296" spans="1:11" ht="15">
      <c r="A2296" s="613"/>
      <c r="B2296" s="614" t="s">
        <v>12698</v>
      </c>
      <c r="C2296" s="613" t="s">
        <v>12699</v>
      </c>
      <c r="D2296" s="613" t="s">
        <v>12700</v>
      </c>
      <c r="E2296" s="807" t="s">
        <v>12701</v>
      </c>
      <c r="F2296" s="808"/>
      <c r="G2296" s="615" t="s">
        <v>12702</v>
      </c>
      <c r="H2296" s="614" t="s">
        <v>12703</v>
      </c>
      <c r="I2296" s="614" t="s">
        <v>12704</v>
      </c>
      <c r="J2296" s="614" t="s">
        <v>12705</v>
      </c>
      <c r="K2296"/>
    </row>
    <row r="2297" spans="1:11" ht="15" customHeight="1">
      <c r="A2297" s="616" t="s">
        <v>12706</v>
      </c>
      <c r="B2297" s="617" t="s">
        <v>13154</v>
      </c>
      <c r="C2297" s="616" t="s">
        <v>8</v>
      </c>
      <c r="D2297" s="616" t="s">
        <v>2448</v>
      </c>
      <c r="E2297" s="809" t="s">
        <v>12726</v>
      </c>
      <c r="F2297" s="810"/>
      <c r="G2297" s="618" t="s">
        <v>61</v>
      </c>
      <c r="H2297" s="619">
        <v>1</v>
      </c>
      <c r="I2297" s="620">
        <v>14.15</v>
      </c>
      <c r="J2297" s="620">
        <v>14.15</v>
      </c>
      <c r="K2297"/>
    </row>
    <row r="2298" spans="1:11" ht="0.95" customHeight="1">
      <c r="A2298" s="621" t="s">
        <v>12708</v>
      </c>
      <c r="B2298" s="622" t="s">
        <v>13271</v>
      </c>
      <c r="C2298" s="621" t="s">
        <v>8</v>
      </c>
      <c r="D2298" s="621" t="s">
        <v>2443</v>
      </c>
      <c r="E2298" s="811" t="s">
        <v>12726</v>
      </c>
      <c r="F2298" s="812"/>
      <c r="G2298" s="623" t="s">
        <v>23</v>
      </c>
      <c r="H2298" s="624">
        <v>1</v>
      </c>
      <c r="I2298" s="625">
        <v>0.57999999999999996</v>
      </c>
      <c r="J2298" s="625">
        <v>0.57999999999999996</v>
      </c>
      <c r="K2298"/>
    </row>
    <row r="2299" spans="1:11" ht="18" customHeight="1">
      <c r="A2299" s="621" t="s">
        <v>12708</v>
      </c>
      <c r="B2299" s="622" t="s">
        <v>13270</v>
      </c>
      <c r="C2299" s="621" t="s">
        <v>8</v>
      </c>
      <c r="D2299" s="621" t="s">
        <v>2444</v>
      </c>
      <c r="E2299" s="811" t="s">
        <v>12726</v>
      </c>
      <c r="F2299" s="812"/>
      <c r="G2299" s="623" t="s">
        <v>23</v>
      </c>
      <c r="H2299" s="624">
        <v>1</v>
      </c>
      <c r="I2299" s="625">
        <v>0.08</v>
      </c>
      <c r="J2299" s="625">
        <v>0.08</v>
      </c>
      <c r="K2299"/>
    </row>
    <row r="2300" spans="1:11" ht="36" customHeight="1">
      <c r="A2300" s="621" t="s">
        <v>12708</v>
      </c>
      <c r="B2300" s="622" t="s">
        <v>13060</v>
      </c>
      <c r="C2300" s="621" t="s">
        <v>8</v>
      </c>
      <c r="D2300" s="621" t="s">
        <v>277</v>
      </c>
      <c r="E2300" s="811" t="s">
        <v>12707</v>
      </c>
      <c r="F2300" s="812"/>
      <c r="G2300" s="623" t="s">
        <v>23</v>
      </c>
      <c r="H2300" s="624">
        <v>1</v>
      </c>
      <c r="I2300" s="625">
        <v>13.49</v>
      </c>
      <c r="J2300" s="625">
        <v>13.49</v>
      </c>
      <c r="K2300"/>
    </row>
    <row r="2301" spans="1:11" ht="24" customHeight="1">
      <c r="A2301" s="631"/>
      <c r="B2301" s="631"/>
      <c r="C2301" s="631"/>
      <c r="D2301" s="631"/>
      <c r="E2301" s="631" t="s">
        <v>12714</v>
      </c>
      <c r="F2301" s="632">
        <v>5.1302843999999999</v>
      </c>
      <c r="G2301" s="631" t="s">
        <v>12715</v>
      </c>
      <c r="H2301" s="632">
        <v>4.3600000000000003</v>
      </c>
      <c r="I2301" s="631" t="s">
        <v>12716</v>
      </c>
      <c r="J2301" s="632">
        <v>9.49</v>
      </c>
      <c r="K2301"/>
    </row>
    <row r="2302" spans="1:11" ht="15" customHeight="1" thickBot="1">
      <c r="A2302" s="631"/>
      <c r="B2302" s="631"/>
      <c r="C2302" s="631"/>
      <c r="D2302" s="631"/>
      <c r="E2302" s="631" t="s">
        <v>12717</v>
      </c>
      <c r="F2302" s="632">
        <v>3.99</v>
      </c>
      <c r="G2302" s="631"/>
      <c r="H2302" s="806" t="s">
        <v>12718</v>
      </c>
      <c r="I2302" s="806"/>
      <c r="J2302" s="632">
        <v>18.14</v>
      </c>
      <c r="K2302"/>
    </row>
    <row r="2303" spans="1:11" ht="15" customHeight="1" thickTop="1">
      <c r="A2303" s="633"/>
      <c r="B2303" s="633"/>
      <c r="C2303" s="633"/>
      <c r="D2303" s="633"/>
      <c r="E2303" s="633"/>
      <c r="F2303" s="633"/>
      <c r="G2303" s="633"/>
      <c r="H2303" s="633"/>
      <c r="I2303" s="633"/>
      <c r="J2303" s="633"/>
      <c r="K2303"/>
    </row>
    <row r="2304" spans="1:11" ht="0.95" customHeight="1">
      <c r="A2304" s="613"/>
      <c r="B2304" s="614" t="s">
        <v>12698</v>
      </c>
      <c r="C2304" s="613" t="s">
        <v>12699</v>
      </c>
      <c r="D2304" s="613" t="s">
        <v>12700</v>
      </c>
      <c r="E2304" s="807" t="s">
        <v>12701</v>
      </c>
      <c r="F2304" s="808"/>
      <c r="G2304" s="615" t="s">
        <v>12702</v>
      </c>
      <c r="H2304" s="614" t="s">
        <v>12703</v>
      </c>
      <c r="I2304" s="614" t="s">
        <v>12704</v>
      </c>
      <c r="J2304" s="614" t="s">
        <v>12705</v>
      </c>
      <c r="K2304"/>
    </row>
    <row r="2305" spans="1:11" ht="18" customHeight="1">
      <c r="A2305" s="616" t="s">
        <v>12706</v>
      </c>
      <c r="B2305" s="617" t="s">
        <v>13155</v>
      </c>
      <c r="C2305" s="616" t="s">
        <v>8</v>
      </c>
      <c r="D2305" s="616" t="s">
        <v>2447</v>
      </c>
      <c r="E2305" s="809" t="s">
        <v>12726</v>
      </c>
      <c r="F2305" s="810"/>
      <c r="G2305" s="618" t="s">
        <v>44</v>
      </c>
      <c r="H2305" s="619">
        <v>1</v>
      </c>
      <c r="I2305" s="620">
        <v>18.739999999999998</v>
      </c>
      <c r="J2305" s="620">
        <v>18.739999999999998</v>
      </c>
      <c r="K2305"/>
    </row>
    <row r="2306" spans="1:11" ht="36" customHeight="1">
      <c r="A2306" s="621" t="s">
        <v>12708</v>
      </c>
      <c r="B2306" s="622" t="s">
        <v>13271</v>
      </c>
      <c r="C2306" s="621" t="s">
        <v>8</v>
      </c>
      <c r="D2306" s="621" t="s">
        <v>2443</v>
      </c>
      <c r="E2306" s="811" t="s">
        <v>12726</v>
      </c>
      <c r="F2306" s="812"/>
      <c r="G2306" s="623" t="s">
        <v>23</v>
      </c>
      <c r="H2306" s="624">
        <v>1</v>
      </c>
      <c r="I2306" s="625">
        <v>0.57999999999999996</v>
      </c>
      <c r="J2306" s="625">
        <v>0.57999999999999996</v>
      </c>
      <c r="K2306"/>
    </row>
    <row r="2307" spans="1:11" ht="24" customHeight="1">
      <c r="A2307" s="621" t="s">
        <v>12708</v>
      </c>
      <c r="B2307" s="622" t="s">
        <v>13270</v>
      </c>
      <c r="C2307" s="621" t="s">
        <v>8</v>
      </c>
      <c r="D2307" s="621" t="s">
        <v>2444</v>
      </c>
      <c r="E2307" s="811" t="s">
        <v>12726</v>
      </c>
      <c r="F2307" s="812"/>
      <c r="G2307" s="623" t="s">
        <v>23</v>
      </c>
      <c r="H2307" s="624">
        <v>1</v>
      </c>
      <c r="I2307" s="625">
        <v>0.08</v>
      </c>
      <c r="J2307" s="625">
        <v>0.08</v>
      </c>
      <c r="K2307"/>
    </row>
    <row r="2308" spans="1:11" ht="25.5" customHeight="1">
      <c r="A2308" s="621" t="s">
        <v>12708</v>
      </c>
      <c r="B2308" s="622" t="s">
        <v>13269</v>
      </c>
      <c r="C2308" s="621" t="s">
        <v>8</v>
      </c>
      <c r="D2308" s="621" t="s">
        <v>2445</v>
      </c>
      <c r="E2308" s="811" t="s">
        <v>12726</v>
      </c>
      <c r="F2308" s="812"/>
      <c r="G2308" s="623" t="s">
        <v>23</v>
      </c>
      <c r="H2308" s="624">
        <v>1</v>
      </c>
      <c r="I2308" s="625">
        <v>0.72</v>
      </c>
      <c r="J2308" s="625">
        <v>0.72</v>
      </c>
      <c r="K2308"/>
    </row>
    <row r="2309" spans="1:11" ht="15" customHeight="1">
      <c r="A2309" s="621" t="s">
        <v>12708</v>
      </c>
      <c r="B2309" s="622" t="s">
        <v>13267</v>
      </c>
      <c r="C2309" s="621" t="s">
        <v>8</v>
      </c>
      <c r="D2309" s="621" t="s">
        <v>2446</v>
      </c>
      <c r="E2309" s="811" t="s">
        <v>12726</v>
      </c>
      <c r="F2309" s="812"/>
      <c r="G2309" s="623" t="s">
        <v>23</v>
      </c>
      <c r="H2309" s="624">
        <v>1</v>
      </c>
      <c r="I2309" s="625">
        <v>3.87</v>
      </c>
      <c r="J2309" s="625">
        <v>3.87</v>
      </c>
      <c r="K2309"/>
    </row>
    <row r="2310" spans="1:11" ht="0.95" customHeight="1">
      <c r="A2310" s="621" t="s">
        <v>12708</v>
      </c>
      <c r="B2310" s="622" t="s">
        <v>13060</v>
      </c>
      <c r="C2310" s="621" t="s">
        <v>8</v>
      </c>
      <c r="D2310" s="621" t="s">
        <v>277</v>
      </c>
      <c r="E2310" s="811" t="s">
        <v>12707</v>
      </c>
      <c r="F2310" s="812"/>
      <c r="G2310" s="623" t="s">
        <v>23</v>
      </c>
      <c r="H2310" s="624">
        <v>1</v>
      </c>
      <c r="I2310" s="625">
        <v>13.49</v>
      </c>
      <c r="J2310" s="625">
        <v>13.49</v>
      </c>
      <c r="K2310"/>
    </row>
    <row r="2311" spans="1:11" ht="18" customHeight="1">
      <c r="A2311" s="631"/>
      <c r="B2311" s="631"/>
      <c r="C2311" s="631"/>
      <c r="D2311" s="631"/>
      <c r="E2311" s="631" t="s">
        <v>12714</v>
      </c>
      <c r="F2311" s="632">
        <v>5.1302843999999999</v>
      </c>
      <c r="G2311" s="631" t="s">
        <v>12715</v>
      </c>
      <c r="H2311" s="632">
        <v>4.3600000000000003</v>
      </c>
      <c r="I2311" s="631" t="s">
        <v>12716</v>
      </c>
      <c r="J2311" s="632">
        <v>9.49</v>
      </c>
      <c r="K2311"/>
    </row>
    <row r="2312" spans="1:11" ht="36" customHeight="1" thickBot="1">
      <c r="A2312" s="631"/>
      <c r="B2312" s="631"/>
      <c r="C2312" s="631"/>
      <c r="D2312" s="631"/>
      <c r="E2312" s="631" t="s">
        <v>12717</v>
      </c>
      <c r="F2312" s="632">
        <v>5.29</v>
      </c>
      <c r="G2312" s="631"/>
      <c r="H2312" s="806" t="s">
        <v>12718</v>
      </c>
      <c r="I2312" s="806"/>
      <c r="J2312" s="632">
        <v>24.03</v>
      </c>
      <c r="K2312"/>
    </row>
    <row r="2313" spans="1:11" ht="24" customHeight="1" thickTop="1">
      <c r="A2313" s="633"/>
      <c r="B2313" s="633"/>
      <c r="C2313" s="633"/>
      <c r="D2313" s="633"/>
      <c r="E2313" s="633"/>
      <c r="F2313" s="633"/>
      <c r="G2313" s="633"/>
      <c r="H2313" s="633"/>
      <c r="I2313" s="633"/>
      <c r="J2313" s="633"/>
      <c r="K2313"/>
    </row>
    <row r="2314" spans="1:11" ht="15">
      <c r="A2314" s="613"/>
      <c r="B2314" s="614" t="s">
        <v>12698</v>
      </c>
      <c r="C2314" s="613" t="s">
        <v>12699</v>
      </c>
      <c r="D2314" s="613" t="s">
        <v>12700</v>
      </c>
      <c r="E2314" s="807" t="s">
        <v>12701</v>
      </c>
      <c r="F2314" s="808"/>
      <c r="G2314" s="615" t="s">
        <v>12702</v>
      </c>
      <c r="H2314" s="614" t="s">
        <v>12703</v>
      </c>
      <c r="I2314" s="614" t="s">
        <v>12704</v>
      </c>
      <c r="J2314" s="614" t="s">
        <v>12705</v>
      </c>
      <c r="K2314"/>
    </row>
    <row r="2315" spans="1:11" ht="15" customHeight="1">
      <c r="A2315" s="616" t="s">
        <v>12706</v>
      </c>
      <c r="B2315" s="617" t="s">
        <v>13271</v>
      </c>
      <c r="C2315" s="616" t="s">
        <v>8</v>
      </c>
      <c r="D2315" s="616" t="s">
        <v>2443</v>
      </c>
      <c r="E2315" s="809" t="s">
        <v>12726</v>
      </c>
      <c r="F2315" s="810"/>
      <c r="G2315" s="618" t="s">
        <v>23</v>
      </c>
      <c r="H2315" s="619">
        <v>1</v>
      </c>
      <c r="I2315" s="620">
        <v>0.57999999999999996</v>
      </c>
      <c r="J2315" s="620">
        <v>0.57999999999999996</v>
      </c>
      <c r="K2315"/>
    </row>
    <row r="2316" spans="1:11" ht="0.95" customHeight="1">
      <c r="A2316" s="626" t="s">
        <v>12709</v>
      </c>
      <c r="B2316" s="627" t="s">
        <v>13268</v>
      </c>
      <c r="C2316" s="626" t="s">
        <v>8</v>
      </c>
      <c r="D2316" s="626" t="s">
        <v>8451</v>
      </c>
      <c r="E2316" s="804" t="s">
        <v>12711</v>
      </c>
      <c r="F2316" s="805"/>
      <c r="G2316" s="628" t="s">
        <v>35</v>
      </c>
      <c r="H2316" s="629">
        <v>5.3300000000000001E-5</v>
      </c>
      <c r="I2316" s="630">
        <v>10910.54</v>
      </c>
      <c r="J2316" s="630">
        <v>0.57999999999999996</v>
      </c>
      <c r="K2316"/>
    </row>
    <row r="2317" spans="1:11" ht="18" customHeight="1">
      <c r="A2317" s="631"/>
      <c r="B2317" s="631"/>
      <c r="C2317" s="631"/>
      <c r="D2317" s="631"/>
      <c r="E2317" s="631" t="s">
        <v>12714</v>
      </c>
      <c r="F2317" s="632">
        <v>0</v>
      </c>
      <c r="G2317" s="631" t="s">
        <v>12715</v>
      </c>
      <c r="H2317" s="632">
        <v>0</v>
      </c>
      <c r="I2317" s="631" t="s">
        <v>12716</v>
      </c>
      <c r="J2317" s="632">
        <v>0</v>
      </c>
      <c r="K2317"/>
    </row>
    <row r="2318" spans="1:11" ht="48" customHeight="1" thickBot="1">
      <c r="A2318" s="631"/>
      <c r="B2318" s="631"/>
      <c r="C2318" s="631"/>
      <c r="D2318" s="631"/>
      <c r="E2318" s="631" t="s">
        <v>12717</v>
      </c>
      <c r="F2318" s="632">
        <v>0.16</v>
      </c>
      <c r="G2318" s="631"/>
      <c r="H2318" s="806" t="s">
        <v>12718</v>
      </c>
      <c r="I2318" s="806"/>
      <c r="J2318" s="632">
        <v>0.74</v>
      </c>
      <c r="K2318"/>
    </row>
    <row r="2319" spans="1:11" ht="48" customHeight="1" thickTop="1">
      <c r="A2319" s="633"/>
      <c r="B2319" s="633"/>
      <c r="C2319" s="633"/>
      <c r="D2319" s="633"/>
      <c r="E2319" s="633"/>
      <c r="F2319" s="633"/>
      <c r="G2319" s="633"/>
      <c r="H2319" s="633"/>
      <c r="I2319" s="633"/>
      <c r="J2319" s="633"/>
      <c r="K2319"/>
    </row>
    <row r="2320" spans="1:11" ht="36" customHeight="1">
      <c r="A2320" s="613"/>
      <c r="B2320" s="614" t="s">
        <v>12698</v>
      </c>
      <c r="C2320" s="613" t="s">
        <v>12699</v>
      </c>
      <c r="D2320" s="613" t="s">
        <v>12700</v>
      </c>
      <c r="E2320" s="807" t="s">
        <v>12701</v>
      </c>
      <c r="F2320" s="808"/>
      <c r="G2320" s="615" t="s">
        <v>12702</v>
      </c>
      <c r="H2320" s="614" t="s">
        <v>12703</v>
      </c>
      <c r="I2320" s="614" t="s">
        <v>12704</v>
      </c>
      <c r="J2320" s="614" t="s">
        <v>12705</v>
      </c>
      <c r="K2320"/>
    </row>
    <row r="2321" spans="1:11" ht="25.5" customHeight="1">
      <c r="A2321" s="616" t="s">
        <v>12706</v>
      </c>
      <c r="B2321" s="617" t="s">
        <v>13270</v>
      </c>
      <c r="C2321" s="616" t="s">
        <v>8</v>
      </c>
      <c r="D2321" s="616" t="s">
        <v>2444</v>
      </c>
      <c r="E2321" s="809" t="s">
        <v>12726</v>
      </c>
      <c r="F2321" s="810"/>
      <c r="G2321" s="618" t="s">
        <v>23</v>
      </c>
      <c r="H2321" s="619">
        <v>1</v>
      </c>
      <c r="I2321" s="620">
        <v>0.08</v>
      </c>
      <c r="J2321" s="620">
        <v>0.08</v>
      </c>
      <c r="K2321"/>
    </row>
    <row r="2322" spans="1:11" ht="15" customHeight="1">
      <c r="A2322" s="626" t="s">
        <v>12709</v>
      </c>
      <c r="B2322" s="627" t="s">
        <v>13268</v>
      </c>
      <c r="C2322" s="626" t="s">
        <v>8</v>
      </c>
      <c r="D2322" s="626" t="s">
        <v>8451</v>
      </c>
      <c r="E2322" s="804" t="s">
        <v>12711</v>
      </c>
      <c r="F2322" s="805"/>
      <c r="G2322" s="628" t="s">
        <v>35</v>
      </c>
      <c r="H2322" s="629">
        <v>7.4000000000000003E-6</v>
      </c>
      <c r="I2322" s="630">
        <v>10910.54</v>
      </c>
      <c r="J2322" s="630">
        <v>0.08</v>
      </c>
      <c r="K2322"/>
    </row>
    <row r="2323" spans="1:11" ht="0.95" customHeight="1">
      <c r="A2323" s="631"/>
      <c r="B2323" s="631"/>
      <c r="C2323" s="631"/>
      <c r="D2323" s="631"/>
      <c r="E2323" s="631" t="s">
        <v>12714</v>
      </c>
      <c r="F2323" s="632">
        <v>0</v>
      </c>
      <c r="G2323" s="631" t="s">
        <v>12715</v>
      </c>
      <c r="H2323" s="632">
        <v>0</v>
      </c>
      <c r="I2323" s="631" t="s">
        <v>12716</v>
      </c>
      <c r="J2323" s="632">
        <v>0</v>
      </c>
      <c r="K2323"/>
    </row>
    <row r="2324" spans="1:11" ht="18" customHeight="1" thickBot="1">
      <c r="A2324" s="631"/>
      <c r="B2324" s="631"/>
      <c r="C2324" s="631"/>
      <c r="D2324" s="631"/>
      <c r="E2324" s="631" t="s">
        <v>12717</v>
      </c>
      <c r="F2324" s="632">
        <v>0.02</v>
      </c>
      <c r="G2324" s="631"/>
      <c r="H2324" s="806" t="s">
        <v>12718</v>
      </c>
      <c r="I2324" s="806"/>
      <c r="J2324" s="632">
        <v>0.1</v>
      </c>
      <c r="K2324"/>
    </row>
    <row r="2325" spans="1:11" ht="48" customHeight="1" thickTop="1">
      <c r="A2325" s="633"/>
      <c r="B2325" s="633"/>
      <c r="C2325" s="633"/>
      <c r="D2325" s="633"/>
      <c r="E2325" s="633"/>
      <c r="F2325" s="633"/>
      <c r="G2325" s="633"/>
      <c r="H2325" s="633"/>
      <c r="I2325" s="633"/>
      <c r="J2325" s="633"/>
      <c r="K2325"/>
    </row>
    <row r="2326" spans="1:11" ht="36" customHeight="1">
      <c r="A2326" s="613"/>
      <c r="B2326" s="614" t="s">
        <v>12698</v>
      </c>
      <c r="C2326" s="613" t="s">
        <v>12699</v>
      </c>
      <c r="D2326" s="613" t="s">
        <v>12700</v>
      </c>
      <c r="E2326" s="807" t="s">
        <v>12701</v>
      </c>
      <c r="F2326" s="808"/>
      <c r="G2326" s="615" t="s">
        <v>12702</v>
      </c>
      <c r="H2326" s="614" t="s">
        <v>12703</v>
      </c>
      <c r="I2326" s="614" t="s">
        <v>12704</v>
      </c>
      <c r="J2326" s="614" t="s">
        <v>12705</v>
      </c>
      <c r="K2326"/>
    </row>
    <row r="2327" spans="1:11" ht="25.5" customHeight="1">
      <c r="A2327" s="616" t="s">
        <v>12706</v>
      </c>
      <c r="B2327" s="617" t="s">
        <v>13269</v>
      </c>
      <c r="C2327" s="616" t="s">
        <v>8</v>
      </c>
      <c r="D2327" s="616" t="s">
        <v>2445</v>
      </c>
      <c r="E2327" s="809" t="s">
        <v>12726</v>
      </c>
      <c r="F2327" s="810"/>
      <c r="G2327" s="618" t="s">
        <v>23</v>
      </c>
      <c r="H2327" s="619">
        <v>1</v>
      </c>
      <c r="I2327" s="620">
        <v>0.72</v>
      </c>
      <c r="J2327" s="620">
        <v>0.72</v>
      </c>
      <c r="K2327"/>
    </row>
    <row r="2328" spans="1:11" ht="15" customHeight="1">
      <c r="A2328" s="626" t="s">
        <v>12709</v>
      </c>
      <c r="B2328" s="627" t="s">
        <v>13268</v>
      </c>
      <c r="C2328" s="626" t="s">
        <v>8</v>
      </c>
      <c r="D2328" s="626" t="s">
        <v>8451</v>
      </c>
      <c r="E2328" s="804" t="s">
        <v>12711</v>
      </c>
      <c r="F2328" s="805"/>
      <c r="G2328" s="628" t="s">
        <v>35</v>
      </c>
      <c r="H2328" s="629">
        <v>6.6699999999999995E-5</v>
      </c>
      <c r="I2328" s="630">
        <v>10910.54</v>
      </c>
      <c r="J2328" s="630">
        <v>0.72</v>
      </c>
      <c r="K2328"/>
    </row>
    <row r="2329" spans="1:11" ht="0.95" customHeight="1">
      <c r="A2329" s="631"/>
      <c r="B2329" s="631"/>
      <c r="C2329" s="631"/>
      <c r="D2329" s="631"/>
      <c r="E2329" s="631" t="s">
        <v>12714</v>
      </c>
      <c r="F2329" s="632">
        <v>0</v>
      </c>
      <c r="G2329" s="631" t="s">
        <v>12715</v>
      </c>
      <c r="H2329" s="632">
        <v>0</v>
      </c>
      <c r="I2329" s="631" t="s">
        <v>12716</v>
      </c>
      <c r="J2329" s="632">
        <v>0</v>
      </c>
      <c r="K2329"/>
    </row>
    <row r="2330" spans="1:11" ht="18" customHeight="1" thickBot="1">
      <c r="A2330" s="631"/>
      <c r="B2330" s="631"/>
      <c r="C2330" s="631"/>
      <c r="D2330" s="631"/>
      <c r="E2330" s="631" t="s">
        <v>12717</v>
      </c>
      <c r="F2330" s="632">
        <v>0.2</v>
      </c>
      <c r="G2330" s="631"/>
      <c r="H2330" s="806" t="s">
        <v>12718</v>
      </c>
      <c r="I2330" s="806"/>
      <c r="J2330" s="632">
        <v>0.92</v>
      </c>
      <c r="K2330"/>
    </row>
    <row r="2331" spans="1:11" ht="36" customHeight="1" thickTop="1">
      <c r="A2331" s="633"/>
      <c r="B2331" s="633"/>
      <c r="C2331" s="633"/>
      <c r="D2331" s="633"/>
      <c r="E2331" s="633"/>
      <c r="F2331" s="633"/>
      <c r="G2331" s="633"/>
      <c r="H2331" s="633"/>
      <c r="I2331" s="633"/>
      <c r="J2331" s="633"/>
      <c r="K2331"/>
    </row>
    <row r="2332" spans="1:11" ht="36" customHeight="1">
      <c r="A2332" s="613"/>
      <c r="B2332" s="614" t="s">
        <v>12698</v>
      </c>
      <c r="C2332" s="613" t="s">
        <v>12699</v>
      </c>
      <c r="D2332" s="613" t="s">
        <v>12700</v>
      </c>
      <c r="E2332" s="807" t="s">
        <v>12701</v>
      </c>
      <c r="F2332" s="808"/>
      <c r="G2332" s="615" t="s">
        <v>12702</v>
      </c>
      <c r="H2332" s="614" t="s">
        <v>12703</v>
      </c>
      <c r="I2332" s="614" t="s">
        <v>12704</v>
      </c>
      <c r="J2332" s="614" t="s">
        <v>12705</v>
      </c>
      <c r="K2332"/>
    </row>
    <row r="2333" spans="1:11" ht="38.25" customHeight="1">
      <c r="A2333" s="616" t="s">
        <v>12706</v>
      </c>
      <c r="B2333" s="617" t="s">
        <v>13267</v>
      </c>
      <c r="C2333" s="616" t="s">
        <v>8</v>
      </c>
      <c r="D2333" s="616" t="s">
        <v>2446</v>
      </c>
      <c r="E2333" s="809" t="s">
        <v>12726</v>
      </c>
      <c r="F2333" s="810"/>
      <c r="G2333" s="618" t="s">
        <v>23</v>
      </c>
      <c r="H2333" s="619">
        <v>1</v>
      </c>
      <c r="I2333" s="620">
        <v>3.87</v>
      </c>
      <c r="J2333" s="620">
        <v>3.87</v>
      </c>
      <c r="K2333"/>
    </row>
    <row r="2334" spans="1:11" ht="15" customHeight="1">
      <c r="A2334" s="626" t="s">
        <v>12709</v>
      </c>
      <c r="B2334" s="627" t="s">
        <v>13266</v>
      </c>
      <c r="C2334" s="626" t="s">
        <v>8</v>
      </c>
      <c r="D2334" s="626" t="s">
        <v>9514</v>
      </c>
      <c r="E2334" s="804" t="s">
        <v>12720</v>
      </c>
      <c r="F2334" s="805"/>
      <c r="G2334" s="628" t="s">
        <v>58</v>
      </c>
      <c r="H2334" s="629">
        <v>1.03</v>
      </c>
      <c r="I2334" s="630">
        <v>3.76</v>
      </c>
      <c r="J2334" s="630">
        <v>3.87</v>
      </c>
      <c r="K2334"/>
    </row>
    <row r="2335" spans="1:11" ht="0.95" customHeight="1">
      <c r="A2335" s="631"/>
      <c r="B2335" s="631"/>
      <c r="C2335" s="631"/>
      <c r="D2335" s="631"/>
      <c r="E2335" s="631" t="s">
        <v>12714</v>
      </c>
      <c r="F2335" s="632">
        <v>0</v>
      </c>
      <c r="G2335" s="631" t="s">
        <v>12715</v>
      </c>
      <c r="H2335" s="632">
        <v>0</v>
      </c>
      <c r="I2335" s="631" t="s">
        <v>12716</v>
      </c>
      <c r="J2335" s="632">
        <v>0</v>
      </c>
      <c r="K2335"/>
    </row>
    <row r="2336" spans="1:11" ht="18" customHeight="1" thickBot="1">
      <c r="A2336" s="631"/>
      <c r="B2336" s="631"/>
      <c r="C2336" s="631"/>
      <c r="D2336" s="631"/>
      <c r="E2336" s="631" t="s">
        <v>12717</v>
      </c>
      <c r="F2336" s="632">
        <v>1.0900000000000001</v>
      </c>
      <c r="G2336" s="631"/>
      <c r="H2336" s="806" t="s">
        <v>12718</v>
      </c>
      <c r="I2336" s="806"/>
      <c r="J2336" s="632">
        <v>4.96</v>
      </c>
      <c r="K2336"/>
    </row>
    <row r="2337" spans="1:11" ht="48" customHeight="1" thickTop="1">
      <c r="A2337" s="633"/>
      <c r="B2337" s="633"/>
      <c r="C2337" s="633"/>
      <c r="D2337" s="633"/>
      <c r="E2337" s="633"/>
      <c r="F2337" s="633"/>
      <c r="G2337" s="633"/>
      <c r="H2337" s="633"/>
      <c r="I2337" s="633"/>
      <c r="J2337" s="633"/>
      <c r="K2337"/>
    </row>
    <row r="2338" spans="1:11" ht="36" customHeight="1">
      <c r="A2338" s="613"/>
      <c r="B2338" s="614" t="s">
        <v>12698</v>
      </c>
      <c r="C2338" s="613" t="s">
        <v>12699</v>
      </c>
      <c r="D2338" s="613" t="s">
        <v>12700</v>
      </c>
      <c r="E2338" s="807" t="s">
        <v>12701</v>
      </c>
      <c r="F2338" s="808"/>
      <c r="G2338" s="615" t="s">
        <v>12702</v>
      </c>
      <c r="H2338" s="614" t="s">
        <v>12703</v>
      </c>
      <c r="I2338" s="614" t="s">
        <v>12704</v>
      </c>
      <c r="J2338" s="614" t="s">
        <v>12705</v>
      </c>
      <c r="K2338"/>
    </row>
    <row r="2339" spans="1:11" ht="38.25" customHeight="1">
      <c r="A2339" s="616" t="s">
        <v>12706</v>
      </c>
      <c r="B2339" s="617" t="s">
        <v>13265</v>
      </c>
      <c r="C2339" s="616" t="s">
        <v>8</v>
      </c>
      <c r="D2339" s="616" t="s">
        <v>3958</v>
      </c>
      <c r="E2339" s="809" t="s">
        <v>12726</v>
      </c>
      <c r="F2339" s="810"/>
      <c r="G2339" s="618" t="s">
        <v>61</v>
      </c>
      <c r="H2339" s="619">
        <v>1</v>
      </c>
      <c r="I2339" s="620">
        <v>0.12</v>
      </c>
      <c r="J2339" s="620">
        <v>0.12</v>
      </c>
      <c r="K2339"/>
    </row>
    <row r="2340" spans="1:11" ht="15" customHeight="1">
      <c r="A2340" s="621" t="s">
        <v>12708</v>
      </c>
      <c r="B2340" s="622" t="s">
        <v>13262</v>
      </c>
      <c r="C2340" s="621" t="s">
        <v>8</v>
      </c>
      <c r="D2340" s="621" t="s">
        <v>3954</v>
      </c>
      <c r="E2340" s="811" t="s">
        <v>12726</v>
      </c>
      <c r="F2340" s="812"/>
      <c r="G2340" s="623" t="s">
        <v>23</v>
      </c>
      <c r="H2340" s="624">
        <v>1</v>
      </c>
      <c r="I2340" s="625">
        <v>0.11</v>
      </c>
      <c r="J2340" s="625">
        <v>0.11</v>
      </c>
      <c r="K2340"/>
    </row>
    <row r="2341" spans="1:11" ht="0.95" customHeight="1">
      <c r="A2341" s="621" t="s">
        <v>12708</v>
      </c>
      <c r="B2341" s="622" t="s">
        <v>13261</v>
      </c>
      <c r="C2341" s="621" t="s">
        <v>8</v>
      </c>
      <c r="D2341" s="621" t="s">
        <v>3955</v>
      </c>
      <c r="E2341" s="811" t="s">
        <v>12726</v>
      </c>
      <c r="F2341" s="812"/>
      <c r="G2341" s="623" t="s">
        <v>23</v>
      </c>
      <c r="H2341" s="624">
        <v>1</v>
      </c>
      <c r="I2341" s="625">
        <v>0.01</v>
      </c>
      <c r="J2341" s="625">
        <v>0.01</v>
      </c>
      <c r="K2341"/>
    </row>
    <row r="2342" spans="1:11" ht="18" customHeight="1">
      <c r="A2342" s="631"/>
      <c r="B2342" s="631"/>
      <c r="C2342" s="631"/>
      <c r="D2342" s="631"/>
      <c r="E2342" s="631" t="s">
        <v>12714</v>
      </c>
      <c r="F2342" s="632">
        <v>0</v>
      </c>
      <c r="G2342" s="631" t="s">
        <v>12715</v>
      </c>
      <c r="H2342" s="632">
        <v>0</v>
      </c>
      <c r="I2342" s="631" t="s">
        <v>12716</v>
      </c>
      <c r="J2342" s="632">
        <v>0</v>
      </c>
      <c r="K2342"/>
    </row>
    <row r="2343" spans="1:11" ht="48" customHeight="1" thickBot="1">
      <c r="A2343" s="631"/>
      <c r="B2343" s="631"/>
      <c r="C2343" s="631"/>
      <c r="D2343" s="631"/>
      <c r="E2343" s="631" t="s">
        <v>12717</v>
      </c>
      <c r="F2343" s="632">
        <v>0.03</v>
      </c>
      <c r="G2343" s="631"/>
      <c r="H2343" s="806" t="s">
        <v>12718</v>
      </c>
      <c r="I2343" s="806"/>
      <c r="J2343" s="632">
        <v>0.15</v>
      </c>
      <c r="K2343"/>
    </row>
    <row r="2344" spans="1:11" ht="48" customHeight="1" thickTop="1">
      <c r="A2344" s="633"/>
      <c r="B2344" s="633"/>
      <c r="C2344" s="633"/>
      <c r="D2344" s="633"/>
      <c r="E2344" s="633"/>
      <c r="F2344" s="633"/>
      <c r="G2344" s="633"/>
      <c r="H2344" s="633"/>
      <c r="I2344" s="633"/>
      <c r="J2344" s="633"/>
      <c r="K2344"/>
    </row>
    <row r="2345" spans="1:11" ht="36" customHeight="1">
      <c r="A2345" s="613"/>
      <c r="B2345" s="614" t="s">
        <v>12698</v>
      </c>
      <c r="C2345" s="613" t="s">
        <v>12699</v>
      </c>
      <c r="D2345" s="613" t="s">
        <v>12700</v>
      </c>
      <c r="E2345" s="807" t="s">
        <v>12701</v>
      </c>
      <c r="F2345" s="808"/>
      <c r="G2345" s="615" t="s">
        <v>12702</v>
      </c>
      <c r="H2345" s="614" t="s">
        <v>12703</v>
      </c>
      <c r="I2345" s="614" t="s">
        <v>12704</v>
      </c>
      <c r="J2345" s="614" t="s">
        <v>12705</v>
      </c>
      <c r="K2345"/>
    </row>
    <row r="2346" spans="1:11" ht="48" customHeight="1">
      <c r="A2346" s="616" t="s">
        <v>12706</v>
      </c>
      <c r="B2346" s="617" t="s">
        <v>13262</v>
      </c>
      <c r="C2346" s="616" t="s">
        <v>8</v>
      </c>
      <c r="D2346" s="616" t="s">
        <v>3954</v>
      </c>
      <c r="E2346" s="809" t="s">
        <v>12726</v>
      </c>
      <c r="F2346" s="810"/>
      <c r="G2346" s="618" t="s">
        <v>23</v>
      </c>
      <c r="H2346" s="619">
        <v>1</v>
      </c>
      <c r="I2346" s="620">
        <v>0.11</v>
      </c>
      <c r="J2346" s="620">
        <v>0.11</v>
      </c>
      <c r="K2346"/>
    </row>
    <row r="2347" spans="1:11" ht="48" customHeight="1">
      <c r="A2347" s="626" t="s">
        <v>12709</v>
      </c>
      <c r="B2347" s="627" t="s">
        <v>13264</v>
      </c>
      <c r="C2347" s="626" t="s">
        <v>8</v>
      </c>
      <c r="D2347" s="626" t="s">
        <v>8460</v>
      </c>
      <c r="E2347" s="804" t="s">
        <v>12711</v>
      </c>
      <c r="F2347" s="805"/>
      <c r="G2347" s="628" t="s">
        <v>35</v>
      </c>
      <c r="H2347" s="629">
        <v>5.3300000000000001E-5</v>
      </c>
      <c r="I2347" s="630">
        <v>2166.4899999999998</v>
      </c>
      <c r="J2347" s="630">
        <v>0.11</v>
      </c>
      <c r="K2347"/>
    </row>
    <row r="2348" spans="1:11" ht="25.5">
      <c r="A2348" s="631"/>
      <c r="B2348" s="631"/>
      <c r="C2348" s="631"/>
      <c r="D2348" s="631"/>
      <c r="E2348" s="631" t="s">
        <v>12714</v>
      </c>
      <c r="F2348" s="632">
        <v>0</v>
      </c>
      <c r="G2348" s="631" t="s">
        <v>12715</v>
      </c>
      <c r="H2348" s="632">
        <v>0</v>
      </c>
      <c r="I2348" s="631" t="s">
        <v>12716</v>
      </c>
      <c r="J2348" s="632">
        <v>0</v>
      </c>
      <c r="K2348"/>
    </row>
    <row r="2349" spans="1:11" ht="15" customHeight="1" thickBot="1">
      <c r="A2349" s="631"/>
      <c r="B2349" s="631"/>
      <c r="C2349" s="631"/>
      <c r="D2349" s="631"/>
      <c r="E2349" s="631" t="s">
        <v>12717</v>
      </c>
      <c r="F2349" s="632">
        <v>0.03</v>
      </c>
      <c r="G2349" s="631"/>
      <c r="H2349" s="806" t="s">
        <v>12718</v>
      </c>
      <c r="I2349" s="806"/>
      <c r="J2349" s="632">
        <v>0.14000000000000001</v>
      </c>
      <c r="K2349"/>
    </row>
    <row r="2350" spans="1:11" ht="0.95" customHeight="1" thickTop="1">
      <c r="A2350" s="633"/>
      <c r="B2350" s="633"/>
      <c r="C2350" s="633"/>
      <c r="D2350" s="633"/>
      <c r="E2350" s="633"/>
      <c r="F2350" s="633"/>
      <c r="G2350" s="633"/>
      <c r="H2350" s="633"/>
      <c r="I2350" s="633"/>
      <c r="J2350" s="633"/>
      <c r="K2350"/>
    </row>
    <row r="2351" spans="1:11" ht="18" customHeight="1">
      <c r="A2351" s="613"/>
      <c r="B2351" s="614" t="s">
        <v>12698</v>
      </c>
      <c r="C2351" s="613" t="s">
        <v>12699</v>
      </c>
      <c r="D2351" s="613" t="s">
        <v>12700</v>
      </c>
      <c r="E2351" s="807" t="s">
        <v>12701</v>
      </c>
      <c r="F2351" s="808"/>
      <c r="G2351" s="615" t="s">
        <v>12702</v>
      </c>
      <c r="H2351" s="614" t="s">
        <v>12703</v>
      </c>
      <c r="I2351" s="614" t="s">
        <v>12704</v>
      </c>
      <c r="J2351" s="614" t="s">
        <v>12705</v>
      </c>
      <c r="K2351"/>
    </row>
    <row r="2352" spans="1:11" ht="48" customHeight="1">
      <c r="A2352" s="616" t="s">
        <v>12706</v>
      </c>
      <c r="B2352" s="617" t="s">
        <v>13261</v>
      </c>
      <c r="C2352" s="616" t="s">
        <v>8</v>
      </c>
      <c r="D2352" s="616" t="s">
        <v>3955</v>
      </c>
      <c r="E2352" s="809" t="s">
        <v>12726</v>
      </c>
      <c r="F2352" s="810"/>
      <c r="G2352" s="618" t="s">
        <v>23</v>
      </c>
      <c r="H2352" s="619">
        <v>1</v>
      </c>
      <c r="I2352" s="620">
        <v>0.01</v>
      </c>
      <c r="J2352" s="620">
        <v>0.01</v>
      </c>
      <c r="K2352"/>
    </row>
    <row r="2353" spans="1:11" ht="24" customHeight="1">
      <c r="A2353" s="626" t="s">
        <v>12709</v>
      </c>
      <c r="B2353" s="627" t="s">
        <v>13264</v>
      </c>
      <c r="C2353" s="626" t="s">
        <v>8</v>
      </c>
      <c r="D2353" s="626" t="s">
        <v>8460</v>
      </c>
      <c r="E2353" s="804" t="s">
        <v>12711</v>
      </c>
      <c r="F2353" s="805"/>
      <c r="G2353" s="628" t="s">
        <v>35</v>
      </c>
      <c r="H2353" s="629">
        <v>7.6000000000000001E-6</v>
      </c>
      <c r="I2353" s="630">
        <v>2166.4899999999998</v>
      </c>
      <c r="J2353" s="630">
        <v>0.01</v>
      </c>
      <c r="K2353"/>
    </row>
    <row r="2354" spans="1:11" ht="25.5">
      <c r="A2354" s="631"/>
      <c r="B2354" s="631"/>
      <c r="C2354" s="631"/>
      <c r="D2354" s="631"/>
      <c r="E2354" s="631" t="s">
        <v>12714</v>
      </c>
      <c r="F2354" s="632">
        <v>0</v>
      </c>
      <c r="G2354" s="631" t="s">
        <v>12715</v>
      </c>
      <c r="H2354" s="632">
        <v>0</v>
      </c>
      <c r="I2354" s="631" t="s">
        <v>12716</v>
      </c>
      <c r="J2354" s="632">
        <v>0</v>
      </c>
      <c r="K2354"/>
    </row>
    <row r="2355" spans="1:11" ht="15" customHeight="1" thickBot="1">
      <c r="A2355" s="631"/>
      <c r="B2355" s="631"/>
      <c r="C2355" s="631"/>
      <c r="D2355" s="631"/>
      <c r="E2355" s="631" t="s">
        <v>12717</v>
      </c>
      <c r="F2355" s="632">
        <v>0</v>
      </c>
      <c r="G2355" s="631"/>
      <c r="H2355" s="806" t="s">
        <v>12718</v>
      </c>
      <c r="I2355" s="806"/>
      <c r="J2355" s="632">
        <v>0.01</v>
      </c>
      <c r="K2355"/>
    </row>
    <row r="2356" spans="1:11" ht="0.95" customHeight="1" thickTop="1">
      <c r="A2356" s="633"/>
      <c r="B2356" s="633"/>
      <c r="C2356" s="633"/>
      <c r="D2356" s="633"/>
      <c r="E2356" s="633"/>
      <c r="F2356" s="633"/>
      <c r="G2356" s="633"/>
      <c r="H2356" s="633"/>
      <c r="I2356" s="633"/>
      <c r="J2356" s="633"/>
      <c r="K2356"/>
    </row>
    <row r="2357" spans="1:11" ht="18" customHeight="1">
      <c r="A2357" s="613"/>
      <c r="B2357" s="614" t="s">
        <v>12698</v>
      </c>
      <c r="C2357" s="613" t="s">
        <v>12699</v>
      </c>
      <c r="D2357" s="613" t="s">
        <v>12700</v>
      </c>
      <c r="E2357" s="807" t="s">
        <v>12701</v>
      </c>
      <c r="F2357" s="808"/>
      <c r="G2357" s="615" t="s">
        <v>12702</v>
      </c>
      <c r="H2357" s="614" t="s">
        <v>12703</v>
      </c>
      <c r="I2357" s="614" t="s">
        <v>12704</v>
      </c>
      <c r="J2357" s="614" t="s">
        <v>12705</v>
      </c>
      <c r="K2357"/>
    </row>
    <row r="2358" spans="1:11" ht="36" customHeight="1">
      <c r="A2358" s="616" t="s">
        <v>12706</v>
      </c>
      <c r="B2358" s="617" t="s">
        <v>13260</v>
      </c>
      <c r="C2358" s="616" t="s">
        <v>8</v>
      </c>
      <c r="D2358" s="616" t="s">
        <v>3956</v>
      </c>
      <c r="E2358" s="809" t="s">
        <v>12726</v>
      </c>
      <c r="F2358" s="810"/>
      <c r="G2358" s="618" t="s">
        <v>23</v>
      </c>
      <c r="H2358" s="619">
        <v>1</v>
      </c>
      <c r="I2358" s="620">
        <v>0.14000000000000001</v>
      </c>
      <c r="J2358" s="620">
        <v>0.14000000000000001</v>
      </c>
      <c r="K2358"/>
    </row>
    <row r="2359" spans="1:11" ht="48" customHeight="1">
      <c r="A2359" s="626" t="s">
        <v>12709</v>
      </c>
      <c r="B2359" s="627" t="s">
        <v>13264</v>
      </c>
      <c r="C2359" s="626" t="s">
        <v>8</v>
      </c>
      <c r="D2359" s="626" t="s">
        <v>8460</v>
      </c>
      <c r="E2359" s="804" t="s">
        <v>12711</v>
      </c>
      <c r="F2359" s="805"/>
      <c r="G2359" s="628" t="s">
        <v>35</v>
      </c>
      <c r="H2359" s="629">
        <v>6.6699999999999995E-5</v>
      </c>
      <c r="I2359" s="630">
        <v>2166.4899999999998</v>
      </c>
      <c r="J2359" s="630">
        <v>0.14000000000000001</v>
      </c>
      <c r="K2359"/>
    </row>
    <row r="2360" spans="1:11" ht="48" customHeight="1">
      <c r="A2360" s="631"/>
      <c r="B2360" s="631"/>
      <c r="C2360" s="631"/>
      <c r="D2360" s="631"/>
      <c r="E2360" s="631" t="s">
        <v>12714</v>
      </c>
      <c r="F2360" s="632">
        <v>0</v>
      </c>
      <c r="G2360" s="631" t="s">
        <v>12715</v>
      </c>
      <c r="H2360" s="632">
        <v>0</v>
      </c>
      <c r="I2360" s="631" t="s">
        <v>12716</v>
      </c>
      <c r="J2360" s="632">
        <v>0</v>
      </c>
      <c r="K2360"/>
    </row>
    <row r="2361" spans="1:11" ht="24" customHeight="1" thickBot="1">
      <c r="A2361" s="631"/>
      <c r="B2361" s="631"/>
      <c r="C2361" s="631"/>
      <c r="D2361" s="631"/>
      <c r="E2361" s="631" t="s">
        <v>12717</v>
      </c>
      <c r="F2361" s="632">
        <v>0.03</v>
      </c>
      <c r="G2361" s="631"/>
      <c r="H2361" s="806" t="s">
        <v>12718</v>
      </c>
      <c r="I2361" s="806"/>
      <c r="J2361" s="632">
        <v>0.17</v>
      </c>
      <c r="K2361"/>
    </row>
    <row r="2362" spans="1:11" ht="24" customHeight="1" thickTop="1">
      <c r="A2362" s="633"/>
      <c r="B2362" s="633"/>
      <c r="C2362" s="633"/>
      <c r="D2362" s="633"/>
      <c r="E2362" s="633"/>
      <c r="F2362" s="633"/>
      <c r="G2362" s="633"/>
      <c r="H2362" s="633"/>
      <c r="I2362" s="633"/>
      <c r="J2362" s="633"/>
      <c r="K2362"/>
    </row>
    <row r="2363" spans="1:11" ht="24" customHeight="1">
      <c r="A2363" s="613"/>
      <c r="B2363" s="614" t="s">
        <v>12698</v>
      </c>
      <c r="C2363" s="613" t="s">
        <v>12699</v>
      </c>
      <c r="D2363" s="613" t="s">
        <v>12700</v>
      </c>
      <c r="E2363" s="807" t="s">
        <v>12701</v>
      </c>
      <c r="F2363" s="808"/>
      <c r="G2363" s="615" t="s">
        <v>12702</v>
      </c>
      <c r="H2363" s="614" t="s">
        <v>12703</v>
      </c>
      <c r="I2363" s="614" t="s">
        <v>12704</v>
      </c>
      <c r="J2363" s="614" t="s">
        <v>12705</v>
      </c>
      <c r="K2363"/>
    </row>
    <row r="2364" spans="1:11" ht="24" customHeight="1">
      <c r="A2364" s="616" t="s">
        <v>12706</v>
      </c>
      <c r="B2364" s="617" t="s">
        <v>13263</v>
      </c>
      <c r="C2364" s="616" t="s">
        <v>8</v>
      </c>
      <c r="D2364" s="616" t="s">
        <v>3959</v>
      </c>
      <c r="E2364" s="809" t="s">
        <v>12726</v>
      </c>
      <c r="F2364" s="810"/>
      <c r="G2364" s="618" t="s">
        <v>44</v>
      </c>
      <c r="H2364" s="619">
        <v>1</v>
      </c>
      <c r="I2364" s="620">
        <v>1.28</v>
      </c>
      <c r="J2364" s="620">
        <v>1.28</v>
      </c>
      <c r="K2364"/>
    </row>
    <row r="2365" spans="1:11" ht="24" customHeight="1">
      <c r="A2365" s="621" t="s">
        <v>12708</v>
      </c>
      <c r="B2365" s="622" t="s">
        <v>13262</v>
      </c>
      <c r="C2365" s="621" t="s">
        <v>8</v>
      </c>
      <c r="D2365" s="621" t="s">
        <v>3954</v>
      </c>
      <c r="E2365" s="811" t="s">
        <v>12726</v>
      </c>
      <c r="F2365" s="812"/>
      <c r="G2365" s="623" t="s">
        <v>23</v>
      </c>
      <c r="H2365" s="624">
        <v>1</v>
      </c>
      <c r="I2365" s="625">
        <v>0.11</v>
      </c>
      <c r="J2365" s="625">
        <v>0.11</v>
      </c>
      <c r="K2365"/>
    </row>
    <row r="2366" spans="1:11" ht="38.25" customHeight="1">
      <c r="A2366" s="621" t="s">
        <v>12708</v>
      </c>
      <c r="B2366" s="622" t="s">
        <v>13261</v>
      </c>
      <c r="C2366" s="621" t="s">
        <v>8</v>
      </c>
      <c r="D2366" s="621" t="s">
        <v>3955</v>
      </c>
      <c r="E2366" s="811" t="s">
        <v>12726</v>
      </c>
      <c r="F2366" s="812"/>
      <c r="G2366" s="623" t="s">
        <v>23</v>
      </c>
      <c r="H2366" s="624">
        <v>1</v>
      </c>
      <c r="I2366" s="625">
        <v>0.01</v>
      </c>
      <c r="J2366" s="625">
        <v>0.01</v>
      </c>
      <c r="K2366"/>
    </row>
    <row r="2367" spans="1:11" ht="15" customHeight="1">
      <c r="A2367" s="621" t="s">
        <v>12708</v>
      </c>
      <c r="B2367" s="622" t="s">
        <v>13260</v>
      </c>
      <c r="C2367" s="621" t="s">
        <v>8</v>
      </c>
      <c r="D2367" s="621" t="s">
        <v>3956</v>
      </c>
      <c r="E2367" s="811" t="s">
        <v>12726</v>
      </c>
      <c r="F2367" s="812"/>
      <c r="G2367" s="623" t="s">
        <v>23</v>
      </c>
      <c r="H2367" s="624">
        <v>1</v>
      </c>
      <c r="I2367" s="625">
        <v>0.14000000000000001</v>
      </c>
      <c r="J2367" s="625">
        <v>0.14000000000000001</v>
      </c>
      <c r="K2367"/>
    </row>
    <row r="2368" spans="1:11" ht="0.95" customHeight="1">
      <c r="A2368" s="621" t="s">
        <v>12708</v>
      </c>
      <c r="B2368" s="622" t="s">
        <v>13259</v>
      </c>
      <c r="C2368" s="621" t="s">
        <v>8</v>
      </c>
      <c r="D2368" s="621" t="s">
        <v>3957</v>
      </c>
      <c r="E2368" s="811" t="s">
        <v>12726</v>
      </c>
      <c r="F2368" s="812"/>
      <c r="G2368" s="623" t="s">
        <v>23</v>
      </c>
      <c r="H2368" s="624">
        <v>1</v>
      </c>
      <c r="I2368" s="625">
        <v>1.02</v>
      </c>
      <c r="J2368" s="625">
        <v>1.02</v>
      </c>
      <c r="K2368"/>
    </row>
    <row r="2369" spans="1:11" ht="18" customHeight="1">
      <c r="A2369" s="631"/>
      <c r="B2369" s="631"/>
      <c r="C2369" s="631"/>
      <c r="D2369" s="631"/>
      <c r="E2369" s="631" t="s">
        <v>12714</v>
      </c>
      <c r="F2369" s="632">
        <v>0</v>
      </c>
      <c r="G2369" s="631" t="s">
        <v>12715</v>
      </c>
      <c r="H2369" s="632">
        <v>0</v>
      </c>
      <c r="I2369" s="631" t="s">
        <v>12716</v>
      </c>
      <c r="J2369" s="632">
        <v>0</v>
      </c>
      <c r="K2369"/>
    </row>
    <row r="2370" spans="1:11" ht="36" customHeight="1" thickBot="1">
      <c r="A2370" s="631"/>
      <c r="B2370" s="631"/>
      <c r="C2370" s="631"/>
      <c r="D2370" s="631"/>
      <c r="E2370" s="631" t="s">
        <v>12717</v>
      </c>
      <c r="F2370" s="632">
        <v>0.36</v>
      </c>
      <c r="G2370" s="631"/>
      <c r="H2370" s="806" t="s">
        <v>12718</v>
      </c>
      <c r="I2370" s="806"/>
      <c r="J2370" s="632">
        <v>1.64</v>
      </c>
      <c r="K2370"/>
    </row>
    <row r="2371" spans="1:11" ht="48" customHeight="1" thickTop="1">
      <c r="A2371" s="633"/>
      <c r="B2371" s="633"/>
      <c r="C2371" s="633"/>
      <c r="D2371" s="633"/>
      <c r="E2371" s="633"/>
      <c r="F2371" s="633"/>
      <c r="G2371" s="633"/>
      <c r="H2371" s="633"/>
      <c r="I2371" s="633"/>
      <c r="J2371" s="633"/>
      <c r="K2371"/>
    </row>
    <row r="2372" spans="1:11" ht="48" customHeight="1">
      <c r="A2372" s="613"/>
      <c r="B2372" s="614" t="s">
        <v>12698</v>
      </c>
      <c r="C2372" s="613" t="s">
        <v>12699</v>
      </c>
      <c r="D2372" s="613" t="s">
        <v>12700</v>
      </c>
      <c r="E2372" s="807" t="s">
        <v>12701</v>
      </c>
      <c r="F2372" s="808"/>
      <c r="G2372" s="615" t="s">
        <v>12702</v>
      </c>
      <c r="H2372" s="614" t="s">
        <v>12703</v>
      </c>
      <c r="I2372" s="614" t="s">
        <v>12704</v>
      </c>
      <c r="J2372" s="614" t="s">
        <v>12705</v>
      </c>
      <c r="K2372"/>
    </row>
    <row r="2373" spans="1:11" ht="24" customHeight="1">
      <c r="A2373" s="616" t="s">
        <v>12706</v>
      </c>
      <c r="B2373" s="617" t="s">
        <v>13259</v>
      </c>
      <c r="C2373" s="616" t="s">
        <v>8</v>
      </c>
      <c r="D2373" s="616" t="s">
        <v>3957</v>
      </c>
      <c r="E2373" s="809" t="s">
        <v>12726</v>
      </c>
      <c r="F2373" s="810"/>
      <c r="G2373" s="618" t="s">
        <v>23</v>
      </c>
      <c r="H2373" s="619">
        <v>1</v>
      </c>
      <c r="I2373" s="620">
        <v>1.02</v>
      </c>
      <c r="J2373" s="620">
        <v>1.02</v>
      </c>
      <c r="K2373"/>
    </row>
    <row r="2374" spans="1:11" ht="24" customHeight="1">
      <c r="A2374" s="626" t="s">
        <v>12709</v>
      </c>
      <c r="B2374" s="627" t="s">
        <v>12987</v>
      </c>
      <c r="C2374" s="626" t="s">
        <v>8</v>
      </c>
      <c r="D2374" s="626" t="s">
        <v>9192</v>
      </c>
      <c r="E2374" s="804" t="s">
        <v>12720</v>
      </c>
      <c r="F2374" s="805"/>
      <c r="G2374" s="628" t="s">
        <v>12923</v>
      </c>
      <c r="H2374" s="629">
        <v>1.27</v>
      </c>
      <c r="I2374" s="630">
        <v>0.81</v>
      </c>
      <c r="J2374" s="630">
        <v>1.02</v>
      </c>
      <c r="K2374"/>
    </row>
    <row r="2375" spans="1:11" ht="24" customHeight="1">
      <c r="A2375" s="631"/>
      <c r="B2375" s="631"/>
      <c r="C2375" s="631"/>
      <c r="D2375" s="631"/>
      <c r="E2375" s="631" t="s">
        <v>12714</v>
      </c>
      <c r="F2375" s="632">
        <v>0</v>
      </c>
      <c r="G2375" s="631" t="s">
        <v>12715</v>
      </c>
      <c r="H2375" s="632">
        <v>0</v>
      </c>
      <c r="I2375" s="631" t="s">
        <v>12716</v>
      </c>
      <c r="J2375" s="632">
        <v>0</v>
      </c>
      <c r="K2375"/>
    </row>
    <row r="2376" spans="1:11" ht="24" customHeight="1" thickBot="1">
      <c r="A2376" s="631"/>
      <c r="B2376" s="631"/>
      <c r="C2376" s="631"/>
      <c r="D2376" s="631"/>
      <c r="E2376" s="631" t="s">
        <v>12717</v>
      </c>
      <c r="F2376" s="632">
        <v>0.28000000000000003</v>
      </c>
      <c r="G2376" s="631"/>
      <c r="H2376" s="806" t="s">
        <v>12718</v>
      </c>
      <c r="I2376" s="806"/>
      <c r="J2376" s="632">
        <v>1.3</v>
      </c>
      <c r="K2376"/>
    </row>
    <row r="2377" spans="1:11" ht="24" customHeight="1" thickTop="1">
      <c r="A2377" s="633"/>
      <c r="B2377" s="633"/>
      <c r="C2377" s="633"/>
      <c r="D2377" s="633"/>
      <c r="E2377" s="633"/>
      <c r="F2377" s="633"/>
      <c r="G2377" s="633"/>
      <c r="H2377" s="633"/>
      <c r="I2377" s="633"/>
      <c r="J2377" s="633"/>
      <c r="K2377"/>
    </row>
    <row r="2378" spans="1:11" ht="15">
      <c r="A2378" s="613"/>
      <c r="B2378" s="614" t="s">
        <v>12698</v>
      </c>
      <c r="C2378" s="613" t="s">
        <v>12699</v>
      </c>
      <c r="D2378" s="613" t="s">
        <v>12700</v>
      </c>
      <c r="E2378" s="807" t="s">
        <v>12701</v>
      </c>
      <c r="F2378" s="808"/>
      <c r="G2378" s="615" t="s">
        <v>12702</v>
      </c>
      <c r="H2378" s="614" t="s">
        <v>12703</v>
      </c>
      <c r="I2378" s="614" t="s">
        <v>12704</v>
      </c>
      <c r="J2378" s="614" t="s">
        <v>12705</v>
      </c>
      <c r="K2378"/>
    </row>
    <row r="2379" spans="1:11" ht="15" customHeight="1">
      <c r="A2379" s="616" t="s">
        <v>12706</v>
      </c>
      <c r="B2379" s="617" t="s">
        <v>13258</v>
      </c>
      <c r="C2379" s="616" t="s">
        <v>8</v>
      </c>
      <c r="D2379" s="616" t="s">
        <v>724</v>
      </c>
      <c r="E2379" s="809" t="s">
        <v>12734</v>
      </c>
      <c r="F2379" s="810"/>
      <c r="G2379" s="618" t="s">
        <v>12730</v>
      </c>
      <c r="H2379" s="619">
        <v>1</v>
      </c>
      <c r="I2379" s="620">
        <v>310.81</v>
      </c>
      <c r="J2379" s="620">
        <v>310.81</v>
      </c>
      <c r="K2379"/>
    </row>
    <row r="2380" spans="1:11" ht="0.95" customHeight="1">
      <c r="A2380" s="621" t="s">
        <v>12708</v>
      </c>
      <c r="B2380" s="622" t="s">
        <v>13257</v>
      </c>
      <c r="C2380" s="621" t="s">
        <v>8</v>
      </c>
      <c r="D2380" s="621" t="s">
        <v>1579</v>
      </c>
      <c r="E2380" s="811" t="s">
        <v>12726</v>
      </c>
      <c r="F2380" s="812"/>
      <c r="G2380" s="623" t="s">
        <v>44</v>
      </c>
      <c r="H2380" s="624">
        <v>0.83</v>
      </c>
      <c r="I2380" s="625">
        <v>1.47</v>
      </c>
      <c r="J2380" s="625">
        <v>1.22</v>
      </c>
      <c r="K2380"/>
    </row>
    <row r="2381" spans="1:11" ht="18" customHeight="1">
      <c r="A2381" s="621" t="s">
        <v>12708</v>
      </c>
      <c r="B2381" s="622" t="s">
        <v>13256</v>
      </c>
      <c r="C2381" s="621" t="s">
        <v>8</v>
      </c>
      <c r="D2381" s="621" t="s">
        <v>1580</v>
      </c>
      <c r="E2381" s="811" t="s">
        <v>12726</v>
      </c>
      <c r="F2381" s="812"/>
      <c r="G2381" s="623" t="s">
        <v>61</v>
      </c>
      <c r="H2381" s="624">
        <v>0.78</v>
      </c>
      <c r="I2381" s="625">
        <v>0.25</v>
      </c>
      <c r="J2381" s="625">
        <v>0.19</v>
      </c>
      <c r="K2381"/>
    </row>
    <row r="2382" spans="1:11" ht="36" customHeight="1">
      <c r="A2382" s="621" t="s">
        <v>12708</v>
      </c>
      <c r="B2382" s="622" t="s">
        <v>12727</v>
      </c>
      <c r="C2382" s="621" t="s">
        <v>8</v>
      </c>
      <c r="D2382" s="621" t="s">
        <v>26</v>
      </c>
      <c r="E2382" s="811" t="s">
        <v>12707</v>
      </c>
      <c r="F2382" s="812"/>
      <c r="G2382" s="623" t="s">
        <v>23</v>
      </c>
      <c r="H2382" s="624">
        <v>2.5299999999999998</v>
      </c>
      <c r="I2382" s="625">
        <v>14.37</v>
      </c>
      <c r="J2382" s="625">
        <v>36.35</v>
      </c>
      <c r="K2382"/>
    </row>
    <row r="2383" spans="1:11" ht="48" customHeight="1">
      <c r="A2383" s="621" t="s">
        <v>12708</v>
      </c>
      <c r="B2383" s="622" t="s">
        <v>13118</v>
      </c>
      <c r="C2383" s="621" t="s">
        <v>8</v>
      </c>
      <c r="D2383" s="621" t="s">
        <v>1520</v>
      </c>
      <c r="E2383" s="811" t="s">
        <v>12707</v>
      </c>
      <c r="F2383" s="812"/>
      <c r="G2383" s="623" t="s">
        <v>23</v>
      </c>
      <c r="H2383" s="624">
        <v>1.6</v>
      </c>
      <c r="I2383" s="625">
        <v>12.88</v>
      </c>
      <c r="J2383" s="625">
        <v>20.6</v>
      </c>
      <c r="K2383"/>
    </row>
    <row r="2384" spans="1:11" ht="48" customHeight="1">
      <c r="A2384" s="626" t="s">
        <v>12709</v>
      </c>
      <c r="B2384" s="627" t="s">
        <v>13250</v>
      </c>
      <c r="C2384" s="626" t="s">
        <v>8</v>
      </c>
      <c r="D2384" s="626" t="s">
        <v>7526</v>
      </c>
      <c r="E2384" s="804" t="s">
        <v>12720</v>
      </c>
      <c r="F2384" s="805"/>
      <c r="G2384" s="628" t="s">
        <v>12730</v>
      </c>
      <c r="H2384" s="629">
        <v>0.75580000000000003</v>
      </c>
      <c r="I2384" s="630">
        <v>62.5</v>
      </c>
      <c r="J2384" s="630">
        <v>47.23</v>
      </c>
      <c r="K2384"/>
    </row>
    <row r="2385" spans="1:11" ht="24" customHeight="1">
      <c r="A2385" s="626" t="s">
        <v>12709</v>
      </c>
      <c r="B2385" s="627" t="s">
        <v>13249</v>
      </c>
      <c r="C2385" s="626" t="s">
        <v>8</v>
      </c>
      <c r="D2385" s="626" t="s">
        <v>8420</v>
      </c>
      <c r="E2385" s="804" t="s">
        <v>12720</v>
      </c>
      <c r="F2385" s="805"/>
      <c r="G2385" s="628" t="s">
        <v>20</v>
      </c>
      <c r="H2385" s="629">
        <v>322.98</v>
      </c>
      <c r="I2385" s="630">
        <v>0.49</v>
      </c>
      <c r="J2385" s="630">
        <v>158.26</v>
      </c>
      <c r="K2385"/>
    </row>
    <row r="2386" spans="1:11" ht="24" customHeight="1">
      <c r="A2386" s="626" t="s">
        <v>12709</v>
      </c>
      <c r="B2386" s="627" t="s">
        <v>13248</v>
      </c>
      <c r="C2386" s="626" t="s">
        <v>8</v>
      </c>
      <c r="D2386" s="626" t="s">
        <v>10712</v>
      </c>
      <c r="E2386" s="804" t="s">
        <v>12720</v>
      </c>
      <c r="F2386" s="805"/>
      <c r="G2386" s="628" t="s">
        <v>12730</v>
      </c>
      <c r="H2386" s="629">
        <v>0.58699999999999997</v>
      </c>
      <c r="I2386" s="630">
        <v>80</v>
      </c>
      <c r="J2386" s="630">
        <v>46.96</v>
      </c>
      <c r="K2386"/>
    </row>
    <row r="2387" spans="1:11" ht="24" customHeight="1">
      <c r="A2387" s="631"/>
      <c r="B2387" s="631"/>
      <c r="C2387" s="631"/>
      <c r="D2387" s="631"/>
      <c r="E2387" s="631" t="s">
        <v>12714</v>
      </c>
      <c r="F2387" s="632">
        <v>20.856308790139476</v>
      </c>
      <c r="G2387" s="631" t="s">
        <v>12715</v>
      </c>
      <c r="H2387" s="632">
        <v>17.72</v>
      </c>
      <c r="I2387" s="631" t="s">
        <v>12716</v>
      </c>
      <c r="J2387" s="632">
        <v>38.58</v>
      </c>
      <c r="K2387"/>
    </row>
    <row r="2388" spans="1:11" ht="24" customHeight="1" thickBot="1">
      <c r="A2388" s="631"/>
      <c r="B2388" s="631"/>
      <c r="C2388" s="631"/>
      <c r="D2388" s="631"/>
      <c r="E2388" s="631" t="s">
        <v>12717</v>
      </c>
      <c r="F2388" s="632">
        <v>87.77</v>
      </c>
      <c r="G2388" s="631"/>
      <c r="H2388" s="806" t="s">
        <v>12718</v>
      </c>
      <c r="I2388" s="806"/>
      <c r="J2388" s="632">
        <v>398.58</v>
      </c>
      <c r="K2388"/>
    </row>
    <row r="2389" spans="1:11" ht="24" customHeight="1" thickTop="1">
      <c r="A2389" s="633"/>
      <c r="B2389" s="633"/>
      <c r="C2389" s="633"/>
      <c r="D2389" s="633"/>
      <c r="E2389" s="633"/>
      <c r="F2389" s="633"/>
      <c r="G2389" s="633"/>
      <c r="H2389" s="633"/>
      <c r="I2389" s="633"/>
      <c r="J2389" s="633"/>
      <c r="K2389"/>
    </row>
    <row r="2390" spans="1:11" ht="15">
      <c r="A2390" s="613"/>
      <c r="B2390" s="614" t="s">
        <v>12698</v>
      </c>
      <c r="C2390" s="613" t="s">
        <v>12699</v>
      </c>
      <c r="D2390" s="613" t="s">
        <v>12700</v>
      </c>
      <c r="E2390" s="807" t="s">
        <v>12701</v>
      </c>
      <c r="F2390" s="808"/>
      <c r="G2390" s="615" t="s">
        <v>12702</v>
      </c>
      <c r="H2390" s="614" t="s">
        <v>12703</v>
      </c>
      <c r="I2390" s="614" t="s">
        <v>12704</v>
      </c>
      <c r="J2390" s="614" t="s">
        <v>12705</v>
      </c>
      <c r="K2390"/>
    </row>
    <row r="2391" spans="1:11" ht="15" customHeight="1">
      <c r="A2391" s="616" t="s">
        <v>12706</v>
      </c>
      <c r="B2391" s="617" t="s">
        <v>13255</v>
      </c>
      <c r="C2391" s="616" t="s">
        <v>8</v>
      </c>
      <c r="D2391" s="616" t="s">
        <v>725</v>
      </c>
      <c r="E2391" s="809" t="s">
        <v>12734</v>
      </c>
      <c r="F2391" s="810"/>
      <c r="G2391" s="618" t="s">
        <v>12730</v>
      </c>
      <c r="H2391" s="619">
        <v>1</v>
      </c>
      <c r="I2391" s="620">
        <v>303.06</v>
      </c>
      <c r="J2391" s="620">
        <v>303.06</v>
      </c>
      <c r="K2391"/>
    </row>
    <row r="2392" spans="1:11" ht="0.95" customHeight="1">
      <c r="A2392" s="621" t="s">
        <v>12708</v>
      </c>
      <c r="B2392" s="622" t="s">
        <v>13252</v>
      </c>
      <c r="C2392" s="621" t="s">
        <v>8</v>
      </c>
      <c r="D2392" s="621" t="s">
        <v>1648</v>
      </c>
      <c r="E2392" s="811" t="s">
        <v>12726</v>
      </c>
      <c r="F2392" s="812"/>
      <c r="G2392" s="623" t="s">
        <v>44</v>
      </c>
      <c r="H2392" s="624">
        <v>0.66</v>
      </c>
      <c r="I2392" s="625">
        <v>3.95</v>
      </c>
      <c r="J2392" s="625">
        <v>2.6</v>
      </c>
      <c r="K2392"/>
    </row>
    <row r="2393" spans="1:11" ht="18" customHeight="1">
      <c r="A2393" s="621" t="s">
        <v>12708</v>
      </c>
      <c r="B2393" s="622" t="s">
        <v>13251</v>
      </c>
      <c r="C2393" s="621" t="s">
        <v>8</v>
      </c>
      <c r="D2393" s="621" t="s">
        <v>1649</v>
      </c>
      <c r="E2393" s="811" t="s">
        <v>12726</v>
      </c>
      <c r="F2393" s="812"/>
      <c r="G2393" s="623" t="s">
        <v>61</v>
      </c>
      <c r="H2393" s="624">
        <v>0.62</v>
      </c>
      <c r="I2393" s="625">
        <v>1.05</v>
      </c>
      <c r="J2393" s="625">
        <v>0.65</v>
      </c>
      <c r="K2393"/>
    </row>
    <row r="2394" spans="1:11" ht="36" customHeight="1">
      <c r="A2394" s="621" t="s">
        <v>12708</v>
      </c>
      <c r="B2394" s="622" t="s">
        <v>12727</v>
      </c>
      <c r="C2394" s="621" t="s">
        <v>8</v>
      </c>
      <c r="D2394" s="621" t="s">
        <v>26</v>
      </c>
      <c r="E2394" s="811" t="s">
        <v>12707</v>
      </c>
      <c r="F2394" s="812"/>
      <c r="G2394" s="623" t="s">
        <v>23</v>
      </c>
      <c r="H2394" s="624">
        <v>2.0299999999999998</v>
      </c>
      <c r="I2394" s="625">
        <v>14.37</v>
      </c>
      <c r="J2394" s="625">
        <v>29.17</v>
      </c>
      <c r="K2394"/>
    </row>
    <row r="2395" spans="1:11" ht="24" customHeight="1">
      <c r="A2395" s="621" t="s">
        <v>12708</v>
      </c>
      <c r="B2395" s="622" t="s">
        <v>13118</v>
      </c>
      <c r="C2395" s="621" t="s">
        <v>8</v>
      </c>
      <c r="D2395" s="621" t="s">
        <v>1520</v>
      </c>
      <c r="E2395" s="811" t="s">
        <v>12707</v>
      </c>
      <c r="F2395" s="812"/>
      <c r="G2395" s="623" t="s">
        <v>23</v>
      </c>
      <c r="H2395" s="624">
        <v>1.28</v>
      </c>
      <c r="I2395" s="625">
        <v>12.88</v>
      </c>
      <c r="J2395" s="625">
        <v>16.48</v>
      </c>
      <c r="K2395"/>
    </row>
    <row r="2396" spans="1:11" ht="24" customHeight="1">
      <c r="A2396" s="626" t="s">
        <v>12709</v>
      </c>
      <c r="B2396" s="627" t="s">
        <v>13250</v>
      </c>
      <c r="C2396" s="626" t="s">
        <v>8</v>
      </c>
      <c r="D2396" s="626" t="s">
        <v>7526</v>
      </c>
      <c r="E2396" s="804" t="s">
        <v>12720</v>
      </c>
      <c r="F2396" s="805"/>
      <c r="G2396" s="628" t="s">
        <v>12730</v>
      </c>
      <c r="H2396" s="629">
        <v>0.76100000000000001</v>
      </c>
      <c r="I2396" s="630">
        <v>62.5</v>
      </c>
      <c r="J2396" s="630">
        <v>47.56</v>
      </c>
      <c r="K2396"/>
    </row>
    <row r="2397" spans="1:11" ht="24" customHeight="1">
      <c r="A2397" s="626" t="s">
        <v>12709</v>
      </c>
      <c r="B2397" s="627" t="s">
        <v>13249</v>
      </c>
      <c r="C2397" s="626" t="s">
        <v>8</v>
      </c>
      <c r="D2397" s="626" t="s">
        <v>8420</v>
      </c>
      <c r="E2397" s="804" t="s">
        <v>12720</v>
      </c>
      <c r="F2397" s="805"/>
      <c r="G2397" s="628" t="s">
        <v>20</v>
      </c>
      <c r="H2397" s="629">
        <v>325.16000000000003</v>
      </c>
      <c r="I2397" s="630">
        <v>0.49</v>
      </c>
      <c r="J2397" s="630">
        <v>159.32</v>
      </c>
      <c r="K2397"/>
    </row>
    <row r="2398" spans="1:11" ht="24" customHeight="1">
      <c r="A2398" s="626" t="s">
        <v>12709</v>
      </c>
      <c r="B2398" s="627" t="s">
        <v>13248</v>
      </c>
      <c r="C2398" s="626" t="s">
        <v>8</v>
      </c>
      <c r="D2398" s="626" t="s">
        <v>10712</v>
      </c>
      <c r="E2398" s="804" t="s">
        <v>12720</v>
      </c>
      <c r="F2398" s="805"/>
      <c r="G2398" s="628" t="s">
        <v>12730</v>
      </c>
      <c r="H2398" s="629">
        <v>0.59099999999999997</v>
      </c>
      <c r="I2398" s="630">
        <v>80</v>
      </c>
      <c r="J2398" s="630">
        <v>47.28</v>
      </c>
      <c r="K2398"/>
    </row>
    <row r="2399" spans="1:11" ht="25.5">
      <c r="A2399" s="631"/>
      <c r="B2399" s="631"/>
      <c r="C2399" s="631"/>
      <c r="D2399" s="631"/>
      <c r="E2399" s="631" t="s">
        <v>12714</v>
      </c>
      <c r="F2399" s="632">
        <v>16.715320575197318</v>
      </c>
      <c r="G2399" s="631" t="s">
        <v>12715</v>
      </c>
      <c r="H2399" s="632">
        <v>14.2</v>
      </c>
      <c r="I2399" s="631" t="s">
        <v>12716</v>
      </c>
      <c r="J2399" s="632">
        <v>30.92</v>
      </c>
      <c r="K2399"/>
    </row>
    <row r="2400" spans="1:11" ht="15" customHeight="1" thickBot="1">
      <c r="A2400" s="631"/>
      <c r="B2400" s="631"/>
      <c r="C2400" s="631"/>
      <c r="D2400" s="631"/>
      <c r="E2400" s="631" t="s">
        <v>12717</v>
      </c>
      <c r="F2400" s="632">
        <v>85.58</v>
      </c>
      <c r="G2400" s="631"/>
      <c r="H2400" s="806" t="s">
        <v>12718</v>
      </c>
      <c r="I2400" s="806"/>
      <c r="J2400" s="632">
        <v>388.64</v>
      </c>
      <c r="K2400"/>
    </row>
    <row r="2401" spans="1:11" ht="0.95" customHeight="1" thickTop="1">
      <c r="A2401" s="633"/>
      <c r="B2401" s="633"/>
      <c r="C2401" s="633"/>
      <c r="D2401" s="633"/>
      <c r="E2401" s="633"/>
      <c r="F2401" s="633"/>
      <c r="G2401" s="633"/>
      <c r="H2401" s="633"/>
      <c r="I2401" s="633"/>
      <c r="J2401" s="633"/>
      <c r="K2401"/>
    </row>
    <row r="2402" spans="1:11" ht="18" customHeight="1">
      <c r="A2402" s="613"/>
      <c r="B2402" s="614" t="s">
        <v>12698</v>
      </c>
      <c r="C2402" s="613" t="s">
        <v>12699</v>
      </c>
      <c r="D2402" s="613" t="s">
        <v>12700</v>
      </c>
      <c r="E2402" s="807" t="s">
        <v>12701</v>
      </c>
      <c r="F2402" s="808"/>
      <c r="G2402" s="615" t="s">
        <v>12702</v>
      </c>
      <c r="H2402" s="614" t="s">
        <v>12703</v>
      </c>
      <c r="I2402" s="614" t="s">
        <v>12704</v>
      </c>
      <c r="J2402" s="614" t="s">
        <v>12705</v>
      </c>
      <c r="K2402"/>
    </row>
    <row r="2403" spans="1:11" ht="36" customHeight="1">
      <c r="A2403" s="616" t="s">
        <v>12706</v>
      </c>
      <c r="B2403" s="617" t="s">
        <v>13096</v>
      </c>
      <c r="C2403" s="616" t="s">
        <v>8</v>
      </c>
      <c r="D2403" s="616" t="s">
        <v>3549</v>
      </c>
      <c r="E2403" s="809" t="s">
        <v>12734</v>
      </c>
      <c r="F2403" s="810"/>
      <c r="G2403" s="618" t="s">
        <v>12730</v>
      </c>
      <c r="H2403" s="619">
        <v>1</v>
      </c>
      <c r="I2403" s="620">
        <v>330.87</v>
      </c>
      <c r="J2403" s="620">
        <v>330.87</v>
      </c>
      <c r="K2403"/>
    </row>
    <row r="2404" spans="1:11" ht="48" customHeight="1">
      <c r="A2404" s="621" t="s">
        <v>12708</v>
      </c>
      <c r="B2404" s="622" t="s">
        <v>13252</v>
      </c>
      <c r="C2404" s="621" t="s">
        <v>8</v>
      </c>
      <c r="D2404" s="621" t="s">
        <v>1648</v>
      </c>
      <c r="E2404" s="811" t="s">
        <v>12726</v>
      </c>
      <c r="F2404" s="812"/>
      <c r="G2404" s="623" t="s">
        <v>44</v>
      </c>
      <c r="H2404" s="624">
        <v>0.64</v>
      </c>
      <c r="I2404" s="625">
        <v>3.95</v>
      </c>
      <c r="J2404" s="625">
        <v>2.52</v>
      </c>
      <c r="K2404"/>
    </row>
    <row r="2405" spans="1:11" ht="48" customHeight="1">
      <c r="A2405" s="621" t="s">
        <v>12708</v>
      </c>
      <c r="B2405" s="622" t="s">
        <v>13251</v>
      </c>
      <c r="C2405" s="621" t="s">
        <v>8</v>
      </c>
      <c r="D2405" s="621" t="s">
        <v>1649</v>
      </c>
      <c r="E2405" s="811" t="s">
        <v>12726</v>
      </c>
      <c r="F2405" s="812"/>
      <c r="G2405" s="623" t="s">
        <v>61</v>
      </c>
      <c r="H2405" s="624">
        <v>0.61</v>
      </c>
      <c r="I2405" s="625">
        <v>1.05</v>
      </c>
      <c r="J2405" s="625">
        <v>0.64</v>
      </c>
      <c r="K2405"/>
    </row>
    <row r="2406" spans="1:11" ht="24" customHeight="1">
      <c r="A2406" s="621" t="s">
        <v>12708</v>
      </c>
      <c r="B2406" s="622" t="s">
        <v>12727</v>
      </c>
      <c r="C2406" s="621" t="s">
        <v>8</v>
      </c>
      <c r="D2406" s="621" t="s">
        <v>26</v>
      </c>
      <c r="E2406" s="811" t="s">
        <v>12707</v>
      </c>
      <c r="F2406" s="812"/>
      <c r="G2406" s="623" t="s">
        <v>23</v>
      </c>
      <c r="H2406" s="624">
        <v>1.96</v>
      </c>
      <c r="I2406" s="625">
        <v>14.37</v>
      </c>
      <c r="J2406" s="625">
        <v>28.16</v>
      </c>
      <c r="K2406"/>
    </row>
    <row r="2407" spans="1:11" ht="24" customHeight="1">
      <c r="A2407" s="621" t="s">
        <v>12708</v>
      </c>
      <c r="B2407" s="622" t="s">
        <v>13118</v>
      </c>
      <c r="C2407" s="621" t="s">
        <v>8</v>
      </c>
      <c r="D2407" s="621" t="s">
        <v>1520</v>
      </c>
      <c r="E2407" s="811" t="s">
        <v>12707</v>
      </c>
      <c r="F2407" s="812"/>
      <c r="G2407" s="623" t="s">
        <v>23</v>
      </c>
      <c r="H2407" s="624">
        <v>1.24</v>
      </c>
      <c r="I2407" s="625">
        <v>12.88</v>
      </c>
      <c r="J2407" s="625">
        <v>15.97</v>
      </c>
      <c r="K2407"/>
    </row>
    <row r="2408" spans="1:11" ht="24" customHeight="1">
      <c r="A2408" s="626" t="s">
        <v>12709</v>
      </c>
      <c r="B2408" s="627" t="s">
        <v>13250</v>
      </c>
      <c r="C2408" s="626" t="s">
        <v>8</v>
      </c>
      <c r="D2408" s="626" t="s">
        <v>7526</v>
      </c>
      <c r="E2408" s="804" t="s">
        <v>12720</v>
      </c>
      <c r="F2408" s="805"/>
      <c r="G2408" s="628" t="s">
        <v>12730</v>
      </c>
      <c r="H2408" s="629">
        <v>0.71199999999999997</v>
      </c>
      <c r="I2408" s="630">
        <v>62.5</v>
      </c>
      <c r="J2408" s="630">
        <v>44.5</v>
      </c>
      <c r="K2408"/>
    </row>
    <row r="2409" spans="1:11" ht="24" customHeight="1">
      <c r="A2409" s="626" t="s">
        <v>12709</v>
      </c>
      <c r="B2409" s="627" t="s">
        <v>13249</v>
      </c>
      <c r="C2409" s="626" t="s">
        <v>8</v>
      </c>
      <c r="D2409" s="626" t="s">
        <v>8420</v>
      </c>
      <c r="E2409" s="804" t="s">
        <v>12720</v>
      </c>
      <c r="F2409" s="805"/>
      <c r="G2409" s="628" t="s">
        <v>20</v>
      </c>
      <c r="H2409" s="629">
        <v>391.17</v>
      </c>
      <c r="I2409" s="630">
        <v>0.49</v>
      </c>
      <c r="J2409" s="630">
        <v>191.67</v>
      </c>
      <c r="K2409"/>
    </row>
    <row r="2410" spans="1:11" ht="24" customHeight="1">
      <c r="A2410" s="626" t="s">
        <v>12709</v>
      </c>
      <c r="B2410" s="627" t="s">
        <v>13248</v>
      </c>
      <c r="C2410" s="626" t="s">
        <v>8</v>
      </c>
      <c r="D2410" s="626" t="s">
        <v>10712</v>
      </c>
      <c r="E2410" s="804" t="s">
        <v>12720</v>
      </c>
      <c r="F2410" s="805"/>
      <c r="G2410" s="628" t="s">
        <v>12730</v>
      </c>
      <c r="H2410" s="629">
        <v>0.5927</v>
      </c>
      <c r="I2410" s="630">
        <v>80</v>
      </c>
      <c r="J2410" s="630">
        <v>47.41</v>
      </c>
      <c r="K2410"/>
    </row>
    <row r="2411" spans="1:11" ht="25.5">
      <c r="A2411" s="631"/>
      <c r="B2411" s="631"/>
      <c r="C2411" s="631"/>
      <c r="D2411" s="631"/>
      <c r="E2411" s="631" t="s">
        <v>12714</v>
      </c>
      <c r="F2411" s="632">
        <v>16.163909611849931</v>
      </c>
      <c r="G2411" s="631" t="s">
        <v>12715</v>
      </c>
      <c r="H2411" s="632">
        <v>13.74</v>
      </c>
      <c r="I2411" s="631" t="s">
        <v>12716</v>
      </c>
      <c r="J2411" s="632">
        <v>29.9</v>
      </c>
      <c r="K2411"/>
    </row>
    <row r="2412" spans="1:11" ht="15" customHeight="1" thickBot="1">
      <c r="A2412" s="631"/>
      <c r="B2412" s="631"/>
      <c r="C2412" s="631"/>
      <c r="D2412" s="631"/>
      <c r="E2412" s="631" t="s">
        <v>12717</v>
      </c>
      <c r="F2412" s="632">
        <v>93.43</v>
      </c>
      <c r="G2412" s="631"/>
      <c r="H2412" s="806" t="s">
        <v>12718</v>
      </c>
      <c r="I2412" s="806"/>
      <c r="J2412" s="632">
        <v>424.3</v>
      </c>
      <c r="K2412"/>
    </row>
    <row r="2413" spans="1:11" ht="0.95" customHeight="1" thickTop="1">
      <c r="A2413" s="633"/>
      <c r="B2413" s="633"/>
      <c r="C2413" s="633"/>
      <c r="D2413" s="633"/>
      <c r="E2413" s="633"/>
      <c r="F2413" s="633"/>
      <c r="G2413" s="633"/>
      <c r="H2413" s="633"/>
      <c r="I2413" s="633"/>
      <c r="J2413" s="633"/>
      <c r="K2413"/>
    </row>
    <row r="2414" spans="1:11" ht="18" customHeight="1">
      <c r="A2414" s="613"/>
      <c r="B2414" s="614" t="s">
        <v>12698</v>
      </c>
      <c r="C2414" s="613" t="s">
        <v>12699</v>
      </c>
      <c r="D2414" s="613" t="s">
        <v>12700</v>
      </c>
      <c r="E2414" s="807" t="s">
        <v>12701</v>
      </c>
      <c r="F2414" s="808"/>
      <c r="G2414" s="615" t="s">
        <v>12702</v>
      </c>
      <c r="H2414" s="614" t="s">
        <v>12703</v>
      </c>
      <c r="I2414" s="614" t="s">
        <v>12704</v>
      </c>
      <c r="J2414" s="614" t="s">
        <v>12705</v>
      </c>
      <c r="K2414"/>
    </row>
    <row r="2415" spans="1:11" ht="36" customHeight="1">
      <c r="A2415" s="616" t="s">
        <v>12706</v>
      </c>
      <c r="B2415" s="617" t="s">
        <v>13254</v>
      </c>
      <c r="C2415" s="616" t="s">
        <v>8</v>
      </c>
      <c r="D2415" s="616" t="s">
        <v>3551</v>
      </c>
      <c r="E2415" s="809" t="s">
        <v>12734</v>
      </c>
      <c r="F2415" s="810"/>
      <c r="G2415" s="618" t="s">
        <v>12730</v>
      </c>
      <c r="H2415" s="619">
        <v>1</v>
      </c>
      <c r="I2415" s="620">
        <v>351.82</v>
      </c>
      <c r="J2415" s="620">
        <v>351.82</v>
      </c>
      <c r="K2415"/>
    </row>
    <row r="2416" spans="1:11" ht="24" customHeight="1">
      <c r="A2416" s="621" t="s">
        <v>12708</v>
      </c>
      <c r="B2416" s="622" t="s">
        <v>12727</v>
      </c>
      <c r="C2416" s="621" t="s">
        <v>8</v>
      </c>
      <c r="D2416" s="621" t="s">
        <v>26</v>
      </c>
      <c r="E2416" s="811" t="s">
        <v>12707</v>
      </c>
      <c r="F2416" s="812"/>
      <c r="G2416" s="623" t="s">
        <v>23</v>
      </c>
      <c r="H2416" s="624">
        <v>10</v>
      </c>
      <c r="I2416" s="625">
        <v>14.37</v>
      </c>
      <c r="J2416" s="625">
        <v>143.69999999999999</v>
      </c>
      <c r="K2416"/>
    </row>
    <row r="2417" spans="1:11" ht="24" customHeight="1">
      <c r="A2417" s="626" t="s">
        <v>12709</v>
      </c>
      <c r="B2417" s="627" t="s">
        <v>13250</v>
      </c>
      <c r="C2417" s="626" t="s">
        <v>8</v>
      </c>
      <c r="D2417" s="626" t="s">
        <v>7526</v>
      </c>
      <c r="E2417" s="804" t="s">
        <v>12720</v>
      </c>
      <c r="F2417" s="805"/>
      <c r="G2417" s="628" t="s">
        <v>12730</v>
      </c>
      <c r="H2417" s="629">
        <v>0.85299999999999998</v>
      </c>
      <c r="I2417" s="630">
        <v>62.5</v>
      </c>
      <c r="J2417" s="630">
        <v>53.31</v>
      </c>
      <c r="K2417"/>
    </row>
    <row r="2418" spans="1:11" ht="24" customHeight="1">
      <c r="A2418" s="626" t="s">
        <v>12709</v>
      </c>
      <c r="B2418" s="627" t="s">
        <v>13249</v>
      </c>
      <c r="C2418" s="626" t="s">
        <v>8</v>
      </c>
      <c r="D2418" s="626" t="s">
        <v>8420</v>
      </c>
      <c r="E2418" s="804" t="s">
        <v>12720</v>
      </c>
      <c r="F2418" s="805"/>
      <c r="G2418" s="628" t="s">
        <v>20</v>
      </c>
      <c r="H2418" s="629">
        <v>218.65</v>
      </c>
      <c r="I2418" s="630">
        <v>0.49</v>
      </c>
      <c r="J2418" s="630">
        <v>107.13</v>
      </c>
      <c r="K2418"/>
    </row>
    <row r="2419" spans="1:11" ht="25.5">
      <c r="A2419" s="626" t="s">
        <v>12709</v>
      </c>
      <c r="B2419" s="627" t="s">
        <v>13248</v>
      </c>
      <c r="C2419" s="626" t="s">
        <v>8</v>
      </c>
      <c r="D2419" s="626" t="s">
        <v>10712</v>
      </c>
      <c r="E2419" s="804" t="s">
        <v>12720</v>
      </c>
      <c r="F2419" s="805"/>
      <c r="G2419" s="628" t="s">
        <v>12730</v>
      </c>
      <c r="H2419" s="629">
        <v>0.59599999999999997</v>
      </c>
      <c r="I2419" s="630">
        <v>80</v>
      </c>
      <c r="J2419" s="630">
        <v>47.68</v>
      </c>
      <c r="K2419"/>
    </row>
    <row r="2420" spans="1:11" ht="15" customHeight="1">
      <c r="A2420" s="631"/>
      <c r="B2420" s="631"/>
      <c r="C2420" s="631"/>
      <c r="D2420" s="631"/>
      <c r="E2420" s="631" t="s">
        <v>12714</v>
      </c>
      <c r="F2420" s="632">
        <v>52.113742000000002</v>
      </c>
      <c r="G2420" s="631" t="s">
        <v>12715</v>
      </c>
      <c r="H2420" s="632">
        <v>44.29</v>
      </c>
      <c r="I2420" s="631" t="s">
        <v>12716</v>
      </c>
      <c r="J2420" s="632">
        <v>96.4</v>
      </c>
      <c r="K2420"/>
    </row>
    <row r="2421" spans="1:11" ht="0.95" customHeight="1" thickBot="1">
      <c r="A2421" s="631"/>
      <c r="B2421" s="631"/>
      <c r="C2421" s="631"/>
      <c r="D2421" s="631"/>
      <c r="E2421" s="631" t="s">
        <v>12717</v>
      </c>
      <c r="F2421" s="632">
        <v>99.35</v>
      </c>
      <c r="G2421" s="631"/>
      <c r="H2421" s="806" t="s">
        <v>12718</v>
      </c>
      <c r="I2421" s="806"/>
      <c r="J2421" s="632">
        <v>451.17</v>
      </c>
      <c r="K2421"/>
    </row>
    <row r="2422" spans="1:11" ht="18" customHeight="1" thickTop="1">
      <c r="A2422" s="633"/>
      <c r="B2422" s="633"/>
      <c r="C2422" s="633"/>
      <c r="D2422" s="633"/>
      <c r="E2422" s="633"/>
      <c r="F2422" s="633"/>
      <c r="G2422" s="633"/>
      <c r="H2422" s="633"/>
      <c r="I2422" s="633"/>
      <c r="J2422" s="633"/>
      <c r="K2422"/>
    </row>
    <row r="2423" spans="1:11" ht="36" customHeight="1">
      <c r="A2423" s="613"/>
      <c r="B2423" s="614" t="s">
        <v>12698</v>
      </c>
      <c r="C2423" s="613" t="s">
        <v>12699</v>
      </c>
      <c r="D2423" s="613" t="s">
        <v>12700</v>
      </c>
      <c r="E2423" s="807" t="s">
        <v>12701</v>
      </c>
      <c r="F2423" s="808"/>
      <c r="G2423" s="615" t="s">
        <v>12702</v>
      </c>
      <c r="H2423" s="614" t="s">
        <v>12703</v>
      </c>
      <c r="I2423" s="614" t="s">
        <v>12704</v>
      </c>
      <c r="J2423" s="614" t="s">
        <v>12705</v>
      </c>
      <c r="K2423"/>
    </row>
    <row r="2424" spans="1:11" ht="24" customHeight="1">
      <c r="A2424" s="616" t="s">
        <v>12706</v>
      </c>
      <c r="B2424" s="617" t="s">
        <v>13253</v>
      </c>
      <c r="C2424" s="616" t="s">
        <v>8</v>
      </c>
      <c r="D2424" s="616" t="s">
        <v>3546</v>
      </c>
      <c r="E2424" s="809" t="s">
        <v>12734</v>
      </c>
      <c r="F2424" s="810"/>
      <c r="G2424" s="618" t="s">
        <v>12730</v>
      </c>
      <c r="H2424" s="619">
        <v>1</v>
      </c>
      <c r="I2424" s="620">
        <v>254</v>
      </c>
      <c r="J2424" s="620">
        <v>254</v>
      </c>
      <c r="K2424"/>
    </row>
    <row r="2425" spans="1:11" ht="24" customHeight="1">
      <c r="A2425" s="621" t="s">
        <v>12708</v>
      </c>
      <c r="B2425" s="622" t="s">
        <v>13252</v>
      </c>
      <c r="C2425" s="621" t="s">
        <v>8</v>
      </c>
      <c r="D2425" s="621" t="s">
        <v>1648</v>
      </c>
      <c r="E2425" s="811" t="s">
        <v>12726</v>
      </c>
      <c r="F2425" s="812"/>
      <c r="G2425" s="623" t="s">
        <v>44</v>
      </c>
      <c r="H2425" s="624">
        <v>0.69</v>
      </c>
      <c r="I2425" s="625">
        <v>3.95</v>
      </c>
      <c r="J2425" s="625">
        <v>2.72</v>
      </c>
      <c r="K2425"/>
    </row>
    <row r="2426" spans="1:11" ht="24" customHeight="1">
      <c r="A2426" s="621" t="s">
        <v>12708</v>
      </c>
      <c r="B2426" s="622" t="s">
        <v>13251</v>
      </c>
      <c r="C2426" s="621" t="s">
        <v>8</v>
      </c>
      <c r="D2426" s="621" t="s">
        <v>1649</v>
      </c>
      <c r="E2426" s="811" t="s">
        <v>12726</v>
      </c>
      <c r="F2426" s="812"/>
      <c r="G2426" s="623" t="s">
        <v>61</v>
      </c>
      <c r="H2426" s="624">
        <v>0.65</v>
      </c>
      <c r="I2426" s="625">
        <v>1.05</v>
      </c>
      <c r="J2426" s="625">
        <v>0.68</v>
      </c>
      <c r="K2426"/>
    </row>
    <row r="2427" spans="1:11" ht="25.5">
      <c r="A2427" s="621" t="s">
        <v>12708</v>
      </c>
      <c r="B2427" s="622" t="s">
        <v>12727</v>
      </c>
      <c r="C2427" s="621" t="s">
        <v>8</v>
      </c>
      <c r="D2427" s="621" t="s">
        <v>26</v>
      </c>
      <c r="E2427" s="811" t="s">
        <v>12707</v>
      </c>
      <c r="F2427" s="812"/>
      <c r="G2427" s="623" t="s">
        <v>23</v>
      </c>
      <c r="H2427" s="624">
        <v>2.11</v>
      </c>
      <c r="I2427" s="625">
        <v>14.37</v>
      </c>
      <c r="J2427" s="625">
        <v>30.32</v>
      </c>
      <c r="K2427"/>
    </row>
    <row r="2428" spans="1:11" ht="15" customHeight="1">
      <c r="A2428" s="621" t="s">
        <v>12708</v>
      </c>
      <c r="B2428" s="622" t="s">
        <v>13118</v>
      </c>
      <c r="C2428" s="621" t="s">
        <v>8</v>
      </c>
      <c r="D2428" s="621" t="s">
        <v>1520</v>
      </c>
      <c r="E2428" s="811" t="s">
        <v>12707</v>
      </c>
      <c r="F2428" s="812"/>
      <c r="G2428" s="623" t="s">
        <v>23</v>
      </c>
      <c r="H2428" s="624">
        <v>1.33</v>
      </c>
      <c r="I2428" s="625">
        <v>12.88</v>
      </c>
      <c r="J2428" s="625">
        <v>17.13</v>
      </c>
      <c r="K2428"/>
    </row>
    <row r="2429" spans="1:11" ht="0.95" customHeight="1">
      <c r="A2429" s="626" t="s">
        <v>12709</v>
      </c>
      <c r="B2429" s="627" t="s">
        <v>13250</v>
      </c>
      <c r="C2429" s="626" t="s">
        <v>8</v>
      </c>
      <c r="D2429" s="626" t="s">
        <v>7526</v>
      </c>
      <c r="E2429" s="804" t="s">
        <v>12720</v>
      </c>
      <c r="F2429" s="805"/>
      <c r="G2429" s="628" t="s">
        <v>12730</v>
      </c>
      <c r="H2429" s="629">
        <v>0.83199999999999996</v>
      </c>
      <c r="I2429" s="630">
        <v>62.5</v>
      </c>
      <c r="J2429" s="630">
        <v>52</v>
      </c>
      <c r="K2429"/>
    </row>
    <row r="2430" spans="1:11" ht="18" customHeight="1">
      <c r="A2430" s="626" t="s">
        <v>12709</v>
      </c>
      <c r="B2430" s="627" t="s">
        <v>13249</v>
      </c>
      <c r="C2430" s="626" t="s">
        <v>8</v>
      </c>
      <c r="D2430" s="626" t="s">
        <v>8420</v>
      </c>
      <c r="E2430" s="804" t="s">
        <v>12720</v>
      </c>
      <c r="F2430" s="805"/>
      <c r="G2430" s="628" t="s">
        <v>20</v>
      </c>
      <c r="H2430" s="629">
        <v>213.45</v>
      </c>
      <c r="I2430" s="630">
        <v>0.49</v>
      </c>
      <c r="J2430" s="630">
        <v>104.59</v>
      </c>
      <c r="K2430"/>
    </row>
    <row r="2431" spans="1:11" ht="36" customHeight="1">
      <c r="A2431" s="626" t="s">
        <v>12709</v>
      </c>
      <c r="B2431" s="627" t="s">
        <v>13248</v>
      </c>
      <c r="C2431" s="626" t="s">
        <v>8</v>
      </c>
      <c r="D2431" s="626" t="s">
        <v>10712</v>
      </c>
      <c r="E2431" s="804" t="s">
        <v>12720</v>
      </c>
      <c r="F2431" s="805"/>
      <c r="G2431" s="628" t="s">
        <v>12730</v>
      </c>
      <c r="H2431" s="629">
        <v>0.58199999999999996</v>
      </c>
      <c r="I2431" s="630">
        <v>80</v>
      </c>
      <c r="J2431" s="630">
        <v>46.56</v>
      </c>
      <c r="K2431"/>
    </row>
    <row r="2432" spans="1:11" ht="24" customHeight="1">
      <c r="A2432" s="631"/>
      <c r="B2432" s="631"/>
      <c r="C2432" s="631"/>
      <c r="D2432" s="631"/>
      <c r="E2432" s="631" t="s">
        <v>12714</v>
      </c>
      <c r="F2432" s="632">
        <v>17.380257325116229</v>
      </c>
      <c r="G2432" s="631" t="s">
        <v>12715</v>
      </c>
      <c r="H2432" s="632">
        <v>14.77</v>
      </c>
      <c r="I2432" s="631" t="s">
        <v>12716</v>
      </c>
      <c r="J2432" s="632">
        <v>32.15</v>
      </c>
      <c r="K2432"/>
    </row>
    <row r="2433" spans="1:11" ht="24" customHeight="1" thickBot="1">
      <c r="A2433" s="631"/>
      <c r="B2433" s="631"/>
      <c r="C2433" s="631"/>
      <c r="D2433" s="631"/>
      <c r="E2433" s="631" t="s">
        <v>12717</v>
      </c>
      <c r="F2433" s="632">
        <v>71.72</v>
      </c>
      <c r="G2433" s="631"/>
      <c r="H2433" s="806" t="s">
        <v>12718</v>
      </c>
      <c r="I2433" s="806"/>
      <c r="J2433" s="632">
        <v>325.72000000000003</v>
      </c>
      <c r="K2433"/>
    </row>
    <row r="2434" spans="1:11" ht="24" customHeight="1" thickTop="1">
      <c r="A2434" s="633"/>
      <c r="B2434" s="633"/>
      <c r="C2434" s="633"/>
      <c r="D2434" s="633"/>
      <c r="E2434" s="633"/>
      <c r="F2434" s="633"/>
      <c r="G2434" s="633"/>
      <c r="H2434" s="633"/>
      <c r="I2434" s="633"/>
      <c r="J2434" s="633"/>
      <c r="K2434"/>
    </row>
    <row r="2435" spans="1:11" ht="15">
      <c r="A2435" s="613"/>
      <c r="B2435" s="614" t="s">
        <v>12698</v>
      </c>
      <c r="C2435" s="613" t="s">
        <v>12699</v>
      </c>
      <c r="D2435" s="613" t="s">
        <v>12700</v>
      </c>
      <c r="E2435" s="807" t="s">
        <v>12701</v>
      </c>
      <c r="F2435" s="808"/>
      <c r="G2435" s="615" t="s">
        <v>12702</v>
      </c>
      <c r="H2435" s="614" t="s">
        <v>12703</v>
      </c>
      <c r="I2435" s="614" t="s">
        <v>12704</v>
      </c>
      <c r="J2435" s="614" t="s">
        <v>12705</v>
      </c>
      <c r="K2435"/>
    </row>
    <row r="2436" spans="1:11" ht="15" customHeight="1">
      <c r="A2436" s="616" t="s">
        <v>12706</v>
      </c>
      <c r="B2436" s="617" t="s">
        <v>13247</v>
      </c>
      <c r="C2436" s="616" t="s">
        <v>8</v>
      </c>
      <c r="D2436" s="616" t="s">
        <v>2980</v>
      </c>
      <c r="E2436" s="809" t="s">
        <v>12734</v>
      </c>
      <c r="F2436" s="810"/>
      <c r="G2436" s="618" t="s">
        <v>20</v>
      </c>
      <c r="H2436" s="619">
        <v>1</v>
      </c>
      <c r="I2436" s="620">
        <v>5.95</v>
      </c>
      <c r="J2436" s="620">
        <v>5.95</v>
      </c>
      <c r="K2436"/>
    </row>
    <row r="2437" spans="1:11" ht="0.95" customHeight="1">
      <c r="A2437" s="621" t="s">
        <v>12708</v>
      </c>
      <c r="B2437" s="622" t="s">
        <v>13237</v>
      </c>
      <c r="C2437" s="621" t="s">
        <v>8</v>
      </c>
      <c r="D2437" s="621" t="s">
        <v>236</v>
      </c>
      <c r="E2437" s="811" t="s">
        <v>12707</v>
      </c>
      <c r="F2437" s="812"/>
      <c r="G2437" s="623" t="s">
        <v>23</v>
      </c>
      <c r="H2437" s="624">
        <v>1.8E-3</v>
      </c>
      <c r="I2437" s="625">
        <v>13.76</v>
      </c>
      <c r="J2437" s="625">
        <v>0.02</v>
      </c>
      <c r="K2437"/>
    </row>
    <row r="2438" spans="1:11" ht="18" customHeight="1">
      <c r="A2438" s="621" t="s">
        <v>12708</v>
      </c>
      <c r="B2438" s="622" t="s">
        <v>13236</v>
      </c>
      <c r="C2438" s="621" t="s">
        <v>8</v>
      </c>
      <c r="D2438" s="621" t="s">
        <v>241</v>
      </c>
      <c r="E2438" s="811" t="s">
        <v>12707</v>
      </c>
      <c r="F2438" s="812"/>
      <c r="G2438" s="623" t="s">
        <v>23</v>
      </c>
      <c r="H2438" s="624">
        <v>1.2500000000000001E-2</v>
      </c>
      <c r="I2438" s="625">
        <v>17.68</v>
      </c>
      <c r="J2438" s="625">
        <v>0.22</v>
      </c>
      <c r="K2438"/>
    </row>
    <row r="2439" spans="1:11" ht="36" customHeight="1">
      <c r="A2439" s="626" t="s">
        <v>12709</v>
      </c>
      <c r="B2439" s="627" t="s">
        <v>13246</v>
      </c>
      <c r="C2439" s="626" t="s">
        <v>8</v>
      </c>
      <c r="D2439" s="626" t="s">
        <v>7260</v>
      </c>
      <c r="E2439" s="804" t="s">
        <v>12720</v>
      </c>
      <c r="F2439" s="805"/>
      <c r="G2439" s="628" t="s">
        <v>20</v>
      </c>
      <c r="H2439" s="629">
        <v>1.1100000000000001</v>
      </c>
      <c r="I2439" s="630">
        <v>5.15</v>
      </c>
      <c r="J2439" s="630">
        <v>5.71</v>
      </c>
      <c r="K2439"/>
    </row>
    <row r="2440" spans="1:11" ht="24" customHeight="1">
      <c r="A2440" s="631"/>
      <c r="B2440" s="631"/>
      <c r="C2440" s="631"/>
      <c r="D2440" s="631"/>
      <c r="E2440" s="631" t="s">
        <v>12714</v>
      </c>
      <c r="F2440" s="632">
        <v>9.1901827224564817E-2</v>
      </c>
      <c r="G2440" s="631" t="s">
        <v>12715</v>
      </c>
      <c r="H2440" s="632">
        <v>0.08</v>
      </c>
      <c r="I2440" s="631" t="s">
        <v>12716</v>
      </c>
      <c r="J2440" s="632">
        <v>0.17</v>
      </c>
      <c r="K2440"/>
    </row>
    <row r="2441" spans="1:11" ht="24" customHeight="1" thickBot="1">
      <c r="A2441" s="631"/>
      <c r="B2441" s="631"/>
      <c r="C2441" s="631"/>
      <c r="D2441" s="631"/>
      <c r="E2441" s="631" t="s">
        <v>12717</v>
      </c>
      <c r="F2441" s="632">
        <v>1.68</v>
      </c>
      <c r="G2441" s="631"/>
      <c r="H2441" s="806" t="s">
        <v>12718</v>
      </c>
      <c r="I2441" s="806"/>
      <c r="J2441" s="632">
        <v>7.63</v>
      </c>
      <c r="K2441"/>
    </row>
    <row r="2442" spans="1:11" ht="24" customHeight="1" thickTop="1">
      <c r="A2442" s="633"/>
      <c r="B2442" s="633"/>
      <c r="C2442" s="633"/>
      <c r="D2442" s="633"/>
      <c r="E2442" s="633"/>
      <c r="F2442" s="633"/>
      <c r="G2442" s="633"/>
      <c r="H2442" s="633"/>
      <c r="I2442" s="633"/>
      <c r="J2442" s="633"/>
      <c r="K2442"/>
    </row>
    <row r="2443" spans="1:11" ht="15">
      <c r="A2443" s="613"/>
      <c r="B2443" s="614" t="s">
        <v>12698</v>
      </c>
      <c r="C2443" s="613" t="s">
        <v>12699</v>
      </c>
      <c r="D2443" s="613" t="s">
        <v>12700</v>
      </c>
      <c r="E2443" s="807" t="s">
        <v>12701</v>
      </c>
      <c r="F2443" s="808"/>
      <c r="G2443" s="615" t="s">
        <v>12702</v>
      </c>
      <c r="H2443" s="614" t="s">
        <v>12703</v>
      </c>
      <c r="I2443" s="614" t="s">
        <v>12704</v>
      </c>
      <c r="J2443" s="614" t="s">
        <v>12705</v>
      </c>
      <c r="K2443"/>
    </row>
    <row r="2444" spans="1:11" ht="15" customHeight="1">
      <c r="A2444" s="616" t="s">
        <v>12706</v>
      </c>
      <c r="B2444" s="617" t="s">
        <v>13245</v>
      </c>
      <c r="C2444" s="616" t="s">
        <v>8</v>
      </c>
      <c r="D2444" s="616" t="s">
        <v>2981</v>
      </c>
      <c r="E2444" s="809" t="s">
        <v>12734</v>
      </c>
      <c r="F2444" s="810"/>
      <c r="G2444" s="618" t="s">
        <v>20</v>
      </c>
      <c r="H2444" s="619">
        <v>1</v>
      </c>
      <c r="I2444" s="620">
        <v>5.08</v>
      </c>
      <c r="J2444" s="620">
        <v>5.08</v>
      </c>
      <c r="K2444"/>
    </row>
    <row r="2445" spans="1:11" ht="0.95" customHeight="1">
      <c r="A2445" s="621" t="s">
        <v>12708</v>
      </c>
      <c r="B2445" s="622" t="s">
        <v>13237</v>
      </c>
      <c r="C2445" s="621" t="s">
        <v>8</v>
      </c>
      <c r="D2445" s="621" t="s">
        <v>236</v>
      </c>
      <c r="E2445" s="811" t="s">
        <v>12707</v>
      </c>
      <c r="F2445" s="812"/>
      <c r="G2445" s="623" t="s">
        <v>23</v>
      </c>
      <c r="H2445" s="624">
        <v>1E-3</v>
      </c>
      <c r="I2445" s="625">
        <v>13.76</v>
      </c>
      <c r="J2445" s="625">
        <v>0.01</v>
      </c>
      <c r="K2445"/>
    </row>
    <row r="2446" spans="1:11" ht="18" customHeight="1">
      <c r="A2446" s="621" t="s">
        <v>12708</v>
      </c>
      <c r="B2446" s="622" t="s">
        <v>13236</v>
      </c>
      <c r="C2446" s="621" t="s">
        <v>8</v>
      </c>
      <c r="D2446" s="621" t="s">
        <v>241</v>
      </c>
      <c r="E2446" s="811" t="s">
        <v>12707</v>
      </c>
      <c r="F2446" s="812"/>
      <c r="G2446" s="623" t="s">
        <v>23</v>
      </c>
      <c r="H2446" s="624">
        <v>7.0000000000000001E-3</v>
      </c>
      <c r="I2446" s="625">
        <v>17.68</v>
      </c>
      <c r="J2446" s="625">
        <v>0.12</v>
      </c>
      <c r="K2446"/>
    </row>
    <row r="2447" spans="1:11" ht="24" customHeight="1">
      <c r="A2447" s="626" t="s">
        <v>12709</v>
      </c>
      <c r="B2447" s="627" t="s">
        <v>13244</v>
      </c>
      <c r="C2447" s="626" t="s">
        <v>8</v>
      </c>
      <c r="D2447" s="626" t="s">
        <v>7261</v>
      </c>
      <c r="E2447" s="804" t="s">
        <v>12720</v>
      </c>
      <c r="F2447" s="805"/>
      <c r="G2447" s="628" t="s">
        <v>20</v>
      </c>
      <c r="H2447" s="629">
        <v>1.1100000000000001</v>
      </c>
      <c r="I2447" s="630">
        <v>4.46</v>
      </c>
      <c r="J2447" s="630">
        <v>4.95</v>
      </c>
      <c r="K2447"/>
    </row>
    <row r="2448" spans="1:11" ht="24" customHeight="1">
      <c r="A2448" s="631"/>
      <c r="B2448" s="631"/>
      <c r="C2448" s="631"/>
      <c r="D2448" s="631"/>
      <c r="E2448" s="631" t="s">
        <v>12714</v>
      </c>
      <c r="F2448" s="632">
        <v>4.8653908530651963E-2</v>
      </c>
      <c r="G2448" s="631" t="s">
        <v>12715</v>
      </c>
      <c r="H2448" s="632">
        <v>0.04</v>
      </c>
      <c r="I2448" s="631" t="s">
        <v>12716</v>
      </c>
      <c r="J2448" s="632">
        <v>0.09</v>
      </c>
      <c r="K2448"/>
    </row>
    <row r="2449" spans="1:11" ht="24" customHeight="1" thickBot="1">
      <c r="A2449" s="631"/>
      <c r="B2449" s="631"/>
      <c r="C2449" s="631"/>
      <c r="D2449" s="631"/>
      <c r="E2449" s="631" t="s">
        <v>12717</v>
      </c>
      <c r="F2449" s="632">
        <v>1.43</v>
      </c>
      <c r="G2449" s="631"/>
      <c r="H2449" s="806" t="s">
        <v>12718</v>
      </c>
      <c r="I2449" s="806"/>
      <c r="J2449" s="632">
        <v>6.51</v>
      </c>
      <c r="K2449"/>
    </row>
    <row r="2450" spans="1:11" ht="24" customHeight="1" thickTop="1">
      <c r="A2450" s="633"/>
      <c r="B2450" s="633"/>
      <c r="C2450" s="633"/>
      <c r="D2450" s="633"/>
      <c r="E2450" s="633"/>
      <c r="F2450" s="633"/>
      <c r="G2450" s="633"/>
      <c r="H2450" s="633"/>
      <c r="I2450" s="633"/>
      <c r="J2450" s="633"/>
      <c r="K2450"/>
    </row>
    <row r="2451" spans="1:11" ht="15">
      <c r="A2451" s="613"/>
      <c r="B2451" s="614" t="s">
        <v>12698</v>
      </c>
      <c r="C2451" s="613" t="s">
        <v>12699</v>
      </c>
      <c r="D2451" s="613" t="s">
        <v>12700</v>
      </c>
      <c r="E2451" s="807" t="s">
        <v>12701</v>
      </c>
      <c r="F2451" s="808"/>
      <c r="G2451" s="615" t="s">
        <v>12702</v>
      </c>
      <c r="H2451" s="614" t="s">
        <v>12703</v>
      </c>
      <c r="I2451" s="614" t="s">
        <v>12704</v>
      </c>
      <c r="J2451" s="614" t="s">
        <v>12705</v>
      </c>
      <c r="K2451"/>
    </row>
    <row r="2452" spans="1:11" ht="15" customHeight="1">
      <c r="A2452" s="616" t="s">
        <v>12706</v>
      </c>
      <c r="B2452" s="617" t="s">
        <v>13243</v>
      </c>
      <c r="C2452" s="616" t="s">
        <v>8</v>
      </c>
      <c r="D2452" s="616" t="s">
        <v>2978</v>
      </c>
      <c r="E2452" s="809" t="s">
        <v>12734</v>
      </c>
      <c r="F2452" s="810"/>
      <c r="G2452" s="618" t="s">
        <v>20</v>
      </c>
      <c r="H2452" s="619">
        <v>1</v>
      </c>
      <c r="I2452" s="620">
        <v>6.63</v>
      </c>
      <c r="J2452" s="620">
        <v>6.63</v>
      </c>
      <c r="K2452"/>
    </row>
    <row r="2453" spans="1:11" ht="0.95" customHeight="1">
      <c r="A2453" s="621" t="s">
        <v>12708</v>
      </c>
      <c r="B2453" s="622" t="s">
        <v>13237</v>
      </c>
      <c r="C2453" s="621" t="s">
        <v>8</v>
      </c>
      <c r="D2453" s="621" t="s">
        <v>236</v>
      </c>
      <c r="E2453" s="811" t="s">
        <v>12707</v>
      </c>
      <c r="F2453" s="812"/>
      <c r="G2453" s="623" t="s">
        <v>23</v>
      </c>
      <c r="H2453" s="624">
        <v>5.8999999999999999E-3</v>
      </c>
      <c r="I2453" s="625">
        <v>13.76</v>
      </c>
      <c r="J2453" s="625">
        <v>0.08</v>
      </c>
      <c r="K2453"/>
    </row>
    <row r="2454" spans="1:11" ht="18" customHeight="1">
      <c r="A2454" s="621" t="s">
        <v>12708</v>
      </c>
      <c r="B2454" s="622" t="s">
        <v>13236</v>
      </c>
      <c r="C2454" s="621" t="s">
        <v>8</v>
      </c>
      <c r="D2454" s="621" t="s">
        <v>241</v>
      </c>
      <c r="E2454" s="811" t="s">
        <v>12707</v>
      </c>
      <c r="F2454" s="812"/>
      <c r="G2454" s="623" t="s">
        <v>23</v>
      </c>
      <c r="H2454" s="624">
        <v>4.2000000000000003E-2</v>
      </c>
      <c r="I2454" s="625">
        <v>17.68</v>
      </c>
      <c r="J2454" s="625">
        <v>0.74</v>
      </c>
      <c r="K2454"/>
    </row>
    <row r="2455" spans="1:11" ht="36" customHeight="1">
      <c r="A2455" s="626" t="s">
        <v>12709</v>
      </c>
      <c r="B2455" s="627" t="s">
        <v>13242</v>
      </c>
      <c r="C2455" s="626" t="s">
        <v>8</v>
      </c>
      <c r="D2455" s="626" t="s">
        <v>7265</v>
      </c>
      <c r="E2455" s="804" t="s">
        <v>12720</v>
      </c>
      <c r="F2455" s="805"/>
      <c r="G2455" s="628" t="s">
        <v>20</v>
      </c>
      <c r="H2455" s="629">
        <v>1.07</v>
      </c>
      <c r="I2455" s="630">
        <v>5.43</v>
      </c>
      <c r="J2455" s="630">
        <v>5.81</v>
      </c>
      <c r="K2455"/>
    </row>
    <row r="2456" spans="1:11" ht="24" customHeight="1">
      <c r="A2456" s="631"/>
      <c r="B2456" s="631"/>
      <c r="C2456" s="631"/>
      <c r="D2456" s="631"/>
      <c r="E2456" s="631" t="s">
        <v>12714</v>
      </c>
      <c r="F2456" s="632">
        <v>0.31895340036760733</v>
      </c>
      <c r="G2456" s="631" t="s">
        <v>12715</v>
      </c>
      <c r="H2456" s="632">
        <v>0.27</v>
      </c>
      <c r="I2456" s="631" t="s">
        <v>12716</v>
      </c>
      <c r="J2456" s="632">
        <v>0.59</v>
      </c>
      <c r="K2456"/>
    </row>
    <row r="2457" spans="1:11" ht="24" customHeight="1" thickBot="1">
      <c r="A2457" s="631"/>
      <c r="B2457" s="631"/>
      <c r="C2457" s="631"/>
      <c r="D2457" s="631"/>
      <c r="E2457" s="631" t="s">
        <v>12717</v>
      </c>
      <c r="F2457" s="632">
        <v>1.87</v>
      </c>
      <c r="G2457" s="631"/>
      <c r="H2457" s="806" t="s">
        <v>12718</v>
      </c>
      <c r="I2457" s="806"/>
      <c r="J2457" s="632">
        <v>8.5</v>
      </c>
      <c r="K2457"/>
    </row>
    <row r="2458" spans="1:11" ht="24" customHeight="1" thickTop="1">
      <c r="A2458" s="633"/>
      <c r="B2458" s="633"/>
      <c r="C2458" s="633"/>
      <c r="D2458" s="633"/>
      <c r="E2458" s="633"/>
      <c r="F2458" s="633"/>
      <c r="G2458" s="633"/>
      <c r="H2458" s="633"/>
      <c r="I2458" s="633"/>
      <c r="J2458" s="633"/>
      <c r="K2458"/>
    </row>
    <row r="2459" spans="1:11" ht="15">
      <c r="A2459" s="613"/>
      <c r="B2459" s="614" t="s">
        <v>12698</v>
      </c>
      <c r="C2459" s="613" t="s">
        <v>12699</v>
      </c>
      <c r="D2459" s="613" t="s">
        <v>12700</v>
      </c>
      <c r="E2459" s="807" t="s">
        <v>12701</v>
      </c>
      <c r="F2459" s="808"/>
      <c r="G2459" s="615" t="s">
        <v>12702</v>
      </c>
      <c r="H2459" s="614" t="s">
        <v>12703</v>
      </c>
      <c r="I2459" s="614" t="s">
        <v>12704</v>
      </c>
      <c r="J2459" s="614" t="s">
        <v>12705</v>
      </c>
      <c r="K2459"/>
    </row>
    <row r="2460" spans="1:11" ht="15" customHeight="1">
      <c r="A2460" s="616" t="s">
        <v>12706</v>
      </c>
      <c r="B2460" s="617" t="s">
        <v>13241</v>
      </c>
      <c r="C2460" s="616" t="s">
        <v>8</v>
      </c>
      <c r="D2460" s="616" t="s">
        <v>2979</v>
      </c>
      <c r="E2460" s="809" t="s">
        <v>12734</v>
      </c>
      <c r="F2460" s="810"/>
      <c r="G2460" s="618" t="s">
        <v>20</v>
      </c>
      <c r="H2460" s="619">
        <v>1</v>
      </c>
      <c r="I2460" s="620">
        <v>6.49</v>
      </c>
      <c r="J2460" s="620">
        <v>6.49</v>
      </c>
      <c r="K2460"/>
    </row>
    <row r="2461" spans="1:11" ht="0.95" customHeight="1">
      <c r="A2461" s="621" t="s">
        <v>12708</v>
      </c>
      <c r="B2461" s="622" t="s">
        <v>13237</v>
      </c>
      <c r="C2461" s="621" t="s">
        <v>8</v>
      </c>
      <c r="D2461" s="621" t="s">
        <v>236</v>
      </c>
      <c r="E2461" s="811" t="s">
        <v>12707</v>
      </c>
      <c r="F2461" s="812"/>
      <c r="G2461" s="623" t="s">
        <v>23</v>
      </c>
      <c r="H2461" s="624">
        <v>3.2000000000000002E-3</v>
      </c>
      <c r="I2461" s="625">
        <v>13.76</v>
      </c>
      <c r="J2461" s="625">
        <v>0.04</v>
      </c>
      <c r="K2461"/>
    </row>
    <row r="2462" spans="1:11" ht="18" customHeight="1">
      <c r="A2462" s="621" t="s">
        <v>12708</v>
      </c>
      <c r="B2462" s="622" t="s">
        <v>13236</v>
      </c>
      <c r="C2462" s="621" t="s">
        <v>8</v>
      </c>
      <c r="D2462" s="621" t="s">
        <v>241</v>
      </c>
      <c r="E2462" s="811" t="s">
        <v>12707</v>
      </c>
      <c r="F2462" s="812"/>
      <c r="G2462" s="623" t="s">
        <v>23</v>
      </c>
      <c r="H2462" s="624">
        <v>2.24E-2</v>
      </c>
      <c r="I2462" s="625">
        <v>17.68</v>
      </c>
      <c r="J2462" s="625">
        <v>0.39</v>
      </c>
      <c r="K2462"/>
    </row>
    <row r="2463" spans="1:11" ht="36" customHeight="1">
      <c r="A2463" s="626" t="s">
        <v>12709</v>
      </c>
      <c r="B2463" s="627" t="s">
        <v>13240</v>
      </c>
      <c r="C2463" s="626" t="s">
        <v>8</v>
      </c>
      <c r="D2463" s="626" t="s">
        <v>7266</v>
      </c>
      <c r="E2463" s="804" t="s">
        <v>12720</v>
      </c>
      <c r="F2463" s="805"/>
      <c r="G2463" s="628" t="s">
        <v>20</v>
      </c>
      <c r="H2463" s="629">
        <v>1.1100000000000001</v>
      </c>
      <c r="I2463" s="630">
        <v>5.46</v>
      </c>
      <c r="J2463" s="630">
        <v>6.06</v>
      </c>
      <c r="K2463"/>
    </row>
    <row r="2464" spans="1:11" ht="24" customHeight="1">
      <c r="A2464" s="631"/>
      <c r="B2464" s="631"/>
      <c r="C2464" s="631"/>
      <c r="D2464" s="631"/>
      <c r="E2464" s="631" t="s">
        <v>12714</v>
      </c>
      <c r="F2464" s="632">
        <v>0.1621796951021732</v>
      </c>
      <c r="G2464" s="631" t="s">
        <v>12715</v>
      </c>
      <c r="H2464" s="632">
        <v>0.14000000000000001</v>
      </c>
      <c r="I2464" s="631" t="s">
        <v>12716</v>
      </c>
      <c r="J2464" s="632">
        <v>0.3</v>
      </c>
      <c r="K2464"/>
    </row>
    <row r="2465" spans="1:11" ht="24" customHeight="1" thickBot="1">
      <c r="A2465" s="631"/>
      <c r="B2465" s="631"/>
      <c r="C2465" s="631"/>
      <c r="D2465" s="631"/>
      <c r="E2465" s="631" t="s">
        <v>12717</v>
      </c>
      <c r="F2465" s="632">
        <v>1.83</v>
      </c>
      <c r="G2465" s="631"/>
      <c r="H2465" s="806" t="s">
        <v>12718</v>
      </c>
      <c r="I2465" s="806"/>
      <c r="J2465" s="632">
        <v>8.32</v>
      </c>
      <c r="K2465"/>
    </row>
    <row r="2466" spans="1:11" ht="24" customHeight="1" thickTop="1">
      <c r="A2466" s="633"/>
      <c r="B2466" s="633"/>
      <c r="C2466" s="633"/>
      <c r="D2466" s="633"/>
      <c r="E2466" s="633"/>
      <c r="F2466" s="633"/>
      <c r="G2466" s="633"/>
      <c r="H2466" s="633"/>
      <c r="I2466" s="633"/>
      <c r="J2466" s="633"/>
      <c r="K2466"/>
    </row>
    <row r="2467" spans="1:11" ht="24" customHeight="1">
      <c r="A2467" s="613"/>
      <c r="B2467" s="614" t="s">
        <v>12698</v>
      </c>
      <c r="C2467" s="613" t="s">
        <v>12699</v>
      </c>
      <c r="D2467" s="613" t="s">
        <v>12700</v>
      </c>
      <c r="E2467" s="807" t="s">
        <v>12701</v>
      </c>
      <c r="F2467" s="808"/>
      <c r="G2467" s="615" t="s">
        <v>12702</v>
      </c>
      <c r="H2467" s="614" t="s">
        <v>12703</v>
      </c>
      <c r="I2467" s="614" t="s">
        <v>12704</v>
      </c>
      <c r="J2467" s="614" t="s">
        <v>12705</v>
      </c>
      <c r="K2467"/>
    </row>
    <row r="2468" spans="1:11" ht="25.5" customHeight="1">
      <c r="A2468" s="616" t="s">
        <v>12706</v>
      </c>
      <c r="B2468" s="617" t="s">
        <v>13239</v>
      </c>
      <c r="C2468" s="616" t="s">
        <v>8</v>
      </c>
      <c r="D2468" s="616" t="s">
        <v>2985</v>
      </c>
      <c r="E2468" s="809" t="s">
        <v>12734</v>
      </c>
      <c r="F2468" s="810"/>
      <c r="G2468" s="618" t="s">
        <v>20</v>
      </c>
      <c r="H2468" s="619">
        <v>1</v>
      </c>
      <c r="I2468" s="620">
        <v>7.03</v>
      </c>
      <c r="J2468" s="620">
        <v>7.03</v>
      </c>
      <c r="K2468"/>
    </row>
    <row r="2469" spans="1:11" ht="15" customHeight="1">
      <c r="A2469" s="621" t="s">
        <v>12708</v>
      </c>
      <c r="B2469" s="622" t="s">
        <v>13237</v>
      </c>
      <c r="C2469" s="621" t="s">
        <v>8</v>
      </c>
      <c r="D2469" s="621" t="s">
        <v>236</v>
      </c>
      <c r="E2469" s="811" t="s">
        <v>12707</v>
      </c>
      <c r="F2469" s="812"/>
      <c r="G2469" s="623" t="s">
        <v>23</v>
      </c>
      <c r="H2469" s="624">
        <v>1.3100000000000001E-2</v>
      </c>
      <c r="I2469" s="625">
        <v>13.76</v>
      </c>
      <c r="J2469" s="625">
        <v>0.18</v>
      </c>
      <c r="K2469"/>
    </row>
    <row r="2470" spans="1:11" ht="0.95" customHeight="1">
      <c r="A2470" s="621" t="s">
        <v>12708</v>
      </c>
      <c r="B2470" s="622" t="s">
        <v>13236</v>
      </c>
      <c r="C2470" s="621" t="s">
        <v>8</v>
      </c>
      <c r="D2470" s="621" t="s">
        <v>241</v>
      </c>
      <c r="E2470" s="811" t="s">
        <v>12707</v>
      </c>
      <c r="F2470" s="812"/>
      <c r="G2470" s="623" t="s">
        <v>23</v>
      </c>
      <c r="H2470" s="624">
        <v>9.3299999999999994E-2</v>
      </c>
      <c r="I2470" s="625">
        <v>17.68</v>
      </c>
      <c r="J2470" s="625">
        <v>1.64</v>
      </c>
      <c r="K2470"/>
    </row>
    <row r="2471" spans="1:11" ht="18" customHeight="1">
      <c r="A2471" s="626" t="s">
        <v>12709</v>
      </c>
      <c r="B2471" s="627" t="s">
        <v>13235</v>
      </c>
      <c r="C2471" s="626" t="s">
        <v>8</v>
      </c>
      <c r="D2471" s="626" t="s">
        <v>7268</v>
      </c>
      <c r="E2471" s="804" t="s">
        <v>12720</v>
      </c>
      <c r="F2471" s="805"/>
      <c r="G2471" s="628" t="s">
        <v>20</v>
      </c>
      <c r="H2471" s="629">
        <v>1.07</v>
      </c>
      <c r="I2471" s="630">
        <v>4.87</v>
      </c>
      <c r="J2471" s="630">
        <v>5.21</v>
      </c>
      <c r="K2471"/>
    </row>
    <row r="2472" spans="1:11" ht="24" customHeight="1">
      <c r="A2472" s="631"/>
      <c r="B2472" s="631"/>
      <c r="C2472" s="631"/>
      <c r="D2472" s="631"/>
      <c r="E2472" s="631" t="s">
        <v>12714</v>
      </c>
      <c r="F2472" s="632">
        <v>0.70818466861282303</v>
      </c>
      <c r="G2472" s="631" t="s">
        <v>12715</v>
      </c>
      <c r="H2472" s="632">
        <v>0.6</v>
      </c>
      <c r="I2472" s="631" t="s">
        <v>12716</v>
      </c>
      <c r="J2472" s="632">
        <v>1.31</v>
      </c>
      <c r="K2472"/>
    </row>
    <row r="2473" spans="1:11" ht="24" customHeight="1" thickBot="1">
      <c r="A2473" s="631"/>
      <c r="B2473" s="631"/>
      <c r="C2473" s="631"/>
      <c r="D2473" s="631"/>
      <c r="E2473" s="631" t="s">
        <v>12717</v>
      </c>
      <c r="F2473" s="632">
        <v>1.98</v>
      </c>
      <c r="G2473" s="631"/>
      <c r="H2473" s="806" t="s">
        <v>12718</v>
      </c>
      <c r="I2473" s="806"/>
      <c r="J2473" s="632">
        <v>9.01</v>
      </c>
      <c r="K2473"/>
    </row>
    <row r="2474" spans="1:11" ht="15" thickTop="1">
      <c r="A2474" s="633"/>
      <c r="B2474" s="633"/>
      <c r="C2474" s="633"/>
      <c r="D2474" s="633"/>
      <c r="E2474" s="633"/>
      <c r="F2474" s="633"/>
      <c r="G2474" s="633"/>
      <c r="H2474" s="633"/>
      <c r="I2474" s="633"/>
      <c r="J2474" s="633"/>
      <c r="K2474"/>
    </row>
    <row r="2475" spans="1:11" ht="15" customHeight="1">
      <c r="A2475" s="613"/>
      <c r="B2475" s="614" t="s">
        <v>12698</v>
      </c>
      <c r="C2475" s="613" t="s">
        <v>12699</v>
      </c>
      <c r="D2475" s="613" t="s">
        <v>12700</v>
      </c>
      <c r="E2475" s="807" t="s">
        <v>12701</v>
      </c>
      <c r="F2475" s="808"/>
      <c r="G2475" s="615" t="s">
        <v>12702</v>
      </c>
      <c r="H2475" s="614" t="s">
        <v>12703</v>
      </c>
      <c r="I2475" s="614" t="s">
        <v>12704</v>
      </c>
      <c r="J2475" s="614" t="s">
        <v>12705</v>
      </c>
      <c r="K2475"/>
    </row>
    <row r="2476" spans="1:11" ht="0.95" customHeight="1">
      <c r="A2476" s="616" t="s">
        <v>12706</v>
      </c>
      <c r="B2476" s="617" t="s">
        <v>13238</v>
      </c>
      <c r="C2476" s="616" t="s">
        <v>8</v>
      </c>
      <c r="D2476" s="616" t="s">
        <v>2977</v>
      </c>
      <c r="E2476" s="809" t="s">
        <v>12734</v>
      </c>
      <c r="F2476" s="810"/>
      <c r="G2476" s="618" t="s">
        <v>20</v>
      </c>
      <c r="H2476" s="619">
        <v>1</v>
      </c>
      <c r="I2476" s="620">
        <v>6.7</v>
      </c>
      <c r="J2476" s="620">
        <v>6.7</v>
      </c>
      <c r="K2476"/>
    </row>
    <row r="2477" spans="1:11" ht="18" customHeight="1">
      <c r="A2477" s="621" t="s">
        <v>12708</v>
      </c>
      <c r="B2477" s="622" t="s">
        <v>13237</v>
      </c>
      <c r="C2477" s="621" t="s">
        <v>8</v>
      </c>
      <c r="D2477" s="621" t="s">
        <v>236</v>
      </c>
      <c r="E2477" s="811" t="s">
        <v>12707</v>
      </c>
      <c r="F2477" s="812"/>
      <c r="G2477" s="623" t="s">
        <v>23</v>
      </c>
      <c r="H2477" s="624">
        <v>1.0800000000000001E-2</v>
      </c>
      <c r="I2477" s="625">
        <v>13.76</v>
      </c>
      <c r="J2477" s="625">
        <v>0.14000000000000001</v>
      </c>
      <c r="K2477"/>
    </row>
    <row r="2478" spans="1:11" ht="24" customHeight="1">
      <c r="A2478" s="621" t="s">
        <v>12708</v>
      </c>
      <c r="B2478" s="622" t="s">
        <v>13236</v>
      </c>
      <c r="C2478" s="621" t="s">
        <v>8</v>
      </c>
      <c r="D2478" s="621" t="s">
        <v>241</v>
      </c>
      <c r="E2478" s="811" t="s">
        <v>12707</v>
      </c>
      <c r="F2478" s="812"/>
      <c r="G2478" s="623" t="s">
        <v>23</v>
      </c>
      <c r="H2478" s="624">
        <v>7.6899999999999996E-2</v>
      </c>
      <c r="I2478" s="625">
        <v>17.68</v>
      </c>
      <c r="J2478" s="625">
        <v>1.35</v>
      </c>
      <c r="K2478"/>
    </row>
    <row r="2479" spans="1:11" ht="24" customHeight="1">
      <c r="A2479" s="626" t="s">
        <v>12709</v>
      </c>
      <c r="B2479" s="627" t="s">
        <v>13235</v>
      </c>
      <c r="C2479" s="626" t="s">
        <v>8</v>
      </c>
      <c r="D2479" s="626" t="s">
        <v>7268</v>
      </c>
      <c r="E2479" s="804" t="s">
        <v>12720</v>
      </c>
      <c r="F2479" s="805"/>
      <c r="G2479" s="628" t="s">
        <v>20</v>
      </c>
      <c r="H2479" s="629">
        <v>1.07</v>
      </c>
      <c r="I2479" s="630">
        <v>4.87</v>
      </c>
      <c r="J2479" s="630">
        <v>5.21</v>
      </c>
      <c r="K2479"/>
    </row>
    <row r="2480" spans="1:11" ht="25.5">
      <c r="A2480" s="631"/>
      <c r="B2480" s="631"/>
      <c r="C2480" s="631"/>
      <c r="D2480" s="631"/>
      <c r="E2480" s="631" t="s">
        <v>12714</v>
      </c>
      <c r="F2480" s="632">
        <v>0.58384690236782355</v>
      </c>
      <c r="G2480" s="631" t="s">
        <v>12715</v>
      </c>
      <c r="H2480" s="632">
        <v>0.5</v>
      </c>
      <c r="I2480" s="631" t="s">
        <v>12716</v>
      </c>
      <c r="J2480" s="632">
        <v>1.08</v>
      </c>
      <c r="K2480"/>
    </row>
    <row r="2481" spans="1:11" ht="15" customHeight="1" thickBot="1">
      <c r="A2481" s="631"/>
      <c r="B2481" s="631"/>
      <c r="C2481" s="631"/>
      <c r="D2481" s="631"/>
      <c r="E2481" s="631" t="s">
        <v>12717</v>
      </c>
      <c r="F2481" s="632">
        <v>1.89</v>
      </c>
      <c r="G2481" s="631"/>
      <c r="H2481" s="806" t="s">
        <v>12718</v>
      </c>
      <c r="I2481" s="806"/>
      <c r="J2481" s="632">
        <v>8.59</v>
      </c>
      <c r="K2481"/>
    </row>
    <row r="2482" spans="1:11" ht="0.95" customHeight="1" thickTop="1">
      <c r="A2482" s="633"/>
      <c r="B2482" s="633"/>
      <c r="C2482" s="633"/>
      <c r="D2482" s="633"/>
      <c r="E2482" s="633"/>
      <c r="F2482" s="633"/>
      <c r="G2482" s="633"/>
      <c r="H2482" s="633"/>
      <c r="I2482" s="633"/>
      <c r="J2482" s="633"/>
      <c r="K2482"/>
    </row>
    <row r="2483" spans="1:11" ht="18" customHeight="1">
      <c r="A2483" s="613"/>
      <c r="B2483" s="614" t="s">
        <v>12698</v>
      </c>
      <c r="C2483" s="613" t="s">
        <v>12699</v>
      </c>
      <c r="D2483" s="613" t="s">
        <v>12700</v>
      </c>
      <c r="E2483" s="807" t="s">
        <v>12701</v>
      </c>
      <c r="F2483" s="808"/>
      <c r="G2483" s="615" t="s">
        <v>12702</v>
      </c>
      <c r="H2483" s="614" t="s">
        <v>12703</v>
      </c>
      <c r="I2483" s="614" t="s">
        <v>12704</v>
      </c>
      <c r="J2483" s="614" t="s">
        <v>12705</v>
      </c>
      <c r="K2483"/>
    </row>
    <row r="2484" spans="1:11" ht="24" customHeight="1">
      <c r="A2484" s="616" t="s">
        <v>12706</v>
      </c>
      <c r="B2484" s="617" t="s">
        <v>13234</v>
      </c>
      <c r="C2484" s="616" t="s">
        <v>8</v>
      </c>
      <c r="D2484" s="616" t="s">
        <v>6897</v>
      </c>
      <c r="E2484" s="809" t="s">
        <v>12819</v>
      </c>
      <c r="F2484" s="810"/>
      <c r="G2484" s="618" t="s">
        <v>35</v>
      </c>
      <c r="H2484" s="619">
        <v>1</v>
      </c>
      <c r="I2484" s="620">
        <v>154.1</v>
      </c>
      <c r="J2484" s="620">
        <v>154.1</v>
      </c>
      <c r="K2484"/>
    </row>
    <row r="2485" spans="1:11" ht="24" customHeight="1">
      <c r="A2485" s="621" t="s">
        <v>12708</v>
      </c>
      <c r="B2485" s="622" t="s">
        <v>13148</v>
      </c>
      <c r="C2485" s="621" t="s">
        <v>8</v>
      </c>
      <c r="D2485" s="621" t="s">
        <v>259</v>
      </c>
      <c r="E2485" s="811" t="s">
        <v>12707</v>
      </c>
      <c r="F2485" s="812"/>
      <c r="G2485" s="623" t="s">
        <v>23</v>
      </c>
      <c r="H2485" s="624">
        <v>0.47739999999999999</v>
      </c>
      <c r="I2485" s="625">
        <v>17.98</v>
      </c>
      <c r="J2485" s="625">
        <v>8.58</v>
      </c>
      <c r="K2485"/>
    </row>
    <row r="2486" spans="1:11" ht="25.5">
      <c r="A2486" s="621" t="s">
        <v>12708</v>
      </c>
      <c r="B2486" s="622" t="s">
        <v>12727</v>
      </c>
      <c r="C2486" s="621" t="s">
        <v>8</v>
      </c>
      <c r="D2486" s="621" t="s">
        <v>26</v>
      </c>
      <c r="E2486" s="811" t="s">
        <v>12707</v>
      </c>
      <c r="F2486" s="812"/>
      <c r="G2486" s="623" t="s">
        <v>23</v>
      </c>
      <c r="H2486" s="624">
        <v>0.15040000000000001</v>
      </c>
      <c r="I2486" s="625">
        <v>14.37</v>
      </c>
      <c r="J2486" s="625">
        <v>2.16</v>
      </c>
      <c r="K2486"/>
    </row>
    <row r="2487" spans="1:11" ht="15" customHeight="1">
      <c r="A2487" s="626" t="s">
        <v>12709</v>
      </c>
      <c r="B2487" s="627" t="s">
        <v>13233</v>
      </c>
      <c r="C2487" s="626" t="s">
        <v>8</v>
      </c>
      <c r="D2487" s="626" t="s">
        <v>8761</v>
      </c>
      <c r="E2487" s="804" t="s">
        <v>12720</v>
      </c>
      <c r="F2487" s="805"/>
      <c r="G2487" s="628" t="s">
        <v>35</v>
      </c>
      <c r="H2487" s="629">
        <v>1</v>
      </c>
      <c r="I2487" s="630">
        <v>132.77000000000001</v>
      </c>
      <c r="J2487" s="630">
        <v>132.77000000000001</v>
      </c>
      <c r="K2487"/>
    </row>
    <row r="2488" spans="1:11" ht="0.95" customHeight="1">
      <c r="A2488" s="626" t="s">
        <v>12709</v>
      </c>
      <c r="B2488" s="627" t="s">
        <v>13232</v>
      </c>
      <c r="C2488" s="626" t="s">
        <v>8</v>
      </c>
      <c r="D2488" s="626" t="s">
        <v>10381</v>
      </c>
      <c r="E2488" s="804" t="s">
        <v>12720</v>
      </c>
      <c r="F2488" s="805"/>
      <c r="G2488" s="628" t="s">
        <v>20</v>
      </c>
      <c r="H2488" s="629">
        <v>0.2974</v>
      </c>
      <c r="I2488" s="630">
        <v>35.630000000000003</v>
      </c>
      <c r="J2488" s="630">
        <v>10.59</v>
      </c>
      <c r="K2488"/>
    </row>
    <row r="2489" spans="1:11" ht="18" customHeight="1">
      <c r="A2489" s="631"/>
      <c r="B2489" s="631"/>
      <c r="C2489" s="631"/>
      <c r="D2489" s="631"/>
      <c r="E2489" s="631" t="s">
        <v>12714</v>
      </c>
      <c r="F2489" s="632">
        <v>4.1788301437993294</v>
      </c>
      <c r="G2489" s="631" t="s">
        <v>12715</v>
      </c>
      <c r="H2489" s="632">
        <v>3.55</v>
      </c>
      <c r="I2489" s="631" t="s">
        <v>12716</v>
      </c>
      <c r="J2489" s="632">
        <v>7.73</v>
      </c>
      <c r="K2489"/>
    </row>
    <row r="2490" spans="1:11" ht="24" customHeight="1" thickBot="1">
      <c r="A2490" s="631"/>
      <c r="B2490" s="631"/>
      <c r="C2490" s="631"/>
      <c r="D2490" s="631"/>
      <c r="E2490" s="631" t="s">
        <v>12717</v>
      </c>
      <c r="F2490" s="632">
        <v>43.51</v>
      </c>
      <c r="G2490" s="631"/>
      <c r="H2490" s="806" t="s">
        <v>12718</v>
      </c>
      <c r="I2490" s="806"/>
      <c r="J2490" s="632">
        <v>197.61</v>
      </c>
      <c r="K2490"/>
    </row>
    <row r="2491" spans="1:11" ht="24" customHeight="1" thickTop="1">
      <c r="A2491" s="633"/>
      <c r="B2491" s="633"/>
      <c r="C2491" s="633"/>
      <c r="D2491" s="633"/>
      <c r="E2491" s="633"/>
      <c r="F2491" s="633"/>
      <c r="G2491" s="633"/>
      <c r="H2491" s="633"/>
      <c r="I2491" s="633"/>
      <c r="J2491" s="633"/>
      <c r="K2491"/>
    </row>
    <row r="2492" spans="1:11" ht="15">
      <c r="A2492" s="613"/>
      <c r="B2492" s="614" t="s">
        <v>12698</v>
      </c>
      <c r="C2492" s="613" t="s">
        <v>12699</v>
      </c>
      <c r="D2492" s="613" t="s">
        <v>12700</v>
      </c>
      <c r="E2492" s="807" t="s">
        <v>12701</v>
      </c>
      <c r="F2492" s="808"/>
      <c r="G2492" s="615" t="s">
        <v>12702</v>
      </c>
      <c r="H2492" s="614" t="s">
        <v>12703</v>
      </c>
      <c r="I2492" s="614" t="s">
        <v>12704</v>
      </c>
      <c r="J2492" s="614" t="s">
        <v>12705</v>
      </c>
      <c r="K2492"/>
    </row>
    <row r="2493" spans="1:11" ht="15" customHeight="1">
      <c r="A2493" s="616" t="s">
        <v>12706</v>
      </c>
      <c r="B2493" s="617" t="s">
        <v>13231</v>
      </c>
      <c r="C2493" s="616" t="s">
        <v>8</v>
      </c>
      <c r="D2493" s="616" t="s">
        <v>3626</v>
      </c>
      <c r="E2493" s="809" t="s">
        <v>12707</v>
      </c>
      <c r="F2493" s="810"/>
      <c r="G2493" s="618" t="s">
        <v>23</v>
      </c>
      <c r="H2493" s="619">
        <v>1</v>
      </c>
      <c r="I2493" s="620">
        <v>7.0000000000000007E-2</v>
      </c>
      <c r="J2493" s="620">
        <v>7.0000000000000007E-2</v>
      </c>
      <c r="K2493"/>
    </row>
    <row r="2494" spans="1:11" ht="0.95" customHeight="1">
      <c r="A2494" s="626" t="s">
        <v>12709</v>
      </c>
      <c r="B2494" s="627" t="s">
        <v>13230</v>
      </c>
      <c r="C2494" s="626" t="s">
        <v>8</v>
      </c>
      <c r="D2494" s="626" t="s">
        <v>7362</v>
      </c>
      <c r="E2494" s="804" t="s">
        <v>12710</v>
      </c>
      <c r="F2494" s="805"/>
      <c r="G2494" s="628" t="s">
        <v>23</v>
      </c>
      <c r="H2494" s="629">
        <v>7.9000000000000008E-3</v>
      </c>
      <c r="I2494" s="630">
        <v>8.9</v>
      </c>
      <c r="J2494" s="630">
        <v>7.0000000000000007E-2</v>
      </c>
      <c r="K2494"/>
    </row>
    <row r="2495" spans="1:11" ht="18" customHeight="1">
      <c r="A2495" s="631"/>
      <c r="B2495" s="631"/>
      <c r="C2495" s="631"/>
      <c r="D2495" s="631"/>
      <c r="E2495" s="631" t="s">
        <v>12714</v>
      </c>
      <c r="F2495" s="632">
        <v>3.7841899999999998E-2</v>
      </c>
      <c r="G2495" s="631" t="s">
        <v>12715</v>
      </c>
      <c r="H2495" s="632">
        <v>0.03</v>
      </c>
      <c r="I2495" s="631" t="s">
        <v>12716</v>
      </c>
      <c r="J2495" s="632">
        <v>7.0000000000000007E-2</v>
      </c>
      <c r="K2495"/>
    </row>
    <row r="2496" spans="1:11" ht="24" customHeight="1" thickBot="1">
      <c r="A2496" s="631"/>
      <c r="B2496" s="631"/>
      <c r="C2496" s="631"/>
      <c r="D2496" s="631"/>
      <c r="E2496" s="631" t="s">
        <v>12717</v>
      </c>
      <c r="F2496" s="632">
        <v>0.01</v>
      </c>
      <c r="G2496" s="631"/>
      <c r="H2496" s="806" t="s">
        <v>12718</v>
      </c>
      <c r="I2496" s="806"/>
      <c r="J2496" s="632">
        <v>0.08</v>
      </c>
      <c r="K2496"/>
    </row>
    <row r="2497" spans="1:11" ht="24" customHeight="1" thickTop="1">
      <c r="A2497" s="633"/>
      <c r="B2497" s="633"/>
      <c r="C2497" s="633"/>
      <c r="D2497" s="633"/>
      <c r="E2497" s="633"/>
      <c r="F2497" s="633"/>
      <c r="G2497" s="633"/>
      <c r="H2497" s="633"/>
      <c r="I2497" s="633"/>
      <c r="J2497" s="633"/>
      <c r="K2497"/>
    </row>
    <row r="2498" spans="1:11" ht="15">
      <c r="A2498" s="613"/>
      <c r="B2498" s="614" t="s">
        <v>12698</v>
      </c>
      <c r="C2498" s="613" t="s">
        <v>12699</v>
      </c>
      <c r="D2498" s="613" t="s">
        <v>12700</v>
      </c>
      <c r="E2498" s="807" t="s">
        <v>12701</v>
      </c>
      <c r="F2498" s="808"/>
      <c r="G2498" s="615" t="s">
        <v>12702</v>
      </c>
      <c r="H2498" s="614" t="s">
        <v>12703</v>
      </c>
      <c r="I2498" s="614" t="s">
        <v>12704</v>
      </c>
      <c r="J2498" s="614" t="s">
        <v>12705</v>
      </c>
      <c r="K2498"/>
    </row>
    <row r="2499" spans="1:11" ht="15" customHeight="1">
      <c r="A2499" s="616" t="s">
        <v>12706</v>
      </c>
      <c r="B2499" s="617" t="s">
        <v>13229</v>
      </c>
      <c r="C2499" s="616" t="s">
        <v>8</v>
      </c>
      <c r="D2499" s="616" t="s">
        <v>3627</v>
      </c>
      <c r="E2499" s="809" t="s">
        <v>12707</v>
      </c>
      <c r="F2499" s="810"/>
      <c r="G2499" s="618" t="s">
        <v>23</v>
      </c>
      <c r="H2499" s="619">
        <v>1</v>
      </c>
      <c r="I2499" s="620">
        <v>0.1</v>
      </c>
      <c r="J2499" s="620">
        <v>0.1</v>
      </c>
      <c r="K2499"/>
    </row>
    <row r="2500" spans="1:11" ht="0.95" customHeight="1">
      <c r="A2500" s="626" t="s">
        <v>12709</v>
      </c>
      <c r="B2500" s="627" t="s">
        <v>13228</v>
      </c>
      <c r="C2500" s="626" t="s">
        <v>8</v>
      </c>
      <c r="D2500" s="626" t="s">
        <v>8289</v>
      </c>
      <c r="E2500" s="804" t="s">
        <v>12710</v>
      </c>
      <c r="F2500" s="805"/>
      <c r="G2500" s="628" t="s">
        <v>23</v>
      </c>
      <c r="H2500" s="629">
        <v>1.0200000000000001E-2</v>
      </c>
      <c r="I2500" s="630">
        <v>10.06</v>
      </c>
      <c r="J2500" s="630">
        <v>0.1</v>
      </c>
      <c r="K2500"/>
    </row>
    <row r="2501" spans="1:11" ht="18" customHeight="1">
      <c r="A2501" s="631"/>
      <c r="B2501" s="631"/>
      <c r="C2501" s="631"/>
      <c r="D2501" s="631"/>
      <c r="E2501" s="631" t="s">
        <v>12714</v>
      </c>
      <c r="F2501" s="632">
        <v>5.4059900000000001E-2</v>
      </c>
      <c r="G2501" s="631" t="s">
        <v>12715</v>
      </c>
      <c r="H2501" s="632">
        <v>0.05</v>
      </c>
      <c r="I2501" s="631" t="s">
        <v>12716</v>
      </c>
      <c r="J2501" s="632">
        <v>0.1</v>
      </c>
      <c r="K2501"/>
    </row>
    <row r="2502" spans="1:11" ht="36" customHeight="1" thickBot="1">
      <c r="A2502" s="631"/>
      <c r="B2502" s="631"/>
      <c r="C2502" s="631"/>
      <c r="D2502" s="631"/>
      <c r="E2502" s="631" t="s">
        <v>12717</v>
      </c>
      <c r="F2502" s="632">
        <v>0.02</v>
      </c>
      <c r="G2502" s="631"/>
      <c r="H2502" s="806" t="s">
        <v>12718</v>
      </c>
      <c r="I2502" s="806"/>
      <c r="J2502" s="632">
        <v>0.12</v>
      </c>
      <c r="K2502"/>
    </row>
    <row r="2503" spans="1:11" ht="24" customHeight="1" thickTop="1">
      <c r="A2503" s="633"/>
      <c r="B2503" s="633"/>
      <c r="C2503" s="633"/>
      <c r="D2503" s="633"/>
      <c r="E2503" s="633"/>
      <c r="F2503" s="633"/>
      <c r="G2503" s="633"/>
      <c r="H2503" s="633"/>
      <c r="I2503" s="633"/>
      <c r="J2503" s="633"/>
      <c r="K2503"/>
    </row>
    <row r="2504" spans="1:11" ht="15">
      <c r="A2504" s="613"/>
      <c r="B2504" s="614" t="s">
        <v>12698</v>
      </c>
      <c r="C2504" s="613" t="s">
        <v>12699</v>
      </c>
      <c r="D2504" s="613" t="s">
        <v>12700</v>
      </c>
      <c r="E2504" s="807" t="s">
        <v>12701</v>
      </c>
      <c r="F2504" s="808"/>
      <c r="G2504" s="615" t="s">
        <v>12702</v>
      </c>
      <c r="H2504" s="614" t="s">
        <v>12703</v>
      </c>
      <c r="I2504" s="614" t="s">
        <v>12704</v>
      </c>
      <c r="J2504" s="614" t="s">
        <v>12705</v>
      </c>
      <c r="K2504"/>
    </row>
    <row r="2505" spans="1:11" ht="15" customHeight="1">
      <c r="A2505" s="616" t="s">
        <v>12706</v>
      </c>
      <c r="B2505" s="617" t="s">
        <v>13227</v>
      </c>
      <c r="C2505" s="616" t="s">
        <v>8</v>
      </c>
      <c r="D2505" s="616" t="s">
        <v>3631</v>
      </c>
      <c r="E2505" s="809" t="s">
        <v>12707</v>
      </c>
      <c r="F2505" s="810"/>
      <c r="G2505" s="618" t="s">
        <v>23</v>
      </c>
      <c r="H2505" s="619">
        <v>1</v>
      </c>
      <c r="I2505" s="620">
        <v>0.09</v>
      </c>
      <c r="J2505" s="620">
        <v>0.09</v>
      </c>
      <c r="K2505"/>
    </row>
    <row r="2506" spans="1:11" ht="0.95" customHeight="1">
      <c r="A2506" s="626" t="s">
        <v>12709</v>
      </c>
      <c r="B2506" s="627" t="s">
        <v>13226</v>
      </c>
      <c r="C2506" s="626" t="s">
        <v>8</v>
      </c>
      <c r="D2506" s="626" t="s">
        <v>7374</v>
      </c>
      <c r="E2506" s="804" t="s">
        <v>12710</v>
      </c>
      <c r="F2506" s="805"/>
      <c r="G2506" s="628" t="s">
        <v>23</v>
      </c>
      <c r="H2506" s="629">
        <v>7.9000000000000008E-3</v>
      </c>
      <c r="I2506" s="630">
        <v>12.33</v>
      </c>
      <c r="J2506" s="630">
        <v>0.09</v>
      </c>
      <c r="K2506"/>
    </row>
    <row r="2507" spans="1:11" ht="18" customHeight="1">
      <c r="A2507" s="631"/>
      <c r="B2507" s="631"/>
      <c r="C2507" s="631"/>
      <c r="D2507" s="631"/>
      <c r="E2507" s="631" t="s">
        <v>12714</v>
      </c>
      <c r="F2507" s="632">
        <v>4.86539E-2</v>
      </c>
      <c r="G2507" s="631" t="s">
        <v>12715</v>
      </c>
      <c r="H2507" s="632">
        <v>0.04</v>
      </c>
      <c r="I2507" s="631" t="s">
        <v>12716</v>
      </c>
      <c r="J2507" s="632">
        <v>0.09</v>
      </c>
      <c r="K2507"/>
    </row>
    <row r="2508" spans="1:11" ht="24" customHeight="1" thickBot="1">
      <c r="A2508" s="631"/>
      <c r="B2508" s="631"/>
      <c r="C2508" s="631"/>
      <c r="D2508" s="631"/>
      <c r="E2508" s="631" t="s">
        <v>12717</v>
      </c>
      <c r="F2508" s="632">
        <v>0.02</v>
      </c>
      <c r="G2508" s="631"/>
      <c r="H2508" s="806" t="s">
        <v>12718</v>
      </c>
      <c r="I2508" s="806"/>
      <c r="J2508" s="632">
        <v>0.11</v>
      </c>
      <c r="K2508"/>
    </row>
    <row r="2509" spans="1:11" ht="24" customHeight="1" thickTop="1">
      <c r="A2509" s="633"/>
      <c r="B2509" s="633"/>
      <c r="C2509" s="633"/>
      <c r="D2509" s="633"/>
      <c r="E2509" s="633"/>
      <c r="F2509" s="633"/>
      <c r="G2509" s="633"/>
      <c r="H2509" s="633"/>
      <c r="I2509" s="633"/>
      <c r="J2509" s="633"/>
      <c r="K2509"/>
    </row>
    <row r="2510" spans="1:11" ht="15">
      <c r="A2510" s="613"/>
      <c r="B2510" s="614" t="s">
        <v>12698</v>
      </c>
      <c r="C2510" s="613" t="s">
        <v>12699</v>
      </c>
      <c r="D2510" s="613" t="s">
        <v>12700</v>
      </c>
      <c r="E2510" s="807" t="s">
        <v>12701</v>
      </c>
      <c r="F2510" s="808"/>
      <c r="G2510" s="615" t="s">
        <v>12702</v>
      </c>
      <c r="H2510" s="614" t="s">
        <v>12703</v>
      </c>
      <c r="I2510" s="614" t="s">
        <v>12704</v>
      </c>
      <c r="J2510" s="614" t="s">
        <v>12705</v>
      </c>
      <c r="K2510"/>
    </row>
    <row r="2511" spans="1:11" ht="15" customHeight="1">
      <c r="A2511" s="616" t="s">
        <v>12706</v>
      </c>
      <c r="B2511" s="617" t="s">
        <v>13225</v>
      </c>
      <c r="C2511" s="616" t="s">
        <v>8</v>
      </c>
      <c r="D2511" s="616" t="s">
        <v>821</v>
      </c>
      <c r="E2511" s="809" t="s">
        <v>12707</v>
      </c>
      <c r="F2511" s="810"/>
      <c r="G2511" s="618" t="s">
        <v>23</v>
      </c>
      <c r="H2511" s="619">
        <v>1</v>
      </c>
      <c r="I2511" s="620">
        <v>0.1</v>
      </c>
      <c r="J2511" s="620">
        <v>0.1</v>
      </c>
      <c r="K2511"/>
    </row>
    <row r="2512" spans="1:11" ht="0.95" customHeight="1">
      <c r="A2512" s="626" t="s">
        <v>12709</v>
      </c>
      <c r="B2512" s="627" t="s">
        <v>13224</v>
      </c>
      <c r="C2512" s="626" t="s">
        <v>8</v>
      </c>
      <c r="D2512" s="626" t="s">
        <v>7556</v>
      </c>
      <c r="E2512" s="804" t="s">
        <v>12710</v>
      </c>
      <c r="F2512" s="805"/>
      <c r="G2512" s="628" t="s">
        <v>23</v>
      </c>
      <c r="H2512" s="629">
        <v>7.9000000000000008E-3</v>
      </c>
      <c r="I2512" s="630">
        <v>12.79</v>
      </c>
      <c r="J2512" s="630">
        <v>0.1</v>
      </c>
      <c r="K2512"/>
    </row>
    <row r="2513" spans="1:11" ht="18" customHeight="1">
      <c r="A2513" s="631"/>
      <c r="B2513" s="631"/>
      <c r="C2513" s="631"/>
      <c r="D2513" s="631"/>
      <c r="E2513" s="631" t="s">
        <v>12714</v>
      </c>
      <c r="F2513" s="632">
        <v>5.4059900000000001E-2</v>
      </c>
      <c r="G2513" s="631" t="s">
        <v>12715</v>
      </c>
      <c r="H2513" s="632">
        <v>0.05</v>
      </c>
      <c r="I2513" s="631" t="s">
        <v>12716</v>
      </c>
      <c r="J2513" s="632">
        <v>0.1</v>
      </c>
      <c r="K2513"/>
    </row>
    <row r="2514" spans="1:11" ht="24" customHeight="1" thickBot="1">
      <c r="A2514" s="631"/>
      <c r="B2514" s="631"/>
      <c r="C2514" s="631"/>
      <c r="D2514" s="631"/>
      <c r="E2514" s="631" t="s">
        <v>12717</v>
      </c>
      <c r="F2514" s="632">
        <v>0.02</v>
      </c>
      <c r="G2514" s="631"/>
      <c r="H2514" s="806" t="s">
        <v>12718</v>
      </c>
      <c r="I2514" s="806"/>
      <c r="J2514" s="632">
        <v>0.12</v>
      </c>
      <c r="K2514"/>
    </row>
    <row r="2515" spans="1:11" ht="24" customHeight="1" thickTop="1">
      <c r="A2515" s="633"/>
      <c r="B2515" s="633"/>
      <c r="C2515" s="633"/>
      <c r="D2515" s="633"/>
      <c r="E2515" s="633"/>
      <c r="F2515" s="633"/>
      <c r="G2515" s="633"/>
      <c r="H2515" s="633"/>
      <c r="I2515" s="633"/>
      <c r="J2515" s="633"/>
      <c r="K2515"/>
    </row>
    <row r="2516" spans="1:11" ht="15">
      <c r="A2516" s="613"/>
      <c r="B2516" s="614" t="s">
        <v>12698</v>
      </c>
      <c r="C2516" s="613" t="s">
        <v>12699</v>
      </c>
      <c r="D2516" s="613" t="s">
        <v>12700</v>
      </c>
      <c r="E2516" s="807" t="s">
        <v>12701</v>
      </c>
      <c r="F2516" s="808"/>
      <c r="G2516" s="615" t="s">
        <v>12702</v>
      </c>
      <c r="H2516" s="614" t="s">
        <v>12703</v>
      </c>
      <c r="I2516" s="614" t="s">
        <v>12704</v>
      </c>
      <c r="J2516" s="614" t="s">
        <v>12705</v>
      </c>
      <c r="K2516"/>
    </row>
    <row r="2517" spans="1:11" ht="15" customHeight="1">
      <c r="A2517" s="616" t="s">
        <v>12706</v>
      </c>
      <c r="B2517" s="617" t="s">
        <v>13223</v>
      </c>
      <c r="C2517" s="616" t="s">
        <v>8</v>
      </c>
      <c r="D2517" s="616" t="s">
        <v>3633</v>
      </c>
      <c r="E2517" s="809" t="s">
        <v>12707</v>
      </c>
      <c r="F2517" s="810"/>
      <c r="G2517" s="618" t="s">
        <v>23</v>
      </c>
      <c r="H2517" s="619">
        <v>1</v>
      </c>
      <c r="I2517" s="620">
        <v>0.23</v>
      </c>
      <c r="J2517" s="620">
        <v>0.23</v>
      </c>
      <c r="K2517"/>
    </row>
    <row r="2518" spans="1:11" ht="0.95" customHeight="1">
      <c r="A2518" s="626" t="s">
        <v>12709</v>
      </c>
      <c r="B2518" s="627" t="s">
        <v>13222</v>
      </c>
      <c r="C2518" s="626" t="s">
        <v>8</v>
      </c>
      <c r="D2518" s="626" t="s">
        <v>7364</v>
      </c>
      <c r="E2518" s="804" t="s">
        <v>12710</v>
      </c>
      <c r="F2518" s="805"/>
      <c r="G2518" s="628" t="s">
        <v>23</v>
      </c>
      <c r="H2518" s="629">
        <v>2.5700000000000001E-2</v>
      </c>
      <c r="I2518" s="630">
        <v>9.2899999999999991</v>
      </c>
      <c r="J2518" s="630">
        <v>0.23</v>
      </c>
      <c r="K2518"/>
    </row>
    <row r="2519" spans="1:11" ht="18" customHeight="1">
      <c r="A2519" s="631"/>
      <c r="B2519" s="631"/>
      <c r="C2519" s="631"/>
      <c r="D2519" s="631"/>
      <c r="E2519" s="631" t="s">
        <v>12714</v>
      </c>
      <c r="F2519" s="632">
        <v>0.1243378</v>
      </c>
      <c r="G2519" s="631" t="s">
        <v>12715</v>
      </c>
      <c r="H2519" s="632">
        <v>0.11</v>
      </c>
      <c r="I2519" s="631" t="s">
        <v>12716</v>
      </c>
      <c r="J2519" s="632">
        <v>0.23</v>
      </c>
      <c r="K2519"/>
    </row>
    <row r="2520" spans="1:11" ht="24" customHeight="1" thickBot="1">
      <c r="A2520" s="631"/>
      <c r="B2520" s="631"/>
      <c r="C2520" s="631"/>
      <c r="D2520" s="631"/>
      <c r="E2520" s="631" t="s">
        <v>12717</v>
      </c>
      <c r="F2520" s="632">
        <v>0.06</v>
      </c>
      <c r="G2520" s="631"/>
      <c r="H2520" s="806" t="s">
        <v>12718</v>
      </c>
      <c r="I2520" s="806"/>
      <c r="J2520" s="632">
        <v>0.28999999999999998</v>
      </c>
      <c r="K2520"/>
    </row>
    <row r="2521" spans="1:11" ht="24" customHeight="1" thickTop="1">
      <c r="A2521" s="633"/>
      <c r="B2521" s="633"/>
      <c r="C2521" s="633"/>
      <c r="D2521" s="633"/>
      <c r="E2521" s="633"/>
      <c r="F2521" s="633"/>
      <c r="G2521" s="633"/>
      <c r="H2521" s="633"/>
      <c r="I2521" s="633"/>
      <c r="J2521" s="633"/>
      <c r="K2521"/>
    </row>
    <row r="2522" spans="1:11" ht="15">
      <c r="A2522" s="613"/>
      <c r="B2522" s="614" t="s">
        <v>12698</v>
      </c>
      <c r="C2522" s="613" t="s">
        <v>12699</v>
      </c>
      <c r="D2522" s="613" t="s">
        <v>12700</v>
      </c>
      <c r="E2522" s="807" t="s">
        <v>12701</v>
      </c>
      <c r="F2522" s="808"/>
      <c r="G2522" s="615" t="s">
        <v>12702</v>
      </c>
      <c r="H2522" s="614" t="s">
        <v>12703</v>
      </c>
      <c r="I2522" s="614" t="s">
        <v>12704</v>
      </c>
      <c r="J2522" s="614" t="s">
        <v>12705</v>
      </c>
      <c r="K2522"/>
    </row>
    <row r="2523" spans="1:11" ht="15" customHeight="1">
      <c r="A2523" s="616" t="s">
        <v>12706</v>
      </c>
      <c r="B2523" s="617" t="s">
        <v>13221</v>
      </c>
      <c r="C2523" s="616" t="s">
        <v>8</v>
      </c>
      <c r="D2523" s="616" t="s">
        <v>3634</v>
      </c>
      <c r="E2523" s="809" t="s">
        <v>12707</v>
      </c>
      <c r="F2523" s="810"/>
      <c r="G2523" s="618" t="s">
        <v>23</v>
      </c>
      <c r="H2523" s="619">
        <v>1</v>
      </c>
      <c r="I2523" s="620">
        <v>0.11</v>
      </c>
      <c r="J2523" s="620">
        <v>0.11</v>
      </c>
      <c r="K2523"/>
    </row>
    <row r="2524" spans="1:11" ht="0.95" customHeight="1">
      <c r="A2524" s="626" t="s">
        <v>12709</v>
      </c>
      <c r="B2524" s="627" t="s">
        <v>13220</v>
      </c>
      <c r="C2524" s="626" t="s">
        <v>8</v>
      </c>
      <c r="D2524" s="626" t="s">
        <v>7592</v>
      </c>
      <c r="E2524" s="804" t="s">
        <v>12710</v>
      </c>
      <c r="F2524" s="805"/>
      <c r="G2524" s="628" t="s">
        <v>23</v>
      </c>
      <c r="H2524" s="629">
        <v>1.24E-2</v>
      </c>
      <c r="I2524" s="630">
        <v>9.36</v>
      </c>
      <c r="J2524" s="630">
        <v>0.11</v>
      </c>
      <c r="K2524"/>
    </row>
    <row r="2525" spans="1:11" ht="18" customHeight="1">
      <c r="A2525" s="631"/>
      <c r="B2525" s="631"/>
      <c r="C2525" s="631"/>
      <c r="D2525" s="631"/>
      <c r="E2525" s="631" t="s">
        <v>12714</v>
      </c>
      <c r="F2525" s="632">
        <v>5.9465900000000002E-2</v>
      </c>
      <c r="G2525" s="631" t="s">
        <v>12715</v>
      </c>
      <c r="H2525" s="632">
        <v>0.05</v>
      </c>
      <c r="I2525" s="631" t="s">
        <v>12716</v>
      </c>
      <c r="J2525" s="632">
        <v>0.11</v>
      </c>
      <c r="K2525"/>
    </row>
    <row r="2526" spans="1:11" ht="24" customHeight="1" thickBot="1">
      <c r="A2526" s="631"/>
      <c r="B2526" s="631"/>
      <c r="C2526" s="631"/>
      <c r="D2526" s="631"/>
      <c r="E2526" s="631" t="s">
        <v>12717</v>
      </c>
      <c r="F2526" s="632">
        <v>0.03</v>
      </c>
      <c r="G2526" s="631"/>
      <c r="H2526" s="806" t="s">
        <v>12718</v>
      </c>
      <c r="I2526" s="806"/>
      <c r="J2526" s="632">
        <v>0.14000000000000001</v>
      </c>
      <c r="K2526"/>
    </row>
    <row r="2527" spans="1:11" ht="24" customHeight="1" thickTop="1">
      <c r="A2527" s="633"/>
      <c r="B2527" s="633"/>
      <c r="C2527" s="633"/>
      <c r="D2527" s="633"/>
      <c r="E2527" s="633"/>
      <c r="F2527" s="633"/>
      <c r="G2527" s="633"/>
      <c r="H2527" s="633"/>
      <c r="I2527" s="633"/>
      <c r="J2527" s="633"/>
      <c r="K2527"/>
    </row>
    <row r="2528" spans="1:11" ht="15">
      <c r="A2528" s="613"/>
      <c r="B2528" s="614" t="s">
        <v>12698</v>
      </c>
      <c r="C2528" s="613" t="s">
        <v>12699</v>
      </c>
      <c r="D2528" s="613" t="s">
        <v>12700</v>
      </c>
      <c r="E2528" s="807" t="s">
        <v>12701</v>
      </c>
      <c r="F2528" s="808"/>
      <c r="G2528" s="615" t="s">
        <v>12702</v>
      </c>
      <c r="H2528" s="614" t="s">
        <v>12703</v>
      </c>
      <c r="I2528" s="614" t="s">
        <v>12704</v>
      </c>
      <c r="J2528" s="614" t="s">
        <v>12705</v>
      </c>
      <c r="K2528"/>
    </row>
    <row r="2529" spans="1:11" ht="15" customHeight="1">
      <c r="A2529" s="616" t="s">
        <v>12706</v>
      </c>
      <c r="B2529" s="617" t="s">
        <v>13219</v>
      </c>
      <c r="C2529" s="616" t="s">
        <v>8</v>
      </c>
      <c r="D2529" s="616" t="s">
        <v>3637</v>
      </c>
      <c r="E2529" s="809" t="s">
        <v>12707</v>
      </c>
      <c r="F2529" s="810"/>
      <c r="G2529" s="618" t="s">
        <v>23</v>
      </c>
      <c r="H2529" s="619">
        <v>1</v>
      </c>
      <c r="I2529" s="620">
        <v>7.0000000000000007E-2</v>
      </c>
      <c r="J2529" s="620">
        <v>7.0000000000000007E-2</v>
      </c>
      <c r="K2529"/>
    </row>
    <row r="2530" spans="1:11" ht="0.95" customHeight="1">
      <c r="A2530" s="626" t="s">
        <v>12709</v>
      </c>
      <c r="B2530" s="627" t="s">
        <v>13218</v>
      </c>
      <c r="C2530" s="626" t="s">
        <v>8</v>
      </c>
      <c r="D2530" s="626" t="s">
        <v>7372</v>
      </c>
      <c r="E2530" s="804" t="s">
        <v>12710</v>
      </c>
      <c r="F2530" s="805"/>
      <c r="G2530" s="628" t="s">
        <v>23</v>
      </c>
      <c r="H2530" s="629">
        <v>7.9000000000000008E-3</v>
      </c>
      <c r="I2530" s="630">
        <v>9.57</v>
      </c>
      <c r="J2530" s="630">
        <v>7.0000000000000007E-2</v>
      </c>
      <c r="K2530"/>
    </row>
    <row r="2531" spans="1:11" ht="18" customHeight="1">
      <c r="A2531" s="631"/>
      <c r="B2531" s="631"/>
      <c r="C2531" s="631"/>
      <c r="D2531" s="631"/>
      <c r="E2531" s="631" t="s">
        <v>12714</v>
      </c>
      <c r="F2531" s="632">
        <v>3.7841899999999998E-2</v>
      </c>
      <c r="G2531" s="631" t="s">
        <v>12715</v>
      </c>
      <c r="H2531" s="632">
        <v>0.03</v>
      </c>
      <c r="I2531" s="631" t="s">
        <v>12716</v>
      </c>
      <c r="J2531" s="632">
        <v>7.0000000000000007E-2</v>
      </c>
      <c r="K2531"/>
    </row>
    <row r="2532" spans="1:11" ht="24" customHeight="1" thickBot="1">
      <c r="A2532" s="631"/>
      <c r="B2532" s="631"/>
      <c r="C2532" s="631"/>
      <c r="D2532" s="631"/>
      <c r="E2532" s="631" t="s">
        <v>12717</v>
      </c>
      <c r="F2532" s="632">
        <v>0.01</v>
      </c>
      <c r="G2532" s="631"/>
      <c r="H2532" s="806" t="s">
        <v>12718</v>
      </c>
      <c r="I2532" s="806"/>
      <c r="J2532" s="632">
        <v>0.08</v>
      </c>
      <c r="K2532"/>
    </row>
    <row r="2533" spans="1:11" ht="24" customHeight="1" thickTop="1">
      <c r="A2533" s="633"/>
      <c r="B2533" s="633"/>
      <c r="C2533" s="633"/>
      <c r="D2533" s="633"/>
      <c r="E2533" s="633"/>
      <c r="F2533" s="633"/>
      <c r="G2533" s="633"/>
      <c r="H2533" s="633"/>
      <c r="I2533" s="633"/>
      <c r="J2533" s="633"/>
      <c r="K2533"/>
    </row>
    <row r="2534" spans="1:11" ht="15">
      <c r="A2534" s="613"/>
      <c r="B2534" s="614" t="s">
        <v>12698</v>
      </c>
      <c r="C2534" s="613" t="s">
        <v>12699</v>
      </c>
      <c r="D2534" s="613" t="s">
        <v>12700</v>
      </c>
      <c r="E2534" s="807" t="s">
        <v>12701</v>
      </c>
      <c r="F2534" s="808"/>
      <c r="G2534" s="615" t="s">
        <v>12702</v>
      </c>
      <c r="H2534" s="614" t="s">
        <v>12703</v>
      </c>
      <c r="I2534" s="614" t="s">
        <v>12704</v>
      </c>
      <c r="J2534" s="614" t="s">
        <v>12705</v>
      </c>
      <c r="K2534"/>
    </row>
    <row r="2535" spans="1:11" ht="15" customHeight="1">
      <c r="A2535" s="616" t="s">
        <v>12706</v>
      </c>
      <c r="B2535" s="617" t="s">
        <v>13217</v>
      </c>
      <c r="C2535" s="616" t="s">
        <v>8</v>
      </c>
      <c r="D2535" s="616" t="s">
        <v>3641</v>
      </c>
      <c r="E2535" s="809" t="s">
        <v>12707</v>
      </c>
      <c r="F2535" s="810"/>
      <c r="G2535" s="618" t="s">
        <v>23</v>
      </c>
      <c r="H2535" s="619">
        <v>1</v>
      </c>
      <c r="I2535" s="620">
        <v>0.13</v>
      </c>
      <c r="J2535" s="620">
        <v>0.13</v>
      </c>
      <c r="K2535"/>
    </row>
    <row r="2536" spans="1:11" ht="0.95" customHeight="1">
      <c r="A2536" s="626" t="s">
        <v>12709</v>
      </c>
      <c r="B2536" s="627" t="s">
        <v>13216</v>
      </c>
      <c r="C2536" s="626" t="s">
        <v>8</v>
      </c>
      <c r="D2536" s="626" t="s">
        <v>7609</v>
      </c>
      <c r="E2536" s="804" t="s">
        <v>12710</v>
      </c>
      <c r="F2536" s="805"/>
      <c r="G2536" s="628" t="s">
        <v>23</v>
      </c>
      <c r="H2536" s="629">
        <v>1.0200000000000001E-2</v>
      </c>
      <c r="I2536" s="630">
        <v>12.79</v>
      </c>
      <c r="J2536" s="630">
        <v>0.13</v>
      </c>
      <c r="K2536"/>
    </row>
    <row r="2537" spans="1:11" ht="18" customHeight="1">
      <c r="A2537" s="631"/>
      <c r="B2537" s="631"/>
      <c r="C2537" s="631"/>
      <c r="D2537" s="631"/>
      <c r="E2537" s="631" t="s">
        <v>12714</v>
      </c>
      <c r="F2537" s="632">
        <v>7.0277900000000004E-2</v>
      </c>
      <c r="G2537" s="631" t="s">
        <v>12715</v>
      </c>
      <c r="H2537" s="632">
        <v>0.06</v>
      </c>
      <c r="I2537" s="631" t="s">
        <v>12716</v>
      </c>
      <c r="J2537" s="632">
        <v>0.13</v>
      </c>
      <c r="K2537"/>
    </row>
    <row r="2538" spans="1:11" ht="24" customHeight="1" thickBot="1">
      <c r="A2538" s="631"/>
      <c r="B2538" s="631"/>
      <c r="C2538" s="631"/>
      <c r="D2538" s="631"/>
      <c r="E2538" s="631" t="s">
        <v>12717</v>
      </c>
      <c r="F2538" s="632">
        <v>0.03</v>
      </c>
      <c r="G2538" s="631"/>
      <c r="H2538" s="806" t="s">
        <v>12718</v>
      </c>
      <c r="I2538" s="806"/>
      <c r="J2538" s="632">
        <v>0.16</v>
      </c>
      <c r="K2538"/>
    </row>
    <row r="2539" spans="1:11" ht="24" customHeight="1" thickTop="1">
      <c r="A2539" s="633"/>
      <c r="B2539" s="633"/>
      <c r="C2539" s="633"/>
      <c r="D2539" s="633"/>
      <c r="E2539" s="633"/>
      <c r="F2539" s="633"/>
      <c r="G2539" s="633"/>
      <c r="H2539" s="633"/>
      <c r="I2539" s="633"/>
      <c r="J2539" s="633"/>
      <c r="K2539"/>
    </row>
    <row r="2540" spans="1:11" ht="15">
      <c r="A2540" s="613"/>
      <c r="B2540" s="614" t="s">
        <v>12698</v>
      </c>
      <c r="C2540" s="613" t="s">
        <v>12699</v>
      </c>
      <c r="D2540" s="613" t="s">
        <v>12700</v>
      </c>
      <c r="E2540" s="807" t="s">
        <v>12701</v>
      </c>
      <c r="F2540" s="808"/>
      <c r="G2540" s="615" t="s">
        <v>12702</v>
      </c>
      <c r="H2540" s="614" t="s">
        <v>12703</v>
      </c>
      <c r="I2540" s="614" t="s">
        <v>12704</v>
      </c>
      <c r="J2540" s="614" t="s">
        <v>12705</v>
      </c>
      <c r="K2540"/>
    </row>
    <row r="2541" spans="1:11" ht="15" customHeight="1">
      <c r="A2541" s="616" t="s">
        <v>12706</v>
      </c>
      <c r="B2541" s="617" t="s">
        <v>13215</v>
      </c>
      <c r="C2541" s="616" t="s">
        <v>8</v>
      </c>
      <c r="D2541" s="616" t="s">
        <v>3646</v>
      </c>
      <c r="E2541" s="809" t="s">
        <v>12707</v>
      </c>
      <c r="F2541" s="810"/>
      <c r="G2541" s="618" t="s">
        <v>23</v>
      </c>
      <c r="H2541" s="619">
        <v>1</v>
      </c>
      <c r="I2541" s="620">
        <v>0.14000000000000001</v>
      </c>
      <c r="J2541" s="620">
        <v>0.14000000000000001</v>
      </c>
      <c r="K2541"/>
    </row>
    <row r="2542" spans="1:11" ht="0.95" customHeight="1">
      <c r="A2542" s="626" t="s">
        <v>12709</v>
      </c>
      <c r="B2542" s="627" t="s">
        <v>13214</v>
      </c>
      <c r="C2542" s="626" t="s">
        <v>8</v>
      </c>
      <c r="D2542" s="626" t="s">
        <v>8291</v>
      </c>
      <c r="E2542" s="804" t="s">
        <v>12710</v>
      </c>
      <c r="F2542" s="805"/>
      <c r="G2542" s="628" t="s">
        <v>23</v>
      </c>
      <c r="H2542" s="629">
        <v>1.0200000000000001E-2</v>
      </c>
      <c r="I2542" s="630">
        <v>13.95</v>
      </c>
      <c r="J2542" s="630">
        <v>0.14000000000000001</v>
      </c>
      <c r="K2542"/>
    </row>
    <row r="2543" spans="1:11" ht="18" customHeight="1">
      <c r="A2543" s="631"/>
      <c r="B2543" s="631"/>
      <c r="C2543" s="631"/>
      <c r="D2543" s="631"/>
      <c r="E2543" s="631" t="s">
        <v>12714</v>
      </c>
      <c r="F2543" s="632">
        <v>7.5683899999999998E-2</v>
      </c>
      <c r="G2543" s="631" t="s">
        <v>12715</v>
      </c>
      <c r="H2543" s="632">
        <v>0.06</v>
      </c>
      <c r="I2543" s="631" t="s">
        <v>12716</v>
      </c>
      <c r="J2543" s="632">
        <v>0.14000000000000001</v>
      </c>
      <c r="K2543"/>
    </row>
    <row r="2544" spans="1:11" ht="24" customHeight="1" thickBot="1">
      <c r="A2544" s="631"/>
      <c r="B2544" s="631"/>
      <c r="C2544" s="631"/>
      <c r="D2544" s="631"/>
      <c r="E2544" s="631" t="s">
        <v>12717</v>
      </c>
      <c r="F2544" s="632">
        <v>0.03</v>
      </c>
      <c r="G2544" s="631"/>
      <c r="H2544" s="806" t="s">
        <v>12718</v>
      </c>
      <c r="I2544" s="806"/>
      <c r="J2544" s="632">
        <v>0.17</v>
      </c>
      <c r="K2544"/>
    </row>
    <row r="2545" spans="1:11" ht="24" customHeight="1" thickTop="1">
      <c r="A2545" s="633"/>
      <c r="B2545" s="633"/>
      <c r="C2545" s="633"/>
      <c r="D2545" s="633"/>
      <c r="E2545" s="633"/>
      <c r="F2545" s="633"/>
      <c r="G2545" s="633"/>
      <c r="H2545" s="633"/>
      <c r="I2545" s="633"/>
      <c r="J2545" s="633"/>
      <c r="K2545"/>
    </row>
    <row r="2546" spans="1:11" ht="15">
      <c r="A2546" s="613"/>
      <c r="B2546" s="614" t="s">
        <v>12698</v>
      </c>
      <c r="C2546" s="613" t="s">
        <v>12699</v>
      </c>
      <c r="D2546" s="613" t="s">
        <v>12700</v>
      </c>
      <c r="E2546" s="807" t="s">
        <v>12701</v>
      </c>
      <c r="F2546" s="808"/>
      <c r="G2546" s="615" t="s">
        <v>12702</v>
      </c>
      <c r="H2546" s="614" t="s">
        <v>12703</v>
      </c>
      <c r="I2546" s="614" t="s">
        <v>12704</v>
      </c>
      <c r="J2546" s="614" t="s">
        <v>12705</v>
      </c>
      <c r="K2546"/>
    </row>
    <row r="2547" spans="1:11" ht="15" customHeight="1">
      <c r="A2547" s="616" t="s">
        <v>12706</v>
      </c>
      <c r="B2547" s="617" t="s">
        <v>13213</v>
      </c>
      <c r="C2547" s="616" t="s">
        <v>8</v>
      </c>
      <c r="D2547" s="616" t="s">
        <v>3647</v>
      </c>
      <c r="E2547" s="809" t="s">
        <v>12707</v>
      </c>
      <c r="F2547" s="810"/>
      <c r="G2547" s="618" t="s">
        <v>23</v>
      </c>
      <c r="H2547" s="619">
        <v>1</v>
      </c>
      <c r="I2547" s="620">
        <v>0.1</v>
      </c>
      <c r="J2547" s="620">
        <v>0.1</v>
      </c>
      <c r="K2547"/>
    </row>
    <row r="2548" spans="1:11" ht="0.95" customHeight="1">
      <c r="A2548" s="626" t="s">
        <v>12709</v>
      </c>
      <c r="B2548" s="627" t="s">
        <v>13212</v>
      </c>
      <c r="C2548" s="626" t="s">
        <v>8</v>
      </c>
      <c r="D2548" s="626" t="s">
        <v>8293</v>
      </c>
      <c r="E2548" s="804" t="s">
        <v>12710</v>
      </c>
      <c r="F2548" s="805"/>
      <c r="G2548" s="628" t="s">
        <v>23</v>
      </c>
      <c r="H2548" s="629">
        <v>7.9000000000000008E-3</v>
      </c>
      <c r="I2548" s="630">
        <v>12.79</v>
      </c>
      <c r="J2548" s="630">
        <v>0.1</v>
      </c>
      <c r="K2548"/>
    </row>
    <row r="2549" spans="1:11" ht="18" customHeight="1">
      <c r="A2549" s="631"/>
      <c r="B2549" s="631"/>
      <c r="C2549" s="631"/>
      <c r="D2549" s="631"/>
      <c r="E2549" s="631" t="s">
        <v>12714</v>
      </c>
      <c r="F2549" s="632">
        <v>5.4059900000000001E-2</v>
      </c>
      <c r="G2549" s="631" t="s">
        <v>12715</v>
      </c>
      <c r="H2549" s="632">
        <v>0.05</v>
      </c>
      <c r="I2549" s="631" t="s">
        <v>12716</v>
      </c>
      <c r="J2549" s="632">
        <v>0.1</v>
      </c>
      <c r="K2549"/>
    </row>
    <row r="2550" spans="1:11" ht="24" customHeight="1" thickBot="1">
      <c r="A2550" s="631"/>
      <c r="B2550" s="631"/>
      <c r="C2550" s="631"/>
      <c r="D2550" s="631"/>
      <c r="E2550" s="631" t="s">
        <v>12717</v>
      </c>
      <c r="F2550" s="632">
        <v>0.02</v>
      </c>
      <c r="G2550" s="631"/>
      <c r="H2550" s="806" t="s">
        <v>12718</v>
      </c>
      <c r="I2550" s="806"/>
      <c r="J2550" s="632">
        <v>0.12</v>
      </c>
      <c r="K2550"/>
    </row>
    <row r="2551" spans="1:11" ht="24" customHeight="1" thickTop="1">
      <c r="A2551" s="633"/>
      <c r="B2551" s="633"/>
      <c r="C2551" s="633"/>
      <c r="D2551" s="633"/>
      <c r="E2551" s="633"/>
      <c r="F2551" s="633"/>
      <c r="G2551" s="633"/>
      <c r="H2551" s="633"/>
      <c r="I2551" s="633"/>
      <c r="J2551" s="633"/>
      <c r="K2551"/>
    </row>
    <row r="2552" spans="1:11" ht="15">
      <c r="A2552" s="613"/>
      <c r="B2552" s="614" t="s">
        <v>12698</v>
      </c>
      <c r="C2552" s="613" t="s">
        <v>12699</v>
      </c>
      <c r="D2552" s="613" t="s">
        <v>12700</v>
      </c>
      <c r="E2552" s="807" t="s">
        <v>12701</v>
      </c>
      <c r="F2552" s="808"/>
      <c r="G2552" s="615" t="s">
        <v>12702</v>
      </c>
      <c r="H2552" s="614" t="s">
        <v>12703</v>
      </c>
      <c r="I2552" s="614" t="s">
        <v>12704</v>
      </c>
      <c r="J2552" s="614" t="s">
        <v>12705</v>
      </c>
      <c r="K2552"/>
    </row>
    <row r="2553" spans="1:11" ht="15" customHeight="1">
      <c r="A2553" s="616" t="s">
        <v>12706</v>
      </c>
      <c r="B2553" s="617" t="s">
        <v>13205</v>
      </c>
      <c r="C2553" s="616" t="s">
        <v>8</v>
      </c>
      <c r="D2553" s="616" t="s">
        <v>3649</v>
      </c>
      <c r="E2553" s="809" t="s">
        <v>12707</v>
      </c>
      <c r="F2553" s="810"/>
      <c r="G2553" s="618" t="s">
        <v>23</v>
      </c>
      <c r="H2553" s="619">
        <v>1</v>
      </c>
      <c r="I2553" s="620">
        <v>0.34</v>
      </c>
      <c r="J2553" s="620">
        <v>0.34</v>
      </c>
      <c r="K2553"/>
    </row>
    <row r="2554" spans="1:11" ht="0.95" customHeight="1">
      <c r="A2554" s="626" t="s">
        <v>12709</v>
      </c>
      <c r="B2554" s="627" t="s">
        <v>13204</v>
      </c>
      <c r="C2554" s="626" t="s">
        <v>8</v>
      </c>
      <c r="D2554" s="626" t="s">
        <v>9112</v>
      </c>
      <c r="E2554" s="804" t="s">
        <v>12710</v>
      </c>
      <c r="F2554" s="805"/>
      <c r="G2554" s="628" t="s">
        <v>23</v>
      </c>
      <c r="H2554" s="629">
        <v>2.5700000000000001E-2</v>
      </c>
      <c r="I2554" s="630">
        <v>13.23</v>
      </c>
      <c r="J2554" s="630">
        <v>0.34</v>
      </c>
      <c r="K2554"/>
    </row>
    <row r="2555" spans="1:11" ht="18" customHeight="1">
      <c r="A2555" s="631"/>
      <c r="B2555" s="631"/>
      <c r="C2555" s="631"/>
      <c r="D2555" s="631"/>
      <c r="E2555" s="631" t="s">
        <v>12714</v>
      </c>
      <c r="F2555" s="632">
        <v>0.18380369999999999</v>
      </c>
      <c r="G2555" s="631" t="s">
        <v>12715</v>
      </c>
      <c r="H2555" s="632">
        <v>0.16</v>
      </c>
      <c r="I2555" s="631" t="s">
        <v>12716</v>
      </c>
      <c r="J2555" s="632">
        <v>0.34</v>
      </c>
      <c r="K2555"/>
    </row>
    <row r="2556" spans="1:11" ht="24" customHeight="1" thickBot="1">
      <c r="A2556" s="631"/>
      <c r="B2556" s="631"/>
      <c r="C2556" s="631"/>
      <c r="D2556" s="631"/>
      <c r="E2556" s="631" t="s">
        <v>12717</v>
      </c>
      <c r="F2556" s="632">
        <v>0.09</v>
      </c>
      <c r="G2556" s="631"/>
      <c r="H2556" s="806" t="s">
        <v>12718</v>
      </c>
      <c r="I2556" s="806"/>
      <c r="J2556" s="632">
        <v>0.43</v>
      </c>
      <c r="K2556"/>
    </row>
    <row r="2557" spans="1:11" ht="24" customHeight="1" thickTop="1">
      <c r="A2557" s="633"/>
      <c r="B2557" s="633"/>
      <c r="C2557" s="633"/>
      <c r="D2557" s="633"/>
      <c r="E2557" s="633"/>
      <c r="F2557" s="633"/>
      <c r="G2557" s="633"/>
      <c r="H2557" s="633"/>
      <c r="I2557" s="633"/>
      <c r="J2557" s="633"/>
      <c r="K2557"/>
    </row>
    <row r="2558" spans="1:11" ht="15">
      <c r="A2558" s="613"/>
      <c r="B2558" s="614" t="s">
        <v>12698</v>
      </c>
      <c r="C2558" s="613" t="s">
        <v>12699</v>
      </c>
      <c r="D2558" s="613" t="s">
        <v>12700</v>
      </c>
      <c r="E2558" s="807" t="s">
        <v>12701</v>
      </c>
      <c r="F2558" s="808"/>
      <c r="G2558" s="615" t="s">
        <v>12702</v>
      </c>
      <c r="H2558" s="614" t="s">
        <v>12703</v>
      </c>
      <c r="I2558" s="614" t="s">
        <v>12704</v>
      </c>
      <c r="J2558" s="614" t="s">
        <v>12705</v>
      </c>
      <c r="K2558"/>
    </row>
    <row r="2559" spans="1:11" ht="15" customHeight="1">
      <c r="A2559" s="616" t="s">
        <v>12706</v>
      </c>
      <c r="B2559" s="617" t="s">
        <v>13203</v>
      </c>
      <c r="C2559" s="616" t="s">
        <v>8</v>
      </c>
      <c r="D2559" s="616" t="s">
        <v>3652</v>
      </c>
      <c r="E2559" s="809" t="s">
        <v>12707</v>
      </c>
      <c r="F2559" s="810"/>
      <c r="G2559" s="618" t="s">
        <v>23</v>
      </c>
      <c r="H2559" s="619">
        <v>1</v>
      </c>
      <c r="I2559" s="620">
        <v>0.16</v>
      </c>
      <c r="J2559" s="620">
        <v>0.16</v>
      </c>
      <c r="K2559"/>
    </row>
    <row r="2560" spans="1:11" ht="0.95" customHeight="1">
      <c r="A2560" s="626" t="s">
        <v>12709</v>
      </c>
      <c r="B2560" s="627" t="s">
        <v>13202</v>
      </c>
      <c r="C2560" s="626" t="s">
        <v>8</v>
      </c>
      <c r="D2560" s="626" t="s">
        <v>9187</v>
      </c>
      <c r="E2560" s="804" t="s">
        <v>12710</v>
      </c>
      <c r="F2560" s="805"/>
      <c r="G2560" s="628" t="s">
        <v>23</v>
      </c>
      <c r="H2560" s="629">
        <v>1.24E-2</v>
      </c>
      <c r="I2560" s="630">
        <v>13.23</v>
      </c>
      <c r="J2560" s="630">
        <v>0.16</v>
      </c>
      <c r="K2560"/>
    </row>
    <row r="2561" spans="1:11" ht="18" customHeight="1">
      <c r="A2561" s="631"/>
      <c r="B2561" s="631"/>
      <c r="C2561" s="631"/>
      <c r="D2561" s="631"/>
      <c r="E2561" s="631" t="s">
        <v>12714</v>
      </c>
      <c r="F2561" s="632">
        <v>8.6495799999999998E-2</v>
      </c>
      <c r="G2561" s="631" t="s">
        <v>12715</v>
      </c>
      <c r="H2561" s="632">
        <v>7.0000000000000007E-2</v>
      </c>
      <c r="I2561" s="631" t="s">
        <v>12716</v>
      </c>
      <c r="J2561" s="632">
        <v>0.16</v>
      </c>
      <c r="K2561"/>
    </row>
    <row r="2562" spans="1:11" ht="24" customHeight="1" thickBot="1">
      <c r="A2562" s="631"/>
      <c r="B2562" s="631"/>
      <c r="C2562" s="631"/>
      <c r="D2562" s="631"/>
      <c r="E2562" s="631" t="s">
        <v>12717</v>
      </c>
      <c r="F2562" s="632">
        <v>0.04</v>
      </c>
      <c r="G2562" s="631"/>
      <c r="H2562" s="806" t="s">
        <v>12718</v>
      </c>
      <c r="I2562" s="806"/>
      <c r="J2562" s="632">
        <v>0.2</v>
      </c>
      <c r="K2562"/>
    </row>
    <row r="2563" spans="1:11" ht="24" customHeight="1" thickTop="1">
      <c r="A2563" s="633"/>
      <c r="B2563" s="633"/>
      <c r="C2563" s="633"/>
      <c r="D2563" s="633"/>
      <c r="E2563" s="633"/>
      <c r="F2563" s="633"/>
      <c r="G2563" s="633"/>
      <c r="H2563" s="633"/>
      <c r="I2563" s="633"/>
      <c r="J2563" s="633"/>
      <c r="K2563"/>
    </row>
    <row r="2564" spans="1:11" ht="15">
      <c r="A2564" s="613"/>
      <c r="B2564" s="614" t="s">
        <v>12698</v>
      </c>
      <c r="C2564" s="613" t="s">
        <v>12699</v>
      </c>
      <c r="D2564" s="613" t="s">
        <v>12700</v>
      </c>
      <c r="E2564" s="807" t="s">
        <v>12701</v>
      </c>
      <c r="F2564" s="808"/>
      <c r="G2564" s="615" t="s">
        <v>12702</v>
      </c>
      <c r="H2564" s="614" t="s">
        <v>12703</v>
      </c>
      <c r="I2564" s="614" t="s">
        <v>12704</v>
      </c>
      <c r="J2564" s="614" t="s">
        <v>12705</v>
      </c>
      <c r="K2564"/>
    </row>
    <row r="2565" spans="1:11" ht="15" customHeight="1">
      <c r="A2565" s="616" t="s">
        <v>12706</v>
      </c>
      <c r="B2565" s="617" t="s">
        <v>13211</v>
      </c>
      <c r="C2565" s="616" t="s">
        <v>8</v>
      </c>
      <c r="D2565" s="616" t="s">
        <v>3731</v>
      </c>
      <c r="E2565" s="809" t="s">
        <v>12707</v>
      </c>
      <c r="F2565" s="810"/>
      <c r="G2565" s="618" t="s">
        <v>96</v>
      </c>
      <c r="H2565" s="619">
        <v>1</v>
      </c>
      <c r="I2565" s="620">
        <v>34</v>
      </c>
      <c r="J2565" s="620">
        <v>34</v>
      </c>
      <c r="K2565"/>
    </row>
    <row r="2566" spans="1:11" ht="0.95" customHeight="1">
      <c r="A2566" s="626" t="s">
        <v>12709</v>
      </c>
      <c r="B2566" s="627" t="s">
        <v>13210</v>
      </c>
      <c r="C2566" s="626" t="s">
        <v>8</v>
      </c>
      <c r="D2566" s="626" t="s">
        <v>9190</v>
      </c>
      <c r="E2566" s="804" t="s">
        <v>12710</v>
      </c>
      <c r="F2566" s="805"/>
      <c r="G2566" s="628" t="s">
        <v>96</v>
      </c>
      <c r="H2566" s="629">
        <v>1.12E-2</v>
      </c>
      <c r="I2566" s="630">
        <v>3036.04</v>
      </c>
      <c r="J2566" s="630">
        <v>34</v>
      </c>
      <c r="K2566"/>
    </row>
    <row r="2567" spans="1:11" ht="18" customHeight="1">
      <c r="A2567" s="631"/>
      <c r="B2567" s="631"/>
      <c r="C2567" s="631"/>
      <c r="D2567" s="631"/>
      <c r="E2567" s="631" t="s">
        <v>12714</v>
      </c>
      <c r="F2567" s="632">
        <v>18.380365399999999</v>
      </c>
      <c r="G2567" s="631" t="s">
        <v>12715</v>
      </c>
      <c r="H2567" s="632">
        <v>15.62</v>
      </c>
      <c r="I2567" s="631" t="s">
        <v>12716</v>
      </c>
      <c r="J2567" s="632">
        <v>34</v>
      </c>
      <c r="K2567"/>
    </row>
    <row r="2568" spans="1:11" ht="24" customHeight="1" thickBot="1">
      <c r="A2568" s="631"/>
      <c r="B2568" s="631"/>
      <c r="C2568" s="631"/>
      <c r="D2568" s="631"/>
      <c r="E2568" s="631" t="s">
        <v>12717</v>
      </c>
      <c r="F2568" s="632">
        <v>9.6</v>
      </c>
      <c r="G2568" s="631"/>
      <c r="H2568" s="806" t="s">
        <v>12718</v>
      </c>
      <c r="I2568" s="806"/>
      <c r="J2568" s="632">
        <v>43.6</v>
      </c>
      <c r="K2568"/>
    </row>
    <row r="2569" spans="1:11" ht="24" customHeight="1" thickTop="1">
      <c r="A2569" s="633"/>
      <c r="B2569" s="633"/>
      <c r="C2569" s="633"/>
      <c r="D2569" s="633"/>
      <c r="E2569" s="633"/>
      <c r="F2569" s="633"/>
      <c r="G2569" s="633"/>
      <c r="H2569" s="633"/>
      <c r="I2569" s="633"/>
      <c r="J2569" s="633"/>
      <c r="K2569"/>
    </row>
    <row r="2570" spans="1:11" ht="15">
      <c r="A2570" s="613"/>
      <c r="B2570" s="614" t="s">
        <v>12698</v>
      </c>
      <c r="C2570" s="613" t="s">
        <v>12699</v>
      </c>
      <c r="D2570" s="613" t="s">
        <v>12700</v>
      </c>
      <c r="E2570" s="807" t="s">
        <v>12701</v>
      </c>
      <c r="F2570" s="808"/>
      <c r="G2570" s="615" t="s">
        <v>12702</v>
      </c>
      <c r="H2570" s="614" t="s">
        <v>12703</v>
      </c>
      <c r="I2570" s="614" t="s">
        <v>12704</v>
      </c>
      <c r="J2570" s="614" t="s">
        <v>12705</v>
      </c>
      <c r="K2570"/>
    </row>
    <row r="2571" spans="1:11" ht="15" customHeight="1">
      <c r="A2571" s="616" t="s">
        <v>12706</v>
      </c>
      <c r="B2571" s="617" t="s">
        <v>13209</v>
      </c>
      <c r="C2571" s="616" t="s">
        <v>8</v>
      </c>
      <c r="D2571" s="616" t="s">
        <v>3711</v>
      </c>
      <c r="E2571" s="809" t="s">
        <v>12707</v>
      </c>
      <c r="F2571" s="810"/>
      <c r="G2571" s="618" t="s">
        <v>23</v>
      </c>
      <c r="H2571" s="619">
        <v>1</v>
      </c>
      <c r="I2571" s="620">
        <v>0.78</v>
      </c>
      <c r="J2571" s="620">
        <v>0.78</v>
      </c>
      <c r="K2571"/>
    </row>
    <row r="2572" spans="1:11" ht="0.95" customHeight="1">
      <c r="A2572" s="626" t="s">
        <v>12709</v>
      </c>
      <c r="B2572" s="627" t="s">
        <v>13208</v>
      </c>
      <c r="C2572" s="626" t="s">
        <v>8</v>
      </c>
      <c r="D2572" s="626" t="s">
        <v>9198</v>
      </c>
      <c r="E2572" s="804" t="s">
        <v>12710</v>
      </c>
      <c r="F2572" s="805"/>
      <c r="G2572" s="628" t="s">
        <v>23</v>
      </c>
      <c r="H2572" s="629">
        <v>1.0200000000000001E-2</v>
      </c>
      <c r="I2572" s="630">
        <v>77.39</v>
      </c>
      <c r="J2572" s="630">
        <v>0.78</v>
      </c>
      <c r="K2572"/>
    </row>
    <row r="2573" spans="1:11" ht="18" customHeight="1">
      <c r="A2573" s="631"/>
      <c r="B2573" s="631"/>
      <c r="C2573" s="631"/>
      <c r="D2573" s="631"/>
      <c r="E2573" s="631" t="s">
        <v>12714</v>
      </c>
      <c r="F2573" s="632">
        <v>0.42166720000000002</v>
      </c>
      <c r="G2573" s="631" t="s">
        <v>12715</v>
      </c>
      <c r="H2573" s="632">
        <v>0.36</v>
      </c>
      <c r="I2573" s="631" t="s">
        <v>12716</v>
      </c>
      <c r="J2573" s="632">
        <v>0.78</v>
      </c>
      <c r="K2573"/>
    </row>
    <row r="2574" spans="1:11" ht="24" customHeight="1" thickBot="1">
      <c r="A2574" s="631"/>
      <c r="B2574" s="631"/>
      <c r="C2574" s="631"/>
      <c r="D2574" s="631"/>
      <c r="E2574" s="631" t="s">
        <v>12717</v>
      </c>
      <c r="F2574" s="632">
        <v>0.22</v>
      </c>
      <c r="G2574" s="631"/>
      <c r="H2574" s="806" t="s">
        <v>12718</v>
      </c>
      <c r="I2574" s="806"/>
      <c r="J2574" s="632">
        <v>1</v>
      </c>
      <c r="K2574"/>
    </row>
    <row r="2575" spans="1:11" ht="24" customHeight="1" thickTop="1">
      <c r="A2575" s="633"/>
      <c r="B2575" s="633"/>
      <c r="C2575" s="633"/>
      <c r="D2575" s="633"/>
      <c r="E2575" s="633"/>
      <c r="F2575" s="633"/>
      <c r="G2575" s="633"/>
      <c r="H2575" s="633"/>
      <c r="I2575" s="633"/>
      <c r="J2575" s="633"/>
      <c r="K2575"/>
    </row>
    <row r="2576" spans="1:11" ht="15">
      <c r="A2576" s="613"/>
      <c r="B2576" s="614" t="s">
        <v>12698</v>
      </c>
      <c r="C2576" s="613" t="s">
        <v>12699</v>
      </c>
      <c r="D2576" s="613" t="s">
        <v>12700</v>
      </c>
      <c r="E2576" s="807" t="s">
        <v>12701</v>
      </c>
      <c r="F2576" s="808"/>
      <c r="G2576" s="615" t="s">
        <v>12702</v>
      </c>
      <c r="H2576" s="614" t="s">
        <v>12703</v>
      </c>
      <c r="I2576" s="614" t="s">
        <v>12704</v>
      </c>
      <c r="J2576" s="614" t="s">
        <v>12705</v>
      </c>
      <c r="K2576"/>
    </row>
    <row r="2577" spans="1:11" ht="15" customHeight="1">
      <c r="A2577" s="616" t="s">
        <v>12706</v>
      </c>
      <c r="B2577" s="617" t="s">
        <v>13171</v>
      </c>
      <c r="C2577" s="616" t="s">
        <v>8</v>
      </c>
      <c r="D2577" s="616" t="s">
        <v>3654</v>
      </c>
      <c r="E2577" s="809" t="s">
        <v>12707</v>
      </c>
      <c r="F2577" s="810"/>
      <c r="G2577" s="618" t="s">
        <v>23</v>
      </c>
      <c r="H2577" s="619">
        <v>1</v>
      </c>
      <c r="I2577" s="620">
        <v>0.19</v>
      </c>
      <c r="J2577" s="620">
        <v>0.19</v>
      </c>
      <c r="K2577"/>
    </row>
    <row r="2578" spans="1:11" ht="0.95" customHeight="1">
      <c r="A2578" s="626" t="s">
        <v>12709</v>
      </c>
      <c r="B2578" s="627" t="s">
        <v>13170</v>
      </c>
      <c r="C2578" s="626" t="s">
        <v>8</v>
      </c>
      <c r="D2578" s="626" t="s">
        <v>9625</v>
      </c>
      <c r="E2578" s="804" t="s">
        <v>12710</v>
      </c>
      <c r="F2578" s="805"/>
      <c r="G2578" s="628" t="s">
        <v>23</v>
      </c>
      <c r="H2578" s="629">
        <v>1.46E-2</v>
      </c>
      <c r="I2578" s="630">
        <v>13.54</v>
      </c>
      <c r="J2578" s="630">
        <v>0.19</v>
      </c>
      <c r="K2578"/>
    </row>
    <row r="2579" spans="1:11" ht="18" customHeight="1">
      <c r="A2579" s="631"/>
      <c r="B2579" s="631"/>
      <c r="C2579" s="631"/>
      <c r="D2579" s="631"/>
      <c r="E2579" s="631" t="s">
        <v>12714</v>
      </c>
      <c r="F2579" s="632">
        <v>0.10271379999999999</v>
      </c>
      <c r="G2579" s="631" t="s">
        <v>12715</v>
      </c>
      <c r="H2579" s="632">
        <v>0.09</v>
      </c>
      <c r="I2579" s="631" t="s">
        <v>12716</v>
      </c>
      <c r="J2579" s="632">
        <v>0.19</v>
      </c>
      <c r="K2579"/>
    </row>
    <row r="2580" spans="1:11" ht="24" customHeight="1" thickBot="1">
      <c r="A2580" s="631"/>
      <c r="B2580" s="631"/>
      <c r="C2580" s="631"/>
      <c r="D2580" s="631"/>
      <c r="E2580" s="631" t="s">
        <v>12717</v>
      </c>
      <c r="F2580" s="632">
        <v>0.05</v>
      </c>
      <c r="G2580" s="631"/>
      <c r="H2580" s="806" t="s">
        <v>12718</v>
      </c>
      <c r="I2580" s="806"/>
      <c r="J2580" s="632">
        <v>0.24</v>
      </c>
      <c r="K2580"/>
    </row>
    <row r="2581" spans="1:11" ht="24" customHeight="1" thickTop="1">
      <c r="A2581" s="633"/>
      <c r="B2581" s="633"/>
      <c r="C2581" s="633"/>
      <c r="D2581" s="633"/>
      <c r="E2581" s="633"/>
      <c r="F2581" s="633"/>
      <c r="G2581" s="633"/>
      <c r="H2581" s="633"/>
      <c r="I2581" s="633"/>
      <c r="J2581" s="633"/>
      <c r="K2581"/>
    </row>
    <row r="2582" spans="1:11" ht="15">
      <c r="A2582" s="613"/>
      <c r="B2582" s="614" t="s">
        <v>12698</v>
      </c>
      <c r="C2582" s="613" t="s">
        <v>12699</v>
      </c>
      <c r="D2582" s="613" t="s">
        <v>12700</v>
      </c>
      <c r="E2582" s="807" t="s">
        <v>12701</v>
      </c>
      <c r="F2582" s="808"/>
      <c r="G2582" s="615" t="s">
        <v>12702</v>
      </c>
      <c r="H2582" s="614" t="s">
        <v>12703</v>
      </c>
      <c r="I2582" s="614" t="s">
        <v>12704</v>
      </c>
      <c r="J2582" s="614" t="s">
        <v>12705</v>
      </c>
      <c r="K2582"/>
    </row>
    <row r="2583" spans="1:11" ht="15" customHeight="1">
      <c r="A2583" s="616" t="s">
        <v>12706</v>
      </c>
      <c r="B2583" s="617" t="s">
        <v>13159</v>
      </c>
      <c r="C2583" s="616" t="s">
        <v>8</v>
      </c>
      <c r="D2583" s="616" t="s">
        <v>3699</v>
      </c>
      <c r="E2583" s="809" t="s">
        <v>12707</v>
      </c>
      <c r="F2583" s="810"/>
      <c r="G2583" s="618" t="s">
        <v>23</v>
      </c>
      <c r="H2583" s="619">
        <v>1</v>
      </c>
      <c r="I2583" s="620">
        <v>0.04</v>
      </c>
      <c r="J2583" s="620">
        <v>0.04</v>
      </c>
      <c r="K2583"/>
    </row>
    <row r="2584" spans="1:11" ht="0.95" customHeight="1">
      <c r="A2584" s="626" t="s">
        <v>12709</v>
      </c>
      <c r="B2584" s="627" t="s">
        <v>13158</v>
      </c>
      <c r="C2584" s="626" t="s">
        <v>8</v>
      </c>
      <c r="D2584" s="626" t="s">
        <v>9691</v>
      </c>
      <c r="E2584" s="804" t="s">
        <v>12710</v>
      </c>
      <c r="F2584" s="805"/>
      <c r="G2584" s="628" t="s">
        <v>23</v>
      </c>
      <c r="H2584" s="629">
        <v>3.5000000000000001E-3</v>
      </c>
      <c r="I2584" s="630">
        <v>12.36</v>
      </c>
      <c r="J2584" s="630">
        <v>0.04</v>
      </c>
      <c r="K2584"/>
    </row>
    <row r="2585" spans="1:11" ht="18" customHeight="1">
      <c r="A2585" s="631"/>
      <c r="B2585" s="631"/>
      <c r="C2585" s="631"/>
      <c r="D2585" s="631"/>
      <c r="E2585" s="631" t="s">
        <v>12714</v>
      </c>
      <c r="F2585" s="632">
        <v>2.1624000000000001E-2</v>
      </c>
      <c r="G2585" s="631" t="s">
        <v>12715</v>
      </c>
      <c r="H2585" s="632">
        <v>0.02</v>
      </c>
      <c r="I2585" s="631" t="s">
        <v>12716</v>
      </c>
      <c r="J2585" s="632">
        <v>0.04</v>
      </c>
      <c r="K2585"/>
    </row>
    <row r="2586" spans="1:11" ht="24" customHeight="1" thickBot="1">
      <c r="A2586" s="631"/>
      <c r="B2586" s="631"/>
      <c r="C2586" s="631"/>
      <c r="D2586" s="631"/>
      <c r="E2586" s="631" t="s">
        <v>12717</v>
      </c>
      <c r="F2586" s="632">
        <v>0.01</v>
      </c>
      <c r="G2586" s="631"/>
      <c r="H2586" s="806" t="s">
        <v>12718</v>
      </c>
      <c r="I2586" s="806"/>
      <c r="J2586" s="632">
        <v>0.05</v>
      </c>
      <c r="K2586"/>
    </row>
    <row r="2587" spans="1:11" ht="24" customHeight="1" thickTop="1">
      <c r="A2587" s="633"/>
      <c r="B2587" s="633"/>
      <c r="C2587" s="633"/>
      <c r="D2587" s="633"/>
      <c r="E2587" s="633"/>
      <c r="F2587" s="633"/>
      <c r="G2587" s="633"/>
      <c r="H2587" s="633"/>
      <c r="I2587" s="633"/>
      <c r="J2587" s="633"/>
      <c r="K2587"/>
    </row>
    <row r="2588" spans="1:11" ht="15">
      <c r="A2588" s="613"/>
      <c r="B2588" s="614" t="s">
        <v>12698</v>
      </c>
      <c r="C2588" s="613" t="s">
        <v>12699</v>
      </c>
      <c r="D2588" s="613" t="s">
        <v>12700</v>
      </c>
      <c r="E2588" s="807" t="s">
        <v>12701</v>
      </c>
      <c r="F2588" s="808"/>
      <c r="G2588" s="615" t="s">
        <v>12702</v>
      </c>
      <c r="H2588" s="614" t="s">
        <v>12703</v>
      </c>
      <c r="I2588" s="614" t="s">
        <v>12704</v>
      </c>
      <c r="J2588" s="614" t="s">
        <v>12705</v>
      </c>
      <c r="K2588"/>
    </row>
    <row r="2589" spans="1:11" ht="15" customHeight="1">
      <c r="A2589" s="616" t="s">
        <v>12706</v>
      </c>
      <c r="B2589" s="617" t="s">
        <v>13147</v>
      </c>
      <c r="C2589" s="616" t="s">
        <v>8</v>
      </c>
      <c r="D2589" s="616" t="s">
        <v>3657</v>
      </c>
      <c r="E2589" s="809" t="s">
        <v>12707</v>
      </c>
      <c r="F2589" s="810"/>
      <c r="G2589" s="618" t="s">
        <v>23</v>
      </c>
      <c r="H2589" s="619">
        <v>1</v>
      </c>
      <c r="I2589" s="620">
        <v>0.13</v>
      </c>
      <c r="J2589" s="620">
        <v>0.13</v>
      </c>
      <c r="K2589"/>
    </row>
    <row r="2590" spans="1:11" ht="0.95" customHeight="1">
      <c r="A2590" s="626" t="s">
        <v>12709</v>
      </c>
      <c r="B2590" s="627" t="s">
        <v>13146</v>
      </c>
      <c r="C2590" s="626" t="s">
        <v>8</v>
      </c>
      <c r="D2590" s="626" t="s">
        <v>10362</v>
      </c>
      <c r="E2590" s="804" t="s">
        <v>12710</v>
      </c>
      <c r="F2590" s="805"/>
      <c r="G2590" s="628" t="s">
        <v>23</v>
      </c>
      <c r="H2590" s="629">
        <v>1.0200000000000001E-2</v>
      </c>
      <c r="I2590" s="630">
        <v>13.06</v>
      </c>
      <c r="J2590" s="630">
        <v>0.13</v>
      </c>
      <c r="K2590"/>
    </row>
    <row r="2591" spans="1:11" ht="18" customHeight="1">
      <c r="A2591" s="631"/>
      <c r="B2591" s="631"/>
      <c r="C2591" s="631"/>
      <c r="D2591" s="631"/>
      <c r="E2591" s="631" t="s">
        <v>12714</v>
      </c>
      <c r="F2591" s="632">
        <v>7.0277900000000004E-2</v>
      </c>
      <c r="G2591" s="631" t="s">
        <v>12715</v>
      </c>
      <c r="H2591" s="632">
        <v>0.06</v>
      </c>
      <c r="I2591" s="631" t="s">
        <v>12716</v>
      </c>
      <c r="J2591" s="632">
        <v>0.13</v>
      </c>
      <c r="K2591"/>
    </row>
    <row r="2592" spans="1:11" ht="24" customHeight="1" thickBot="1">
      <c r="A2592" s="631"/>
      <c r="B2592" s="631"/>
      <c r="C2592" s="631"/>
      <c r="D2592" s="631"/>
      <c r="E2592" s="631" t="s">
        <v>12717</v>
      </c>
      <c r="F2592" s="632">
        <v>0.03</v>
      </c>
      <c r="G2592" s="631"/>
      <c r="H2592" s="806" t="s">
        <v>12718</v>
      </c>
      <c r="I2592" s="806"/>
      <c r="J2592" s="632">
        <v>0.16</v>
      </c>
      <c r="K2592"/>
    </row>
    <row r="2593" spans="1:11" ht="24" customHeight="1" thickTop="1">
      <c r="A2593" s="633"/>
      <c r="B2593" s="633"/>
      <c r="C2593" s="633"/>
      <c r="D2593" s="633"/>
      <c r="E2593" s="633"/>
      <c r="F2593" s="633"/>
      <c r="G2593" s="633"/>
      <c r="H2593" s="633"/>
      <c r="I2593" s="633"/>
      <c r="J2593" s="633"/>
      <c r="K2593"/>
    </row>
    <row r="2594" spans="1:11" ht="15">
      <c r="A2594" s="613"/>
      <c r="B2594" s="614" t="s">
        <v>12698</v>
      </c>
      <c r="C2594" s="613" t="s">
        <v>12699</v>
      </c>
      <c r="D2594" s="613" t="s">
        <v>12700</v>
      </c>
      <c r="E2594" s="807" t="s">
        <v>12701</v>
      </c>
      <c r="F2594" s="808"/>
      <c r="G2594" s="615" t="s">
        <v>12702</v>
      </c>
      <c r="H2594" s="614" t="s">
        <v>12703</v>
      </c>
      <c r="I2594" s="614" t="s">
        <v>12704</v>
      </c>
      <c r="J2594" s="614" t="s">
        <v>12705</v>
      </c>
      <c r="K2594"/>
    </row>
    <row r="2595" spans="1:11" ht="15" customHeight="1">
      <c r="A2595" s="616" t="s">
        <v>12706</v>
      </c>
      <c r="B2595" s="617" t="s">
        <v>13138</v>
      </c>
      <c r="C2595" s="616" t="s">
        <v>8</v>
      </c>
      <c r="D2595" s="616" t="s">
        <v>3660</v>
      </c>
      <c r="E2595" s="809" t="s">
        <v>12707</v>
      </c>
      <c r="F2595" s="810"/>
      <c r="G2595" s="618" t="s">
        <v>23</v>
      </c>
      <c r="H2595" s="619">
        <v>1</v>
      </c>
      <c r="I2595" s="620">
        <v>0.06</v>
      </c>
      <c r="J2595" s="620">
        <v>0.06</v>
      </c>
      <c r="K2595"/>
    </row>
    <row r="2596" spans="1:11" ht="0.95" customHeight="1">
      <c r="A2596" s="626" t="s">
        <v>12709</v>
      </c>
      <c r="B2596" s="627" t="s">
        <v>13137</v>
      </c>
      <c r="C2596" s="626" t="s">
        <v>8</v>
      </c>
      <c r="D2596" s="626" t="s">
        <v>10449</v>
      </c>
      <c r="E2596" s="804" t="s">
        <v>12710</v>
      </c>
      <c r="F2596" s="805"/>
      <c r="G2596" s="628" t="s">
        <v>23</v>
      </c>
      <c r="H2596" s="629">
        <v>7.9000000000000008E-3</v>
      </c>
      <c r="I2596" s="630">
        <v>8.76</v>
      </c>
      <c r="J2596" s="630">
        <v>0.06</v>
      </c>
      <c r="K2596"/>
    </row>
    <row r="2597" spans="1:11" ht="18" customHeight="1">
      <c r="A2597" s="631"/>
      <c r="B2597" s="631"/>
      <c r="C2597" s="631"/>
      <c r="D2597" s="631"/>
      <c r="E2597" s="631" t="s">
        <v>12714</v>
      </c>
      <c r="F2597" s="632">
        <v>3.2435899999999997E-2</v>
      </c>
      <c r="G2597" s="631" t="s">
        <v>12715</v>
      </c>
      <c r="H2597" s="632">
        <v>0.03</v>
      </c>
      <c r="I2597" s="631" t="s">
        <v>12716</v>
      </c>
      <c r="J2597" s="632">
        <v>0.06</v>
      </c>
      <c r="K2597"/>
    </row>
    <row r="2598" spans="1:11" ht="36" customHeight="1" thickBot="1">
      <c r="A2598" s="631"/>
      <c r="B2598" s="631"/>
      <c r="C2598" s="631"/>
      <c r="D2598" s="631"/>
      <c r="E2598" s="631" t="s">
        <v>12717</v>
      </c>
      <c r="F2598" s="632">
        <v>0.01</v>
      </c>
      <c r="G2598" s="631"/>
      <c r="H2598" s="806" t="s">
        <v>12718</v>
      </c>
      <c r="I2598" s="806"/>
      <c r="J2598" s="632">
        <v>7.0000000000000007E-2</v>
      </c>
      <c r="K2598"/>
    </row>
    <row r="2599" spans="1:11" ht="24" customHeight="1" thickTop="1">
      <c r="A2599" s="633"/>
      <c r="B2599" s="633"/>
      <c r="C2599" s="633"/>
      <c r="D2599" s="633"/>
      <c r="E2599" s="633"/>
      <c r="F2599" s="633"/>
      <c r="G2599" s="633"/>
      <c r="H2599" s="633"/>
      <c r="I2599" s="633"/>
      <c r="J2599" s="633"/>
      <c r="K2599"/>
    </row>
    <row r="2600" spans="1:11" ht="15">
      <c r="A2600" s="613"/>
      <c r="B2600" s="614" t="s">
        <v>12698</v>
      </c>
      <c r="C2600" s="613" t="s">
        <v>12699</v>
      </c>
      <c r="D2600" s="613" t="s">
        <v>12700</v>
      </c>
      <c r="E2600" s="807" t="s">
        <v>12701</v>
      </c>
      <c r="F2600" s="808"/>
      <c r="G2600" s="615" t="s">
        <v>12702</v>
      </c>
      <c r="H2600" s="614" t="s">
        <v>12703</v>
      </c>
      <c r="I2600" s="614" t="s">
        <v>12704</v>
      </c>
      <c r="J2600" s="614" t="s">
        <v>12705</v>
      </c>
      <c r="K2600"/>
    </row>
    <row r="2601" spans="1:11" ht="15" customHeight="1">
      <c r="A2601" s="616" t="s">
        <v>12706</v>
      </c>
      <c r="B2601" s="617" t="s">
        <v>13135</v>
      </c>
      <c r="C2601" s="616" t="s">
        <v>8</v>
      </c>
      <c r="D2601" s="616" t="s">
        <v>3661</v>
      </c>
      <c r="E2601" s="809" t="s">
        <v>12707</v>
      </c>
      <c r="F2601" s="810"/>
      <c r="G2601" s="618" t="s">
        <v>23</v>
      </c>
      <c r="H2601" s="619">
        <v>1</v>
      </c>
      <c r="I2601" s="620">
        <v>0.3</v>
      </c>
      <c r="J2601" s="620">
        <v>0.3</v>
      </c>
      <c r="K2601"/>
    </row>
    <row r="2602" spans="1:11" ht="0.95" customHeight="1">
      <c r="A2602" s="626" t="s">
        <v>12709</v>
      </c>
      <c r="B2602" s="627" t="s">
        <v>13132</v>
      </c>
      <c r="C2602" s="626" t="s">
        <v>8</v>
      </c>
      <c r="D2602" s="626" t="s">
        <v>10451</v>
      </c>
      <c r="E2602" s="804" t="s">
        <v>12710</v>
      </c>
      <c r="F2602" s="805"/>
      <c r="G2602" s="628" t="s">
        <v>23</v>
      </c>
      <c r="H2602" s="629">
        <v>2.1299999999999999E-2</v>
      </c>
      <c r="I2602" s="630">
        <v>14.39</v>
      </c>
      <c r="J2602" s="630">
        <v>0.3</v>
      </c>
      <c r="K2602"/>
    </row>
    <row r="2603" spans="1:11" ht="18" customHeight="1">
      <c r="A2603" s="631"/>
      <c r="B2603" s="631"/>
      <c r="C2603" s="631"/>
      <c r="D2603" s="631"/>
      <c r="E2603" s="631" t="s">
        <v>12714</v>
      </c>
      <c r="F2603" s="632">
        <v>0.16217970000000001</v>
      </c>
      <c r="G2603" s="631" t="s">
        <v>12715</v>
      </c>
      <c r="H2603" s="632">
        <v>0.14000000000000001</v>
      </c>
      <c r="I2603" s="631" t="s">
        <v>12716</v>
      </c>
      <c r="J2603" s="632">
        <v>0.3</v>
      </c>
      <c r="K2603"/>
    </row>
    <row r="2604" spans="1:11" ht="24" customHeight="1" thickBot="1">
      <c r="A2604" s="631"/>
      <c r="B2604" s="631"/>
      <c r="C2604" s="631"/>
      <c r="D2604" s="631"/>
      <c r="E2604" s="631" t="s">
        <v>12717</v>
      </c>
      <c r="F2604" s="632">
        <v>0.08</v>
      </c>
      <c r="G2604" s="631"/>
      <c r="H2604" s="806" t="s">
        <v>12718</v>
      </c>
      <c r="I2604" s="806"/>
      <c r="J2604" s="632">
        <v>0.38</v>
      </c>
      <c r="K2604"/>
    </row>
    <row r="2605" spans="1:11" ht="24" customHeight="1" thickTop="1">
      <c r="A2605" s="633"/>
      <c r="B2605" s="633"/>
      <c r="C2605" s="633"/>
      <c r="D2605" s="633"/>
      <c r="E2605" s="633"/>
      <c r="F2605" s="633"/>
      <c r="G2605" s="633"/>
      <c r="H2605" s="633"/>
      <c r="I2605" s="633"/>
      <c r="J2605" s="633"/>
      <c r="K2605"/>
    </row>
    <row r="2606" spans="1:11" ht="15">
      <c r="A2606" s="613"/>
      <c r="B2606" s="614" t="s">
        <v>12698</v>
      </c>
      <c r="C2606" s="613" t="s">
        <v>12699</v>
      </c>
      <c r="D2606" s="613" t="s">
        <v>12700</v>
      </c>
      <c r="E2606" s="807" t="s">
        <v>12701</v>
      </c>
      <c r="F2606" s="808"/>
      <c r="G2606" s="615" t="s">
        <v>12702</v>
      </c>
      <c r="H2606" s="614" t="s">
        <v>12703</v>
      </c>
      <c r="I2606" s="614" t="s">
        <v>12704</v>
      </c>
      <c r="J2606" s="614" t="s">
        <v>12705</v>
      </c>
      <c r="K2606"/>
    </row>
    <row r="2607" spans="1:11" ht="15" customHeight="1">
      <c r="A2607" s="616" t="s">
        <v>12706</v>
      </c>
      <c r="B2607" s="617" t="s">
        <v>13130</v>
      </c>
      <c r="C2607" s="616" t="s">
        <v>8</v>
      </c>
      <c r="D2607" s="616" t="s">
        <v>3662</v>
      </c>
      <c r="E2607" s="809" t="s">
        <v>12707</v>
      </c>
      <c r="F2607" s="810"/>
      <c r="G2607" s="618" t="s">
        <v>23</v>
      </c>
      <c r="H2607" s="619">
        <v>1</v>
      </c>
      <c r="I2607" s="620">
        <v>0.03</v>
      </c>
      <c r="J2607" s="620">
        <v>0.03</v>
      </c>
      <c r="K2607"/>
    </row>
    <row r="2608" spans="1:11" ht="0.95" customHeight="1">
      <c r="A2608" s="626" t="s">
        <v>12709</v>
      </c>
      <c r="B2608" s="627" t="s">
        <v>13129</v>
      </c>
      <c r="C2608" s="626" t="s">
        <v>8</v>
      </c>
      <c r="D2608" s="626" t="s">
        <v>10467</v>
      </c>
      <c r="E2608" s="804" t="s">
        <v>12710</v>
      </c>
      <c r="F2608" s="805"/>
      <c r="G2608" s="628" t="s">
        <v>23</v>
      </c>
      <c r="H2608" s="629">
        <v>3.5000000000000001E-3</v>
      </c>
      <c r="I2608" s="630">
        <v>9.58</v>
      </c>
      <c r="J2608" s="630">
        <v>0.03</v>
      </c>
      <c r="K2608"/>
    </row>
    <row r="2609" spans="1:11" ht="18" customHeight="1">
      <c r="A2609" s="631"/>
      <c r="B2609" s="631"/>
      <c r="C2609" s="631"/>
      <c r="D2609" s="631"/>
      <c r="E2609" s="631" t="s">
        <v>12714</v>
      </c>
      <c r="F2609" s="632">
        <v>1.6218E-2</v>
      </c>
      <c r="G2609" s="631" t="s">
        <v>12715</v>
      </c>
      <c r="H2609" s="632">
        <v>0.01</v>
      </c>
      <c r="I2609" s="631" t="s">
        <v>12716</v>
      </c>
      <c r="J2609" s="632">
        <v>0.03</v>
      </c>
      <c r="K2609"/>
    </row>
    <row r="2610" spans="1:11" ht="24" customHeight="1" thickBot="1">
      <c r="A2610" s="631"/>
      <c r="B2610" s="631"/>
      <c r="C2610" s="631"/>
      <c r="D2610" s="631"/>
      <c r="E2610" s="631" t="s">
        <v>12717</v>
      </c>
      <c r="F2610" s="632">
        <v>0</v>
      </c>
      <c r="G2610" s="631"/>
      <c r="H2610" s="806" t="s">
        <v>12718</v>
      </c>
      <c r="I2610" s="806"/>
      <c r="J2610" s="632">
        <v>0.03</v>
      </c>
      <c r="K2610"/>
    </row>
    <row r="2611" spans="1:11" ht="24" customHeight="1" thickTop="1">
      <c r="A2611" s="633"/>
      <c r="B2611" s="633"/>
      <c r="C2611" s="633"/>
      <c r="D2611" s="633"/>
      <c r="E2611" s="633"/>
      <c r="F2611" s="633"/>
      <c r="G2611" s="633"/>
      <c r="H2611" s="633"/>
      <c r="I2611" s="633"/>
      <c r="J2611" s="633"/>
      <c r="K2611"/>
    </row>
    <row r="2612" spans="1:11" ht="15">
      <c r="A2612" s="613"/>
      <c r="B2612" s="614" t="s">
        <v>12698</v>
      </c>
      <c r="C2612" s="613" t="s">
        <v>12699</v>
      </c>
      <c r="D2612" s="613" t="s">
        <v>12700</v>
      </c>
      <c r="E2612" s="807" t="s">
        <v>12701</v>
      </c>
      <c r="F2612" s="808"/>
      <c r="G2612" s="615" t="s">
        <v>12702</v>
      </c>
      <c r="H2612" s="614" t="s">
        <v>12703</v>
      </c>
      <c r="I2612" s="614" t="s">
        <v>12704</v>
      </c>
      <c r="J2612" s="614" t="s">
        <v>12705</v>
      </c>
      <c r="K2612"/>
    </row>
    <row r="2613" spans="1:11" ht="15" customHeight="1">
      <c r="A2613" s="616" t="s">
        <v>12706</v>
      </c>
      <c r="B2613" s="617" t="s">
        <v>13127</v>
      </c>
      <c r="C2613" s="616" t="s">
        <v>8</v>
      </c>
      <c r="D2613" s="616" t="s">
        <v>3663</v>
      </c>
      <c r="E2613" s="809" t="s">
        <v>12707</v>
      </c>
      <c r="F2613" s="810"/>
      <c r="G2613" s="618" t="s">
        <v>23</v>
      </c>
      <c r="H2613" s="619">
        <v>1</v>
      </c>
      <c r="I2613" s="620">
        <v>0.03</v>
      </c>
      <c r="J2613" s="620">
        <v>0.03</v>
      </c>
      <c r="K2613"/>
    </row>
    <row r="2614" spans="1:11" ht="0.95" customHeight="1">
      <c r="A2614" s="626" t="s">
        <v>12709</v>
      </c>
      <c r="B2614" s="627" t="s">
        <v>13126</v>
      </c>
      <c r="C2614" s="626" t="s">
        <v>8</v>
      </c>
      <c r="D2614" s="626" t="s">
        <v>10465</v>
      </c>
      <c r="E2614" s="804" t="s">
        <v>12710</v>
      </c>
      <c r="F2614" s="805"/>
      <c r="G2614" s="628" t="s">
        <v>23</v>
      </c>
      <c r="H2614" s="629">
        <v>3.5000000000000001E-3</v>
      </c>
      <c r="I2614" s="630">
        <v>10.16</v>
      </c>
      <c r="J2614" s="630">
        <v>0.03</v>
      </c>
      <c r="K2614"/>
    </row>
    <row r="2615" spans="1:11" ht="18" customHeight="1">
      <c r="A2615" s="631"/>
      <c r="B2615" s="631"/>
      <c r="C2615" s="631"/>
      <c r="D2615" s="631"/>
      <c r="E2615" s="631" t="s">
        <v>12714</v>
      </c>
      <c r="F2615" s="632">
        <v>1.6218E-2</v>
      </c>
      <c r="G2615" s="631" t="s">
        <v>12715</v>
      </c>
      <c r="H2615" s="632">
        <v>0.01</v>
      </c>
      <c r="I2615" s="631" t="s">
        <v>12716</v>
      </c>
      <c r="J2615" s="632">
        <v>0.03</v>
      </c>
      <c r="K2615"/>
    </row>
    <row r="2616" spans="1:11" ht="24" customHeight="1" thickBot="1">
      <c r="A2616" s="631"/>
      <c r="B2616" s="631"/>
      <c r="C2616" s="631"/>
      <c r="D2616" s="631"/>
      <c r="E2616" s="631" t="s">
        <v>12717</v>
      </c>
      <c r="F2616" s="632">
        <v>0</v>
      </c>
      <c r="G2616" s="631"/>
      <c r="H2616" s="806" t="s">
        <v>12718</v>
      </c>
      <c r="I2616" s="806"/>
      <c r="J2616" s="632">
        <v>0.03</v>
      </c>
      <c r="K2616"/>
    </row>
    <row r="2617" spans="1:11" ht="24" customHeight="1" thickTop="1">
      <c r="A2617" s="633"/>
      <c r="B2617" s="633"/>
      <c r="C2617" s="633"/>
      <c r="D2617" s="633"/>
      <c r="E2617" s="633"/>
      <c r="F2617" s="633"/>
      <c r="G2617" s="633"/>
      <c r="H2617" s="633"/>
      <c r="I2617" s="633"/>
      <c r="J2617" s="633"/>
      <c r="K2617"/>
    </row>
    <row r="2618" spans="1:11" ht="15">
      <c r="A2618" s="613"/>
      <c r="B2618" s="614" t="s">
        <v>12698</v>
      </c>
      <c r="C2618" s="613" t="s">
        <v>12699</v>
      </c>
      <c r="D2618" s="613" t="s">
        <v>12700</v>
      </c>
      <c r="E2618" s="807" t="s">
        <v>12701</v>
      </c>
      <c r="F2618" s="808"/>
      <c r="G2618" s="615" t="s">
        <v>12702</v>
      </c>
      <c r="H2618" s="614" t="s">
        <v>12703</v>
      </c>
      <c r="I2618" s="614" t="s">
        <v>12704</v>
      </c>
      <c r="J2618" s="614" t="s">
        <v>12705</v>
      </c>
      <c r="K2618"/>
    </row>
    <row r="2619" spans="1:11" ht="15" customHeight="1">
      <c r="A2619" s="616" t="s">
        <v>12706</v>
      </c>
      <c r="B2619" s="617" t="s">
        <v>13117</v>
      </c>
      <c r="C2619" s="616" t="s">
        <v>8</v>
      </c>
      <c r="D2619" s="616" t="s">
        <v>3698</v>
      </c>
      <c r="E2619" s="809" t="s">
        <v>12707</v>
      </c>
      <c r="F2619" s="810"/>
      <c r="G2619" s="618" t="s">
        <v>23</v>
      </c>
      <c r="H2619" s="619">
        <v>1</v>
      </c>
      <c r="I2619" s="620">
        <v>0.05</v>
      </c>
      <c r="J2619" s="620">
        <v>0.05</v>
      </c>
      <c r="K2619"/>
    </row>
    <row r="2620" spans="1:11" ht="0.95" customHeight="1">
      <c r="A2620" s="626" t="s">
        <v>12709</v>
      </c>
      <c r="B2620" s="627" t="s">
        <v>13116</v>
      </c>
      <c r="C2620" s="626" t="s">
        <v>8</v>
      </c>
      <c r="D2620" s="626" t="s">
        <v>10556</v>
      </c>
      <c r="E2620" s="804" t="s">
        <v>12710</v>
      </c>
      <c r="F2620" s="805"/>
      <c r="G2620" s="628" t="s">
        <v>23</v>
      </c>
      <c r="H2620" s="629">
        <v>5.7000000000000002E-3</v>
      </c>
      <c r="I2620" s="630">
        <v>8.83</v>
      </c>
      <c r="J2620" s="630">
        <v>0.05</v>
      </c>
      <c r="K2620"/>
    </row>
    <row r="2621" spans="1:11" ht="18" customHeight="1">
      <c r="A2621" s="631"/>
      <c r="B2621" s="631"/>
      <c r="C2621" s="631"/>
      <c r="D2621" s="631"/>
      <c r="E2621" s="631" t="s">
        <v>12714</v>
      </c>
      <c r="F2621" s="632">
        <v>2.7029899999999999E-2</v>
      </c>
      <c r="G2621" s="631" t="s">
        <v>12715</v>
      </c>
      <c r="H2621" s="632">
        <v>0.02</v>
      </c>
      <c r="I2621" s="631" t="s">
        <v>12716</v>
      </c>
      <c r="J2621" s="632">
        <v>0.05</v>
      </c>
      <c r="K2621"/>
    </row>
    <row r="2622" spans="1:11" ht="24" customHeight="1" thickBot="1">
      <c r="A2622" s="631"/>
      <c r="B2622" s="631"/>
      <c r="C2622" s="631"/>
      <c r="D2622" s="631"/>
      <c r="E2622" s="631" t="s">
        <v>12717</v>
      </c>
      <c r="F2622" s="632">
        <v>0.01</v>
      </c>
      <c r="G2622" s="631"/>
      <c r="H2622" s="806" t="s">
        <v>12718</v>
      </c>
      <c r="I2622" s="806"/>
      <c r="J2622" s="632">
        <v>0.06</v>
      </c>
      <c r="K2622"/>
    </row>
    <row r="2623" spans="1:11" ht="24" customHeight="1" thickTop="1">
      <c r="A2623" s="633"/>
      <c r="B2623" s="633"/>
      <c r="C2623" s="633"/>
      <c r="D2623" s="633"/>
      <c r="E2623" s="633"/>
      <c r="F2623" s="633"/>
      <c r="G2623" s="633"/>
      <c r="H2623" s="633"/>
      <c r="I2623" s="633"/>
      <c r="J2623" s="633"/>
      <c r="K2623"/>
    </row>
    <row r="2624" spans="1:11" ht="15">
      <c r="A2624" s="613"/>
      <c r="B2624" s="614" t="s">
        <v>12698</v>
      </c>
      <c r="C2624" s="613" t="s">
        <v>12699</v>
      </c>
      <c r="D2624" s="613" t="s">
        <v>12700</v>
      </c>
      <c r="E2624" s="807" t="s">
        <v>12701</v>
      </c>
      <c r="F2624" s="808"/>
      <c r="G2624" s="615" t="s">
        <v>12702</v>
      </c>
      <c r="H2624" s="614" t="s">
        <v>12703</v>
      </c>
      <c r="I2624" s="614" t="s">
        <v>12704</v>
      </c>
      <c r="J2624" s="614" t="s">
        <v>12705</v>
      </c>
      <c r="K2624"/>
    </row>
    <row r="2625" spans="1:11" ht="15" customHeight="1">
      <c r="A2625" s="616" t="s">
        <v>12706</v>
      </c>
      <c r="B2625" s="617" t="s">
        <v>13115</v>
      </c>
      <c r="C2625" s="616" t="s">
        <v>8</v>
      </c>
      <c r="D2625" s="616" t="s">
        <v>3672</v>
      </c>
      <c r="E2625" s="809" t="s">
        <v>12707</v>
      </c>
      <c r="F2625" s="810"/>
      <c r="G2625" s="618" t="s">
        <v>23</v>
      </c>
      <c r="H2625" s="619">
        <v>1</v>
      </c>
      <c r="I2625" s="620">
        <v>0.09</v>
      </c>
      <c r="J2625" s="620">
        <v>0.09</v>
      </c>
      <c r="K2625"/>
    </row>
    <row r="2626" spans="1:11" ht="0.95" customHeight="1">
      <c r="A2626" s="626" t="s">
        <v>12709</v>
      </c>
      <c r="B2626" s="627" t="s">
        <v>13114</v>
      </c>
      <c r="C2626" s="626" t="s">
        <v>8</v>
      </c>
      <c r="D2626" s="626" t="s">
        <v>10562</v>
      </c>
      <c r="E2626" s="804" t="s">
        <v>12710</v>
      </c>
      <c r="F2626" s="805"/>
      <c r="G2626" s="628" t="s">
        <v>23</v>
      </c>
      <c r="H2626" s="629">
        <v>7.9000000000000008E-3</v>
      </c>
      <c r="I2626" s="630">
        <v>12.36</v>
      </c>
      <c r="J2626" s="630">
        <v>0.09</v>
      </c>
      <c r="K2626"/>
    </row>
    <row r="2627" spans="1:11" ht="18" customHeight="1">
      <c r="A2627" s="631"/>
      <c r="B2627" s="631"/>
      <c r="C2627" s="631"/>
      <c r="D2627" s="631"/>
      <c r="E2627" s="631" t="s">
        <v>12714</v>
      </c>
      <c r="F2627" s="632">
        <v>4.86539E-2</v>
      </c>
      <c r="G2627" s="631" t="s">
        <v>12715</v>
      </c>
      <c r="H2627" s="632">
        <v>0.04</v>
      </c>
      <c r="I2627" s="631" t="s">
        <v>12716</v>
      </c>
      <c r="J2627" s="632">
        <v>0.09</v>
      </c>
      <c r="K2627"/>
    </row>
    <row r="2628" spans="1:11" ht="24" customHeight="1" thickBot="1">
      <c r="A2628" s="631"/>
      <c r="B2628" s="631"/>
      <c r="C2628" s="631"/>
      <c r="D2628" s="631"/>
      <c r="E2628" s="631" t="s">
        <v>12717</v>
      </c>
      <c r="F2628" s="632">
        <v>0.02</v>
      </c>
      <c r="G2628" s="631"/>
      <c r="H2628" s="806" t="s">
        <v>12718</v>
      </c>
      <c r="I2628" s="806"/>
      <c r="J2628" s="632">
        <v>0.11</v>
      </c>
      <c r="K2628"/>
    </row>
    <row r="2629" spans="1:11" ht="24" customHeight="1" thickTop="1">
      <c r="A2629" s="633"/>
      <c r="B2629" s="633"/>
      <c r="C2629" s="633"/>
      <c r="D2629" s="633"/>
      <c r="E2629" s="633"/>
      <c r="F2629" s="633"/>
      <c r="G2629" s="633"/>
      <c r="H2629" s="633"/>
      <c r="I2629" s="633"/>
      <c r="J2629" s="633"/>
      <c r="K2629"/>
    </row>
    <row r="2630" spans="1:11" ht="15">
      <c r="A2630" s="613"/>
      <c r="B2630" s="614" t="s">
        <v>12698</v>
      </c>
      <c r="C2630" s="613" t="s">
        <v>12699</v>
      </c>
      <c r="D2630" s="613" t="s">
        <v>12700</v>
      </c>
      <c r="E2630" s="807" t="s">
        <v>12701</v>
      </c>
      <c r="F2630" s="808"/>
      <c r="G2630" s="615" t="s">
        <v>12702</v>
      </c>
      <c r="H2630" s="614" t="s">
        <v>12703</v>
      </c>
      <c r="I2630" s="614" t="s">
        <v>12704</v>
      </c>
      <c r="J2630" s="614" t="s">
        <v>12705</v>
      </c>
      <c r="K2630"/>
    </row>
    <row r="2631" spans="1:11" ht="15" customHeight="1">
      <c r="A2631" s="616" t="s">
        <v>12706</v>
      </c>
      <c r="B2631" s="617" t="s">
        <v>13112</v>
      </c>
      <c r="C2631" s="616" t="s">
        <v>8</v>
      </c>
      <c r="D2631" s="616" t="s">
        <v>3673</v>
      </c>
      <c r="E2631" s="809" t="s">
        <v>12707</v>
      </c>
      <c r="F2631" s="810"/>
      <c r="G2631" s="618" t="s">
        <v>23</v>
      </c>
      <c r="H2631" s="619">
        <v>1</v>
      </c>
      <c r="I2631" s="620">
        <v>0.1</v>
      </c>
      <c r="J2631" s="620">
        <v>0.1</v>
      </c>
      <c r="K2631"/>
    </row>
    <row r="2632" spans="1:11" ht="0.95" customHeight="1">
      <c r="A2632" s="626" t="s">
        <v>12709</v>
      </c>
      <c r="B2632" s="627" t="s">
        <v>13111</v>
      </c>
      <c r="C2632" s="626" t="s">
        <v>8</v>
      </c>
      <c r="D2632" s="626" t="s">
        <v>10564</v>
      </c>
      <c r="E2632" s="804" t="s">
        <v>12710</v>
      </c>
      <c r="F2632" s="805"/>
      <c r="G2632" s="628" t="s">
        <v>23</v>
      </c>
      <c r="H2632" s="629">
        <v>1.1299999999999999E-2</v>
      </c>
      <c r="I2632" s="630">
        <v>8.89</v>
      </c>
      <c r="J2632" s="630">
        <v>0.1</v>
      </c>
      <c r="K2632"/>
    </row>
    <row r="2633" spans="1:11" ht="18" customHeight="1">
      <c r="A2633" s="631"/>
      <c r="B2633" s="631"/>
      <c r="C2633" s="631"/>
      <c r="D2633" s="631"/>
      <c r="E2633" s="631" t="s">
        <v>12714</v>
      </c>
      <c r="F2633" s="632">
        <v>5.4059900000000001E-2</v>
      </c>
      <c r="G2633" s="631" t="s">
        <v>12715</v>
      </c>
      <c r="H2633" s="632">
        <v>0.05</v>
      </c>
      <c r="I2633" s="631" t="s">
        <v>12716</v>
      </c>
      <c r="J2633" s="632">
        <v>0.1</v>
      </c>
      <c r="K2633"/>
    </row>
    <row r="2634" spans="1:11" ht="24" customHeight="1" thickBot="1">
      <c r="A2634" s="631"/>
      <c r="B2634" s="631"/>
      <c r="C2634" s="631"/>
      <c r="D2634" s="631"/>
      <c r="E2634" s="631" t="s">
        <v>12717</v>
      </c>
      <c r="F2634" s="632">
        <v>0.02</v>
      </c>
      <c r="G2634" s="631"/>
      <c r="H2634" s="806" t="s">
        <v>12718</v>
      </c>
      <c r="I2634" s="806"/>
      <c r="J2634" s="632">
        <v>0.12</v>
      </c>
      <c r="K2634"/>
    </row>
    <row r="2635" spans="1:11" ht="24" customHeight="1" thickTop="1">
      <c r="A2635" s="633"/>
      <c r="B2635" s="633"/>
      <c r="C2635" s="633"/>
      <c r="D2635" s="633"/>
      <c r="E2635" s="633"/>
      <c r="F2635" s="633"/>
      <c r="G2635" s="633"/>
      <c r="H2635" s="633"/>
      <c r="I2635" s="633"/>
      <c r="J2635" s="633"/>
      <c r="K2635"/>
    </row>
    <row r="2636" spans="1:11" ht="15">
      <c r="A2636" s="613"/>
      <c r="B2636" s="614" t="s">
        <v>12698</v>
      </c>
      <c r="C2636" s="613" t="s">
        <v>12699</v>
      </c>
      <c r="D2636" s="613" t="s">
        <v>12700</v>
      </c>
      <c r="E2636" s="807" t="s">
        <v>12701</v>
      </c>
      <c r="F2636" s="808"/>
      <c r="G2636" s="615" t="s">
        <v>12702</v>
      </c>
      <c r="H2636" s="614" t="s">
        <v>12703</v>
      </c>
      <c r="I2636" s="614" t="s">
        <v>12704</v>
      </c>
      <c r="J2636" s="614" t="s">
        <v>12705</v>
      </c>
      <c r="K2636"/>
    </row>
    <row r="2637" spans="1:11" ht="15" customHeight="1">
      <c r="A2637" s="616" t="s">
        <v>12706</v>
      </c>
      <c r="B2637" s="617" t="s">
        <v>13109</v>
      </c>
      <c r="C2637" s="616" t="s">
        <v>8</v>
      </c>
      <c r="D2637" s="616" t="s">
        <v>3674</v>
      </c>
      <c r="E2637" s="809" t="s">
        <v>12707</v>
      </c>
      <c r="F2637" s="810"/>
      <c r="G2637" s="618" t="s">
        <v>23</v>
      </c>
      <c r="H2637" s="619">
        <v>1</v>
      </c>
      <c r="I2637" s="620">
        <v>0.1</v>
      </c>
      <c r="J2637" s="620">
        <v>0.1</v>
      </c>
      <c r="K2637"/>
    </row>
    <row r="2638" spans="1:11" ht="0.95" customHeight="1">
      <c r="A2638" s="626" t="s">
        <v>12709</v>
      </c>
      <c r="B2638" s="627" t="s">
        <v>13108</v>
      </c>
      <c r="C2638" s="626" t="s">
        <v>8</v>
      </c>
      <c r="D2638" s="626" t="s">
        <v>10566</v>
      </c>
      <c r="E2638" s="804" t="s">
        <v>12710</v>
      </c>
      <c r="F2638" s="805"/>
      <c r="G2638" s="628" t="s">
        <v>23</v>
      </c>
      <c r="H2638" s="629">
        <v>1.1299999999999999E-2</v>
      </c>
      <c r="I2638" s="630">
        <v>8.94</v>
      </c>
      <c r="J2638" s="630">
        <v>0.1</v>
      </c>
      <c r="K2638"/>
    </row>
    <row r="2639" spans="1:11" ht="18" customHeight="1">
      <c r="A2639" s="631"/>
      <c r="B2639" s="631"/>
      <c r="C2639" s="631"/>
      <c r="D2639" s="631"/>
      <c r="E2639" s="631" t="s">
        <v>12714</v>
      </c>
      <c r="F2639" s="632">
        <v>5.4059900000000001E-2</v>
      </c>
      <c r="G2639" s="631" t="s">
        <v>12715</v>
      </c>
      <c r="H2639" s="632">
        <v>0.05</v>
      </c>
      <c r="I2639" s="631" t="s">
        <v>12716</v>
      </c>
      <c r="J2639" s="632">
        <v>0.1</v>
      </c>
      <c r="K2639"/>
    </row>
    <row r="2640" spans="1:11" ht="24" customHeight="1" thickBot="1">
      <c r="A2640" s="631"/>
      <c r="B2640" s="631"/>
      <c r="C2640" s="631"/>
      <c r="D2640" s="631"/>
      <c r="E2640" s="631" t="s">
        <v>12717</v>
      </c>
      <c r="F2640" s="632">
        <v>0.02</v>
      </c>
      <c r="G2640" s="631"/>
      <c r="H2640" s="806" t="s">
        <v>12718</v>
      </c>
      <c r="I2640" s="806"/>
      <c r="J2640" s="632">
        <v>0.12</v>
      </c>
      <c r="K2640"/>
    </row>
    <row r="2641" spans="1:11" ht="24" customHeight="1" thickTop="1">
      <c r="A2641" s="633"/>
      <c r="B2641" s="633"/>
      <c r="C2641" s="633"/>
      <c r="D2641" s="633"/>
      <c r="E2641" s="633"/>
      <c r="F2641" s="633"/>
      <c r="G2641" s="633"/>
      <c r="H2641" s="633"/>
      <c r="I2641" s="633"/>
      <c r="J2641" s="633"/>
      <c r="K2641"/>
    </row>
    <row r="2642" spans="1:11" ht="15">
      <c r="A2642" s="613"/>
      <c r="B2642" s="614" t="s">
        <v>12698</v>
      </c>
      <c r="C2642" s="613" t="s">
        <v>12699</v>
      </c>
      <c r="D2642" s="613" t="s">
        <v>12700</v>
      </c>
      <c r="E2642" s="807" t="s">
        <v>12701</v>
      </c>
      <c r="F2642" s="808"/>
      <c r="G2642" s="615" t="s">
        <v>12702</v>
      </c>
      <c r="H2642" s="614" t="s">
        <v>12703</v>
      </c>
      <c r="I2642" s="614" t="s">
        <v>12704</v>
      </c>
      <c r="J2642" s="614" t="s">
        <v>12705</v>
      </c>
      <c r="K2642"/>
    </row>
    <row r="2643" spans="1:11" ht="15" customHeight="1">
      <c r="A2643" s="616" t="s">
        <v>12706</v>
      </c>
      <c r="B2643" s="617" t="s">
        <v>13106</v>
      </c>
      <c r="C2643" s="616" t="s">
        <v>8</v>
      </c>
      <c r="D2643" s="616" t="s">
        <v>3676</v>
      </c>
      <c r="E2643" s="809" t="s">
        <v>12707</v>
      </c>
      <c r="F2643" s="810"/>
      <c r="G2643" s="618" t="s">
        <v>23</v>
      </c>
      <c r="H2643" s="619">
        <v>1</v>
      </c>
      <c r="I2643" s="620">
        <v>0.04</v>
      </c>
      <c r="J2643" s="620">
        <v>0.04</v>
      </c>
      <c r="K2643"/>
    </row>
    <row r="2644" spans="1:11" ht="0.95" customHeight="1">
      <c r="A2644" s="626" t="s">
        <v>12709</v>
      </c>
      <c r="B2644" s="627" t="s">
        <v>13105</v>
      </c>
      <c r="C2644" s="626" t="s">
        <v>8</v>
      </c>
      <c r="D2644" s="626" t="s">
        <v>10572</v>
      </c>
      <c r="E2644" s="804" t="s">
        <v>12710</v>
      </c>
      <c r="F2644" s="805"/>
      <c r="G2644" s="628" t="s">
        <v>23</v>
      </c>
      <c r="H2644" s="629">
        <v>5.7000000000000002E-3</v>
      </c>
      <c r="I2644" s="630">
        <v>7.41</v>
      </c>
      <c r="J2644" s="630">
        <v>0.04</v>
      </c>
      <c r="K2644"/>
    </row>
    <row r="2645" spans="1:11" ht="18" customHeight="1">
      <c r="A2645" s="631"/>
      <c r="B2645" s="631"/>
      <c r="C2645" s="631"/>
      <c r="D2645" s="631"/>
      <c r="E2645" s="631" t="s">
        <v>12714</v>
      </c>
      <c r="F2645" s="632">
        <v>2.1624000000000001E-2</v>
      </c>
      <c r="G2645" s="631" t="s">
        <v>12715</v>
      </c>
      <c r="H2645" s="632">
        <v>0.02</v>
      </c>
      <c r="I2645" s="631" t="s">
        <v>12716</v>
      </c>
      <c r="J2645" s="632">
        <v>0.04</v>
      </c>
      <c r="K2645"/>
    </row>
    <row r="2646" spans="1:11" ht="24" customHeight="1" thickBot="1">
      <c r="A2646" s="631"/>
      <c r="B2646" s="631"/>
      <c r="C2646" s="631"/>
      <c r="D2646" s="631"/>
      <c r="E2646" s="631" t="s">
        <v>12717</v>
      </c>
      <c r="F2646" s="632">
        <v>0.01</v>
      </c>
      <c r="G2646" s="631"/>
      <c r="H2646" s="806" t="s">
        <v>12718</v>
      </c>
      <c r="I2646" s="806"/>
      <c r="J2646" s="632">
        <v>0.05</v>
      </c>
      <c r="K2646"/>
    </row>
    <row r="2647" spans="1:11" ht="24" customHeight="1" thickTop="1">
      <c r="A2647" s="633"/>
      <c r="B2647" s="633"/>
      <c r="C2647" s="633"/>
      <c r="D2647" s="633"/>
      <c r="E2647" s="633"/>
      <c r="F2647" s="633"/>
      <c r="G2647" s="633"/>
      <c r="H2647" s="633"/>
      <c r="I2647" s="633"/>
      <c r="J2647" s="633"/>
      <c r="K2647"/>
    </row>
    <row r="2648" spans="1:11" ht="15">
      <c r="A2648" s="613"/>
      <c r="B2648" s="614" t="s">
        <v>12698</v>
      </c>
      <c r="C2648" s="613" t="s">
        <v>12699</v>
      </c>
      <c r="D2648" s="613" t="s">
        <v>12700</v>
      </c>
      <c r="E2648" s="807" t="s">
        <v>12701</v>
      </c>
      <c r="F2648" s="808"/>
      <c r="G2648" s="615" t="s">
        <v>12702</v>
      </c>
      <c r="H2648" s="614" t="s">
        <v>12703</v>
      </c>
      <c r="I2648" s="614" t="s">
        <v>12704</v>
      </c>
      <c r="J2648" s="614" t="s">
        <v>12705</v>
      </c>
      <c r="K2648"/>
    </row>
    <row r="2649" spans="1:11" ht="15" customHeight="1">
      <c r="A2649" s="616" t="s">
        <v>12706</v>
      </c>
      <c r="B2649" s="617" t="s">
        <v>13104</v>
      </c>
      <c r="C2649" s="616" t="s">
        <v>8</v>
      </c>
      <c r="D2649" s="616" t="s">
        <v>3675</v>
      </c>
      <c r="E2649" s="809" t="s">
        <v>12707</v>
      </c>
      <c r="F2649" s="810"/>
      <c r="G2649" s="618" t="s">
        <v>23</v>
      </c>
      <c r="H2649" s="619">
        <v>1</v>
      </c>
      <c r="I2649" s="620">
        <v>7.0000000000000007E-2</v>
      </c>
      <c r="J2649" s="620">
        <v>7.0000000000000007E-2</v>
      </c>
      <c r="K2649"/>
    </row>
    <row r="2650" spans="1:11" ht="0.95" customHeight="1">
      <c r="A2650" s="626" t="s">
        <v>12709</v>
      </c>
      <c r="B2650" s="627" t="s">
        <v>13103</v>
      </c>
      <c r="C2650" s="626" t="s">
        <v>8</v>
      </c>
      <c r="D2650" s="626" t="s">
        <v>10570</v>
      </c>
      <c r="E2650" s="804" t="s">
        <v>12710</v>
      </c>
      <c r="F2650" s="805"/>
      <c r="G2650" s="628" t="s">
        <v>23</v>
      </c>
      <c r="H2650" s="629">
        <v>7.9000000000000008E-3</v>
      </c>
      <c r="I2650" s="630">
        <v>9.42</v>
      </c>
      <c r="J2650" s="630">
        <v>7.0000000000000007E-2</v>
      </c>
      <c r="K2650"/>
    </row>
    <row r="2651" spans="1:11" ht="18" customHeight="1">
      <c r="A2651" s="631"/>
      <c r="B2651" s="631"/>
      <c r="C2651" s="631"/>
      <c r="D2651" s="631"/>
      <c r="E2651" s="631" t="s">
        <v>12714</v>
      </c>
      <c r="F2651" s="632">
        <v>3.7841899999999998E-2</v>
      </c>
      <c r="G2651" s="631" t="s">
        <v>12715</v>
      </c>
      <c r="H2651" s="632">
        <v>0.03</v>
      </c>
      <c r="I2651" s="631" t="s">
        <v>12716</v>
      </c>
      <c r="J2651" s="632">
        <v>7.0000000000000007E-2</v>
      </c>
      <c r="K2651"/>
    </row>
    <row r="2652" spans="1:11" ht="24" customHeight="1" thickBot="1">
      <c r="A2652" s="631"/>
      <c r="B2652" s="631"/>
      <c r="C2652" s="631"/>
      <c r="D2652" s="631"/>
      <c r="E2652" s="631" t="s">
        <v>12717</v>
      </c>
      <c r="F2652" s="632">
        <v>0.01</v>
      </c>
      <c r="G2652" s="631"/>
      <c r="H2652" s="806" t="s">
        <v>12718</v>
      </c>
      <c r="I2652" s="806"/>
      <c r="J2652" s="632">
        <v>0.08</v>
      </c>
      <c r="K2652"/>
    </row>
    <row r="2653" spans="1:11" ht="24" customHeight="1" thickTop="1">
      <c r="A2653" s="633"/>
      <c r="B2653" s="633"/>
      <c r="C2653" s="633"/>
      <c r="D2653" s="633"/>
      <c r="E2653" s="633"/>
      <c r="F2653" s="633"/>
      <c r="G2653" s="633"/>
      <c r="H2653" s="633"/>
      <c r="I2653" s="633"/>
      <c r="J2653" s="633"/>
      <c r="K2653"/>
    </row>
    <row r="2654" spans="1:11" ht="15">
      <c r="A2654" s="613"/>
      <c r="B2654" s="614" t="s">
        <v>12698</v>
      </c>
      <c r="C2654" s="613" t="s">
        <v>12699</v>
      </c>
      <c r="D2654" s="613" t="s">
        <v>12700</v>
      </c>
      <c r="E2654" s="807" t="s">
        <v>12701</v>
      </c>
      <c r="F2654" s="808"/>
      <c r="G2654" s="615" t="s">
        <v>12702</v>
      </c>
      <c r="H2654" s="614" t="s">
        <v>12703</v>
      </c>
      <c r="I2654" s="614" t="s">
        <v>12704</v>
      </c>
      <c r="J2654" s="614" t="s">
        <v>12705</v>
      </c>
      <c r="K2654"/>
    </row>
    <row r="2655" spans="1:11" ht="15" customHeight="1">
      <c r="A2655" s="616" t="s">
        <v>12706</v>
      </c>
      <c r="B2655" s="617" t="s">
        <v>13102</v>
      </c>
      <c r="C2655" s="616" t="s">
        <v>8</v>
      </c>
      <c r="D2655" s="616" t="s">
        <v>3679</v>
      </c>
      <c r="E2655" s="809" t="s">
        <v>12707</v>
      </c>
      <c r="F2655" s="810"/>
      <c r="G2655" s="618" t="s">
        <v>23</v>
      </c>
      <c r="H2655" s="619">
        <v>1</v>
      </c>
      <c r="I2655" s="620">
        <v>0.05</v>
      </c>
      <c r="J2655" s="620">
        <v>0.05</v>
      </c>
      <c r="K2655"/>
    </row>
    <row r="2656" spans="1:11" ht="0.95" customHeight="1">
      <c r="A2656" s="626" t="s">
        <v>12709</v>
      </c>
      <c r="B2656" s="627" t="s">
        <v>13101</v>
      </c>
      <c r="C2656" s="626" t="s">
        <v>8</v>
      </c>
      <c r="D2656" s="626" t="s">
        <v>10578</v>
      </c>
      <c r="E2656" s="804" t="s">
        <v>12710</v>
      </c>
      <c r="F2656" s="805"/>
      <c r="G2656" s="628" t="s">
        <v>23</v>
      </c>
      <c r="H2656" s="629">
        <v>5.7000000000000002E-3</v>
      </c>
      <c r="I2656" s="630">
        <v>10.27</v>
      </c>
      <c r="J2656" s="630">
        <v>0.05</v>
      </c>
      <c r="K2656"/>
    </row>
    <row r="2657" spans="1:11" ht="18" customHeight="1">
      <c r="A2657" s="631"/>
      <c r="B2657" s="631"/>
      <c r="C2657" s="631"/>
      <c r="D2657" s="631"/>
      <c r="E2657" s="631" t="s">
        <v>12714</v>
      </c>
      <c r="F2657" s="632">
        <v>2.7029899999999999E-2</v>
      </c>
      <c r="G2657" s="631" t="s">
        <v>12715</v>
      </c>
      <c r="H2657" s="632">
        <v>0.02</v>
      </c>
      <c r="I2657" s="631" t="s">
        <v>12716</v>
      </c>
      <c r="J2657" s="632">
        <v>0.05</v>
      </c>
      <c r="K2657"/>
    </row>
    <row r="2658" spans="1:11" ht="24" customHeight="1" thickBot="1">
      <c r="A2658" s="631"/>
      <c r="B2658" s="631"/>
      <c r="C2658" s="631"/>
      <c r="D2658" s="631"/>
      <c r="E2658" s="631" t="s">
        <v>12717</v>
      </c>
      <c r="F2658" s="632">
        <v>0.01</v>
      </c>
      <c r="G2658" s="631"/>
      <c r="H2658" s="806" t="s">
        <v>12718</v>
      </c>
      <c r="I2658" s="806"/>
      <c r="J2658" s="632">
        <v>0.06</v>
      </c>
      <c r="K2658"/>
    </row>
    <row r="2659" spans="1:11" ht="24" customHeight="1" thickTop="1">
      <c r="A2659" s="633"/>
      <c r="B2659" s="633"/>
      <c r="C2659" s="633"/>
      <c r="D2659" s="633"/>
      <c r="E2659" s="633"/>
      <c r="F2659" s="633"/>
      <c r="G2659" s="633"/>
      <c r="H2659" s="633"/>
      <c r="I2659" s="633"/>
      <c r="J2659" s="633"/>
      <c r="K2659"/>
    </row>
    <row r="2660" spans="1:11" ht="15">
      <c r="A2660" s="613"/>
      <c r="B2660" s="614" t="s">
        <v>12698</v>
      </c>
      <c r="C2660" s="613" t="s">
        <v>12699</v>
      </c>
      <c r="D2660" s="613" t="s">
        <v>12700</v>
      </c>
      <c r="E2660" s="807" t="s">
        <v>12701</v>
      </c>
      <c r="F2660" s="808"/>
      <c r="G2660" s="615" t="s">
        <v>12702</v>
      </c>
      <c r="H2660" s="614" t="s">
        <v>12703</v>
      </c>
      <c r="I2660" s="614" t="s">
        <v>12704</v>
      </c>
      <c r="J2660" s="614" t="s">
        <v>12705</v>
      </c>
      <c r="K2660"/>
    </row>
    <row r="2661" spans="1:11" ht="15" customHeight="1">
      <c r="A2661" s="616" t="s">
        <v>12706</v>
      </c>
      <c r="B2661" s="617" t="s">
        <v>13100</v>
      </c>
      <c r="C2661" s="616" t="s">
        <v>8</v>
      </c>
      <c r="D2661" s="616" t="s">
        <v>823</v>
      </c>
      <c r="E2661" s="809" t="s">
        <v>12707</v>
      </c>
      <c r="F2661" s="810"/>
      <c r="G2661" s="618" t="s">
        <v>23</v>
      </c>
      <c r="H2661" s="619">
        <v>1</v>
      </c>
      <c r="I2661" s="620">
        <v>0.18</v>
      </c>
      <c r="J2661" s="620">
        <v>0.18</v>
      </c>
      <c r="K2661"/>
    </row>
    <row r="2662" spans="1:11" ht="0.95" customHeight="1">
      <c r="A2662" s="626" t="s">
        <v>12709</v>
      </c>
      <c r="B2662" s="627" t="s">
        <v>13099</v>
      </c>
      <c r="C2662" s="626" t="s">
        <v>8</v>
      </c>
      <c r="D2662" s="626" t="s">
        <v>10726</v>
      </c>
      <c r="E2662" s="804" t="s">
        <v>12710</v>
      </c>
      <c r="F2662" s="805"/>
      <c r="G2662" s="628" t="s">
        <v>23</v>
      </c>
      <c r="H2662" s="629">
        <v>1.46E-2</v>
      </c>
      <c r="I2662" s="630">
        <v>12.79</v>
      </c>
      <c r="J2662" s="630">
        <v>0.18</v>
      </c>
      <c r="K2662"/>
    </row>
    <row r="2663" spans="1:11" ht="18" customHeight="1">
      <c r="A2663" s="631"/>
      <c r="B2663" s="631"/>
      <c r="C2663" s="631"/>
      <c r="D2663" s="631"/>
      <c r="E2663" s="631" t="s">
        <v>12714</v>
      </c>
      <c r="F2663" s="632">
        <v>9.73078E-2</v>
      </c>
      <c r="G2663" s="631" t="s">
        <v>12715</v>
      </c>
      <c r="H2663" s="632">
        <v>0.08</v>
      </c>
      <c r="I2663" s="631" t="s">
        <v>12716</v>
      </c>
      <c r="J2663" s="632">
        <v>0.18</v>
      </c>
      <c r="K2663"/>
    </row>
    <row r="2664" spans="1:11" ht="24" customHeight="1" thickBot="1">
      <c r="A2664" s="631"/>
      <c r="B2664" s="631"/>
      <c r="C2664" s="631"/>
      <c r="D2664" s="631"/>
      <c r="E2664" s="631" t="s">
        <v>12717</v>
      </c>
      <c r="F2664" s="632">
        <v>0.05</v>
      </c>
      <c r="G2664" s="631"/>
      <c r="H2664" s="806" t="s">
        <v>12718</v>
      </c>
      <c r="I2664" s="806"/>
      <c r="J2664" s="632">
        <v>0.23</v>
      </c>
      <c r="K2664"/>
    </row>
    <row r="2665" spans="1:11" ht="24" customHeight="1" thickTop="1">
      <c r="A2665" s="633"/>
      <c r="B2665" s="633"/>
      <c r="C2665" s="633"/>
      <c r="D2665" s="633"/>
      <c r="E2665" s="633"/>
      <c r="F2665" s="633"/>
      <c r="G2665" s="633"/>
      <c r="H2665" s="633"/>
      <c r="I2665" s="633"/>
      <c r="J2665" s="633"/>
      <c r="K2665"/>
    </row>
    <row r="2666" spans="1:11" ht="15">
      <c r="A2666" s="613"/>
      <c r="B2666" s="614" t="s">
        <v>12698</v>
      </c>
      <c r="C2666" s="613" t="s">
        <v>12699</v>
      </c>
      <c r="D2666" s="613" t="s">
        <v>12700</v>
      </c>
      <c r="E2666" s="807" t="s">
        <v>12701</v>
      </c>
      <c r="F2666" s="808"/>
      <c r="G2666" s="615" t="s">
        <v>12702</v>
      </c>
      <c r="H2666" s="614" t="s">
        <v>12703</v>
      </c>
      <c r="I2666" s="614" t="s">
        <v>12704</v>
      </c>
      <c r="J2666" s="614" t="s">
        <v>12705</v>
      </c>
      <c r="K2666"/>
    </row>
    <row r="2667" spans="1:11" ht="15" customHeight="1">
      <c r="A2667" s="616" t="s">
        <v>12706</v>
      </c>
      <c r="B2667" s="617" t="s">
        <v>13089</v>
      </c>
      <c r="C2667" s="616" t="s">
        <v>8</v>
      </c>
      <c r="D2667" s="616" t="s">
        <v>824</v>
      </c>
      <c r="E2667" s="809" t="s">
        <v>12707</v>
      </c>
      <c r="F2667" s="810"/>
      <c r="G2667" s="618" t="s">
        <v>23</v>
      </c>
      <c r="H2667" s="619">
        <v>1</v>
      </c>
      <c r="I2667" s="620">
        <v>0.13</v>
      </c>
      <c r="J2667" s="620">
        <v>0.13</v>
      </c>
      <c r="K2667"/>
    </row>
    <row r="2668" spans="1:11" ht="0.95" customHeight="1">
      <c r="A2668" s="626" t="s">
        <v>12709</v>
      </c>
      <c r="B2668" s="627" t="s">
        <v>13086</v>
      </c>
      <c r="C2668" s="626" t="s">
        <v>8</v>
      </c>
      <c r="D2668" s="626" t="s">
        <v>10798</v>
      </c>
      <c r="E2668" s="804" t="s">
        <v>12710</v>
      </c>
      <c r="F2668" s="805"/>
      <c r="G2668" s="628" t="s">
        <v>23</v>
      </c>
      <c r="H2668" s="629">
        <v>1.0200000000000001E-2</v>
      </c>
      <c r="I2668" s="630">
        <v>12.79</v>
      </c>
      <c r="J2668" s="630">
        <v>0.13</v>
      </c>
      <c r="K2668"/>
    </row>
    <row r="2669" spans="1:11" ht="18" customHeight="1">
      <c r="A2669" s="631"/>
      <c r="B2669" s="631"/>
      <c r="C2669" s="631"/>
      <c r="D2669" s="631"/>
      <c r="E2669" s="631" t="s">
        <v>12714</v>
      </c>
      <c r="F2669" s="632">
        <v>7.0277900000000004E-2</v>
      </c>
      <c r="G2669" s="631" t="s">
        <v>12715</v>
      </c>
      <c r="H2669" s="632">
        <v>0.06</v>
      </c>
      <c r="I2669" s="631" t="s">
        <v>12716</v>
      </c>
      <c r="J2669" s="632">
        <v>0.13</v>
      </c>
      <c r="K2669"/>
    </row>
    <row r="2670" spans="1:11" ht="24" customHeight="1" thickBot="1">
      <c r="A2670" s="631"/>
      <c r="B2670" s="631"/>
      <c r="C2670" s="631"/>
      <c r="D2670" s="631"/>
      <c r="E2670" s="631" t="s">
        <v>12717</v>
      </c>
      <c r="F2670" s="632">
        <v>0.03</v>
      </c>
      <c r="G2670" s="631"/>
      <c r="H2670" s="806" t="s">
        <v>12718</v>
      </c>
      <c r="I2670" s="806"/>
      <c r="J2670" s="632">
        <v>0.16</v>
      </c>
      <c r="K2670"/>
    </row>
    <row r="2671" spans="1:11" ht="24" customHeight="1" thickTop="1">
      <c r="A2671" s="633"/>
      <c r="B2671" s="633"/>
      <c r="C2671" s="633"/>
      <c r="D2671" s="633"/>
      <c r="E2671" s="633"/>
      <c r="F2671" s="633"/>
      <c r="G2671" s="633"/>
      <c r="H2671" s="633"/>
      <c r="I2671" s="633"/>
      <c r="J2671" s="633"/>
      <c r="K2671"/>
    </row>
    <row r="2672" spans="1:11" ht="15">
      <c r="A2672" s="613"/>
      <c r="B2672" s="614" t="s">
        <v>12698</v>
      </c>
      <c r="C2672" s="613" t="s">
        <v>12699</v>
      </c>
      <c r="D2672" s="613" t="s">
        <v>12700</v>
      </c>
      <c r="E2672" s="807" t="s">
        <v>12701</v>
      </c>
      <c r="F2672" s="808"/>
      <c r="G2672" s="615" t="s">
        <v>12702</v>
      </c>
      <c r="H2672" s="614" t="s">
        <v>12703</v>
      </c>
      <c r="I2672" s="614" t="s">
        <v>12704</v>
      </c>
      <c r="J2672" s="614" t="s">
        <v>12705</v>
      </c>
      <c r="K2672"/>
    </row>
    <row r="2673" spans="1:11" ht="15" customHeight="1">
      <c r="A2673" s="616" t="s">
        <v>12706</v>
      </c>
      <c r="B2673" s="617" t="s">
        <v>13053</v>
      </c>
      <c r="C2673" s="616" t="s">
        <v>8</v>
      </c>
      <c r="D2673" s="616" t="s">
        <v>3689</v>
      </c>
      <c r="E2673" s="809" t="s">
        <v>12707</v>
      </c>
      <c r="F2673" s="810"/>
      <c r="G2673" s="618" t="s">
        <v>23</v>
      </c>
      <c r="H2673" s="619">
        <v>1</v>
      </c>
      <c r="I2673" s="620">
        <v>0.1</v>
      </c>
      <c r="J2673" s="620">
        <v>0.1</v>
      </c>
      <c r="K2673"/>
    </row>
    <row r="2674" spans="1:11" ht="0.95" customHeight="1">
      <c r="A2674" s="626" t="s">
        <v>12709</v>
      </c>
      <c r="B2674" s="627" t="s">
        <v>13050</v>
      </c>
      <c r="C2674" s="626" t="s">
        <v>8</v>
      </c>
      <c r="D2674" s="626" t="s">
        <v>11279</v>
      </c>
      <c r="E2674" s="804" t="s">
        <v>12710</v>
      </c>
      <c r="F2674" s="805"/>
      <c r="G2674" s="628" t="s">
        <v>23</v>
      </c>
      <c r="H2674" s="629">
        <v>7.9000000000000008E-3</v>
      </c>
      <c r="I2674" s="630">
        <v>12.79</v>
      </c>
      <c r="J2674" s="630">
        <v>0.1</v>
      </c>
      <c r="K2674"/>
    </row>
    <row r="2675" spans="1:11" ht="18" customHeight="1">
      <c r="A2675" s="631"/>
      <c r="B2675" s="631"/>
      <c r="C2675" s="631"/>
      <c r="D2675" s="631"/>
      <c r="E2675" s="631" t="s">
        <v>12714</v>
      </c>
      <c r="F2675" s="632">
        <v>5.4059900000000001E-2</v>
      </c>
      <c r="G2675" s="631" t="s">
        <v>12715</v>
      </c>
      <c r="H2675" s="632">
        <v>0.05</v>
      </c>
      <c r="I2675" s="631" t="s">
        <v>12716</v>
      </c>
      <c r="J2675" s="632">
        <v>0.1</v>
      </c>
      <c r="K2675"/>
    </row>
    <row r="2676" spans="1:11" ht="24" customHeight="1" thickBot="1">
      <c r="A2676" s="631"/>
      <c r="B2676" s="631"/>
      <c r="C2676" s="631"/>
      <c r="D2676" s="631"/>
      <c r="E2676" s="631" t="s">
        <v>12717</v>
      </c>
      <c r="F2676" s="632">
        <v>0.02</v>
      </c>
      <c r="G2676" s="631"/>
      <c r="H2676" s="806" t="s">
        <v>12718</v>
      </c>
      <c r="I2676" s="806"/>
      <c r="J2676" s="632">
        <v>0.12</v>
      </c>
      <c r="K2676"/>
    </row>
    <row r="2677" spans="1:11" ht="24" customHeight="1" thickTop="1">
      <c r="A2677" s="633"/>
      <c r="B2677" s="633"/>
      <c r="C2677" s="633"/>
      <c r="D2677" s="633"/>
      <c r="E2677" s="633"/>
      <c r="F2677" s="633"/>
      <c r="G2677" s="633"/>
      <c r="H2677" s="633"/>
      <c r="I2677" s="633"/>
      <c r="J2677" s="633"/>
      <c r="K2677"/>
    </row>
    <row r="2678" spans="1:11" ht="15">
      <c r="A2678" s="613"/>
      <c r="B2678" s="614" t="s">
        <v>12698</v>
      </c>
      <c r="C2678" s="613" t="s">
        <v>12699</v>
      </c>
      <c r="D2678" s="613" t="s">
        <v>12700</v>
      </c>
      <c r="E2678" s="807" t="s">
        <v>12701</v>
      </c>
      <c r="F2678" s="808"/>
      <c r="G2678" s="615" t="s">
        <v>12702</v>
      </c>
      <c r="H2678" s="614" t="s">
        <v>12703</v>
      </c>
      <c r="I2678" s="614" t="s">
        <v>12704</v>
      </c>
      <c r="J2678" s="614" t="s">
        <v>12705</v>
      </c>
      <c r="K2678"/>
    </row>
    <row r="2679" spans="1:11" ht="15" customHeight="1">
      <c r="A2679" s="616" t="s">
        <v>12706</v>
      </c>
      <c r="B2679" s="617" t="s">
        <v>13049</v>
      </c>
      <c r="C2679" s="616" t="s">
        <v>8</v>
      </c>
      <c r="D2679" s="616" t="s">
        <v>826</v>
      </c>
      <c r="E2679" s="809" t="s">
        <v>12707</v>
      </c>
      <c r="F2679" s="810"/>
      <c r="G2679" s="618" t="s">
        <v>23</v>
      </c>
      <c r="H2679" s="619">
        <v>1</v>
      </c>
      <c r="I2679" s="620">
        <v>0.13</v>
      </c>
      <c r="J2679" s="620">
        <v>0.13</v>
      </c>
      <c r="K2679"/>
    </row>
    <row r="2680" spans="1:11" ht="0.95" customHeight="1">
      <c r="A2680" s="626" t="s">
        <v>12709</v>
      </c>
      <c r="B2680" s="627" t="s">
        <v>13046</v>
      </c>
      <c r="C2680" s="626" t="s">
        <v>8</v>
      </c>
      <c r="D2680" s="626" t="s">
        <v>11281</v>
      </c>
      <c r="E2680" s="804" t="s">
        <v>12710</v>
      </c>
      <c r="F2680" s="805"/>
      <c r="G2680" s="628" t="s">
        <v>23</v>
      </c>
      <c r="H2680" s="629">
        <v>1.46E-2</v>
      </c>
      <c r="I2680" s="630">
        <v>9.51</v>
      </c>
      <c r="J2680" s="630">
        <v>0.13</v>
      </c>
      <c r="K2680"/>
    </row>
    <row r="2681" spans="1:11" ht="18" customHeight="1">
      <c r="A2681" s="631"/>
      <c r="B2681" s="631"/>
      <c r="C2681" s="631"/>
      <c r="D2681" s="631"/>
      <c r="E2681" s="631" t="s">
        <v>12714</v>
      </c>
      <c r="F2681" s="632">
        <v>7.0277900000000004E-2</v>
      </c>
      <c r="G2681" s="631" t="s">
        <v>12715</v>
      </c>
      <c r="H2681" s="632">
        <v>0.06</v>
      </c>
      <c r="I2681" s="631" t="s">
        <v>12716</v>
      </c>
      <c r="J2681" s="632">
        <v>0.13</v>
      </c>
      <c r="K2681"/>
    </row>
    <row r="2682" spans="1:11" ht="24" customHeight="1" thickBot="1">
      <c r="A2682" s="631"/>
      <c r="B2682" s="631"/>
      <c r="C2682" s="631"/>
      <c r="D2682" s="631"/>
      <c r="E2682" s="631" t="s">
        <v>12717</v>
      </c>
      <c r="F2682" s="632">
        <v>0.03</v>
      </c>
      <c r="G2682" s="631"/>
      <c r="H2682" s="806" t="s">
        <v>12718</v>
      </c>
      <c r="I2682" s="806"/>
      <c r="J2682" s="632">
        <v>0.16</v>
      </c>
      <c r="K2682"/>
    </row>
    <row r="2683" spans="1:11" ht="24" customHeight="1" thickTop="1">
      <c r="A2683" s="633"/>
      <c r="B2683" s="633"/>
      <c r="C2683" s="633"/>
      <c r="D2683" s="633"/>
      <c r="E2683" s="633"/>
      <c r="F2683" s="633"/>
      <c r="G2683" s="633"/>
      <c r="H2683" s="633"/>
      <c r="I2683" s="633"/>
      <c r="J2683" s="633"/>
      <c r="K2683"/>
    </row>
    <row r="2684" spans="1:11" ht="24" customHeight="1">
      <c r="A2684" s="613"/>
      <c r="B2684" s="614" t="s">
        <v>12698</v>
      </c>
      <c r="C2684" s="613" t="s">
        <v>12699</v>
      </c>
      <c r="D2684" s="613" t="s">
        <v>12700</v>
      </c>
      <c r="E2684" s="807" t="s">
        <v>12701</v>
      </c>
      <c r="F2684" s="808"/>
      <c r="G2684" s="615" t="s">
        <v>12702</v>
      </c>
      <c r="H2684" s="614" t="s">
        <v>12703</v>
      </c>
      <c r="I2684" s="614" t="s">
        <v>12704</v>
      </c>
      <c r="J2684" s="614" t="s">
        <v>12705</v>
      </c>
      <c r="K2684"/>
    </row>
    <row r="2685" spans="1:11" ht="24" customHeight="1">
      <c r="A2685" s="616" t="s">
        <v>12706</v>
      </c>
      <c r="B2685" s="617" t="s">
        <v>13033</v>
      </c>
      <c r="C2685" s="616" t="s">
        <v>8</v>
      </c>
      <c r="D2685" s="616" t="s">
        <v>3694</v>
      </c>
      <c r="E2685" s="809" t="s">
        <v>12707</v>
      </c>
      <c r="F2685" s="810"/>
      <c r="G2685" s="618" t="s">
        <v>23</v>
      </c>
      <c r="H2685" s="619">
        <v>1</v>
      </c>
      <c r="I2685" s="620">
        <v>0.11</v>
      </c>
      <c r="J2685" s="620">
        <v>0.11</v>
      </c>
      <c r="K2685"/>
    </row>
    <row r="2686" spans="1:11" ht="24" customHeight="1">
      <c r="A2686" s="626" t="s">
        <v>12709</v>
      </c>
      <c r="B2686" s="627" t="s">
        <v>13030</v>
      </c>
      <c r="C2686" s="626" t="s">
        <v>8</v>
      </c>
      <c r="D2686" s="626" t="s">
        <v>11729</v>
      </c>
      <c r="E2686" s="804" t="s">
        <v>12710</v>
      </c>
      <c r="F2686" s="805"/>
      <c r="G2686" s="628" t="s">
        <v>23</v>
      </c>
      <c r="H2686" s="629">
        <v>7.9000000000000008E-3</v>
      </c>
      <c r="I2686" s="630">
        <v>13.95</v>
      </c>
      <c r="J2686" s="630">
        <v>0.11</v>
      </c>
      <c r="K2686"/>
    </row>
    <row r="2687" spans="1:11" ht="24" customHeight="1">
      <c r="A2687" s="631"/>
      <c r="B2687" s="631"/>
      <c r="C2687" s="631"/>
      <c r="D2687" s="631"/>
      <c r="E2687" s="631" t="s">
        <v>12714</v>
      </c>
      <c r="F2687" s="632">
        <v>5.9465900000000002E-2</v>
      </c>
      <c r="G2687" s="631" t="s">
        <v>12715</v>
      </c>
      <c r="H2687" s="632">
        <v>0.05</v>
      </c>
      <c r="I2687" s="631" t="s">
        <v>12716</v>
      </c>
      <c r="J2687" s="632">
        <v>0.11</v>
      </c>
      <c r="K2687"/>
    </row>
    <row r="2688" spans="1:11" ht="24" customHeight="1" thickBot="1">
      <c r="A2688" s="631"/>
      <c r="B2688" s="631"/>
      <c r="C2688" s="631"/>
      <c r="D2688" s="631"/>
      <c r="E2688" s="631" t="s">
        <v>12717</v>
      </c>
      <c r="F2688" s="632">
        <v>0.03</v>
      </c>
      <c r="G2688" s="631"/>
      <c r="H2688" s="806" t="s">
        <v>12718</v>
      </c>
      <c r="I2688" s="806"/>
      <c r="J2688" s="632">
        <v>0.14000000000000001</v>
      </c>
      <c r="K2688"/>
    </row>
    <row r="2689" spans="1:11" ht="24" customHeight="1" thickTop="1">
      <c r="A2689" s="633"/>
      <c r="B2689" s="633"/>
      <c r="C2689" s="633"/>
      <c r="D2689" s="633"/>
      <c r="E2689" s="633"/>
      <c r="F2689" s="633"/>
      <c r="G2689" s="633"/>
      <c r="H2689" s="633"/>
      <c r="I2689" s="633"/>
      <c r="J2689" s="633"/>
      <c r="K2689"/>
    </row>
    <row r="2690" spans="1:11" ht="24" customHeight="1">
      <c r="A2690" s="613"/>
      <c r="B2690" s="614" t="s">
        <v>12698</v>
      </c>
      <c r="C2690" s="613" t="s">
        <v>12699</v>
      </c>
      <c r="D2690" s="613" t="s">
        <v>12700</v>
      </c>
      <c r="E2690" s="807" t="s">
        <v>12701</v>
      </c>
      <c r="F2690" s="808"/>
      <c r="G2690" s="615" t="s">
        <v>12702</v>
      </c>
      <c r="H2690" s="614" t="s">
        <v>12703</v>
      </c>
      <c r="I2690" s="614" t="s">
        <v>12704</v>
      </c>
      <c r="J2690" s="614" t="s">
        <v>12705</v>
      </c>
      <c r="K2690"/>
    </row>
    <row r="2691" spans="1:11" ht="25.5">
      <c r="A2691" s="616" t="s">
        <v>12706</v>
      </c>
      <c r="B2691" s="617" t="s">
        <v>13005</v>
      </c>
      <c r="C2691" s="616" t="s">
        <v>8</v>
      </c>
      <c r="D2691" s="616" t="s">
        <v>3695</v>
      </c>
      <c r="E2691" s="809" t="s">
        <v>12707</v>
      </c>
      <c r="F2691" s="810"/>
      <c r="G2691" s="618" t="s">
        <v>23</v>
      </c>
      <c r="H2691" s="619">
        <v>1</v>
      </c>
      <c r="I2691" s="620">
        <v>7.0000000000000007E-2</v>
      </c>
      <c r="J2691" s="620">
        <v>7.0000000000000007E-2</v>
      </c>
      <c r="K2691"/>
    </row>
    <row r="2692" spans="1:11" ht="15" customHeight="1">
      <c r="A2692" s="626" t="s">
        <v>12709</v>
      </c>
      <c r="B2692" s="627" t="s">
        <v>13000</v>
      </c>
      <c r="C2692" s="626" t="s">
        <v>8</v>
      </c>
      <c r="D2692" s="626" t="s">
        <v>10584</v>
      </c>
      <c r="E2692" s="804" t="s">
        <v>12710</v>
      </c>
      <c r="F2692" s="805"/>
      <c r="G2692" s="628" t="s">
        <v>23</v>
      </c>
      <c r="H2692" s="629">
        <v>7.9000000000000008E-3</v>
      </c>
      <c r="I2692" s="630">
        <v>9.49</v>
      </c>
      <c r="J2692" s="630">
        <v>7.0000000000000007E-2</v>
      </c>
      <c r="K2692"/>
    </row>
    <row r="2693" spans="1:11" ht="0.95" customHeight="1">
      <c r="A2693" s="631"/>
      <c r="B2693" s="631"/>
      <c r="C2693" s="631"/>
      <c r="D2693" s="631"/>
      <c r="E2693" s="631" t="s">
        <v>12714</v>
      </c>
      <c r="F2693" s="632">
        <v>3.7841899999999998E-2</v>
      </c>
      <c r="G2693" s="631" t="s">
        <v>12715</v>
      </c>
      <c r="H2693" s="632">
        <v>0.03</v>
      </c>
      <c r="I2693" s="631" t="s">
        <v>12716</v>
      </c>
      <c r="J2693" s="632">
        <v>7.0000000000000007E-2</v>
      </c>
      <c r="K2693"/>
    </row>
    <row r="2694" spans="1:11" ht="18" customHeight="1" thickBot="1">
      <c r="A2694" s="631"/>
      <c r="B2694" s="631"/>
      <c r="C2694" s="631"/>
      <c r="D2694" s="631"/>
      <c r="E2694" s="631" t="s">
        <v>12717</v>
      </c>
      <c r="F2694" s="632">
        <v>0.01</v>
      </c>
      <c r="G2694" s="631"/>
      <c r="H2694" s="806" t="s">
        <v>12718</v>
      </c>
      <c r="I2694" s="806"/>
      <c r="J2694" s="632">
        <v>0.08</v>
      </c>
      <c r="K2694"/>
    </row>
    <row r="2695" spans="1:11" ht="24" customHeight="1" thickTop="1">
      <c r="A2695" s="633"/>
      <c r="B2695" s="633"/>
      <c r="C2695" s="633"/>
      <c r="D2695" s="633"/>
      <c r="E2695" s="633"/>
      <c r="F2695" s="633"/>
      <c r="G2695" s="633"/>
      <c r="H2695" s="633"/>
      <c r="I2695" s="633"/>
      <c r="J2695" s="633"/>
      <c r="K2695"/>
    </row>
    <row r="2696" spans="1:11" ht="24" customHeight="1">
      <c r="A2696" s="613"/>
      <c r="B2696" s="614" t="s">
        <v>12698</v>
      </c>
      <c r="C2696" s="613" t="s">
        <v>12699</v>
      </c>
      <c r="D2696" s="613" t="s">
        <v>12700</v>
      </c>
      <c r="E2696" s="807" t="s">
        <v>12701</v>
      </c>
      <c r="F2696" s="808"/>
      <c r="G2696" s="615" t="s">
        <v>12702</v>
      </c>
      <c r="H2696" s="614" t="s">
        <v>12703</v>
      </c>
      <c r="I2696" s="614" t="s">
        <v>12704</v>
      </c>
      <c r="J2696" s="614" t="s">
        <v>12705</v>
      </c>
      <c r="K2696"/>
    </row>
    <row r="2697" spans="1:11" ht="24" customHeight="1">
      <c r="A2697" s="616" t="s">
        <v>12706</v>
      </c>
      <c r="B2697" s="617" t="s">
        <v>13207</v>
      </c>
      <c r="C2697" s="616" t="s">
        <v>8</v>
      </c>
      <c r="D2697" s="616" t="s">
        <v>3697</v>
      </c>
      <c r="E2697" s="809" t="s">
        <v>12707</v>
      </c>
      <c r="F2697" s="810"/>
      <c r="G2697" s="618" t="s">
        <v>23</v>
      </c>
      <c r="H2697" s="619">
        <v>1</v>
      </c>
      <c r="I2697" s="620">
        <v>0.04</v>
      </c>
      <c r="J2697" s="620">
        <v>0.04</v>
      </c>
      <c r="K2697"/>
    </row>
    <row r="2698" spans="1:11" ht="24" customHeight="1">
      <c r="A2698" s="626" t="s">
        <v>12709</v>
      </c>
      <c r="B2698" s="627" t="s">
        <v>13206</v>
      </c>
      <c r="C2698" s="626" t="s">
        <v>8</v>
      </c>
      <c r="D2698" s="626" t="s">
        <v>12388</v>
      </c>
      <c r="E2698" s="804" t="s">
        <v>12710</v>
      </c>
      <c r="F2698" s="805"/>
      <c r="G2698" s="628" t="s">
        <v>23</v>
      </c>
      <c r="H2698" s="629">
        <v>3.5000000000000001E-3</v>
      </c>
      <c r="I2698" s="630">
        <v>13.58</v>
      </c>
      <c r="J2698" s="630">
        <v>0.04</v>
      </c>
      <c r="K2698"/>
    </row>
    <row r="2699" spans="1:11" ht="24" customHeight="1">
      <c r="A2699" s="631"/>
      <c r="B2699" s="631"/>
      <c r="C2699" s="631"/>
      <c r="D2699" s="631"/>
      <c r="E2699" s="631" t="s">
        <v>12714</v>
      </c>
      <c r="F2699" s="632">
        <v>2.1624000000000001E-2</v>
      </c>
      <c r="G2699" s="631" t="s">
        <v>12715</v>
      </c>
      <c r="H2699" s="632">
        <v>0.02</v>
      </c>
      <c r="I2699" s="631" t="s">
        <v>12716</v>
      </c>
      <c r="J2699" s="632">
        <v>0.04</v>
      </c>
      <c r="K2699"/>
    </row>
    <row r="2700" spans="1:11" ht="24" customHeight="1" thickBot="1">
      <c r="A2700" s="631"/>
      <c r="B2700" s="631"/>
      <c r="C2700" s="631"/>
      <c r="D2700" s="631"/>
      <c r="E2700" s="631" t="s">
        <v>12717</v>
      </c>
      <c r="F2700" s="632">
        <v>0.01</v>
      </c>
      <c r="G2700" s="631"/>
      <c r="H2700" s="806" t="s">
        <v>12718</v>
      </c>
      <c r="I2700" s="806"/>
      <c r="J2700" s="632">
        <v>0.05</v>
      </c>
      <c r="K2700"/>
    </row>
    <row r="2701" spans="1:11" ht="24" customHeight="1" thickTop="1">
      <c r="A2701" s="633"/>
      <c r="B2701" s="633"/>
      <c r="C2701" s="633"/>
      <c r="D2701" s="633"/>
      <c r="E2701" s="633"/>
      <c r="F2701" s="633"/>
      <c r="G2701" s="633"/>
      <c r="H2701" s="633"/>
      <c r="I2701" s="633"/>
      <c r="J2701" s="633"/>
      <c r="K2701"/>
    </row>
    <row r="2702" spans="1:11" ht="24" customHeight="1">
      <c r="A2702" s="613"/>
      <c r="B2702" s="614" t="s">
        <v>12698</v>
      </c>
      <c r="C2702" s="613" t="s">
        <v>12699</v>
      </c>
      <c r="D2702" s="613" t="s">
        <v>12700</v>
      </c>
      <c r="E2702" s="807" t="s">
        <v>12701</v>
      </c>
      <c r="F2702" s="808"/>
      <c r="G2702" s="615" t="s">
        <v>12702</v>
      </c>
      <c r="H2702" s="614" t="s">
        <v>12703</v>
      </c>
      <c r="I2702" s="614" t="s">
        <v>12704</v>
      </c>
      <c r="J2702" s="614" t="s">
        <v>12705</v>
      </c>
      <c r="K2702"/>
    </row>
    <row r="2703" spans="1:11" ht="24" customHeight="1">
      <c r="A2703" s="616" t="s">
        <v>12706</v>
      </c>
      <c r="B2703" s="617" t="s">
        <v>13022</v>
      </c>
      <c r="C2703" s="616" t="s">
        <v>8</v>
      </c>
      <c r="D2703" s="616" t="s">
        <v>52</v>
      </c>
      <c r="E2703" s="809" t="s">
        <v>12707</v>
      </c>
      <c r="F2703" s="810"/>
      <c r="G2703" s="618" t="s">
        <v>23</v>
      </c>
      <c r="H2703" s="619">
        <v>1</v>
      </c>
      <c r="I2703" s="620">
        <v>18.38</v>
      </c>
      <c r="J2703" s="620">
        <v>18.38</v>
      </c>
      <c r="K2703"/>
    </row>
    <row r="2704" spans="1:11" ht="25.5">
      <c r="A2704" s="621" t="s">
        <v>12708</v>
      </c>
      <c r="B2704" s="622" t="s">
        <v>13205</v>
      </c>
      <c r="C2704" s="621" t="s">
        <v>8</v>
      </c>
      <c r="D2704" s="621" t="s">
        <v>3649</v>
      </c>
      <c r="E2704" s="811" t="s">
        <v>12707</v>
      </c>
      <c r="F2704" s="812"/>
      <c r="G2704" s="623" t="s">
        <v>23</v>
      </c>
      <c r="H2704" s="624">
        <v>1</v>
      </c>
      <c r="I2704" s="625">
        <v>0.34</v>
      </c>
      <c r="J2704" s="625">
        <v>0.34</v>
      </c>
      <c r="K2704"/>
    </row>
    <row r="2705" spans="1:11" ht="15" customHeight="1">
      <c r="A2705" s="626" t="s">
        <v>12709</v>
      </c>
      <c r="B2705" s="627" t="s">
        <v>13004</v>
      </c>
      <c r="C2705" s="626" t="s">
        <v>8</v>
      </c>
      <c r="D2705" s="626" t="s">
        <v>7388</v>
      </c>
      <c r="E2705" s="804" t="s">
        <v>12712</v>
      </c>
      <c r="F2705" s="805"/>
      <c r="G2705" s="628" t="s">
        <v>23</v>
      </c>
      <c r="H2705" s="629">
        <v>1</v>
      </c>
      <c r="I2705" s="630">
        <v>2.2000000000000002</v>
      </c>
      <c r="J2705" s="630">
        <v>2.2000000000000002</v>
      </c>
      <c r="K2705"/>
    </row>
    <row r="2706" spans="1:11" ht="0.95" customHeight="1">
      <c r="A2706" s="626" t="s">
        <v>12709</v>
      </c>
      <c r="B2706" s="627" t="s">
        <v>13204</v>
      </c>
      <c r="C2706" s="626" t="s">
        <v>8</v>
      </c>
      <c r="D2706" s="626" t="s">
        <v>9112</v>
      </c>
      <c r="E2706" s="804" t="s">
        <v>12710</v>
      </c>
      <c r="F2706" s="805"/>
      <c r="G2706" s="628" t="s">
        <v>23</v>
      </c>
      <c r="H2706" s="629">
        <v>1</v>
      </c>
      <c r="I2706" s="630">
        <v>13.23</v>
      </c>
      <c r="J2706" s="630">
        <v>13.23</v>
      </c>
      <c r="K2706"/>
    </row>
    <row r="2707" spans="1:11" ht="18" customHeight="1">
      <c r="A2707" s="626" t="s">
        <v>12709</v>
      </c>
      <c r="B2707" s="627" t="s">
        <v>13134</v>
      </c>
      <c r="C2707" s="626" t="s">
        <v>8</v>
      </c>
      <c r="D2707" s="626" t="s">
        <v>9219</v>
      </c>
      <c r="E2707" s="804" t="s">
        <v>12711</v>
      </c>
      <c r="F2707" s="805"/>
      <c r="G2707" s="628" t="s">
        <v>23</v>
      </c>
      <c r="H2707" s="629">
        <v>1</v>
      </c>
      <c r="I2707" s="630">
        <v>0.93</v>
      </c>
      <c r="J2707" s="630">
        <v>0.93</v>
      </c>
      <c r="K2707"/>
    </row>
    <row r="2708" spans="1:11" ht="24" customHeight="1">
      <c r="A2708" s="626" t="s">
        <v>12709</v>
      </c>
      <c r="B2708" s="627" t="s">
        <v>13002</v>
      </c>
      <c r="C2708" s="626" t="s">
        <v>8</v>
      </c>
      <c r="D2708" s="626" t="s">
        <v>9306</v>
      </c>
      <c r="E2708" s="804" t="s">
        <v>12712</v>
      </c>
      <c r="F2708" s="805"/>
      <c r="G2708" s="628" t="s">
        <v>23</v>
      </c>
      <c r="H2708" s="629">
        <v>1</v>
      </c>
      <c r="I2708" s="630">
        <v>0.35</v>
      </c>
      <c r="J2708" s="630">
        <v>0.35</v>
      </c>
      <c r="K2708"/>
    </row>
    <row r="2709" spans="1:11" ht="24" customHeight="1">
      <c r="A2709" s="626" t="s">
        <v>12709</v>
      </c>
      <c r="B2709" s="627" t="s">
        <v>13133</v>
      </c>
      <c r="C2709" s="626" t="s">
        <v>8</v>
      </c>
      <c r="D2709" s="626" t="s">
        <v>9366</v>
      </c>
      <c r="E2709" s="804" t="s">
        <v>12711</v>
      </c>
      <c r="F2709" s="805"/>
      <c r="G2709" s="628" t="s">
        <v>23</v>
      </c>
      <c r="H2709" s="629">
        <v>1</v>
      </c>
      <c r="I2709" s="630">
        <v>0.55000000000000004</v>
      </c>
      <c r="J2709" s="630">
        <v>0.55000000000000004</v>
      </c>
      <c r="K2709"/>
    </row>
    <row r="2710" spans="1:11" ht="24" customHeight="1">
      <c r="A2710" s="626" t="s">
        <v>12709</v>
      </c>
      <c r="B2710" s="627" t="s">
        <v>12999</v>
      </c>
      <c r="C2710" s="626" t="s">
        <v>8</v>
      </c>
      <c r="D2710" s="626" t="s">
        <v>11251</v>
      </c>
      <c r="E2710" s="804" t="s">
        <v>12713</v>
      </c>
      <c r="F2710" s="805"/>
      <c r="G2710" s="628" t="s">
        <v>23</v>
      </c>
      <c r="H2710" s="629">
        <v>1</v>
      </c>
      <c r="I2710" s="630">
        <v>7.0000000000000007E-2</v>
      </c>
      <c r="J2710" s="630">
        <v>7.0000000000000007E-2</v>
      </c>
      <c r="K2710"/>
    </row>
    <row r="2711" spans="1:11" ht="24" customHeight="1">
      <c r="A2711" s="626" t="s">
        <v>12709</v>
      </c>
      <c r="B2711" s="627" t="s">
        <v>12998</v>
      </c>
      <c r="C2711" s="626" t="s">
        <v>8</v>
      </c>
      <c r="D2711" s="626" t="s">
        <v>11861</v>
      </c>
      <c r="E2711" s="804" t="s">
        <v>12722</v>
      </c>
      <c r="F2711" s="805"/>
      <c r="G2711" s="628" t="s">
        <v>23</v>
      </c>
      <c r="H2711" s="629">
        <v>1</v>
      </c>
      <c r="I2711" s="630">
        <v>0.71</v>
      </c>
      <c r="J2711" s="630">
        <v>0.71</v>
      </c>
      <c r="K2711"/>
    </row>
    <row r="2712" spans="1:11" ht="24" customHeight="1">
      <c r="A2712" s="631"/>
      <c r="B2712" s="631"/>
      <c r="C2712" s="631"/>
      <c r="D2712" s="631"/>
      <c r="E2712" s="631" t="s">
        <v>12714</v>
      </c>
      <c r="F2712" s="632">
        <v>7.3359281999999997</v>
      </c>
      <c r="G2712" s="631" t="s">
        <v>12715</v>
      </c>
      <c r="H2712" s="632">
        <v>6.23</v>
      </c>
      <c r="I2712" s="631" t="s">
        <v>12716</v>
      </c>
      <c r="J2712" s="632">
        <v>13.57</v>
      </c>
      <c r="K2712"/>
    </row>
    <row r="2713" spans="1:11" ht="15" customHeight="1" thickBot="1">
      <c r="A2713" s="631"/>
      <c r="B2713" s="631"/>
      <c r="C2713" s="631"/>
      <c r="D2713" s="631"/>
      <c r="E2713" s="631" t="s">
        <v>12717</v>
      </c>
      <c r="F2713" s="632">
        <v>5.19</v>
      </c>
      <c r="G2713" s="631"/>
      <c r="H2713" s="806" t="s">
        <v>12718</v>
      </c>
      <c r="I2713" s="806"/>
      <c r="J2713" s="632">
        <v>23.57</v>
      </c>
      <c r="K2713"/>
    </row>
    <row r="2714" spans="1:11" ht="15" customHeight="1" thickTop="1">
      <c r="A2714" s="633"/>
      <c r="B2714" s="633"/>
      <c r="C2714" s="633"/>
      <c r="D2714" s="633"/>
      <c r="E2714" s="633"/>
      <c r="F2714" s="633"/>
      <c r="G2714" s="633"/>
      <c r="H2714" s="633"/>
      <c r="I2714" s="633"/>
      <c r="J2714" s="633"/>
      <c r="K2714"/>
    </row>
    <row r="2715" spans="1:11" ht="0.95" customHeight="1">
      <c r="A2715" s="613"/>
      <c r="B2715" s="614" t="s">
        <v>12698</v>
      </c>
      <c r="C2715" s="613" t="s">
        <v>12699</v>
      </c>
      <c r="D2715" s="613" t="s">
        <v>12700</v>
      </c>
      <c r="E2715" s="807" t="s">
        <v>12701</v>
      </c>
      <c r="F2715" s="808"/>
      <c r="G2715" s="615" t="s">
        <v>12702</v>
      </c>
      <c r="H2715" s="614" t="s">
        <v>12703</v>
      </c>
      <c r="I2715" s="614" t="s">
        <v>12704</v>
      </c>
      <c r="J2715" s="614" t="s">
        <v>12705</v>
      </c>
      <c r="K2715"/>
    </row>
    <row r="2716" spans="1:11" ht="18" customHeight="1">
      <c r="A2716" s="616" t="s">
        <v>12706</v>
      </c>
      <c r="B2716" s="617" t="s">
        <v>12981</v>
      </c>
      <c r="C2716" s="616" t="s">
        <v>8</v>
      </c>
      <c r="D2716" s="616" t="s">
        <v>50</v>
      </c>
      <c r="E2716" s="809" t="s">
        <v>12707</v>
      </c>
      <c r="F2716" s="810"/>
      <c r="G2716" s="618" t="s">
        <v>23</v>
      </c>
      <c r="H2716" s="619">
        <v>1</v>
      </c>
      <c r="I2716" s="620">
        <v>17.79</v>
      </c>
      <c r="J2716" s="620">
        <v>17.79</v>
      </c>
      <c r="K2716"/>
    </row>
    <row r="2717" spans="1:11" ht="24" customHeight="1">
      <c r="A2717" s="621" t="s">
        <v>12708</v>
      </c>
      <c r="B2717" s="622" t="s">
        <v>13203</v>
      </c>
      <c r="C2717" s="621" t="s">
        <v>8</v>
      </c>
      <c r="D2717" s="621" t="s">
        <v>3652</v>
      </c>
      <c r="E2717" s="811" t="s">
        <v>12707</v>
      </c>
      <c r="F2717" s="812"/>
      <c r="G2717" s="623" t="s">
        <v>23</v>
      </c>
      <c r="H2717" s="624">
        <v>1</v>
      </c>
      <c r="I2717" s="625">
        <v>0.16</v>
      </c>
      <c r="J2717" s="625">
        <v>0.16</v>
      </c>
      <c r="K2717"/>
    </row>
    <row r="2718" spans="1:11" ht="24" customHeight="1">
      <c r="A2718" s="626" t="s">
        <v>12709</v>
      </c>
      <c r="B2718" s="627" t="s">
        <v>13004</v>
      </c>
      <c r="C2718" s="626" t="s">
        <v>8</v>
      </c>
      <c r="D2718" s="626" t="s">
        <v>7388</v>
      </c>
      <c r="E2718" s="804" t="s">
        <v>12712</v>
      </c>
      <c r="F2718" s="805"/>
      <c r="G2718" s="628" t="s">
        <v>23</v>
      </c>
      <c r="H2718" s="629">
        <v>1</v>
      </c>
      <c r="I2718" s="630">
        <v>2.2000000000000002</v>
      </c>
      <c r="J2718" s="630">
        <v>2.2000000000000002</v>
      </c>
      <c r="K2718"/>
    </row>
    <row r="2719" spans="1:11" ht="24" customHeight="1">
      <c r="A2719" s="626" t="s">
        <v>12709</v>
      </c>
      <c r="B2719" s="627" t="s">
        <v>13202</v>
      </c>
      <c r="C2719" s="626" t="s">
        <v>8</v>
      </c>
      <c r="D2719" s="626" t="s">
        <v>9187</v>
      </c>
      <c r="E2719" s="804" t="s">
        <v>12710</v>
      </c>
      <c r="F2719" s="805"/>
      <c r="G2719" s="628" t="s">
        <v>23</v>
      </c>
      <c r="H2719" s="629">
        <v>1</v>
      </c>
      <c r="I2719" s="630">
        <v>13.23</v>
      </c>
      <c r="J2719" s="630">
        <v>13.23</v>
      </c>
      <c r="K2719"/>
    </row>
    <row r="2720" spans="1:11" ht="24" customHeight="1">
      <c r="A2720" s="626" t="s">
        <v>12709</v>
      </c>
      <c r="B2720" s="627" t="s">
        <v>13201</v>
      </c>
      <c r="C2720" s="626" t="s">
        <v>8</v>
      </c>
      <c r="D2720" s="626" t="s">
        <v>9221</v>
      </c>
      <c r="E2720" s="804" t="s">
        <v>12711</v>
      </c>
      <c r="F2720" s="805"/>
      <c r="G2720" s="628" t="s">
        <v>23</v>
      </c>
      <c r="H2720" s="629">
        <v>1</v>
      </c>
      <c r="I2720" s="630">
        <v>0.83</v>
      </c>
      <c r="J2720" s="630">
        <v>0.83</v>
      </c>
      <c r="K2720"/>
    </row>
    <row r="2721" spans="1:11" ht="24" customHeight="1">
      <c r="A2721" s="626" t="s">
        <v>12709</v>
      </c>
      <c r="B2721" s="627" t="s">
        <v>13002</v>
      </c>
      <c r="C2721" s="626" t="s">
        <v>8</v>
      </c>
      <c r="D2721" s="626" t="s">
        <v>9306</v>
      </c>
      <c r="E2721" s="804" t="s">
        <v>12712</v>
      </c>
      <c r="F2721" s="805"/>
      <c r="G2721" s="628" t="s">
        <v>23</v>
      </c>
      <c r="H2721" s="629">
        <v>1</v>
      </c>
      <c r="I2721" s="630">
        <v>0.35</v>
      </c>
      <c r="J2721" s="630">
        <v>0.35</v>
      </c>
      <c r="K2721"/>
    </row>
    <row r="2722" spans="1:11" ht="25.5">
      <c r="A2722" s="626" t="s">
        <v>12709</v>
      </c>
      <c r="B2722" s="627" t="s">
        <v>13200</v>
      </c>
      <c r="C2722" s="626" t="s">
        <v>8</v>
      </c>
      <c r="D2722" s="626" t="s">
        <v>9368</v>
      </c>
      <c r="E2722" s="804" t="s">
        <v>12711</v>
      </c>
      <c r="F2722" s="805"/>
      <c r="G2722" s="628" t="s">
        <v>23</v>
      </c>
      <c r="H2722" s="629">
        <v>1</v>
      </c>
      <c r="I2722" s="630">
        <v>0.24</v>
      </c>
      <c r="J2722" s="630">
        <v>0.24</v>
      </c>
      <c r="K2722"/>
    </row>
    <row r="2723" spans="1:11" ht="15" customHeight="1">
      <c r="A2723" s="626" t="s">
        <v>12709</v>
      </c>
      <c r="B2723" s="627" t="s">
        <v>12999</v>
      </c>
      <c r="C2723" s="626" t="s">
        <v>8</v>
      </c>
      <c r="D2723" s="626" t="s">
        <v>11251</v>
      </c>
      <c r="E2723" s="804" t="s">
        <v>12713</v>
      </c>
      <c r="F2723" s="805"/>
      <c r="G2723" s="628" t="s">
        <v>23</v>
      </c>
      <c r="H2723" s="629">
        <v>1</v>
      </c>
      <c r="I2723" s="630">
        <v>7.0000000000000007E-2</v>
      </c>
      <c r="J2723" s="630">
        <v>7.0000000000000007E-2</v>
      </c>
      <c r="K2723"/>
    </row>
    <row r="2724" spans="1:11" ht="0.95" customHeight="1">
      <c r="A2724" s="626" t="s">
        <v>12709</v>
      </c>
      <c r="B2724" s="627" t="s">
        <v>12998</v>
      </c>
      <c r="C2724" s="626" t="s">
        <v>8</v>
      </c>
      <c r="D2724" s="626" t="s">
        <v>11861</v>
      </c>
      <c r="E2724" s="804" t="s">
        <v>12722</v>
      </c>
      <c r="F2724" s="805"/>
      <c r="G2724" s="628" t="s">
        <v>23</v>
      </c>
      <c r="H2724" s="629">
        <v>1</v>
      </c>
      <c r="I2724" s="630">
        <v>0.71</v>
      </c>
      <c r="J2724" s="630">
        <v>0.71</v>
      </c>
      <c r="K2724"/>
    </row>
    <row r="2725" spans="1:11" ht="18" customHeight="1">
      <c r="A2725" s="631"/>
      <c r="B2725" s="631"/>
      <c r="C2725" s="631"/>
      <c r="D2725" s="631"/>
      <c r="E2725" s="631" t="s">
        <v>12714</v>
      </c>
      <c r="F2725" s="632">
        <v>7.2386204000000003</v>
      </c>
      <c r="G2725" s="631" t="s">
        <v>12715</v>
      </c>
      <c r="H2725" s="632">
        <v>6.15</v>
      </c>
      <c r="I2725" s="631" t="s">
        <v>12716</v>
      </c>
      <c r="J2725" s="632">
        <v>13.39</v>
      </c>
      <c r="K2725"/>
    </row>
    <row r="2726" spans="1:11" ht="24" customHeight="1" thickBot="1">
      <c r="A2726" s="631"/>
      <c r="B2726" s="631"/>
      <c r="C2726" s="631"/>
      <c r="D2726" s="631"/>
      <c r="E2726" s="631" t="s">
        <v>12717</v>
      </c>
      <c r="F2726" s="632">
        <v>5.0199999999999996</v>
      </c>
      <c r="G2726" s="631"/>
      <c r="H2726" s="806" t="s">
        <v>12718</v>
      </c>
      <c r="I2726" s="806"/>
      <c r="J2726" s="632">
        <v>22.81</v>
      </c>
      <c r="K2726"/>
    </row>
    <row r="2727" spans="1:11" ht="36" customHeight="1" thickTop="1">
      <c r="A2727" s="633"/>
      <c r="B2727" s="633"/>
      <c r="C2727" s="633"/>
      <c r="D2727" s="633"/>
      <c r="E2727" s="633"/>
      <c r="F2727" s="633"/>
      <c r="G2727" s="633"/>
      <c r="H2727" s="633"/>
      <c r="I2727" s="633"/>
      <c r="J2727" s="633"/>
      <c r="K2727"/>
    </row>
    <row r="2728" spans="1:11" ht="36" customHeight="1">
      <c r="A2728" s="613"/>
      <c r="B2728" s="614" t="s">
        <v>12698</v>
      </c>
      <c r="C2728" s="613" t="s">
        <v>12699</v>
      </c>
      <c r="D2728" s="613" t="s">
        <v>12700</v>
      </c>
      <c r="E2728" s="807" t="s">
        <v>12701</v>
      </c>
      <c r="F2728" s="808"/>
      <c r="G2728" s="615" t="s">
        <v>12702</v>
      </c>
      <c r="H2728" s="614" t="s">
        <v>12703</v>
      </c>
      <c r="I2728" s="614" t="s">
        <v>12704</v>
      </c>
      <c r="J2728" s="614" t="s">
        <v>12705</v>
      </c>
      <c r="K2728"/>
    </row>
    <row r="2729" spans="1:11" ht="24" customHeight="1">
      <c r="A2729" s="616" t="s">
        <v>12706</v>
      </c>
      <c r="B2729" s="617" t="s">
        <v>13199</v>
      </c>
      <c r="C2729" s="616" t="s">
        <v>8</v>
      </c>
      <c r="D2729" s="616" t="s">
        <v>6895</v>
      </c>
      <c r="E2729" s="809" t="s">
        <v>12819</v>
      </c>
      <c r="F2729" s="810"/>
      <c r="G2729" s="618" t="s">
        <v>35</v>
      </c>
      <c r="H2729" s="619">
        <v>1</v>
      </c>
      <c r="I2729" s="620">
        <v>40.97</v>
      </c>
      <c r="J2729" s="620">
        <v>40.97</v>
      </c>
      <c r="K2729"/>
    </row>
    <row r="2730" spans="1:11" ht="24" customHeight="1">
      <c r="A2730" s="621" t="s">
        <v>12708</v>
      </c>
      <c r="B2730" s="622" t="s">
        <v>12981</v>
      </c>
      <c r="C2730" s="621" t="s">
        <v>8</v>
      </c>
      <c r="D2730" s="621" t="s">
        <v>50</v>
      </c>
      <c r="E2730" s="811" t="s">
        <v>12707</v>
      </c>
      <c r="F2730" s="812"/>
      <c r="G2730" s="623" t="s">
        <v>23</v>
      </c>
      <c r="H2730" s="624">
        <v>0.1525</v>
      </c>
      <c r="I2730" s="625">
        <v>17.79</v>
      </c>
      <c r="J2730" s="625">
        <v>2.71</v>
      </c>
      <c r="K2730"/>
    </row>
    <row r="2731" spans="1:11" ht="24" customHeight="1">
      <c r="A2731" s="621" t="s">
        <v>12708</v>
      </c>
      <c r="B2731" s="622" t="s">
        <v>12727</v>
      </c>
      <c r="C2731" s="621" t="s">
        <v>8</v>
      </c>
      <c r="D2731" s="621" t="s">
        <v>26</v>
      </c>
      <c r="E2731" s="811" t="s">
        <v>12707</v>
      </c>
      <c r="F2731" s="812"/>
      <c r="G2731" s="623" t="s">
        <v>23</v>
      </c>
      <c r="H2731" s="624">
        <v>4.8099999999999997E-2</v>
      </c>
      <c r="I2731" s="625">
        <v>14.37</v>
      </c>
      <c r="J2731" s="625">
        <v>0.69</v>
      </c>
      <c r="K2731"/>
    </row>
    <row r="2732" spans="1:11" ht="24" customHeight="1">
      <c r="A2732" s="626" t="s">
        <v>12709</v>
      </c>
      <c r="B2732" s="627" t="s">
        <v>13198</v>
      </c>
      <c r="C2732" s="626" t="s">
        <v>8</v>
      </c>
      <c r="D2732" s="626" t="s">
        <v>9195</v>
      </c>
      <c r="E2732" s="804" t="s">
        <v>12720</v>
      </c>
      <c r="F2732" s="805"/>
      <c r="G2732" s="628" t="s">
        <v>35</v>
      </c>
      <c r="H2732" s="629">
        <v>1</v>
      </c>
      <c r="I2732" s="630">
        <v>37.49</v>
      </c>
      <c r="J2732" s="630">
        <v>37.49</v>
      </c>
      <c r="K2732"/>
    </row>
    <row r="2733" spans="1:11">
      <c r="A2733" s="626" t="s">
        <v>12709</v>
      </c>
      <c r="B2733" s="627" t="s">
        <v>12980</v>
      </c>
      <c r="C2733" s="626" t="s">
        <v>8</v>
      </c>
      <c r="D2733" s="626" t="s">
        <v>9425</v>
      </c>
      <c r="E2733" s="804" t="s">
        <v>12720</v>
      </c>
      <c r="F2733" s="805"/>
      <c r="G2733" s="628" t="s">
        <v>35</v>
      </c>
      <c r="H2733" s="629">
        <v>2.1000000000000001E-2</v>
      </c>
      <c r="I2733" s="630">
        <v>4.0599999999999996</v>
      </c>
      <c r="J2733" s="630">
        <v>0.08</v>
      </c>
      <c r="K2733"/>
    </row>
    <row r="2734" spans="1:11" ht="15" customHeight="1">
      <c r="A2734" s="631"/>
      <c r="B2734" s="631"/>
      <c r="C2734" s="631"/>
      <c r="D2734" s="631"/>
      <c r="E2734" s="631" t="s">
        <v>12714</v>
      </c>
      <c r="F2734" s="632">
        <v>1.3514974591847768</v>
      </c>
      <c r="G2734" s="631" t="s">
        <v>12715</v>
      </c>
      <c r="H2734" s="632">
        <v>1.1499999999999999</v>
      </c>
      <c r="I2734" s="631" t="s">
        <v>12716</v>
      </c>
      <c r="J2734" s="632">
        <v>2.5</v>
      </c>
      <c r="K2734"/>
    </row>
    <row r="2735" spans="1:11" ht="0.95" customHeight="1" thickBot="1">
      <c r="A2735" s="631"/>
      <c r="B2735" s="631"/>
      <c r="C2735" s="631"/>
      <c r="D2735" s="631"/>
      <c r="E2735" s="631" t="s">
        <v>12717</v>
      </c>
      <c r="F2735" s="632">
        <v>11.56</v>
      </c>
      <c r="G2735" s="631"/>
      <c r="H2735" s="806" t="s">
        <v>12718</v>
      </c>
      <c r="I2735" s="806"/>
      <c r="J2735" s="632">
        <v>52.53</v>
      </c>
      <c r="K2735"/>
    </row>
    <row r="2736" spans="1:11" ht="18" customHeight="1" thickTop="1">
      <c r="A2736" s="633"/>
      <c r="B2736" s="633"/>
      <c r="C2736" s="633"/>
      <c r="D2736" s="633"/>
      <c r="E2736" s="633"/>
      <c r="F2736" s="633"/>
      <c r="G2736" s="633"/>
      <c r="H2736" s="633"/>
      <c r="I2736" s="633"/>
      <c r="J2736" s="633"/>
      <c r="K2736"/>
    </row>
    <row r="2737" spans="1:11" ht="24" customHeight="1">
      <c r="A2737" s="613"/>
      <c r="B2737" s="614" t="s">
        <v>12698</v>
      </c>
      <c r="C2737" s="613" t="s">
        <v>12699</v>
      </c>
      <c r="D2737" s="613" t="s">
        <v>12700</v>
      </c>
      <c r="E2737" s="807" t="s">
        <v>12701</v>
      </c>
      <c r="F2737" s="808"/>
      <c r="G2737" s="615" t="s">
        <v>12702</v>
      </c>
      <c r="H2737" s="614" t="s">
        <v>12703</v>
      </c>
      <c r="I2737" s="614" t="s">
        <v>12704</v>
      </c>
      <c r="J2737" s="614" t="s">
        <v>12705</v>
      </c>
      <c r="K2737"/>
    </row>
    <row r="2738" spans="1:11" ht="36" customHeight="1">
      <c r="A2738" s="616" t="s">
        <v>12706</v>
      </c>
      <c r="B2738" s="617" t="s">
        <v>13197</v>
      </c>
      <c r="C2738" s="616" t="s">
        <v>8</v>
      </c>
      <c r="D2738" s="616" t="s">
        <v>6892</v>
      </c>
      <c r="E2738" s="809" t="s">
        <v>12819</v>
      </c>
      <c r="F2738" s="810"/>
      <c r="G2738" s="618" t="s">
        <v>35</v>
      </c>
      <c r="H2738" s="619">
        <v>1</v>
      </c>
      <c r="I2738" s="620">
        <v>7.08</v>
      </c>
      <c r="J2738" s="620">
        <v>7.08</v>
      </c>
      <c r="K2738"/>
    </row>
    <row r="2739" spans="1:11" ht="36" customHeight="1">
      <c r="A2739" s="621" t="s">
        <v>12708</v>
      </c>
      <c r="B2739" s="622" t="s">
        <v>12981</v>
      </c>
      <c r="C2739" s="621" t="s">
        <v>8</v>
      </c>
      <c r="D2739" s="621" t="s">
        <v>50</v>
      </c>
      <c r="E2739" s="811" t="s">
        <v>12707</v>
      </c>
      <c r="F2739" s="812"/>
      <c r="G2739" s="623" t="s">
        <v>23</v>
      </c>
      <c r="H2739" s="624">
        <v>0.1525</v>
      </c>
      <c r="I2739" s="625">
        <v>17.79</v>
      </c>
      <c r="J2739" s="625">
        <v>2.71</v>
      </c>
      <c r="K2739"/>
    </row>
    <row r="2740" spans="1:11" ht="24" customHeight="1">
      <c r="A2740" s="621" t="s">
        <v>12708</v>
      </c>
      <c r="B2740" s="622" t="s">
        <v>12727</v>
      </c>
      <c r="C2740" s="621" t="s">
        <v>8</v>
      </c>
      <c r="D2740" s="621" t="s">
        <v>26</v>
      </c>
      <c r="E2740" s="811" t="s">
        <v>12707</v>
      </c>
      <c r="F2740" s="812"/>
      <c r="G2740" s="623" t="s">
        <v>23</v>
      </c>
      <c r="H2740" s="624">
        <v>4.8099999999999997E-2</v>
      </c>
      <c r="I2740" s="625">
        <v>14.37</v>
      </c>
      <c r="J2740" s="625">
        <v>0.69</v>
      </c>
      <c r="K2740"/>
    </row>
    <row r="2741" spans="1:11" ht="24" customHeight="1">
      <c r="A2741" s="626" t="s">
        <v>12709</v>
      </c>
      <c r="B2741" s="627" t="s">
        <v>13196</v>
      </c>
      <c r="C2741" s="626" t="s">
        <v>8</v>
      </c>
      <c r="D2741" s="626" t="s">
        <v>9196</v>
      </c>
      <c r="E2741" s="804" t="s">
        <v>12720</v>
      </c>
      <c r="F2741" s="805"/>
      <c r="G2741" s="628" t="s">
        <v>35</v>
      </c>
      <c r="H2741" s="629">
        <v>1</v>
      </c>
      <c r="I2741" s="630">
        <v>3.6</v>
      </c>
      <c r="J2741" s="630">
        <v>3.6</v>
      </c>
      <c r="K2741"/>
    </row>
    <row r="2742" spans="1:11" ht="24" customHeight="1">
      <c r="A2742" s="626" t="s">
        <v>12709</v>
      </c>
      <c r="B2742" s="627" t="s">
        <v>12980</v>
      </c>
      <c r="C2742" s="626" t="s">
        <v>8</v>
      </c>
      <c r="D2742" s="626" t="s">
        <v>9425</v>
      </c>
      <c r="E2742" s="804" t="s">
        <v>12720</v>
      </c>
      <c r="F2742" s="805"/>
      <c r="G2742" s="628" t="s">
        <v>35</v>
      </c>
      <c r="H2742" s="629">
        <v>2.1000000000000001E-2</v>
      </c>
      <c r="I2742" s="630">
        <v>4.0599999999999996</v>
      </c>
      <c r="J2742" s="630">
        <v>0.08</v>
      </c>
      <c r="K2742"/>
    </row>
    <row r="2743" spans="1:11" ht="24" customHeight="1">
      <c r="A2743" s="631"/>
      <c r="B2743" s="631"/>
      <c r="C2743" s="631"/>
      <c r="D2743" s="631"/>
      <c r="E2743" s="631" t="s">
        <v>12714</v>
      </c>
      <c r="F2743" s="632">
        <v>1.3514974591847768</v>
      </c>
      <c r="G2743" s="631" t="s">
        <v>12715</v>
      </c>
      <c r="H2743" s="632">
        <v>1.1499999999999999</v>
      </c>
      <c r="I2743" s="631" t="s">
        <v>12716</v>
      </c>
      <c r="J2743" s="632">
        <v>2.5</v>
      </c>
      <c r="K2743"/>
    </row>
    <row r="2744" spans="1:11" ht="24" customHeight="1" thickBot="1">
      <c r="A2744" s="631"/>
      <c r="B2744" s="631"/>
      <c r="C2744" s="631"/>
      <c r="D2744" s="631"/>
      <c r="E2744" s="631" t="s">
        <v>12717</v>
      </c>
      <c r="F2744" s="632">
        <v>1.99</v>
      </c>
      <c r="G2744" s="631"/>
      <c r="H2744" s="806" t="s">
        <v>12718</v>
      </c>
      <c r="I2744" s="806"/>
      <c r="J2744" s="632">
        <v>9.07</v>
      </c>
      <c r="K2744"/>
    </row>
    <row r="2745" spans="1:11" ht="15" thickTop="1">
      <c r="A2745" s="633"/>
      <c r="B2745" s="633"/>
      <c r="C2745" s="633"/>
      <c r="D2745" s="633"/>
      <c r="E2745" s="633"/>
      <c r="F2745" s="633"/>
      <c r="G2745" s="633"/>
      <c r="H2745" s="633"/>
      <c r="I2745" s="633"/>
      <c r="J2745" s="633"/>
      <c r="K2745"/>
    </row>
    <row r="2746" spans="1:11" ht="15" customHeight="1">
      <c r="A2746" s="613"/>
      <c r="B2746" s="614" t="s">
        <v>12698</v>
      </c>
      <c r="C2746" s="613" t="s">
        <v>12699</v>
      </c>
      <c r="D2746" s="613" t="s">
        <v>12700</v>
      </c>
      <c r="E2746" s="807" t="s">
        <v>12701</v>
      </c>
      <c r="F2746" s="808"/>
      <c r="G2746" s="615" t="s">
        <v>12702</v>
      </c>
      <c r="H2746" s="614" t="s">
        <v>12703</v>
      </c>
      <c r="I2746" s="614" t="s">
        <v>12704</v>
      </c>
      <c r="J2746" s="614" t="s">
        <v>12705</v>
      </c>
      <c r="K2746"/>
    </row>
    <row r="2747" spans="1:11" ht="0.95" customHeight="1">
      <c r="A2747" s="616" t="s">
        <v>12706</v>
      </c>
      <c r="B2747" s="617" t="s">
        <v>13195</v>
      </c>
      <c r="C2747" s="616" t="s">
        <v>8</v>
      </c>
      <c r="D2747" s="616" t="s">
        <v>627</v>
      </c>
      <c r="E2747" s="809" t="s">
        <v>12734</v>
      </c>
      <c r="F2747" s="810"/>
      <c r="G2747" s="618" t="s">
        <v>17</v>
      </c>
      <c r="H2747" s="619">
        <v>1</v>
      </c>
      <c r="I2747" s="620">
        <v>9.8699999999999992</v>
      </c>
      <c r="J2747" s="620">
        <v>9.8699999999999992</v>
      </c>
      <c r="K2747"/>
    </row>
    <row r="2748" spans="1:11" ht="18" customHeight="1">
      <c r="A2748" s="621" t="s">
        <v>12708</v>
      </c>
      <c r="B2748" s="622" t="s">
        <v>13061</v>
      </c>
      <c r="C2748" s="621" t="s">
        <v>8</v>
      </c>
      <c r="D2748" s="621" t="s">
        <v>2467</v>
      </c>
      <c r="E2748" s="811" t="s">
        <v>12726</v>
      </c>
      <c r="F2748" s="812"/>
      <c r="G2748" s="623" t="s">
        <v>44</v>
      </c>
      <c r="H2748" s="624">
        <v>7.0000000000000001E-3</v>
      </c>
      <c r="I2748" s="625">
        <v>16.2</v>
      </c>
      <c r="J2748" s="625">
        <v>0.11</v>
      </c>
      <c r="K2748"/>
    </row>
    <row r="2749" spans="1:11" ht="24" customHeight="1">
      <c r="A2749" s="621" t="s">
        <v>12708</v>
      </c>
      <c r="B2749" s="622" t="s">
        <v>13062</v>
      </c>
      <c r="C2749" s="621" t="s">
        <v>8</v>
      </c>
      <c r="D2749" s="621" t="s">
        <v>2468</v>
      </c>
      <c r="E2749" s="811" t="s">
        <v>12726</v>
      </c>
      <c r="F2749" s="812"/>
      <c r="G2749" s="623" t="s">
        <v>61</v>
      </c>
      <c r="H2749" s="624">
        <v>7.0000000000000001E-3</v>
      </c>
      <c r="I2749" s="625">
        <v>13.58</v>
      </c>
      <c r="J2749" s="625">
        <v>0.09</v>
      </c>
      <c r="K2749"/>
    </row>
    <row r="2750" spans="1:11" ht="36" customHeight="1">
      <c r="A2750" s="621" t="s">
        <v>12708</v>
      </c>
      <c r="B2750" s="622" t="s">
        <v>13095</v>
      </c>
      <c r="C2750" s="621" t="s">
        <v>8</v>
      </c>
      <c r="D2750" s="621" t="s">
        <v>45</v>
      </c>
      <c r="E2750" s="811" t="s">
        <v>12707</v>
      </c>
      <c r="F2750" s="812"/>
      <c r="G2750" s="623" t="s">
        <v>23</v>
      </c>
      <c r="H2750" s="624">
        <v>1.2999999999999999E-2</v>
      </c>
      <c r="I2750" s="625">
        <v>14.91</v>
      </c>
      <c r="J2750" s="625">
        <v>0.19</v>
      </c>
      <c r="K2750"/>
    </row>
    <row r="2751" spans="1:11" ht="36" customHeight="1">
      <c r="A2751" s="621" t="s">
        <v>12708</v>
      </c>
      <c r="B2751" s="622" t="s">
        <v>13191</v>
      </c>
      <c r="C2751" s="621" t="s">
        <v>8</v>
      </c>
      <c r="D2751" s="621" t="s">
        <v>46</v>
      </c>
      <c r="E2751" s="811" t="s">
        <v>12707</v>
      </c>
      <c r="F2751" s="812"/>
      <c r="G2751" s="623" t="s">
        <v>23</v>
      </c>
      <c r="H2751" s="624">
        <v>6.6000000000000003E-2</v>
      </c>
      <c r="I2751" s="625">
        <v>17.64</v>
      </c>
      <c r="J2751" s="625">
        <v>1.1599999999999999</v>
      </c>
      <c r="K2751"/>
    </row>
    <row r="2752" spans="1:11" ht="24" customHeight="1">
      <c r="A2752" s="626" t="s">
        <v>12709</v>
      </c>
      <c r="B2752" s="627" t="s">
        <v>13194</v>
      </c>
      <c r="C2752" s="626" t="s">
        <v>8</v>
      </c>
      <c r="D2752" s="626" t="s">
        <v>10900</v>
      </c>
      <c r="E2752" s="804" t="s">
        <v>12720</v>
      </c>
      <c r="F2752" s="805"/>
      <c r="G2752" s="628" t="s">
        <v>17</v>
      </c>
      <c r="H2752" s="629">
        <v>1.4850000000000001</v>
      </c>
      <c r="I2752" s="630">
        <v>5.56</v>
      </c>
      <c r="J2752" s="630">
        <v>8.25</v>
      </c>
      <c r="K2752"/>
    </row>
    <row r="2753" spans="1:11" ht="24" customHeight="1">
      <c r="A2753" s="626" t="s">
        <v>12709</v>
      </c>
      <c r="B2753" s="627" t="s">
        <v>13190</v>
      </c>
      <c r="C2753" s="626" t="s">
        <v>8</v>
      </c>
      <c r="D2753" s="626" t="s">
        <v>11009</v>
      </c>
      <c r="E2753" s="804" t="s">
        <v>12720</v>
      </c>
      <c r="F2753" s="805"/>
      <c r="G2753" s="628" t="s">
        <v>20</v>
      </c>
      <c r="H2753" s="629">
        <v>7.0000000000000001E-3</v>
      </c>
      <c r="I2753" s="630">
        <v>11.18</v>
      </c>
      <c r="J2753" s="630">
        <v>7.0000000000000007E-2</v>
      </c>
      <c r="K2753"/>
    </row>
    <row r="2754" spans="1:11" ht="24" customHeight="1">
      <c r="A2754" s="631"/>
      <c r="B2754" s="631"/>
      <c r="C2754" s="631"/>
      <c r="D2754" s="631"/>
      <c r="E2754" s="631" t="s">
        <v>12714</v>
      </c>
      <c r="F2754" s="632">
        <v>0.5946588820413018</v>
      </c>
      <c r="G2754" s="631" t="s">
        <v>12715</v>
      </c>
      <c r="H2754" s="632">
        <v>0.51</v>
      </c>
      <c r="I2754" s="631" t="s">
        <v>12716</v>
      </c>
      <c r="J2754" s="632">
        <v>1.1000000000000001</v>
      </c>
      <c r="K2754"/>
    </row>
    <row r="2755" spans="1:11" ht="24" customHeight="1" thickBot="1">
      <c r="A2755" s="631"/>
      <c r="B2755" s="631"/>
      <c r="C2755" s="631"/>
      <c r="D2755" s="631"/>
      <c r="E2755" s="631" t="s">
        <v>12717</v>
      </c>
      <c r="F2755" s="632">
        <v>2.78</v>
      </c>
      <c r="G2755" s="631"/>
      <c r="H2755" s="806" t="s">
        <v>12718</v>
      </c>
      <c r="I2755" s="806"/>
      <c r="J2755" s="632">
        <v>12.65</v>
      </c>
      <c r="K2755"/>
    </row>
    <row r="2756" spans="1:11" ht="24" customHeight="1" thickTop="1">
      <c r="A2756" s="633"/>
      <c r="B2756" s="633"/>
      <c r="C2756" s="633"/>
      <c r="D2756" s="633"/>
      <c r="E2756" s="633"/>
      <c r="F2756" s="633"/>
      <c r="G2756" s="633"/>
      <c r="H2756" s="633"/>
      <c r="I2756" s="633"/>
      <c r="J2756" s="633"/>
      <c r="K2756"/>
    </row>
    <row r="2757" spans="1:11" ht="15">
      <c r="A2757" s="613"/>
      <c r="B2757" s="614" t="s">
        <v>12698</v>
      </c>
      <c r="C2757" s="613" t="s">
        <v>12699</v>
      </c>
      <c r="D2757" s="613" t="s">
        <v>12700</v>
      </c>
      <c r="E2757" s="807" t="s">
        <v>12701</v>
      </c>
      <c r="F2757" s="808"/>
      <c r="G2757" s="615" t="s">
        <v>12702</v>
      </c>
      <c r="H2757" s="614" t="s">
        <v>12703</v>
      </c>
      <c r="I2757" s="614" t="s">
        <v>12704</v>
      </c>
      <c r="J2757" s="614" t="s">
        <v>12705</v>
      </c>
      <c r="K2757"/>
    </row>
    <row r="2758" spans="1:11" ht="15" customHeight="1">
      <c r="A2758" s="616" t="s">
        <v>12706</v>
      </c>
      <c r="B2758" s="617" t="s">
        <v>13193</v>
      </c>
      <c r="C2758" s="616" t="s">
        <v>8</v>
      </c>
      <c r="D2758" s="616" t="s">
        <v>2648</v>
      </c>
      <c r="E2758" s="809" t="s">
        <v>12734</v>
      </c>
      <c r="F2758" s="810"/>
      <c r="G2758" s="618" t="s">
        <v>12725</v>
      </c>
      <c r="H2758" s="619">
        <v>1</v>
      </c>
      <c r="I2758" s="620">
        <v>65.91</v>
      </c>
      <c r="J2758" s="620">
        <v>65.91</v>
      </c>
      <c r="K2758"/>
    </row>
    <row r="2759" spans="1:11" ht="0.95" customHeight="1">
      <c r="A2759" s="621" t="s">
        <v>12708</v>
      </c>
      <c r="B2759" s="622" t="s">
        <v>13061</v>
      </c>
      <c r="C2759" s="621" t="s">
        <v>8</v>
      </c>
      <c r="D2759" s="621" t="s">
        <v>2467</v>
      </c>
      <c r="E2759" s="811" t="s">
        <v>12726</v>
      </c>
      <c r="F2759" s="812"/>
      <c r="G2759" s="623" t="s">
        <v>44</v>
      </c>
      <c r="H2759" s="624">
        <v>6.3E-2</v>
      </c>
      <c r="I2759" s="625">
        <v>16.2</v>
      </c>
      <c r="J2759" s="625">
        <v>1.02</v>
      </c>
      <c r="K2759"/>
    </row>
    <row r="2760" spans="1:11" ht="18" customHeight="1">
      <c r="A2760" s="621" t="s">
        <v>12708</v>
      </c>
      <c r="B2760" s="622" t="s">
        <v>13062</v>
      </c>
      <c r="C2760" s="621" t="s">
        <v>8</v>
      </c>
      <c r="D2760" s="621" t="s">
        <v>2468</v>
      </c>
      <c r="E2760" s="811" t="s">
        <v>12726</v>
      </c>
      <c r="F2760" s="812"/>
      <c r="G2760" s="623" t="s">
        <v>61</v>
      </c>
      <c r="H2760" s="624">
        <v>7.1999999999999995E-2</v>
      </c>
      <c r="I2760" s="625">
        <v>13.58</v>
      </c>
      <c r="J2760" s="625">
        <v>0.97</v>
      </c>
      <c r="K2760"/>
    </row>
    <row r="2761" spans="1:11" ht="60" customHeight="1">
      <c r="A2761" s="621" t="s">
        <v>12708</v>
      </c>
      <c r="B2761" s="622" t="s">
        <v>13095</v>
      </c>
      <c r="C2761" s="621" t="s">
        <v>8</v>
      </c>
      <c r="D2761" s="621" t="s">
        <v>45</v>
      </c>
      <c r="E2761" s="811" t="s">
        <v>12707</v>
      </c>
      <c r="F2761" s="812"/>
      <c r="G2761" s="623" t="s">
        <v>23</v>
      </c>
      <c r="H2761" s="624">
        <v>0.13500000000000001</v>
      </c>
      <c r="I2761" s="625">
        <v>14.91</v>
      </c>
      <c r="J2761" s="625">
        <v>2.0099999999999998</v>
      </c>
      <c r="K2761"/>
    </row>
    <row r="2762" spans="1:11" ht="24" customHeight="1">
      <c r="A2762" s="621" t="s">
        <v>12708</v>
      </c>
      <c r="B2762" s="622" t="s">
        <v>13191</v>
      </c>
      <c r="C2762" s="621" t="s">
        <v>8</v>
      </c>
      <c r="D2762" s="621" t="s">
        <v>46</v>
      </c>
      <c r="E2762" s="811" t="s">
        <v>12707</v>
      </c>
      <c r="F2762" s="812"/>
      <c r="G2762" s="623" t="s">
        <v>23</v>
      </c>
      <c r="H2762" s="624">
        <v>0.67500000000000004</v>
      </c>
      <c r="I2762" s="625">
        <v>17.64</v>
      </c>
      <c r="J2762" s="625">
        <v>11.9</v>
      </c>
      <c r="K2762"/>
    </row>
    <row r="2763" spans="1:11" ht="24" customHeight="1">
      <c r="A2763" s="626" t="s">
        <v>12709</v>
      </c>
      <c r="B2763" s="627" t="s">
        <v>13190</v>
      </c>
      <c r="C2763" s="626" t="s">
        <v>8</v>
      </c>
      <c r="D2763" s="626" t="s">
        <v>11009</v>
      </c>
      <c r="E2763" s="804" t="s">
        <v>12720</v>
      </c>
      <c r="F2763" s="805"/>
      <c r="G2763" s="628" t="s">
        <v>20</v>
      </c>
      <c r="H2763" s="629">
        <v>5.8999999999999997E-2</v>
      </c>
      <c r="I2763" s="630">
        <v>11.18</v>
      </c>
      <c r="J2763" s="630">
        <v>0.65</v>
      </c>
      <c r="K2763"/>
    </row>
    <row r="2764" spans="1:11" ht="24" customHeight="1">
      <c r="A2764" s="626" t="s">
        <v>12709</v>
      </c>
      <c r="B2764" s="627" t="s">
        <v>13091</v>
      </c>
      <c r="C2764" s="626" t="s">
        <v>8</v>
      </c>
      <c r="D2764" s="626" t="s">
        <v>11248</v>
      </c>
      <c r="E2764" s="804" t="s">
        <v>12720</v>
      </c>
      <c r="F2764" s="805"/>
      <c r="G2764" s="628" t="s">
        <v>17</v>
      </c>
      <c r="H2764" s="629">
        <v>7.165</v>
      </c>
      <c r="I2764" s="630">
        <v>2</v>
      </c>
      <c r="J2764" s="630">
        <v>14.33</v>
      </c>
      <c r="K2764"/>
    </row>
    <row r="2765" spans="1:11" ht="25.5">
      <c r="A2765" s="626" t="s">
        <v>12709</v>
      </c>
      <c r="B2765" s="627" t="s">
        <v>13189</v>
      </c>
      <c r="C2765" s="626" t="s">
        <v>8</v>
      </c>
      <c r="D2765" s="626" t="s">
        <v>11363</v>
      </c>
      <c r="E2765" s="804" t="s">
        <v>12720</v>
      </c>
      <c r="F2765" s="805"/>
      <c r="G2765" s="628" t="s">
        <v>17</v>
      </c>
      <c r="H2765" s="629">
        <v>4.0090000000000003</v>
      </c>
      <c r="I2765" s="630">
        <v>8.74</v>
      </c>
      <c r="J2765" s="630">
        <v>35.03</v>
      </c>
      <c r="K2765"/>
    </row>
    <row r="2766" spans="1:11" ht="15" customHeight="1">
      <c r="A2766" s="631"/>
      <c r="B2766" s="631"/>
      <c r="C2766" s="631"/>
      <c r="D2766" s="631"/>
      <c r="E2766" s="631" t="s">
        <v>12714</v>
      </c>
      <c r="F2766" s="632">
        <v>6.1303924748621466</v>
      </c>
      <c r="G2766" s="631" t="s">
        <v>12715</v>
      </c>
      <c r="H2766" s="632">
        <v>5.21</v>
      </c>
      <c r="I2766" s="631" t="s">
        <v>12716</v>
      </c>
      <c r="J2766" s="632">
        <v>11.34</v>
      </c>
      <c r="K2766"/>
    </row>
    <row r="2767" spans="1:11" ht="0.95" customHeight="1" thickBot="1">
      <c r="A2767" s="631"/>
      <c r="B2767" s="631"/>
      <c r="C2767" s="631"/>
      <c r="D2767" s="631"/>
      <c r="E2767" s="631" t="s">
        <v>12717</v>
      </c>
      <c r="F2767" s="632">
        <v>18.61</v>
      </c>
      <c r="G2767" s="631"/>
      <c r="H2767" s="806" t="s">
        <v>12718</v>
      </c>
      <c r="I2767" s="806"/>
      <c r="J2767" s="632">
        <v>84.52</v>
      </c>
      <c r="K2767"/>
    </row>
    <row r="2768" spans="1:11" ht="18" customHeight="1" thickTop="1">
      <c r="A2768" s="633"/>
      <c r="B2768" s="633"/>
      <c r="C2768" s="633"/>
      <c r="D2768" s="633"/>
      <c r="E2768" s="633"/>
      <c r="F2768" s="633"/>
      <c r="G2768" s="633"/>
      <c r="H2768" s="633"/>
      <c r="I2768" s="633"/>
      <c r="J2768" s="633"/>
      <c r="K2768"/>
    </row>
    <row r="2769" spans="1:11" ht="36" customHeight="1">
      <c r="A2769" s="613"/>
      <c r="B2769" s="614" t="s">
        <v>12698</v>
      </c>
      <c r="C2769" s="613" t="s">
        <v>12699</v>
      </c>
      <c r="D2769" s="613" t="s">
        <v>12700</v>
      </c>
      <c r="E2769" s="807" t="s">
        <v>12701</v>
      </c>
      <c r="F2769" s="808"/>
      <c r="G2769" s="615" t="s">
        <v>12702</v>
      </c>
      <c r="H2769" s="614" t="s">
        <v>12703</v>
      </c>
      <c r="I2769" s="614" t="s">
        <v>12704</v>
      </c>
      <c r="J2769" s="614" t="s">
        <v>12705</v>
      </c>
      <c r="K2769"/>
    </row>
    <row r="2770" spans="1:11" ht="36" customHeight="1">
      <c r="A2770" s="616" t="s">
        <v>12706</v>
      </c>
      <c r="B2770" s="617" t="s">
        <v>13192</v>
      </c>
      <c r="C2770" s="616" t="s">
        <v>8</v>
      </c>
      <c r="D2770" s="616" t="s">
        <v>2649</v>
      </c>
      <c r="E2770" s="809" t="s">
        <v>12734</v>
      </c>
      <c r="F2770" s="810"/>
      <c r="G2770" s="618" t="s">
        <v>12725</v>
      </c>
      <c r="H2770" s="619">
        <v>1</v>
      </c>
      <c r="I2770" s="620">
        <v>51.31</v>
      </c>
      <c r="J2770" s="620">
        <v>51.31</v>
      </c>
      <c r="K2770"/>
    </row>
    <row r="2771" spans="1:11" ht="36" customHeight="1">
      <c r="A2771" s="621" t="s">
        <v>12708</v>
      </c>
      <c r="B2771" s="622" t="s">
        <v>13061</v>
      </c>
      <c r="C2771" s="621" t="s">
        <v>8</v>
      </c>
      <c r="D2771" s="621" t="s">
        <v>2467</v>
      </c>
      <c r="E2771" s="811" t="s">
        <v>12726</v>
      </c>
      <c r="F2771" s="812"/>
      <c r="G2771" s="623" t="s">
        <v>44</v>
      </c>
      <c r="H2771" s="624">
        <v>0.05</v>
      </c>
      <c r="I2771" s="625">
        <v>16.2</v>
      </c>
      <c r="J2771" s="625">
        <v>0.81</v>
      </c>
      <c r="K2771"/>
    </row>
    <row r="2772" spans="1:11" ht="24" customHeight="1">
      <c r="A2772" s="621" t="s">
        <v>12708</v>
      </c>
      <c r="B2772" s="622" t="s">
        <v>13062</v>
      </c>
      <c r="C2772" s="621" t="s">
        <v>8</v>
      </c>
      <c r="D2772" s="621" t="s">
        <v>2468</v>
      </c>
      <c r="E2772" s="811" t="s">
        <v>12726</v>
      </c>
      <c r="F2772" s="812"/>
      <c r="G2772" s="623" t="s">
        <v>61</v>
      </c>
      <c r="H2772" s="624">
        <v>3.7999999999999999E-2</v>
      </c>
      <c r="I2772" s="625">
        <v>13.58</v>
      </c>
      <c r="J2772" s="625">
        <v>0.51</v>
      </c>
      <c r="K2772"/>
    </row>
    <row r="2773" spans="1:11" ht="25.5">
      <c r="A2773" s="621" t="s">
        <v>12708</v>
      </c>
      <c r="B2773" s="622" t="s">
        <v>13095</v>
      </c>
      <c r="C2773" s="621" t="s">
        <v>8</v>
      </c>
      <c r="D2773" s="621" t="s">
        <v>45</v>
      </c>
      <c r="E2773" s="811" t="s">
        <v>12707</v>
      </c>
      <c r="F2773" s="812"/>
      <c r="G2773" s="623" t="s">
        <v>23</v>
      </c>
      <c r="H2773" s="624">
        <v>8.7999999999999995E-2</v>
      </c>
      <c r="I2773" s="625">
        <v>14.91</v>
      </c>
      <c r="J2773" s="625">
        <v>1.31</v>
      </c>
      <c r="K2773"/>
    </row>
    <row r="2774" spans="1:11" ht="15" customHeight="1">
      <c r="A2774" s="621" t="s">
        <v>12708</v>
      </c>
      <c r="B2774" s="622" t="s">
        <v>13191</v>
      </c>
      <c r="C2774" s="621" t="s">
        <v>8</v>
      </c>
      <c r="D2774" s="621" t="s">
        <v>46</v>
      </c>
      <c r="E2774" s="811" t="s">
        <v>12707</v>
      </c>
      <c r="F2774" s="812"/>
      <c r="G2774" s="623" t="s">
        <v>23</v>
      </c>
      <c r="H2774" s="624">
        <v>0.438</v>
      </c>
      <c r="I2774" s="625">
        <v>17.64</v>
      </c>
      <c r="J2774" s="625">
        <v>7.72</v>
      </c>
      <c r="K2774"/>
    </row>
    <row r="2775" spans="1:11" ht="0.95" customHeight="1">
      <c r="A2775" s="626" t="s">
        <v>12709</v>
      </c>
      <c r="B2775" s="627" t="s">
        <v>13190</v>
      </c>
      <c r="C2775" s="626" t="s">
        <v>8</v>
      </c>
      <c r="D2775" s="626" t="s">
        <v>11009</v>
      </c>
      <c r="E2775" s="804" t="s">
        <v>12720</v>
      </c>
      <c r="F2775" s="805"/>
      <c r="G2775" s="628" t="s">
        <v>20</v>
      </c>
      <c r="H2775" s="629">
        <v>3.1E-2</v>
      </c>
      <c r="I2775" s="630">
        <v>11.18</v>
      </c>
      <c r="J2775" s="630">
        <v>0.34</v>
      </c>
      <c r="K2775"/>
    </row>
    <row r="2776" spans="1:11" ht="18" customHeight="1">
      <c r="A2776" s="626" t="s">
        <v>12709</v>
      </c>
      <c r="B2776" s="627" t="s">
        <v>13091</v>
      </c>
      <c r="C2776" s="626" t="s">
        <v>8</v>
      </c>
      <c r="D2776" s="626" t="s">
        <v>11248</v>
      </c>
      <c r="E2776" s="804" t="s">
        <v>12720</v>
      </c>
      <c r="F2776" s="805"/>
      <c r="G2776" s="628" t="s">
        <v>17</v>
      </c>
      <c r="H2776" s="629">
        <v>4.1180000000000003</v>
      </c>
      <c r="I2776" s="630">
        <v>2</v>
      </c>
      <c r="J2776" s="630">
        <v>8.23</v>
      </c>
      <c r="K2776"/>
    </row>
    <row r="2777" spans="1:11" ht="36" customHeight="1">
      <c r="A2777" s="626" t="s">
        <v>12709</v>
      </c>
      <c r="B2777" s="627" t="s">
        <v>13189</v>
      </c>
      <c r="C2777" s="626" t="s">
        <v>8</v>
      </c>
      <c r="D2777" s="626" t="s">
        <v>11363</v>
      </c>
      <c r="E2777" s="804" t="s">
        <v>12720</v>
      </c>
      <c r="F2777" s="805"/>
      <c r="G2777" s="628" t="s">
        <v>17</v>
      </c>
      <c r="H2777" s="629">
        <v>3.7069999999999999</v>
      </c>
      <c r="I2777" s="630">
        <v>8.74</v>
      </c>
      <c r="J2777" s="630">
        <v>32.39</v>
      </c>
      <c r="K2777"/>
    </row>
    <row r="2778" spans="1:11" ht="36" customHeight="1">
      <c r="A2778" s="631"/>
      <c r="B2778" s="631"/>
      <c r="C2778" s="631"/>
      <c r="D2778" s="631"/>
      <c r="E2778" s="631" t="s">
        <v>12714</v>
      </c>
      <c r="F2778" s="632">
        <v>3.9788085198399825</v>
      </c>
      <c r="G2778" s="631" t="s">
        <v>12715</v>
      </c>
      <c r="H2778" s="632">
        <v>3.38</v>
      </c>
      <c r="I2778" s="631" t="s">
        <v>12716</v>
      </c>
      <c r="J2778" s="632">
        <v>7.36</v>
      </c>
      <c r="K2778"/>
    </row>
    <row r="2779" spans="1:11" ht="36" customHeight="1" thickBot="1">
      <c r="A2779" s="631"/>
      <c r="B2779" s="631"/>
      <c r="C2779" s="631"/>
      <c r="D2779" s="631"/>
      <c r="E2779" s="631" t="s">
        <v>12717</v>
      </c>
      <c r="F2779" s="632">
        <v>14.48</v>
      </c>
      <c r="G2779" s="631"/>
      <c r="H2779" s="806" t="s">
        <v>12718</v>
      </c>
      <c r="I2779" s="806"/>
      <c r="J2779" s="632">
        <v>65.790000000000006</v>
      </c>
      <c r="K2779"/>
    </row>
    <row r="2780" spans="1:11" ht="36" customHeight="1" thickTop="1">
      <c r="A2780" s="633"/>
      <c r="B2780" s="633"/>
      <c r="C2780" s="633"/>
      <c r="D2780" s="633"/>
      <c r="E2780" s="633"/>
      <c r="F2780" s="633"/>
      <c r="G2780" s="633"/>
      <c r="H2780" s="633"/>
      <c r="I2780" s="633"/>
      <c r="J2780" s="633"/>
      <c r="K2780"/>
    </row>
    <row r="2781" spans="1:11" ht="36" customHeight="1">
      <c r="A2781" s="613"/>
      <c r="B2781" s="614" t="s">
        <v>12698</v>
      </c>
      <c r="C2781" s="613" t="s">
        <v>12699</v>
      </c>
      <c r="D2781" s="613" t="s">
        <v>12700</v>
      </c>
      <c r="E2781" s="807" t="s">
        <v>12701</v>
      </c>
      <c r="F2781" s="808"/>
      <c r="G2781" s="615" t="s">
        <v>12702</v>
      </c>
      <c r="H2781" s="614" t="s">
        <v>12703</v>
      </c>
      <c r="I2781" s="614" t="s">
        <v>12704</v>
      </c>
      <c r="J2781" s="614" t="s">
        <v>12705</v>
      </c>
      <c r="K2781"/>
    </row>
    <row r="2782" spans="1:11" ht="24" customHeight="1">
      <c r="A2782" s="616" t="s">
        <v>12706</v>
      </c>
      <c r="B2782" s="617" t="s">
        <v>13188</v>
      </c>
      <c r="C2782" s="616" t="s">
        <v>8</v>
      </c>
      <c r="D2782" s="616" t="s">
        <v>2375</v>
      </c>
      <c r="E2782" s="809" t="s">
        <v>12819</v>
      </c>
      <c r="F2782" s="810"/>
      <c r="G2782" s="618" t="s">
        <v>17</v>
      </c>
      <c r="H2782" s="619">
        <v>1</v>
      </c>
      <c r="I2782" s="620">
        <v>2.21</v>
      </c>
      <c r="J2782" s="620">
        <v>2.21</v>
      </c>
      <c r="K2782"/>
    </row>
    <row r="2783" spans="1:11" ht="25.5">
      <c r="A2783" s="621" t="s">
        <v>12708</v>
      </c>
      <c r="B2783" s="622" t="s">
        <v>13187</v>
      </c>
      <c r="C2783" s="621" t="s">
        <v>8</v>
      </c>
      <c r="D2783" s="621" t="s">
        <v>1516</v>
      </c>
      <c r="E2783" s="811" t="s">
        <v>12707</v>
      </c>
      <c r="F2783" s="812"/>
      <c r="G2783" s="623" t="s">
        <v>23</v>
      </c>
      <c r="H2783" s="624">
        <v>0.01</v>
      </c>
      <c r="I2783" s="625">
        <v>13.87</v>
      </c>
      <c r="J2783" s="625">
        <v>0.13</v>
      </c>
      <c r="K2783"/>
    </row>
    <row r="2784" spans="1:11" ht="15" customHeight="1">
      <c r="A2784" s="621" t="s">
        <v>12708</v>
      </c>
      <c r="B2784" s="622" t="s">
        <v>12981</v>
      </c>
      <c r="C2784" s="621" t="s">
        <v>8</v>
      </c>
      <c r="D2784" s="621" t="s">
        <v>50</v>
      </c>
      <c r="E2784" s="811" t="s">
        <v>12707</v>
      </c>
      <c r="F2784" s="812"/>
      <c r="G2784" s="623" t="s">
        <v>23</v>
      </c>
      <c r="H2784" s="624">
        <v>6.9000000000000006E-2</v>
      </c>
      <c r="I2784" s="625">
        <v>17.79</v>
      </c>
      <c r="J2784" s="625">
        <v>1.22</v>
      </c>
      <c r="K2784"/>
    </row>
    <row r="2785" spans="1:11" ht="0.95" customHeight="1">
      <c r="A2785" s="626" t="s">
        <v>12709</v>
      </c>
      <c r="B2785" s="627" t="s">
        <v>13186</v>
      </c>
      <c r="C2785" s="626" t="s">
        <v>8</v>
      </c>
      <c r="D2785" s="626" t="s">
        <v>7217</v>
      </c>
      <c r="E2785" s="804" t="s">
        <v>12720</v>
      </c>
      <c r="F2785" s="805"/>
      <c r="G2785" s="628" t="s">
        <v>35</v>
      </c>
      <c r="H2785" s="629">
        <v>0.65</v>
      </c>
      <c r="I2785" s="630">
        <v>1.33</v>
      </c>
      <c r="J2785" s="630">
        <v>0.86</v>
      </c>
      <c r="K2785"/>
    </row>
    <row r="2786" spans="1:11" ht="18" customHeight="1">
      <c r="A2786" s="631"/>
      <c r="B2786" s="631"/>
      <c r="C2786" s="631"/>
      <c r="D2786" s="631"/>
      <c r="E2786" s="631" t="s">
        <v>12714</v>
      </c>
      <c r="F2786" s="632">
        <v>0.5460049735106498</v>
      </c>
      <c r="G2786" s="631" t="s">
        <v>12715</v>
      </c>
      <c r="H2786" s="632">
        <v>0.46</v>
      </c>
      <c r="I2786" s="631" t="s">
        <v>12716</v>
      </c>
      <c r="J2786" s="632">
        <v>1.01</v>
      </c>
      <c r="K2786"/>
    </row>
    <row r="2787" spans="1:11" ht="36" customHeight="1" thickBot="1">
      <c r="A2787" s="631"/>
      <c r="B2787" s="631"/>
      <c r="C2787" s="631"/>
      <c r="D2787" s="631"/>
      <c r="E2787" s="631" t="s">
        <v>12717</v>
      </c>
      <c r="F2787" s="632">
        <v>0.62</v>
      </c>
      <c r="G2787" s="631"/>
      <c r="H2787" s="806" t="s">
        <v>12718</v>
      </c>
      <c r="I2787" s="806"/>
      <c r="J2787" s="632">
        <v>2.83</v>
      </c>
      <c r="K2787"/>
    </row>
    <row r="2788" spans="1:11" ht="24" customHeight="1" thickTop="1">
      <c r="A2788" s="633"/>
      <c r="B2788" s="633"/>
      <c r="C2788" s="633"/>
      <c r="D2788" s="633"/>
      <c r="E2788" s="633"/>
      <c r="F2788" s="633"/>
      <c r="G2788" s="633"/>
      <c r="H2788" s="633"/>
      <c r="I2788" s="633"/>
      <c r="J2788" s="633"/>
      <c r="K2788"/>
    </row>
    <row r="2789" spans="1:11" ht="15">
      <c r="A2789" s="613"/>
      <c r="B2789" s="614" t="s">
        <v>12698</v>
      </c>
      <c r="C2789" s="613" t="s">
        <v>12699</v>
      </c>
      <c r="D2789" s="613" t="s">
        <v>12700</v>
      </c>
      <c r="E2789" s="807" t="s">
        <v>12701</v>
      </c>
      <c r="F2789" s="808"/>
      <c r="G2789" s="615" t="s">
        <v>12702</v>
      </c>
      <c r="H2789" s="614" t="s">
        <v>12703</v>
      </c>
      <c r="I2789" s="614" t="s">
        <v>12704</v>
      </c>
      <c r="J2789" s="614" t="s">
        <v>12705</v>
      </c>
      <c r="K2789"/>
    </row>
    <row r="2790" spans="1:11" ht="15" customHeight="1">
      <c r="A2790" s="616" t="s">
        <v>12706</v>
      </c>
      <c r="B2790" s="617" t="s">
        <v>13185</v>
      </c>
      <c r="C2790" s="616" t="s">
        <v>8</v>
      </c>
      <c r="D2790" s="616" t="s">
        <v>3199</v>
      </c>
      <c r="E2790" s="809" t="s">
        <v>12726</v>
      </c>
      <c r="F2790" s="810"/>
      <c r="G2790" s="618" t="s">
        <v>61</v>
      </c>
      <c r="H2790" s="619">
        <v>1</v>
      </c>
      <c r="I2790" s="620">
        <v>13.29</v>
      </c>
      <c r="J2790" s="620">
        <v>13.29</v>
      </c>
      <c r="K2790"/>
    </row>
    <row r="2791" spans="1:11" ht="0.95" customHeight="1">
      <c r="A2791" s="621" t="s">
        <v>12708</v>
      </c>
      <c r="B2791" s="622" t="s">
        <v>13183</v>
      </c>
      <c r="C2791" s="621" t="s">
        <v>8</v>
      </c>
      <c r="D2791" s="621" t="s">
        <v>3194</v>
      </c>
      <c r="E2791" s="811" t="s">
        <v>12726</v>
      </c>
      <c r="F2791" s="812"/>
      <c r="G2791" s="623" t="s">
        <v>23</v>
      </c>
      <c r="H2791" s="624">
        <v>1</v>
      </c>
      <c r="I2791" s="625">
        <v>0.27</v>
      </c>
      <c r="J2791" s="625">
        <v>0.27</v>
      </c>
      <c r="K2791"/>
    </row>
    <row r="2792" spans="1:11" ht="18" customHeight="1">
      <c r="A2792" s="621" t="s">
        <v>12708</v>
      </c>
      <c r="B2792" s="622" t="s">
        <v>13182</v>
      </c>
      <c r="C2792" s="621" t="s">
        <v>8</v>
      </c>
      <c r="D2792" s="621" t="s">
        <v>3195</v>
      </c>
      <c r="E2792" s="811" t="s">
        <v>12726</v>
      </c>
      <c r="F2792" s="812"/>
      <c r="G2792" s="623" t="s">
        <v>23</v>
      </c>
      <c r="H2792" s="624">
        <v>1</v>
      </c>
      <c r="I2792" s="625">
        <v>0.03</v>
      </c>
      <c r="J2792" s="625">
        <v>0.03</v>
      </c>
      <c r="K2792"/>
    </row>
    <row r="2793" spans="1:11" ht="36" customHeight="1">
      <c r="A2793" s="621" t="s">
        <v>12708</v>
      </c>
      <c r="B2793" s="622" t="s">
        <v>13113</v>
      </c>
      <c r="C2793" s="621" t="s">
        <v>8</v>
      </c>
      <c r="D2793" s="621" t="s">
        <v>275</v>
      </c>
      <c r="E2793" s="811" t="s">
        <v>12707</v>
      </c>
      <c r="F2793" s="812"/>
      <c r="G2793" s="623" t="s">
        <v>23</v>
      </c>
      <c r="H2793" s="624">
        <v>1</v>
      </c>
      <c r="I2793" s="625">
        <v>12.99</v>
      </c>
      <c r="J2793" s="625">
        <v>12.99</v>
      </c>
      <c r="K2793"/>
    </row>
    <row r="2794" spans="1:11" ht="24" customHeight="1">
      <c r="A2794" s="631"/>
      <c r="B2794" s="631"/>
      <c r="C2794" s="631"/>
      <c r="D2794" s="631"/>
      <c r="E2794" s="631" t="s">
        <v>12714</v>
      </c>
      <c r="F2794" s="632">
        <v>4.8599848999999997</v>
      </c>
      <c r="G2794" s="631" t="s">
        <v>12715</v>
      </c>
      <c r="H2794" s="632">
        <v>4.13</v>
      </c>
      <c r="I2794" s="631" t="s">
        <v>12716</v>
      </c>
      <c r="J2794" s="632">
        <v>8.99</v>
      </c>
      <c r="K2794"/>
    </row>
    <row r="2795" spans="1:11" ht="15" customHeight="1" thickBot="1">
      <c r="A2795" s="631"/>
      <c r="B2795" s="631"/>
      <c r="C2795" s="631"/>
      <c r="D2795" s="631"/>
      <c r="E2795" s="631" t="s">
        <v>12717</v>
      </c>
      <c r="F2795" s="632">
        <v>3.75</v>
      </c>
      <c r="G2795" s="631"/>
      <c r="H2795" s="806" t="s">
        <v>12718</v>
      </c>
      <c r="I2795" s="806"/>
      <c r="J2795" s="632">
        <v>17.04</v>
      </c>
      <c r="K2795"/>
    </row>
    <row r="2796" spans="1:11" ht="15" customHeight="1" thickTop="1">
      <c r="A2796" s="633"/>
      <c r="B2796" s="633"/>
      <c r="C2796" s="633"/>
      <c r="D2796" s="633"/>
      <c r="E2796" s="633"/>
      <c r="F2796" s="633"/>
      <c r="G2796" s="633"/>
      <c r="H2796" s="633"/>
      <c r="I2796" s="633"/>
      <c r="J2796" s="633"/>
      <c r="K2796"/>
    </row>
    <row r="2797" spans="1:11" ht="0.95" customHeight="1">
      <c r="A2797" s="613"/>
      <c r="B2797" s="614" t="s">
        <v>12698</v>
      </c>
      <c r="C2797" s="613" t="s">
        <v>12699</v>
      </c>
      <c r="D2797" s="613" t="s">
        <v>12700</v>
      </c>
      <c r="E2797" s="807" t="s">
        <v>12701</v>
      </c>
      <c r="F2797" s="808"/>
      <c r="G2797" s="615" t="s">
        <v>12702</v>
      </c>
      <c r="H2797" s="614" t="s">
        <v>12703</v>
      </c>
      <c r="I2797" s="614" t="s">
        <v>12704</v>
      </c>
      <c r="J2797" s="614" t="s">
        <v>12705</v>
      </c>
      <c r="K2797"/>
    </row>
    <row r="2798" spans="1:11" ht="18" customHeight="1">
      <c r="A2798" s="616" t="s">
        <v>12706</v>
      </c>
      <c r="B2798" s="617" t="s">
        <v>13184</v>
      </c>
      <c r="C2798" s="616" t="s">
        <v>8</v>
      </c>
      <c r="D2798" s="616" t="s">
        <v>3198</v>
      </c>
      <c r="E2798" s="809" t="s">
        <v>12726</v>
      </c>
      <c r="F2798" s="810"/>
      <c r="G2798" s="618" t="s">
        <v>44</v>
      </c>
      <c r="H2798" s="619">
        <v>1</v>
      </c>
      <c r="I2798" s="620">
        <v>14.18</v>
      </c>
      <c r="J2798" s="620">
        <v>14.18</v>
      </c>
      <c r="K2798"/>
    </row>
    <row r="2799" spans="1:11" ht="36" customHeight="1">
      <c r="A2799" s="621" t="s">
        <v>12708</v>
      </c>
      <c r="B2799" s="622" t="s">
        <v>13183</v>
      </c>
      <c r="C2799" s="621" t="s">
        <v>8</v>
      </c>
      <c r="D2799" s="621" t="s">
        <v>3194</v>
      </c>
      <c r="E2799" s="811" t="s">
        <v>12726</v>
      </c>
      <c r="F2799" s="812"/>
      <c r="G2799" s="623" t="s">
        <v>23</v>
      </c>
      <c r="H2799" s="624">
        <v>1</v>
      </c>
      <c r="I2799" s="625">
        <v>0.27</v>
      </c>
      <c r="J2799" s="625">
        <v>0.27</v>
      </c>
      <c r="K2799"/>
    </row>
    <row r="2800" spans="1:11" ht="24" customHeight="1">
      <c r="A2800" s="621" t="s">
        <v>12708</v>
      </c>
      <c r="B2800" s="622" t="s">
        <v>13182</v>
      </c>
      <c r="C2800" s="621" t="s">
        <v>8</v>
      </c>
      <c r="D2800" s="621" t="s">
        <v>3195</v>
      </c>
      <c r="E2800" s="811" t="s">
        <v>12726</v>
      </c>
      <c r="F2800" s="812"/>
      <c r="G2800" s="623" t="s">
        <v>23</v>
      </c>
      <c r="H2800" s="624">
        <v>1</v>
      </c>
      <c r="I2800" s="625">
        <v>0.03</v>
      </c>
      <c r="J2800" s="625">
        <v>0.03</v>
      </c>
      <c r="K2800"/>
    </row>
    <row r="2801" spans="1:11" ht="25.5" customHeight="1">
      <c r="A2801" s="621" t="s">
        <v>12708</v>
      </c>
      <c r="B2801" s="622" t="s">
        <v>13181</v>
      </c>
      <c r="C2801" s="621" t="s">
        <v>8</v>
      </c>
      <c r="D2801" s="621" t="s">
        <v>3196</v>
      </c>
      <c r="E2801" s="811" t="s">
        <v>12726</v>
      </c>
      <c r="F2801" s="812"/>
      <c r="G2801" s="623" t="s">
        <v>23</v>
      </c>
      <c r="H2801" s="624">
        <v>1</v>
      </c>
      <c r="I2801" s="625">
        <v>0.26</v>
      </c>
      <c r="J2801" s="625">
        <v>0.26</v>
      </c>
      <c r="K2801"/>
    </row>
    <row r="2802" spans="1:11" ht="15" customHeight="1">
      <c r="A2802" s="621" t="s">
        <v>12708</v>
      </c>
      <c r="B2802" s="622" t="s">
        <v>13179</v>
      </c>
      <c r="C2802" s="621" t="s">
        <v>8</v>
      </c>
      <c r="D2802" s="621" t="s">
        <v>3197</v>
      </c>
      <c r="E2802" s="811" t="s">
        <v>12726</v>
      </c>
      <c r="F2802" s="812"/>
      <c r="G2802" s="623" t="s">
        <v>23</v>
      </c>
      <c r="H2802" s="624">
        <v>1</v>
      </c>
      <c r="I2802" s="625">
        <v>0.63</v>
      </c>
      <c r="J2802" s="625">
        <v>0.63</v>
      </c>
      <c r="K2802"/>
    </row>
    <row r="2803" spans="1:11" ht="0.95" customHeight="1">
      <c r="A2803" s="621" t="s">
        <v>12708</v>
      </c>
      <c r="B2803" s="622" t="s">
        <v>13113</v>
      </c>
      <c r="C2803" s="621" t="s">
        <v>8</v>
      </c>
      <c r="D2803" s="621" t="s">
        <v>275</v>
      </c>
      <c r="E2803" s="811" t="s">
        <v>12707</v>
      </c>
      <c r="F2803" s="812"/>
      <c r="G2803" s="623" t="s">
        <v>23</v>
      </c>
      <c r="H2803" s="624">
        <v>1</v>
      </c>
      <c r="I2803" s="625">
        <v>12.99</v>
      </c>
      <c r="J2803" s="625">
        <v>12.99</v>
      </c>
      <c r="K2803"/>
    </row>
    <row r="2804" spans="1:11" ht="18" customHeight="1">
      <c r="A2804" s="631"/>
      <c r="B2804" s="631"/>
      <c r="C2804" s="631"/>
      <c r="D2804" s="631"/>
      <c r="E2804" s="631" t="s">
        <v>12714</v>
      </c>
      <c r="F2804" s="632">
        <v>4.8599848999999997</v>
      </c>
      <c r="G2804" s="631" t="s">
        <v>12715</v>
      </c>
      <c r="H2804" s="632">
        <v>4.13</v>
      </c>
      <c r="I2804" s="631" t="s">
        <v>12716</v>
      </c>
      <c r="J2804" s="632">
        <v>8.99</v>
      </c>
      <c r="K2804"/>
    </row>
    <row r="2805" spans="1:11" ht="36" customHeight="1" thickBot="1">
      <c r="A2805" s="631"/>
      <c r="B2805" s="631"/>
      <c r="C2805" s="631"/>
      <c r="D2805" s="631"/>
      <c r="E2805" s="631" t="s">
        <v>12717</v>
      </c>
      <c r="F2805" s="632">
        <v>4</v>
      </c>
      <c r="G2805" s="631"/>
      <c r="H2805" s="806" t="s">
        <v>12718</v>
      </c>
      <c r="I2805" s="806"/>
      <c r="J2805" s="632">
        <v>18.18</v>
      </c>
      <c r="K2805"/>
    </row>
    <row r="2806" spans="1:11" ht="24" customHeight="1" thickTop="1">
      <c r="A2806" s="633"/>
      <c r="B2806" s="633"/>
      <c r="C2806" s="633"/>
      <c r="D2806" s="633"/>
      <c r="E2806" s="633"/>
      <c r="F2806" s="633"/>
      <c r="G2806" s="633"/>
      <c r="H2806" s="633"/>
      <c r="I2806" s="633"/>
      <c r="J2806" s="633"/>
      <c r="K2806"/>
    </row>
    <row r="2807" spans="1:11" ht="15">
      <c r="A2807" s="613"/>
      <c r="B2807" s="614" t="s">
        <v>12698</v>
      </c>
      <c r="C2807" s="613" t="s">
        <v>12699</v>
      </c>
      <c r="D2807" s="613" t="s">
        <v>12700</v>
      </c>
      <c r="E2807" s="807" t="s">
        <v>12701</v>
      </c>
      <c r="F2807" s="808"/>
      <c r="G2807" s="615" t="s">
        <v>12702</v>
      </c>
      <c r="H2807" s="614" t="s">
        <v>12703</v>
      </c>
      <c r="I2807" s="614" t="s">
        <v>12704</v>
      </c>
      <c r="J2807" s="614" t="s">
        <v>12705</v>
      </c>
      <c r="K2807"/>
    </row>
    <row r="2808" spans="1:11" ht="15" customHeight="1">
      <c r="A2808" s="616" t="s">
        <v>12706</v>
      </c>
      <c r="B2808" s="617" t="s">
        <v>13183</v>
      </c>
      <c r="C2808" s="616" t="s">
        <v>8</v>
      </c>
      <c r="D2808" s="616" t="s">
        <v>3194</v>
      </c>
      <c r="E2808" s="809" t="s">
        <v>12726</v>
      </c>
      <c r="F2808" s="810"/>
      <c r="G2808" s="618" t="s">
        <v>23</v>
      </c>
      <c r="H2808" s="619">
        <v>1</v>
      </c>
      <c r="I2808" s="620">
        <v>0.27</v>
      </c>
      <c r="J2808" s="620">
        <v>0.27</v>
      </c>
      <c r="K2808"/>
    </row>
    <row r="2809" spans="1:11" ht="0.95" customHeight="1">
      <c r="A2809" s="626" t="s">
        <v>12709</v>
      </c>
      <c r="B2809" s="627" t="s">
        <v>13180</v>
      </c>
      <c r="C2809" s="626" t="s">
        <v>8</v>
      </c>
      <c r="D2809" s="626" t="s">
        <v>9587</v>
      </c>
      <c r="E2809" s="804" t="s">
        <v>12711</v>
      </c>
      <c r="F2809" s="805"/>
      <c r="G2809" s="628" t="s">
        <v>35</v>
      </c>
      <c r="H2809" s="629">
        <v>6.3999999999999997E-5</v>
      </c>
      <c r="I2809" s="630">
        <v>4374.55</v>
      </c>
      <c r="J2809" s="630">
        <v>0.27</v>
      </c>
      <c r="K2809"/>
    </row>
    <row r="2810" spans="1:11" ht="18" customHeight="1">
      <c r="A2810" s="631"/>
      <c r="B2810" s="631"/>
      <c r="C2810" s="631"/>
      <c r="D2810" s="631"/>
      <c r="E2810" s="631" t="s">
        <v>12714</v>
      </c>
      <c r="F2810" s="632">
        <v>0</v>
      </c>
      <c r="G2810" s="631" t="s">
        <v>12715</v>
      </c>
      <c r="H2810" s="632">
        <v>0</v>
      </c>
      <c r="I2810" s="631" t="s">
        <v>12716</v>
      </c>
      <c r="J2810" s="632">
        <v>0</v>
      </c>
      <c r="K2810"/>
    </row>
    <row r="2811" spans="1:11" ht="36" customHeight="1" thickBot="1">
      <c r="A2811" s="631"/>
      <c r="B2811" s="631"/>
      <c r="C2811" s="631"/>
      <c r="D2811" s="631"/>
      <c r="E2811" s="631" t="s">
        <v>12717</v>
      </c>
      <c r="F2811" s="632">
        <v>7.0000000000000007E-2</v>
      </c>
      <c r="G2811" s="631"/>
      <c r="H2811" s="806" t="s">
        <v>12718</v>
      </c>
      <c r="I2811" s="806"/>
      <c r="J2811" s="632">
        <v>0.34</v>
      </c>
      <c r="K2811"/>
    </row>
    <row r="2812" spans="1:11" ht="36" customHeight="1" thickTop="1">
      <c r="A2812" s="633"/>
      <c r="B2812" s="633"/>
      <c r="C2812" s="633"/>
      <c r="D2812" s="633"/>
      <c r="E2812" s="633"/>
      <c r="F2812" s="633"/>
      <c r="G2812" s="633"/>
      <c r="H2812" s="633"/>
      <c r="I2812" s="633"/>
      <c r="J2812" s="633"/>
      <c r="K2812"/>
    </row>
    <row r="2813" spans="1:11" ht="36" customHeight="1">
      <c r="A2813" s="613"/>
      <c r="B2813" s="614" t="s">
        <v>12698</v>
      </c>
      <c r="C2813" s="613" t="s">
        <v>12699</v>
      </c>
      <c r="D2813" s="613" t="s">
        <v>12700</v>
      </c>
      <c r="E2813" s="807" t="s">
        <v>12701</v>
      </c>
      <c r="F2813" s="808"/>
      <c r="G2813" s="615" t="s">
        <v>12702</v>
      </c>
      <c r="H2813" s="614" t="s">
        <v>12703</v>
      </c>
      <c r="I2813" s="614" t="s">
        <v>12704</v>
      </c>
      <c r="J2813" s="614" t="s">
        <v>12705</v>
      </c>
      <c r="K2813"/>
    </row>
    <row r="2814" spans="1:11" ht="36" customHeight="1">
      <c r="A2814" s="616" t="s">
        <v>12706</v>
      </c>
      <c r="B2814" s="617" t="s">
        <v>13182</v>
      </c>
      <c r="C2814" s="616" t="s">
        <v>8</v>
      </c>
      <c r="D2814" s="616" t="s">
        <v>3195</v>
      </c>
      <c r="E2814" s="809" t="s">
        <v>12726</v>
      </c>
      <c r="F2814" s="810"/>
      <c r="G2814" s="618" t="s">
        <v>23</v>
      </c>
      <c r="H2814" s="619">
        <v>1</v>
      </c>
      <c r="I2814" s="620">
        <v>0.03</v>
      </c>
      <c r="J2814" s="620">
        <v>0.03</v>
      </c>
      <c r="K2814"/>
    </row>
    <row r="2815" spans="1:11" ht="24" customHeight="1">
      <c r="A2815" s="626" t="s">
        <v>12709</v>
      </c>
      <c r="B2815" s="627" t="s">
        <v>13180</v>
      </c>
      <c r="C2815" s="626" t="s">
        <v>8</v>
      </c>
      <c r="D2815" s="626" t="s">
        <v>9587</v>
      </c>
      <c r="E2815" s="804" t="s">
        <v>12711</v>
      </c>
      <c r="F2815" s="805"/>
      <c r="G2815" s="628" t="s">
        <v>35</v>
      </c>
      <c r="H2815" s="629">
        <v>7.6000000000000001E-6</v>
      </c>
      <c r="I2815" s="630">
        <v>4374.55</v>
      </c>
      <c r="J2815" s="630">
        <v>0.03</v>
      </c>
      <c r="K2815"/>
    </row>
    <row r="2816" spans="1:11" ht="25.5">
      <c r="A2816" s="631"/>
      <c r="B2816" s="631"/>
      <c r="C2816" s="631"/>
      <c r="D2816" s="631"/>
      <c r="E2816" s="631" t="s">
        <v>12714</v>
      </c>
      <c r="F2816" s="632">
        <v>0</v>
      </c>
      <c r="G2816" s="631" t="s">
        <v>12715</v>
      </c>
      <c r="H2816" s="632">
        <v>0</v>
      </c>
      <c r="I2816" s="631" t="s">
        <v>12716</v>
      </c>
      <c r="J2816" s="632">
        <v>0</v>
      </c>
      <c r="K2816"/>
    </row>
    <row r="2817" spans="1:11" ht="15" customHeight="1" thickBot="1">
      <c r="A2817" s="631"/>
      <c r="B2817" s="631"/>
      <c r="C2817" s="631"/>
      <c r="D2817" s="631"/>
      <c r="E2817" s="631" t="s">
        <v>12717</v>
      </c>
      <c r="F2817" s="632">
        <v>0</v>
      </c>
      <c r="G2817" s="631"/>
      <c r="H2817" s="806" t="s">
        <v>12718</v>
      </c>
      <c r="I2817" s="806"/>
      <c r="J2817" s="632">
        <v>0.03</v>
      </c>
      <c r="K2817"/>
    </row>
    <row r="2818" spans="1:11" ht="0.95" customHeight="1" thickTop="1">
      <c r="A2818" s="633"/>
      <c r="B2818" s="633"/>
      <c r="C2818" s="633"/>
      <c r="D2818" s="633"/>
      <c r="E2818" s="633"/>
      <c r="F2818" s="633"/>
      <c r="G2818" s="633"/>
      <c r="H2818" s="633"/>
      <c r="I2818" s="633"/>
      <c r="J2818" s="633"/>
      <c r="K2818"/>
    </row>
    <row r="2819" spans="1:11" ht="18" customHeight="1">
      <c r="A2819" s="613"/>
      <c r="B2819" s="614" t="s">
        <v>12698</v>
      </c>
      <c r="C2819" s="613" t="s">
        <v>12699</v>
      </c>
      <c r="D2819" s="613" t="s">
        <v>12700</v>
      </c>
      <c r="E2819" s="807" t="s">
        <v>12701</v>
      </c>
      <c r="F2819" s="808"/>
      <c r="G2819" s="615" t="s">
        <v>12702</v>
      </c>
      <c r="H2819" s="614" t="s">
        <v>12703</v>
      </c>
      <c r="I2819" s="614" t="s">
        <v>12704</v>
      </c>
      <c r="J2819" s="614" t="s">
        <v>12705</v>
      </c>
      <c r="K2819"/>
    </row>
    <row r="2820" spans="1:11" ht="36" customHeight="1">
      <c r="A2820" s="616" t="s">
        <v>12706</v>
      </c>
      <c r="B2820" s="617" t="s">
        <v>13181</v>
      </c>
      <c r="C2820" s="616" t="s">
        <v>8</v>
      </c>
      <c r="D2820" s="616" t="s">
        <v>3196</v>
      </c>
      <c r="E2820" s="809" t="s">
        <v>12726</v>
      </c>
      <c r="F2820" s="810"/>
      <c r="G2820" s="618" t="s">
        <v>23</v>
      </c>
      <c r="H2820" s="619">
        <v>1</v>
      </c>
      <c r="I2820" s="620">
        <v>0.26</v>
      </c>
      <c r="J2820" s="620">
        <v>0.26</v>
      </c>
      <c r="K2820"/>
    </row>
    <row r="2821" spans="1:11" ht="36" customHeight="1">
      <c r="A2821" s="626" t="s">
        <v>12709</v>
      </c>
      <c r="B2821" s="627" t="s">
        <v>13180</v>
      </c>
      <c r="C2821" s="626" t="s">
        <v>8</v>
      </c>
      <c r="D2821" s="626" t="s">
        <v>9587</v>
      </c>
      <c r="E2821" s="804" t="s">
        <v>12711</v>
      </c>
      <c r="F2821" s="805"/>
      <c r="G2821" s="628" t="s">
        <v>35</v>
      </c>
      <c r="H2821" s="629">
        <v>6.0000000000000002E-5</v>
      </c>
      <c r="I2821" s="630">
        <v>4374.55</v>
      </c>
      <c r="J2821" s="630">
        <v>0.26</v>
      </c>
      <c r="K2821"/>
    </row>
    <row r="2822" spans="1:11" ht="36" customHeight="1">
      <c r="A2822" s="631"/>
      <c r="B2822" s="631"/>
      <c r="C2822" s="631"/>
      <c r="D2822" s="631"/>
      <c r="E2822" s="631" t="s">
        <v>12714</v>
      </c>
      <c r="F2822" s="632">
        <v>0</v>
      </c>
      <c r="G2822" s="631" t="s">
        <v>12715</v>
      </c>
      <c r="H2822" s="632">
        <v>0</v>
      </c>
      <c r="I2822" s="631" t="s">
        <v>12716</v>
      </c>
      <c r="J2822" s="632">
        <v>0</v>
      </c>
      <c r="K2822"/>
    </row>
    <row r="2823" spans="1:11" ht="36" customHeight="1" thickBot="1">
      <c r="A2823" s="631"/>
      <c r="B2823" s="631"/>
      <c r="C2823" s="631"/>
      <c r="D2823" s="631"/>
      <c r="E2823" s="631" t="s">
        <v>12717</v>
      </c>
      <c r="F2823" s="632">
        <v>7.0000000000000007E-2</v>
      </c>
      <c r="G2823" s="631"/>
      <c r="H2823" s="806" t="s">
        <v>12718</v>
      </c>
      <c r="I2823" s="806"/>
      <c r="J2823" s="632">
        <v>0.33</v>
      </c>
      <c r="K2823"/>
    </row>
    <row r="2824" spans="1:11" ht="36" customHeight="1" thickTop="1">
      <c r="A2824" s="633"/>
      <c r="B2824" s="633"/>
      <c r="C2824" s="633"/>
      <c r="D2824" s="633"/>
      <c r="E2824" s="633"/>
      <c r="F2824" s="633"/>
      <c r="G2824" s="633"/>
      <c r="H2824" s="633"/>
      <c r="I2824" s="633"/>
      <c r="J2824" s="633"/>
      <c r="K2824"/>
    </row>
    <row r="2825" spans="1:11" ht="36" customHeight="1">
      <c r="A2825" s="613"/>
      <c r="B2825" s="614" t="s">
        <v>12698</v>
      </c>
      <c r="C2825" s="613" t="s">
        <v>12699</v>
      </c>
      <c r="D2825" s="613" t="s">
        <v>12700</v>
      </c>
      <c r="E2825" s="807" t="s">
        <v>12701</v>
      </c>
      <c r="F2825" s="808"/>
      <c r="G2825" s="615" t="s">
        <v>12702</v>
      </c>
      <c r="H2825" s="614" t="s">
        <v>12703</v>
      </c>
      <c r="I2825" s="614" t="s">
        <v>12704</v>
      </c>
      <c r="J2825" s="614" t="s">
        <v>12705</v>
      </c>
      <c r="K2825"/>
    </row>
    <row r="2826" spans="1:11" ht="24" customHeight="1">
      <c r="A2826" s="616" t="s">
        <v>12706</v>
      </c>
      <c r="B2826" s="617" t="s">
        <v>13179</v>
      </c>
      <c r="C2826" s="616" t="s">
        <v>8</v>
      </c>
      <c r="D2826" s="616" t="s">
        <v>3197</v>
      </c>
      <c r="E2826" s="809" t="s">
        <v>12726</v>
      </c>
      <c r="F2826" s="810"/>
      <c r="G2826" s="618" t="s">
        <v>23</v>
      </c>
      <c r="H2826" s="619">
        <v>1</v>
      </c>
      <c r="I2826" s="620">
        <v>0.63</v>
      </c>
      <c r="J2826" s="620">
        <v>0.63</v>
      </c>
      <c r="K2826"/>
    </row>
    <row r="2827" spans="1:11">
      <c r="A2827" s="626" t="s">
        <v>12709</v>
      </c>
      <c r="B2827" s="627" t="s">
        <v>12987</v>
      </c>
      <c r="C2827" s="626" t="s">
        <v>8</v>
      </c>
      <c r="D2827" s="626" t="s">
        <v>9192</v>
      </c>
      <c r="E2827" s="804" t="s">
        <v>12720</v>
      </c>
      <c r="F2827" s="805"/>
      <c r="G2827" s="628" t="s">
        <v>12923</v>
      </c>
      <c r="H2827" s="629">
        <v>0.78</v>
      </c>
      <c r="I2827" s="630">
        <v>0.81</v>
      </c>
      <c r="J2827" s="630">
        <v>0.63</v>
      </c>
      <c r="K2827"/>
    </row>
    <row r="2828" spans="1:11" ht="15" customHeight="1">
      <c r="A2828" s="631"/>
      <c r="B2828" s="631"/>
      <c r="C2828" s="631"/>
      <c r="D2828" s="631"/>
      <c r="E2828" s="631" t="s">
        <v>12714</v>
      </c>
      <c r="F2828" s="632">
        <v>0</v>
      </c>
      <c r="G2828" s="631" t="s">
        <v>12715</v>
      </c>
      <c r="H2828" s="632">
        <v>0</v>
      </c>
      <c r="I2828" s="631" t="s">
        <v>12716</v>
      </c>
      <c r="J2828" s="632">
        <v>0</v>
      </c>
      <c r="K2828"/>
    </row>
    <row r="2829" spans="1:11" ht="0.95" customHeight="1" thickBot="1">
      <c r="A2829" s="631"/>
      <c r="B2829" s="631"/>
      <c r="C2829" s="631"/>
      <c r="D2829" s="631"/>
      <c r="E2829" s="631" t="s">
        <v>12717</v>
      </c>
      <c r="F2829" s="632">
        <v>0.17</v>
      </c>
      <c r="G2829" s="631"/>
      <c r="H2829" s="806" t="s">
        <v>12718</v>
      </c>
      <c r="I2829" s="806"/>
      <c r="J2829" s="632">
        <v>0.8</v>
      </c>
      <c r="K2829"/>
    </row>
    <row r="2830" spans="1:11" ht="18" customHeight="1" thickTop="1">
      <c r="A2830" s="633"/>
      <c r="B2830" s="633"/>
      <c r="C2830" s="633"/>
      <c r="D2830" s="633"/>
      <c r="E2830" s="633"/>
      <c r="F2830" s="633"/>
      <c r="G2830" s="633"/>
      <c r="H2830" s="633"/>
      <c r="I2830" s="633"/>
      <c r="J2830" s="633"/>
      <c r="K2830"/>
    </row>
    <row r="2831" spans="1:11" ht="36" customHeight="1">
      <c r="A2831" s="613"/>
      <c r="B2831" s="614" t="s">
        <v>12698</v>
      </c>
      <c r="C2831" s="613" t="s">
        <v>12699</v>
      </c>
      <c r="D2831" s="613" t="s">
        <v>12700</v>
      </c>
      <c r="E2831" s="807" t="s">
        <v>12701</v>
      </c>
      <c r="F2831" s="808"/>
      <c r="G2831" s="615" t="s">
        <v>12702</v>
      </c>
      <c r="H2831" s="614" t="s">
        <v>12703</v>
      </c>
      <c r="I2831" s="614" t="s">
        <v>12704</v>
      </c>
      <c r="J2831" s="614" t="s">
        <v>12705</v>
      </c>
      <c r="K2831"/>
    </row>
    <row r="2832" spans="1:11" ht="36" customHeight="1">
      <c r="A2832" s="616" t="s">
        <v>12706</v>
      </c>
      <c r="B2832" s="617" t="s">
        <v>13166</v>
      </c>
      <c r="C2832" s="616" t="s">
        <v>8</v>
      </c>
      <c r="D2832" s="616" t="s">
        <v>3205</v>
      </c>
      <c r="E2832" s="809" t="s">
        <v>12726</v>
      </c>
      <c r="F2832" s="810"/>
      <c r="G2832" s="618" t="s">
        <v>61</v>
      </c>
      <c r="H2832" s="619">
        <v>1</v>
      </c>
      <c r="I2832" s="620">
        <v>77.05</v>
      </c>
      <c r="J2832" s="620">
        <v>77.05</v>
      </c>
      <c r="K2832"/>
    </row>
    <row r="2833" spans="1:11" ht="38.25" customHeight="1">
      <c r="A2833" s="621" t="s">
        <v>12708</v>
      </c>
      <c r="B2833" s="622" t="s">
        <v>13178</v>
      </c>
      <c r="C2833" s="621" t="s">
        <v>8</v>
      </c>
      <c r="D2833" s="621" t="s">
        <v>3200</v>
      </c>
      <c r="E2833" s="811" t="s">
        <v>12726</v>
      </c>
      <c r="F2833" s="812"/>
      <c r="G2833" s="623" t="s">
        <v>23</v>
      </c>
      <c r="H2833" s="624">
        <v>1</v>
      </c>
      <c r="I2833" s="625">
        <v>50.81</v>
      </c>
      <c r="J2833" s="625">
        <v>50.81</v>
      </c>
      <c r="K2833"/>
    </row>
    <row r="2834" spans="1:11" ht="15" customHeight="1">
      <c r="A2834" s="621" t="s">
        <v>12708</v>
      </c>
      <c r="B2834" s="622" t="s">
        <v>13176</v>
      </c>
      <c r="C2834" s="621" t="s">
        <v>8</v>
      </c>
      <c r="D2834" s="621" t="s">
        <v>3201</v>
      </c>
      <c r="E2834" s="811" t="s">
        <v>12726</v>
      </c>
      <c r="F2834" s="812"/>
      <c r="G2834" s="623" t="s">
        <v>23</v>
      </c>
      <c r="H2834" s="624">
        <v>1</v>
      </c>
      <c r="I2834" s="625">
        <v>9.65</v>
      </c>
      <c r="J2834" s="625">
        <v>9.65</v>
      </c>
      <c r="K2834"/>
    </row>
    <row r="2835" spans="1:11" ht="0.95" customHeight="1">
      <c r="A2835" s="621" t="s">
        <v>12708</v>
      </c>
      <c r="B2835" s="622" t="s">
        <v>13177</v>
      </c>
      <c r="C2835" s="621" t="s">
        <v>8</v>
      </c>
      <c r="D2835" s="621" t="s">
        <v>3206</v>
      </c>
      <c r="E2835" s="811" t="s">
        <v>12726</v>
      </c>
      <c r="F2835" s="812"/>
      <c r="G2835" s="623" t="s">
        <v>23</v>
      </c>
      <c r="H2835" s="624">
        <v>1</v>
      </c>
      <c r="I2835" s="625">
        <v>3.55</v>
      </c>
      <c r="J2835" s="625">
        <v>3.55</v>
      </c>
      <c r="K2835"/>
    </row>
    <row r="2836" spans="1:11" ht="18" customHeight="1">
      <c r="A2836" s="621" t="s">
        <v>12708</v>
      </c>
      <c r="B2836" s="622" t="s">
        <v>13110</v>
      </c>
      <c r="C2836" s="621" t="s">
        <v>8</v>
      </c>
      <c r="D2836" s="621" t="s">
        <v>276</v>
      </c>
      <c r="E2836" s="811" t="s">
        <v>12707</v>
      </c>
      <c r="F2836" s="812"/>
      <c r="G2836" s="623" t="s">
        <v>23</v>
      </c>
      <c r="H2836" s="624">
        <v>1</v>
      </c>
      <c r="I2836" s="625">
        <v>13.04</v>
      </c>
      <c r="J2836" s="625">
        <v>13.04</v>
      </c>
      <c r="K2836"/>
    </row>
    <row r="2837" spans="1:11" ht="36" customHeight="1">
      <c r="A2837" s="631"/>
      <c r="B2837" s="631"/>
      <c r="C2837" s="631"/>
      <c r="D2837" s="631"/>
      <c r="E2837" s="631" t="s">
        <v>12714</v>
      </c>
      <c r="F2837" s="632">
        <v>4.8870148000000002</v>
      </c>
      <c r="G2837" s="631" t="s">
        <v>12715</v>
      </c>
      <c r="H2837" s="632">
        <v>4.1500000000000004</v>
      </c>
      <c r="I2837" s="631" t="s">
        <v>12716</v>
      </c>
      <c r="J2837" s="632">
        <v>9.0399999999999991</v>
      </c>
      <c r="K2837"/>
    </row>
    <row r="2838" spans="1:11" ht="36" customHeight="1" thickBot="1">
      <c r="A2838" s="631"/>
      <c r="B2838" s="631"/>
      <c r="C2838" s="631"/>
      <c r="D2838" s="631"/>
      <c r="E2838" s="631" t="s">
        <v>12717</v>
      </c>
      <c r="F2838" s="632">
        <v>21.75</v>
      </c>
      <c r="G2838" s="631"/>
      <c r="H2838" s="806" t="s">
        <v>12718</v>
      </c>
      <c r="I2838" s="806"/>
      <c r="J2838" s="632">
        <v>98.8</v>
      </c>
      <c r="K2838"/>
    </row>
    <row r="2839" spans="1:11" ht="15" thickTop="1">
      <c r="A2839" s="633"/>
      <c r="B2839" s="633"/>
      <c r="C2839" s="633"/>
      <c r="D2839" s="633"/>
      <c r="E2839" s="633"/>
      <c r="F2839" s="633"/>
      <c r="G2839" s="633"/>
      <c r="H2839" s="633"/>
      <c r="I2839" s="633"/>
      <c r="J2839" s="633"/>
      <c r="K2839"/>
    </row>
    <row r="2840" spans="1:11" ht="15" customHeight="1">
      <c r="A2840" s="613"/>
      <c r="B2840" s="614" t="s">
        <v>12698</v>
      </c>
      <c r="C2840" s="613" t="s">
        <v>12699</v>
      </c>
      <c r="D2840" s="613" t="s">
        <v>12700</v>
      </c>
      <c r="E2840" s="807" t="s">
        <v>12701</v>
      </c>
      <c r="F2840" s="808"/>
      <c r="G2840" s="615" t="s">
        <v>12702</v>
      </c>
      <c r="H2840" s="614" t="s">
        <v>12703</v>
      </c>
      <c r="I2840" s="614" t="s">
        <v>12704</v>
      </c>
      <c r="J2840" s="614" t="s">
        <v>12705</v>
      </c>
      <c r="K2840"/>
    </row>
    <row r="2841" spans="1:11" ht="0.95" customHeight="1">
      <c r="A2841" s="616" t="s">
        <v>12706</v>
      </c>
      <c r="B2841" s="617" t="s">
        <v>13167</v>
      </c>
      <c r="C2841" s="616" t="s">
        <v>8</v>
      </c>
      <c r="D2841" s="616" t="s">
        <v>3204</v>
      </c>
      <c r="E2841" s="809" t="s">
        <v>12726</v>
      </c>
      <c r="F2841" s="810"/>
      <c r="G2841" s="618" t="s">
        <v>44</v>
      </c>
      <c r="H2841" s="619">
        <v>1</v>
      </c>
      <c r="I2841" s="620">
        <v>337.75</v>
      </c>
      <c r="J2841" s="620">
        <v>337.75</v>
      </c>
      <c r="K2841"/>
    </row>
    <row r="2842" spans="1:11" ht="18" customHeight="1">
      <c r="A2842" s="621" t="s">
        <v>12708</v>
      </c>
      <c r="B2842" s="622" t="s">
        <v>13178</v>
      </c>
      <c r="C2842" s="621" t="s">
        <v>8</v>
      </c>
      <c r="D2842" s="621" t="s">
        <v>3200</v>
      </c>
      <c r="E2842" s="811" t="s">
        <v>12726</v>
      </c>
      <c r="F2842" s="812"/>
      <c r="G2842" s="623" t="s">
        <v>23</v>
      </c>
      <c r="H2842" s="624">
        <v>1</v>
      </c>
      <c r="I2842" s="625">
        <v>50.81</v>
      </c>
      <c r="J2842" s="625">
        <v>50.81</v>
      </c>
      <c r="K2842"/>
    </row>
    <row r="2843" spans="1:11" ht="36" customHeight="1">
      <c r="A2843" s="621" t="s">
        <v>12708</v>
      </c>
      <c r="B2843" s="622" t="s">
        <v>13176</v>
      </c>
      <c r="C2843" s="621" t="s">
        <v>8</v>
      </c>
      <c r="D2843" s="621" t="s">
        <v>3201</v>
      </c>
      <c r="E2843" s="811" t="s">
        <v>12726</v>
      </c>
      <c r="F2843" s="812"/>
      <c r="G2843" s="623" t="s">
        <v>23</v>
      </c>
      <c r="H2843" s="624">
        <v>1</v>
      </c>
      <c r="I2843" s="625">
        <v>9.65</v>
      </c>
      <c r="J2843" s="625">
        <v>9.65</v>
      </c>
      <c r="K2843"/>
    </row>
    <row r="2844" spans="1:11" ht="36" customHeight="1">
      <c r="A2844" s="621" t="s">
        <v>12708</v>
      </c>
      <c r="B2844" s="622" t="s">
        <v>13175</v>
      </c>
      <c r="C2844" s="621" t="s">
        <v>8</v>
      </c>
      <c r="D2844" s="621" t="s">
        <v>3202</v>
      </c>
      <c r="E2844" s="811" t="s">
        <v>12726</v>
      </c>
      <c r="F2844" s="812"/>
      <c r="G2844" s="623" t="s">
        <v>23</v>
      </c>
      <c r="H2844" s="624">
        <v>1</v>
      </c>
      <c r="I2844" s="625">
        <v>81.69</v>
      </c>
      <c r="J2844" s="625">
        <v>81.69</v>
      </c>
      <c r="K2844"/>
    </row>
    <row r="2845" spans="1:11" ht="38.25" customHeight="1">
      <c r="A2845" s="621" t="s">
        <v>12708</v>
      </c>
      <c r="B2845" s="622" t="s">
        <v>13173</v>
      </c>
      <c r="C2845" s="621" t="s">
        <v>8</v>
      </c>
      <c r="D2845" s="621" t="s">
        <v>3203</v>
      </c>
      <c r="E2845" s="811" t="s">
        <v>12726</v>
      </c>
      <c r="F2845" s="812"/>
      <c r="G2845" s="623" t="s">
        <v>23</v>
      </c>
      <c r="H2845" s="624">
        <v>1</v>
      </c>
      <c r="I2845" s="625">
        <v>179.01</v>
      </c>
      <c r="J2845" s="625">
        <v>179.01</v>
      </c>
      <c r="K2845"/>
    </row>
    <row r="2846" spans="1:11" ht="15" customHeight="1">
      <c r="A2846" s="621" t="s">
        <v>12708</v>
      </c>
      <c r="B2846" s="622" t="s">
        <v>13177</v>
      </c>
      <c r="C2846" s="621" t="s">
        <v>8</v>
      </c>
      <c r="D2846" s="621" t="s">
        <v>3206</v>
      </c>
      <c r="E2846" s="811" t="s">
        <v>12726</v>
      </c>
      <c r="F2846" s="812"/>
      <c r="G2846" s="623" t="s">
        <v>23</v>
      </c>
      <c r="H2846" s="624">
        <v>1</v>
      </c>
      <c r="I2846" s="625">
        <v>3.55</v>
      </c>
      <c r="J2846" s="625">
        <v>3.55</v>
      </c>
      <c r="K2846"/>
    </row>
    <row r="2847" spans="1:11" ht="0.95" customHeight="1">
      <c r="A2847" s="621" t="s">
        <v>12708</v>
      </c>
      <c r="B2847" s="622" t="s">
        <v>13110</v>
      </c>
      <c r="C2847" s="621" t="s">
        <v>8</v>
      </c>
      <c r="D2847" s="621" t="s">
        <v>276</v>
      </c>
      <c r="E2847" s="811" t="s">
        <v>12707</v>
      </c>
      <c r="F2847" s="812"/>
      <c r="G2847" s="623" t="s">
        <v>23</v>
      </c>
      <c r="H2847" s="624">
        <v>1</v>
      </c>
      <c r="I2847" s="625">
        <v>13.04</v>
      </c>
      <c r="J2847" s="625">
        <v>13.04</v>
      </c>
      <c r="K2847"/>
    </row>
    <row r="2848" spans="1:11" ht="18" customHeight="1">
      <c r="A2848" s="631"/>
      <c r="B2848" s="631"/>
      <c r="C2848" s="631"/>
      <c r="D2848" s="631"/>
      <c r="E2848" s="631" t="s">
        <v>12714</v>
      </c>
      <c r="F2848" s="632">
        <v>4.8870148000000002</v>
      </c>
      <c r="G2848" s="631" t="s">
        <v>12715</v>
      </c>
      <c r="H2848" s="632">
        <v>4.1500000000000004</v>
      </c>
      <c r="I2848" s="631" t="s">
        <v>12716</v>
      </c>
      <c r="J2848" s="632">
        <v>9.0399999999999991</v>
      </c>
      <c r="K2848"/>
    </row>
    <row r="2849" spans="1:11" ht="36" customHeight="1" thickBot="1">
      <c r="A2849" s="631"/>
      <c r="B2849" s="631"/>
      <c r="C2849" s="631"/>
      <c r="D2849" s="631"/>
      <c r="E2849" s="631" t="s">
        <v>12717</v>
      </c>
      <c r="F2849" s="632">
        <v>95.38</v>
      </c>
      <c r="G2849" s="631"/>
      <c r="H2849" s="806" t="s">
        <v>12718</v>
      </c>
      <c r="I2849" s="806"/>
      <c r="J2849" s="632">
        <v>433.13</v>
      </c>
      <c r="K2849"/>
    </row>
    <row r="2850" spans="1:11" ht="36" customHeight="1" thickTop="1">
      <c r="A2850" s="633"/>
      <c r="B2850" s="633"/>
      <c r="C2850" s="633"/>
      <c r="D2850" s="633"/>
      <c r="E2850" s="633"/>
      <c r="F2850" s="633"/>
      <c r="G2850" s="633"/>
      <c r="H2850" s="633"/>
      <c r="I2850" s="633"/>
      <c r="J2850" s="633"/>
      <c r="K2850"/>
    </row>
    <row r="2851" spans="1:11" ht="15">
      <c r="A2851" s="613"/>
      <c r="B2851" s="614" t="s">
        <v>12698</v>
      </c>
      <c r="C2851" s="613" t="s">
        <v>12699</v>
      </c>
      <c r="D2851" s="613" t="s">
        <v>12700</v>
      </c>
      <c r="E2851" s="807" t="s">
        <v>12701</v>
      </c>
      <c r="F2851" s="808"/>
      <c r="G2851" s="615" t="s">
        <v>12702</v>
      </c>
      <c r="H2851" s="614" t="s">
        <v>12703</v>
      </c>
      <c r="I2851" s="614" t="s">
        <v>12704</v>
      </c>
      <c r="J2851" s="614" t="s">
        <v>12705</v>
      </c>
      <c r="K2851"/>
    </row>
    <row r="2852" spans="1:11" ht="15" customHeight="1">
      <c r="A2852" s="616" t="s">
        <v>12706</v>
      </c>
      <c r="B2852" s="617" t="s">
        <v>13178</v>
      </c>
      <c r="C2852" s="616" t="s">
        <v>8</v>
      </c>
      <c r="D2852" s="616" t="s">
        <v>3200</v>
      </c>
      <c r="E2852" s="809" t="s">
        <v>12726</v>
      </c>
      <c r="F2852" s="810"/>
      <c r="G2852" s="618" t="s">
        <v>23</v>
      </c>
      <c r="H2852" s="619">
        <v>1</v>
      </c>
      <c r="I2852" s="620">
        <v>50.81</v>
      </c>
      <c r="J2852" s="620">
        <v>50.81</v>
      </c>
      <c r="K2852"/>
    </row>
    <row r="2853" spans="1:11" ht="0.95" customHeight="1">
      <c r="A2853" s="626" t="s">
        <v>12709</v>
      </c>
      <c r="B2853" s="627" t="s">
        <v>13174</v>
      </c>
      <c r="C2853" s="626" t="s">
        <v>8</v>
      </c>
      <c r="D2853" s="626" t="s">
        <v>9589</v>
      </c>
      <c r="E2853" s="804" t="s">
        <v>12711</v>
      </c>
      <c r="F2853" s="805"/>
      <c r="G2853" s="628" t="s">
        <v>35</v>
      </c>
      <c r="H2853" s="629">
        <v>4.0000000000000003E-5</v>
      </c>
      <c r="I2853" s="630">
        <v>1270494.75</v>
      </c>
      <c r="J2853" s="630">
        <v>50.81</v>
      </c>
      <c r="K2853"/>
    </row>
    <row r="2854" spans="1:11" ht="18" customHeight="1">
      <c r="A2854" s="631"/>
      <c r="B2854" s="631"/>
      <c r="C2854" s="631"/>
      <c r="D2854" s="631"/>
      <c r="E2854" s="631" t="s">
        <v>12714</v>
      </c>
      <c r="F2854" s="632">
        <v>0</v>
      </c>
      <c r="G2854" s="631" t="s">
        <v>12715</v>
      </c>
      <c r="H2854" s="632">
        <v>0</v>
      </c>
      <c r="I2854" s="631" t="s">
        <v>12716</v>
      </c>
      <c r="J2854" s="632">
        <v>0</v>
      </c>
      <c r="K2854"/>
    </row>
    <row r="2855" spans="1:11" ht="36" customHeight="1" thickBot="1">
      <c r="A2855" s="631"/>
      <c r="B2855" s="631"/>
      <c r="C2855" s="631"/>
      <c r="D2855" s="631"/>
      <c r="E2855" s="631" t="s">
        <v>12717</v>
      </c>
      <c r="F2855" s="632">
        <v>14.34</v>
      </c>
      <c r="G2855" s="631"/>
      <c r="H2855" s="806" t="s">
        <v>12718</v>
      </c>
      <c r="I2855" s="806"/>
      <c r="J2855" s="632">
        <v>65.150000000000006</v>
      </c>
      <c r="K2855"/>
    </row>
    <row r="2856" spans="1:11" ht="24" customHeight="1" thickTop="1">
      <c r="A2856" s="633"/>
      <c r="B2856" s="633"/>
      <c r="C2856" s="633"/>
      <c r="D2856" s="633"/>
      <c r="E2856" s="633"/>
      <c r="F2856" s="633"/>
      <c r="G2856" s="633"/>
      <c r="H2856" s="633"/>
      <c r="I2856" s="633"/>
      <c r="J2856" s="633"/>
      <c r="K2856"/>
    </row>
    <row r="2857" spans="1:11" ht="15">
      <c r="A2857" s="613"/>
      <c r="B2857" s="614" t="s">
        <v>12698</v>
      </c>
      <c r="C2857" s="613" t="s">
        <v>12699</v>
      </c>
      <c r="D2857" s="613" t="s">
        <v>12700</v>
      </c>
      <c r="E2857" s="807" t="s">
        <v>12701</v>
      </c>
      <c r="F2857" s="808"/>
      <c r="G2857" s="615" t="s">
        <v>12702</v>
      </c>
      <c r="H2857" s="614" t="s">
        <v>12703</v>
      </c>
      <c r="I2857" s="614" t="s">
        <v>12704</v>
      </c>
      <c r="J2857" s="614" t="s">
        <v>12705</v>
      </c>
      <c r="K2857"/>
    </row>
    <row r="2858" spans="1:11" ht="15" customHeight="1">
      <c r="A2858" s="616" t="s">
        <v>12706</v>
      </c>
      <c r="B2858" s="617" t="s">
        <v>13177</v>
      </c>
      <c r="C2858" s="616" t="s">
        <v>8</v>
      </c>
      <c r="D2858" s="616" t="s">
        <v>3206</v>
      </c>
      <c r="E2858" s="809" t="s">
        <v>12726</v>
      </c>
      <c r="F2858" s="810"/>
      <c r="G2858" s="618" t="s">
        <v>23</v>
      </c>
      <c r="H2858" s="619">
        <v>1</v>
      </c>
      <c r="I2858" s="620">
        <v>3.55</v>
      </c>
      <c r="J2858" s="620">
        <v>3.55</v>
      </c>
      <c r="K2858"/>
    </row>
    <row r="2859" spans="1:11" ht="0.95" customHeight="1">
      <c r="A2859" s="626" t="s">
        <v>12709</v>
      </c>
      <c r="B2859" s="627" t="s">
        <v>13174</v>
      </c>
      <c r="C2859" s="626" t="s">
        <v>8</v>
      </c>
      <c r="D2859" s="626" t="s">
        <v>9589</v>
      </c>
      <c r="E2859" s="804" t="s">
        <v>12711</v>
      </c>
      <c r="F2859" s="805"/>
      <c r="G2859" s="628" t="s">
        <v>35</v>
      </c>
      <c r="H2859" s="629">
        <v>2.7999999999999999E-6</v>
      </c>
      <c r="I2859" s="630">
        <v>1270494.75</v>
      </c>
      <c r="J2859" s="630">
        <v>3.55</v>
      </c>
      <c r="K2859"/>
    </row>
    <row r="2860" spans="1:11" ht="18" customHeight="1">
      <c r="A2860" s="631"/>
      <c r="B2860" s="631"/>
      <c r="C2860" s="631"/>
      <c r="D2860" s="631"/>
      <c r="E2860" s="631" t="s">
        <v>12714</v>
      </c>
      <c r="F2860" s="632">
        <v>0</v>
      </c>
      <c r="G2860" s="631" t="s">
        <v>12715</v>
      </c>
      <c r="H2860" s="632">
        <v>0</v>
      </c>
      <c r="I2860" s="631" t="s">
        <v>12716</v>
      </c>
      <c r="J2860" s="632">
        <v>0</v>
      </c>
      <c r="K2860"/>
    </row>
    <row r="2861" spans="1:11" ht="24" customHeight="1" thickBot="1">
      <c r="A2861" s="631"/>
      <c r="B2861" s="631"/>
      <c r="C2861" s="631"/>
      <c r="D2861" s="631"/>
      <c r="E2861" s="631" t="s">
        <v>12717</v>
      </c>
      <c r="F2861" s="632">
        <v>1</v>
      </c>
      <c r="G2861" s="631"/>
      <c r="H2861" s="806" t="s">
        <v>12718</v>
      </c>
      <c r="I2861" s="806"/>
      <c r="J2861" s="632">
        <v>4.55</v>
      </c>
      <c r="K2861"/>
    </row>
    <row r="2862" spans="1:11" ht="24" customHeight="1" thickTop="1">
      <c r="A2862" s="633"/>
      <c r="B2862" s="633"/>
      <c r="C2862" s="633"/>
      <c r="D2862" s="633"/>
      <c r="E2862" s="633"/>
      <c r="F2862" s="633"/>
      <c r="G2862" s="633"/>
      <c r="H2862" s="633"/>
      <c r="I2862" s="633"/>
      <c r="J2862" s="633"/>
      <c r="K2862"/>
    </row>
    <row r="2863" spans="1:11" ht="24" customHeight="1">
      <c r="A2863" s="613"/>
      <c r="B2863" s="614" t="s">
        <v>12698</v>
      </c>
      <c r="C2863" s="613" t="s">
        <v>12699</v>
      </c>
      <c r="D2863" s="613" t="s">
        <v>12700</v>
      </c>
      <c r="E2863" s="807" t="s">
        <v>12701</v>
      </c>
      <c r="F2863" s="808"/>
      <c r="G2863" s="615" t="s">
        <v>12702</v>
      </c>
      <c r="H2863" s="614" t="s">
        <v>12703</v>
      </c>
      <c r="I2863" s="614" t="s">
        <v>12704</v>
      </c>
      <c r="J2863" s="614" t="s">
        <v>12705</v>
      </c>
      <c r="K2863"/>
    </row>
    <row r="2864" spans="1:11" ht="24" customHeight="1">
      <c r="A2864" s="616" t="s">
        <v>12706</v>
      </c>
      <c r="B2864" s="617" t="s">
        <v>13176</v>
      </c>
      <c r="C2864" s="616" t="s">
        <v>8</v>
      </c>
      <c r="D2864" s="616" t="s">
        <v>3201</v>
      </c>
      <c r="E2864" s="809" t="s">
        <v>12726</v>
      </c>
      <c r="F2864" s="810"/>
      <c r="G2864" s="618" t="s">
        <v>23</v>
      </c>
      <c r="H2864" s="619">
        <v>1</v>
      </c>
      <c r="I2864" s="620">
        <v>9.65</v>
      </c>
      <c r="J2864" s="620">
        <v>9.65</v>
      </c>
      <c r="K2864"/>
    </row>
    <row r="2865" spans="1:11" ht="24" customHeight="1">
      <c r="A2865" s="626" t="s">
        <v>12709</v>
      </c>
      <c r="B2865" s="627" t="s">
        <v>13174</v>
      </c>
      <c r="C2865" s="626" t="s">
        <v>8</v>
      </c>
      <c r="D2865" s="626" t="s">
        <v>9589</v>
      </c>
      <c r="E2865" s="804" t="s">
        <v>12711</v>
      </c>
      <c r="F2865" s="805"/>
      <c r="G2865" s="628" t="s">
        <v>35</v>
      </c>
      <c r="H2865" s="629">
        <v>7.6000000000000001E-6</v>
      </c>
      <c r="I2865" s="630">
        <v>1270494.75</v>
      </c>
      <c r="J2865" s="630">
        <v>9.65</v>
      </c>
      <c r="K2865"/>
    </row>
    <row r="2866" spans="1:11" ht="24" customHeight="1">
      <c r="A2866" s="631"/>
      <c r="B2866" s="631"/>
      <c r="C2866" s="631"/>
      <c r="D2866" s="631"/>
      <c r="E2866" s="631" t="s">
        <v>12714</v>
      </c>
      <c r="F2866" s="632">
        <v>0</v>
      </c>
      <c r="G2866" s="631" t="s">
        <v>12715</v>
      </c>
      <c r="H2866" s="632">
        <v>0</v>
      </c>
      <c r="I2866" s="631" t="s">
        <v>12716</v>
      </c>
      <c r="J2866" s="632">
        <v>0</v>
      </c>
      <c r="K2866"/>
    </row>
    <row r="2867" spans="1:11" ht="24" customHeight="1" thickBot="1">
      <c r="A2867" s="631"/>
      <c r="B2867" s="631"/>
      <c r="C2867" s="631"/>
      <c r="D2867" s="631"/>
      <c r="E2867" s="631" t="s">
        <v>12717</v>
      </c>
      <c r="F2867" s="632">
        <v>2.72</v>
      </c>
      <c r="G2867" s="631"/>
      <c r="H2867" s="806" t="s">
        <v>12718</v>
      </c>
      <c r="I2867" s="806"/>
      <c r="J2867" s="632">
        <v>12.37</v>
      </c>
      <c r="K2867"/>
    </row>
    <row r="2868" spans="1:11" ht="24" customHeight="1" thickTop="1">
      <c r="A2868" s="633"/>
      <c r="B2868" s="633"/>
      <c r="C2868" s="633"/>
      <c r="D2868" s="633"/>
      <c r="E2868" s="633"/>
      <c r="F2868" s="633"/>
      <c r="G2868" s="633"/>
      <c r="H2868" s="633"/>
      <c r="I2868" s="633"/>
      <c r="J2868" s="633"/>
      <c r="K2868"/>
    </row>
    <row r="2869" spans="1:11" ht="24" customHeight="1">
      <c r="A2869" s="613"/>
      <c r="B2869" s="614" t="s">
        <v>12698</v>
      </c>
      <c r="C2869" s="613" t="s">
        <v>12699</v>
      </c>
      <c r="D2869" s="613" t="s">
        <v>12700</v>
      </c>
      <c r="E2869" s="807" t="s">
        <v>12701</v>
      </c>
      <c r="F2869" s="808"/>
      <c r="G2869" s="615" t="s">
        <v>12702</v>
      </c>
      <c r="H2869" s="614" t="s">
        <v>12703</v>
      </c>
      <c r="I2869" s="614" t="s">
        <v>12704</v>
      </c>
      <c r="J2869" s="614" t="s">
        <v>12705</v>
      </c>
      <c r="K2869"/>
    </row>
    <row r="2870" spans="1:11" ht="38.25" customHeight="1">
      <c r="A2870" s="616" t="s">
        <v>12706</v>
      </c>
      <c r="B2870" s="617" t="s">
        <v>13175</v>
      </c>
      <c r="C2870" s="616" t="s">
        <v>8</v>
      </c>
      <c r="D2870" s="616" t="s">
        <v>3202</v>
      </c>
      <c r="E2870" s="809" t="s">
        <v>12726</v>
      </c>
      <c r="F2870" s="810"/>
      <c r="G2870" s="618" t="s">
        <v>23</v>
      </c>
      <c r="H2870" s="619">
        <v>1</v>
      </c>
      <c r="I2870" s="620">
        <v>81.69</v>
      </c>
      <c r="J2870" s="620">
        <v>81.69</v>
      </c>
      <c r="K2870"/>
    </row>
    <row r="2871" spans="1:11" ht="15" customHeight="1">
      <c r="A2871" s="626" t="s">
        <v>12709</v>
      </c>
      <c r="B2871" s="627" t="s">
        <v>13174</v>
      </c>
      <c r="C2871" s="626" t="s">
        <v>8</v>
      </c>
      <c r="D2871" s="626" t="s">
        <v>9589</v>
      </c>
      <c r="E2871" s="804" t="s">
        <v>12711</v>
      </c>
      <c r="F2871" s="805"/>
      <c r="G2871" s="628" t="s">
        <v>35</v>
      </c>
      <c r="H2871" s="629">
        <v>6.4300000000000004E-5</v>
      </c>
      <c r="I2871" s="630">
        <v>1270494.75</v>
      </c>
      <c r="J2871" s="630">
        <v>81.69</v>
      </c>
      <c r="K2871"/>
    </row>
    <row r="2872" spans="1:11" ht="0.95" customHeight="1">
      <c r="A2872" s="631"/>
      <c r="B2872" s="631"/>
      <c r="C2872" s="631"/>
      <c r="D2872" s="631"/>
      <c r="E2872" s="631" t="s">
        <v>12714</v>
      </c>
      <c r="F2872" s="632">
        <v>0</v>
      </c>
      <c r="G2872" s="631" t="s">
        <v>12715</v>
      </c>
      <c r="H2872" s="632">
        <v>0</v>
      </c>
      <c r="I2872" s="631" t="s">
        <v>12716</v>
      </c>
      <c r="J2872" s="632">
        <v>0</v>
      </c>
      <c r="K2872"/>
    </row>
    <row r="2873" spans="1:11" ht="18" customHeight="1" thickBot="1">
      <c r="A2873" s="631"/>
      <c r="B2873" s="631"/>
      <c r="C2873" s="631"/>
      <c r="D2873" s="631"/>
      <c r="E2873" s="631" t="s">
        <v>12717</v>
      </c>
      <c r="F2873" s="632">
        <v>23.06</v>
      </c>
      <c r="G2873" s="631"/>
      <c r="H2873" s="806" t="s">
        <v>12718</v>
      </c>
      <c r="I2873" s="806"/>
      <c r="J2873" s="632">
        <v>104.75</v>
      </c>
      <c r="K2873"/>
    </row>
    <row r="2874" spans="1:11" ht="36" customHeight="1" thickTop="1">
      <c r="A2874" s="633"/>
      <c r="B2874" s="633"/>
      <c r="C2874" s="633"/>
      <c r="D2874" s="633"/>
      <c r="E2874" s="633"/>
      <c r="F2874" s="633"/>
      <c r="G2874" s="633"/>
      <c r="H2874" s="633"/>
      <c r="I2874" s="633"/>
      <c r="J2874" s="633"/>
      <c r="K2874"/>
    </row>
    <row r="2875" spans="1:11" ht="36" customHeight="1">
      <c r="A2875" s="613"/>
      <c r="B2875" s="614" t="s">
        <v>12698</v>
      </c>
      <c r="C2875" s="613" t="s">
        <v>12699</v>
      </c>
      <c r="D2875" s="613" t="s">
        <v>12700</v>
      </c>
      <c r="E2875" s="807" t="s">
        <v>12701</v>
      </c>
      <c r="F2875" s="808"/>
      <c r="G2875" s="615" t="s">
        <v>12702</v>
      </c>
      <c r="H2875" s="614" t="s">
        <v>12703</v>
      </c>
      <c r="I2875" s="614" t="s">
        <v>12704</v>
      </c>
      <c r="J2875" s="614" t="s">
        <v>12705</v>
      </c>
      <c r="K2875"/>
    </row>
    <row r="2876" spans="1:11" ht="36" customHeight="1">
      <c r="A2876" s="616" t="s">
        <v>12706</v>
      </c>
      <c r="B2876" s="617" t="s">
        <v>13173</v>
      </c>
      <c r="C2876" s="616" t="s">
        <v>8</v>
      </c>
      <c r="D2876" s="616" t="s">
        <v>3203</v>
      </c>
      <c r="E2876" s="809" t="s">
        <v>12726</v>
      </c>
      <c r="F2876" s="810"/>
      <c r="G2876" s="618" t="s">
        <v>23</v>
      </c>
      <c r="H2876" s="619">
        <v>1</v>
      </c>
      <c r="I2876" s="620">
        <v>179.01</v>
      </c>
      <c r="J2876" s="620">
        <v>179.01</v>
      </c>
      <c r="K2876"/>
    </row>
    <row r="2877" spans="1:11" ht="24" customHeight="1">
      <c r="A2877" s="626" t="s">
        <v>12709</v>
      </c>
      <c r="B2877" s="627" t="s">
        <v>12987</v>
      </c>
      <c r="C2877" s="626" t="s">
        <v>8</v>
      </c>
      <c r="D2877" s="626" t="s">
        <v>9192</v>
      </c>
      <c r="E2877" s="804" t="s">
        <v>12720</v>
      </c>
      <c r="F2877" s="805"/>
      <c r="G2877" s="628" t="s">
        <v>12923</v>
      </c>
      <c r="H2877" s="629">
        <v>221</v>
      </c>
      <c r="I2877" s="630">
        <v>0.81</v>
      </c>
      <c r="J2877" s="630">
        <v>179.01</v>
      </c>
      <c r="K2877"/>
    </row>
    <row r="2878" spans="1:11" ht="24" customHeight="1">
      <c r="A2878" s="631"/>
      <c r="B2878" s="631"/>
      <c r="C2878" s="631"/>
      <c r="D2878" s="631"/>
      <c r="E2878" s="631" t="s">
        <v>12714</v>
      </c>
      <c r="F2878" s="632">
        <v>0</v>
      </c>
      <c r="G2878" s="631" t="s">
        <v>12715</v>
      </c>
      <c r="H2878" s="632">
        <v>0</v>
      </c>
      <c r="I2878" s="631" t="s">
        <v>12716</v>
      </c>
      <c r="J2878" s="632">
        <v>0</v>
      </c>
      <c r="K2878"/>
    </row>
    <row r="2879" spans="1:11" ht="24" customHeight="1" thickBot="1">
      <c r="A2879" s="631"/>
      <c r="B2879" s="631"/>
      <c r="C2879" s="631"/>
      <c r="D2879" s="631"/>
      <c r="E2879" s="631" t="s">
        <v>12717</v>
      </c>
      <c r="F2879" s="632">
        <v>50.55</v>
      </c>
      <c r="G2879" s="631"/>
      <c r="H2879" s="806" t="s">
        <v>12718</v>
      </c>
      <c r="I2879" s="806"/>
      <c r="J2879" s="632">
        <v>229.56</v>
      </c>
      <c r="K2879"/>
    </row>
    <row r="2880" spans="1:11" ht="15" thickTop="1">
      <c r="A2880" s="633"/>
      <c r="B2880" s="633"/>
      <c r="C2880" s="633"/>
      <c r="D2880" s="633"/>
      <c r="E2880" s="633"/>
      <c r="F2880" s="633"/>
      <c r="G2880" s="633"/>
      <c r="H2880" s="633"/>
      <c r="I2880" s="633"/>
      <c r="J2880" s="633"/>
      <c r="K2880"/>
    </row>
    <row r="2881" spans="1:11" ht="15" customHeight="1">
      <c r="A2881" s="613"/>
      <c r="B2881" s="614" t="s">
        <v>12698</v>
      </c>
      <c r="C2881" s="613" t="s">
        <v>12699</v>
      </c>
      <c r="D2881" s="613" t="s">
        <v>12700</v>
      </c>
      <c r="E2881" s="807" t="s">
        <v>12701</v>
      </c>
      <c r="F2881" s="808"/>
      <c r="G2881" s="615" t="s">
        <v>12702</v>
      </c>
      <c r="H2881" s="614" t="s">
        <v>12703</v>
      </c>
      <c r="I2881" s="614" t="s">
        <v>12704</v>
      </c>
      <c r="J2881" s="614" t="s">
        <v>12705</v>
      </c>
      <c r="K2881"/>
    </row>
    <row r="2882" spans="1:11" ht="0.95" customHeight="1">
      <c r="A2882" s="616" t="s">
        <v>12706</v>
      </c>
      <c r="B2882" s="617" t="s">
        <v>13172</v>
      </c>
      <c r="C2882" s="616" t="s">
        <v>8</v>
      </c>
      <c r="D2882" s="616" t="s">
        <v>256</v>
      </c>
      <c r="E2882" s="809" t="s">
        <v>12707</v>
      </c>
      <c r="F2882" s="810"/>
      <c r="G2882" s="618" t="s">
        <v>23</v>
      </c>
      <c r="H2882" s="619">
        <v>1</v>
      </c>
      <c r="I2882" s="620">
        <v>18.52</v>
      </c>
      <c r="J2882" s="620">
        <v>18.52</v>
      </c>
      <c r="K2882"/>
    </row>
    <row r="2883" spans="1:11" ht="18" customHeight="1">
      <c r="A2883" s="621" t="s">
        <v>12708</v>
      </c>
      <c r="B2883" s="622" t="s">
        <v>13171</v>
      </c>
      <c r="C2883" s="621" t="s">
        <v>8</v>
      </c>
      <c r="D2883" s="621" t="s">
        <v>3654</v>
      </c>
      <c r="E2883" s="811" t="s">
        <v>12707</v>
      </c>
      <c r="F2883" s="812"/>
      <c r="G2883" s="623" t="s">
        <v>23</v>
      </c>
      <c r="H2883" s="624">
        <v>1</v>
      </c>
      <c r="I2883" s="625">
        <v>0.19</v>
      </c>
      <c r="J2883" s="625">
        <v>0.19</v>
      </c>
      <c r="K2883"/>
    </row>
    <row r="2884" spans="1:11" ht="36" customHeight="1">
      <c r="A2884" s="626" t="s">
        <v>12709</v>
      </c>
      <c r="B2884" s="627" t="s">
        <v>13004</v>
      </c>
      <c r="C2884" s="626" t="s">
        <v>8</v>
      </c>
      <c r="D2884" s="626" t="s">
        <v>7388</v>
      </c>
      <c r="E2884" s="804" t="s">
        <v>12712</v>
      </c>
      <c r="F2884" s="805"/>
      <c r="G2884" s="628" t="s">
        <v>23</v>
      </c>
      <c r="H2884" s="629">
        <v>1</v>
      </c>
      <c r="I2884" s="630">
        <v>2.2000000000000002</v>
      </c>
      <c r="J2884" s="630">
        <v>2.2000000000000002</v>
      </c>
      <c r="K2884"/>
    </row>
    <row r="2885" spans="1:11" ht="36" customHeight="1">
      <c r="A2885" s="626" t="s">
        <v>12709</v>
      </c>
      <c r="B2885" s="627" t="s">
        <v>13052</v>
      </c>
      <c r="C2885" s="626" t="s">
        <v>8</v>
      </c>
      <c r="D2885" s="626" t="s">
        <v>9229</v>
      </c>
      <c r="E2885" s="804" t="s">
        <v>12711</v>
      </c>
      <c r="F2885" s="805"/>
      <c r="G2885" s="628" t="s">
        <v>23</v>
      </c>
      <c r="H2885" s="629">
        <v>1</v>
      </c>
      <c r="I2885" s="630">
        <v>0.96</v>
      </c>
      <c r="J2885" s="630">
        <v>0.96</v>
      </c>
      <c r="K2885"/>
    </row>
    <row r="2886" spans="1:11" ht="36" customHeight="1">
      <c r="A2886" s="626" t="s">
        <v>12709</v>
      </c>
      <c r="B2886" s="627" t="s">
        <v>13002</v>
      </c>
      <c r="C2886" s="626" t="s">
        <v>8</v>
      </c>
      <c r="D2886" s="626" t="s">
        <v>9306</v>
      </c>
      <c r="E2886" s="804" t="s">
        <v>12712</v>
      </c>
      <c r="F2886" s="805"/>
      <c r="G2886" s="628" t="s">
        <v>23</v>
      </c>
      <c r="H2886" s="629">
        <v>1</v>
      </c>
      <c r="I2886" s="630">
        <v>0.35</v>
      </c>
      <c r="J2886" s="630">
        <v>0.35</v>
      </c>
      <c r="K2886"/>
    </row>
    <row r="2887" spans="1:11" ht="24" customHeight="1">
      <c r="A2887" s="626" t="s">
        <v>12709</v>
      </c>
      <c r="B2887" s="627" t="s">
        <v>13051</v>
      </c>
      <c r="C2887" s="626" t="s">
        <v>8</v>
      </c>
      <c r="D2887" s="626" t="s">
        <v>9376</v>
      </c>
      <c r="E2887" s="804" t="s">
        <v>12711</v>
      </c>
      <c r="F2887" s="805"/>
      <c r="G2887" s="628" t="s">
        <v>23</v>
      </c>
      <c r="H2887" s="629">
        <v>1</v>
      </c>
      <c r="I2887" s="630">
        <v>0.5</v>
      </c>
      <c r="J2887" s="630">
        <v>0.5</v>
      </c>
      <c r="K2887"/>
    </row>
    <row r="2888" spans="1:11" ht="24" customHeight="1">
      <c r="A2888" s="626" t="s">
        <v>12709</v>
      </c>
      <c r="B2888" s="627" t="s">
        <v>13170</v>
      </c>
      <c r="C2888" s="626" t="s">
        <v>8</v>
      </c>
      <c r="D2888" s="626" t="s">
        <v>9625</v>
      </c>
      <c r="E2888" s="804" t="s">
        <v>12710</v>
      </c>
      <c r="F2888" s="805"/>
      <c r="G2888" s="628" t="s">
        <v>23</v>
      </c>
      <c r="H2888" s="629">
        <v>1</v>
      </c>
      <c r="I2888" s="630">
        <v>13.54</v>
      </c>
      <c r="J2888" s="630">
        <v>13.54</v>
      </c>
      <c r="K2888"/>
    </row>
    <row r="2889" spans="1:11" ht="24" customHeight="1">
      <c r="A2889" s="626" t="s">
        <v>12709</v>
      </c>
      <c r="B2889" s="627" t="s">
        <v>12999</v>
      </c>
      <c r="C2889" s="626" t="s">
        <v>8</v>
      </c>
      <c r="D2889" s="626" t="s">
        <v>11251</v>
      </c>
      <c r="E2889" s="804" t="s">
        <v>12713</v>
      </c>
      <c r="F2889" s="805"/>
      <c r="G2889" s="628" t="s">
        <v>23</v>
      </c>
      <c r="H2889" s="629">
        <v>1</v>
      </c>
      <c r="I2889" s="630">
        <v>7.0000000000000007E-2</v>
      </c>
      <c r="J2889" s="630">
        <v>7.0000000000000007E-2</v>
      </c>
      <c r="K2889"/>
    </row>
    <row r="2890" spans="1:11">
      <c r="A2890" s="626" t="s">
        <v>12709</v>
      </c>
      <c r="B2890" s="627" t="s">
        <v>12998</v>
      </c>
      <c r="C2890" s="626" t="s">
        <v>8</v>
      </c>
      <c r="D2890" s="626" t="s">
        <v>11861</v>
      </c>
      <c r="E2890" s="804" t="s">
        <v>12722</v>
      </c>
      <c r="F2890" s="805"/>
      <c r="G2890" s="628" t="s">
        <v>23</v>
      </c>
      <c r="H2890" s="629">
        <v>1</v>
      </c>
      <c r="I2890" s="630">
        <v>0.71</v>
      </c>
      <c r="J2890" s="630">
        <v>0.71</v>
      </c>
      <c r="K2890"/>
    </row>
    <row r="2891" spans="1:11" ht="15" customHeight="1">
      <c r="A2891" s="631"/>
      <c r="B2891" s="631"/>
      <c r="C2891" s="631"/>
      <c r="D2891" s="631"/>
      <c r="E2891" s="631" t="s">
        <v>12714</v>
      </c>
      <c r="F2891" s="632">
        <v>7.4224240000000004</v>
      </c>
      <c r="G2891" s="631" t="s">
        <v>12715</v>
      </c>
      <c r="H2891" s="632">
        <v>6.31</v>
      </c>
      <c r="I2891" s="631" t="s">
        <v>12716</v>
      </c>
      <c r="J2891" s="632">
        <v>13.73</v>
      </c>
      <c r="K2891"/>
    </row>
    <row r="2892" spans="1:11" ht="0.95" customHeight="1" thickBot="1">
      <c r="A2892" s="631"/>
      <c r="B2892" s="631"/>
      <c r="C2892" s="631"/>
      <c r="D2892" s="631"/>
      <c r="E2892" s="631" t="s">
        <v>12717</v>
      </c>
      <c r="F2892" s="632">
        <v>5.23</v>
      </c>
      <c r="G2892" s="631"/>
      <c r="H2892" s="806" t="s">
        <v>12718</v>
      </c>
      <c r="I2892" s="806"/>
      <c r="J2892" s="632">
        <v>23.75</v>
      </c>
      <c r="K2892"/>
    </row>
    <row r="2893" spans="1:11" ht="18" customHeight="1" thickTop="1">
      <c r="A2893" s="633"/>
      <c r="B2893" s="633"/>
      <c r="C2893" s="633"/>
      <c r="D2893" s="633"/>
      <c r="E2893" s="633"/>
      <c r="F2893" s="633"/>
      <c r="G2893" s="633"/>
      <c r="H2893" s="633"/>
      <c r="I2893" s="633"/>
      <c r="J2893" s="633"/>
      <c r="K2893"/>
    </row>
    <row r="2894" spans="1:11" ht="36" customHeight="1">
      <c r="A2894" s="613"/>
      <c r="B2894" s="614" t="s">
        <v>12698</v>
      </c>
      <c r="C2894" s="613" t="s">
        <v>12699</v>
      </c>
      <c r="D2894" s="613" t="s">
        <v>12700</v>
      </c>
      <c r="E2894" s="807" t="s">
        <v>12701</v>
      </c>
      <c r="F2894" s="808"/>
      <c r="G2894" s="615" t="s">
        <v>12702</v>
      </c>
      <c r="H2894" s="614" t="s">
        <v>12703</v>
      </c>
      <c r="I2894" s="614" t="s">
        <v>12704</v>
      </c>
      <c r="J2894" s="614" t="s">
        <v>12705</v>
      </c>
      <c r="K2894"/>
    </row>
    <row r="2895" spans="1:11" ht="24" customHeight="1">
      <c r="A2895" s="616" t="s">
        <v>12706</v>
      </c>
      <c r="B2895" s="617" t="s">
        <v>13169</v>
      </c>
      <c r="C2895" s="616" t="s">
        <v>8</v>
      </c>
      <c r="D2895" s="616" t="s">
        <v>5439</v>
      </c>
      <c r="E2895" s="809" t="s">
        <v>12779</v>
      </c>
      <c r="F2895" s="810"/>
      <c r="G2895" s="618" t="s">
        <v>35</v>
      </c>
      <c r="H2895" s="619">
        <v>1</v>
      </c>
      <c r="I2895" s="620">
        <v>209.91</v>
      </c>
      <c r="J2895" s="620">
        <v>209.91</v>
      </c>
      <c r="K2895"/>
    </row>
    <row r="2896" spans="1:11" ht="24" customHeight="1">
      <c r="A2896" s="621" t="s">
        <v>12708</v>
      </c>
      <c r="B2896" s="622" t="s">
        <v>13167</v>
      </c>
      <c r="C2896" s="621" t="s">
        <v>8</v>
      </c>
      <c r="D2896" s="621" t="s">
        <v>3204</v>
      </c>
      <c r="E2896" s="811" t="s">
        <v>12726</v>
      </c>
      <c r="F2896" s="812"/>
      <c r="G2896" s="623" t="s">
        <v>44</v>
      </c>
      <c r="H2896" s="624">
        <v>0.1133</v>
      </c>
      <c r="I2896" s="625">
        <v>337.75</v>
      </c>
      <c r="J2896" s="625">
        <v>38.26</v>
      </c>
      <c r="K2896"/>
    </row>
    <row r="2897" spans="1:11" ht="24" customHeight="1">
      <c r="A2897" s="621" t="s">
        <v>12708</v>
      </c>
      <c r="B2897" s="622" t="s">
        <v>13166</v>
      </c>
      <c r="C2897" s="621" t="s">
        <v>8</v>
      </c>
      <c r="D2897" s="621" t="s">
        <v>3205</v>
      </c>
      <c r="E2897" s="811" t="s">
        <v>12726</v>
      </c>
      <c r="F2897" s="812"/>
      <c r="G2897" s="623" t="s">
        <v>61</v>
      </c>
      <c r="H2897" s="624">
        <v>0.157</v>
      </c>
      <c r="I2897" s="625">
        <v>77.05</v>
      </c>
      <c r="J2897" s="625">
        <v>12.09</v>
      </c>
      <c r="K2897"/>
    </row>
    <row r="2898" spans="1:11" ht="25.5">
      <c r="A2898" s="621" t="s">
        <v>12708</v>
      </c>
      <c r="B2898" s="622" t="s">
        <v>13139</v>
      </c>
      <c r="C2898" s="621" t="s">
        <v>8</v>
      </c>
      <c r="D2898" s="621" t="s">
        <v>262</v>
      </c>
      <c r="E2898" s="811" t="s">
        <v>12707</v>
      </c>
      <c r="F2898" s="812"/>
      <c r="G2898" s="623" t="s">
        <v>23</v>
      </c>
      <c r="H2898" s="624">
        <v>7.94</v>
      </c>
      <c r="I2898" s="625">
        <v>12.82</v>
      </c>
      <c r="J2898" s="625">
        <v>101.79</v>
      </c>
      <c r="K2898"/>
    </row>
    <row r="2899" spans="1:11" ht="15" customHeight="1">
      <c r="A2899" s="621" t="s">
        <v>12708</v>
      </c>
      <c r="B2899" s="622" t="s">
        <v>12727</v>
      </c>
      <c r="C2899" s="621" t="s">
        <v>8</v>
      </c>
      <c r="D2899" s="621" t="s">
        <v>26</v>
      </c>
      <c r="E2899" s="811" t="s">
        <v>12707</v>
      </c>
      <c r="F2899" s="812"/>
      <c r="G2899" s="623" t="s">
        <v>23</v>
      </c>
      <c r="H2899" s="624">
        <v>2.6429999999999998</v>
      </c>
      <c r="I2899" s="625">
        <v>14.37</v>
      </c>
      <c r="J2899" s="625">
        <v>37.97</v>
      </c>
      <c r="K2899"/>
    </row>
    <row r="2900" spans="1:11" ht="0.95" customHeight="1">
      <c r="A2900" s="626" t="s">
        <v>12709</v>
      </c>
      <c r="B2900" s="627" t="s">
        <v>13165</v>
      </c>
      <c r="C2900" s="626" t="s">
        <v>8</v>
      </c>
      <c r="D2900" s="626" t="s">
        <v>10614</v>
      </c>
      <c r="E2900" s="804" t="s">
        <v>12720</v>
      </c>
      <c r="F2900" s="805"/>
      <c r="G2900" s="628" t="s">
        <v>35</v>
      </c>
      <c r="H2900" s="629">
        <v>12</v>
      </c>
      <c r="I2900" s="630">
        <v>1.65</v>
      </c>
      <c r="J2900" s="630">
        <v>19.8</v>
      </c>
      <c r="K2900"/>
    </row>
    <row r="2901" spans="1:11" ht="18" customHeight="1">
      <c r="A2901" s="631"/>
      <c r="B2901" s="631"/>
      <c r="C2901" s="631"/>
      <c r="D2901" s="631"/>
      <c r="E2901" s="631" t="s">
        <v>12714</v>
      </c>
      <c r="F2901" s="632">
        <v>52.940858471186075</v>
      </c>
      <c r="G2901" s="631" t="s">
        <v>12715</v>
      </c>
      <c r="H2901" s="632">
        <v>44.99</v>
      </c>
      <c r="I2901" s="631" t="s">
        <v>12716</v>
      </c>
      <c r="J2901" s="632">
        <v>97.93</v>
      </c>
      <c r="K2901"/>
    </row>
    <row r="2902" spans="1:11" ht="36" customHeight="1" thickBot="1">
      <c r="A2902" s="631"/>
      <c r="B2902" s="631"/>
      <c r="C2902" s="631"/>
      <c r="D2902" s="631"/>
      <c r="E2902" s="631" t="s">
        <v>12717</v>
      </c>
      <c r="F2902" s="632">
        <v>59.27</v>
      </c>
      <c r="G2902" s="631"/>
      <c r="H2902" s="806" t="s">
        <v>12718</v>
      </c>
      <c r="I2902" s="806"/>
      <c r="J2902" s="632">
        <v>269.18</v>
      </c>
      <c r="K2902"/>
    </row>
    <row r="2903" spans="1:11" ht="24" customHeight="1" thickTop="1">
      <c r="A2903" s="633"/>
      <c r="B2903" s="633"/>
      <c r="C2903" s="633"/>
      <c r="D2903" s="633"/>
      <c r="E2903" s="633"/>
      <c r="F2903" s="633"/>
      <c r="G2903" s="633"/>
      <c r="H2903" s="633"/>
      <c r="I2903" s="633"/>
      <c r="J2903" s="633"/>
      <c r="K2903"/>
    </row>
    <row r="2904" spans="1:11" ht="24" customHeight="1">
      <c r="A2904" s="613"/>
      <c r="B2904" s="614" t="s">
        <v>12698</v>
      </c>
      <c r="C2904" s="613" t="s">
        <v>12699</v>
      </c>
      <c r="D2904" s="613" t="s">
        <v>12700</v>
      </c>
      <c r="E2904" s="807" t="s">
        <v>12701</v>
      </c>
      <c r="F2904" s="808"/>
      <c r="G2904" s="615" t="s">
        <v>12702</v>
      </c>
      <c r="H2904" s="614" t="s">
        <v>12703</v>
      </c>
      <c r="I2904" s="614" t="s">
        <v>12704</v>
      </c>
      <c r="J2904" s="614" t="s">
        <v>12705</v>
      </c>
      <c r="K2904"/>
    </row>
    <row r="2905" spans="1:11" ht="24" customHeight="1">
      <c r="A2905" s="616" t="s">
        <v>12706</v>
      </c>
      <c r="B2905" s="617" t="s">
        <v>13168</v>
      </c>
      <c r="C2905" s="616" t="s">
        <v>8</v>
      </c>
      <c r="D2905" s="616" t="s">
        <v>5437</v>
      </c>
      <c r="E2905" s="809" t="s">
        <v>12779</v>
      </c>
      <c r="F2905" s="810"/>
      <c r="G2905" s="618" t="s">
        <v>35</v>
      </c>
      <c r="H2905" s="619">
        <v>1</v>
      </c>
      <c r="I2905" s="620">
        <v>147.61000000000001</v>
      </c>
      <c r="J2905" s="620">
        <v>147.61000000000001</v>
      </c>
      <c r="K2905"/>
    </row>
    <row r="2906" spans="1:11" ht="38.25" customHeight="1">
      <c r="A2906" s="621" t="s">
        <v>12708</v>
      </c>
      <c r="B2906" s="622" t="s">
        <v>13167</v>
      </c>
      <c r="C2906" s="621" t="s">
        <v>8</v>
      </c>
      <c r="D2906" s="621" t="s">
        <v>3204</v>
      </c>
      <c r="E2906" s="811" t="s">
        <v>12726</v>
      </c>
      <c r="F2906" s="812"/>
      <c r="G2906" s="623" t="s">
        <v>44</v>
      </c>
      <c r="H2906" s="624">
        <v>0.1133</v>
      </c>
      <c r="I2906" s="625">
        <v>337.75</v>
      </c>
      <c r="J2906" s="625">
        <v>38.26</v>
      </c>
      <c r="K2906"/>
    </row>
    <row r="2907" spans="1:11" ht="15" customHeight="1">
      <c r="A2907" s="621" t="s">
        <v>12708</v>
      </c>
      <c r="B2907" s="622" t="s">
        <v>13166</v>
      </c>
      <c r="C2907" s="621" t="s">
        <v>8</v>
      </c>
      <c r="D2907" s="621" t="s">
        <v>3205</v>
      </c>
      <c r="E2907" s="811" t="s">
        <v>12726</v>
      </c>
      <c r="F2907" s="812"/>
      <c r="G2907" s="623" t="s">
        <v>61</v>
      </c>
      <c r="H2907" s="624">
        <v>0.157</v>
      </c>
      <c r="I2907" s="625">
        <v>77.05</v>
      </c>
      <c r="J2907" s="625">
        <v>12.09</v>
      </c>
      <c r="K2907"/>
    </row>
    <row r="2908" spans="1:11" ht="0.95" customHeight="1">
      <c r="A2908" s="621" t="s">
        <v>12708</v>
      </c>
      <c r="B2908" s="622" t="s">
        <v>13139</v>
      </c>
      <c r="C2908" s="621" t="s">
        <v>8</v>
      </c>
      <c r="D2908" s="621" t="s">
        <v>262</v>
      </c>
      <c r="E2908" s="811" t="s">
        <v>12707</v>
      </c>
      <c r="F2908" s="812"/>
      <c r="G2908" s="623" t="s">
        <v>23</v>
      </c>
      <c r="H2908" s="624">
        <v>4.0789999999999997</v>
      </c>
      <c r="I2908" s="625">
        <v>12.82</v>
      </c>
      <c r="J2908" s="625">
        <v>52.29</v>
      </c>
      <c r="K2908"/>
    </row>
    <row r="2909" spans="1:11" ht="18" customHeight="1">
      <c r="A2909" s="621" t="s">
        <v>12708</v>
      </c>
      <c r="B2909" s="622" t="s">
        <v>12727</v>
      </c>
      <c r="C2909" s="621" t="s">
        <v>8</v>
      </c>
      <c r="D2909" s="621" t="s">
        <v>26</v>
      </c>
      <c r="E2909" s="811" t="s">
        <v>12707</v>
      </c>
      <c r="F2909" s="812"/>
      <c r="G2909" s="623" t="s">
        <v>23</v>
      </c>
      <c r="H2909" s="624">
        <v>1.752</v>
      </c>
      <c r="I2909" s="625">
        <v>14.37</v>
      </c>
      <c r="J2909" s="625">
        <v>25.17</v>
      </c>
      <c r="K2909"/>
    </row>
    <row r="2910" spans="1:11" ht="36" customHeight="1">
      <c r="A2910" s="626" t="s">
        <v>12709</v>
      </c>
      <c r="B2910" s="627" t="s">
        <v>13165</v>
      </c>
      <c r="C2910" s="626" t="s">
        <v>8</v>
      </c>
      <c r="D2910" s="626" t="s">
        <v>10614</v>
      </c>
      <c r="E2910" s="804" t="s">
        <v>12720</v>
      </c>
      <c r="F2910" s="805"/>
      <c r="G2910" s="628" t="s">
        <v>35</v>
      </c>
      <c r="H2910" s="629">
        <v>12</v>
      </c>
      <c r="I2910" s="630">
        <v>1.65</v>
      </c>
      <c r="J2910" s="630">
        <v>19.8</v>
      </c>
      <c r="K2910"/>
    </row>
    <row r="2911" spans="1:11" ht="24" customHeight="1">
      <c r="A2911" s="631"/>
      <c r="B2911" s="631"/>
      <c r="C2911" s="631"/>
      <c r="D2911" s="631"/>
      <c r="E2911" s="631" t="s">
        <v>12714</v>
      </c>
      <c r="F2911" s="632">
        <v>29.884311817493781</v>
      </c>
      <c r="G2911" s="631" t="s">
        <v>12715</v>
      </c>
      <c r="H2911" s="632">
        <v>25.4</v>
      </c>
      <c r="I2911" s="631" t="s">
        <v>12716</v>
      </c>
      <c r="J2911" s="632">
        <v>55.28</v>
      </c>
      <c r="K2911"/>
    </row>
    <row r="2912" spans="1:11" ht="24" customHeight="1" thickBot="1">
      <c r="A2912" s="631"/>
      <c r="B2912" s="631"/>
      <c r="C2912" s="631"/>
      <c r="D2912" s="631"/>
      <c r="E2912" s="631" t="s">
        <v>12717</v>
      </c>
      <c r="F2912" s="632">
        <v>41.68</v>
      </c>
      <c r="G2912" s="631"/>
      <c r="H2912" s="806" t="s">
        <v>12718</v>
      </c>
      <c r="I2912" s="806"/>
      <c r="J2912" s="632">
        <v>189.29</v>
      </c>
      <c r="K2912"/>
    </row>
    <row r="2913" spans="1:11" ht="24" customHeight="1" thickTop="1">
      <c r="A2913" s="633"/>
      <c r="B2913" s="633"/>
      <c r="C2913" s="633"/>
      <c r="D2913" s="633"/>
      <c r="E2913" s="633"/>
      <c r="F2913" s="633"/>
      <c r="G2913" s="633"/>
      <c r="H2913" s="633"/>
      <c r="I2913" s="633"/>
      <c r="J2913" s="633"/>
      <c r="K2913"/>
    </row>
    <row r="2914" spans="1:11" ht="15">
      <c r="A2914" s="613"/>
      <c r="B2914" s="614" t="s">
        <v>12698</v>
      </c>
      <c r="C2914" s="613" t="s">
        <v>12699</v>
      </c>
      <c r="D2914" s="613" t="s">
        <v>12700</v>
      </c>
      <c r="E2914" s="807" t="s">
        <v>12701</v>
      </c>
      <c r="F2914" s="808"/>
      <c r="G2914" s="615" t="s">
        <v>12702</v>
      </c>
      <c r="H2914" s="614" t="s">
        <v>12703</v>
      </c>
      <c r="I2914" s="614" t="s">
        <v>12704</v>
      </c>
      <c r="J2914" s="614" t="s">
        <v>12705</v>
      </c>
      <c r="K2914"/>
    </row>
    <row r="2915" spans="1:11" ht="15" customHeight="1">
      <c r="A2915" s="616" t="s">
        <v>12706</v>
      </c>
      <c r="B2915" s="617" t="s">
        <v>13164</v>
      </c>
      <c r="C2915" s="616" t="s">
        <v>8</v>
      </c>
      <c r="D2915" s="616" t="s">
        <v>2548</v>
      </c>
      <c r="E2915" s="809" t="s">
        <v>12873</v>
      </c>
      <c r="F2915" s="810"/>
      <c r="G2915" s="618" t="s">
        <v>35</v>
      </c>
      <c r="H2915" s="619">
        <v>1</v>
      </c>
      <c r="I2915" s="620">
        <v>11.47</v>
      </c>
      <c r="J2915" s="620">
        <v>11.47</v>
      </c>
      <c r="K2915"/>
    </row>
    <row r="2916" spans="1:11" ht="0.95" customHeight="1">
      <c r="A2916" s="621" t="s">
        <v>12708</v>
      </c>
      <c r="B2916" s="622" t="s">
        <v>13023</v>
      </c>
      <c r="C2916" s="621" t="s">
        <v>8</v>
      </c>
      <c r="D2916" s="621" t="s">
        <v>54</v>
      </c>
      <c r="E2916" s="811" t="s">
        <v>12707</v>
      </c>
      <c r="F2916" s="812"/>
      <c r="G2916" s="623" t="s">
        <v>23</v>
      </c>
      <c r="H2916" s="624">
        <v>0.22500000000000001</v>
      </c>
      <c r="I2916" s="625">
        <v>14.33</v>
      </c>
      <c r="J2916" s="625">
        <v>3.22</v>
      </c>
      <c r="K2916"/>
    </row>
    <row r="2917" spans="1:11" ht="18" customHeight="1">
      <c r="A2917" s="621" t="s">
        <v>12708</v>
      </c>
      <c r="B2917" s="622" t="s">
        <v>13022</v>
      </c>
      <c r="C2917" s="621" t="s">
        <v>8</v>
      </c>
      <c r="D2917" s="621" t="s">
        <v>52</v>
      </c>
      <c r="E2917" s="811" t="s">
        <v>12707</v>
      </c>
      <c r="F2917" s="812"/>
      <c r="G2917" s="623" t="s">
        <v>23</v>
      </c>
      <c r="H2917" s="624">
        <v>0.22500000000000001</v>
      </c>
      <c r="I2917" s="625">
        <v>18.38</v>
      </c>
      <c r="J2917" s="625">
        <v>4.13</v>
      </c>
      <c r="K2917"/>
    </row>
    <row r="2918" spans="1:11" ht="24" customHeight="1">
      <c r="A2918" s="626" t="s">
        <v>12709</v>
      </c>
      <c r="B2918" s="627" t="s">
        <v>13161</v>
      </c>
      <c r="C2918" s="626" t="s">
        <v>8</v>
      </c>
      <c r="D2918" s="626" t="s">
        <v>9643</v>
      </c>
      <c r="E2918" s="804" t="s">
        <v>12720</v>
      </c>
      <c r="F2918" s="805"/>
      <c r="G2918" s="628" t="s">
        <v>35</v>
      </c>
      <c r="H2918" s="629">
        <v>1</v>
      </c>
      <c r="I2918" s="630">
        <v>4.12</v>
      </c>
      <c r="J2918" s="630">
        <v>4.12</v>
      </c>
      <c r="K2918"/>
    </row>
    <row r="2919" spans="1:11" ht="24" customHeight="1">
      <c r="A2919" s="631"/>
      <c r="B2919" s="631"/>
      <c r="C2919" s="631"/>
      <c r="D2919" s="631"/>
      <c r="E2919" s="631" t="s">
        <v>12714</v>
      </c>
      <c r="F2919" s="632">
        <v>2.8057087252675963</v>
      </c>
      <c r="G2919" s="631" t="s">
        <v>12715</v>
      </c>
      <c r="H2919" s="632">
        <v>2.38</v>
      </c>
      <c r="I2919" s="631" t="s">
        <v>12716</v>
      </c>
      <c r="J2919" s="632">
        <v>5.19</v>
      </c>
      <c r="K2919"/>
    </row>
    <row r="2920" spans="1:11" ht="24" customHeight="1" thickBot="1">
      <c r="A2920" s="631"/>
      <c r="B2920" s="631"/>
      <c r="C2920" s="631"/>
      <c r="D2920" s="631"/>
      <c r="E2920" s="631" t="s">
        <v>12717</v>
      </c>
      <c r="F2920" s="632">
        <v>3.23</v>
      </c>
      <c r="G2920" s="631"/>
      <c r="H2920" s="806" t="s">
        <v>12718</v>
      </c>
      <c r="I2920" s="806"/>
      <c r="J2920" s="632">
        <v>14.7</v>
      </c>
      <c r="K2920"/>
    </row>
    <row r="2921" spans="1:11" ht="24" customHeight="1" thickTop="1">
      <c r="A2921" s="633"/>
      <c r="B2921" s="633"/>
      <c r="C2921" s="633"/>
      <c r="D2921" s="633"/>
      <c r="E2921" s="633"/>
      <c r="F2921" s="633"/>
      <c r="G2921" s="633"/>
      <c r="H2921" s="633"/>
      <c r="I2921" s="633"/>
      <c r="J2921" s="633"/>
      <c r="K2921"/>
    </row>
    <row r="2922" spans="1:11" ht="24" customHeight="1">
      <c r="A2922" s="613"/>
      <c r="B2922" s="614" t="s">
        <v>12698</v>
      </c>
      <c r="C2922" s="613" t="s">
        <v>12699</v>
      </c>
      <c r="D2922" s="613" t="s">
        <v>12700</v>
      </c>
      <c r="E2922" s="807" t="s">
        <v>12701</v>
      </c>
      <c r="F2922" s="808"/>
      <c r="G2922" s="615" t="s">
        <v>12702</v>
      </c>
      <c r="H2922" s="614" t="s">
        <v>12703</v>
      </c>
      <c r="I2922" s="614" t="s">
        <v>12704</v>
      </c>
      <c r="J2922" s="614" t="s">
        <v>12705</v>
      </c>
      <c r="K2922"/>
    </row>
    <row r="2923" spans="1:11" ht="24" customHeight="1">
      <c r="A2923" s="616" t="s">
        <v>12706</v>
      </c>
      <c r="B2923" s="617" t="s">
        <v>13163</v>
      </c>
      <c r="C2923" s="616" t="s">
        <v>8</v>
      </c>
      <c r="D2923" s="616" t="s">
        <v>2552</v>
      </c>
      <c r="E2923" s="809" t="s">
        <v>12873</v>
      </c>
      <c r="F2923" s="810"/>
      <c r="G2923" s="618" t="s">
        <v>35</v>
      </c>
      <c r="H2923" s="619">
        <v>1</v>
      </c>
      <c r="I2923" s="620">
        <v>20.98</v>
      </c>
      <c r="J2923" s="620">
        <v>20.98</v>
      </c>
      <c r="K2923"/>
    </row>
    <row r="2924" spans="1:11" ht="24" customHeight="1">
      <c r="A2924" s="621" t="s">
        <v>12708</v>
      </c>
      <c r="B2924" s="622" t="s">
        <v>13023</v>
      </c>
      <c r="C2924" s="621" t="s">
        <v>8</v>
      </c>
      <c r="D2924" s="621" t="s">
        <v>54</v>
      </c>
      <c r="E2924" s="811" t="s">
        <v>12707</v>
      </c>
      <c r="F2924" s="812"/>
      <c r="G2924" s="623" t="s">
        <v>23</v>
      </c>
      <c r="H2924" s="624">
        <v>0.39</v>
      </c>
      <c r="I2924" s="625">
        <v>14.33</v>
      </c>
      <c r="J2924" s="625">
        <v>5.58</v>
      </c>
      <c r="K2924"/>
    </row>
    <row r="2925" spans="1:11" ht="24" customHeight="1">
      <c r="A2925" s="621" t="s">
        <v>12708</v>
      </c>
      <c r="B2925" s="622" t="s">
        <v>13022</v>
      </c>
      <c r="C2925" s="621" t="s">
        <v>8</v>
      </c>
      <c r="D2925" s="621" t="s">
        <v>52</v>
      </c>
      <c r="E2925" s="811" t="s">
        <v>12707</v>
      </c>
      <c r="F2925" s="812"/>
      <c r="G2925" s="623" t="s">
        <v>23</v>
      </c>
      <c r="H2925" s="624">
        <v>0.39</v>
      </c>
      <c r="I2925" s="625">
        <v>18.38</v>
      </c>
      <c r="J2925" s="625">
        <v>7.16</v>
      </c>
      <c r="K2925"/>
    </row>
    <row r="2926" spans="1:11" ht="24" customHeight="1">
      <c r="A2926" s="626" t="s">
        <v>12709</v>
      </c>
      <c r="B2926" s="627" t="s">
        <v>13161</v>
      </c>
      <c r="C2926" s="626" t="s">
        <v>8</v>
      </c>
      <c r="D2926" s="626" t="s">
        <v>9643</v>
      </c>
      <c r="E2926" s="804" t="s">
        <v>12720</v>
      </c>
      <c r="F2926" s="805"/>
      <c r="G2926" s="628" t="s">
        <v>35</v>
      </c>
      <c r="H2926" s="629">
        <v>2</v>
      </c>
      <c r="I2926" s="630">
        <v>4.12</v>
      </c>
      <c r="J2926" s="630">
        <v>8.24</v>
      </c>
      <c r="K2926"/>
    </row>
    <row r="2927" spans="1:11" ht="25.5">
      <c r="A2927" s="631"/>
      <c r="B2927" s="631"/>
      <c r="C2927" s="631"/>
      <c r="D2927" s="631"/>
      <c r="E2927" s="631" t="s">
        <v>12714</v>
      </c>
      <c r="F2927" s="632">
        <v>4.8653908530651959</v>
      </c>
      <c r="G2927" s="631" t="s">
        <v>12715</v>
      </c>
      <c r="H2927" s="632">
        <v>4.13</v>
      </c>
      <c r="I2927" s="631" t="s">
        <v>12716</v>
      </c>
      <c r="J2927" s="632">
        <v>9</v>
      </c>
      <c r="K2927"/>
    </row>
    <row r="2928" spans="1:11" ht="15" customHeight="1" thickBot="1">
      <c r="A2928" s="631"/>
      <c r="B2928" s="631"/>
      <c r="C2928" s="631"/>
      <c r="D2928" s="631"/>
      <c r="E2928" s="631" t="s">
        <v>12717</v>
      </c>
      <c r="F2928" s="632">
        <v>5.92</v>
      </c>
      <c r="G2928" s="631"/>
      <c r="H2928" s="806" t="s">
        <v>12718</v>
      </c>
      <c r="I2928" s="806"/>
      <c r="J2928" s="632">
        <v>26.9</v>
      </c>
      <c r="K2928"/>
    </row>
    <row r="2929" spans="1:11" ht="0.95" customHeight="1" thickTop="1">
      <c r="A2929" s="633"/>
      <c r="B2929" s="633"/>
      <c r="C2929" s="633"/>
      <c r="D2929" s="633"/>
      <c r="E2929" s="633"/>
      <c r="F2929" s="633"/>
      <c r="G2929" s="633"/>
      <c r="H2929" s="633"/>
      <c r="I2929" s="633"/>
      <c r="J2929" s="633"/>
      <c r="K2929"/>
    </row>
    <row r="2930" spans="1:11" ht="18" customHeight="1">
      <c r="A2930" s="613"/>
      <c r="B2930" s="614" t="s">
        <v>12698</v>
      </c>
      <c r="C2930" s="613" t="s">
        <v>12699</v>
      </c>
      <c r="D2930" s="613" t="s">
        <v>12700</v>
      </c>
      <c r="E2930" s="807" t="s">
        <v>12701</v>
      </c>
      <c r="F2930" s="808"/>
      <c r="G2930" s="615" t="s">
        <v>12702</v>
      </c>
      <c r="H2930" s="614" t="s">
        <v>12703</v>
      </c>
      <c r="I2930" s="614" t="s">
        <v>12704</v>
      </c>
      <c r="J2930" s="614" t="s">
        <v>12705</v>
      </c>
      <c r="K2930"/>
    </row>
    <row r="2931" spans="1:11" ht="48" customHeight="1">
      <c r="A2931" s="616" t="s">
        <v>12706</v>
      </c>
      <c r="B2931" s="617" t="s">
        <v>13162</v>
      </c>
      <c r="C2931" s="616" t="s">
        <v>8</v>
      </c>
      <c r="D2931" s="616" t="s">
        <v>2557</v>
      </c>
      <c r="E2931" s="809" t="s">
        <v>12873</v>
      </c>
      <c r="F2931" s="810"/>
      <c r="G2931" s="618" t="s">
        <v>35</v>
      </c>
      <c r="H2931" s="619">
        <v>1</v>
      </c>
      <c r="I2931" s="620">
        <v>30.51</v>
      </c>
      <c r="J2931" s="620">
        <v>30.51</v>
      </c>
      <c r="K2931"/>
    </row>
    <row r="2932" spans="1:11" ht="60" customHeight="1">
      <c r="A2932" s="621" t="s">
        <v>12708</v>
      </c>
      <c r="B2932" s="622" t="s">
        <v>13023</v>
      </c>
      <c r="C2932" s="621" t="s">
        <v>8</v>
      </c>
      <c r="D2932" s="621" t="s">
        <v>54</v>
      </c>
      <c r="E2932" s="811" t="s">
        <v>12707</v>
      </c>
      <c r="F2932" s="812"/>
      <c r="G2932" s="623" t="s">
        <v>23</v>
      </c>
      <c r="H2932" s="624">
        <v>0.55500000000000005</v>
      </c>
      <c r="I2932" s="625">
        <v>14.33</v>
      </c>
      <c r="J2932" s="625">
        <v>7.95</v>
      </c>
      <c r="K2932"/>
    </row>
    <row r="2933" spans="1:11" ht="36" customHeight="1">
      <c r="A2933" s="621" t="s">
        <v>12708</v>
      </c>
      <c r="B2933" s="622" t="s">
        <v>13022</v>
      </c>
      <c r="C2933" s="621" t="s">
        <v>8</v>
      </c>
      <c r="D2933" s="621" t="s">
        <v>52</v>
      </c>
      <c r="E2933" s="811" t="s">
        <v>12707</v>
      </c>
      <c r="F2933" s="812"/>
      <c r="G2933" s="623" t="s">
        <v>23</v>
      </c>
      <c r="H2933" s="624">
        <v>0.55500000000000005</v>
      </c>
      <c r="I2933" s="625">
        <v>18.38</v>
      </c>
      <c r="J2933" s="625">
        <v>10.199999999999999</v>
      </c>
      <c r="K2933"/>
    </row>
    <row r="2934" spans="1:11" ht="60" customHeight="1">
      <c r="A2934" s="626" t="s">
        <v>12709</v>
      </c>
      <c r="B2934" s="627" t="s">
        <v>13161</v>
      </c>
      <c r="C2934" s="626" t="s">
        <v>8</v>
      </c>
      <c r="D2934" s="626" t="s">
        <v>9643</v>
      </c>
      <c r="E2934" s="804" t="s">
        <v>12720</v>
      </c>
      <c r="F2934" s="805"/>
      <c r="G2934" s="628" t="s">
        <v>35</v>
      </c>
      <c r="H2934" s="629">
        <v>3</v>
      </c>
      <c r="I2934" s="630">
        <v>4.12</v>
      </c>
      <c r="J2934" s="630">
        <v>12.36</v>
      </c>
      <c r="K2934"/>
    </row>
    <row r="2935" spans="1:11" ht="36" customHeight="1">
      <c r="A2935" s="631"/>
      <c r="B2935" s="631"/>
      <c r="C2935" s="631"/>
      <c r="D2935" s="631"/>
      <c r="E2935" s="631" t="s">
        <v>12714</v>
      </c>
      <c r="F2935" s="632">
        <v>6.9250729808627955</v>
      </c>
      <c r="G2935" s="631" t="s">
        <v>12715</v>
      </c>
      <c r="H2935" s="632">
        <v>5.88</v>
      </c>
      <c r="I2935" s="631" t="s">
        <v>12716</v>
      </c>
      <c r="J2935" s="632">
        <v>12.81</v>
      </c>
      <c r="K2935"/>
    </row>
    <row r="2936" spans="1:11" ht="24" customHeight="1" thickBot="1">
      <c r="A2936" s="631"/>
      <c r="B2936" s="631"/>
      <c r="C2936" s="631"/>
      <c r="D2936" s="631"/>
      <c r="E2936" s="631" t="s">
        <v>12717</v>
      </c>
      <c r="F2936" s="632">
        <v>8.61</v>
      </c>
      <c r="G2936" s="631"/>
      <c r="H2936" s="806" t="s">
        <v>12718</v>
      </c>
      <c r="I2936" s="806"/>
      <c r="J2936" s="632">
        <v>39.119999999999997</v>
      </c>
      <c r="K2936"/>
    </row>
    <row r="2937" spans="1:11" ht="24" customHeight="1" thickTop="1">
      <c r="A2937" s="633"/>
      <c r="B2937" s="633"/>
      <c r="C2937" s="633"/>
      <c r="D2937" s="633"/>
      <c r="E2937" s="633"/>
      <c r="F2937" s="633"/>
      <c r="G2937" s="633"/>
      <c r="H2937" s="633"/>
      <c r="I2937" s="633"/>
      <c r="J2937" s="633"/>
      <c r="K2937"/>
    </row>
    <row r="2938" spans="1:11" ht="24" customHeight="1">
      <c r="A2938" s="613"/>
      <c r="B2938" s="614" t="s">
        <v>12698</v>
      </c>
      <c r="C2938" s="613" t="s">
        <v>12699</v>
      </c>
      <c r="D2938" s="613" t="s">
        <v>12700</v>
      </c>
      <c r="E2938" s="807" t="s">
        <v>12701</v>
      </c>
      <c r="F2938" s="808"/>
      <c r="G2938" s="615" t="s">
        <v>12702</v>
      </c>
      <c r="H2938" s="614" t="s">
        <v>12703</v>
      </c>
      <c r="I2938" s="614" t="s">
        <v>12704</v>
      </c>
      <c r="J2938" s="614" t="s">
        <v>12705</v>
      </c>
      <c r="K2938"/>
    </row>
    <row r="2939" spans="1:11" ht="14.25" customHeight="1">
      <c r="A2939" s="616" t="s">
        <v>12706</v>
      </c>
      <c r="B2939" s="617" t="s">
        <v>13160</v>
      </c>
      <c r="C2939" s="616" t="s">
        <v>8</v>
      </c>
      <c r="D2939" s="616" t="s">
        <v>310</v>
      </c>
      <c r="E2939" s="809" t="s">
        <v>12707</v>
      </c>
      <c r="F2939" s="810"/>
      <c r="G2939" s="618" t="s">
        <v>23</v>
      </c>
      <c r="H2939" s="619">
        <v>1</v>
      </c>
      <c r="I2939" s="620">
        <v>17.190000000000001</v>
      </c>
      <c r="J2939" s="620">
        <v>17.190000000000001</v>
      </c>
      <c r="K2939"/>
    </row>
    <row r="2940" spans="1:11" ht="15" customHeight="1">
      <c r="A2940" s="621" t="s">
        <v>12708</v>
      </c>
      <c r="B2940" s="622" t="s">
        <v>13159</v>
      </c>
      <c r="C2940" s="621" t="s">
        <v>8</v>
      </c>
      <c r="D2940" s="621" t="s">
        <v>3699</v>
      </c>
      <c r="E2940" s="811" t="s">
        <v>12707</v>
      </c>
      <c r="F2940" s="812"/>
      <c r="G2940" s="623" t="s">
        <v>23</v>
      </c>
      <c r="H2940" s="624">
        <v>1</v>
      </c>
      <c r="I2940" s="625">
        <v>0.04</v>
      </c>
      <c r="J2940" s="625">
        <v>0.04</v>
      </c>
      <c r="K2940"/>
    </row>
    <row r="2941" spans="1:11" ht="0.95" customHeight="1">
      <c r="A2941" s="626" t="s">
        <v>12709</v>
      </c>
      <c r="B2941" s="627" t="s">
        <v>13004</v>
      </c>
      <c r="C2941" s="626" t="s">
        <v>8</v>
      </c>
      <c r="D2941" s="626" t="s">
        <v>7388</v>
      </c>
      <c r="E2941" s="804" t="s">
        <v>12712</v>
      </c>
      <c r="F2941" s="805"/>
      <c r="G2941" s="628" t="s">
        <v>23</v>
      </c>
      <c r="H2941" s="629">
        <v>1</v>
      </c>
      <c r="I2941" s="630">
        <v>2.2000000000000002</v>
      </c>
      <c r="J2941" s="630">
        <v>2.2000000000000002</v>
      </c>
      <c r="K2941"/>
    </row>
    <row r="2942" spans="1:11" ht="18" customHeight="1">
      <c r="A2942" s="626" t="s">
        <v>12709</v>
      </c>
      <c r="B2942" s="627" t="s">
        <v>13052</v>
      </c>
      <c r="C2942" s="626" t="s">
        <v>8</v>
      </c>
      <c r="D2942" s="626" t="s">
        <v>9229</v>
      </c>
      <c r="E2942" s="804" t="s">
        <v>12711</v>
      </c>
      <c r="F2942" s="805"/>
      <c r="G2942" s="628" t="s">
        <v>23</v>
      </c>
      <c r="H2942" s="629">
        <v>1</v>
      </c>
      <c r="I2942" s="630">
        <v>0.96</v>
      </c>
      <c r="J2942" s="630">
        <v>0.96</v>
      </c>
      <c r="K2942"/>
    </row>
    <row r="2943" spans="1:11" ht="48" customHeight="1">
      <c r="A2943" s="626" t="s">
        <v>12709</v>
      </c>
      <c r="B2943" s="627" t="s">
        <v>13002</v>
      </c>
      <c r="C2943" s="626" t="s">
        <v>8</v>
      </c>
      <c r="D2943" s="626" t="s">
        <v>9306</v>
      </c>
      <c r="E2943" s="804" t="s">
        <v>12712</v>
      </c>
      <c r="F2943" s="805"/>
      <c r="G2943" s="628" t="s">
        <v>23</v>
      </c>
      <c r="H2943" s="629">
        <v>1</v>
      </c>
      <c r="I2943" s="630">
        <v>0.35</v>
      </c>
      <c r="J2943" s="630">
        <v>0.35</v>
      </c>
      <c r="K2943"/>
    </row>
    <row r="2944" spans="1:11" ht="60" customHeight="1">
      <c r="A2944" s="626" t="s">
        <v>12709</v>
      </c>
      <c r="B2944" s="627" t="s">
        <v>13051</v>
      </c>
      <c r="C2944" s="626" t="s">
        <v>8</v>
      </c>
      <c r="D2944" s="626" t="s">
        <v>9376</v>
      </c>
      <c r="E2944" s="804" t="s">
        <v>12711</v>
      </c>
      <c r="F2944" s="805"/>
      <c r="G2944" s="628" t="s">
        <v>23</v>
      </c>
      <c r="H2944" s="629">
        <v>1</v>
      </c>
      <c r="I2944" s="630">
        <v>0.5</v>
      </c>
      <c r="J2944" s="630">
        <v>0.5</v>
      </c>
      <c r="K2944"/>
    </row>
    <row r="2945" spans="1:11" ht="36" customHeight="1">
      <c r="A2945" s="626" t="s">
        <v>12709</v>
      </c>
      <c r="B2945" s="627" t="s">
        <v>13158</v>
      </c>
      <c r="C2945" s="626" t="s">
        <v>8</v>
      </c>
      <c r="D2945" s="626" t="s">
        <v>9691</v>
      </c>
      <c r="E2945" s="804" t="s">
        <v>12710</v>
      </c>
      <c r="F2945" s="805"/>
      <c r="G2945" s="628" t="s">
        <v>23</v>
      </c>
      <c r="H2945" s="629">
        <v>1</v>
      </c>
      <c r="I2945" s="630">
        <v>12.36</v>
      </c>
      <c r="J2945" s="630">
        <v>12.36</v>
      </c>
      <c r="K2945"/>
    </row>
    <row r="2946" spans="1:11" ht="60" customHeight="1">
      <c r="A2946" s="626" t="s">
        <v>12709</v>
      </c>
      <c r="B2946" s="627" t="s">
        <v>12999</v>
      </c>
      <c r="C2946" s="626" t="s">
        <v>8</v>
      </c>
      <c r="D2946" s="626" t="s">
        <v>11251</v>
      </c>
      <c r="E2946" s="804" t="s">
        <v>12713</v>
      </c>
      <c r="F2946" s="805"/>
      <c r="G2946" s="628" t="s">
        <v>23</v>
      </c>
      <c r="H2946" s="629">
        <v>1</v>
      </c>
      <c r="I2946" s="630">
        <v>7.0000000000000007E-2</v>
      </c>
      <c r="J2946" s="630">
        <v>7.0000000000000007E-2</v>
      </c>
      <c r="K2946"/>
    </row>
    <row r="2947" spans="1:11" ht="36" customHeight="1">
      <c r="A2947" s="626" t="s">
        <v>12709</v>
      </c>
      <c r="B2947" s="627" t="s">
        <v>12998</v>
      </c>
      <c r="C2947" s="626" t="s">
        <v>8</v>
      </c>
      <c r="D2947" s="626" t="s">
        <v>11861</v>
      </c>
      <c r="E2947" s="804" t="s">
        <v>12722</v>
      </c>
      <c r="F2947" s="805"/>
      <c r="G2947" s="628" t="s">
        <v>23</v>
      </c>
      <c r="H2947" s="629">
        <v>1</v>
      </c>
      <c r="I2947" s="630">
        <v>0.71</v>
      </c>
      <c r="J2947" s="630">
        <v>0.71</v>
      </c>
      <c r="K2947"/>
    </row>
    <row r="2948" spans="1:11" ht="24" customHeight="1">
      <c r="A2948" s="631"/>
      <c r="B2948" s="631"/>
      <c r="C2948" s="631"/>
      <c r="D2948" s="631"/>
      <c r="E2948" s="631" t="s">
        <v>12714</v>
      </c>
      <c r="F2948" s="632">
        <v>6.7034273999999998</v>
      </c>
      <c r="G2948" s="631" t="s">
        <v>12715</v>
      </c>
      <c r="H2948" s="632">
        <v>5.7</v>
      </c>
      <c r="I2948" s="631" t="s">
        <v>12716</v>
      </c>
      <c r="J2948" s="632">
        <v>12.4</v>
      </c>
      <c r="K2948"/>
    </row>
    <row r="2949" spans="1:11" ht="24" customHeight="1" thickBot="1">
      <c r="A2949" s="631"/>
      <c r="B2949" s="631"/>
      <c r="C2949" s="631"/>
      <c r="D2949" s="631"/>
      <c r="E2949" s="631" t="s">
        <v>12717</v>
      </c>
      <c r="F2949" s="632">
        <v>4.8499999999999996</v>
      </c>
      <c r="G2949" s="631"/>
      <c r="H2949" s="806" t="s">
        <v>12718</v>
      </c>
      <c r="I2949" s="806"/>
      <c r="J2949" s="632">
        <v>22.04</v>
      </c>
      <c r="K2949"/>
    </row>
    <row r="2950" spans="1:11" ht="24" customHeight="1" thickTop="1">
      <c r="A2950" s="633"/>
      <c r="B2950" s="633"/>
      <c r="C2950" s="633"/>
      <c r="D2950" s="633"/>
      <c r="E2950" s="633"/>
      <c r="F2950" s="633"/>
      <c r="G2950" s="633"/>
      <c r="H2950" s="633"/>
      <c r="I2950" s="633"/>
      <c r="J2950" s="633"/>
      <c r="K2950"/>
    </row>
    <row r="2951" spans="1:11" ht="15">
      <c r="A2951" s="613"/>
      <c r="B2951" s="614" t="s">
        <v>12698</v>
      </c>
      <c r="C2951" s="613" t="s">
        <v>12699</v>
      </c>
      <c r="D2951" s="613" t="s">
        <v>12700</v>
      </c>
      <c r="E2951" s="807" t="s">
        <v>12701</v>
      </c>
      <c r="F2951" s="808"/>
      <c r="G2951" s="615" t="s">
        <v>12702</v>
      </c>
      <c r="H2951" s="614" t="s">
        <v>12703</v>
      </c>
      <c r="I2951" s="614" t="s">
        <v>12704</v>
      </c>
      <c r="J2951" s="614" t="s">
        <v>12705</v>
      </c>
      <c r="K2951"/>
    </row>
    <row r="2952" spans="1:11" ht="15" customHeight="1">
      <c r="A2952" s="616" t="s">
        <v>12706</v>
      </c>
      <c r="B2952" s="617" t="s">
        <v>13157</v>
      </c>
      <c r="C2952" s="616" t="s">
        <v>8</v>
      </c>
      <c r="D2952" s="616" t="s">
        <v>3331</v>
      </c>
      <c r="E2952" s="809" t="s">
        <v>12729</v>
      </c>
      <c r="F2952" s="810"/>
      <c r="G2952" s="618" t="s">
        <v>12730</v>
      </c>
      <c r="H2952" s="619">
        <v>1</v>
      </c>
      <c r="I2952" s="620">
        <v>155.68</v>
      </c>
      <c r="J2952" s="620">
        <v>155.68</v>
      </c>
      <c r="K2952"/>
    </row>
    <row r="2953" spans="1:11" ht="0.95" customHeight="1">
      <c r="A2953" s="621" t="s">
        <v>12708</v>
      </c>
      <c r="B2953" s="622" t="s">
        <v>13069</v>
      </c>
      <c r="C2953" s="621" t="s">
        <v>8</v>
      </c>
      <c r="D2953" s="621" t="s">
        <v>1023</v>
      </c>
      <c r="E2953" s="811" t="s">
        <v>12726</v>
      </c>
      <c r="F2953" s="812"/>
      <c r="G2953" s="623" t="s">
        <v>44</v>
      </c>
      <c r="H2953" s="624">
        <v>8.1000000000000003E-2</v>
      </c>
      <c r="I2953" s="625">
        <v>78.23</v>
      </c>
      <c r="J2953" s="625">
        <v>6.33</v>
      </c>
      <c r="K2953"/>
    </row>
    <row r="2954" spans="1:11" ht="18" customHeight="1">
      <c r="A2954" s="621" t="s">
        <v>12708</v>
      </c>
      <c r="B2954" s="622" t="s">
        <v>13155</v>
      </c>
      <c r="C2954" s="621" t="s">
        <v>8</v>
      </c>
      <c r="D2954" s="621" t="s">
        <v>2447</v>
      </c>
      <c r="E2954" s="811" t="s">
        <v>12726</v>
      </c>
      <c r="F2954" s="812"/>
      <c r="G2954" s="623" t="s">
        <v>44</v>
      </c>
      <c r="H2954" s="624">
        <v>3.2000000000000001E-2</v>
      </c>
      <c r="I2954" s="625">
        <v>18.739999999999998</v>
      </c>
      <c r="J2954" s="625">
        <v>0.59</v>
      </c>
      <c r="K2954"/>
    </row>
    <row r="2955" spans="1:11" ht="36" customHeight="1">
      <c r="A2955" s="621" t="s">
        <v>12708</v>
      </c>
      <c r="B2955" s="622" t="s">
        <v>13070</v>
      </c>
      <c r="C2955" s="621" t="s">
        <v>8</v>
      </c>
      <c r="D2955" s="621" t="s">
        <v>1024</v>
      </c>
      <c r="E2955" s="811" t="s">
        <v>12726</v>
      </c>
      <c r="F2955" s="812"/>
      <c r="G2955" s="623" t="s">
        <v>61</v>
      </c>
      <c r="H2955" s="624">
        <v>0.40600000000000003</v>
      </c>
      <c r="I2955" s="625">
        <v>32.1</v>
      </c>
      <c r="J2955" s="625">
        <v>13.03</v>
      </c>
      <c r="K2955"/>
    </row>
    <row r="2956" spans="1:11" ht="24" customHeight="1">
      <c r="A2956" s="621" t="s">
        <v>12708</v>
      </c>
      <c r="B2956" s="622" t="s">
        <v>13154</v>
      </c>
      <c r="C2956" s="621" t="s">
        <v>8</v>
      </c>
      <c r="D2956" s="621" t="s">
        <v>2448</v>
      </c>
      <c r="E2956" s="811" t="s">
        <v>12726</v>
      </c>
      <c r="F2956" s="812"/>
      <c r="G2956" s="623" t="s">
        <v>61</v>
      </c>
      <c r="H2956" s="624">
        <v>0.03</v>
      </c>
      <c r="I2956" s="625">
        <v>14.15</v>
      </c>
      <c r="J2956" s="625">
        <v>0.42</v>
      </c>
      <c r="K2956"/>
    </row>
    <row r="2957" spans="1:11" ht="24" customHeight="1">
      <c r="A2957" s="621" t="s">
        <v>12708</v>
      </c>
      <c r="B2957" s="622" t="s">
        <v>12745</v>
      </c>
      <c r="C2957" s="621" t="s">
        <v>8</v>
      </c>
      <c r="D2957" s="621" t="s">
        <v>47</v>
      </c>
      <c r="E2957" s="811" t="s">
        <v>12707</v>
      </c>
      <c r="F2957" s="812"/>
      <c r="G2957" s="623" t="s">
        <v>23</v>
      </c>
      <c r="H2957" s="624">
        <v>0.58399999999999996</v>
      </c>
      <c r="I2957" s="625">
        <v>17.760000000000002</v>
      </c>
      <c r="J2957" s="625">
        <v>10.37</v>
      </c>
      <c r="K2957"/>
    </row>
    <row r="2958" spans="1:11" ht="24" customHeight="1">
      <c r="A2958" s="621" t="s">
        <v>12708</v>
      </c>
      <c r="B2958" s="622" t="s">
        <v>12727</v>
      </c>
      <c r="C2958" s="621" t="s">
        <v>8</v>
      </c>
      <c r="D2958" s="621" t="s">
        <v>26</v>
      </c>
      <c r="E2958" s="811" t="s">
        <v>12707</v>
      </c>
      <c r="F2958" s="812"/>
      <c r="G2958" s="623" t="s">
        <v>23</v>
      </c>
      <c r="H2958" s="624">
        <v>0.876</v>
      </c>
      <c r="I2958" s="625">
        <v>14.37</v>
      </c>
      <c r="J2958" s="625">
        <v>12.58</v>
      </c>
      <c r="K2958"/>
    </row>
    <row r="2959" spans="1:11" ht="36" customHeight="1">
      <c r="A2959" s="626" t="s">
        <v>12709</v>
      </c>
      <c r="B2959" s="627" t="s">
        <v>13153</v>
      </c>
      <c r="C2959" s="626" t="s">
        <v>8</v>
      </c>
      <c r="D2959" s="626" t="s">
        <v>10711</v>
      </c>
      <c r="E2959" s="804" t="s">
        <v>12720</v>
      </c>
      <c r="F2959" s="805"/>
      <c r="G2959" s="628" t="s">
        <v>12730</v>
      </c>
      <c r="H2959" s="629">
        <v>1.1000000000000001</v>
      </c>
      <c r="I2959" s="630">
        <v>102.15</v>
      </c>
      <c r="J2959" s="630">
        <v>112.36</v>
      </c>
      <c r="K2959"/>
    </row>
    <row r="2960" spans="1:11" ht="24" customHeight="1">
      <c r="A2960" s="631"/>
      <c r="B2960" s="631"/>
      <c r="C2960" s="631"/>
      <c r="D2960" s="631"/>
      <c r="E2960" s="631" t="s">
        <v>12714</v>
      </c>
      <c r="F2960" s="632">
        <v>12.239160990377338</v>
      </c>
      <c r="G2960" s="631" t="s">
        <v>12715</v>
      </c>
      <c r="H2960" s="632">
        <v>10.4</v>
      </c>
      <c r="I2960" s="631" t="s">
        <v>12716</v>
      </c>
      <c r="J2960" s="632">
        <v>22.64</v>
      </c>
      <c r="K2960"/>
    </row>
    <row r="2961" spans="1:11" ht="15" customHeight="1" thickBot="1">
      <c r="A2961" s="631"/>
      <c r="B2961" s="631"/>
      <c r="C2961" s="631"/>
      <c r="D2961" s="631"/>
      <c r="E2961" s="631" t="s">
        <v>12717</v>
      </c>
      <c r="F2961" s="632">
        <v>43.96</v>
      </c>
      <c r="G2961" s="631"/>
      <c r="H2961" s="806" t="s">
        <v>12718</v>
      </c>
      <c r="I2961" s="806"/>
      <c r="J2961" s="632">
        <v>199.64</v>
      </c>
      <c r="K2961"/>
    </row>
    <row r="2962" spans="1:11" ht="15" customHeight="1" thickTop="1">
      <c r="A2962" s="633"/>
      <c r="B2962" s="633"/>
      <c r="C2962" s="633"/>
      <c r="D2962" s="633"/>
      <c r="E2962" s="633"/>
      <c r="F2962" s="633"/>
      <c r="G2962" s="633"/>
      <c r="H2962" s="633"/>
      <c r="I2962" s="633"/>
      <c r="J2962" s="633"/>
      <c r="K2962"/>
    </row>
    <row r="2963" spans="1:11" ht="0.95" customHeight="1">
      <c r="A2963" s="613"/>
      <c r="B2963" s="614" t="s">
        <v>12698</v>
      </c>
      <c r="C2963" s="613" t="s">
        <v>12699</v>
      </c>
      <c r="D2963" s="613" t="s">
        <v>12700</v>
      </c>
      <c r="E2963" s="807" t="s">
        <v>12701</v>
      </c>
      <c r="F2963" s="808"/>
      <c r="G2963" s="615" t="s">
        <v>12702</v>
      </c>
      <c r="H2963" s="614" t="s">
        <v>12703</v>
      </c>
      <c r="I2963" s="614" t="s">
        <v>12704</v>
      </c>
      <c r="J2963" s="614" t="s">
        <v>12705</v>
      </c>
      <c r="K2963"/>
    </row>
    <row r="2964" spans="1:11" ht="18" customHeight="1">
      <c r="A2964" s="616" t="s">
        <v>12706</v>
      </c>
      <c r="B2964" s="617" t="s">
        <v>13156</v>
      </c>
      <c r="C2964" s="616" t="s">
        <v>8</v>
      </c>
      <c r="D2964" s="616" t="s">
        <v>3327</v>
      </c>
      <c r="E2964" s="809" t="s">
        <v>12729</v>
      </c>
      <c r="F2964" s="810"/>
      <c r="G2964" s="618" t="s">
        <v>12730</v>
      </c>
      <c r="H2964" s="619">
        <v>1</v>
      </c>
      <c r="I2964" s="620">
        <v>182.73</v>
      </c>
      <c r="J2964" s="620">
        <v>182.73</v>
      </c>
      <c r="K2964"/>
    </row>
    <row r="2965" spans="1:11" ht="36" customHeight="1">
      <c r="A2965" s="621" t="s">
        <v>12708</v>
      </c>
      <c r="B2965" s="622" t="s">
        <v>13069</v>
      </c>
      <c r="C2965" s="621" t="s">
        <v>8</v>
      </c>
      <c r="D2965" s="621" t="s">
        <v>1023</v>
      </c>
      <c r="E2965" s="811" t="s">
        <v>12726</v>
      </c>
      <c r="F2965" s="812"/>
      <c r="G2965" s="623" t="s">
        <v>44</v>
      </c>
      <c r="H2965" s="624">
        <v>0.13100000000000001</v>
      </c>
      <c r="I2965" s="625">
        <v>78.23</v>
      </c>
      <c r="J2965" s="625">
        <v>10.24</v>
      </c>
      <c r="K2965"/>
    </row>
    <row r="2966" spans="1:11" ht="24" customHeight="1">
      <c r="A2966" s="621" t="s">
        <v>12708</v>
      </c>
      <c r="B2966" s="622" t="s">
        <v>13155</v>
      </c>
      <c r="C2966" s="621" t="s">
        <v>8</v>
      </c>
      <c r="D2966" s="621" t="s">
        <v>2447</v>
      </c>
      <c r="E2966" s="811" t="s">
        <v>12726</v>
      </c>
      <c r="F2966" s="812"/>
      <c r="G2966" s="623" t="s">
        <v>44</v>
      </c>
      <c r="H2966" s="624">
        <v>6.9000000000000006E-2</v>
      </c>
      <c r="I2966" s="625">
        <v>18.739999999999998</v>
      </c>
      <c r="J2966" s="625">
        <v>1.29</v>
      </c>
      <c r="K2966"/>
    </row>
    <row r="2967" spans="1:11" ht="24" customHeight="1">
      <c r="A2967" s="621" t="s">
        <v>12708</v>
      </c>
      <c r="B2967" s="622" t="s">
        <v>13070</v>
      </c>
      <c r="C2967" s="621" t="s">
        <v>8</v>
      </c>
      <c r="D2967" s="621" t="s">
        <v>1024</v>
      </c>
      <c r="E2967" s="811" t="s">
        <v>12726</v>
      </c>
      <c r="F2967" s="812"/>
      <c r="G2967" s="623" t="s">
        <v>61</v>
      </c>
      <c r="H2967" s="624">
        <v>0.65300000000000002</v>
      </c>
      <c r="I2967" s="625">
        <v>32.1</v>
      </c>
      <c r="J2967" s="625">
        <v>20.96</v>
      </c>
      <c r="K2967"/>
    </row>
    <row r="2968" spans="1:11" ht="24" customHeight="1">
      <c r="A2968" s="621" t="s">
        <v>12708</v>
      </c>
      <c r="B2968" s="622" t="s">
        <v>13154</v>
      </c>
      <c r="C2968" s="621" t="s">
        <v>8</v>
      </c>
      <c r="D2968" s="621" t="s">
        <v>2448</v>
      </c>
      <c r="E2968" s="811" t="s">
        <v>12726</v>
      </c>
      <c r="F2968" s="812"/>
      <c r="G2968" s="623" t="s">
        <v>61</v>
      </c>
      <c r="H2968" s="624">
        <v>6.4000000000000001E-2</v>
      </c>
      <c r="I2968" s="625">
        <v>14.15</v>
      </c>
      <c r="J2968" s="625">
        <v>0.9</v>
      </c>
      <c r="K2968"/>
    </row>
    <row r="2969" spans="1:11" ht="36" customHeight="1">
      <c r="A2969" s="621" t="s">
        <v>12708</v>
      </c>
      <c r="B2969" s="622" t="s">
        <v>12745</v>
      </c>
      <c r="C2969" s="621" t="s">
        <v>8</v>
      </c>
      <c r="D2969" s="621" t="s">
        <v>47</v>
      </c>
      <c r="E2969" s="811" t="s">
        <v>12707</v>
      </c>
      <c r="F2969" s="812"/>
      <c r="G2969" s="623" t="s">
        <v>23</v>
      </c>
      <c r="H2969" s="624">
        <v>0.94099999999999995</v>
      </c>
      <c r="I2969" s="625">
        <v>17.760000000000002</v>
      </c>
      <c r="J2969" s="625">
        <v>16.71</v>
      </c>
      <c r="K2969"/>
    </row>
    <row r="2970" spans="1:11" ht="24" customHeight="1">
      <c r="A2970" s="621" t="s">
        <v>12708</v>
      </c>
      <c r="B2970" s="622" t="s">
        <v>12727</v>
      </c>
      <c r="C2970" s="621" t="s">
        <v>8</v>
      </c>
      <c r="D2970" s="621" t="s">
        <v>26</v>
      </c>
      <c r="E2970" s="811" t="s">
        <v>12707</v>
      </c>
      <c r="F2970" s="812"/>
      <c r="G2970" s="623" t="s">
        <v>23</v>
      </c>
      <c r="H2970" s="624">
        <v>1.411</v>
      </c>
      <c r="I2970" s="625">
        <v>14.37</v>
      </c>
      <c r="J2970" s="625">
        <v>20.27</v>
      </c>
      <c r="K2970"/>
    </row>
    <row r="2971" spans="1:11" ht="25.5">
      <c r="A2971" s="626" t="s">
        <v>12709</v>
      </c>
      <c r="B2971" s="627" t="s">
        <v>13153</v>
      </c>
      <c r="C2971" s="626" t="s">
        <v>8</v>
      </c>
      <c r="D2971" s="626" t="s">
        <v>10711</v>
      </c>
      <c r="E2971" s="804" t="s">
        <v>12720</v>
      </c>
      <c r="F2971" s="805"/>
      <c r="G2971" s="628" t="s">
        <v>12730</v>
      </c>
      <c r="H2971" s="629">
        <v>1.1000000000000001</v>
      </c>
      <c r="I2971" s="630">
        <v>102.15</v>
      </c>
      <c r="J2971" s="630">
        <v>112.36</v>
      </c>
      <c r="K2971"/>
    </row>
    <row r="2972" spans="1:11" ht="15" customHeight="1">
      <c r="A2972" s="631"/>
      <c r="B2972" s="631"/>
      <c r="C2972" s="631"/>
      <c r="D2972" s="631"/>
      <c r="E2972" s="631" t="s">
        <v>12714</v>
      </c>
      <c r="F2972" s="632">
        <v>19.894042599199913</v>
      </c>
      <c r="G2972" s="631" t="s">
        <v>12715</v>
      </c>
      <c r="H2972" s="632">
        <v>16.91</v>
      </c>
      <c r="I2972" s="631" t="s">
        <v>12716</v>
      </c>
      <c r="J2972" s="632">
        <v>36.799999999999997</v>
      </c>
      <c r="K2972"/>
    </row>
    <row r="2973" spans="1:11" ht="0.95" customHeight="1" thickBot="1">
      <c r="A2973" s="631"/>
      <c r="B2973" s="631"/>
      <c r="C2973" s="631"/>
      <c r="D2973" s="631"/>
      <c r="E2973" s="631" t="s">
        <v>12717</v>
      </c>
      <c r="F2973" s="632">
        <v>51.6</v>
      </c>
      <c r="G2973" s="631"/>
      <c r="H2973" s="806" t="s">
        <v>12718</v>
      </c>
      <c r="I2973" s="806"/>
      <c r="J2973" s="632">
        <v>234.33</v>
      </c>
      <c r="K2973"/>
    </row>
    <row r="2974" spans="1:11" ht="18" customHeight="1" thickTop="1">
      <c r="A2974" s="633"/>
      <c r="B2974" s="633"/>
      <c r="C2974" s="633"/>
      <c r="D2974" s="633"/>
      <c r="E2974" s="633"/>
      <c r="F2974" s="633"/>
      <c r="G2974" s="633"/>
      <c r="H2974" s="633"/>
      <c r="I2974" s="633"/>
      <c r="J2974" s="633"/>
      <c r="K2974"/>
    </row>
    <row r="2975" spans="1:11" ht="24" customHeight="1">
      <c r="A2975" s="613"/>
      <c r="B2975" s="614" t="s">
        <v>12698</v>
      </c>
      <c r="C2975" s="613" t="s">
        <v>12699</v>
      </c>
      <c r="D2975" s="613" t="s">
        <v>12700</v>
      </c>
      <c r="E2975" s="807" t="s">
        <v>12701</v>
      </c>
      <c r="F2975" s="808"/>
      <c r="G2975" s="615" t="s">
        <v>12702</v>
      </c>
      <c r="H2975" s="614" t="s">
        <v>12703</v>
      </c>
      <c r="I2975" s="614" t="s">
        <v>12704</v>
      </c>
      <c r="J2975" s="614" t="s">
        <v>12705</v>
      </c>
      <c r="K2975"/>
    </row>
    <row r="2976" spans="1:11" ht="24" customHeight="1">
      <c r="A2976" s="616" t="s">
        <v>12706</v>
      </c>
      <c r="B2976" s="617" t="s">
        <v>13152</v>
      </c>
      <c r="C2976" s="616" t="s">
        <v>8</v>
      </c>
      <c r="D2976" s="616" t="s">
        <v>6900</v>
      </c>
      <c r="E2976" s="809" t="s">
        <v>12819</v>
      </c>
      <c r="F2976" s="810"/>
      <c r="G2976" s="618" t="s">
        <v>35</v>
      </c>
      <c r="H2976" s="619">
        <v>1</v>
      </c>
      <c r="I2976" s="620">
        <v>265.85000000000002</v>
      </c>
      <c r="J2976" s="620">
        <v>265.85000000000002</v>
      </c>
      <c r="K2976"/>
    </row>
    <row r="2977" spans="1:11" ht="24" customHeight="1">
      <c r="A2977" s="621" t="s">
        <v>12708</v>
      </c>
      <c r="B2977" s="622" t="s">
        <v>12981</v>
      </c>
      <c r="C2977" s="621" t="s">
        <v>8</v>
      </c>
      <c r="D2977" s="621" t="s">
        <v>50</v>
      </c>
      <c r="E2977" s="811" t="s">
        <v>12707</v>
      </c>
      <c r="F2977" s="812"/>
      <c r="G2977" s="623" t="s">
        <v>23</v>
      </c>
      <c r="H2977" s="624">
        <v>1.4666999999999999</v>
      </c>
      <c r="I2977" s="625">
        <v>17.79</v>
      </c>
      <c r="J2977" s="625">
        <v>26.09</v>
      </c>
      <c r="K2977"/>
    </row>
    <row r="2978" spans="1:11" ht="24" customHeight="1">
      <c r="A2978" s="621" t="s">
        <v>12708</v>
      </c>
      <c r="B2978" s="622" t="s">
        <v>12727</v>
      </c>
      <c r="C2978" s="621" t="s">
        <v>8</v>
      </c>
      <c r="D2978" s="621" t="s">
        <v>26</v>
      </c>
      <c r="E2978" s="811" t="s">
        <v>12707</v>
      </c>
      <c r="F2978" s="812"/>
      <c r="G2978" s="623" t="s">
        <v>23</v>
      </c>
      <c r="H2978" s="624">
        <v>0.65169999999999995</v>
      </c>
      <c r="I2978" s="625">
        <v>14.37</v>
      </c>
      <c r="J2978" s="625">
        <v>9.36</v>
      </c>
      <c r="K2978"/>
    </row>
    <row r="2979" spans="1:11" ht="24" customHeight="1">
      <c r="A2979" s="626" t="s">
        <v>12709</v>
      </c>
      <c r="B2979" s="627" t="s">
        <v>13151</v>
      </c>
      <c r="C2979" s="626" t="s">
        <v>8</v>
      </c>
      <c r="D2979" s="626" t="s">
        <v>9968</v>
      </c>
      <c r="E2979" s="804" t="s">
        <v>12720</v>
      </c>
      <c r="F2979" s="805"/>
      <c r="G2979" s="628" t="s">
        <v>35</v>
      </c>
      <c r="H2979" s="629">
        <v>1</v>
      </c>
      <c r="I2979" s="630">
        <v>156.12</v>
      </c>
      <c r="J2979" s="630">
        <v>156.12</v>
      </c>
      <c r="K2979"/>
    </row>
    <row r="2980" spans="1:11" ht="24" customHeight="1">
      <c r="A2980" s="626" t="s">
        <v>12709</v>
      </c>
      <c r="B2980" s="627" t="s">
        <v>13037</v>
      </c>
      <c r="C2980" s="626" t="s">
        <v>8</v>
      </c>
      <c r="D2980" s="626" t="s">
        <v>10652</v>
      </c>
      <c r="E2980" s="804" t="s">
        <v>12720</v>
      </c>
      <c r="F2980" s="805"/>
      <c r="G2980" s="628" t="s">
        <v>35</v>
      </c>
      <c r="H2980" s="629">
        <v>6</v>
      </c>
      <c r="I2980" s="630">
        <v>11.55</v>
      </c>
      <c r="J2980" s="630">
        <v>69.3</v>
      </c>
      <c r="K2980"/>
    </row>
    <row r="2981" spans="1:11" ht="24" customHeight="1">
      <c r="A2981" s="626" t="s">
        <v>12709</v>
      </c>
      <c r="B2981" s="627" t="s">
        <v>13036</v>
      </c>
      <c r="C2981" s="626" t="s">
        <v>8</v>
      </c>
      <c r="D2981" s="626" t="s">
        <v>11174</v>
      </c>
      <c r="E2981" s="804" t="s">
        <v>12720</v>
      </c>
      <c r="F2981" s="805"/>
      <c r="G2981" s="628" t="s">
        <v>20</v>
      </c>
      <c r="H2981" s="629">
        <v>8.6599999999999996E-2</v>
      </c>
      <c r="I2981" s="630">
        <v>57.59</v>
      </c>
      <c r="J2981" s="630">
        <v>4.9800000000000004</v>
      </c>
      <c r="K2981"/>
    </row>
    <row r="2982" spans="1:11" ht="24" customHeight="1">
      <c r="A2982" s="631"/>
      <c r="B2982" s="631"/>
      <c r="C2982" s="631"/>
      <c r="D2982" s="631"/>
      <c r="E2982" s="631" t="s">
        <v>12714</v>
      </c>
      <c r="F2982" s="632">
        <v>14.006919666991026</v>
      </c>
      <c r="G2982" s="631" t="s">
        <v>12715</v>
      </c>
      <c r="H2982" s="632">
        <v>11.9</v>
      </c>
      <c r="I2982" s="631" t="s">
        <v>12716</v>
      </c>
      <c r="J2982" s="632">
        <v>25.91</v>
      </c>
      <c r="K2982"/>
    </row>
    <row r="2983" spans="1:11" ht="24" customHeight="1" thickBot="1">
      <c r="A2983" s="631"/>
      <c r="B2983" s="631"/>
      <c r="C2983" s="631"/>
      <c r="D2983" s="631"/>
      <c r="E2983" s="631" t="s">
        <v>12717</v>
      </c>
      <c r="F2983" s="632">
        <v>75.069999999999993</v>
      </c>
      <c r="G2983" s="631"/>
      <c r="H2983" s="806" t="s">
        <v>12718</v>
      </c>
      <c r="I2983" s="806"/>
      <c r="J2983" s="632">
        <v>340.92</v>
      </c>
      <c r="K2983"/>
    </row>
    <row r="2984" spans="1:11" ht="15" thickTop="1">
      <c r="A2984" s="633"/>
      <c r="B2984" s="633"/>
      <c r="C2984" s="633"/>
      <c r="D2984" s="633"/>
      <c r="E2984" s="633"/>
      <c r="F2984" s="633"/>
      <c r="G2984" s="633"/>
      <c r="H2984" s="633"/>
      <c r="I2984" s="633"/>
      <c r="J2984" s="633"/>
      <c r="K2984"/>
    </row>
    <row r="2985" spans="1:11" ht="15" customHeight="1">
      <c r="A2985" s="613"/>
      <c r="B2985" s="614" t="s">
        <v>12698</v>
      </c>
      <c r="C2985" s="613" t="s">
        <v>12699</v>
      </c>
      <c r="D2985" s="613" t="s">
        <v>12700</v>
      </c>
      <c r="E2985" s="807" t="s">
        <v>12701</v>
      </c>
      <c r="F2985" s="808"/>
      <c r="G2985" s="615" t="s">
        <v>12702</v>
      </c>
      <c r="H2985" s="614" t="s">
        <v>12703</v>
      </c>
      <c r="I2985" s="614" t="s">
        <v>12704</v>
      </c>
      <c r="J2985" s="614" t="s">
        <v>12705</v>
      </c>
      <c r="K2985"/>
    </row>
    <row r="2986" spans="1:11" ht="0.95" customHeight="1">
      <c r="A2986" s="616" t="s">
        <v>12706</v>
      </c>
      <c r="B2986" s="617" t="s">
        <v>13150</v>
      </c>
      <c r="C2986" s="616" t="s">
        <v>8</v>
      </c>
      <c r="D2986" s="616" t="s">
        <v>6901</v>
      </c>
      <c r="E2986" s="809" t="s">
        <v>12819</v>
      </c>
      <c r="F2986" s="810"/>
      <c r="G2986" s="618" t="s">
        <v>35</v>
      </c>
      <c r="H2986" s="619">
        <v>1</v>
      </c>
      <c r="I2986" s="620">
        <v>103.29</v>
      </c>
      <c r="J2986" s="620">
        <v>103.29</v>
      </c>
      <c r="K2986"/>
    </row>
    <row r="2987" spans="1:11" ht="18" customHeight="1">
      <c r="A2987" s="621" t="s">
        <v>12708</v>
      </c>
      <c r="B2987" s="622" t="s">
        <v>12981</v>
      </c>
      <c r="C2987" s="621" t="s">
        <v>8</v>
      </c>
      <c r="D2987" s="621" t="s">
        <v>50</v>
      </c>
      <c r="E2987" s="811" t="s">
        <v>12707</v>
      </c>
      <c r="F2987" s="812"/>
      <c r="G2987" s="623" t="s">
        <v>23</v>
      </c>
      <c r="H2987" s="624">
        <v>0.38700000000000001</v>
      </c>
      <c r="I2987" s="625">
        <v>17.79</v>
      </c>
      <c r="J2987" s="625">
        <v>6.88</v>
      </c>
      <c r="K2987"/>
    </row>
    <row r="2988" spans="1:11" ht="24" customHeight="1">
      <c r="A2988" s="621" t="s">
        <v>12708</v>
      </c>
      <c r="B2988" s="622" t="s">
        <v>12727</v>
      </c>
      <c r="C2988" s="621" t="s">
        <v>8</v>
      </c>
      <c r="D2988" s="621" t="s">
        <v>26</v>
      </c>
      <c r="E2988" s="811" t="s">
        <v>12707</v>
      </c>
      <c r="F2988" s="812"/>
      <c r="G2988" s="623" t="s">
        <v>23</v>
      </c>
      <c r="H2988" s="624">
        <v>0.18859999999999999</v>
      </c>
      <c r="I2988" s="625">
        <v>14.37</v>
      </c>
      <c r="J2988" s="625">
        <v>2.71</v>
      </c>
      <c r="K2988"/>
    </row>
    <row r="2989" spans="1:11" ht="24" customHeight="1">
      <c r="A2989" s="626" t="s">
        <v>12709</v>
      </c>
      <c r="B2989" s="627" t="s">
        <v>13149</v>
      </c>
      <c r="C2989" s="626" t="s">
        <v>8</v>
      </c>
      <c r="D2989" s="626" t="s">
        <v>9969</v>
      </c>
      <c r="E2989" s="804" t="s">
        <v>12720</v>
      </c>
      <c r="F2989" s="805"/>
      <c r="G2989" s="628" t="s">
        <v>35</v>
      </c>
      <c r="H2989" s="629">
        <v>1</v>
      </c>
      <c r="I2989" s="630">
        <v>68.849999999999994</v>
      </c>
      <c r="J2989" s="630">
        <v>68.849999999999994</v>
      </c>
      <c r="K2989"/>
    </row>
    <row r="2990" spans="1:11" ht="24" customHeight="1">
      <c r="A2990" s="626" t="s">
        <v>12709</v>
      </c>
      <c r="B2990" s="627" t="s">
        <v>13037</v>
      </c>
      <c r="C2990" s="626" t="s">
        <v>8</v>
      </c>
      <c r="D2990" s="626" t="s">
        <v>10652</v>
      </c>
      <c r="E2990" s="804" t="s">
        <v>12720</v>
      </c>
      <c r="F2990" s="805"/>
      <c r="G2990" s="628" t="s">
        <v>35</v>
      </c>
      <c r="H2990" s="629">
        <v>2</v>
      </c>
      <c r="I2990" s="630">
        <v>11.55</v>
      </c>
      <c r="J2990" s="630">
        <v>23.1</v>
      </c>
      <c r="K2990"/>
    </row>
    <row r="2991" spans="1:11" ht="24" customHeight="1">
      <c r="A2991" s="626" t="s">
        <v>12709</v>
      </c>
      <c r="B2991" s="627" t="s">
        <v>13036</v>
      </c>
      <c r="C2991" s="626" t="s">
        <v>8</v>
      </c>
      <c r="D2991" s="626" t="s">
        <v>11174</v>
      </c>
      <c r="E2991" s="804" t="s">
        <v>12720</v>
      </c>
      <c r="F2991" s="805"/>
      <c r="G2991" s="628" t="s">
        <v>20</v>
      </c>
      <c r="H2991" s="629">
        <v>3.04E-2</v>
      </c>
      <c r="I2991" s="630">
        <v>57.59</v>
      </c>
      <c r="J2991" s="630">
        <v>1.75</v>
      </c>
      <c r="K2991"/>
    </row>
    <row r="2992" spans="1:11" ht="25.5">
      <c r="A2992" s="631"/>
      <c r="B2992" s="631"/>
      <c r="C2992" s="631"/>
      <c r="D2992" s="631"/>
      <c r="E2992" s="631" t="s">
        <v>12714</v>
      </c>
      <c r="F2992" s="632">
        <v>3.7787868958806357</v>
      </c>
      <c r="G2992" s="631" t="s">
        <v>12715</v>
      </c>
      <c r="H2992" s="632">
        <v>3.21</v>
      </c>
      <c r="I2992" s="631" t="s">
        <v>12716</v>
      </c>
      <c r="J2992" s="632">
        <v>6.99</v>
      </c>
      <c r="K2992"/>
    </row>
    <row r="2993" spans="1:11" ht="15" customHeight="1" thickBot="1">
      <c r="A2993" s="631"/>
      <c r="B2993" s="631"/>
      <c r="C2993" s="631"/>
      <c r="D2993" s="631"/>
      <c r="E2993" s="631" t="s">
        <v>12717</v>
      </c>
      <c r="F2993" s="632">
        <v>29.16</v>
      </c>
      <c r="G2993" s="631"/>
      <c r="H2993" s="806" t="s">
        <v>12718</v>
      </c>
      <c r="I2993" s="806"/>
      <c r="J2993" s="632">
        <v>132.44999999999999</v>
      </c>
      <c r="K2993"/>
    </row>
    <row r="2994" spans="1:11" ht="0.95" customHeight="1" thickTop="1">
      <c r="A2994" s="633"/>
      <c r="B2994" s="633"/>
      <c r="C2994" s="633"/>
      <c r="D2994" s="633"/>
      <c r="E2994" s="633"/>
      <c r="F2994" s="633"/>
      <c r="G2994" s="633"/>
      <c r="H2994" s="633"/>
      <c r="I2994" s="633"/>
      <c r="J2994" s="633"/>
      <c r="K2994"/>
    </row>
    <row r="2995" spans="1:11" ht="18" customHeight="1">
      <c r="A2995" s="613"/>
      <c r="B2995" s="614" t="s">
        <v>12698</v>
      </c>
      <c r="C2995" s="613" t="s">
        <v>12699</v>
      </c>
      <c r="D2995" s="613" t="s">
        <v>12700</v>
      </c>
      <c r="E2995" s="807" t="s">
        <v>12701</v>
      </c>
      <c r="F2995" s="808"/>
      <c r="G2995" s="615" t="s">
        <v>12702</v>
      </c>
      <c r="H2995" s="614" t="s">
        <v>12703</v>
      </c>
      <c r="I2995" s="614" t="s">
        <v>12704</v>
      </c>
      <c r="J2995" s="614" t="s">
        <v>12705</v>
      </c>
      <c r="K2995"/>
    </row>
    <row r="2996" spans="1:11" ht="24" customHeight="1">
      <c r="A2996" s="616" t="s">
        <v>12706</v>
      </c>
      <c r="B2996" s="617" t="s">
        <v>13148</v>
      </c>
      <c r="C2996" s="616" t="s">
        <v>8</v>
      </c>
      <c r="D2996" s="616" t="s">
        <v>259</v>
      </c>
      <c r="E2996" s="809" t="s">
        <v>12707</v>
      </c>
      <c r="F2996" s="810"/>
      <c r="G2996" s="618" t="s">
        <v>23</v>
      </c>
      <c r="H2996" s="619">
        <v>1</v>
      </c>
      <c r="I2996" s="620">
        <v>17.98</v>
      </c>
      <c r="J2996" s="620">
        <v>17.98</v>
      </c>
      <c r="K2996"/>
    </row>
    <row r="2997" spans="1:11" ht="24" customHeight="1">
      <c r="A2997" s="621" t="s">
        <v>12708</v>
      </c>
      <c r="B2997" s="622" t="s">
        <v>13147</v>
      </c>
      <c r="C2997" s="621" t="s">
        <v>8</v>
      </c>
      <c r="D2997" s="621" t="s">
        <v>3657</v>
      </c>
      <c r="E2997" s="811" t="s">
        <v>12707</v>
      </c>
      <c r="F2997" s="812"/>
      <c r="G2997" s="623" t="s">
        <v>23</v>
      </c>
      <c r="H2997" s="624">
        <v>1</v>
      </c>
      <c r="I2997" s="625">
        <v>0.13</v>
      </c>
      <c r="J2997" s="625">
        <v>0.13</v>
      </c>
      <c r="K2997"/>
    </row>
    <row r="2998" spans="1:11" ht="24" customHeight="1">
      <c r="A2998" s="626" t="s">
        <v>12709</v>
      </c>
      <c r="B2998" s="627" t="s">
        <v>13004</v>
      </c>
      <c r="C2998" s="626" t="s">
        <v>8</v>
      </c>
      <c r="D2998" s="626" t="s">
        <v>7388</v>
      </c>
      <c r="E2998" s="804" t="s">
        <v>12712</v>
      </c>
      <c r="F2998" s="805"/>
      <c r="G2998" s="628" t="s">
        <v>23</v>
      </c>
      <c r="H2998" s="629">
        <v>1</v>
      </c>
      <c r="I2998" s="630">
        <v>2.2000000000000002</v>
      </c>
      <c r="J2998" s="630">
        <v>2.2000000000000002</v>
      </c>
      <c r="K2998"/>
    </row>
    <row r="2999" spans="1:11" ht="24" customHeight="1">
      <c r="A2999" s="626" t="s">
        <v>12709</v>
      </c>
      <c r="B2999" s="627" t="s">
        <v>13052</v>
      </c>
      <c r="C2999" s="626" t="s">
        <v>8</v>
      </c>
      <c r="D2999" s="626" t="s">
        <v>9229</v>
      </c>
      <c r="E2999" s="804" t="s">
        <v>12711</v>
      </c>
      <c r="F2999" s="805"/>
      <c r="G2999" s="628" t="s">
        <v>23</v>
      </c>
      <c r="H2999" s="629">
        <v>1</v>
      </c>
      <c r="I2999" s="630">
        <v>0.96</v>
      </c>
      <c r="J2999" s="630">
        <v>0.96</v>
      </c>
      <c r="K2999"/>
    </row>
    <row r="3000" spans="1:11" ht="24" customHeight="1">
      <c r="A3000" s="626" t="s">
        <v>12709</v>
      </c>
      <c r="B3000" s="627" t="s">
        <v>13002</v>
      </c>
      <c r="C3000" s="626" t="s">
        <v>8</v>
      </c>
      <c r="D3000" s="626" t="s">
        <v>9306</v>
      </c>
      <c r="E3000" s="804" t="s">
        <v>12712</v>
      </c>
      <c r="F3000" s="805"/>
      <c r="G3000" s="628" t="s">
        <v>23</v>
      </c>
      <c r="H3000" s="629">
        <v>1</v>
      </c>
      <c r="I3000" s="630">
        <v>0.35</v>
      </c>
      <c r="J3000" s="630">
        <v>0.35</v>
      </c>
      <c r="K3000"/>
    </row>
    <row r="3001" spans="1:11" ht="25.5">
      <c r="A3001" s="626" t="s">
        <v>12709</v>
      </c>
      <c r="B3001" s="627" t="s">
        <v>13051</v>
      </c>
      <c r="C3001" s="626" t="s">
        <v>8</v>
      </c>
      <c r="D3001" s="626" t="s">
        <v>9376</v>
      </c>
      <c r="E3001" s="804" t="s">
        <v>12711</v>
      </c>
      <c r="F3001" s="805"/>
      <c r="G3001" s="628" t="s">
        <v>23</v>
      </c>
      <c r="H3001" s="629">
        <v>1</v>
      </c>
      <c r="I3001" s="630">
        <v>0.5</v>
      </c>
      <c r="J3001" s="630">
        <v>0.5</v>
      </c>
      <c r="K3001"/>
    </row>
    <row r="3002" spans="1:11" ht="15" customHeight="1">
      <c r="A3002" s="626" t="s">
        <v>12709</v>
      </c>
      <c r="B3002" s="627" t="s">
        <v>13146</v>
      </c>
      <c r="C3002" s="626" t="s">
        <v>8</v>
      </c>
      <c r="D3002" s="626" t="s">
        <v>10362</v>
      </c>
      <c r="E3002" s="804" t="s">
        <v>12710</v>
      </c>
      <c r="F3002" s="805"/>
      <c r="G3002" s="628" t="s">
        <v>23</v>
      </c>
      <c r="H3002" s="629">
        <v>1</v>
      </c>
      <c r="I3002" s="630">
        <v>13.06</v>
      </c>
      <c r="J3002" s="630">
        <v>13.06</v>
      </c>
      <c r="K3002"/>
    </row>
    <row r="3003" spans="1:11" ht="0.95" customHeight="1">
      <c r="A3003" s="626" t="s">
        <v>12709</v>
      </c>
      <c r="B3003" s="627" t="s">
        <v>12999</v>
      </c>
      <c r="C3003" s="626" t="s">
        <v>8</v>
      </c>
      <c r="D3003" s="626" t="s">
        <v>11251</v>
      </c>
      <c r="E3003" s="804" t="s">
        <v>12713</v>
      </c>
      <c r="F3003" s="805"/>
      <c r="G3003" s="628" t="s">
        <v>23</v>
      </c>
      <c r="H3003" s="629">
        <v>1</v>
      </c>
      <c r="I3003" s="630">
        <v>7.0000000000000007E-2</v>
      </c>
      <c r="J3003" s="630">
        <v>7.0000000000000007E-2</v>
      </c>
      <c r="K3003"/>
    </row>
    <row r="3004" spans="1:11" ht="18" customHeight="1">
      <c r="A3004" s="626" t="s">
        <v>12709</v>
      </c>
      <c r="B3004" s="627" t="s">
        <v>12998</v>
      </c>
      <c r="C3004" s="626" t="s">
        <v>8</v>
      </c>
      <c r="D3004" s="626" t="s">
        <v>11861</v>
      </c>
      <c r="E3004" s="804" t="s">
        <v>12722</v>
      </c>
      <c r="F3004" s="805"/>
      <c r="G3004" s="628" t="s">
        <v>23</v>
      </c>
      <c r="H3004" s="629">
        <v>1</v>
      </c>
      <c r="I3004" s="630">
        <v>0.71</v>
      </c>
      <c r="J3004" s="630">
        <v>0.71</v>
      </c>
      <c r="K3004"/>
    </row>
    <row r="3005" spans="1:11" ht="24" customHeight="1">
      <c r="A3005" s="631"/>
      <c r="B3005" s="631"/>
      <c r="C3005" s="631"/>
      <c r="D3005" s="631"/>
      <c r="E3005" s="631" t="s">
        <v>12714</v>
      </c>
      <c r="F3005" s="632">
        <v>7.1305006000000004</v>
      </c>
      <c r="G3005" s="631" t="s">
        <v>12715</v>
      </c>
      <c r="H3005" s="632">
        <v>6.06</v>
      </c>
      <c r="I3005" s="631" t="s">
        <v>12716</v>
      </c>
      <c r="J3005" s="632">
        <v>13.19</v>
      </c>
      <c r="K3005"/>
    </row>
    <row r="3006" spans="1:11" ht="24" customHeight="1" thickBot="1">
      <c r="A3006" s="631"/>
      <c r="B3006" s="631"/>
      <c r="C3006" s="631"/>
      <c r="D3006" s="631"/>
      <c r="E3006" s="631" t="s">
        <v>12717</v>
      </c>
      <c r="F3006" s="632">
        <v>5.07</v>
      </c>
      <c r="G3006" s="631"/>
      <c r="H3006" s="806" t="s">
        <v>12718</v>
      </c>
      <c r="I3006" s="806"/>
      <c r="J3006" s="632">
        <v>23.05</v>
      </c>
      <c r="K3006"/>
    </row>
    <row r="3007" spans="1:11" ht="15" thickTop="1">
      <c r="A3007" s="633"/>
      <c r="B3007" s="633"/>
      <c r="C3007" s="633"/>
      <c r="D3007" s="633"/>
      <c r="E3007" s="633"/>
      <c r="F3007" s="633"/>
      <c r="G3007" s="633"/>
      <c r="H3007" s="633"/>
      <c r="I3007" s="633"/>
      <c r="J3007" s="633"/>
      <c r="K3007"/>
    </row>
    <row r="3008" spans="1:11" ht="15" customHeight="1">
      <c r="A3008" s="613"/>
      <c r="B3008" s="614" t="s">
        <v>12698</v>
      </c>
      <c r="C3008" s="613" t="s">
        <v>12699</v>
      </c>
      <c r="D3008" s="613" t="s">
        <v>12700</v>
      </c>
      <c r="E3008" s="807" t="s">
        <v>12701</v>
      </c>
      <c r="F3008" s="808"/>
      <c r="G3008" s="615" t="s">
        <v>12702</v>
      </c>
      <c r="H3008" s="614" t="s">
        <v>12703</v>
      </c>
      <c r="I3008" s="614" t="s">
        <v>12704</v>
      </c>
      <c r="J3008" s="614" t="s">
        <v>12705</v>
      </c>
      <c r="K3008"/>
    </row>
    <row r="3009" spans="1:11" ht="0.95" customHeight="1">
      <c r="A3009" s="616" t="s">
        <v>12706</v>
      </c>
      <c r="B3009" s="617" t="s">
        <v>13145</v>
      </c>
      <c r="C3009" s="616" t="s">
        <v>8</v>
      </c>
      <c r="D3009" s="616" t="s">
        <v>85</v>
      </c>
      <c r="E3009" s="809" t="s">
        <v>12726</v>
      </c>
      <c r="F3009" s="810"/>
      <c r="G3009" s="618" t="s">
        <v>61</v>
      </c>
      <c r="H3009" s="619">
        <v>1</v>
      </c>
      <c r="I3009" s="620">
        <v>13.17</v>
      </c>
      <c r="J3009" s="620">
        <v>13.17</v>
      </c>
      <c r="K3009"/>
    </row>
    <row r="3010" spans="1:11" ht="18" customHeight="1">
      <c r="A3010" s="621" t="s">
        <v>12708</v>
      </c>
      <c r="B3010" s="622" t="s">
        <v>13143</v>
      </c>
      <c r="C3010" s="621" t="s">
        <v>8</v>
      </c>
      <c r="D3010" s="621" t="s">
        <v>3563</v>
      </c>
      <c r="E3010" s="811" t="s">
        <v>12726</v>
      </c>
      <c r="F3010" s="812"/>
      <c r="G3010" s="623" t="s">
        <v>23</v>
      </c>
      <c r="H3010" s="624">
        <v>1</v>
      </c>
      <c r="I3010" s="625">
        <v>1.54</v>
      </c>
      <c r="J3010" s="625">
        <v>1.54</v>
      </c>
      <c r="K3010"/>
    </row>
    <row r="3011" spans="1:11" ht="24" customHeight="1">
      <c r="A3011" s="621" t="s">
        <v>12708</v>
      </c>
      <c r="B3011" s="622" t="s">
        <v>13142</v>
      </c>
      <c r="C3011" s="621" t="s">
        <v>8</v>
      </c>
      <c r="D3011" s="621" t="s">
        <v>3564</v>
      </c>
      <c r="E3011" s="811" t="s">
        <v>12726</v>
      </c>
      <c r="F3011" s="812"/>
      <c r="G3011" s="623" t="s">
        <v>23</v>
      </c>
      <c r="H3011" s="624">
        <v>1</v>
      </c>
      <c r="I3011" s="625">
        <v>0.18</v>
      </c>
      <c r="J3011" s="625">
        <v>0.18</v>
      </c>
      <c r="K3011"/>
    </row>
    <row r="3012" spans="1:11" ht="24" customHeight="1">
      <c r="A3012" s="621" t="s">
        <v>12708</v>
      </c>
      <c r="B3012" s="622" t="s">
        <v>13107</v>
      </c>
      <c r="C3012" s="621" t="s">
        <v>8</v>
      </c>
      <c r="D3012" s="621" t="s">
        <v>278</v>
      </c>
      <c r="E3012" s="811" t="s">
        <v>12707</v>
      </c>
      <c r="F3012" s="812"/>
      <c r="G3012" s="623" t="s">
        <v>23</v>
      </c>
      <c r="H3012" s="624">
        <v>1</v>
      </c>
      <c r="I3012" s="625">
        <v>11.45</v>
      </c>
      <c r="J3012" s="625">
        <v>11.45</v>
      </c>
      <c r="K3012"/>
    </row>
    <row r="3013" spans="1:11" ht="25.5">
      <c r="A3013" s="631"/>
      <c r="B3013" s="631"/>
      <c r="C3013" s="631"/>
      <c r="D3013" s="631"/>
      <c r="E3013" s="631" t="s">
        <v>12714</v>
      </c>
      <c r="F3013" s="632">
        <v>4.0274624000000001</v>
      </c>
      <c r="G3013" s="631" t="s">
        <v>12715</v>
      </c>
      <c r="H3013" s="632">
        <v>3.42</v>
      </c>
      <c r="I3013" s="631" t="s">
        <v>12716</v>
      </c>
      <c r="J3013" s="632">
        <v>7.45</v>
      </c>
      <c r="K3013"/>
    </row>
    <row r="3014" spans="1:11" ht="15" customHeight="1" thickBot="1">
      <c r="A3014" s="631"/>
      <c r="B3014" s="631"/>
      <c r="C3014" s="631"/>
      <c r="D3014" s="631"/>
      <c r="E3014" s="631" t="s">
        <v>12717</v>
      </c>
      <c r="F3014" s="632">
        <v>3.71</v>
      </c>
      <c r="G3014" s="631"/>
      <c r="H3014" s="806" t="s">
        <v>12718</v>
      </c>
      <c r="I3014" s="806"/>
      <c r="J3014" s="632">
        <v>16.88</v>
      </c>
      <c r="K3014"/>
    </row>
    <row r="3015" spans="1:11" ht="0.95" customHeight="1" thickTop="1">
      <c r="A3015" s="633"/>
      <c r="B3015" s="633"/>
      <c r="C3015" s="633"/>
      <c r="D3015" s="633"/>
      <c r="E3015" s="633"/>
      <c r="F3015" s="633"/>
      <c r="G3015" s="633"/>
      <c r="H3015" s="633"/>
      <c r="I3015" s="633"/>
      <c r="J3015" s="633"/>
      <c r="K3015"/>
    </row>
    <row r="3016" spans="1:11" ht="18" customHeight="1">
      <c r="A3016" s="613"/>
      <c r="B3016" s="614" t="s">
        <v>12698</v>
      </c>
      <c r="C3016" s="613" t="s">
        <v>12699</v>
      </c>
      <c r="D3016" s="613" t="s">
        <v>12700</v>
      </c>
      <c r="E3016" s="807" t="s">
        <v>12701</v>
      </c>
      <c r="F3016" s="808"/>
      <c r="G3016" s="615" t="s">
        <v>12702</v>
      </c>
      <c r="H3016" s="614" t="s">
        <v>12703</v>
      </c>
      <c r="I3016" s="614" t="s">
        <v>12704</v>
      </c>
      <c r="J3016" s="614" t="s">
        <v>12705</v>
      </c>
      <c r="K3016"/>
    </row>
    <row r="3017" spans="1:11" ht="24" customHeight="1">
      <c r="A3017" s="616" t="s">
        <v>12706</v>
      </c>
      <c r="B3017" s="617" t="s">
        <v>13144</v>
      </c>
      <c r="C3017" s="616" t="s">
        <v>8</v>
      </c>
      <c r="D3017" s="616" t="s">
        <v>71</v>
      </c>
      <c r="E3017" s="809" t="s">
        <v>12726</v>
      </c>
      <c r="F3017" s="810"/>
      <c r="G3017" s="618" t="s">
        <v>44</v>
      </c>
      <c r="H3017" s="619">
        <v>1</v>
      </c>
      <c r="I3017" s="620">
        <v>15.1</v>
      </c>
      <c r="J3017" s="620">
        <v>15.1</v>
      </c>
      <c r="K3017"/>
    </row>
    <row r="3018" spans="1:11" ht="24" customHeight="1">
      <c r="A3018" s="621" t="s">
        <v>12708</v>
      </c>
      <c r="B3018" s="622" t="s">
        <v>13141</v>
      </c>
      <c r="C3018" s="621" t="s">
        <v>8</v>
      </c>
      <c r="D3018" s="621" t="s">
        <v>1139</v>
      </c>
      <c r="E3018" s="811" t="s">
        <v>12726</v>
      </c>
      <c r="F3018" s="812"/>
      <c r="G3018" s="623" t="s">
        <v>23</v>
      </c>
      <c r="H3018" s="624">
        <v>1</v>
      </c>
      <c r="I3018" s="625">
        <v>1.93</v>
      </c>
      <c r="J3018" s="625">
        <v>1.93</v>
      </c>
      <c r="K3018"/>
    </row>
    <row r="3019" spans="1:11" ht="25.5" customHeight="1">
      <c r="A3019" s="621" t="s">
        <v>12708</v>
      </c>
      <c r="B3019" s="622" t="s">
        <v>13143</v>
      </c>
      <c r="C3019" s="621" t="s">
        <v>8</v>
      </c>
      <c r="D3019" s="621" t="s">
        <v>3563</v>
      </c>
      <c r="E3019" s="811" t="s">
        <v>12726</v>
      </c>
      <c r="F3019" s="812"/>
      <c r="G3019" s="623" t="s">
        <v>23</v>
      </c>
      <c r="H3019" s="624">
        <v>1</v>
      </c>
      <c r="I3019" s="625">
        <v>1.54</v>
      </c>
      <c r="J3019" s="625">
        <v>1.54</v>
      </c>
      <c r="K3019"/>
    </row>
    <row r="3020" spans="1:11" ht="15" customHeight="1">
      <c r="A3020" s="621" t="s">
        <v>12708</v>
      </c>
      <c r="B3020" s="622" t="s">
        <v>13142</v>
      </c>
      <c r="C3020" s="621" t="s">
        <v>8</v>
      </c>
      <c r="D3020" s="621" t="s">
        <v>3564</v>
      </c>
      <c r="E3020" s="811" t="s">
        <v>12726</v>
      </c>
      <c r="F3020" s="812"/>
      <c r="G3020" s="623" t="s">
        <v>23</v>
      </c>
      <c r="H3020" s="624">
        <v>1</v>
      </c>
      <c r="I3020" s="625">
        <v>0.18</v>
      </c>
      <c r="J3020" s="625">
        <v>0.18</v>
      </c>
      <c r="K3020"/>
    </row>
    <row r="3021" spans="1:11" ht="0.95" customHeight="1">
      <c r="A3021" s="621" t="s">
        <v>12708</v>
      </c>
      <c r="B3021" s="622" t="s">
        <v>13107</v>
      </c>
      <c r="C3021" s="621" t="s">
        <v>8</v>
      </c>
      <c r="D3021" s="621" t="s">
        <v>278</v>
      </c>
      <c r="E3021" s="811" t="s">
        <v>12707</v>
      </c>
      <c r="F3021" s="812"/>
      <c r="G3021" s="623" t="s">
        <v>23</v>
      </c>
      <c r="H3021" s="624">
        <v>1</v>
      </c>
      <c r="I3021" s="625">
        <v>11.45</v>
      </c>
      <c r="J3021" s="625">
        <v>11.45</v>
      </c>
      <c r="K3021"/>
    </row>
    <row r="3022" spans="1:11" ht="18" customHeight="1">
      <c r="A3022" s="631"/>
      <c r="B3022" s="631"/>
      <c r="C3022" s="631"/>
      <c r="D3022" s="631"/>
      <c r="E3022" s="631" t="s">
        <v>12714</v>
      </c>
      <c r="F3022" s="632">
        <v>4.0274624000000001</v>
      </c>
      <c r="G3022" s="631" t="s">
        <v>12715</v>
      </c>
      <c r="H3022" s="632">
        <v>3.42</v>
      </c>
      <c r="I3022" s="631" t="s">
        <v>12716</v>
      </c>
      <c r="J3022" s="632">
        <v>7.45</v>
      </c>
      <c r="K3022"/>
    </row>
    <row r="3023" spans="1:11" ht="24" customHeight="1" thickBot="1">
      <c r="A3023" s="631"/>
      <c r="B3023" s="631"/>
      <c r="C3023" s="631"/>
      <c r="D3023" s="631"/>
      <c r="E3023" s="631" t="s">
        <v>12717</v>
      </c>
      <c r="F3023" s="632">
        <v>4.26</v>
      </c>
      <c r="G3023" s="631"/>
      <c r="H3023" s="806" t="s">
        <v>12718</v>
      </c>
      <c r="I3023" s="806"/>
      <c r="J3023" s="632">
        <v>19.36</v>
      </c>
      <c r="K3023"/>
    </row>
    <row r="3024" spans="1:11" ht="24" customHeight="1" thickTop="1">
      <c r="A3024" s="633"/>
      <c r="B3024" s="633"/>
      <c r="C3024" s="633"/>
      <c r="D3024" s="633"/>
      <c r="E3024" s="633"/>
      <c r="F3024" s="633"/>
      <c r="G3024" s="633"/>
      <c r="H3024" s="633"/>
      <c r="I3024" s="633"/>
      <c r="J3024" s="633"/>
      <c r="K3024"/>
    </row>
    <row r="3025" spans="1:11" ht="24" customHeight="1">
      <c r="A3025" s="613"/>
      <c r="B3025" s="614" t="s">
        <v>12698</v>
      </c>
      <c r="C3025" s="613" t="s">
        <v>12699</v>
      </c>
      <c r="D3025" s="613" t="s">
        <v>12700</v>
      </c>
      <c r="E3025" s="807" t="s">
        <v>12701</v>
      </c>
      <c r="F3025" s="808"/>
      <c r="G3025" s="615" t="s">
        <v>12702</v>
      </c>
      <c r="H3025" s="614" t="s">
        <v>12703</v>
      </c>
      <c r="I3025" s="614" t="s">
        <v>12704</v>
      </c>
      <c r="J3025" s="614" t="s">
        <v>12705</v>
      </c>
      <c r="K3025"/>
    </row>
    <row r="3026" spans="1:11" ht="24" customHeight="1">
      <c r="A3026" s="616" t="s">
        <v>12706</v>
      </c>
      <c r="B3026" s="617" t="s">
        <v>13143</v>
      </c>
      <c r="C3026" s="616" t="s">
        <v>8</v>
      </c>
      <c r="D3026" s="616" t="s">
        <v>3563</v>
      </c>
      <c r="E3026" s="809" t="s">
        <v>12726</v>
      </c>
      <c r="F3026" s="810"/>
      <c r="G3026" s="618" t="s">
        <v>23</v>
      </c>
      <c r="H3026" s="619">
        <v>1</v>
      </c>
      <c r="I3026" s="620">
        <v>1.54</v>
      </c>
      <c r="J3026" s="620">
        <v>1.54</v>
      </c>
      <c r="K3026"/>
    </row>
    <row r="3027" spans="1:11" ht="24" customHeight="1">
      <c r="A3027" s="626" t="s">
        <v>12709</v>
      </c>
      <c r="B3027" s="627" t="s">
        <v>13140</v>
      </c>
      <c r="C3027" s="626" t="s">
        <v>8</v>
      </c>
      <c r="D3027" s="626" t="s">
        <v>10369</v>
      </c>
      <c r="E3027" s="804" t="s">
        <v>12711</v>
      </c>
      <c r="F3027" s="805"/>
      <c r="G3027" s="628" t="s">
        <v>35</v>
      </c>
      <c r="H3027" s="629">
        <v>6.3999999999999997E-5</v>
      </c>
      <c r="I3027" s="630">
        <v>24150.81</v>
      </c>
      <c r="J3027" s="630">
        <v>1.54</v>
      </c>
      <c r="K3027"/>
    </row>
    <row r="3028" spans="1:11" ht="24" customHeight="1">
      <c r="A3028" s="631"/>
      <c r="B3028" s="631"/>
      <c r="C3028" s="631"/>
      <c r="D3028" s="631"/>
      <c r="E3028" s="631" t="s">
        <v>12714</v>
      </c>
      <c r="F3028" s="632">
        <v>0</v>
      </c>
      <c r="G3028" s="631" t="s">
        <v>12715</v>
      </c>
      <c r="H3028" s="632">
        <v>0</v>
      </c>
      <c r="I3028" s="631" t="s">
        <v>12716</v>
      </c>
      <c r="J3028" s="632">
        <v>0</v>
      </c>
      <c r="K3028"/>
    </row>
    <row r="3029" spans="1:11" ht="24" customHeight="1" thickBot="1">
      <c r="A3029" s="631"/>
      <c r="B3029" s="631"/>
      <c r="C3029" s="631"/>
      <c r="D3029" s="631"/>
      <c r="E3029" s="631" t="s">
        <v>12717</v>
      </c>
      <c r="F3029" s="632">
        <v>0.43</v>
      </c>
      <c r="G3029" s="631"/>
      <c r="H3029" s="806" t="s">
        <v>12718</v>
      </c>
      <c r="I3029" s="806"/>
      <c r="J3029" s="632">
        <v>1.97</v>
      </c>
      <c r="K3029"/>
    </row>
    <row r="3030" spans="1:11" ht="24" customHeight="1" thickTop="1">
      <c r="A3030" s="633"/>
      <c r="B3030" s="633"/>
      <c r="C3030" s="633"/>
      <c r="D3030" s="633"/>
      <c r="E3030" s="633"/>
      <c r="F3030" s="633"/>
      <c r="G3030" s="633"/>
      <c r="H3030" s="633"/>
      <c r="I3030" s="633"/>
      <c r="J3030" s="633"/>
      <c r="K3030"/>
    </row>
    <row r="3031" spans="1:11" ht="24" customHeight="1">
      <c r="A3031" s="613"/>
      <c r="B3031" s="614" t="s">
        <v>12698</v>
      </c>
      <c r="C3031" s="613" t="s">
        <v>12699</v>
      </c>
      <c r="D3031" s="613" t="s">
        <v>12700</v>
      </c>
      <c r="E3031" s="807" t="s">
        <v>12701</v>
      </c>
      <c r="F3031" s="808"/>
      <c r="G3031" s="615" t="s">
        <v>12702</v>
      </c>
      <c r="H3031" s="614" t="s">
        <v>12703</v>
      </c>
      <c r="I3031" s="614" t="s">
        <v>12704</v>
      </c>
      <c r="J3031" s="614" t="s">
        <v>12705</v>
      </c>
      <c r="K3031"/>
    </row>
    <row r="3032" spans="1:11" ht="25.5" customHeight="1">
      <c r="A3032" s="616" t="s">
        <v>12706</v>
      </c>
      <c r="B3032" s="617" t="s">
        <v>13142</v>
      </c>
      <c r="C3032" s="616" t="s">
        <v>8</v>
      </c>
      <c r="D3032" s="616" t="s">
        <v>3564</v>
      </c>
      <c r="E3032" s="809" t="s">
        <v>12726</v>
      </c>
      <c r="F3032" s="810"/>
      <c r="G3032" s="618" t="s">
        <v>23</v>
      </c>
      <c r="H3032" s="619">
        <v>1</v>
      </c>
      <c r="I3032" s="620">
        <v>0.18</v>
      </c>
      <c r="J3032" s="620">
        <v>0.18</v>
      </c>
      <c r="K3032"/>
    </row>
    <row r="3033" spans="1:11" ht="15" customHeight="1">
      <c r="A3033" s="626" t="s">
        <v>12709</v>
      </c>
      <c r="B3033" s="627" t="s">
        <v>13140</v>
      </c>
      <c r="C3033" s="626" t="s">
        <v>8</v>
      </c>
      <c r="D3033" s="626" t="s">
        <v>10369</v>
      </c>
      <c r="E3033" s="804" t="s">
        <v>12711</v>
      </c>
      <c r="F3033" s="805"/>
      <c r="G3033" s="628" t="s">
        <v>35</v>
      </c>
      <c r="H3033" s="629">
        <v>7.6000000000000001E-6</v>
      </c>
      <c r="I3033" s="630">
        <v>24150.81</v>
      </c>
      <c r="J3033" s="630">
        <v>0.18</v>
      </c>
      <c r="K3033"/>
    </row>
    <row r="3034" spans="1:11" ht="0.95" customHeight="1">
      <c r="A3034" s="631"/>
      <c r="B3034" s="631"/>
      <c r="C3034" s="631"/>
      <c r="D3034" s="631"/>
      <c r="E3034" s="631" t="s">
        <v>12714</v>
      </c>
      <c r="F3034" s="632">
        <v>0</v>
      </c>
      <c r="G3034" s="631" t="s">
        <v>12715</v>
      </c>
      <c r="H3034" s="632">
        <v>0</v>
      </c>
      <c r="I3034" s="631" t="s">
        <v>12716</v>
      </c>
      <c r="J3034" s="632">
        <v>0</v>
      </c>
      <c r="K3034"/>
    </row>
    <row r="3035" spans="1:11" ht="18" customHeight="1" thickBot="1">
      <c r="A3035" s="631"/>
      <c r="B3035" s="631"/>
      <c r="C3035" s="631"/>
      <c r="D3035" s="631"/>
      <c r="E3035" s="631" t="s">
        <v>12717</v>
      </c>
      <c r="F3035" s="632">
        <v>0.05</v>
      </c>
      <c r="G3035" s="631"/>
      <c r="H3035" s="806" t="s">
        <v>12718</v>
      </c>
      <c r="I3035" s="806"/>
      <c r="J3035" s="632">
        <v>0.23</v>
      </c>
      <c r="K3035"/>
    </row>
    <row r="3036" spans="1:11" ht="24" customHeight="1" thickTop="1">
      <c r="A3036" s="633"/>
      <c r="B3036" s="633"/>
      <c r="C3036" s="633"/>
      <c r="D3036" s="633"/>
      <c r="E3036" s="633"/>
      <c r="F3036" s="633"/>
      <c r="G3036" s="633"/>
      <c r="H3036" s="633"/>
      <c r="I3036" s="633"/>
      <c r="J3036" s="633"/>
      <c r="K3036"/>
    </row>
    <row r="3037" spans="1:11" ht="24" customHeight="1">
      <c r="A3037" s="613"/>
      <c r="B3037" s="614" t="s">
        <v>12698</v>
      </c>
      <c r="C3037" s="613" t="s">
        <v>12699</v>
      </c>
      <c r="D3037" s="613" t="s">
        <v>12700</v>
      </c>
      <c r="E3037" s="807" t="s">
        <v>12701</v>
      </c>
      <c r="F3037" s="808"/>
      <c r="G3037" s="615" t="s">
        <v>12702</v>
      </c>
      <c r="H3037" s="614" t="s">
        <v>12703</v>
      </c>
      <c r="I3037" s="614" t="s">
        <v>12704</v>
      </c>
      <c r="J3037" s="614" t="s">
        <v>12705</v>
      </c>
      <c r="K3037"/>
    </row>
    <row r="3038" spans="1:11" ht="24" customHeight="1">
      <c r="A3038" s="616" t="s">
        <v>12706</v>
      </c>
      <c r="B3038" s="617" t="s">
        <v>13141</v>
      </c>
      <c r="C3038" s="616" t="s">
        <v>8</v>
      </c>
      <c r="D3038" s="616" t="s">
        <v>1139</v>
      </c>
      <c r="E3038" s="809" t="s">
        <v>12726</v>
      </c>
      <c r="F3038" s="810"/>
      <c r="G3038" s="618" t="s">
        <v>23</v>
      </c>
      <c r="H3038" s="619">
        <v>1</v>
      </c>
      <c r="I3038" s="620">
        <v>1.93</v>
      </c>
      <c r="J3038" s="620">
        <v>1.93</v>
      </c>
      <c r="K3038"/>
    </row>
    <row r="3039" spans="1:11" ht="24" customHeight="1">
      <c r="A3039" s="626" t="s">
        <v>12709</v>
      </c>
      <c r="B3039" s="627" t="s">
        <v>13140</v>
      </c>
      <c r="C3039" s="626" t="s">
        <v>8</v>
      </c>
      <c r="D3039" s="626" t="s">
        <v>10369</v>
      </c>
      <c r="E3039" s="804" t="s">
        <v>12711</v>
      </c>
      <c r="F3039" s="805"/>
      <c r="G3039" s="628" t="s">
        <v>35</v>
      </c>
      <c r="H3039" s="629">
        <v>8.0000000000000007E-5</v>
      </c>
      <c r="I3039" s="630">
        <v>24150.81</v>
      </c>
      <c r="J3039" s="630">
        <v>1.93</v>
      </c>
      <c r="K3039"/>
    </row>
    <row r="3040" spans="1:11" ht="24" customHeight="1">
      <c r="A3040" s="631"/>
      <c r="B3040" s="631"/>
      <c r="C3040" s="631"/>
      <c r="D3040" s="631"/>
      <c r="E3040" s="631" t="s">
        <v>12714</v>
      </c>
      <c r="F3040" s="632">
        <v>0</v>
      </c>
      <c r="G3040" s="631" t="s">
        <v>12715</v>
      </c>
      <c r="H3040" s="632">
        <v>0</v>
      </c>
      <c r="I3040" s="631" t="s">
        <v>12716</v>
      </c>
      <c r="J3040" s="632">
        <v>0</v>
      </c>
      <c r="K3040"/>
    </row>
    <row r="3041" spans="1:11" ht="24" customHeight="1" thickBot="1">
      <c r="A3041" s="631"/>
      <c r="B3041" s="631"/>
      <c r="C3041" s="631"/>
      <c r="D3041" s="631"/>
      <c r="E3041" s="631" t="s">
        <v>12717</v>
      </c>
      <c r="F3041" s="632">
        <v>0.54</v>
      </c>
      <c r="G3041" s="631"/>
      <c r="H3041" s="806" t="s">
        <v>12718</v>
      </c>
      <c r="I3041" s="806"/>
      <c r="J3041" s="632">
        <v>2.4700000000000002</v>
      </c>
      <c r="K3041"/>
    </row>
    <row r="3042" spans="1:11" ht="24" customHeight="1" thickTop="1">
      <c r="A3042" s="633"/>
      <c r="B3042" s="633"/>
      <c r="C3042" s="633"/>
      <c r="D3042" s="633"/>
      <c r="E3042" s="633"/>
      <c r="F3042" s="633"/>
      <c r="G3042" s="633"/>
      <c r="H3042" s="633"/>
      <c r="I3042" s="633"/>
      <c r="J3042" s="633"/>
      <c r="K3042"/>
    </row>
    <row r="3043" spans="1:11" ht="24" customHeight="1">
      <c r="A3043" s="613"/>
      <c r="B3043" s="614" t="s">
        <v>12698</v>
      </c>
      <c r="C3043" s="613" t="s">
        <v>12699</v>
      </c>
      <c r="D3043" s="613" t="s">
        <v>12700</v>
      </c>
      <c r="E3043" s="807" t="s">
        <v>12701</v>
      </c>
      <c r="F3043" s="808"/>
      <c r="G3043" s="615" t="s">
        <v>12702</v>
      </c>
      <c r="H3043" s="614" t="s">
        <v>12703</v>
      </c>
      <c r="I3043" s="614" t="s">
        <v>12704</v>
      </c>
      <c r="J3043" s="614" t="s">
        <v>12705</v>
      </c>
      <c r="K3043"/>
    </row>
    <row r="3044" spans="1:11" ht="24" customHeight="1">
      <c r="A3044" s="616" t="s">
        <v>12706</v>
      </c>
      <c r="B3044" s="617" t="s">
        <v>13139</v>
      </c>
      <c r="C3044" s="616" t="s">
        <v>8</v>
      </c>
      <c r="D3044" s="616" t="s">
        <v>262</v>
      </c>
      <c r="E3044" s="809" t="s">
        <v>12707</v>
      </c>
      <c r="F3044" s="810"/>
      <c r="G3044" s="618" t="s">
        <v>23</v>
      </c>
      <c r="H3044" s="619">
        <v>1</v>
      </c>
      <c r="I3044" s="620">
        <v>12.82</v>
      </c>
      <c r="J3044" s="620">
        <v>12.82</v>
      </c>
      <c r="K3044"/>
    </row>
    <row r="3045" spans="1:11" ht="25.5">
      <c r="A3045" s="621" t="s">
        <v>12708</v>
      </c>
      <c r="B3045" s="622" t="s">
        <v>13138</v>
      </c>
      <c r="C3045" s="621" t="s">
        <v>8</v>
      </c>
      <c r="D3045" s="621" t="s">
        <v>3660</v>
      </c>
      <c r="E3045" s="811" t="s">
        <v>12707</v>
      </c>
      <c r="F3045" s="812"/>
      <c r="G3045" s="623" t="s">
        <v>23</v>
      </c>
      <c r="H3045" s="624">
        <v>1</v>
      </c>
      <c r="I3045" s="625">
        <v>0.06</v>
      </c>
      <c r="J3045" s="625">
        <v>0.06</v>
      </c>
      <c r="K3045"/>
    </row>
    <row r="3046" spans="1:11" ht="15" customHeight="1">
      <c r="A3046" s="626" t="s">
        <v>12709</v>
      </c>
      <c r="B3046" s="627" t="s">
        <v>13004</v>
      </c>
      <c r="C3046" s="626" t="s">
        <v>8</v>
      </c>
      <c r="D3046" s="626" t="s">
        <v>7388</v>
      </c>
      <c r="E3046" s="804" t="s">
        <v>12712</v>
      </c>
      <c r="F3046" s="805"/>
      <c r="G3046" s="628" t="s">
        <v>23</v>
      </c>
      <c r="H3046" s="629">
        <v>1</v>
      </c>
      <c r="I3046" s="630">
        <v>2.2000000000000002</v>
      </c>
      <c r="J3046" s="630">
        <v>2.2000000000000002</v>
      </c>
      <c r="K3046"/>
    </row>
    <row r="3047" spans="1:11" ht="0.95" customHeight="1">
      <c r="A3047" s="626" t="s">
        <v>12709</v>
      </c>
      <c r="B3047" s="627" t="s">
        <v>13003</v>
      </c>
      <c r="C3047" s="626" t="s">
        <v>8</v>
      </c>
      <c r="D3047" s="626" t="s">
        <v>9227</v>
      </c>
      <c r="E3047" s="804" t="s">
        <v>12711</v>
      </c>
      <c r="F3047" s="805"/>
      <c r="G3047" s="628" t="s">
        <v>23</v>
      </c>
      <c r="H3047" s="629">
        <v>1</v>
      </c>
      <c r="I3047" s="630">
        <v>0.66</v>
      </c>
      <c r="J3047" s="630">
        <v>0.66</v>
      </c>
      <c r="K3047"/>
    </row>
    <row r="3048" spans="1:11" ht="18" customHeight="1">
      <c r="A3048" s="626" t="s">
        <v>12709</v>
      </c>
      <c r="B3048" s="627" t="s">
        <v>13002</v>
      </c>
      <c r="C3048" s="626" t="s">
        <v>8</v>
      </c>
      <c r="D3048" s="626" t="s">
        <v>9306</v>
      </c>
      <c r="E3048" s="804" t="s">
        <v>12712</v>
      </c>
      <c r="F3048" s="805"/>
      <c r="G3048" s="628" t="s">
        <v>23</v>
      </c>
      <c r="H3048" s="629">
        <v>1</v>
      </c>
      <c r="I3048" s="630">
        <v>0.35</v>
      </c>
      <c r="J3048" s="630">
        <v>0.35</v>
      </c>
      <c r="K3048"/>
    </row>
    <row r="3049" spans="1:11" ht="24" customHeight="1">
      <c r="A3049" s="626" t="s">
        <v>12709</v>
      </c>
      <c r="B3049" s="627" t="s">
        <v>13001</v>
      </c>
      <c r="C3049" s="626" t="s">
        <v>8</v>
      </c>
      <c r="D3049" s="626" t="s">
        <v>9374</v>
      </c>
      <c r="E3049" s="804" t="s">
        <v>12711</v>
      </c>
      <c r="F3049" s="805"/>
      <c r="G3049" s="628" t="s">
        <v>23</v>
      </c>
      <c r="H3049" s="629">
        <v>1</v>
      </c>
      <c r="I3049" s="630">
        <v>0.01</v>
      </c>
      <c r="J3049" s="630">
        <v>0.01</v>
      </c>
      <c r="K3049"/>
    </row>
    <row r="3050" spans="1:11" ht="24" customHeight="1">
      <c r="A3050" s="626" t="s">
        <v>12709</v>
      </c>
      <c r="B3050" s="627" t="s">
        <v>13137</v>
      </c>
      <c r="C3050" s="626" t="s">
        <v>8</v>
      </c>
      <c r="D3050" s="626" t="s">
        <v>10449</v>
      </c>
      <c r="E3050" s="804" t="s">
        <v>12710</v>
      </c>
      <c r="F3050" s="805"/>
      <c r="G3050" s="628" t="s">
        <v>23</v>
      </c>
      <c r="H3050" s="629">
        <v>1</v>
      </c>
      <c r="I3050" s="630">
        <v>8.76</v>
      </c>
      <c r="J3050" s="630">
        <v>8.76</v>
      </c>
      <c r="K3050"/>
    </row>
    <row r="3051" spans="1:11" ht="24" customHeight="1">
      <c r="A3051" s="626" t="s">
        <v>12709</v>
      </c>
      <c r="B3051" s="627" t="s">
        <v>12999</v>
      </c>
      <c r="C3051" s="626" t="s">
        <v>8</v>
      </c>
      <c r="D3051" s="626" t="s">
        <v>11251</v>
      </c>
      <c r="E3051" s="804" t="s">
        <v>12713</v>
      </c>
      <c r="F3051" s="805"/>
      <c r="G3051" s="628" t="s">
        <v>23</v>
      </c>
      <c r="H3051" s="629">
        <v>1</v>
      </c>
      <c r="I3051" s="630">
        <v>7.0000000000000007E-2</v>
      </c>
      <c r="J3051" s="630">
        <v>7.0000000000000007E-2</v>
      </c>
      <c r="K3051"/>
    </row>
    <row r="3052" spans="1:11" ht="24" customHeight="1">
      <c r="A3052" s="626" t="s">
        <v>12709</v>
      </c>
      <c r="B3052" s="627" t="s">
        <v>12998</v>
      </c>
      <c r="C3052" s="626" t="s">
        <v>8</v>
      </c>
      <c r="D3052" s="626" t="s">
        <v>11861</v>
      </c>
      <c r="E3052" s="804" t="s">
        <v>12722</v>
      </c>
      <c r="F3052" s="805"/>
      <c r="G3052" s="628" t="s">
        <v>23</v>
      </c>
      <c r="H3052" s="629">
        <v>1</v>
      </c>
      <c r="I3052" s="630">
        <v>0.71</v>
      </c>
      <c r="J3052" s="630">
        <v>0.71</v>
      </c>
      <c r="K3052"/>
    </row>
    <row r="3053" spans="1:11" ht="24" customHeight="1">
      <c r="A3053" s="631"/>
      <c r="B3053" s="631"/>
      <c r="C3053" s="631"/>
      <c r="D3053" s="631"/>
      <c r="E3053" s="631" t="s">
        <v>12714</v>
      </c>
      <c r="F3053" s="632">
        <v>4.7680829999999998</v>
      </c>
      <c r="G3053" s="631" t="s">
        <v>12715</v>
      </c>
      <c r="H3053" s="632">
        <v>4.05</v>
      </c>
      <c r="I3053" s="631" t="s">
        <v>12716</v>
      </c>
      <c r="J3053" s="632">
        <v>8.82</v>
      </c>
      <c r="K3053"/>
    </row>
    <row r="3054" spans="1:11" ht="24" customHeight="1" thickBot="1">
      <c r="A3054" s="631"/>
      <c r="B3054" s="631"/>
      <c r="C3054" s="631"/>
      <c r="D3054" s="631"/>
      <c r="E3054" s="631" t="s">
        <v>12717</v>
      </c>
      <c r="F3054" s="632">
        <v>3.62</v>
      </c>
      <c r="G3054" s="631"/>
      <c r="H3054" s="806" t="s">
        <v>12718</v>
      </c>
      <c r="I3054" s="806"/>
      <c r="J3054" s="632">
        <v>16.440000000000001</v>
      </c>
      <c r="K3054"/>
    </row>
    <row r="3055" spans="1:11" ht="24" customHeight="1" thickTop="1">
      <c r="A3055" s="633"/>
      <c r="B3055" s="633"/>
      <c r="C3055" s="633"/>
      <c r="D3055" s="633"/>
      <c r="E3055" s="633"/>
      <c r="F3055" s="633"/>
      <c r="G3055" s="633"/>
      <c r="H3055" s="633"/>
      <c r="I3055" s="633"/>
      <c r="J3055" s="633"/>
      <c r="K3055"/>
    </row>
    <row r="3056" spans="1:11" ht="24" customHeight="1">
      <c r="A3056" s="613"/>
      <c r="B3056" s="614" t="s">
        <v>12698</v>
      </c>
      <c r="C3056" s="613" t="s">
        <v>12699</v>
      </c>
      <c r="D3056" s="613" t="s">
        <v>12700</v>
      </c>
      <c r="E3056" s="807" t="s">
        <v>12701</v>
      </c>
      <c r="F3056" s="808"/>
      <c r="G3056" s="615" t="s">
        <v>12702</v>
      </c>
      <c r="H3056" s="614" t="s">
        <v>12703</v>
      </c>
      <c r="I3056" s="614" t="s">
        <v>12704</v>
      </c>
      <c r="J3056" s="614" t="s">
        <v>12705</v>
      </c>
      <c r="K3056"/>
    </row>
    <row r="3057" spans="1:11" ht="24" customHeight="1">
      <c r="A3057" s="616" t="s">
        <v>12706</v>
      </c>
      <c r="B3057" s="617" t="s">
        <v>13136</v>
      </c>
      <c r="C3057" s="616" t="s">
        <v>8</v>
      </c>
      <c r="D3057" s="616" t="s">
        <v>263</v>
      </c>
      <c r="E3057" s="809" t="s">
        <v>12707</v>
      </c>
      <c r="F3057" s="810"/>
      <c r="G3057" s="618" t="s">
        <v>23</v>
      </c>
      <c r="H3057" s="619">
        <v>1</v>
      </c>
      <c r="I3057" s="620">
        <v>19.5</v>
      </c>
      <c r="J3057" s="620">
        <v>19.5</v>
      </c>
      <c r="K3057"/>
    </row>
    <row r="3058" spans="1:11" ht="25.5">
      <c r="A3058" s="621" t="s">
        <v>12708</v>
      </c>
      <c r="B3058" s="622" t="s">
        <v>13135</v>
      </c>
      <c r="C3058" s="621" t="s">
        <v>8</v>
      </c>
      <c r="D3058" s="621" t="s">
        <v>3661</v>
      </c>
      <c r="E3058" s="811" t="s">
        <v>12707</v>
      </c>
      <c r="F3058" s="812"/>
      <c r="G3058" s="623" t="s">
        <v>23</v>
      </c>
      <c r="H3058" s="624">
        <v>1</v>
      </c>
      <c r="I3058" s="625">
        <v>0.3</v>
      </c>
      <c r="J3058" s="625">
        <v>0.3</v>
      </c>
      <c r="K3058"/>
    </row>
    <row r="3059" spans="1:11" ht="15" customHeight="1">
      <c r="A3059" s="626" t="s">
        <v>12709</v>
      </c>
      <c r="B3059" s="627" t="s">
        <v>13004</v>
      </c>
      <c r="C3059" s="626" t="s">
        <v>8</v>
      </c>
      <c r="D3059" s="626" t="s">
        <v>7388</v>
      </c>
      <c r="E3059" s="804" t="s">
        <v>12712</v>
      </c>
      <c r="F3059" s="805"/>
      <c r="G3059" s="628" t="s">
        <v>23</v>
      </c>
      <c r="H3059" s="629">
        <v>1</v>
      </c>
      <c r="I3059" s="630">
        <v>2.2000000000000002</v>
      </c>
      <c r="J3059" s="630">
        <v>2.2000000000000002</v>
      </c>
      <c r="K3059"/>
    </row>
    <row r="3060" spans="1:11" ht="0.95" customHeight="1">
      <c r="A3060" s="626" t="s">
        <v>12709</v>
      </c>
      <c r="B3060" s="627" t="s">
        <v>13134</v>
      </c>
      <c r="C3060" s="626" t="s">
        <v>8</v>
      </c>
      <c r="D3060" s="626" t="s">
        <v>9219</v>
      </c>
      <c r="E3060" s="804" t="s">
        <v>12711</v>
      </c>
      <c r="F3060" s="805"/>
      <c r="G3060" s="628" t="s">
        <v>23</v>
      </c>
      <c r="H3060" s="629">
        <v>1</v>
      </c>
      <c r="I3060" s="630">
        <v>0.93</v>
      </c>
      <c r="J3060" s="630">
        <v>0.93</v>
      </c>
      <c r="K3060"/>
    </row>
    <row r="3061" spans="1:11" ht="18" customHeight="1">
      <c r="A3061" s="626" t="s">
        <v>12709</v>
      </c>
      <c r="B3061" s="627" t="s">
        <v>13002</v>
      </c>
      <c r="C3061" s="626" t="s">
        <v>8</v>
      </c>
      <c r="D3061" s="626" t="s">
        <v>9306</v>
      </c>
      <c r="E3061" s="804" t="s">
        <v>12712</v>
      </c>
      <c r="F3061" s="805"/>
      <c r="G3061" s="628" t="s">
        <v>23</v>
      </c>
      <c r="H3061" s="629">
        <v>1</v>
      </c>
      <c r="I3061" s="630">
        <v>0.35</v>
      </c>
      <c r="J3061" s="630">
        <v>0.35</v>
      </c>
      <c r="K3061"/>
    </row>
    <row r="3062" spans="1:11" ht="24" customHeight="1">
      <c r="A3062" s="626" t="s">
        <v>12709</v>
      </c>
      <c r="B3062" s="627" t="s">
        <v>13133</v>
      </c>
      <c r="C3062" s="626" t="s">
        <v>8</v>
      </c>
      <c r="D3062" s="626" t="s">
        <v>9366</v>
      </c>
      <c r="E3062" s="804" t="s">
        <v>12711</v>
      </c>
      <c r="F3062" s="805"/>
      <c r="G3062" s="628" t="s">
        <v>23</v>
      </c>
      <c r="H3062" s="629">
        <v>1</v>
      </c>
      <c r="I3062" s="630">
        <v>0.55000000000000004</v>
      </c>
      <c r="J3062" s="630">
        <v>0.55000000000000004</v>
      </c>
      <c r="K3062"/>
    </row>
    <row r="3063" spans="1:11" ht="24" customHeight="1">
      <c r="A3063" s="626" t="s">
        <v>12709</v>
      </c>
      <c r="B3063" s="627" t="s">
        <v>13132</v>
      </c>
      <c r="C3063" s="626" t="s">
        <v>8</v>
      </c>
      <c r="D3063" s="626" t="s">
        <v>10451</v>
      </c>
      <c r="E3063" s="804" t="s">
        <v>12710</v>
      </c>
      <c r="F3063" s="805"/>
      <c r="G3063" s="628" t="s">
        <v>23</v>
      </c>
      <c r="H3063" s="629">
        <v>1</v>
      </c>
      <c r="I3063" s="630">
        <v>14.39</v>
      </c>
      <c r="J3063" s="630">
        <v>14.39</v>
      </c>
      <c r="K3063"/>
    </row>
    <row r="3064" spans="1:11" ht="24" customHeight="1">
      <c r="A3064" s="626" t="s">
        <v>12709</v>
      </c>
      <c r="B3064" s="627" t="s">
        <v>12999</v>
      </c>
      <c r="C3064" s="626" t="s">
        <v>8</v>
      </c>
      <c r="D3064" s="626" t="s">
        <v>11251</v>
      </c>
      <c r="E3064" s="804" t="s">
        <v>12713</v>
      </c>
      <c r="F3064" s="805"/>
      <c r="G3064" s="628" t="s">
        <v>23</v>
      </c>
      <c r="H3064" s="629">
        <v>1</v>
      </c>
      <c r="I3064" s="630">
        <v>7.0000000000000007E-2</v>
      </c>
      <c r="J3064" s="630">
        <v>7.0000000000000007E-2</v>
      </c>
      <c r="K3064"/>
    </row>
    <row r="3065" spans="1:11" ht="24" customHeight="1">
      <c r="A3065" s="626" t="s">
        <v>12709</v>
      </c>
      <c r="B3065" s="627" t="s">
        <v>12998</v>
      </c>
      <c r="C3065" s="626" t="s">
        <v>8</v>
      </c>
      <c r="D3065" s="626" t="s">
        <v>11861</v>
      </c>
      <c r="E3065" s="804" t="s">
        <v>12722</v>
      </c>
      <c r="F3065" s="805"/>
      <c r="G3065" s="628" t="s">
        <v>23</v>
      </c>
      <c r="H3065" s="629">
        <v>1</v>
      </c>
      <c r="I3065" s="630">
        <v>0.71</v>
      </c>
      <c r="J3065" s="630">
        <v>0.71</v>
      </c>
      <c r="K3065"/>
    </row>
    <row r="3066" spans="1:11" ht="24" customHeight="1">
      <c r="A3066" s="631"/>
      <c r="B3066" s="631"/>
      <c r="C3066" s="631"/>
      <c r="D3066" s="631"/>
      <c r="E3066" s="631" t="s">
        <v>12714</v>
      </c>
      <c r="F3066" s="632">
        <v>7.9413990999999999</v>
      </c>
      <c r="G3066" s="631" t="s">
        <v>12715</v>
      </c>
      <c r="H3066" s="632">
        <v>6.75</v>
      </c>
      <c r="I3066" s="631" t="s">
        <v>12716</v>
      </c>
      <c r="J3066" s="632">
        <v>14.69</v>
      </c>
      <c r="K3066"/>
    </row>
    <row r="3067" spans="1:11" ht="24" customHeight="1" thickBot="1">
      <c r="A3067" s="631"/>
      <c r="B3067" s="631"/>
      <c r="C3067" s="631"/>
      <c r="D3067" s="631"/>
      <c r="E3067" s="631" t="s">
        <v>12717</v>
      </c>
      <c r="F3067" s="632">
        <v>5.5</v>
      </c>
      <c r="G3067" s="631"/>
      <c r="H3067" s="806" t="s">
        <v>12718</v>
      </c>
      <c r="I3067" s="806"/>
      <c r="J3067" s="632">
        <v>25</v>
      </c>
      <c r="K3067"/>
    </row>
    <row r="3068" spans="1:11" ht="24" customHeight="1" thickTop="1">
      <c r="A3068" s="633"/>
      <c r="B3068" s="633"/>
      <c r="C3068" s="633"/>
      <c r="D3068" s="633"/>
      <c r="E3068" s="633"/>
      <c r="F3068" s="633"/>
      <c r="G3068" s="633"/>
      <c r="H3068" s="633"/>
      <c r="I3068" s="633"/>
      <c r="J3068" s="633"/>
      <c r="K3068"/>
    </row>
    <row r="3069" spans="1:11" ht="24" customHeight="1">
      <c r="A3069" s="613"/>
      <c r="B3069" s="614" t="s">
        <v>12698</v>
      </c>
      <c r="C3069" s="613" t="s">
        <v>12699</v>
      </c>
      <c r="D3069" s="613" t="s">
        <v>12700</v>
      </c>
      <c r="E3069" s="807" t="s">
        <v>12701</v>
      </c>
      <c r="F3069" s="808"/>
      <c r="G3069" s="615" t="s">
        <v>12702</v>
      </c>
      <c r="H3069" s="614" t="s">
        <v>12703</v>
      </c>
      <c r="I3069" s="614" t="s">
        <v>12704</v>
      </c>
      <c r="J3069" s="614" t="s">
        <v>12705</v>
      </c>
      <c r="K3069"/>
    </row>
    <row r="3070" spans="1:11" ht="24" customHeight="1">
      <c r="A3070" s="616" t="s">
        <v>12706</v>
      </c>
      <c r="B3070" s="617" t="s">
        <v>13131</v>
      </c>
      <c r="C3070" s="616" t="s">
        <v>8</v>
      </c>
      <c r="D3070" s="616" t="s">
        <v>264</v>
      </c>
      <c r="E3070" s="809" t="s">
        <v>12707</v>
      </c>
      <c r="F3070" s="810"/>
      <c r="G3070" s="618" t="s">
        <v>23</v>
      </c>
      <c r="H3070" s="619">
        <v>1</v>
      </c>
      <c r="I3070" s="620">
        <v>13.61</v>
      </c>
      <c r="J3070" s="620">
        <v>13.61</v>
      </c>
      <c r="K3070"/>
    </row>
    <row r="3071" spans="1:11" ht="25.5">
      <c r="A3071" s="621" t="s">
        <v>12708</v>
      </c>
      <c r="B3071" s="622" t="s">
        <v>13130</v>
      </c>
      <c r="C3071" s="621" t="s">
        <v>8</v>
      </c>
      <c r="D3071" s="621" t="s">
        <v>3662</v>
      </c>
      <c r="E3071" s="811" t="s">
        <v>12707</v>
      </c>
      <c r="F3071" s="812"/>
      <c r="G3071" s="623" t="s">
        <v>23</v>
      </c>
      <c r="H3071" s="624">
        <v>1</v>
      </c>
      <c r="I3071" s="625">
        <v>0.03</v>
      </c>
      <c r="J3071" s="625">
        <v>0.03</v>
      </c>
      <c r="K3071"/>
    </row>
    <row r="3072" spans="1:11" ht="15" customHeight="1">
      <c r="A3072" s="626" t="s">
        <v>12709</v>
      </c>
      <c r="B3072" s="627" t="s">
        <v>13004</v>
      </c>
      <c r="C3072" s="626" t="s">
        <v>8</v>
      </c>
      <c r="D3072" s="626" t="s">
        <v>7388</v>
      </c>
      <c r="E3072" s="804" t="s">
        <v>12712</v>
      </c>
      <c r="F3072" s="805"/>
      <c r="G3072" s="628" t="s">
        <v>23</v>
      </c>
      <c r="H3072" s="629">
        <v>1</v>
      </c>
      <c r="I3072" s="630">
        <v>2.2000000000000002</v>
      </c>
      <c r="J3072" s="630">
        <v>2.2000000000000002</v>
      </c>
      <c r="K3072"/>
    </row>
    <row r="3073" spans="1:11" ht="0.95" customHeight="1">
      <c r="A3073" s="626" t="s">
        <v>12709</v>
      </c>
      <c r="B3073" s="627" t="s">
        <v>13003</v>
      </c>
      <c r="C3073" s="626" t="s">
        <v>8</v>
      </c>
      <c r="D3073" s="626" t="s">
        <v>9227</v>
      </c>
      <c r="E3073" s="804" t="s">
        <v>12711</v>
      </c>
      <c r="F3073" s="805"/>
      <c r="G3073" s="628" t="s">
        <v>23</v>
      </c>
      <c r="H3073" s="629">
        <v>1</v>
      </c>
      <c r="I3073" s="630">
        <v>0.66</v>
      </c>
      <c r="J3073" s="630">
        <v>0.66</v>
      </c>
      <c r="K3073"/>
    </row>
    <row r="3074" spans="1:11" ht="18" customHeight="1">
      <c r="A3074" s="626" t="s">
        <v>12709</v>
      </c>
      <c r="B3074" s="627" t="s">
        <v>13002</v>
      </c>
      <c r="C3074" s="626" t="s">
        <v>8</v>
      </c>
      <c r="D3074" s="626" t="s">
        <v>9306</v>
      </c>
      <c r="E3074" s="804" t="s">
        <v>12712</v>
      </c>
      <c r="F3074" s="805"/>
      <c r="G3074" s="628" t="s">
        <v>23</v>
      </c>
      <c r="H3074" s="629">
        <v>1</v>
      </c>
      <c r="I3074" s="630">
        <v>0.35</v>
      </c>
      <c r="J3074" s="630">
        <v>0.35</v>
      </c>
      <c r="K3074"/>
    </row>
    <row r="3075" spans="1:11" ht="36" customHeight="1">
      <c r="A3075" s="626" t="s">
        <v>12709</v>
      </c>
      <c r="B3075" s="627" t="s">
        <v>13001</v>
      </c>
      <c r="C3075" s="626" t="s">
        <v>8</v>
      </c>
      <c r="D3075" s="626" t="s">
        <v>9374</v>
      </c>
      <c r="E3075" s="804" t="s">
        <v>12711</v>
      </c>
      <c r="F3075" s="805"/>
      <c r="G3075" s="628" t="s">
        <v>23</v>
      </c>
      <c r="H3075" s="629">
        <v>1</v>
      </c>
      <c r="I3075" s="630">
        <v>0.01</v>
      </c>
      <c r="J3075" s="630">
        <v>0.01</v>
      </c>
      <c r="K3075"/>
    </row>
    <row r="3076" spans="1:11" ht="36" customHeight="1">
      <c r="A3076" s="626" t="s">
        <v>12709</v>
      </c>
      <c r="B3076" s="627" t="s">
        <v>13129</v>
      </c>
      <c r="C3076" s="626" t="s">
        <v>8</v>
      </c>
      <c r="D3076" s="626" t="s">
        <v>10467</v>
      </c>
      <c r="E3076" s="804" t="s">
        <v>12710</v>
      </c>
      <c r="F3076" s="805"/>
      <c r="G3076" s="628" t="s">
        <v>23</v>
      </c>
      <c r="H3076" s="629">
        <v>1</v>
      </c>
      <c r="I3076" s="630">
        <v>9.58</v>
      </c>
      <c r="J3076" s="630">
        <v>9.58</v>
      </c>
      <c r="K3076"/>
    </row>
    <row r="3077" spans="1:11" ht="36" customHeight="1">
      <c r="A3077" s="626" t="s">
        <v>12709</v>
      </c>
      <c r="B3077" s="627" t="s">
        <v>12999</v>
      </c>
      <c r="C3077" s="626" t="s">
        <v>8</v>
      </c>
      <c r="D3077" s="626" t="s">
        <v>11251</v>
      </c>
      <c r="E3077" s="804" t="s">
        <v>12713</v>
      </c>
      <c r="F3077" s="805"/>
      <c r="G3077" s="628" t="s">
        <v>23</v>
      </c>
      <c r="H3077" s="629">
        <v>1</v>
      </c>
      <c r="I3077" s="630">
        <v>7.0000000000000007E-2</v>
      </c>
      <c r="J3077" s="630">
        <v>7.0000000000000007E-2</v>
      </c>
      <c r="K3077"/>
    </row>
    <row r="3078" spans="1:11">
      <c r="A3078" s="626" t="s">
        <v>12709</v>
      </c>
      <c r="B3078" s="627" t="s">
        <v>12998</v>
      </c>
      <c r="C3078" s="626" t="s">
        <v>8</v>
      </c>
      <c r="D3078" s="626" t="s">
        <v>11861</v>
      </c>
      <c r="E3078" s="804" t="s">
        <v>12722</v>
      </c>
      <c r="F3078" s="805"/>
      <c r="G3078" s="628" t="s">
        <v>23</v>
      </c>
      <c r="H3078" s="629">
        <v>1</v>
      </c>
      <c r="I3078" s="630">
        <v>0.71</v>
      </c>
      <c r="J3078" s="630">
        <v>0.71</v>
      </c>
      <c r="K3078"/>
    </row>
    <row r="3079" spans="1:11" ht="15" customHeight="1">
      <c r="A3079" s="631"/>
      <c r="B3079" s="631"/>
      <c r="C3079" s="631"/>
      <c r="D3079" s="631"/>
      <c r="E3079" s="631" t="s">
        <v>12714</v>
      </c>
      <c r="F3079" s="632">
        <v>5.1951561999999996</v>
      </c>
      <c r="G3079" s="631" t="s">
        <v>12715</v>
      </c>
      <c r="H3079" s="632">
        <v>4.41</v>
      </c>
      <c r="I3079" s="631" t="s">
        <v>12716</v>
      </c>
      <c r="J3079" s="632">
        <v>9.61</v>
      </c>
      <c r="K3079"/>
    </row>
    <row r="3080" spans="1:11" ht="0.95" customHeight="1" thickBot="1">
      <c r="A3080" s="631"/>
      <c r="B3080" s="631"/>
      <c r="C3080" s="631"/>
      <c r="D3080" s="631"/>
      <c r="E3080" s="631" t="s">
        <v>12717</v>
      </c>
      <c r="F3080" s="632">
        <v>3.84</v>
      </c>
      <c r="G3080" s="631"/>
      <c r="H3080" s="806" t="s">
        <v>12718</v>
      </c>
      <c r="I3080" s="806"/>
      <c r="J3080" s="632">
        <v>17.45</v>
      </c>
      <c r="K3080"/>
    </row>
    <row r="3081" spans="1:11" ht="18" customHeight="1" thickTop="1">
      <c r="A3081" s="633"/>
      <c r="B3081" s="633"/>
      <c r="C3081" s="633"/>
      <c r="D3081" s="633"/>
      <c r="E3081" s="633"/>
      <c r="F3081" s="633"/>
      <c r="G3081" s="633"/>
      <c r="H3081" s="633"/>
      <c r="I3081" s="633"/>
      <c r="J3081" s="633"/>
      <c r="K3081"/>
    </row>
    <row r="3082" spans="1:11" ht="36" customHeight="1">
      <c r="A3082" s="613"/>
      <c r="B3082" s="614" t="s">
        <v>12698</v>
      </c>
      <c r="C3082" s="613" t="s">
        <v>12699</v>
      </c>
      <c r="D3082" s="613" t="s">
        <v>12700</v>
      </c>
      <c r="E3082" s="807" t="s">
        <v>12701</v>
      </c>
      <c r="F3082" s="808"/>
      <c r="G3082" s="615" t="s">
        <v>12702</v>
      </c>
      <c r="H3082" s="614" t="s">
        <v>12703</v>
      </c>
      <c r="I3082" s="614" t="s">
        <v>12704</v>
      </c>
      <c r="J3082" s="614" t="s">
        <v>12705</v>
      </c>
      <c r="K3082"/>
    </row>
    <row r="3083" spans="1:11" ht="36" customHeight="1">
      <c r="A3083" s="616" t="s">
        <v>12706</v>
      </c>
      <c r="B3083" s="617" t="s">
        <v>13128</v>
      </c>
      <c r="C3083" s="616" t="s">
        <v>8</v>
      </c>
      <c r="D3083" s="616" t="s">
        <v>265</v>
      </c>
      <c r="E3083" s="809" t="s">
        <v>12707</v>
      </c>
      <c r="F3083" s="810"/>
      <c r="G3083" s="618" t="s">
        <v>23</v>
      </c>
      <c r="H3083" s="619">
        <v>1</v>
      </c>
      <c r="I3083" s="620">
        <v>14.19</v>
      </c>
      <c r="J3083" s="620">
        <v>14.19</v>
      </c>
      <c r="K3083"/>
    </row>
    <row r="3084" spans="1:11" ht="36" customHeight="1">
      <c r="A3084" s="621" t="s">
        <v>12708</v>
      </c>
      <c r="B3084" s="622" t="s">
        <v>13127</v>
      </c>
      <c r="C3084" s="621" t="s">
        <v>8</v>
      </c>
      <c r="D3084" s="621" t="s">
        <v>3663</v>
      </c>
      <c r="E3084" s="811" t="s">
        <v>12707</v>
      </c>
      <c r="F3084" s="812"/>
      <c r="G3084" s="623" t="s">
        <v>23</v>
      </c>
      <c r="H3084" s="624">
        <v>1</v>
      </c>
      <c r="I3084" s="625">
        <v>0.03</v>
      </c>
      <c r="J3084" s="625">
        <v>0.03</v>
      </c>
      <c r="K3084"/>
    </row>
    <row r="3085" spans="1:11" ht="36" customHeight="1">
      <c r="A3085" s="626" t="s">
        <v>12709</v>
      </c>
      <c r="B3085" s="627" t="s">
        <v>13004</v>
      </c>
      <c r="C3085" s="626" t="s">
        <v>8</v>
      </c>
      <c r="D3085" s="626" t="s">
        <v>7388</v>
      </c>
      <c r="E3085" s="804" t="s">
        <v>12712</v>
      </c>
      <c r="F3085" s="805"/>
      <c r="G3085" s="628" t="s">
        <v>23</v>
      </c>
      <c r="H3085" s="629">
        <v>1</v>
      </c>
      <c r="I3085" s="630">
        <v>2.2000000000000002</v>
      </c>
      <c r="J3085" s="630">
        <v>2.2000000000000002</v>
      </c>
      <c r="K3085"/>
    </row>
    <row r="3086" spans="1:11" ht="36" customHeight="1">
      <c r="A3086" s="626" t="s">
        <v>12709</v>
      </c>
      <c r="B3086" s="627" t="s">
        <v>13003</v>
      </c>
      <c r="C3086" s="626" t="s">
        <v>8</v>
      </c>
      <c r="D3086" s="626" t="s">
        <v>9227</v>
      </c>
      <c r="E3086" s="804" t="s">
        <v>12711</v>
      </c>
      <c r="F3086" s="805"/>
      <c r="G3086" s="628" t="s">
        <v>23</v>
      </c>
      <c r="H3086" s="629">
        <v>1</v>
      </c>
      <c r="I3086" s="630">
        <v>0.66</v>
      </c>
      <c r="J3086" s="630">
        <v>0.66</v>
      </c>
      <c r="K3086"/>
    </row>
    <row r="3087" spans="1:11">
      <c r="A3087" s="626" t="s">
        <v>12709</v>
      </c>
      <c r="B3087" s="627" t="s">
        <v>13002</v>
      </c>
      <c r="C3087" s="626" t="s">
        <v>8</v>
      </c>
      <c r="D3087" s="626" t="s">
        <v>9306</v>
      </c>
      <c r="E3087" s="804" t="s">
        <v>12712</v>
      </c>
      <c r="F3087" s="805"/>
      <c r="G3087" s="628" t="s">
        <v>23</v>
      </c>
      <c r="H3087" s="629">
        <v>1</v>
      </c>
      <c r="I3087" s="630">
        <v>0.35</v>
      </c>
      <c r="J3087" s="630">
        <v>0.35</v>
      </c>
      <c r="K3087"/>
    </row>
    <row r="3088" spans="1:11" ht="15" customHeight="1">
      <c r="A3088" s="626" t="s">
        <v>12709</v>
      </c>
      <c r="B3088" s="627" t="s">
        <v>13001</v>
      </c>
      <c r="C3088" s="626" t="s">
        <v>8</v>
      </c>
      <c r="D3088" s="626" t="s">
        <v>9374</v>
      </c>
      <c r="E3088" s="804" t="s">
        <v>12711</v>
      </c>
      <c r="F3088" s="805"/>
      <c r="G3088" s="628" t="s">
        <v>23</v>
      </c>
      <c r="H3088" s="629">
        <v>1</v>
      </c>
      <c r="I3088" s="630">
        <v>0.01</v>
      </c>
      <c r="J3088" s="630">
        <v>0.01</v>
      </c>
      <c r="K3088"/>
    </row>
    <row r="3089" spans="1:11" ht="0.95" customHeight="1">
      <c r="A3089" s="626" t="s">
        <v>12709</v>
      </c>
      <c r="B3089" s="627" t="s">
        <v>13126</v>
      </c>
      <c r="C3089" s="626" t="s">
        <v>8</v>
      </c>
      <c r="D3089" s="626" t="s">
        <v>10465</v>
      </c>
      <c r="E3089" s="804" t="s">
        <v>12710</v>
      </c>
      <c r="F3089" s="805"/>
      <c r="G3089" s="628" t="s">
        <v>23</v>
      </c>
      <c r="H3089" s="629">
        <v>1</v>
      </c>
      <c r="I3089" s="630">
        <v>10.16</v>
      </c>
      <c r="J3089" s="630">
        <v>10.16</v>
      </c>
      <c r="K3089"/>
    </row>
    <row r="3090" spans="1:11" ht="18" customHeight="1">
      <c r="A3090" s="626" t="s">
        <v>12709</v>
      </c>
      <c r="B3090" s="627" t="s">
        <v>12999</v>
      </c>
      <c r="C3090" s="626" t="s">
        <v>8</v>
      </c>
      <c r="D3090" s="626" t="s">
        <v>11251</v>
      </c>
      <c r="E3090" s="804" t="s">
        <v>12713</v>
      </c>
      <c r="F3090" s="805"/>
      <c r="G3090" s="628" t="s">
        <v>23</v>
      </c>
      <c r="H3090" s="629">
        <v>1</v>
      </c>
      <c r="I3090" s="630">
        <v>7.0000000000000007E-2</v>
      </c>
      <c r="J3090" s="630">
        <v>7.0000000000000007E-2</v>
      </c>
      <c r="K3090"/>
    </row>
    <row r="3091" spans="1:11" ht="36" customHeight="1">
      <c r="A3091" s="626" t="s">
        <v>12709</v>
      </c>
      <c r="B3091" s="627" t="s">
        <v>12998</v>
      </c>
      <c r="C3091" s="626" t="s">
        <v>8</v>
      </c>
      <c r="D3091" s="626" t="s">
        <v>11861</v>
      </c>
      <c r="E3091" s="804" t="s">
        <v>12722</v>
      </c>
      <c r="F3091" s="805"/>
      <c r="G3091" s="628" t="s">
        <v>23</v>
      </c>
      <c r="H3091" s="629">
        <v>1</v>
      </c>
      <c r="I3091" s="630">
        <v>0.71</v>
      </c>
      <c r="J3091" s="630">
        <v>0.71</v>
      </c>
      <c r="K3091"/>
    </row>
    <row r="3092" spans="1:11" ht="24" customHeight="1">
      <c r="A3092" s="631"/>
      <c r="B3092" s="631"/>
      <c r="C3092" s="631"/>
      <c r="D3092" s="631"/>
      <c r="E3092" s="631" t="s">
        <v>12714</v>
      </c>
      <c r="F3092" s="632">
        <v>5.5087035999999996</v>
      </c>
      <c r="G3092" s="631" t="s">
        <v>12715</v>
      </c>
      <c r="H3092" s="632">
        <v>4.68</v>
      </c>
      <c r="I3092" s="631" t="s">
        <v>12716</v>
      </c>
      <c r="J3092" s="632">
        <v>10.19</v>
      </c>
      <c r="K3092"/>
    </row>
    <row r="3093" spans="1:11" ht="15" customHeight="1" thickBot="1">
      <c r="A3093" s="631"/>
      <c r="B3093" s="631"/>
      <c r="C3093" s="631"/>
      <c r="D3093" s="631"/>
      <c r="E3093" s="631" t="s">
        <v>12717</v>
      </c>
      <c r="F3093" s="632">
        <v>4</v>
      </c>
      <c r="G3093" s="631"/>
      <c r="H3093" s="806" t="s">
        <v>12718</v>
      </c>
      <c r="I3093" s="806"/>
      <c r="J3093" s="632">
        <v>18.190000000000001</v>
      </c>
      <c r="K3093"/>
    </row>
    <row r="3094" spans="1:11" ht="15" customHeight="1" thickTop="1">
      <c r="A3094" s="633"/>
      <c r="B3094" s="633"/>
      <c r="C3094" s="633"/>
      <c r="D3094" s="633"/>
      <c r="E3094" s="633"/>
      <c r="F3094" s="633"/>
      <c r="G3094" s="633"/>
      <c r="H3094" s="633"/>
      <c r="I3094" s="633"/>
      <c r="J3094" s="633"/>
      <c r="K3094"/>
    </row>
    <row r="3095" spans="1:11" ht="0.95" customHeight="1">
      <c r="A3095" s="613"/>
      <c r="B3095" s="614" t="s">
        <v>12698</v>
      </c>
      <c r="C3095" s="613" t="s">
        <v>12699</v>
      </c>
      <c r="D3095" s="613" t="s">
        <v>12700</v>
      </c>
      <c r="E3095" s="807" t="s">
        <v>12701</v>
      </c>
      <c r="F3095" s="808"/>
      <c r="G3095" s="615" t="s">
        <v>12702</v>
      </c>
      <c r="H3095" s="614" t="s">
        <v>12703</v>
      </c>
      <c r="I3095" s="614" t="s">
        <v>12704</v>
      </c>
      <c r="J3095" s="614" t="s">
        <v>12705</v>
      </c>
      <c r="K3095"/>
    </row>
    <row r="3096" spans="1:11" ht="18" customHeight="1">
      <c r="A3096" s="616" t="s">
        <v>12706</v>
      </c>
      <c r="B3096" s="617" t="s">
        <v>13125</v>
      </c>
      <c r="C3096" s="616" t="s">
        <v>8</v>
      </c>
      <c r="D3096" s="616" t="s">
        <v>3098</v>
      </c>
      <c r="E3096" s="809" t="s">
        <v>12726</v>
      </c>
      <c r="F3096" s="810"/>
      <c r="G3096" s="618" t="s">
        <v>61</v>
      </c>
      <c r="H3096" s="619">
        <v>1</v>
      </c>
      <c r="I3096" s="620">
        <v>4.1900000000000004</v>
      </c>
      <c r="J3096" s="620">
        <v>4.1900000000000004</v>
      </c>
      <c r="K3096"/>
    </row>
    <row r="3097" spans="1:11" ht="36" customHeight="1">
      <c r="A3097" s="621" t="s">
        <v>12708</v>
      </c>
      <c r="B3097" s="622" t="s">
        <v>13123</v>
      </c>
      <c r="C3097" s="621" t="s">
        <v>8</v>
      </c>
      <c r="D3097" s="621" t="s">
        <v>3093</v>
      </c>
      <c r="E3097" s="811" t="s">
        <v>12726</v>
      </c>
      <c r="F3097" s="812"/>
      <c r="G3097" s="623" t="s">
        <v>23</v>
      </c>
      <c r="H3097" s="624">
        <v>1</v>
      </c>
      <c r="I3097" s="625">
        <v>3.75</v>
      </c>
      <c r="J3097" s="625">
        <v>3.75</v>
      </c>
      <c r="K3097"/>
    </row>
    <row r="3098" spans="1:11" ht="24" customHeight="1">
      <c r="A3098" s="621" t="s">
        <v>12708</v>
      </c>
      <c r="B3098" s="622" t="s">
        <v>13122</v>
      </c>
      <c r="C3098" s="621" t="s">
        <v>8</v>
      </c>
      <c r="D3098" s="621" t="s">
        <v>3094</v>
      </c>
      <c r="E3098" s="811" t="s">
        <v>12726</v>
      </c>
      <c r="F3098" s="812"/>
      <c r="G3098" s="623" t="s">
        <v>23</v>
      </c>
      <c r="H3098" s="624">
        <v>1</v>
      </c>
      <c r="I3098" s="625">
        <v>0.44</v>
      </c>
      <c r="J3098" s="625">
        <v>0.44</v>
      </c>
      <c r="K3098"/>
    </row>
    <row r="3099" spans="1:11" ht="25.5">
      <c r="A3099" s="631"/>
      <c r="B3099" s="631"/>
      <c r="C3099" s="631"/>
      <c r="D3099" s="631"/>
      <c r="E3099" s="631" t="s">
        <v>12714</v>
      </c>
      <c r="F3099" s="632">
        <v>0</v>
      </c>
      <c r="G3099" s="631" t="s">
        <v>12715</v>
      </c>
      <c r="H3099" s="632">
        <v>0</v>
      </c>
      <c r="I3099" s="631" t="s">
        <v>12716</v>
      </c>
      <c r="J3099" s="632">
        <v>0</v>
      </c>
      <c r="K3099"/>
    </row>
    <row r="3100" spans="1:11" ht="15" customHeight="1" thickBot="1">
      <c r="A3100" s="631"/>
      <c r="B3100" s="631"/>
      <c r="C3100" s="631"/>
      <c r="D3100" s="631"/>
      <c r="E3100" s="631" t="s">
        <v>12717</v>
      </c>
      <c r="F3100" s="632">
        <v>1.18</v>
      </c>
      <c r="G3100" s="631"/>
      <c r="H3100" s="806" t="s">
        <v>12718</v>
      </c>
      <c r="I3100" s="806"/>
      <c r="J3100" s="632">
        <v>5.37</v>
      </c>
      <c r="K3100"/>
    </row>
    <row r="3101" spans="1:11" ht="0.95" customHeight="1" thickTop="1">
      <c r="A3101" s="633"/>
      <c r="B3101" s="633"/>
      <c r="C3101" s="633"/>
      <c r="D3101" s="633"/>
      <c r="E3101" s="633"/>
      <c r="F3101" s="633"/>
      <c r="G3101" s="633"/>
      <c r="H3101" s="633"/>
      <c r="I3101" s="633"/>
      <c r="J3101" s="633"/>
      <c r="K3101"/>
    </row>
    <row r="3102" spans="1:11" ht="18" customHeight="1">
      <c r="A3102" s="613"/>
      <c r="B3102" s="614" t="s">
        <v>12698</v>
      </c>
      <c r="C3102" s="613" t="s">
        <v>12699</v>
      </c>
      <c r="D3102" s="613" t="s">
        <v>12700</v>
      </c>
      <c r="E3102" s="807" t="s">
        <v>12701</v>
      </c>
      <c r="F3102" s="808"/>
      <c r="G3102" s="615" t="s">
        <v>12702</v>
      </c>
      <c r="H3102" s="614" t="s">
        <v>12703</v>
      </c>
      <c r="I3102" s="614" t="s">
        <v>12704</v>
      </c>
      <c r="J3102" s="614" t="s">
        <v>12705</v>
      </c>
      <c r="K3102"/>
    </row>
    <row r="3103" spans="1:11" ht="36" customHeight="1">
      <c r="A3103" s="616" t="s">
        <v>12706</v>
      </c>
      <c r="B3103" s="617" t="s">
        <v>13124</v>
      </c>
      <c r="C3103" s="616" t="s">
        <v>8</v>
      </c>
      <c r="D3103" s="616" t="s">
        <v>3097</v>
      </c>
      <c r="E3103" s="809" t="s">
        <v>12726</v>
      </c>
      <c r="F3103" s="810"/>
      <c r="G3103" s="618" t="s">
        <v>44</v>
      </c>
      <c r="H3103" s="619">
        <v>1</v>
      </c>
      <c r="I3103" s="620">
        <v>13.32</v>
      </c>
      <c r="J3103" s="620">
        <v>13.32</v>
      </c>
      <c r="K3103"/>
    </row>
    <row r="3104" spans="1:11" ht="24" customHeight="1">
      <c r="A3104" s="621" t="s">
        <v>12708</v>
      </c>
      <c r="B3104" s="622" t="s">
        <v>13123</v>
      </c>
      <c r="C3104" s="621" t="s">
        <v>8</v>
      </c>
      <c r="D3104" s="621" t="s">
        <v>3093</v>
      </c>
      <c r="E3104" s="811" t="s">
        <v>12726</v>
      </c>
      <c r="F3104" s="812"/>
      <c r="G3104" s="623" t="s">
        <v>23</v>
      </c>
      <c r="H3104" s="624">
        <v>1</v>
      </c>
      <c r="I3104" s="625">
        <v>3.75</v>
      </c>
      <c r="J3104" s="625">
        <v>3.75</v>
      </c>
      <c r="K3104"/>
    </row>
    <row r="3105" spans="1:11" ht="25.5" customHeight="1">
      <c r="A3105" s="621" t="s">
        <v>12708</v>
      </c>
      <c r="B3105" s="622" t="s">
        <v>13122</v>
      </c>
      <c r="C3105" s="621" t="s">
        <v>8</v>
      </c>
      <c r="D3105" s="621" t="s">
        <v>3094</v>
      </c>
      <c r="E3105" s="811" t="s">
        <v>12726</v>
      </c>
      <c r="F3105" s="812"/>
      <c r="G3105" s="623" t="s">
        <v>23</v>
      </c>
      <c r="H3105" s="624">
        <v>1</v>
      </c>
      <c r="I3105" s="625">
        <v>0.44</v>
      </c>
      <c r="J3105" s="625">
        <v>0.44</v>
      </c>
      <c r="K3105"/>
    </row>
    <row r="3106" spans="1:11" ht="15" customHeight="1">
      <c r="A3106" s="621" t="s">
        <v>12708</v>
      </c>
      <c r="B3106" s="622" t="s">
        <v>13121</v>
      </c>
      <c r="C3106" s="621" t="s">
        <v>8</v>
      </c>
      <c r="D3106" s="621" t="s">
        <v>3095</v>
      </c>
      <c r="E3106" s="811" t="s">
        <v>12726</v>
      </c>
      <c r="F3106" s="812"/>
      <c r="G3106" s="623" t="s">
        <v>23</v>
      </c>
      <c r="H3106" s="624">
        <v>1</v>
      </c>
      <c r="I3106" s="625">
        <v>4.1100000000000003</v>
      </c>
      <c r="J3106" s="625">
        <v>4.1100000000000003</v>
      </c>
      <c r="K3106"/>
    </row>
    <row r="3107" spans="1:11" ht="0.95" customHeight="1">
      <c r="A3107" s="621" t="s">
        <v>12708</v>
      </c>
      <c r="B3107" s="622" t="s">
        <v>13119</v>
      </c>
      <c r="C3107" s="621" t="s">
        <v>8</v>
      </c>
      <c r="D3107" s="621" t="s">
        <v>3096</v>
      </c>
      <c r="E3107" s="811" t="s">
        <v>12726</v>
      </c>
      <c r="F3107" s="812"/>
      <c r="G3107" s="623" t="s">
        <v>23</v>
      </c>
      <c r="H3107" s="624">
        <v>1</v>
      </c>
      <c r="I3107" s="625">
        <v>5.0199999999999996</v>
      </c>
      <c r="J3107" s="625">
        <v>5.0199999999999996</v>
      </c>
      <c r="K3107"/>
    </row>
    <row r="3108" spans="1:11" ht="18" customHeight="1">
      <c r="A3108" s="631"/>
      <c r="B3108" s="631"/>
      <c r="C3108" s="631"/>
      <c r="D3108" s="631"/>
      <c r="E3108" s="631" t="s">
        <v>12714</v>
      </c>
      <c r="F3108" s="632">
        <v>0</v>
      </c>
      <c r="G3108" s="631" t="s">
        <v>12715</v>
      </c>
      <c r="H3108" s="632">
        <v>0</v>
      </c>
      <c r="I3108" s="631" t="s">
        <v>12716</v>
      </c>
      <c r="J3108" s="632">
        <v>0</v>
      </c>
      <c r="K3108"/>
    </row>
    <row r="3109" spans="1:11" ht="36" customHeight="1" thickBot="1">
      <c r="A3109" s="631"/>
      <c r="B3109" s="631"/>
      <c r="C3109" s="631"/>
      <c r="D3109" s="631"/>
      <c r="E3109" s="631" t="s">
        <v>12717</v>
      </c>
      <c r="F3109" s="632">
        <v>3.76</v>
      </c>
      <c r="G3109" s="631"/>
      <c r="H3109" s="806" t="s">
        <v>12718</v>
      </c>
      <c r="I3109" s="806"/>
      <c r="J3109" s="632">
        <v>17.079999999999998</v>
      </c>
      <c r="K3109"/>
    </row>
    <row r="3110" spans="1:11" ht="24" customHeight="1" thickTop="1">
      <c r="A3110" s="633"/>
      <c r="B3110" s="633"/>
      <c r="C3110" s="633"/>
      <c r="D3110" s="633"/>
      <c r="E3110" s="633"/>
      <c r="F3110" s="633"/>
      <c r="G3110" s="633"/>
      <c r="H3110" s="633"/>
      <c r="I3110" s="633"/>
      <c r="J3110" s="633"/>
      <c r="K3110"/>
    </row>
    <row r="3111" spans="1:11" ht="15">
      <c r="A3111" s="613"/>
      <c r="B3111" s="614" t="s">
        <v>12698</v>
      </c>
      <c r="C3111" s="613" t="s">
        <v>12699</v>
      </c>
      <c r="D3111" s="613" t="s">
        <v>12700</v>
      </c>
      <c r="E3111" s="807" t="s">
        <v>12701</v>
      </c>
      <c r="F3111" s="808"/>
      <c r="G3111" s="615" t="s">
        <v>12702</v>
      </c>
      <c r="H3111" s="614" t="s">
        <v>12703</v>
      </c>
      <c r="I3111" s="614" t="s">
        <v>12704</v>
      </c>
      <c r="J3111" s="614" t="s">
        <v>12705</v>
      </c>
      <c r="K3111"/>
    </row>
    <row r="3112" spans="1:11" ht="15" customHeight="1">
      <c r="A3112" s="616" t="s">
        <v>12706</v>
      </c>
      <c r="B3112" s="617" t="s">
        <v>13123</v>
      </c>
      <c r="C3112" s="616" t="s">
        <v>8</v>
      </c>
      <c r="D3112" s="616" t="s">
        <v>3093</v>
      </c>
      <c r="E3112" s="809" t="s">
        <v>12726</v>
      </c>
      <c r="F3112" s="810"/>
      <c r="G3112" s="618" t="s">
        <v>23</v>
      </c>
      <c r="H3112" s="619">
        <v>1</v>
      </c>
      <c r="I3112" s="620">
        <v>3.75</v>
      </c>
      <c r="J3112" s="620">
        <v>3.75</v>
      </c>
      <c r="K3112"/>
    </row>
    <row r="3113" spans="1:11" ht="0.95" customHeight="1">
      <c r="A3113" s="626" t="s">
        <v>12709</v>
      </c>
      <c r="B3113" s="627" t="s">
        <v>13120</v>
      </c>
      <c r="C3113" s="626" t="s">
        <v>8</v>
      </c>
      <c r="D3113" s="626" t="s">
        <v>10354</v>
      </c>
      <c r="E3113" s="804" t="s">
        <v>12720</v>
      </c>
      <c r="F3113" s="805"/>
      <c r="G3113" s="628" t="s">
        <v>35</v>
      </c>
      <c r="H3113" s="629">
        <v>6.3999999999999997E-5</v>
      </c>
      <c r="I3113" s="630">
        <v>58739.81</v>
      </c>
      <c r="J3113" s="630">
        <v>3.75</v>
      </c>
      <c r="K3113"/>
    </row>
    <row r="3114" spans="1:11" ht="18" customHeight="1">
      <c r="A3114" s="631"/>
      <c r="B3114" s="631"/>
      <c r="C3114" s="631"/>
      <c r="D3114" s="631"/>
      <c r="E3114" s="631" t="s">
        <v>12714</v>
      </c>
      <c r="F3114" s="632">
        <v>0</v>
      </c>
      <c r="G3114" s="631" t="s">
        <v>12715</v>
      </c>
      <c r="H3114" s="632">
        <v>0</v>
      </c>
      <c r="I3114" s="631" t="s">
        <v>12716</v>
      </c>
      <c r="J3114" s="632">
        <v>0</v>
      </c>
      <c r="K3114"/>
    </row>
    <row r="3115" spans="1:11" ht="24" customHeight="1" thickBot="1">
      <c r="A3115" s="631"/>
      <c r="B3115" s="631"/>
      <c r="C3115" s="631"/>
      <c r="D3115" s="631"/>
      <c r="E3115" s="631" t="s">
        <v>12717</v>
      </c>
      <c r="F3115" s="632">
        <v>1.05</v>
      </c>
      <c r="G3115" s="631"/>
      <c r="H3115" s="806" t="s">
        <v>12718</v>
      </c>
      <c r="I3115" s="806"/>
      <c r="J3115" s="632">
        <v>4.8</v>
      </c>
      <c r="K3115"/>
    </row>
    <row r="3116" spans="1:11" ht="36" customHeight="1" thickTop="1">
      <c r="A3116" s="633"/>
      <c r="B3116" s="633"/>
      <c r="C3116" s="633"/>
      <c r="D3116" s="633"/>
      <c r="E3116" s="633"/>
      <c r="F3116" s="633"/>
      <c r="G3116" s="633"/>
      <c r="H3116" s="633"/>
      <c r="I3116" s="633"/>
      <c r="J3116" s="633"/>
      <c r="K3116"/>
    </row>
    <row r="3117" spans="1:11" ht="24" customHeight="1">
      <c r="A3117" s="613"/>
      <c r="B3117" s="614" t="s">
        <v>12698</v>
      </c>
      <c r="C3117" s="613" t="s">
        <v>12699</v>
      </c>
      <c r="D3117" s="613" t="s">
        <v>12700</v>
      </c>
      <c r="E3117" s="807" t="s">
        <v>12701</v>
      </c>
      <c r="F3117" s="808"/>
      <c r="G3117" s="615" t="s">
        <v>12702</v>
      </c>
      <c r="H3117" s="614" t="s">
        <v>12703</v>
      </c>
      <c r="I3117" s="614" t="s">
        <v>12704</v>
      </c>
      <c r="J3117" s="614" t="s">
        <v>12705</v>
      </c>
      <c r="K3117"/>
    </row>
    <row r="3118" spans="1:11" ht="24" customHeight="1">
      <c r="A3118" s="616" t="s">
        <v>12706</v>
      </c>
      <c r="B3118" s="617" t="s">
        <v>13122</v>
      </c>
      <c r="C3118" s="616" t="s">
        <v>8</v>
      </c>
      <c r="D3118" s="616" t="s">
        <v>3094</v>
      </c>
      <c r="E3118" s="809" t="s">
        <v>12726</v>
      </c>
      <c r="F3118" s="810"/>
      <c r="G3118" s="618" t="s">
        <v>23</v>
      </c>
      <c r="H3118" s="619">
        <v>1</v>
      </c>
      <c r="I3118" s="620">
        <v>0.44</v>
      </c>
      <c r="J3118" s="620">
        <v>0.44</v>
      </c>
      <c r="K3118"/>
    </row>
    <row r="3119" spans="1:11" ht="24" customHeight="1">
      <c r="A3119" s="626" t="s">
        <v>12709</v>
      </c>
      <c r="B3119" s="627" t="s">
        <v>13120</v>
      </c>
      <c r="C3119" s="626" t="s">
        <v>8</v>
      </c>
      <c r="D3119" s="626" t="s">
        <v>10354</v>
      </c>
      <c r="E3119" s="804" t="s">
        <v>12720</v>
      </c>
      <c r="F3119" s="805"/>
      <c r="G3119" s="628" t="s">
        <v>35</v>
      </c>
      <c r="H3119" s="629">
        <v>7.6000000000000001E-6</v>
      </c>
      <c r="I3119" s="630">
        <v>58739.81</v>
      </c>
      <c r="J3119" s="630">
        <v>0.44</v>
      </c>
      <c r="K3119"/>
    </row>
    <row r="3120" spans="1:11" ht="24" customHeight="1">
      <c r="A3120" s="631"/>
      <c r="B3120" s="631"/>
      <c r="C3120" s="631"/>
      <c r="D3120" s="631"/>
      <c r="E3120" s="631" t="s">
        <v>12714</v>
      </c>
      <c r="F3120" s="632">
        <v>0</v>
      </c>
      <c r="G3120" s="631" t="s">
        <v>12715</v>
      </c>
      <c r="H3120" s="632">
        <v>0</v>
      </c>
      <c r="I3120" s="631" t="s">
        <v>12716</v>
      </c>
      <c r="J3120" s="632">
        <v>0</v>
      </c>
      <c r="K3120"/>
    </row>
    <row r="3121" spans="1:11" ht="24" customHeight="1" thickBot="1">
      <c r="A3121" s="631"/>
      <c r="B3121" s="631"/>
      <c r="C3121" s="631"/>
      <c r="D3121" s="631"/>
      <c r="E3121" s="631" t="s">
        <v>12717</v>
      </c>
      <c r="F3121" s="632">
        <v>0.12</v>
      </c>
      <c r="G3121" s="631"/>
      <c r="H3121" s="806" t="s">
        <v>12718</v>
      </c>
      <c r="I3121" s="806"/>
      <c r="J3121" s="632">
        <v>0.56000000000000005</v>
      </c>
      <c r="K3121"/>
    </row>
    <row r="3122" spans="1:11" ht="24" customHeight="1" thickTop="1">
      <c r="A3122" s="633"/>
      <c r="B3122" s="633"/>
      <c r="C3122" s="633"/>
      <c r="D3122" s="633"/>
      <c r="E3122" s="633"/>
      <c r="F3122" s="633"/>
      <c r="G3122" s="633"/>
      <c r="H3122" s="633"/>
      <c r="I3122" s="633"/>
      <c r="J3122" s="633"/>
      <c r="K3122"/>
    </row>
    <row r="3123" spans="1:11" ht="24" customHeight="1">
      <c r="A3123" s="613"/>
      <c r="B3123" s="614" t="s">
        <v>12698</v>
      </c>
      <c r="C3123" s="613" t="s">
        <v>12699</v>
      </c>
      <c r="D3123" s="613" t="s">
        <v>12700</v>
      </c>
      <c r="E3123" s="807" t="s">
        <v>12701</v>
      </c>
      <c r="F3123" s="808"/>
      <c r="G3123" s="615" t="s">
        <v>12702</v>
      </c>
      <c r="H3123" s="614" t="s">
        <v>12703</v>
      </c>
      <c r="I3123" s="614" t="s">
        <v>12704</v>
      </c>
      <c r="J3123" s="614" t="s">
        <v>12705</v>
      </c>
      <c r="K3123"/>
    </row>
    <row r="3124" spans="1:11" ht="25.5" customHeight="1">
      <c r="A3124" s="616" t="s">
        <v>12706</v>
      </c>
      <c r="B3124" s="617" t="s">
        <v>13121</v>
      </c>
      <c r="C3124" s="616" t="s">
        <v>8</v>
      </c>
      <c r="D3124" s="616" t="s">
        <v>3095</v>
      </c>
      <c r="E3124" s="809" t="s">
        <v>12726</v>
      </c>
      <c r="F3124" s="810"/>
      <c r="G3124" s="618" t="s">
        <v>23</v>
      </c>
      <c r="H3124" s="619">
        <v>1</v>
      </c>
      <c r="I3124" s="620">
        <v>4.1100000000000003</v>
      </c>
      <c r="J3124" s="620">
        <v>4.1100000000000003</v>
      </c>
      <c r="K3124"/>
    </row>
    <row r="3125" spans="1:11" ht="15" customHeight="1">
      <c r="A3125" s="626" t="s">
        <v>12709</v>
      </c>
      <c r="B3125" s="627" t="s">
        <v>13120</v>
      </c>
      <c r="C3125" s="626" t="s">
        <v>8</v>
      </c>
      <c r="D3125" s="626" t="s">
        <v>10354</v>
      </c>
      <c r="E3125" s="804" t="s">
        <v>12720</v>
      </c>
      <c r="F3125" s="805"/>
      <c r="G3125" s="628" t="s">
        <v>35</v>
      </c>
      <c r="H3125" s="629">
        <v>6.9999999999999994E-5</v>
      </c>
      <c r="I3125" s="630">
        <v>58739.81</v>
      </c>
      <c r="J3125" s="630">
        <v>4.1100000000000003</v>
      </c>
      <c r="K3125"/>
    </row>
    <row r="3126" spans="1:11" ht="0.95" customHeight="1">
      <c r="A3126" s="631"/>
      <c r="B3126" s="631"/>
      <c r="C3126" s="631"/>
      <c r="D3126" s="631"/>
      <c r="E3126" s="631" t="s">
        <v>12714</v>
      </c>
      <c r="F3126" s="632">
        <v>0</v>
      </c>
      <c r="G3126" s="631" t="s">
        <v>12715</v>
      </c>
      <c r="H3126" s="632">
        <v>0</v>
      </c>
      <c r="I3126" s="631" t="s">
        <v>12716</v>
      </c>
      <c r="J3126" s="632">
        <v>0</v>
      </c>
      <c r="K3126"/>
    </row>
    <row r="3127" spans="1:11" ht="18" customHeight="1" thickBot="1">
      <c r="A3127" s="631"/>
      <c r="B3127" s="631"/>
      <c r="C3127" s="631"/>
      <c r="D3127" s="631"/>
      <c r="E3127" s="631" t="s">
        <v>12717</v>
      </c>
      <c r="F3127" s="632">
        <v>1.1599999999999999</v>
      </c>
      <c r="G3127" s="631"/>
      <c r="H3127" s="806" t="s">
        <v>12718</v>
      </c>
      <c r="I3127" s="806"/>
      <c r="J3127" s="632">
        <v>5.27</v>
      </c>
      <c r="K3127"/>
    </row>
    <row r="3128" spans="1:11" ht="24" customHeight="1" thickTop="1">
      <c r="A3128" s="633"/>
      <c r="B3128" s="633"/>
      <c r="C3128" s="633"/>
      <c r="D3128" s="633"/>
      <c r="E3128" s="633"/>
      <c r="F3128" s="633"/>
      <c r="G3128" s="633"/>
      <c r="H3128" s="633"/>
      <c r="I3128" s="633"/>
      <c r="J3128" s="633"/>
      <c r="K3128"/>
    </row>
    <row r="3129" spans="1:11" ht="24" customHeight="1">
      <c r="A3129" s="613"/>
      <c r="B3129" s="614" t="s">
        <v>12698</v>
      </c>
      <c r="C3129" s="613" t="s">
        <v>12699</v>
      </c>
      <c r="D3129" s="613" t="s">
        <v>12700</v>
      </c>
      <c r="E3129" s="807" t="s">
        <v>12701</v>
      </c>
      <c r="F3129" s="808"/>
      <c r="G3129" s="615" t="s">
        <v>12702</v>
      </c>
      <c r="H3129" s="614" t="s">
        <v>12703</v>
      </c>
      <c r="I3129" s="614" t="s">
        <v>12704</v>
      </c>
      <c r="J3129" s="614" t="s">
        <v>12705</v>
      </c>
      <c r="K3129"/>
    </row>
    <row r="3130" spans="1:11" ht="24" customHeight="1">
      <c r="A3130" s="616" t="s">
        <v>12706</v>
      </c>
      <c r="B3130" s="617" t="s">
        <v>13119</v>
      </c>
      <c r="C3130" s="616" t="s">
        <v>8</v>
      </c>
      <c r="D3130" s="616" t="s">
        <v>3096</v>
      </c>
      <c r="E3130" s="809" t="s">
        <v>12726</v>
      </c>
      <c r="F3130" s="810"/>
      <c r="G3130" s="618" t="s">
        <v>23</v>
      </c>
      <c r="H3130" s="619">
        <v>1</v>
      </c>
      <c r="I3130" s="620">
        <v>5.0199999999999996</v>
      </c>
      <c r="J3130" s="620">
        <v>5.0199999999999996</v>
      </c>
      <c r="K3130"/>
    </row>
    <row r="3131" spans="1:11" ht="24" customHeight="1">
      <c r="A3131" s="626" t="s">
        <v>12709</v>
      </c>
      <c r="B3131" s="627" t="s">
        <v>13007</v>
      </c>
      <c r="C3131" s="626" t="s">
        <v>8</v>
      </c>
      <c r="D3131" s="626" t="s">
        <v>10549</v>
      </c>
      <c r="E3131" s="804" t="s">
        <v>12720</v>
      </c>
      <c r="F3131" s="805"/>
      <c r="G3131" s="628" t="s">
        <v>58</v>
      </c>
      <c r="H3131" s="629">
        <v>1.55</v>
      </c>
      <c r="I3131" s="630">
        <v>3.24</v>
      </c>
      <c r="J3131" s="630">
        <v>5.0199999999999996</v>
      </c>
      <c r="K3131"/>
    </row>
    <row r="3132" spans="1:11" ht="24" customHeight="1">
      <c r="A3132" s="631"/>
      <c r="B3132" s="631"/>
      <c r="C3132" s="631"/>
      <c r="D3132" s="631"/>
      <c r="E3132" s="631" t="s">
        <v>12714</v>
      </c>
      <c r="F3132" s="632">
        <v>0</v>
      </c>
      <c r="G3132" s="631" t="s">
        <v>12715</v>
      </c>
      <c r="H3132" s="632">
        <v>0</v>
      </c>
      <c r="I3132" s="631" t="s">
        <v>12716</v>
      </c>
      <c r="J3132" s="632">
        <v>0</v>
      </c>
      <c r="K3132"/>
    </row>
    <row r="3133" spans="1:11" ht="24" customHeight="1" thickBot="1">
      <c r="A3133" s="631"/>
      <c r="B3133" s="631"/>
      <c r="C3133" s="631"/>
      <c r="D3133" s="631"/>
      <c r="E3133" s="631" t="s">
        <v>12717</v>
      </c>
      <c r="F3133" s="632">
        <v>1.41</v>
      </c>
      <c r="G3133" s="631"/>
      <c r="H3133" s="806" t="s">
        <v>12718</v>
      </c>
      <c r="I3133" s="806"/>
      <c r="J3133" s="632">
        <v>6.43</v>
      </c>
      <c r="K3133"/>
    </row>
    <row r="3134" spans="1:11" ht="24" customHeight="1" thickTop="1">
      <c r="A3134" s="633"/>
      <c r="B3134" s="633"/>
      <c r="C3134" s="633"/>
      <c r="D3134" s="633"/>
      <c r="E3134" s="633"/>
      <c r="F3134" s="633"/>
      <c r="G3134" s="633"/>
      <c r="H3134" s="633"/>
      <c r="I3134" s="633"/>
      <c r="J3134" s="633"/>
      <c r="K3134"/>
    </row>
    <row r="3135" spans="1:11" ht="24" customHeight="1">
      <c r="A3135" s="613"/>
      <c r="B3135" s="614" t="s">
        <v>12698</v>
      </c>
      <c r="C3135" s="613" t="s">
        <v>12699</v>
      </c>
      <c r="D3135" s="613" t="s">
        <v>12700</v>
      </c>
      <c r="E3135" s="807" t="s">
        <v>12701</v>
      </c>
      <c r="F3135" s="808"/>
      <c r="G3135" s="615" t="s">
        <v>12702</v>
      </c>
      <c r="H3135" s="614" t="s">
        <v>12703</v>
      </c>
      <c r="I3135" s="614" t="s">
        <v>12704</v>
      </c>
      <c r="J3135" s="614" t="s">
        <v>12705</v>
      </c>
      <c r="K3135"/>
    </row>
    <row r="3136" spans="1:11" ht="24" customHeight="1">
      <c r="A3136" s="616" t="s">
        <v>12706</v>
      </c>
      <c r="B3136" s="617" t="s">
        <v>13118</v>
      </c>
      <c r="C3136" s="616" t="s">
        <v>8</v>
      </c>
      <c r="D3136" s="616" t="s">
        <v>1520</v>
      </c>
      <c r="E3136" s="809" t="s">
        <v>12707</v>
      </c>
      <c r="F3136" s="810"/>
      <c r="G3136" s="618" t="s">
        <v>23</v>
      </c>
      <c r="H3136" s="619">
        <v>1</v>
      </c>
      <c r="I3136" s="620">
        <v>12.88</v>
      </c>
      <c r="J3136" s="620">
        <v>12.88</v>
      </c>
      <c r="K3136"/>
    </row>
    <row r="3137" spans="1:11" ht="38.25">
      <c r="A3137" s="621" t="s">
        <v>12708</v>
      </c>
      <c r="B3137" s="622" t="s">
        <v>13117</v>
      </c>
      <c r="C3137" s="621" t="s">
        <v>8</v>
      </c>
      <c r="D3137" s="621" t="s">
        <v>3698</v>
      </c>
      <c r="E3137" s="811" t="s">
        <v>12707</v>
      </c>
      <c r="F3137" s="812"/>
      <c r="G3137" s="623" t="s">
        <v>23</v>
      </c>
      <c r="H3137" s="624">
        <v>1</v>
      </c>
      <c r="I3137" s="625">
        <v>0.05</v>
      </c>
      <c r="J3137" s="625">
        <v>0.05</v>
      </c>
      <c r="K3137"/>
    </row>
    <row r="3138" spans="1:11" ht="15" customHeight="1">
      <c r="A3138" s="626" t="s">
        <v>12709</v>
      </c>
      <c r="B3138" s="627" t="s">
        <v>13004</v>
      </c>
      <c r="C3138" s="626" t="s">
        <v>8</v>
      </c>
      <c r="D3138" s="626" t="s">
        <v>7388</v>
      </c>
      <c r="E3138" s="804" t="s">
        <v>12712</v>
      </c>
      <c r="F3138" s="805"/>
      <c r="G3138" s="628" t="s">
        <v>23</v>
      </c>
      <c r="H3138" s="629">
        <v>1</v>
      </c>
      <c r="I3138" s="630">
        <v>2.2000000000000002</v>
      </c>
      <c r="J3138" s="630">
        <v>2.2000000000000002</v>
      </c>
      <c r="K3138"/>
    </row>
    <row r="3139" spans="1:11" ht="0.95" customHeight="1">
      <c r="A3139" s="626" t="s">
        <v>12709</v>
      </c>
      <c r="B3139" s="627" t="s">
        <v>13003</v>
      </c>
      <c r="C3139" s="626" t="s">
        <v>8</v>
      </c>
      <c r="D3139" s="626" t="s">
        <v>9227</v>
      </c>
      <c r="E3139" s="804" t="s">
        <v>12711</v>
      </c>
      <c r="F3139" s="805"/>
      <c r="G3139" s="628" t="s">
        <v>23</v>
      </c>
      <c r="H3139" s="629">
        <v>1</v>
      </c>
      <c r="I3139" s="630">
        <v>0.66</v>
      </c>
      <c r="J3139" s="630">
        <v>0.66</v>
      </c>
      <c r="K3139"/>
    </row>
    <row r="3140" spans="1:11" ht="18" customHeight="1">
      <c r="A3140" s="626" t="s">
        <v>12709</v>
      </c>
      <c r="B3140" s="627" t="s">
        <v>13002</v>
      </c>
      <c r="C3140" s="626" t="s">
        <v>8</v>
      </c>
      <c r="D3140" s="626" t="s">
        <v>9306</v>
      </c>
      <c r="E3140" s="804" t="s">
        <v>12712</v>
      </c>
      <c r="F3140" s="805"/>
      <c r="G3140" s="628" t="s">
        <v>23</v>
      </c>
      <c r="H3140" s="629">
        <v>1</v>
      </c>
      <c r="I3140" s="630">
        <v>0.35</v>
      </c>
      <c r="J3140" s="630">
        <v>0.35</v>
      </c>
      <c r="K3140"/>
    </row>
    <row r="3141" spans="1:11" ht="24" customHeight="1">
      <c r="A3141" s="626" t="s">
        <v>12709</v>
      </c>
      <c r="B3141" s="627" t="s">
        <v>13001</v>
      </c>
      <c r="C3141" s="626" t="s">
        <v>8</v>
      </c>
      <c r="D3141" s="626" t="s">
        <v>9374</v>
      </c>
      <c r="E3141" s="804" t="s">
        <v>12711</v>
      </c>
      <c r="F3141" s="805"/>
      <c r="G3141" s="628" t="s">
        <v>23</v>
      </c>
      <c r="H3141" s="629">
        <v>1</v>
      </c>
      <c r="I3141" s="630">
        <v>0.01</v>
      </c>
      <c r="J3141" s="630">
        <v>0.01</v>
      </c>
      <c r="K3141"/>
    </row>
    <row r="3142" spans="1:11" ht="24" customHeight="1">
      <c r="A3142" s="626" t="s">
        <v>12709</v>
      </c>
      <c r="B3142" s="627" t="s">
        <v>13116</v>
      </c>
      <c r="C3142" s="626" t="s">
        <v>8</v>
      </c>
      <c r="D3142" s="626" t="s">
        <v>10556</v>
      </c>
      <c r="E3142" s="804" t="s">
        <v>12710</v>
      </c>
      <c r="F3142" s="805"/>
      <c r="G3142" s="628" t="s">
        <v>23</v>
      </c>
      <c r="H3142" s="629">
        <v>1</v>
      </c>
      <c r="I3142" s="630">
        <v>8.83</v>
      </c>
      <c r="J3142" s="630">
        <v>8.83</v>
      </c>
      <c r="K3142"/>
    </row>
    <row r="3143" spans="1:11" ht="24" customHeight="1">
      <c r="A3143" s="626" t="s">
        <v>12709</v>
      </c>
      <c r="B3143" s="627" t="s">
        <v>12999</v>
      </c>
      <c r="C3143" s="626" t="s">
        <v>8</v>
      </c>
      <c r="D3143" s="626" t="s">
        <v>11251</v>
      </c>
      <c r="E3143" s="804" t="s">
        <v>12713</v>
      </c>
      <c r="F3143" s="805"/>
      <c r="G3143" s="628" t="s">
        <v>23</v>
      </c>
      <c r="H3143" s="629">
        <v>1</v>
      </c>
      <c r="I3143" s="630">
        <v>7.0000000000000007E-2</v>
      </c>
      <c r="J3143" s="630">
        <v>7.0000000000000007E-2</v>
      </c>
      <c r="K3143"/>
    </row>
    <row r="3144" spans="1:11" ht="24" customHeight="1">
      <c r="A3144" s="626" t="s">
        <v>12709</v>
      </c>
      <c r="B3144" s="627" t="s">
        <v>12998</v>
      </c>
      <c r="C3144" s="626" t="s">
        <v>8</v>
      </c>
      <c r="D3144" s="626" t="s">
        <v>11861</v>
      </c>
      <c r="E3144" s="804" t="s">
        <v>12722</v>
      </c>
      <c r="F3144" s="805"/>
      <c r="G3144" s="628" t="s">
        <v>23</v>
      </c>
      <c r="H3144" s="629">
        <v>1</v>
      </c>
      <c r="I3144" s="630">
        <v>0.71</v>
      </c>
      <c r="J3144" s="630">
        <v>0.71</v>
      </c>
      <c r="K3144"/>
    </row>
    <row r="3145" spans="1:11" ht="24" customHeight="1">
      <c r="A3145" s="631"/>
      <c r="B3145" s="631"/>
      <c r="C3145" s="631"/>
      <c r="D3145" s="631"/>
      <c r="E3145" s="631" t="s">
        <v>12714</v>
      </c>
      <c r="F3145" s="632">
        <v>4.8005189750243273</v>
      </c>
      <c r="G3145" s="631" t="s">
        <v>12715</v>
      </c>
      <c r="H3145" s="632">
        <v>4.08</v>
      </c>
      <c r="I3145" s="631" t="s">
        <v>12716</v>
      </c>
      <c r="J3145" s="632">
        <v>8.8800000000000008</v>
      </c>
      <c r="K3145"/>
    </row>
    <row r="3146" spans="1:11" ht="24" customHeight="1" thickBot="1">
      <c r="A3146" s="631"/>
      <c r="B3146" s="631"/>
      <c r="C3146" s="631"/>
      <c r="D3146" s="631"/>
      <c r="E3146" s="631" t="s">
        <v>12717</v>
      </c>
      <c r="F3146" s="632">
        <v>3.63</v>
      </c>
      <c r="G3146" s="631"/>
      <c r="H3146" s="806" t="s">
        <v>12718</v>
      </c>
      <c r="I3146" s="806"/>
      <c r="J3146" s="632">
        <v>16.510000000000002</v>
      </c>
      <c r="K3146"/>
    </row>
    <row r="3147" spans="1:11" ht="24" customHeight="1" thickTop="1">
      <c r="A3147" s="633"/>
      <c r="B3147" s="633"/>
      <c r="C3147" s="633"/>
      <c r="D3147" s="633"/>
      <c r="E3147" s="633"/>
      <c r="F3147" s="633"/>
      <c r="G3147" s="633"/>
      <c r="H3147" s="633"/>
      <c r="I3147" s="633"/>
      <c r="J3147" s="633"/>
      <c r="K3147"/>
    </row>
    <row r="3148" spans="1:11" ht="24" customHeight="1">
      <c r="A3148" s="613"/>
      <c r="B3148" s="614" t="s">
        <v>12698</v>
      </c>
      <c r="C3148" s="613" t="s">
        <v>12699</v>
      </c>
      <c r="D3148" s="613" t="s">
        <v>12700</v>
      </c>
      <c r="E3148" s="807" t="s">
        <v>12701</v>
      </c>
      <c r="F3148" s="808"/>
      <c r="G3148" s="615" t="s">
        <v>12702</v>
      </c>
      <c r="H3148" s="614" t="s">
        <v>12703</v>
      </c>
      <c r="I3148" s="614" t="s">
        <v>12704</v>
      </c>
      <c r="J3148" s="614" t="s">
        <v>12705</v>
      </c>
      <c r="K3148"/>
    </row>
    <row r="3149" spans="1:11" ht="24" customHeight="1">
      <c r="A3149" s="616" t="s">
        <v>12706</v>
      </c>
      <c r="B3149" s="617" t="s">
        <v>13068</v>
      </c>
      <c r="C3149" s="616" t="s">
        <v>8</v>
      </c>
      <c r="D3149" s="616" t="s">
        <v>274</v>
      </c>
      <c r="E3149" s="809" t="s">
        <v>12707</v>
      </c>
      <c r="F3149" s="810"/>
      <c r="G3149" s="618" t="s">
        <v>23</v>
      </c>
      <c r="H3149" s="619">
        <v>1</v>
      </c>
      <c r="I3149" s="620">
        <v>16.45</v>
      </c>
      <c r="J3149" s="620">
        <v>16.45</v>
      </c>
      <c r="K3149"/>
    </row>
    <row r="3150" spans="1:11" ht="25.5">
      <c r="A3150" s="621" t="s">
        <v>12708</v>
      </c>
      <c r="B3150" s="622" t="s">
        <v>13115</v>
      </c>
      <c r="C3150" s="621" t="s">
        <v>8</v>
      </c>
      <c r="D3150" s="621" t="s">
        <v>3672</v>
      </c>
      <c r="E3150" s="811" t="s">
        <v>12707</v>
      </c>
      <c r="F3150" s="812"/>
      <c r="G3150" s="623" t="s">
        <v>23</v>
      </c>
      <c r="H3150" s="624">
        <v>1</v>
      </c>
      <c r="I3150" s="625">
        <v>0.09</v>
      </c>
      <c r="J3150" s="625">
        <v>0.09</v>
      </c>
      <c r="K3150"/>
    </row>
    <row r="3151" spans="1:11" ht="15" customHeight="1">
      <c r="A3151" s="626" t="s">
        <v>12709</v>
      </c>
      <c r="B3151" s="627" t="s">
        <v>13004</v>
      </c>
      <c r="C3151" s="626" t="s">
        <v>8</v>
      </c>
      <c r="D3151" s="626" t="s">
        <v>7388</v>
      </c>
      <c r="E3151" s="804" t="s">
        <v>12712</v>
      </c>
      <c r="F3151" s="805"/>
      <c r="G3151" s="628" t="s">
        <v>23</v>
      </c>
      <c r="H3151" s="629">
        <v>1</v>
      </c>
      <c r="I3151" s="630">
        <v>2.2000000000000002</v>
      </c>
      <c r="J3151" s="630">
        <v>2.2000000000000002</v>
      </c>
      <c r="K3151"/>
    </row>
    <row r="3152" spans="1:11" ht="0.95" customHeight="1">
      <c r="A3152" s="626" t="s">
        <v>12709</v>
      </c>
      <c r="B3152" s="627" t="s">
        <v>13003</v>
      </c>
      <c r="C3152" s="626" t="s">
        <v>8</v>
      </c>
      <c r="D3152" s="626" t="s">
        <v>9227</v>
      </c>
      <c r="E3152" s="804" t="s">
        <v>12711</v>
      </c>
      <c r="F3152" s="805"/>
      <c r="G3152" s="628" t="s">
        <v>23</v>
      </c>
      <c r="H3152" s="629">
        <v>1</v>
      </c>
      <c r="I3152" s="630">
        <v>0.66</v>
      </c>
      <c r="J3152" s="630">
        <v>0.66</v>
      </c>
      <c r="K3152"/>
    </row>
    <row r="3153" spans="1:11" ht="18" customHeight="1">
      <c r="A3153" s="626" t="s">
        <v>12709</v>
      </c>
      <c r="B3153" s="627" t="s">
        <v>13002</v>
      </c>
      <c r="C3153" s="626" t="s">
        <v>8</v>
      </c>
      <c r="D3153" s="626" t="s">
        <v>9306</v>
      </c>
      <c r="E3153" s="804" t="s">
        <v>12712</v>
      </c>
      <c r="F3153" s="805"/>
      <c r="G3153" s="628" t="s">
        <v>23</v>
      </c>
      <c r="H3153" s="629">
        <v>1</v>
      </c>
      <c r="I3153" s="630">
        <v>0.35</v>
      </c>
      <c r="J3153" s="630">
        <v>0.35</v>
      </c>
      <c r="K3153"/>
    </row>
    <row r="3154" spans="1:11" ht="24" customHeight="1">
      <c r="A3154" s="626" t="s">
        <v>12709</v>
      </c>
      <c r="B3154" s="627" t="s">
        <v>13001</v>
      </c>
      <c r="C3154" s="626" t="s">
        <v>8</v>
      </c>
      <c r="D3154" s="626" t="s">
        <v>9374</v>
      </c>
      <c r="E3154" s="804" t="s">
        <v>12711</v>
      </c>
      <c r="F3154" s="805"/>
      <c r="G3154" s="628" t="s">
        <v>23</v>
      </c>
      <c r="H3154" s="629">
        <v>1</v>
      </c>
      <c r="I3154" s="630">
        <v>0.01</v>
      </c>
      <c r="J3154" s="630">
        <v>0.01</v>
      </c>
      <c r="K3154"/>
    </row>
    <row r="3155" spans="1:11" ht="24" customHeight="1">
      <c r="A3155" s="626" t="s">
        <v>12709</v>
      </c>
      <c r="B3155" s="627" t="s">
        <v>13114</v>
      </c>
      <c r="C3155" s="626" t="s">
        <v>8</v>
      </c>
      <c r="D3155" s="626" t="s">
        <v>10562</v>
      </c>
      <c r="E3155" s="804" t="s">
        <v>12710</v>
      </c>
      <c r="F3155" s="805"/>
      <c r="G3155" s="628" t="s">
        <v>23</v>
      </c>
      <c r="H3155" s="629">
        <v>1</v>
      </c>
      <c r="I3155" s="630">
        <v>12.36</v>
      </c>
      <c r="J3155" s="630">
        <v>12.36</v>
      </c>
      <c r="K3155"/>
    </row>
    <row r="3156" spans="1:11" ht="24" customHeight="1">
      <c r="A3156" s="626" t="s">
        <v>12709</v>
      </c>
      <c r="B3156" s="627" t="s">
        <v>12999</v>
      </c>
      <c r="C3156" s="626" t="s">
        <v>8</v>
      </c>
      <c r="D3156" s="626" t="s">
        <v>11251</v>
      </c>
      <c r="E3156" s="804" t="s">
        <v>12713</v>
      </c>
      <c r="F3156" s="805"/>
      <c r="G3156" s="628" t="s">
        <v>23</v>
      </c>
      <c r="H3156" s="629">
        <v>1</v>
      </c>
      <c r="I3156" s="630">
        <v>7.0000000000000007E-2</v>
      </c>
      <c r="J3156" s="630">
        <v>7.0000000000000007E-2</v>
      </c>
      <c r="K3156"/>
    </row>
    <row r="3157" spans="1:11" ht="24" customHeight="1">
      <c r="A3157" s="626" t="s">
        <v>12709</v>
      </c>
      <c r="B3157" s="627" t="s">
        <v>12998</v>
      </c>
      <c r="C3157" s="626" t="s">
        <v>8</v>
      </c>
      <c r="D3157" s="626" t="s">
        <v>11861</v>
      </c>
      <c r="E3157" s="804" t="s">
        <v>12722</v>
      </c>
      <c r="F3157" s="805"/>
      <c r="G3157" s="628" t="s">
        <v>23</v>
      </c>
      <c r="H3157" s="629">
        <v>1</v>
      </c>
      <c r="I3157" s="630">
        <v>0.71</v>
      </c>
      <c r="J3157" s="630">
        <v>0.71</v>
      </c>
      <c r="K3157"/>
    </row>
    <row r="3158" spans="1:11" ht="24" customHeight="1">
      <c r="A3158" s="631"/>
      <c r="B3158" s="631"/>
      <c r="C3158" s="631"/>
      <c r="D3158" s="631"/>
      <c r="E3158" s="631" t="s">
        <v>12714</v>
      </c>
      <c r="F3158" s="632">
        <v>6.7304573000000003</v>
      </c>
      <c r="G3158" s="631" t="s">
        <v>12715</v>
      </c>
      <c r="H3158" s="632">
        <v>5.72</v>
      </c>
      <c r="I3158" s="631" t="s">
        <v>12716</v>
      </c>
      <c r="J3158" s="632">
        <v>12.45</v>
      </c>
      <c r="K3158"/>
    </row>
    <row r="3159" spans="1:11" ht="24" customHeight="1" thickBot="1">
      <c r="A3159" s="631"/>
      <c r="B3159" s="631"/>
      <c r="C3159" s="631"/>
      <c r="D3159" s="631"/>
      <c r="E3159" s="631" t="s">
        <v>12717</v>
      </c>
      <c r="F3159" s="632">
        <v>4.6399999999999997</v>
      </c>
      <c r="G3159" s="631"/>
      <c r="H3159" s="806" t="s">
        <v>12718</v>
      </c>
      <c r="I3159" s="806"/>
      <c r="J3159" s="632">
        <v>21.09</v>
      </c>
      <c r="K3159"/>
    </row>
    <row r="3160" spans="1:11" ht="24" customHeight="1" thickTop="1">
      <c r="A3160" s="633"/>
      <c r="B3160" s="633"/>
      <c r="C3160" s="633"/>
      <c r="D3160" s="633"/>
      <c r="E3160" s="633"/>
      <c r="F3160" s="633"/>
      <c r="G3160" s="633"/>
      <c r="H3160" s="633"/>
      <c r="I3160" s="633"/>
      <c r="J3160" s="633"/>
      <c r="K3160"/>
    </row>
    <row r="3161" spans="1:11" ht="24" customHeight="1">
      <c r="A3161" s="613"/>
      <c r="B3161" s="614" t="s">
        <v>12698</v>
      </c>
      <c r="C3161" s="613" t="s">
        <v>12699</v>
      </c>
      <c r="D3161" s="613" t="s">
        <v>12700</v>
      </c>
      <c r="E3161" s="807" t="s">
        <v>12701</v>
      </c>
      <c r="F3161" s="808"/>
      <c r="G3161" s="615" t="s">
        <v>12702</v>
      </c>
      <c r="H3161" s="614" t="s">
        <v>12703</v>
      </c>
      <c r="I3161" s="614" t="s">
        <v>12704</v>
      </c>
      <c r="J3161" s="614" t="s">
        <v>12705</v>
      </c>
      <c r="K3161"/>
    </row>
    <row r="3162" spans="1:11" ht="24" customHeight="1">
      <c r="A3162" s="616" t="s">
        <v>12706</v>
      </c>
      <c r="B3162" s="617" t="s">
        <v>13113</v>
      </c>
      <c r="C3162" s="616" t="s">
        <v>8</v>
      </c>
      <c r="D3162" s="616" t="s">
        <v>275</v>
      </c>
      <c r="E3162" s="809" t="s">
        <v>12707</v>
      </c>
      <c r="F3162" s="810"/>
      <c r="G3162" s="618" t="s">
        <v>23</v>
      </c>
      <c r="H3162" s="619">
        <v>1</v>
      </c>
      <c r="I3162" s="620">
        <v>12.99</v>
      </c>
      <c r="J3162" s="620">
        <v>12.99</v>
      </c>
      <c r="K3162"/>
    </row>
    <row r="3163" spans="1:11" ht="25.5">
      <c r="A3163" s="621" t="s">
        <v>12708</v>
      </c>
      <c r="B3163" s="622" t="s">
        <v>13112</v>
      </c>
      <c r="C3163" s="621" t="s">
        <v>8</v>
      </c>
      <c r="D3163" s="621" t="s">
        <v>3673</v>
      </c>
      <c r="E3163" s="811" t="s">
        <v>12707</v>
      </c>
      <c r="F3163" s="812"/>
      <c r="G3163" s="623" t="s">
        <v>23</v>
      </c>
      <c r="H3163" s="624">
        <v>1</v>
      </c>
      <c r="I3163" s="625">
        <v>0.1</v>
      </c>
      <c r="J3163" s="625">
        <v>0.1</v>
      </c>
      <c r="K3163"/>
    </row>
    <row r="3164" spans="1:11" ht="15" customHeight="1">
      <c r="A3164" s="626" t="s">
        <v>12709</v>
      </c>
      <c r="B3164" s="627" t="s">
        <v>13004</v>
      </c>
      <c r="C3164" s="626" t="s">
        <v>8</v>
      </c>
      <c r="D3164" s="626" t="s">
        <v>7388</v>
      </c>
      <c r="E3164" s="804" t="s">
        <v>12712</v>
      </c>
      <c r="F3164" s="805"/>
      <c r="G3164" s="628" t="s">
        <v>23</v>
      </c>
      <c r="H3164" s="629">
        <v>1</v>
      </c>
      <c r="I3164" s="630">
        <v>2.2000000000000002</v>
      </c>
      <c r="J3164" s="630">
        <v>2.2000000000000002</v>
      </c>
      <c r="K3164"/>
    </row>
    <row r="3165" spans="1:11" ht="0.95" customHeight="1">
      <c r="A3165" s="626" t="s">
        <v>12709</v>
      </c>
      <c r="B3165" s="627" t="s">
        <v>13003</v>
      </c>
      <c r="C3165" s="626" t="s">
        <v>8</v>
      </c>
      <c r="D3165" s="626" t="s">
        <v>9227</v>
      </c>
      <c r="E3165" s="804" t="s">
        <v>12711</v>
      </c>
      <c r="F3165" s="805"/>
      <c r="G3165" s="628" t="s">
        <v>23</v>
      </c>
      <c r="H3165" s="629">
        <v>1</v>
      </c>
      <c r="I3165" s="630">
        <v>0.66</v>
      </c>
      <c r="J3165" s="630">
        <v>0.66</v>
      </c>
      <c r="K3165"/>
    </row>
    <row r="3166" spans="1:11" ht="18" customHeight="1">
      <c r="A3166" s="626" t="s">
        <v>12709</v>
      </c>
      <c r="B3166" s="627" t="s">
        <v>13002</v>
      </c>
      <c r="C3166" s="626" t="s">
        <v>8</v>
      </c>
      <c r="D3166" s="626" t="s">
        <v>9306</v>
      </c>
      <c r="E3166" s="804" t="s">
        <v>12712</v>
      </c>
      <c r="F3166" s="805"/>
      <c r="G3166" s="628" t="s">
        <v>23</v>
      </c>
      <c r="H3166" s="629">
        <v>1</v>
      </c>
      <c r="I3166" s="630">
        <v>0.35</v>
      </c>
      <c r="J3166" s="630">
        <v>0.35</v>
      </c>
      <c r="K3166"/>
    </row>
    <row r="3167" spans="1:11" ht="24" customHeight="1">
      <c r="A3167" s="626" t="s">
        <v>12709</v>
      </c>
      <c r="B3167" s="627" t="s">
        <v>13001</v>
      </c>
      <c r="C3167" s="626" t="s">
        <v>8</v>
      </c>
      <c r="D3167" s="626" t="s">
        <v>9374</v>
      </c>
      <c r="E3167" s="804" t="s">
        <v>12711</v>
      </c>
      <c r="F3167" s="805"/>
      <c r="G3167" s="628" t="s">
        <v>23</v>
      </c>
      <c r="H3167" s="629">
        <v>1</v>
      </c>
      <c r="I3167" s="630">
        <v>0.01</v>
      </c>
      <c r="J3167" s="630">
        <v>0.01</v>
      </c>
      <c r="K3167"/>
    </row>
    <row r="3168" spans="1:11" ht="24" customHeight="1">
      <c r="A3168" s="626" t="s">
        <v>12709</v>
      </c>
      <c r="B3168" s="627" t="s">
        <v>13111</v>
      </c>
      <c r="C3168" s="626" t="s">
        <v>8</v>
      </c>
      <c r="D3168" s="626" t="s">
        <v>10564</v>
      </c>
      <c r="E3168" s="804" t="s">
        <v>12710</v>
      </c>
      <c r="F3168" s="805"/>
      <c r="G3168" s="628" t="s">
        <v>23</v>
      </c>
      <c r="H3168" s="629">
        <v>1</v>
      </c>
      <c r="I3168" s="630">
        <v>8.89</v>
      </c>
      <c r="J3168" s="630">
        <v>8.89</v>
      </c>
      <c r="K3168"/>
    </row>
    <row r="3169" spans="1:11" ht="24" customHeight="1">
      <c r="A3169" s="626" t="s">
        <v>12709</v>
      </c>
      <c r="B3169" s="627" t="s">
        <v>12999</v>
      </c>
      <c r="C3169" s="626" t="s">
        <v>8</v>
      </c>
      <c r="D3169" s="626" t="s">
        <v>11251</v>
      </c>
      <c r="E3169" s="804" t="s">
        <v>12713</v>
      </c>
      <c r="F3169" s="805"/>
      <c r="G3169" s="628" t="s">
        <v>23</v>
      </c>
      <c r="H3169" s="629">
        <v>1</v>
      </c>
      <c r="I3169" s="630">
        <v>7.0000000000000007E-2</v>
      </c>
      <c r="J3169" s="630">
        <v>7.0000000000000007E-2</v>
      </c>
      <c r="K3169"/>
    </row>
    <row r="3170" spans="1:11" ht="24" customHeight="1">
      <c r="A3170" s="626" t="s">
        <v>12709</v>
      </c>
      <c r="B3170" s="627" t="s">
        <v>12998</v>
      </c>
      <c r="C3170" s="626" t="s">
        <v>8</v>
      </c>
      <c r="D3170" s="626" t="s">
        <v>11861</v>
      </c>
      <c r="E3170" s="804" t="s">
        <v>12722</v>
      </c>
      <c r="F3170" s="805"/>
      <c r="G3170" s="628" t="s">
        <v>23</v>
      </c>
      <c r="H3170" s="629">
        <v>1</v>
      </c>
      <c r="I3170" s="630">
        <v>0.71</v>
      </c>
      <c r="J3170" s="630">
        <v>0.71</v>
      </c>
      <c r="K3170"/>
    </row>
    <row r="3171" spans="1:11" ht="24" customHeight="1">
      <c r="A3171" s="631"/>
      <c r="B3171" s="631"/>
      <c r="C3171" s="631"/>
      <c r="D3171" s="631"/>
      <c r="E3171" s="631" t="s">
        <v>12714</v>
      </c>
      <c r="F3171" s="632">
        <v>4.8599848999999997</v>
      </c>
      <c r="G3171" s="631" t="s">
        <v>12715</v>
      </c>
      <c r="H3171" s="632">
        <v>4.13</v>
      </c>
      <c r="I3171" s="631" t="s">
        <v>12716</v>
      </c>
      <c r="J3171" s="632">
        <v>8.99</v>
      </c>
      <c r="K3171"/>
    </row>
    <row r="3172" spans="1:11" ht="24" customHeight="1" thickBot="1">
      <c r="A3172" s="631"/>
      <c r="B3172" s="631"/>
      <c r="C3172" s="631"/>
      <c r="D3172" s="631"/>
      <c r="E3172" s="631" t="s">
        <v>12717</v>
      </c>
      <c r="F3172" s="632">
        <v>3.66</v>
      </c>
      <c r="G3172" s="631"/>
      <c r="H3172" s="806" t="s">
        <v>12718</v>
      </c>
      <c r="I3172" s="806"/>
      <c r="J3172" s="632">
        <v>16.649999999999999</v>
      </c>
      <c r="K3172"/>
    </row>
    <row r="3173" spans="1:11" ht="24" customHeight="1" thickTop="1">
      <c r="A3173" s="633"/>
      <c r="B3173" s="633"/>
      <c r="C3173" s="633"/>
      <c r="D3173" s="633"/>
      <c r="E3173" s="633"/>
      <c r="F3173" s="633"/>
      <c r="G3173" s="633"/>
      <c r="H3173" s="633"/>
      <c r="I3173" s="633"/>
      <c r="J3173" s="633"/>
      <c r="K3173"/>
    </row>
    <row r="3174" spans="1:11" ht="24" customHeight="1">
      <c r="A3174" s="613"/>
      <c r="B3174" s="614" t="s">
        <v>12698</v>
      </c>
      <c r="C3174" s="613" t="s">
        <v>12699</v>
      </c>
      <c r="D3174" s="613" t="s">
        <v>12700</v>
      </c>
      <c r="E3174" s="807" t="s">
        <v>12701</v>
      </c>
      <c r="F3174" s="808"/>
      <c r="G3174" s="615" t="s">
        <v>12702</v>
      </c>
      <c r="H3174" s="614" t="s">
        <v>12703</v>
      </c>
      <c r="I3174" s="614" t="s">
        <v>12704</v>
      </c>
      <c r="J3174" s="614" t="s">
        <v>12705</v>
      </c>
      <c r="K3174"/>
    </row>
    <row r="3175" spans="1:11" ht="24" customHeight="1">
      <c r="A3175" s="616" t="s">
        <v>12706</v>
      </c>
      <c r="B3175" s="617" t="s">
        <v>13110</v>
      </c>
      <c r="C3175" s="616" t="s">
        <v>8</v>
      </c>
      <c r="D3175" s="616" t="s">
        <v>276</v>
      </c>
      <c r="E3175" s="809" t="s">
        <v>12707</v>
      </c>
      <c r="F3175" s="810"/>
      <c r="G3175" s="618" t="s">
        <v>23</v>
      </c>
      <c r="H3175" s="619">
        <v>1</v>
      </c>
      <c r="I3175" s="620">
        <v>13.04</v>
      </c>
      <c r="J3175" s="620">
        <v>13.04</v>
      </c>
      <c r="K3175"/>
    </row>
    <row r="3176" spans="1:11" ht="25.5">
      <c r="A3176" s="621" t="s">
        <v>12708</v>
      </c>
      <c r="B3176" s="622" t="s">
        <v>13109</v>
      </c>
      <c r="C3176" s="621" t="s">
        <v>8</v>
      </c>
      <c r="D3176" s="621" t="s">
        <v>3674</v>
      </c>
      <c r="E3176" s="811" t="s">
        <v>12707</v>
      </c>
      <c r="F3176" s="812"/>
      <c r="G3176" s="623" t="s">
        <v>23</v>
      </c>
      <c r="H3176" s="624">
        <v>1</v>
      </c>
      <c r="I3176" s="625">
        <v>0.1</v>
      </c>
      <c r="J3176" s="625">
        <v>0.1</v>
      </c>
      <c r="K3176"/>
    </row>
    <row r="3177" spans="1:11" ht="15" customHeight="1">
      <c r="A3177" s="626" t="s">
        <v>12709</v>
      </c>
      <c r="B3177" s="627" t="s">
        <v>13004</v>
      </c>
      <c r="C3177" s="626" t="s">
        <v>8</v>
      </c>
      <c r="D3177" s="626" t="s">
        <v>7388</v>
      </c>
      <c r="E3177" s="804" t="s">
        <v>12712</v>
      </c>
      <c r="F3177" s="805"/>
      <c r="G3177" s="628" t="s">
        <v>23</v>
      </c>
      <c r="H3177" s="629">
        <v>1</v>
      </c>
      <c r="I3177" s="630">
        <v>2.2000000000000002</v>
      </c>
      <c r="J3177" s="630">
        <v>2.2000000000000002</v>
      </c>
      <c r="K3177"/>
    </row>
    <row r="3178" spans="1:11" ht="0.95" customHeight="1">
      <c r="A3178" s="626" t="s">
        <v>12709</v>
      </c>
      <c r="B3178" s="627" t="s">
        <v>13003</v>
      </c>
      <c r="C3178" s="626" t="s">
        <v>8</v>
      </c>
      <c r="D3178" s="626" t="s">
        <v>9227</v>
      </c>
      <c r="E3178" s="804" t="s">
        <v>12711</v>
      </c>
      <c r="F3178" s="805"/>
      <c r="G3178" s="628" t="s">
        <v>23</v>
      </c>
      <c r="H3178" s="629">
        <v>1</v>
      </c>
      <c r="I3178" s="630">
        <v>0.66</v>
      </c>
      <c r="J3178" s="630">
        <v>0.66</v>
      </c>
      <c r="K3178"/>
    </row>
    <row r="3179" spans="1:11" ht="18" customHeight="1">
      <c r="A3179" s="626" t="s">
        <v>12709</v>
      </c>
      <c r="B3179" s="627" t="s">
        <v>13002</v>
      </c>
      <c r="C3179" s="626" t="s">
        <v>8</v>
      </c>
      <c r="D3179" s="626" t="s">
        <v>9306</v>
      </c>
      <c r="E3179" s="804" t="s">
        <v>12712</v>
      </c>
      <c r="F3179" s="805"/>
      <c r="G3179" s="628" t="s">
        <v>23</v>
      </c>
      <c r="H3179" s="629">
        <v>1</v>
      </c>
      <c r="I3179" s="630">
        <v>0.35</v>
      </c>
      <c r="J3179" s="630">
        <v>0.35</v>
      </c>
      <c r="K3179"/>
    </row>
    <row r="3180" spans="1:11" ht="24" customHeight="1">
      <c r="A3180" s="626" t="s">
        <v>12709</v>
      </c>
      <c r="B3180" s="627" t="s">
        <v>13001</v>
      </c>
      <c r="C3180" s="626" t="s">
        <v>8</v>
      </c>
      <c r="D3180" s="626" t="s">
        <v>9374</v>
      </c>
      <c r="E3180" s="804" t="s">
        <v>12711</v>
      </c>
      <c r="F3180" s="805"/>
      <c r="G3180" s="628" t="s">
        <v>23</v>
      </c>
      <c r="H3180" s="629">
        <v>1</v>
      </c>
      <c r="I3180" s="630">
        <v>0.01</v>
      </c>
      <c r="J3180" s="630">
        <v>0.01</v>
      </c>
      <c r="K3180"/>
    </row>
    <row r="3181" spans="1:11" ht="24" customHeight="1">
      <c r="A3181" s="626" t="s">
        <v>12709</v>
      </c>
      <c r="B3181" s="627" t="s">
        <v>13108</v>
      </c>
      <c r="C3181" s="626" t="s">
        <v>8</v>
      </c>
      <c r="D3181" s="626" t="s">
        <v>10566</v>
      </c>
      <c r="E3181" s="804" t="s">
        <v>12710</v>
      </c>
      <c r="F3181" s="805"/>
      <c r="G3181" s="628" t="s">
        <v>23</v>
      </c>
      <c r="H3181" s="629">
        <v>1</v>
      </c>
      <c r="I3181" s="630">
        <v>8.94</v>
      </c>
      <c r="J3181" s="630">
        <v>8.94</v>
      </c>
      <c r="K3181"/>
    </row>
    <row r="3182" spans="1:11" ht="24" customHeight="1">
      <c r="A3182" s="626" t="s">
        <v>12709</v>
      </c>
      <c r="B3182" s="627" t="s">
        <v>12999</v>
      </c>
      <c r="C3182" s="626" t="s">
        <v>8</v>
      </c>
      <c r="D3182" s="626" t="s">
        <v>11251</v>
      </c>
      <c r="E3182" s="804" t="s">
        <v>12713</v>
      </c>
      <c r="F3182" s="805"/>
      <c r="G3182" s="628" t="s">
        <v>23</v>
      </c>
      <c r="H3182" s="629">
        <v>1</v>
      </c>
      <c r="I3182" s="630">
        <v>7.0000000000000007E-2</v>
      </c>
      <c r="J3182" s="630">
        <v>7.0000000000000007E-2</v>
      </c>
      <c r="K3182"/>
    </row>
    <row r="3183" spans="1:11" ht="24" customHeight="1">
      <c r="A3183" s="626" t="s">
        <v>12709</v>
      </c>
      <c r="B3183" s="627" t="s">
        <v>12998</v>
      </c>
      <c r="C3183" s="626" t="s">
        <v>8</v>
      </c>
      <c r="D3183" s="626" t="s">
        <v>11861</v>
      </c>
      <c r="E3183" s="804" t="s">
        <v>12722</v>
      </c>
      <c r="F3183" s="805"/>
      <c r="G3183" s="628" t="s">
        <v>23</v>
      </c>
      <c r="H3183" s="629">
        <v>1</v>
      </c>
      <c r="I3183" s="630">
        <v>0.71</v>
      </c>
      <c r="J3183" s="630">
        <v>0.71</v>
      </c>
      <c r="K3183"/>
    </row>
    <row r="3184" spans="1:11" ht="24" customHeight="1">
      <c r="A3184" s="631"/>
      <c r="B3184" s="631"/>
      <c r="C3184" s="631"/>
      <c r="D3184" s="631"/>
      <c r="E3184" s="631" t="s">
        <v>12714</v>
      </c>
      <c r="F3184" s="632">
        <v>4.8870148000000002</v>
      </c>
      <c r="G3184" s="631" t="s">
        <v>12715</v>
      </c>
      <c r="H3184" s="632">
        <v>4.1500000000000004</v>
      </c>
      <c r="I3184" s="631" t="s">
        <v>12716</v>
      </c>
      <c r="J3184" s="632">
        <v>9.0399999999999991</v>
      </c>
      <c r="K3184"/>
    </row>
    <row r="3185" spans="1:11" ht="24" customHeight="1" thickBot="1">
      <c r="A3185" s="631"/>
      <c r="B3185" s="631"/>
      <c r="C3185" s="631"/>
      <c r="D3185" s="631"/>
      <c r="E3185" s="631" t="s">
        <v>12717</v>
      </c>
      <c r="F3185" s="632">
        <v>3.68</v>
      </c>
      <c r="G3185" s="631"/>
      <c r="H3185" s="806" t="s">
        <v>12718</v>
      </c>
      <c r="I3185" s="806"/>
      <c r="J3185" s="632">
        <v>16.72</v>
      </c>
      <c r="K3185"/>
    </row>
    <row r="3186" spans="1:11" ht="24" customHeight="1" thickTop="1">
      <c r="A3186" s="633"/>
      <c r="B3186" s="633"/>
      <c r="C3186" s="633"/>
      <c r="D3186" s="633"/>
      <c r="E3186" s="633"/>
      <c r="F3186" s="633"/>
      <c r="G3186" s="633"/>
      <c r="H3186" s="633"/>
      <c r="I3186" s="633"/>
      <c r="J3186" s="633"/>
      <c r="K3186"/>
    </row>
    <row r="3187" spans="1:11" ht="24" customHeight="1">
      <c r="A3187" s="613"/>
      <c r="B3187" s="614" t="s">
        <v>12698</v>
      </c>
      <c r="C3187" s="613" t="s">
        <v>12699</v>
      </c>
      <c r="D3187" s="613" t="s">
        <v>12700</v>
      </c>
      <c r="E3187" s="807" t="s">
        <v>12701</v>
      </c>
      <c r="F3187" s="808"/>
      <c r="G3187" s="615" t="s">
        <v>12702</v>
      </c>
      <c r="H3187" s="614" t="s">
        <v>12703</v>
      </c>
      <c r="I3187" s="614" t="s">
        <v>12704</v>
      </c>
      <c r="J3187" s="614" t="s">
        <v>12705</v>
      </c>
      <c r="K3187"/>
    </row>
    <row r="3188" spans="1:11" ht="24" customHeight="1">
      <c r="A3188" s="616" t="s">
        <v>12706</v>
      </c>
      <c r="B3188" s="617" t="s">
        <v>13107</v>
      </c>
      <c r="C3188" s="616" t="s">
        <v>8</v>
      </c>
      <c r="D3188" s="616" t="s">
        <v>278</v>
      </c>
      <c r="E3188" s="809" t="s">
        <v>12707</v>
      </c>
      <c r="F3188" s="810"/>
      <c r="G3188" s="618" t="s">
        <v>23</v>
      </c>
      <c r="H3188" s="619">
        <v>1</v>
      </c>
      <c r="I3188" s="620">
        <v>11.45</v>
      </c>
      <c r="J3188" s="620">
        <v>11.45</v>
      </c>
      <c r="K3188"/>
    </row>
    <row r="3189" spans="1:11" ht="25.5">
      <c r="A3189" s="621" t="s">
        <v>12708</v>
      </c>
      <c r="B3189" s="622" t="s">
        <v>13106</v>
      </c>
      <c r="C3189" s="621" t="s">
        <v>8</v>
      </c>
      <c r="D3189" s="621" t="s">
        <v>3676</v>
      </c>
      <c r="E3189" s="811" t="s">
        <v>12707</v>
      </c>
      <c r="F3189" s="812"/>
      <c r="G3189" s="623" t="s">
        <v>23</v>
      </c>
      <c r="H3189" s="624">
        <v>1</v>
      </c>
      <c r="I3189" s="625">
        <v>0.04</v>
      </c>
      <c r="J3189" s="625">
        <v>0.04</v>
      </c>
      <c r="K3189"/>
    </row>
    <row r="3190" spans="1:11" ht="15" customHeight="1">
      <c r="A3190" s="626" t="s">
        <v>12709</v>
      </c>
      <c r="B3190" s="627" t="s">
        <v>13004</v>
      </c>
      <c r="C3190" s="626" t="s">
        <v>8</v>
      </c>
      <c r="D3190" s="626" t="s">
        <v>7388</v>
      </c>
      <c r="E3190" s="804" t="s">
        <v>12712</v>
      </c>
      <c r="F3190" s="805"/>
      <c r="G3190" s="628" t="s">
        <v>23</v>
      </c>
      <c r="H3190" s="629">
        <v>1</v>
      </c>
      <c r="I3190" s="630">
        <v>2.2000000000000002</v>
      </c>
      <c r="J3190" s="630">
        <v>2.2000000000000002</v>
      </c>
      <c r="K3190"/>
    </row>
    <row r="3191" spans="1:11" ht="0.95" customHeight="1">
      <c r="A3191" s="626" t="s">
        <v>12709</v>
      </c>
      <c r="B3191" s="627" t="s">
        <v>13003</v>
      </c>
      <c r="C3191" s="626" t="s">
        <v>8</v>
      </c>
      <c r="D3191" s="626" t="s">
        <v>9227</v>
      </c>
      <c r="E3191" s="804" t="s">
        <v>12711</v>
      </c>
      <c r="F3191" s="805"/>
      <c r="G3191" s="628" t="s">
        <v>23</v>
      </c>
      <c r="H3191" s="629">
        <v>1</v>
      </c>
      <c r="I3191" s="630">
        <v>0.66</v>
      </c>
      <c r="J3191" s="630">
        <v>0.66</v>
      </c>
      <c r="K3191"/>
    </row>
    <row r="3192" spans="1:11" ht="18" customHeight="1">
      <c r="A3192" s="626" t="s">
        <v>12709</v>
      </c>
      <c r="B3192" s="627" t="s">
        <v>13002</v>
      </c>
      <c r="C3192" s="626" t="s">
        <v>8</v>
      </c>
      <c r="D3192" s="626" t="s">
        <v>9306</v>
      </c>
      <c r="E3192" s="804" t="s">
        <v>12712</v>
      </c>
      <c r="F3192" s="805"/>
      <c r="G3192" s="628" t="s">
        <v>23</v>
      </c>
      <c r="H3192" s="629">
        <v>1</v>
      </c>
      <c r="I3192" s="630">
        <v>0.35</v>
      </c>
      <c r="J3192" s="630">
        <v>0.35</v>
      </c>
      <c r="K3192"/>
    </row>
    <row r="3193" spans="1:11" ht="24" customHeight="1">
      <c r="A3193" s="626" t="s">
        <v>12709</v>
      </c>
      <c r="B3193" s="627" t="s">
        <v>13001</v>
      </c>
      <c r="C3193" s="626" t="s">
        <v>8</v>
      </c>
      <c r="D3193" s="626" t="s">
        <v>9374</v>
      </c>
      <c r="E3193" s="804" t="s">
        <v>12711</v>
      </c>
      <c r="F3193" s="805"/>
      <c r="G3193" s="628" t="s">
        <v>23</v>
      </c>
      <c r="H3193" s="629">
        <v>1</v>
      </c>
      <c r="I3193" s="630">
        <v>0.01</v>
      </c>
      <c r="J3193" s="630">
        <v>0.01</v>
      </c>
      <c r="K3193"/>
    </row>
    <row r="3194" spans="1:11" ht="24" customHeight="1">
      <c r="A3194" s="626" t="s">
        <v>12709</v>
      </c>
      <c r="B3194" s="627" t="s">
        <v>13105</v>
      </c>
      <c r="C3194" s="626" t="s">
        <v>8</v>
      </c>
      <c r="D3194" s="626" t="s">
        <v>10572</v>
      </c>
      <c r="E3194" s="804" t="s">
        <v>12710</v>
      </c>
      <c r="F3194" s="805"/>
      <c r="G3194" s="628" t="s">
        <v>23</v>
      </c>
      <c r="H3194" s="629">
        <v>1</v>
      </c>
      <c r="I3194" s="630">
        <v>7.41</v>
      </c>
      <c r="J3194" s="630">
        <v>7.41</v>
      </c>
      <c r="K3194"/>
    </row>
    <row r="3195" spans="1:11" ht="24" customHeight="1">
      <c r="A3195" s="626" t="s">
        <v>12709</v>
      </c>
      <c r="B3195" s="627" t="s">
        <v>12999</v>
      </c>
      <c r="C3195" s="626" t="s">
        <v>8</v>
      </c>
      <c r="D3195" s="626" t="s">
        <v>11251</v>
      </c>
      <c r="E3195" s="804" t="s">
        <v>12713</v>
      </c>
      <c r="F3195" s="805"/>
      <c r="G3195" s="628" t="s">
        <v>23</v>
      </c>
      <c r="H3195" s="629">
        <v>1</v>
      </c>
      <c r="I3195" s="630">
        <v>7.0000000000000007E-2</v>
      </c>
      <c r="J3195" s="630">
        <v>7.0000000000000007E-2</v>
      </c>
      <c r="K3195"/>
    </row>
    <row r="3196" spans="1:11" ht="24" customHeight="1">
      <c r="A3196" s="626" t="s">
        <v>12709</v>
      </c>
      <c r="B3196" s="627" t="s">
        <v>12998</v>
      </c>
      <c r="C3196" s="626" t="s">
        <v>8</v>
      </c>
      <c r="D3196" s="626" t="s">
        <v>11861</v>
      </c>
      <c r="E3196" s="804" t="s">
        <v>12722</v>
      </c>
      <c r="F3196" s="805"/>
      <c r="G3196" s="628" t="s">
        <v>23</v>
      </c>
      <c r="H3196" s="629">
        <v>1</v>
      </c>
      <c r="I3196" s="630">
        <v>0.71</v>
      </c>
      <c r="J3196" s="630">
        <v>0.71</v>
      </c>
      <c r="K3196"/>
    </row>
    <row r="3197" spans="1:11" ht="24" customHeight="1">
      <c r="A3197" s="631"/>
      <c r="B3197" s="631"/>
      <c r="C3197" s="631"/>
      <c r="D3197" s="631"/>
      <c r="E3197" s="631" t="s">
        <v>12714</v>
      </c>
      <c r="F3197" s="632">
        <v>4.0274624000000001</v>
      </c>
      <c r="G3197" s="631" t="s">
        <v>12715</v>
      </c>
      <c r="H3197" s="632">
        <v>3.42</v>
      </c>
      <c r="I3197" s="631" t="s">
        <v>12716</v>
      </c>
      <c r="J3197" s="632">
        <v>7.45</v>
      </c>
      <c r="K3197"/>
    </row>
    <row r="3198" spans="1:11" ht="24" customHeight="1" thickBot="1">
      <c r="A3198" s="631"/>
      <c r="B3198" s="631"/>
      <c r="C3198" s="631"/>
      <c r="D3198" s="631"/>
      <c r="E3198" s="631" t="s">
        <v>12717</v>
      </c>
      <c r="F3198" s="632">
        <v>3.23</v>
      </c>
      <c r="G3198" s="631"/>
      <c r="H3198" s="806" t="s">
        <v>12718</v>
      </c>
      <c r="I3198" s="806"/>
      <c r="J3198" s="632">
        <v>14.68</v>
      </c>
      <c r="K3198"/>
    </row>
    <row r="3199" spans="1:11" ht="24" customHeight="1" thickTop="1">
      <c r="A3199" s="633"/>
      <c r="B3199" s="633"/>
      <c r="C3199" s="633"/>
      <c r="D3199" s="633"/>
      <c r="E3199" s="633"/>
      <c r="F3199" s="633"/>
      <c r="G3199" s="633"/>
      <c r="H3199" s="633"/>
      <c r="I3199" s="633"/>
      <c r="J3199" s="633"/>
      <c r="K3199"/>
    </row>
    <row r="3200" spans="1:11" ht="24" customHeight="1">
      <c r="A3200" s="613"/>
      <c r="B3200" s="614" t="s">
        <v>12698</v>
      </c>
      <c r="C3200" s="613" t="s">
        <v>12699</v>
      </c>
      <c r="D3200" s="613" t="s">
        <v>12700</v>
      </c>
      <c r="E3200" s="807" t="s">
        <v>12701</v>
      </c>
      <c r="F3200" s="808"/>
      <c r="G3200" s="615" t="s">
        <v>12702</v>
      </c>
      <c r="H3200" s="614" t="s">
        <v>12703</v>
      </c>
      <c r="I3200" s="614" t="s">
        <v>12704</v>
      </c>
      <c r="J3200" s="614" t="s">
        <v>12705</v>
      </c>
      <c r="K3200"/>
    </row>
    <row r="3201" spans="1:11" ht="24" customHeight="1">
      <c r="A3201" s="616" t="s">
        <v>12706</v>
      </c>
      <c r="B3201" s="617" t="s">
        <v>13060</v>
      </c>
      <c r="C3201" s="616" t="s">
        <v>8</v>
      </c>
      <c r="D3201" s="616" t="s">
        <v>277</v>
      </c>
      <c r="E3201" s="809" t="s">
        <v>12707</v>
      </c>
      <c r="F3201" s="810"/>
      <c r="G3201" s="618" t="s">
        <v>23</v>
      </c>
      <c r="H3201" s="619">
        <v>1</v>
      </c>
      <c r="I3201" s="620">
        <v>13.49</v>
      </c>
      <c r="J3201" s="620">
        <v>13.49</v>
      </c>
      <c r="K3201"/>
    </row>
    <row r="3202" spans="1:11" ht="25.5">
      <c r="A3202" s="621" t="s">
        <v>12708</v>
      </c>
      <c r="B3202" s="622" t="s">
        <v>13104</v>
      </c>
      <c r="C3202" s="621" t="s">
        <v>8</v>
      </c>
      <c r="D3202" s="621" t="s">
        <v>3675</v>
      </c>
      <c r="E3202" s="811" t="s">
        <v>12707</v>
      </c>
      <c r="F3202" s="812"/>
      <c r="G3202" s="623" t="s">
        <v>23</v>
      </c>
      <c r="H3202" s="624">
        <v>1</v>
      </c>
      <c r="I3202" s="625">
        <v>7.0000000000000007E-2</v>
      </c>
      <c r="J3202" s="625">
        <v>7.0000000000000007E-2</v>
      </c>
      <c r="K3202"/>
    </row>
    <row r="3203" spans="1:11" ht="15" customHeight="1">
      <c r="A3203" s="626" t="s">
        <v>12709</v>
      </c>
      <c r="B3203" s="627" t="s">
        <v>13004</v>
      </c>
      <c r="C3203" s="626" t="s">
        <v>8</v>
      </c>
      <c r="D3203" s="626" t="s">
        <v>7388</v>
      </c>
      <c r="E3203" s="804" t="s">
        <v>12712</v>
      </c>
      <c r="F3203" s="805"/>
      <c r="G3203" s="628" t="s">
        <v>23</v>
      </c>
      <c r="H3203" s="629">
        <v>1</v>
      </c>
      <c r="I3203" s="630">
        <v>2.2000000000000002</v>
      </c>
      <c r="J3203" s="630">
        <v>2.2000000000000002</v>
      </c>
      <c r="K3203"/>
    </row>
    <row r="3204" spans="1:11" ht="0.95" customHeight="1">
      <c r="A3204" s="626" t="s">
        <v>12709</v>
      </c>
      <c r="B3204" s="627" t="s">
        <v>13003</v>
      </c>
      <c r="C3204" s="626" t="s">
        <v>8</v>
      </c>
      <c r="D3204" s="626" t="s">
        <v>9227</v>
      </c>
      <c r="E3204" s="804" t="s">
        <v>12711</v>
      </c>
      <c r="F3204" s="805"/>
      <c r="G3204" s="628" t="s">
        <v>23</v>
      </c>
      <c r="H3204" s="629">
        <v>1</v>
      </c>
      <c r="I3204" s="630">
        <v>0.66</v>
      </c>
      <c r="J3204" s="630">
        <v>0.66</v>
      </c>
      <c r="K3204"/>
    </row>
    <row r="3205" spans="1:11" ht="18" customHeight="1">
      <c r="A3205" s="626" t="s">
        <v>12709</v>
      </c>
      <c r="B3205" s="627" t="s">
        <v>13002</v>
      </c>
      <c r="C3205" s="626" t="s">
        <v>8</v>
      </c>
      <c r="D3205" s="626" t="s">
        <v>9306</v>
      </c>
      <c r="E3205" s="804" t="s">
        <v>12712</v>
      </c>
      <c r="F3205" s="805"/>
      <c r="G3205" s="628" t="s">
        <v>23</v>
      </c>
      <c r="H3205" s="629">
        <v>1</v>
      </c>
      <c r="I3205" s="630">
        <v>0.35</v>
      </c>
      <c r="J3205" s="630">
        <v>0.35</v>
      </c>
      <c r="K3205"/>
    </row>
    <row r="3206" spans="1:11" ht="24" customHeight="1">
      <c r="A3206" s="626" t="s">
        <v>12709</v>
      </c>
      <c r="B3206" s="627" t="s">
        <v>13001</v>
      </c>
      <c r="C3206" s="626" t="s">
        <v>8</v>
      </c>
      <c r="D3206" s="626" t="s">
        <v>9374</v>
      </c>
      <c r="E3206" s="804" t="s">
        <v>12711</v>
      </c>
      <c r="F3206" s="805"/>
      <c r="G3206" s="628" t="s">
        <v>23</v>
      </c>
      <c r="H3206" s="629">
        <v>1</v>
      </c>
      <c r="I3206" s="630">
        <v>0.01</v>
      </c>
      <c r="J3206" s="630">
        <v>0.01</v>
      </c>
      <c r="K3206"/>
    </row>
    <row r="3207" spans="1:11" ht="24" customHeight="1">
      <c r="A3207" s="626" t="s">
        <v>12709</v>
      </c>
      <c r="B3207" s="627" t="s">
        <v>13103</v>
      </c>
      <c r="C3207" s="626" t="s">
        <v>8</v>
      </c>
      <c r="D3207" s="626" t="s">
        <v>10570</v>
      </c>
      <c r="E3207" s="804" t="s">
        <v>12710</v>
      </c>
      <c r="F3207" s="805"/>
      <c r="G3207" s="628" t="s">
        <v>23</v>
      </c>
      <c r="H3207" s="629">
        <v>1</v>
      </c>
      <c r="I3207" s="630">
        <v>9.42</v>
      </c>
      <c r="J3207" s="630">
        <v>9.42</v>
      </c>
      <c r="K3207"/>
    </row>
    <row r="3208" spans="1:11" ht="24" customHeight="1">
      <c r="A3208" s="626" t="s">
        <v>12709</v>
      </c>
      <c r="B3208" s="627" t="s">
        <v>12999</v>
      </c>
      <c r="C3208" s="626" t="s">
        <v>8</v>
      </c>
      <c r="D3208" s="626" t="s">
        <v>11251</v>
      </c>
      <c r="E3208" s="804" t="s">
        <v>12713</v>
      </c>
      <c r="F3208" s="805"/>
      <c r="G3208" s="628" t="s">
        <v>23</v>
      </c>
      <c r="H3208" s="629">
        <v>1</v>
      </c>
      <c r="I3208" s="630">
        <v>7.0000000000000007E-2</v>
      </c>
      <c r="J3208" s="630">
        <v>7.0000000000000007E-2</v>
      </c>
      <c r="K3208"/>
    </row>
    <row r="3209" spans="1:11" ht="24" customHeight="1">
      <c r="A3209" s="626" t="s">
        <v>12709</v>
      </c>
      <c r="B3209" s="627" t="s">
        <v>12998</v>
      </c>
      <c r="C3209" s="626" t="s">
        <v>8</v>
      </c>
      <c r="D3209" s="626" t="s">
        <v>11861</v>
      </c>
      <c r="E3209" s="804" t="s">
        <v>12722</v>
      </c>
      <c r="F3209" s="805"/>
      <c r="G3209" s="628" t="s">
        <v>23</v>
      </c>
      <c r="H3209" s="629">
        <v>1</v>
      </c>
      <c r="I3209" s="630">
        <v>0.71</v>
      </c>
      <c r="J3209" s="630">
        <v>0.71</v>
      </c>
      <c r="K3209"/>
    </row>
    <row r="3210" spans="1:11" ht="24" customHeight="1">
      <c r="A3210" s="631"/>
      <c r="B3210" s="631"/>
      <c r="C3210" s="631"/>
      <c r="D3210" s="631"/>
      <c r="E3210" s="631" t="s">
        <v>12714</v>
      </c>
      <c r="F3210" s="632">
        <v>5.1302843999999999</v>
      </c>
      <c r="G3210" s="631" t="s">
        <v>12715</v>
      </c>
      <c r="H3210" s="632">
        <v>4.3600000000000003</v>
      </c>
      <c r="I3210" s="631" t="s">
        <v>12716</v>
      </c>
      <c r="J3210" s="632">
        <v>9.49</v>
      </c>
      <c r="K3210"/>
    </row>
    <row r="3211" spans="1:11" ht="24" customHeight="1" thickBot="1">
      <c r="A3211" s="631"/>
      <c r="B3211" s="631"/>
      <c r="C3211" s="631"/>
      <c r="D3211" s="631"/>
      <c r="E3211" s="631" t="s">
        <v>12717</v>
      </c>
      <c r="F3211" s="632">
        <v>3.8</v>
      </c>
      <c r="G3211" s="631"/>
      <c r="H3211" s="806" t="s">
        <v>12718</v>
      </c>
      <c r="I3211" s="806"/>
      <c r="J3211" s="632">
        <v>17.29</v>
      </c>
      <c r="K3211"/>
    </row>
    <row r="3212" spans="1:11" ht="24" customHeight="1" thickTop="1">
      <c r="A3212" s="633"/>
      <c r="B3212" s="633"/>
      <c r="C3212" s="633"/>
      <c r="D3212" s="633"/>
      <c r="E3212" s="633"/>
      <c r="F3212" s="633"/>
      <c r="G3212" s="633"/>
      <c r="H3212" s="633"/>
      <c r="I3212" s="633"/>
      <c r="J3212" s="633"/>
      <c r="K3212"/>
    </row>
    <row r="3213" spans="1:11" ht="24" customHeight="1">
      <c r="A3213" s="613"/>
      <c r="B3213" s="614" t="s">
        <v>12698</v>
      </c>
      <c r="C3213" s="613" t="s">
        <v>12699</v>
      </c>
      <c r="D3213" s="613" t="s">
        <v>12700</v>
      </c>
      <c r="E3213" s="807" t="s">
        <v>12701</v>
      </c>
      <c r="F3213" s="808"/>
      <c r="G3213" s="615" t="s">
        <v>12702</v>
      </c>
      <c r="H3213" s="614" t="s">
        <v>12703</v>
      </c>
      <c r="I3213" s="614" t="s">
        <v>12704</v>
      </c>
      <c r="J3213" s="614" t="s">
        <v>12705</v>
      </c>
      <c r="K3213"/>
    </row>
    <row r="3214" spans="1:11" ht="24" customHeight="1">
      <c r="A3214" s="616" t="s">
        <v>12706</v>
      </c>
      <c r="B3214" s="617" t="s">
        <v>13082</v>
      </c>
      <c r="C3214" s="616" t="s">
        <v>8</v>
      </c>
      <c r="D3214" s="616" t="s">
        <v>281</v>
      </c>
      <c r="E3214" s="809" t="s">
        <v>12707</v>
      </c>
      <c r="F3214" s="810"/>
      <c r="G3214" s="618" t="s">
        <v>23</v>
      </c>
      <c r="H3214" s="619">
        <v>1</v>
      </c>
      <c r="I3214" s="620">
        <v>14.32</v>
      </c>
      <c r="J3214" s="620">
        <v>14.32</v>
      </c>
      <c r="K3214"/>
    </row>
    <row r="3215" spans="1:11" ht="25.5">
      <c r="A3215" s="621" t="s">
        <v>12708</v>
      </c>
      <c r="B3215" s="622" t="s">
        <v>13102</v>
      </c>
      <c r="C3215" s="621" t="s">
        <v>8</v>
      </c>
      <c r="D3215" s="621" t="s">
        <v>3679</v>
      </c>
      <c r="E3215" s="811" t="s">
        <v>12707</v>
      </c>
      <c r="F3215" s="812"/>
      <c r="G3215" s="623" t="s">
        <v>23</v>
      </c>
      <c r="H3215" s="624">
        <v>1</v>
      </c>
      <c r="I3215" s="625">
        <v>0.05</v>
      </c>
      <c r="J3215" s="625">
        <v>0.05</v>
      </c>
      <c r="K3215"/>
    </row>
    <row r="3216" spans="1:11" ht="15" customHeight="1">
      <c r="A3216" s="626" t="s">
        <v>12709</v>
      </c>
      <c r="B3216" s="627" t="s">
        <v>13004</v>
      </c>
      <c r="C3216" s="626" t="s">
        <v>8</v>
      </c>
      <c r="D3216" s="626" t="s">
        <v>7388</v>
      </c>
      <c r="E3216" s="804" t="s">
        <v>12712</v>
      </c>
      <c r="F3216" s="805"/>
      <c r="G3216" s="628" t="s">
        <v>23</v>
      </c>
      <c r="H3216" s="629">
        <v>1</v>
      </c>
      <c r="I3216" s="630">
        <v>2.2000000000000002</v>
      </c>
      <c r="J3216" s="630">
        <v>2.2000000000000002</v>
      </c>
      <c r="K3216"/>
    </row>
    <row r="3217" spans="1:11" ht="0.95" customHeight="1">
      <c r="A3217" s="626" t="s">
        <v>12709</v>
      </c>
      <c r="B3217" s="627" t="s">
        <v>13003</v>
      </c>
      <c r="C3217" s="626" t="s">
        <v>8</v>
      </c>
      <c r="D3217" s="626" t="s">
        <v>9227</v>
      </c>
      <c r="E3217" s="804" t="s">
        <v>12711</v>
      </c>
      <c r="F3217" s="805"/>
      <c r="G3217" s="628" t="s">
        <v>23</v>
      </c>
      <c r="H3217" s="629">
        <v>1</v>
      </c>
      <c r="I3217" s="630">
        <v>0.66</v>
      </c>
      <c r="J3217" s="630">
        <v>0.66</v>
      </c>
      <c r="K3217"/>
    </row>
    <row r="3218" spans="1:11" ht="18" customHeight="1">
      <c r="A3218" s="626" t="s">
        <v>12709</v>
      </c>
      <c r="B3218" s="627" t="s">
        <v>13002</v>
      </c>
      <c r="C3218" s="626" t="s">
        <v>8</v>
      </c>
      <c r="D3218" s="626" t="s">
        <v>9306</v>
      </c>
      <c r="E3218" s="804" t="s">
        <v>12712</v>
      </c>
      <c r="F3218" s="805"/>
      <c r="G3218" s="628" t="s">
        <v>23</v>
      </c>
      <c r="H3218" s="629">
        <v>1</v>
      </c>
      <c r="I3218" s="630">
        <v>0.35</v>
      </c>
      <c r="J3218" s="630">
        <v>0.35</v>
      </c>
      <c r="K3218"/>
    </row>
    <row r="3219" spans="1:11" ht="36" customHeight="1">
      <c r="A3219" s="626" t="s">
        <v>12709</v>
      </c>
      <c r="B3219" s="627" t="s">
        <v>13001</v>
      </c>
      <c r="C3219" s="626" t="s">
        <v>8</v>
      </c>
      <c r="D3219" s="626" t="s">
        <v>9374</v>
      </c>
      <c r="E3219" s="804" t="s">
        <v>12711</v>
      </c>
      <c r="F3219" s="805"/>
      <c r="G3219" s="628" t="s">
        <v>23</v>
      </c>
      <c r="H3219" s="629">
        <v>1</v>
      </c>
      <c r="I3219" s="630">
        <v>0.01</v>
      </c>
      <c r="J3219" s="630">
        <v>0.01</v>
      </c>
      <c r="K3219"/>
    </row>
    <row r="3220" spans="1:11" ht="36" customHeight="1">
      <c r="A3220" s="626" t="s">
        <v>12709</v>
      </c>
      <c r="B3220" s="627" t="s">
        <v>13101</v>
      </c>
      <c r="C3220" s="626" t="s">
        <v>8</v>
      </c>
      <c r="D3220" s="626" t="s">
        <v>10578</v>
      </c>
      <c r="E3220" s="804" t="s">
        <v>12710</v>
      </c>
      <c r="F3220" s="805"/>
      <c r="G3220" s="628" t="s">
        <v>23</v>
      </c>
      <c r="H3220" s="629">
        <v>1</v>
      </c>
      <c r="I3220" s="630">
        <v>10.27</v>
      </c>
      <c r="J3220" s="630">
        <v>10.27</v>
      </c>
      <c r="K3220"/>
    </row>
    <row r="3221" spans="1:11" ht="36" customHeight="1">
      <c r="A3221" s="626" t="s">
        <v>12709</v>
      </c>
      <c r="B3221" s="627" t="s">
        <v>12999</v>
      </c>
      <c r="C3221" s="626" t="s">
        <v>8</v>
      </c>
      <c r="D3221" s="626" t="s">
        <v>11251</v>
      </c>
      <c r="E3221" s="804" t="s">
        <v>12713</v>
      </c>
      <c r="F3221" s="805"/>
      <c r="G3221" s="628" t="s">
        <v>23</v>
      </c>
      <c r="H3221" s="629">
        <v>1</v>
      </c>
      <c r="I3221" s="630">
        <v>7.0000000000000007E-2</v>
      </c>
      <c r="J3221" s="630">
        <v>7.0000000000000007E-2</v>
      </c>
      <c r="K3221"/>
    </row>
    <row r="3222" spans="1:11" ht="36" customHeight="1">
      <c r="A3222" s="626" t="s">
        <v>12709</v>
      </c>
      <c r="B3222" s="627" t="s">
        <v>12998</v>
      </c>
      <c r="C3222" s="626" t="s">
        <v>8</v>
      </c>
      <c r="D3222" s="626" t="s">
        <v>11861</v>
      </c>
      <c r="E3222" s="804" t="s">
        <v>12722</v>
      </c>
      <c r="F3222" s="805"/>
      <c r="G3222" s="628" t="s">
        <v>23</v>
      </c>
      <c r="H3222" s="629">
        <v>1</v>
      </c>
      <c r="I3222" s="630">
        <v>0.71</v>
      </c>
      <c r="J3222" s="630">
        <v>0.71</v>
      </c>
      <c r="K3222"/>
    </row>
    <row r="3223" spans="1:11" ht="36" customHeight="1">
      <c r="A3223" s="631"/>
      <c r="B3223" s="631"/>
      <c r="C3223" s="631"/>
      <c r="D3223" s="631"/>
      <c r="E3223" s="631" t="s">
        <v>12714</v>
      </c>
      <c r="F3223" s="632">
        <v>5.5789815000000003</v>
      </c>
      <c r="G3223" s="631" t="s">
        <v>12715</v>
      </c>
      <c r="H3223" s="632">
        <v>4.74</v>
      </c>
      <c r="I3223" s="631" t="s">
        <v>12716</v>
      </c>
      <c r="J3223" s="632">
        <v>10.32</v>
      </c>
      <c r="K3223"/>
    </row>
    <row r="3224" spans="1:11" ht="48" customHeight="1" thickBot="1">
      <c r="A3224" s="631"/>
      <c r="B3224" s="631"/>
      <c r="C3224" s="631"/>
      <c r="D3224" s="631"/>
      <c r="E3224" s="631" t="s">
        <v>12717</v>
      </c>
      <c r="F3224" s="632">
        <v>4.04</v>
      </c>
      <c r="G3224" s="631"/>
      <c r="H3224" s="806" t="s">
        <v>12718</v>
      </c>
      <c r="I3224" s="806"/>
      <c r="J3224" s="632">
        <v>18.36</v>
      </c>
      <c r="K3224"/>
    </row>
    <row r="3225" spans="1:11" ht="36" customHeight="1" thickTop="1">
      <c r="A3225" s="633"/>
      <c r="B3225" s="633"/>
      <c r="C3225" s="633"/>
      <c r="D3225" s="633"/>
      <c r="E3225" s="633"/>
      <c r="F3225" s="633"/>
      <c r="G3225" s="633"/>
      <c r="H3225" s="633"/>
      <c r="I3225" s="633"/>
      <c r="J3225" s="633"/>
      <c r="K3225"/>
    </row>
    <row r="3226" spans="1:11" ht="24" customHeight="1">
      <c r="A3226" s="613"/>
      <c r="B3226" s="614" t="s">
        <v>12698</v>
      </c>
      <c r="C3226" s="613" t="s">
        <v>12699</v>
      </c>
      <c r="D3226" s="613" t="s">
        <v>12700</v>
      </c>
      <c r="E3226" s="807" t="s">
        <v>12701</v>
      </c>
      <c r="F3226" s="808"/>
      <c r="G3226" s="615" t="s">
        <v>12702</v>
      </c>
      <c r="H3226" s="614" t="s">
        <v>12703</v>
      </c>
      <c r="I3226" s="614" t="s">
        <v>12704</v>
      </c>
      <c r="J3226" s="614" t="s">
        <v>12705</v>
      </c>
      <c r="K3226"/>
    </row>
    <row r="3227" spans="1:11" ht="24" customHeight="1">
      <c r="A3227" s="616" t="s">
        <v>12706</v>
      </c>
      <c r="B3227" s="617" t="s">
        <v>12745</v>
      </c>
      <c r="C3227" s="616" t="s">
        <v>8</v>
      </c>
      <c r="D3227" s="616" t="s">
        <v>47</v>
      </c>
      <c r="E3227" s="809" t="s">
        <v>12707</v>
      </c>
      <c r="F3227" s="810"/>
      <c r="G3227" s="618" t="s">
        <v>23</v>
      </c>
      <c r="H3227" s="619">
        <v>1</v>
      </c>
      <c r="I3227" s="620">
        <v>17.760000000000002</v>
      </c>
      <c r="J3227" s="620">
        <v>17.760000000000002</v>
      </c>
      <c r="K3227"/>
    </row>
    <row r="3228" spans="1:11" ht="24" customHeight="1">
      <c r="A3228" s="621" t="s">
        <v>12708</v>
      </c>
      <c r="B3228" s="622" t="s">
        <v>13100</v>
      </c>
      <c r="C3228" s="621" t="s">
        <v>8</v>
      </c>
      <c r="D3228" s="621" t="s">
        <v>823</v>
      </c>
      <c r="E3228" s="811" t="s">
        <v>12707</v>
      </c>
      <c r="F3228" s="812"/>
      <c r="G3228" s="623" t="s">
        <v>23</v>
      </c>
      <c r="H3228" s="624">
        <v>1</v>
      </c>
      <c r="I3228" s="625">
        <v>0.18</v>
      </c>
      <c r="J3228" s="625">
        <v>0.18</v>
      </c>
      <c r="K3228"/>
    </row>
    <row r="3229" spans="1:11" ht="24" customHeight="1">
      <c r="A3229" s="626" t="s">
        <v>12709</v>
      </c>
      <c r="B3229" s="627" t="s">
        <v>13004</v>
      </c>
      <c r="C3229" s="626" t="s">
        <v>8</v>
      </c>
      <c r="D3229" s="626" t="s">
        <v>7388</v>
      </c>
      <c r="E3229" s="804" t="s">
        <v>12712</v>
      </c>
      <c r="F3229" s="805"/>
      <c r="G3229" s="628" t="s">
        <v>23</v>
      </c>
      <c r="H3229" s="629">
        <v>1</v>
      </c>
      <c r="I3229" s="630">
        <v>2.2000000000000002</v>
      </c>
      <c r="J3229" s="630">
        <v>2.2000000000000002</v>
      </c>
      <c r="K3229"/>
    </row>
    <row r="3230" spans="1:11" ht="24" customHeight="1">
      <c r="A3230" s="626" t="s">
        <v>12709</v>
      </c>
      <c r="B3230" s="627" t="s">
        <v>13052</v>
      </c>
      <c r="C3230" s="626" t="s">
        <v>8</v>
      </c>
      <c r="D3230" s="626" t="s">
        <v>9229</v>
      </c>
      <c r="E3230" s="804" t="s">
        <v>12711</v>
      </c>
      <c r="F3230" s="805"/>
      <c r="G3230" s="628" t="s">
        <v>23</v>
      </c>
      <c r="H3230" s="629">
        <v>1</v>
      </c>
      <c r="I3230" s="630">
        <v>0.96</v>
      </c>
      <c r="J3230" s="630">
        <v>0.96</v>
      </c>
      <c r="K3230"/>
    </row>
    <row r="3231" spans="1:11" ht="24" customHeight="1">
      <c r="A3231" s="626" t="s">
        <v>12709</v>
      </c>
      <c r="B3231" s="627" t="s">
        <v>13002</v>
      </c>
      <c r="C3231" s="626" t="s">
        <v>8</v>
      </c>
      <c r="D3231" s="626" t="s">
        <v>9306</v>
      </c>
      <c r="E3231" s="804" t="s">
        <v>12712</v>
      </c>
      <c r="F3231" s="805"/>
      <c r="G3231" s="628" t="s">
        <v>23</v>
      </c>
      <c r="H3231" s="629">
        <v>1</v>
      </c>
      <c r="I3231" s="630">
        <v>0.35</v>
      </c>
      <c r="J3231" s="630">
        <v>0.35</v>
      </c>
      <c r="K3231"/>
    </row>
    <row r="3232" spans="1:11" ht="24" customHeight="1">
      <c r="A3232" s="626" t="s">
        <v>12709</v>
      </c>
      <c r="B3232" s="627" t="s">
        <v>13051</v>
      </c>
      <c r="C3232" s="626" t="s">
        <v>8</v>
      </c>
      <c r="D3232" s="626" t="s">
        <v>9376</v>
      </c>
      <c r="E3232" s="804" t="s">
        <v>12711</v>
      </c>
      <c r="F3232" s="805"/>
      <c r="G3232" s="628" t="s">
        <v>23</v>
      </c>
      <c r="H3232" s="629">
        <v>1</v>
      </c>
      <c r="I3232" s="630">
        <v>0.5</v>
      </c>
      <c r="J3232" s="630">
        <v>0.5</v>
      </c>
      <c r="K3232"/>
    </row>
    <row r="3233" spans="1:11" ht="24" customHeight="1">
      <c r="A3233" s="626" t="s">
        <v>12709</v>
      </c>
      <c r="B3233" s="627" t="s">
        <v>13099</v>
      </c>
      <c r="C3233" s="626" t="s">
        <v>8</v>
      </c>
      <c r="D3233" s="626" t="s">
        <v>10726</v>
      </c>
      <c r="E3233" s="804" t="s">
        <v>12710</v>
      </c>
      <c r="F3233" s="805"/>
      <c r="G3233" s="628" t="s">
        <v>23</v>
      </c>
      <c r="H3233" s="629">
        <v>1</v>
      </c>
      <c r="I3233" s="630">
        <v>12.79</v>
      </c>
      <c r="J3233" s="630">
        <v>12.79</v>
      </c>
      <c r="K3233"/>
    </row>
    <row r="3234" spans="1:11">
      <c r="A3234" s="626" t="s">
        <v>12709</v>
      </c>
      <c r="B3234" s="627" t="s">
        <v>12999</v>
      </c>
      <c r="C3234" s="626" t="s">
        <v>8</v>
      </c>
      <c r="D3234" s="626" t="s">
        <v>11251</v>
      </c>
      <c r="E3234" s="804" t="s">
        <v>12713</v>
      </c>
      <c r="F3234" s="805"/>
      <c r="G3234" s="628" t="s">
        <v>23</v>
      </c>
      <c r="H3234" s="629">
        <v>1</v>
      </c>
      <c r="I3234" s="630">
        <v>7.0000000000000007E-2</v>
      </c>
      <c r="J3234" s="630">
        <v>7.0000000000000007E-2</v>
      </c>
      <c r="K3234"/>
    </row>
    <row r="3235" spans="1:11" ht="15" customHeight="1">
      <c r="A3235" s="626" t="s">
        <v>12709</v>
      </c>
      <c r="B3235" s="627" t="s">
        <v>12998</v>
      </c>
      <c r="C3235" s="626" t="s">
        <v>8</v>
      </c>
      <c r="D3235" s="626" t="s">
        <v>11861</v>
      </c>
      <c r="E3235" s="804" t="s">
        <v>12722</v>
      </c>
      <c r="F3235" s="805"/>
      <c r="G3235" s="628" t="s">
        <v>23</v>
      </c>
      <c r="H3235" s="629">
        <v>1</v>
      </c>
      <c r="I3235" s="630">
        <v>0.71</v>
      </c>
      <c r="J3235" s="630">
        <v>0.71</v>
      </c>
      <c r="K3235"/>
    </row>
    <row r="3236" spans="1:11" ht="0.95" customHeight="1">
      <c r="A3236" s="631"/>
      <c r="B3236" s="631"/>
      <c r="C3236" s="631"/>
      <c r="D3236" s="631"/>
      <c r="E3236" s="631" t="s">
        <v>12714</v>
      </c>
      <c r="F3236" s="632">
        <v>7.0115688</v>
      </c>
      <c r="G3236" s="631" t="s">
        <v>12715</v>
      </c>
      <c r="H3236" s="632">
        <v>5.96</v>
      </c>
      <c r="I3236" s="631" t="s">
        <v>12716</v>
      </c>
      <c r="J3236" s="632">
        <v>12.97</v>
      </c>
      <c r="K3236"/>
    </row>
    <row r="3237" spans="1:11" ht="18" customHeight="1" thickBot="1">
      <c r="A3237" s="631"/>
      <c r="B3237" s="631"/>
      <c r="C3237" s="631"/>
      <c r="D3237" s="631"/>
      <c r="E3237" s="631" t="s">
        <v>12717</v>
      </c>
      <c r="F3237" s="632">
        <v>5.01</v>
      </c>
      <c r="G3237" s="631"/>
      <c r="H3237" s="806" t="s">
        <v>12718</v>
      </c>
      <c r="I3237" s="806"/>
      <c r="J3237" s="632">
        <v>22.77</v>
      </c>
      <c r="K3237"/>
    </row>
    <row r="3238" spans="1:11" ht="24" customHeight="1" thickTop="1">
      <c r="A3238" s="633"/>
      <c r="B3238" s="633"/>
      <c r="C3238" s="633"/>
      <c r="D3238" s="633"/>
      <c r="E3238" s="633"/>
      <c r="F3238" s="633"/>
      <c r="G3238" s="633"/>
      <c r="H3238" s="633"/>
      <c r="I3238" s="633"/>
      <c r="J3238" s="633"/>
      <c r="K3238"/>
    </row>
    <row r="3239" spans="1:11" ht="24" customHeight="1">
      <c r="A3239" s="613"/>
      <c r="B3239" s="614" t="s">
        <v>12698</v>
      </c>
      <c r="C3239" s="613" t="s">
        <v>12699</v>
      </c>
      <c r="D3239" s="613" t="s">
        <v>12700</v>
      </c>
      <c r="E3239" s="807" t="s">
        <v>12701</v>
      </c>
      <c r="F3239" s="808"/>
      <c r="G3239" s="615" t="s">
        <v>12702</v>
      </c>
      <c r="H3239" s="614" t="s">
        <v>12703</v>
      </c>
      <c r="I3239" s="614" t="s">
        <v>12704</v>
      </c>
      <c r="J3239" s="614" t="s">
        <v>12705</v>
      </c>
      <c r="K3239"/>
    </row>
    <row r="3240" spans="1:11" ht="24" customHeight="1">
      <c r="A3240" s="616" t="s">
        <v>12706</v>
      </c>
      <c r="B3240" s="617" t="s">
        <v>13098</v>
      </c>
      <c r="C3240" s="616" t="s">
        <v>8</v>
      </c>
      <c r="D3240" s="616" t="s">
        <v>4845</v>
      </c>
      <c r="E3240" s="809" t="s">
        <v>12734</v>
      </c>
      <c r="F3240" s="810"/>
      <c r="G3240" s="618" t="s">
        <v>12730</v>
      </c>
      <c r="H3240" s="619">
        <v>1</v>
      </c>
      <c r="I3240" s="620">
        <v>1615.86</v>
      </c>
      <c r="J3240" s="620">
        <v>1615.86</v>
      </c>
      <c r="K3240"/>
    </row>
    <row r="3241" spans="1:11" ht="24" customHeight="1">
      <c r="A3241" s="621" t="s">
        <v>12708</v>
      </c>
      <c r="B3241" s="622" t="s">
        <v>12993</v>
      </c>
      <c r="C3241" s="621" t="s">
        <v>8</v>
      </c>
      <c r="D3241" s="621" t="s">
        <v>2193</v>
      </c>
      <c r="E3241" s="811" t="s">
        <v>12726</v>
      </c>
      <c r="F3241" s="812"/>
      <c r="G3241" s="623" t="s">
        <v>44</v>
      </c>
      <c r="H3241" s="624">
        <v>4.7533000000000003</v>
      </c>
      <c r="I3241" s="625">
        <v>1.59</v>
      </c>
      <c r="J3241" s="625">
        <v>7.55</v>
      </c>
      <c r="K3241"/>
    </row>
    <row r="3242" spans="1:11" ht="24" customHeight="1">
      <c r="A3242" s="621" t="s">
        <v>12708</v>
      </c>
      <c r="B3242" s="622" t="s">
        <v>13061</v>
      </c>
      <c r="C3242" s="621" t="s">
        <v>8</v>
      </c>
      <c r="D3242" s="621" t="s">
        <v>2467</v>
      </c>
      <c r="E3242" s="811" t="s">
        <v>12726</v>
      </c>
      <c r="F3242" s="812"/>
      <c r="G3242" s="623" t="s">
        <v>44</v>
      </c>
      <c r="H3242" s="624">
        <v>0.313</v>
      </c>
      <c r="I3242" s="625">
        <v>16.2</v>
      </c>
      <c r="J3242" s="625">
        <v>5.07</v>
      </c>
      <c r="K3242"/>
    </row>
    <row r="3243" spans="1:11" ht="24" customHeight="1">
      <c r="A3243" s="621" t="s">
        <v>12708</v>
      </c>
      <c r="B3243" s="622" t="s">
        <v>12994</v>
      </c>
      <c r="C3243" s="621" t="s">
        <v>8</v>
      </c>
      <c r="D3243" s="621" t="s">
        <v>2194</v>
      </c>
      <c r="E3243" s="811" t="s">
        <v>12726</v>
      </c>
      <c r="F3243" s="812"/>
      <c r="G3243" s="623" t="s">
        <v>61</v>
      </c>
      <c r="H3243" s="624">
        <v>13.0715</v>
      </c>
      <c r="I3243" s="625">
        <v>0.34</v>
      </c>
      <c r="J3243" s="625">
        <v>4.4400000000000004</v>
      </c>
      <c r="K3243"/>
    </row>
    <row r="3244" spans="1:11" ht="24" customHeight="1">
      <c r="A3244" s="621" t="s">
        <v>12708</v>
      </c>
      <c r="B3244" s="622" t="s">
        <v>13062</v>
      </c>
      <c r="C3244" s="621" t="s">
        <v>8</v>
      </c>
      <c r="D3244" s="621" t="s">
        <v>2468</v>
      </c>
      <c r="E3244" s="811" t="s">
        <v>12726</v>
      </c>
      <c r="F3244" s="812"/>
      <c r="G3244" s="623" t="s">
        <v>61</v>
      </c>
      <c r="H3244" s="624">
        <v>0.42259999999999998</v>
      </c>
      <c r="I3244" s="625">
        <v>13.58</v>
      </c>
      <c r="J3244" s="625">
        <v>5.73</v>
      </c>
      <c r="K3244"/>
    </row>
    <row r="3245" spans="1:11" ht="24" customHeight="1">
      <c r="A3245" s="621" t="s">
        <v>12708</v>
      </c>
      <c r="B3245" s="622" t="s">
        <v>13097</v>
      </c>
      <c r="C3245" s="621" t="s">
        <v>8</v>
      </c>
      <c r="D3245" s="621" t="s">
        <v>2969</v>
      </c>
      <c r="E3245" s="811" t="s">
        <v>12734</v>
      </c>
      <c r="F3245" s="812"/>
      <c r="G3245" s="623" t="s">
        <v>20</v>
      </c>
      <c r="H3245" s="624">
        <v>28.936900000000001</v>
      </c>
      <c r="I3245" s="625">
        <v>11.5</v>
      </c>
      <c r="J3245" s="625">
        <v>332.77</v>
      </c>
      <c r="K3245"/>
    </row>
    <row r="3246" spans="1:11" ht="24" customHeight="1">
      <c r="A3246" s="621" t="s">
        <v>12708</v>
      </c>
      <c r="B3246" s="622" t="s">
        <v>13096</v>
      </c>
      <c r="C3246" s="621" t="s">
        <v>8</v>
      </c>
      <c r="D3246" s="621" t="s">
        <v>3549</v>
      </c>
      <c r="E3246" s="811" t="s">
        <v>12734</v>
      </c>
      <c r="F3246" s="812"/>
      <c r="G3246" s="623" t="s">
        <v>12730</v>
      </c>
      <c r="H3246" s="624">
        <v>1.2</v>
      </c>
      <c r="I3246" s="625">
        <v>330.87</v>
      </c>
      <c r="J3246" s="625">
        <v>397.04</v>
      </c>
      <c r="K3246"/>
    </row>
    <row r="3247" spans="1:11" ht="25.5">
      <c r="A3247" s="621" t="s">
        <v>12708</v>
      </c>
      <c r="B3247" s="622" t="s">
        <v>13095</v>
      </c>
      <c r="C3247" s="621" t="s">
        <v>8</v>
      </c>
      <c r="D3247" s="621" t="s">
        <v>45</v>
      </c>
      <c r="E3247" s="811" t="s">
        <v>12707</v>
      </c>
      <c r="F3247" s="812"/>
      <c r="G3247" s="623" t="s">
        <v>23</v>
      </c>
      <c r="H3247" s="624">
        <v>0.73560000000000003</v>
      </c>
      <c r="I3247" s="625">
        <v>14.91</v>
      </c>
      <c r="J3247" s="625">
        <v>10.96</v>
      </c>
      <c r="K3247"/>
    </row>
    <row r="3248" spans="1:11" ht="15" customHeight="1">
      <c r="A3248" s="621" t="s">
        <v>12708</v>
      </c>
      <c r="B3248" s="622" t="s">
        <v>13085</v>
      </c>
      <c r="C3248" s="621" t="s">
        <v>8</v>
      </c>
      <c r="D3248" s="621" t="s">
        <v>53</v>
      </c>
      <c r="E3248" s="811" t="s">
        <v>12707</v>
      </c>
      <c r="F3248" s="812"/>
      <c r="G3248" s="623" t="s">
        <v>23</v>
      </c>
      <c r="H3248" s="624">
        <v>3.6779999999999999</v>
      </c>
      <c r="I3248" s="625">
        <v>18.84</v>
      </c>
      <c r="J3248" s="625">
        <v>69.290000000000006</v>
      </c>
      <c r="K3248"/>
    </row>
    <row r="3249" spans="1:11" ht="0.95" customHeight="1">
      <c r="A3249" s="621" t="s">
        <v>12708</v>
      </c>
      <c r="B3249" s="622" t="s">
        <v>12745</v>
      </c>
      <c r="C3249" s="621" t="s">
        <v>8</v>
      </c>
      <c r="D3249" s="621" t="s">
        <v>47</v>
      </c>
      <c r="E3249" s="811" t="s">
        <v>12707</v>
      </c>
      <c r="F3249" s="812"/>
      <c r="G3249" s="623" t="s">
        <v>23</v>
      </c>
      <c r="H3249" s="624">
        <v>22.888400000000001</v>
      </c>
      <c r="I3249" s="625">
        <v>17.760000000000002</v>
      </c>
      <c r="J3249" s="625">
        <v>406.49</v>
      </c>
      <c r="K3249"/>
    </row>
    <row r="3250" spans="1:11" ht="18" customHeight="1">
      <c r="A3250" s="621" t="s">
        <v>12708</v>
      </c>
      <c r="B3250" s="622" t="s">
        <v>12727</v>
      </c>
      <c r="C3250" s="621" t="s">
        <v>8</v>
      </c>
      <c r="D3250" s="621" t="s">
        <v>26</v>
      </c>
      <c r="E3250" s="811" t="s">
        <v>12707</v>
      </c>
      <c r="F3250" s="812"/>
      <c r="G3250" s="623" t="s">
        <v>23</v>
      </c>
      <c r="H3250" s="624">
        <v>22.888400000000001</v>
      </c>
      <c r="I3250" s="625">
        <v>14.37</v>
      </c>
      <c r="J3250" s="625">
        <v>328.9</v>
      </c>
      <c r="K3250"/>
    </row>
    <row r="3251" spans="1:11" ht="36" customHeight="1">
      <c r="A3251" s="626" t="s">
        <v>12709</v>
      </c>
      <c r="B3251" s="627" t="s">
        <v>13094</v>
      </c>
      <c r="C3251" s="626" t="s">
        <v>8</v>
      </c>
      <c r="D3251" s="626" t="s">
        <v>8374</v>
      </c>
      <c r="E3251" s="804" t="s">
        <v>12720</v>
      </c>
      <c r="F3251" s="805"/>
      <c r="G3251" s="628" t="s">
        <v>12725</v>
      </c>
      <c r="H3251" s="629">
        <v>1.3111999999999999</v>
      </c>
      <c r="I3251" s="630">
        <v>26.82</v>
      </c>
      <c r="J3251" s="630">
        <v>35.159999999999997</v>
      </c>
      <c r="K3251"/>
    </row>
    <row r="3252" spans="1:11" ht="24" customHeight="1">
      <c r="A3252" s="626" t="s">
        <v>12709</v>
      </c>
      <c r="B3252" s="627" t="s">
        <v>13093</v>
      </c>
      <c r="C3252" s="626" t="s">
        <v>8</v>
      </c>
      <c r="D3252" s="626" t="s">
        <v>8980</v>
      </c>
      <c r="E3252" s="804" t="s">
        <v>12720</v>
      </c>
      <c r="F3252" s="805"/>
      <c r="G3252" s="628" t="s">
        <v>58</v>
      </c>
      <c r="H3252" s="629">
        <v>5.67E-2</v>
      </c>
      <c r="I3252" s="630">
        <v>4.84</v>
      </c>
      <c r="J3252" s="630">
        <v>0.27</v>
      </c>
      <c r="K3252"/>
    </row>
    <row r="3253" spans="1:11" ht="24" customHeight="1">
      <c r="A3253" s="626" t="s">
        <v>12709</v>
      </c>
      <c r="B3253" s="627" t="s">
        <v>13092</v>
      </c>
      <c r="C3253" s="626" t="s">
        <v>8</v>
      </c>
      <c r="D3253" s="626" t="s">
        <v>11005</v>
      </c>
      <c r="E3253" s="804" t="s">
        <v>12720</v>
      </c>
      <c r="F3253" s="805"/>
      <c r="G3253" s="628" t="s">
        <v>20</v>
      </c>
      <c r="H3253" s="629">
        <v>0.26190000000000002</v>
      </c>
      <c r="I3253" s="630">
        <v>12.38</v>
      </c>
      <c r="J3253" s="630">
        <v>3.24</v>
      </c>
      <c r="K3253"/>
    </row>
    <row r="3254" spans="1:11" ht="36" customHeight="1">
      <c r="A3254" s="626" t="s">
        <v>12709</v>
      </c>
      <c r="B3254" s="627" t="s">
        <v>13091</v>
      </c>
      <c r="C3254" s="626" t="s">
        <v>8</v>
      </c>
      <c r="D3254" s="626" t="s">
        <v>11248</v>
      </c>
      <c r="E3254" s="804" t="s">
        <v>12720</v>
      </c>
      <c r="F3254" s="805"/>
      <c r="G3254" s="628" t="s">
        <v>17</v>
      </c>
      <c r="H3254" s="629">
        <v>4.4770000000000003</v>
      </c>
      <c r="I3254" s="630">
        <v>2</v>
      </c>
      <c r="J3254" s="630">
        <v>8.9499999999999993</v>
      </c>
      <c r="K3254"/>
    </row>
    <row r="3255" spans="1:11" ht="24" customHeight="1">
      <c r="A3255" s="631"/>
      <c r="B3255" s="631"/>
      <c r="C3255" s="631"/>
      <c r="D3255" s="631"/>
      <c r="E3255" s="631" t="s">
        <v>12714</v>
      </c>
      <c r="F3255" s="632">
        <v>397.86463401448805</v>
      </c>
      <c r="G3255" s="631" t="s">
        <v>12715</v>
      </c>
      <c r="H3255" s="632">
        <v>338.11</v>
      </c>
      <c r="I3255" s="631" t="s">
        <v>12716</v>
      </c>
      <c r="J3255" s="632">
        <v>735.97</v>
      </c>
      <c r="K3255"/>
    </row>
    <row r="3256" spans="1:11" ht="36" customHeight="1" thickBot="1">
      <c r="A3256" s="631"/>
      <c r="B3256" s="631"/>
      <c r="C3256" s="631"/>
      <c r="D3256" s="631"/>
      <c r="E3256" s="631" t="s">
        <v>12717</v>
      </c>
      <c r="F3256" s="632">
        <v>456.31</v>
      </c>
      <c r="G3256" s="631"/>
      <c r="H3256" s="806" t="s">
        <v>12718</v>
      </c>
      <c r="I3256" s="806"/>
      <c r="J3256" s="632">
        <v>2072.17</v>
      </c>
      <c r="K3256"/>
    </row>
    <row r="3257" spans="1:11" ht="15" thickTop="1">
      <c r="A3257" s="633"/>
      <c r="B3257" s="633"/>
      <c r="C3257" s="633"/>
      <c r="D3257" s="633"/>
      <c r="E3257" s="633"/>
      <c r="F3257" s="633"/>
      <c r="G3257" s="633"/>
      <c r="H3257" s="633"/>
      <c r="I3257" s="633"/>
      <c r="J3257" s="633"/>
      <c r="K3257"/>
    </row>
    <row r="3258" spans="1:11" ht="15" customHeight="1">
      <c r="A3258" s="613"/>
      <c r="B3258" s="614" t="s">
        <v>12698</v>
      </c>
      <c r="C3258" s="613" t="s">
        <v>12699</v>
      </c>
      <c r="D3258" s="613" t="s">
        <v>12700</v>
      </c>
      <c r="E3258" s="807" t="s">
        <v>12701</v>
      </c>
      <c r="F3258" s="808"/>
      <c r="G3258" s="615" t="s">
        <v>12702</v>
      </c>
      <c r="H3258" s="614" t="s">
        <v>12703</v>
      </c>
      <c r="I3258" s="614" t="s">
        <v>12704</v>
      </c>
      <c r="J3258" s="614" t="s">
        <v>12705</v>
      </c>
      <c r="K3258"/>
    </row>
    <row r="3259" spans="1:11" ht="0.95" customHeight="1">
      <c r="A3259" s="616" t="s">
        <v>12706</v>
      </c>
      <c r="B3259" s="617" t="s">
        <v>13090</v>
      </c>
      <c r="C3259" s="616" t="s">
        <v>8</v>
      </c>
      <c r="D3259" s="616" t="s">
        <v>287</v>
      </c>
      <c r="E3259" s="809" t="s">
        <v>12707</v>
      </c>
      <c r="F3259" s="810"/>
      <c r="G3259" s="618" t="s">
        <v>23</v>
      </c>
      <c r="H3259" s="619">
        <v>1</v>
      </c>
      <c r="I3259" s="620">
        <v>18.88</v>
      </c>
      <c r="J3259" s="620">
        <v>18.88</v>
      </c>
      <c r="K3259"/>
    </row>
    <row r="3260" spans="1:11" ht="18" customHeight="1">
      <c r="A3260" s="621" t="s">
        <v>12708</v>
      </c>
      <c r="B3260" s="622" t="s">
        <v>13089</v>
      </c>
      <c r="C3260" s="621" t="s">
        <v>8</v>
      </c>
      <c r="D3260" s="621" t="s">
        <v>824</v>
      </c>
      <c r="E3260" s="811" t="s">
        <v>12707</v>
      </c>
      <c r="F3260" s="812"/>
      <c r="G3260" s="623" t="s">
        <v>23</v>
      </c>
      <c r="H3260" s="624">
        <v>1</v>
      </c>
      <c r="I3260" s="625">
        <v>0.13</v>
      </c>
      <c r="J3260" s="625">
        <v>0.13</v>
      </c>
      <c r="K3260"/>
    </row>
    <row r="3261" spans="1:11" ht="36" customHeight="1">
      <c r="A3261" s="626" t="s">
        <v>12709</v>
      </c>
      <c r="B3261" s="627" t="s">
        <v>13004</v>
      </c>
      <c r="C3261" s="626" t="s">
        <v>8</v>
      </c>
      <c r="D3261" s="626" t="s">
        <v>7388</v>
      </c>
      <c r="E3261" s="804" t="s">
        <v>12712</v>
      </c>
      <c r="F3261" s="805"/>
      <c r="G3261" s="628" t="s">
        <v>23</v>
      </c>
      <c r="H3261" s="629">
        <v>1</v>
      </c>
      <c r="I3261" s="630">
        <v>2.2000000000000002</v>
      </c>
      <c r="J3261" s="630">
        <v>2.2000000000000002</v>
      </c>
      <c r="K3261"/>
    </row>
    <row r="3262" spans="1:11" ht="36" customHeight="1">
      <c r="A3262" s="626" t="s">
        <v>12709</v>
      </c>
      <c r="B3262" s="627" t="s">
        <v>13088</v>
      </c>
      <c r="C3262" s="626" t="s">
        <v>8</v>
      </c>
      <c r="D3262" s="626" t="s">
        <v>9231</v>
      </c>
      <c r="E3262" s="804" t="s">
        <v>12711</v>
      </c>
      <c r="F3262" s="805"/>
      <c r="G3262" s="628" t="s">
        <v>23</v>
      </c>
      <c r="H3262" s="629">
        <v>1</v>
      </c>
      <c r="I3262" s="630">
        <v>1.46</v>
      </c>
      <c r="J3262" s="630">
        <v>1.46</v>
      </c>
      <c r="K3262"/>
    </row>
    <row r="3263" spans="1:11" ht="36" customHeight="1">
      <c r="A3263" s="626" t="s">
        <v>12709</v>
      </c>
      <c r="B3263" s="627" t="s">
        <v>13002</v>
      </c>
      <c r="C3263" s="626" t="s">
        <v>8</v>
      </c>
      <c r="D3263" s="626" t="s">
        <v>9306</v>
      </c>
      <c r="E3263" s="804" t="s">
        <v>12712</v>
      </c>
      <c r="F3263" s="805"/>
      <c r="G3263" s="628" t="s">
        <v>23</v>
      </c>
      <c r="H3263" s="629">
        <v>1</v>
      </c>
      <c r="I3263" s="630">
        <v>0.35</v>
      </c>
      <c r="J3263" s="630">
        <v>0.35</v>
      </c>
      <c r="K3263"/>
    </row>
    <row r="3264" spans="1:11" ht="24" customHeight="1">
      <c r="A3264" s="626" t="s">
        <v>12709</v>
      </c>
      <c r="B3264" s="627" t="s">
        <v>13087</v>
      </c>
      <c r="C3264" s="626" t="s">
        <v>8</v>
      </c>
      <c r="D3264" s="626" t="s">
        <v>9378</v>
      </c>
      <c r="E3264" s="804" t="s">
        <v>12711</v>
      </c>
      <c r="F3264" s="805"/>
      <c r="G3264" s="628" t="s">
        <v>23</v>
      </c>
      <c r="H3264" s="629">
        <v>1</v>
      </c>
      <c r="I3264" s="630">
        <v>1.17</v>
      </c>
      <c r="J3264" s="630">
        <v>1.17</v>
      </c>
      <c r="K3264"/>
    </row>
    <row r="3265" spans="1:11">
      <c r="A3265" s="626" t="s">
        <v>12709</v>
      </c>
      <c r="B3265" s="627" t="s">
        <v>13086</v>
      </c>
      <c r="C3265" s="626" t="s">
        <v>8</v>
      </c>
      <c r="D3265" s="626" t="s">
        <v>10798</v>
      </c>
      <c r="E3265" s="804" t="s">
        <v>12710</v>
      </c>
      <c r="F3265" s="805"/>
      <c r="G3265" s="628" t="s">
        <v>23</v>
      </c>
      <c r="H3265" s="629">
        <v>1</v>
      </c>
      <c r="I3265" s="630">
        <v>12.79</v>
      </c>
      <c r="J3265" s="630">
        <v>12.79</v>
      </c>
      <c r="K3265"/>
    </row>
    <row r="3266" spans="1:11" ht="15" customHeight="1">
      <c r="A3266" s="626" t="s">
        <v>12709</v>
      </c>
      <c r="B3266" s="627" t="s">
        <v>12999</v>
      </c>
      <c r="C3266" s="626" t="s">
        <v>8</v>
      </c>
      <c r="D3266" s="626" t="s">
        <v>11251</v>
      </c>
      <c r="E3266" s="804" t="s">
        <v>12713</v>
      </c>
      <c r="F3266" s="805"/>
      <c r="G3266" s="628" t="s">
        <v>23</v>
      </c>
      <c r="H3266" s="629">
        <v>1</v>
      </c>
      <c r="I3266" s="630">
        <v>7.0000000000000007E-2</v>
      </c>
      <c r="J3266" s="630">
        <v>7.0000000000000007E-2</v>
      </c>
      <c r="K3266"/>
    </row>
    <row r="3267" spans="1:11" ht="0.95" customHeight="1">
      <c r="A3267" s="626" t="s">
        <v>12709</v>
      </c>
      <c r="B3267" s="627" t="s">
        <v>12998</v>
      </c>
      <c r="C3267" s="626" t="s">
        <v>8</v>
      </c>
      <c r="D3267" s="626" t="s">
        <v>11861</v>
      </c>
      <c r="E3267" s="804" t="s">
        <v>12722</v>
      </c>
      <c r="F3267" s="805"/>
      <c r="G3267" s="628" t="s">
        <v>23</v>
      </c>
      <c r="H3267" s="629">
        <v>1</v>
      </c>
      <c r="I3267" s="630">
        <v>0.71</v>
      </c>
      <c r="J3267" s="630">
        <v>0.71</v>
      </c>
      <c r="K3267"/>
    </row>
    <row r="3268" spans="1:11" ht="18" customHeight="1">
      <c r="A3268" s="631"/>
      <c r="B3268" s="631"/>
      <c r="C3268" s="631"/>
      <c r="D3268" s="631"/>
      <c r="E3268" s="631" t="s">
        <v>12714</v>
      </c>
      <c r="F3268" s="632">
        <v>6.9845389000000004</v>
      </c>
      <c r="G3268" s="631" t="s">
        <v>12715</v>
      </c>
      <c r="H3268" s="632">
        <v>5.94</v>
      </c>
      <c r="I3268" s="631" t="s">
        <v>12716</v>
      </c>
      <c r="J3268" s="632">
        <v>12.92</v>
      </c>
      <c r="K3268"/>
    </row>
    <row r="3269" spans="1:11" ht="36" customHeight="1" thickBot="1">
      <c r="A3269" s="631"/>
      <c r="B3269" s="631"/>
      <c r="C3269" s="631"/>
      <c r="D3269" s="631"/>
      <c r="E3269" s="631" t="s">
        <v>12717</v>
      </c>
      <c r="F3269" s="632">
        <v>5.33</v>
      </c>
      <c r="G3269" s="631"/>
      <c r="H3269" s="806" t="s">
        <v>12718</v>
      </c>
      <c r="I3269" s="806"/>
      <c r="J3269" s="632">
        <v>24.21</v>
      </c>
      <c r="K3269"/>
    </row>
    <row r="3270" spans="1:11" ht="36" customHeight="1" thickTop="1">
      <c r="A3270" s="633"/>
      <c r="B3270" s="633"/>
      <c r="C3270" s="633"/>
      <c r="D3270" s="633"/>
      <c r="E3270" s="633"/>
      <c r="F3270" s="633"/>
      <c r="G3270" s="633"/>
      <c r="H3270" s="633"/>
      <c r="I3270" s="633"/>
      <c r="J3270" s="633"/>
      <c r="K3270"/>
    </row>
    <row r="3271" spans="1:11" ht="48" customHeight="1">
      <c r="A3271" s="613"/>
      <c r="B3271" s="614" t="s">
        <v>12698</v>
      </c>
      <c r="C3271" s="613" t="s">
        <v>12699</v>
      </c>
      <c r="D3271" s="613" t="s">
        <v>12700</v>
      </c>
      <c r="E3271" s="807" t="s">
        <v>12701</v>
      </c>
      <c r="F3271" s="808"/>
      <c r="G3271" s="615" t="s">
        <v>12702</v>
      </c>
      <c r="H3271" s="614" t="s">
        <v>12703</v>
      </c>
      <c r="I3271" s="614" t="s">
        <v>12704</v>
      </c>
      <c r="J3271" s="614" t="s">
        <v>12705</v>
      </c>
      <c r="K3271"/>
    </row>
    <row r="3272" spans="1:11" ht="36" customHeight="1">
      <c r="A3272" s="616" t="s">
        <v>12706</v>
      </c>
      <c r="B3272" s="617" t="s">
        <v>14844</v>
      </c>
      <c r="C3272" s="616" t="s">
        <v>8</v>
      </c>
      <c r="D3272" s="616" t="s">
        <v>3314</v>
      </c>
      <c r="E3272" s="809" t="s">
        <v>12729</v>
      </c>
      <c r="F3272" s="810"/>
      <c r="G3272" s="618" t="s">
        <v>12725</v>
      </c>
      <c r="H3272" s="619">
        <v>1</v>
      </c>
      <c r="I3272" s="620">
        <v>4.17</v>
      </c>
      <c r="J3272" s="620">
        <v>4.17</v>
      </c>
      <c r="K3272"/>
    </row>
    <row r="3273" spans="1:11" ht="36" customHeight="1">
      <c r="A3273" s="621" t="s">
        <v>12708</v>
      </c>
      <c r="B3273" s="622" t="s">
        <v>13155</v>
      </c>
      <c r="C3273" s="621" t="s">
        <v>8</v>
      </c>
      <c r="D3273" s="621" t="s">
        <v>2447</v>
      </c>
      <c r="E3273" s="811" t="s">
        <v>12726</v>
      </c>
      <c r="F3273" s="812"/>
      <c r="G3273" s="623" t="s">
        <v>44</v>
      </c>
      <c r="H3273" s="624">
        <v>3.0000000000000001E-3</v>
      </c>
      <c r="I3273" s="625">
        <v>18.739999999999998</v>
      </c>
      <c r="J3273" s="625">
        <v>0.05</v>
      </c>
      <c r="K3273"/>
    </row>
    <row r="3274" spans="1:11" ht="24" customHeight="1">
      <c r="A3274" s="621" t="s">
        <v>12708</v>
      </c>
      <c r="B3274" s="622" t="s">
        <v>13154</v>
      </c>
      <c r="C3274" s="621" t="s">
        <v>8</v>
      </c>
      <c r="D3274" s="621" t="s">
        <v>2448</v>
      </c>
      <c r="E3274" s="811" t="s">
        <v>12726</v>
      </c>
      <c r="F3274" s="812"/>
      <c r="G3274" s="623" t="s">
        <v>61</v>
      </c>
      <c r="H3274" s="624">
        <v>3.0000000000000001E-3</v>
      </c>
      <c r="I3274" s="625">
        <v>14.15</v>
      </c>
      <c r="J3274" s="625">
        <v>0.04</v>
      </c>
      <c r="K3274"/>
    </row>
    <row r="3275" spans="1:11" ht="25.5">
      <c r="A3275" s="621" t="s">
        <v>12708</v>
      </c>
      <c r="B3275" s="622" t="s">
        <v>12745</v>
      </c>
      <c r="C3275" s="621" t="s">
        <v>8</v>
      </c>
      <c r="D3275" s="621" t="s">
        <v>47</v>
      </c>
      <c r="E3275" s="811" t="s">
        <v>12707</v>
      </c>
      <c r="F3275" s="812"/>
      <c r="G3275" s="623" t="s">
        <v>23</v>
      </c>
      <c r="H3275" s="624">
        <v>0.104</v>
      </c>
      <c r="I3275" s="625">
        <v>17.760000000000002</v>
      </c>
      <c r="J3275" s="625">
        <v>1.84</v>
      </c>
      <c r="K3275"/>
    </row>
    <row r="3276" spans="1:11" ht="15" customHeight="1">
      <c r="A3276" s="621" t="s">
        <v>12708</v>
      </c>
      <c r="B3276" s="622" t="s">
        <v>12727</v>
      </c>
      <c r="C3276" s="621" t="s">
        <v>8</v>
      </c>
      <c r="D3276" s="621" t="s">
        <v>26</v>
      </c>
      <c r="E3276" s="811" t="s">
        <v>12707</v>
      </c>
      <c r="F3276" s="812"/>
      <c r="G3276" s="623" t="s">
        <v>23</v>
      </c>
      <c r="H3276" s="624">
        <v>0.156</v>
      </c>
      <c r="I3276" s="625">
        <v>14.37</v>
      </c>
      <c r="J3276" s="625">
        <v>2.2400000000000002</v>
      </c>
      <c r="K3276"/>
    </row>
    <row r="3277" spans="1:11" ht="0.95" customHeight="1">
      <c r="A3277" s="631"/>
      <c r="B3277" s="631"/>
      <c r="C3277" s="631"/>
      <c r="D3277" s="631"/>
      <c r="E3277" s="631" t="s">
        <v>12714</v>
      </c>
      <c r="F3277" s="632">
        <v>1.5569250729808628</v>
      </c>
      <c r="G3277" s="631" t="s">
        <v>12715</v>
      </c>
      <c r="H3277" s="632">
        <v>1.32</v>
      </c>
      <c r="I3277" s="631" t="s">
        <v>12716</v>
      </c>
      <c r="J3277" s="632">
        <v>2.88</v>
      </c>
      <c r="K3277"/>
    </row>
    <row r="3278" spans="1:11" ht="18" customHeight="1" thickBot="1">
      <c r="A3278" s="631"/>
      <c r="B3278" s="631"/>
      <c r="C3278" s="631"/>
      <c r="D3278" s="631"/>
      <c r="E3278" s="631" t="s">
        <v>12717</v>
      </c>
      <c r="F3278" s="632">
        <v>1.17</v>
      </c>
      <c r="G3278" s="631"/>
      <c r="H3278" s="806" t="s">
        <v>12718</v>
      </c>
      <c r="I3278" s="806"/>
      <c r="J3278" s="632">
        <v>5.34</v>
      </c>
      <c r="K3278"/>
    </row>
    <row r="3279" spans="1:11" ht="36" customHeight="1" thickTop="1">
      <c r="A3279" s="633"/>
      <c r="B3279" s="633"/>
      <c r="C3279" s="633"/>
      <c r="D3279" s="633"/>
      <c r="E3279" s="633"/>
      <c r="F3279" s="633"/>
      <c r="G3279" s="633"/>
      <c r="H3279" s="633"/>
      <c r="I3279" s="633"/>
      <c r="J3279" s="633"/>
      <c r="K3279"/>
    </row>
    <row r="3280" spans="1:11" ht="36" customHeight="1">
      <c r="A3280" s="613"/>
      <c r="B3280" s="614" t="s">
        <v>12698</v>
      </c>
      <c r="C3280" s="613" t="s">
        <v>12699</v>
      </c>
      <c r="D3280" s="613" t="s">
        <v>12700</v>
      </c>
      <c r="E3280" s="807" t="s">
        <v>12701</v>
      </c>
      <c r="F3280" s="808"/>
      <c r="G3280" s="615" t="s">
        <v>12702</v>
      </c>
      <c r="H3280" s="614" t="s">
        <v>12703</v>
      </c>
      <c r="I3280" s="614" t="s">
        <v>12704</v>
      </c>
      <c r="J3280" s="614" t="s">
        <v>12705</v>
      </c>
      <c r="K3280"/>
    </row>
    <row r="3281" spans="1:11" ht="38.25" customHeight="1">
      <c r="A3281" s="616" t="s">
        <v>12706</v>
      </c>
      <c r="B3281" s="617" t="s">
        <v>13084</v>
      </c>
      <c r="C3281" s="616" t="s">
        <v>8</v>
      </c>
      <c r="D3281" s="616" t="s">
        <v>1085</v>
      </c>
      <c r="E3281" s="809" t="s">
        <v>12726</v>
      </c>
      <c r="F3281" s="810"/>
      <c r="G3281" s="618" t="s">
        <v>61</v>
      </c>
      <c r="H3281" s="619">
        <v>1</v>
      </c>
      <c r="I3281" s="620">
        <v>38.79</v>
      </c>
      <c r="J3281" s="620">
        <v>38.79</v>
      </c>
      <c r="K3281"/>
    </row>
    <row r="3282" spans="1:11" ht="15" customHeight="1">
      <c r="A3282" s="621" t="s">
        <v>12708</v>
      </c>
      <c r="B3282" s="622" t="s">
        <v>13081</v>
      </c>
      <c r="C3282" s="621" t="s">
        <v>8</v>
      </c>
      <c r="D3282" s="621" t="s">
        <v>1633</v>
      </c>
      <c r="E3282" s="811" t="s">
        <v>12726</v>
      </c>
      <c r="F3282" s="812"/>
      <c r="G3282" s="623" t="s">
        <v>23</v>
      </c>
      <c r="H3282" s="624">
        <v>1</v>
      </c>
      <c r="I3282" s="625">
        <v>21.55</v>
      </c>
      <c r="J3282" s="625">
        <v>21.55</v>
      </c>
      <c r="K3282"/>
    </row>
    <row r="3283" spans="1:11" ht="0.95" customHeight="1">
      <c r="A3283" s="621" t="s">
        <v>12708</v>
      </c>
      <c r="B3283" s="622" t="s">
        <v>13080</v>
      </c>
      <c r="C3283" s="621" t="s">
        <v>8</v>
      </c>
      <c r="D3283" s="621" t="s">
        <v>1634</v>
      </c>
      <c r="E3283" s="811" t="s">
        <v>12726</v>
      </c>
      <c r="F3283" s="812"/>
      <c r="G3283" s="623" t="s">
        <v>23</v>
      </c>
      <c r="H3283" s="624">
        <v>1</v>
      </c>
      <c r="I3283" s="625">
        <v>2.92</v>
      </c>
      <c r="J3283" s="625">
        <v>2.92</v>
      </c>
      <c r="K3283"/>
    </row>
    <row r="3284" spans="1:11" ht="18" customHeight="1">
      <c r="A3284" s="621" t="s">
        <v>12708</v>
      </c>
      <c r="B3284" s="622" t="s">
        <v>13082</v>
      </c>
      <c r="C3284" s="621" t="s">
        <v>8</v>
      </c>
      <c r="D3284" s="621" t="s">
        <v>281</v>
      </c>
      <c r="E3284" s="811" t="s">
        <v>12707</v>
      </c>
      <c r="F3284" s="812"/>
      <c r="G3284" s="623" t="s">
        <v>23</v>
      </c>
      <c r="H3284" s="624">
        <v>1</v>
      </c>
      <c r="I3284" s="625">
        <v>14.32</v>
      </c>
      <c r="J3284" s="625">
        <v>14.32</v>
      </c>
      <c r="K3284"/>
    </row>
    <row r="3285" spans="1:11" ht="36" customHeight="1">
      <c r="A3285" s="631"/>
      <c r="B3285" s="631"/>
      <c r="C3285" s="631"/>
      <c r="D3285" s="631"/>
      <c r="E3285" s="631" t="s">
        <v>12714</v>
      </c>
      <c r="F3285" s="632">
        <v>5.5789815000000003</v>
      </c>
      <c r="G3285" s="631" t="s">
        <v>12715</v>
      </c>
      <c r="H3285" s="632">
        <v>4.74</v>
      </c>
      <c r="I3285" s="631" t="s">
        <v>12716</v>
      </c>
      <c r="J3285" s="632">
        <v>10.32</v>
      </c>
      <c r="K3285"/>
    </row>
    <row r="3286" spans="1:11" ht="36" customHeight="1" thickBot="1">
      <c r="A3286" s="631"/>
      <c r="B3286" s="631"/>
      <c r="C3286" s="631"/>
      <c r="D3286" s="631"/>
      <c r="E3286" s="631" t="s">
        <v>12717</v>
      </c>
      <c r="F3286" s="632">
        <v>10.95</v>
      </c>
      <c r="G3286" s="631"/>
      <c r="H3286" s="806" t="s">
        <v>12718</v>
      </c>
      <c r="I3286" s="806"/>
      <c r="J3286" s="632">
        <v>49.74</v>
      </c>
      <c r="K3286"/>
    </row>
    <row r="3287" spans="1:11" ht="15" thickTop="1">
      <c r="A3287" s="633"/>
      <c r="B3287" s="633"/>
      <c r="C3287" s="633"/>
      <c r="D3287" s="633"/>
      <c r="E3287" s="633"/>
      <c r="F3287" s="633"/>
      <c r="G3287" s="633"/>
      <c r="H3287" s="633"/>
      <c r="I3287" s="633"/>
      <c r="J3287" s="633"/>
      <c r="K3287"/>
    </row>
    <row r="3288" spans="1:11" ht="15" customHeight="1">
      <c r="A3288" s="613"/>
      <c r="B3288" s="614" t="s">
        <v>12698</v>
      </c>
      <c r="C3288" s="613" t="s">
        <v>12699</v>
      </c>
      <c r="D3288" s="613" t="s">
        <v>12700</v>
      </c>
      <c r="E3288" s="807" t="s">
        <v>12701</v>
      </c>
      <c r="F3288" s="808"/>
      <c r="G3288" s="615" t="s">
        <v>12702</v>
      </c>
      <c r="H3288" s="614" t="s">
        <v>12703</v>
      </c>
      <c r="I3288" s="614" t="s">
        <v>12704</v>
      </c>
      <c r="J3288" s="614" t="s">
        <v>12705</v>
      </c>
      <c r="K3288"/>
    </row>
    <row r="3289" spans="1:11" ht="0.95" customHeight="1">
      <c r="A3289" s="616" t="s">
        <v>12706</v>
      </c>
      <c r="B3289" s="617" t="s">
        <v>13083</v>
      </c>
      <c r="C3289" s="616" t="s">
        <v>8</v>
      </c>
      <c r="D3289" s="616" t="s">
        <v>1084</v>
      </c>
      <c r="E3289" s="809" t="s">
        <v>12726</v>
      </c>
      <c r="F3289" s="810"/>
      <c r="G3289" s="618" t="s">
        <v>44</v>
      </c>
      <c r="H3289" s="619">
        <v>1</v>
      </c>
      <c r="I3289" s="620">
        <v>109.04</v>
      </c>
      <c r="J3289" s="620">
        <v>109.04</v>
      </c>
      <c r="K3289"/>
    </row>
    <row r="3290" spans="1:11" ht="18" customHeight="1">
      <c r="A3290" s="621" t="s">
        <v>12708</v>
      </c>
      <c r="B3290" s="622" t="s">
        <v>13079</v>
      </c>
      <c r="C3290" s="621" t="s">
        <v>8</v>
      </c>
      <c r="D3290" s="621" t="s">
        <v>1136</v>
      </c>
      <c r="E3290" s="811" t="s">
        <v>12726</v>
      </c>
      <c r="F3290" s="812"/>
      <c r="G3290" s="623" t="s">
        <v>23</v>
      </c>
      <c r="H3290" s="624">
        <v>1</v>
      </c>
      <c r="I3290" s="625">
        <v>26.94</v>
      </c>
      <c r="J3290" s="625">
        <v>26.94</v>
      </c>
      <c r="K3290"/>
    </row>
    <row r="3291" spans="1:11" ht="36" customHeight="1">
      <c r="A3291" s="621" t="s">
        <v>12708</v>
      </c>
      <c r="B3291" s="622" t="s">
        <v>13077</v>
      </c>
      <c r="C3291" s="621" t="s">
        <v>8</v>
      </c>
      <c r="D3291" s="621" t="s">
        <v>1137</v>
      </c>
      <c r="E3291" s="811" t="s">
        <v>12726</v>
      </c>
      <c r="F3291" s="812"/>
      <c r="G3291" s="623" t="s">
        <v>23</v>
      </c>
      <c r="H3291" s="624">
        <v>1</v>
      </c>
      <c r="I3291" s="625">
        <v>43.31</v>
      </c>
      <c r="J3291" s="625">
        <v>43.31</v>
      </c>
      <c r="K3291"/>
    </row>
    <row r="3292" spans="1:11" ht="36" customHeight="1">
      <c r="A3292" s="621" t="s">
        <v>12708</v>
      </c>
      <c r="B3292" s="622" t="s">
        <v>13081</v>
      </c>
      <c r="C3292" s="621" t="s">
        <v>8</v>
      </c>
      <c r="D3292" s="621" t="s">
        <v>1633</v>
      </c>
      <c r="E3292" s="811" t="s">
        <v>12726</v>
      </c>
      <c r="F3292" s="812"/>
      <c r="G3292" s="623" t="s">
        <v>23</v>
      </c>
      <c r="H3292" s="624">
        <v>1</v>
      </c>
      <c r="I3292" s="625">
        <v>21.55</v>
      </c>
      <c r="J3292" s="625">
        <v>21.55</v>
      </c>
      <c r="K3292"/>
    </row>
    <row r="3293" spans="1:11" ht="38.25" customHeight="1">
      <c r="A3293" s="621" t="s">
        <v>12708</v>
      </c>
      <c r="B3293" s="622" t="s">
        <v>13080</v>
      </c>
      <c r="C3293" s="621" t="s">
        <v>8</v>
      </c>
      <c r="D3293" s="621" t="s">
        <v>1634</v>
      </c>
      <c r="E3293" s="811" t="s">
        <v>12726</v>
      </c>
      <c r="F3293" s="812"/>
      <c r="G3293" s="623" t="s">
        <v>23</v>
      </c>
      <c r="H3293" s="624">
        <v>1</v>
      </c>
      <c r="I3293" s="625">
        <v>2.92</v>
      </c>
      <c r="J3293" s="625">
        <v>2.92</v>
      </c>
      <c r="K3293"/>
    </row>
    <row r="3294" spans="1:11" ht="15" customHeight="1">
      <c r="A3294" s="621" t="s">
        <v>12708</v>
      </c>
      <c r="B3294" s="622" t="s">
        <v>13082</v>
      </c>
      <c r="C3294" s="621" t="s">
        <v>8</v>
      </c>
      <c r="D3294" s="621" t="s">
        <v>281</v>
      </c>
      <c r="E3294" s="811" t="s">
        <v>12707</v>
      </c>
      <c r="F3294" s="812"/>
      <c r="G3294" s="623" t="s">
        <v>23</v>
      </c>
      <c r="H3294" s="624">
        <v>1</v>
      </c>
      <c r="I3294" s="625">
        <v>14.32</v>
      </c>
      <c r="J3294" s="625">
        <v>14.32</v>
      </c>
      <c r="K3294"/>
    </row>
    <row r="3295" spans="1:11" ht="0.95" customHeight="1">
      <c r="A3295" s="631"/>
      <c r="B3295" s="631"/>
      <c r="C3295" s="631"/>
      <c r="D3295" s="631"/>
      <c r="E3295" s="631" t="s">
        <v>12714</v>
      </c>
      <c r="F3295" s="632">
        <v>5.5789815000000003</v>
      </c>
      <c r="G3295" s="631" t="s">
        <v>12715</v>
      </c>
      <c r="H3295" s="632">
        <v>4.74</v>
      </c>
      <c r="I3295" s="631" t="s">
        <v>12716</v>
      </c>
      <c r="J3295" s="632">
        <v>10.32</v>
      </c>
      <c r="K3295"/>
    </row>
    <row r="3296" spans="1:11" ht="18" customHeight="1" thickBot="1">
      <c r="A3296" s="631"/>
      <c r="B3296" s="631"/>
      <c r="C3296" s="631"/>
      <c r="D3296" s="631"/>
      <c r="E3296" s="631" t="s">
        <v>12717</v>
      </c>
      <c r="F3296" s="632">
        <v>30.79</v>
      </c>
      <c r="G3296" s="631"/>
      <c r="H3296" s="806" t="s">
        <v>12718</v>
      </c>
      <c r="I3296" s="806"/>
      <c r="J3296" s="632">
        <v>139.83000000000001</v>
      </c>
      <c r="K3296"/>
    </row>
    <row r="3297" spans="1:11" ht="48" customHeight="1" thickTop="1">
      <c r="A3297" s="633"/>
      <c r="B3297" s="633"/>
      <c r="C3297" s="633"/>
      <c r="D3297" s="633"/>
      <c r="E3297" s="633"/>
      <c r="F3297" s="633"/>
      <c r="G3297" s="633"/>
      <c r="H3297" s="633"/>
      <c r="I3297" s="633"/>
      <c r="J3297" s="633"/>
      <c r="K3297"/>
    </row>
    <row r="3298" spans="1:11" ht="24" customHeight="1">
      <c r="A3298" s="613"/>
      <c r="B3298" s="614" t="s">
        <v>12698</v>
      </c>
      <c r="C3298" s="613" t="s">
        <v>12699</v>
      </c>
      <c r="D3298" s="613" t="s">
        <v>12700</v>
      </c>
      <c r="E3298" s="807" t="s">
        <v>12701</v>
      </c>
      <c r="F3298" s="808"/>
      <c r="G3298" s="615" t="s">
        <v>12702</v>
      </c>
      <c r="H3298" s="614" t="s">
        <v>12703</v>
      </c>
      <c r="I3298" s="614" t="s">
        <v>12704</v>
      </c>
      <c r="J3298" s="614" t="s">
        <v>12705</v>
      </c>
      <c r="K3298"/>
    </row>
    <row r="3299" spans="1:11" ht="38.25" customHeight="1">
      <c r="A3299" s="616" t="s">
        <v>12706</v>
      </c>
      <c r="B3299" s="617" t="s">
        <v>13081</v>
      </c>
      <c r="C3299" s="616" t="s">
        <v>8</v>
      </c>
      <c r="D3299" s="616" t="s">
        <v>1633</v>
      </c>
      <c r="E3299" s="809" t="s">
        <v>12726</v>
      </c>
      <c r="F3299" s="810"/>
      <c r="G3299" s="618" t="s">
        <v>23</v>
      </c>
      <c r="H3299" s="619">
        <v>1</v>
      </c>
      <c r="I3299" s="620">
        <v>21.55</v>
      </c>
      <c r="J3299" s="620">
        <v>21.55</v>
      </c>
      <c r="K3299"/>
    </row>
    <row r="3300" spans="1:11" ht="15" customHeight="1">
      <c r="A3300" s="626" t="s">
        <v>12709</v>
      </c>
      <c r="B3300" s="627" t="s">
        <v>13078</v>
      </c>
      <c r="C3300" s="626" t="s">
        <v>8</v>
      </c>
      <c r="D3300" s="626" t="s">
        <v>10590</v>
      </c>
      <c r="E3300" s="804" t="s">
        <v>12711</v>
      </c>
      <c r="F3300" s="805"/>
      <c r="G3300" s="628" t="s">
        <v>35</v>
      </c>
      <c r="H3300" s="629">
        <v>5.5999999999999999E-5</v>
      </c>
      <c r="I3300" s="630">
        <v>384959.4</v>
      </c>
      <c r="J3300" s="630">
        <v>21.55</v>
      </c>
      <c r="K3300"/>
    </row>
    <row r="3301" spans="1:11" ht="0.95" customHeight="1">
      <c r="A3301" s="631"/>
      <c r="B3301" s="631"/>
      <c r="C3301" s="631"/>
      <c r="D3301" s="631"/>
      <c r="E3301" s="631" t="s">
        <v>12714</v>
      </c>
      <c r="F3301" s="632">
        <v>0</v>
      </c>
      <c r="G3301" s="631" t="s">
        <v>12715</v>
      </c>
      <c r="H3301" s="632">
        <v>0</v>
      </c>
      <c r="I3301" s="631" t="s">
        <v>12716</v>
      </c>
      <c r="J3301" s="632">
        <v>0</v>
      </c>
      <c r="K3301"/>
    </row>
    <row r="3302" spans="1:11" ht="18" customHeight="1" thickBot="1">
      <c r="A3302" s="631"/>
      <c r="B3302" s="631"/>
      <c r="C3302" s="631"/>
      <c r="D3302" s="631"/>
      <c r="E3302" s="631" t="s">
        <v>12717</v>
      </c>
      <c r="F3302" s="632">
        <v>6.08</v>
      </c>
      <c r="G3302" s="631"/>
      <c r="H3302" s="806" t="s">
        <v>12718</v>
      </c>
      <c r="I3302" s="806"/>
      <c r="J3302" s="632">
        <v>27.63</v>
      </c>
      <c r="K3302"/>
    </row>
    <row r="3303" spans="1:11" ht="60" customHeight="1" thickTop="1">
      <c r="A3303" s="633"/>
      <c r="B3303" s="633"/>
      <c r="C3303" s="633"/>
      <c r="D3303" s="633"/>
      <c r="E3303" s="633"/>
      <c r="F3303" s="633"/>
      <c r="G3303" s="633"/>
      <c r="H3303" s="633"/>
      <c r="I3303" s="633"/>
      <c r="J3303" s="633"/>
      <c r="K3303"/>
    </row>
    <row r="3304" spans="1:11" ht="60" customHeight="1">
      <c r="A3304" s="613"/>
      <c r="B3304" s="614" t="s">
        <v>12698</v>
      </c>
      <c r="C3304" s="613" t="s">
        <v>12699</v>
      </c>
      <c r="D3304" s="613" t="s">
        <v>12700</v>
      </c>
      <c r="E3304" s="807" t="s">
        <v>12701</v>
      </c>
      <c r="F3304" s="808"/>
      <c r="G3304" s="615" t="s">
        <v>12702</v>
      </c>
      <c r="H3304" s="614" t="s">
        <v>12703</v>
      </c>
      <c r="I3304" s="614" t="s">
        <v>12704</v>
      </c>
      <c r="J3304" s="614" t="s">
        <v>12705</v>
      </c>
      <c r="K3304"/>
    </row>
    <row r="3305" spans="1:11" ht="60" customHeight="1">
      <c r="A3305" s="616" t="s">
        <v>12706</v>
      </c>
      <c r="B3305" s="617" t="s">
        <v>13080</v>
      </c>
      <c r="C3305" s="616" t="s">
        <v>8</v>
      </c>
      <c r="D3305" s="616" t="s">
        <v>1634</v>
      </c>
      <c r="E3305" s="809" t="s">
        <v>12726</v>
      </c>
      <c r="F3305" s="810"/>
      <c r="G3305" s="618" t="s">
        <v>23</v>
      </c>
      <c r="H3305" s="619">
        <v>1</v>
      </c>
      <c r="I3305" s="620">
        <v>2.92</v>
      </c>
      <c r="J3305" s="620">
        <v>2.92</v>
      </c>
      <c r="K3305"/>
    </row>
    <row r="3306" spans="1:11" ht="60" customHeight="1">
      <c r="A3306" s="626" t="s">
        <v>12709</v>
      </c>
      <c r="B3306" s="627" t="s">
        <v>13078</v>
      </c>
      <c r="C3306" s="626" t="s">
        <v>8</v>
      </c>
      <c r="D3306" s="626" t="s">
        <v>10590</v>
      </c>
      <c r="E3306" s="804" t="s">
        <v>12711</v>
      </c>
      <c r="F3306" s="805"/>
      <c r="G3306" s="628" t="s">
        <v>35</v>
      </c>
      <c r="H3306" s="629">
        <v>7.6000000000000001E-6</v>
      </c>
      <c r="I3306" s="630">
        <v>384959.4</v>
      </c>
      <c r="J3306" s="630">
        <v>2.92</v>
      </c>
      <c r="K3306"/>
    </row>
    <row r="3307" spans="1:11" ht="60" customHeight="1">
      <c r="A3307" s="631"/>
      <c r="B3307" s="631"/>
      <c r="C3307" s="631"/>
      <c r="D3307" s="631"/>
      <c r="E3307" s="631" t="s">
        <v>12714</v>
      </c>
      <c r="F3307" s="632">
        <v>0</v>
      </c>
      <c r="G3307" s="631" t="s">
        <v>12715</v>
      </c>
      <c r="H3307" s="632">
        <v>0</v>
      </c>
      <c r="I3307" s="631" t="s">
        <v>12716</v>
      </c>
      <c r="J3307" s="632">
        <v>0</v>
      </c>
      <c r="K3307"/>
    </row>
    <row r="3308" spans="1:11" ht="24" customHeight="1" thickBot="1">
      <c r="A3308" s="631"/>
      <c r="B3308" s="631"/>
      <c r="C3308" s="631"/>
      <c r="D3308" s="631"/>
      <c r="E3308" s="631" t="s">
        <v>12717</v>
      </c>
      <c r="F3308" s="632">
        <v>0.82</v>
      </c>
      <c r="G3308" s="631"/>
      <c r="H3308" s="806" t="s">
        <v>12718</v>
      </c>
      <c r="I3308" s="806"/>
      <c r="J3308" s="632">
        <v>3.74</v>
      </c>
      <c r="K3308"/>
    </row>
    <row r="3309" spans="1:11" ht="15" thickTop="1">
      <c r="A3309" s="633"/>
      <c r="B3309" s="633"/>
      <c r="C3309" s="633"/>
      <c r="D3309" s="633"/>
      <c r="E3309" s="633"/>
      <c r="F3309" s="633"/>
      <c r="G3309" s="633"/>
      <c r="H3309" s="633"/>
      <c r="I3309" s="633"/>
      <c r="J3309" s="633"/>
      <c r="K3309"/>
    </row>
    <row r="3310" spans="1:11" ht="15" customHeight="1">
      <c r="A3310" s="613"/>
      <c r="B3310" s="614" t="s">
        <v>12698</v>
      </c>
      <c r="C3310" s="613" t="s">
        <v>12699</v>
      </c>
      <c r="D3310" s="613" t="s">
        <v>12700</v>
      </c>
      <c r="E3310" s="807" t="s">
        <v>12701</v>
      </c>
      <c r="F3310" s="808"/>
      <c r="G3310" s="615" t="s">
        <v>12702</v>
      </c>
      <c r="H3310" s="614" t="s">
        <v>12703</v>
      </c>
      <c r="I3310" s="614" t="s">
        <v>12704</v>
      </c>
      <c r="J3310" s="614" t="s">
        <v>12705</v>
      </c>
      <c r="K3310"/>
    </row>
    <row r="3311" spans="1:11" ht="0.95" customHeight="1">
      <c r="A3311" s="616" t="s">
        <v>12706</v>
      </c>
      <c r="B3311" s="617" t="s">
        <v>13079</v>
      </c>
      <c r="C3311" s="616" t="s">
        <v>8</v>
      </c>
      <c r="D3311" s="616" t="s">
        <v>1136</v>
      </c>
      <c r="E3311" s="809" t="s">
        <v>12726</v>
      </c>
      <c r="F3311" s="810"/>
      <c r="G3311" s="618" t="s">
        <v>23</v>
      </c>
      <c r="H3311" s="619">
        <v>1</v>
      </c>
      <c r="I3311" s="620">
        <v>26.94</v>
      </c>
      <c r="J3311" s="620">
        <v>26.94</v>
      </c>
      <c r="K3311"/>
    </row>
    <row r="3312" spans="1:11" ht="18" customHeight="1">
      <c r="A3312" s="626" t="s">
        <v>12709</v>
      </c>
      <c r="B3312" s="627" t="s">
        <v>13078</v>
      </c>
      <c r="C3312" s="626" t="s">
        <v>8</v>
      </c>
      <c r="D3312" s="626" t="s">
        <v>10590</v>
      </c>
      <c r="E3312" s="804" t="s">
        <v>12711</v>
      </c>
      <c r="F3312" s="805"/>
      <c r="G3312" s="628" t="s">
        <v>35</v>
      </c>
      <c r="H3312" s="629">
        <v>6.9999999999999994E-5</v>
      </c>
      <c r="I3312" s="630">
        <v>384959.4</v>
      </c>
      <c r="J3312" s="630">
        <v>26.94</v>
      </c>
      <c r="K3312"/>
    </row>
    <row r="3313" spans="1:11" ht="60" customHeight="1">
      <c r="A3313" s="631"/>
      <c r="B3313" s="631"/>
      <c r="C3313" s="631"/>
      <c r="D3313" s="631"/>
      <c r="E3313" s="631" t="s">
        <v>12714</v>
      </c>
      <c r="F3313" s="632">
        <v>0</v>
      </c>
      <c r="G3313" s="631" t="s">
        <v>12715</v>
      </c>
      <c r="H3313" s="632">
        <v>0</v>
      </c>
      <c r="I3313" s="631" t="s">
        <v>12716</v>
      </c>
      <c r="J3313" s="632">
        <v>0</v>
      </c>
      <c r="K3313"/>
    </row>
    <row r="3314" spans="1:11" ht="60" customHeight="1" thickBot="1">
      <c r="A3314" s="631"/>
      <c r="B3314" s="631"/>
      <c r="C3314" s="631"/>
      <c r="D3314" s="631"/>
      <c r="E3314" s="631" t="s">
        <v>12717</v>
      </c>
      <c r="F3314" s="632">
        <v>7.6</v>
      </c>
      <c r="G3314" s="631"/>
      <c r="H3314" s="806" t="s">
        <v>12718</v>
      </c>
      <c r="I3314" s="806"/>
      <c r="J3314" s="632">
        <v>34.54</v>
      </c>
      <c r="K3314"/>
    </row>
    <row r="3315" spans="1:11" ht="15" thickTop="1">
      <c r="A3315" s="633"/>
      <c r="B3315" s="633"/>
      <c r="C3315" s="633"/>
      <c r="D3315" s="633"/>
      <c r="E3315" s="633"/>
      <c r="F3315" s="633"/>
      <c r="G3315" s="633"/>
      <c r="H3315" s="633"/>
      <c r="I3315" s="633"/>
      <c r="J3315" s="633"/>
      <c r="K3315"/>
    </row>
    <row r="3316" spans="1:11" ht="15" customHeight="1">
      <c r="A3316" s="613"/>
      <c r="B3316" s="614" t="s">
        <v>12698</v>
      </c>
      <c r="C3316" s="613" t="s">
        <v>12699</v>
      </c>
      <c r="D3316" s="613" t="s">
        <v>12700</v>
      </c>
      <c r="E3316" s="807" t="s">
        <v>12701</v>
      </c>
      <c r="F3316" s="808"/>
      <c r="G3316" s="615" t="s">
        <v>12702</v>
      </c>
      <c r="H3316" s="614" t="s">
        <v>12703</v>
      </c>
      <c r="I3316" s="614" t="s">
        <v>12704</v>
      </c>
      <c r="J3316" s="614" t="s">
        <v>12705</v>
      </c>
      <c r="K3316"/>
    </row>
    <row r="3317" spans="1:11" ht="0.95" customHeight="1">
      <c r="A3317" s="616" t="s">
        <v>12706</v>
      </c>
      <c r="B3317" s="617" t="s">
        <v>13077</v>
      </c>
      <c r="C3317" s="616" t="s">
        <v>8</v>
      </c>
      <c r="D3317" s="616" t="s">
        <v>1137</v>
      </c>
      <c r="E3317" s="809" t="s">
        <v>12726</v>
      </c>
      <c r="F3317" s="810"/>
      <c r="G3317" s="618" t="s">
        <v>23</v>
      </c>
      <c r="H3317" s="619">
        <v>1</v>
      </c>
      <c r="I3317" s="620">
        <v>43.31</v>
      </c>
      <c r="J3317" s="620">
        <v>43.31</v>
      </c>
      <c r="K3317"/>
    </row>
    <row r="3318" spans="1:11" ht="18" customHeight="1">
      <c r="A3318" s="626" t="s">
        <v>12709</v>
      </c>
      <c r="B3318" s="627" t="s">
        <v>13007</v>
      </c>
      <c r="C3318" s="626" t="s">
        <v>8</v>
      </c>
      <c r="D3318" s="626" t="s">
        <v>10549</v>
      </c>
      <c r="E3318" s="804" t="s">
        <v>12720</v>
      </c>
      <c r="F3318" s="805"/>
      <c r="G3318" s="628" t="s">
        <v>58</v>
      </c>
      <c r="H3318" s="629">
        <v>13.37</v>
      </c>
      <c r="I3318" s="630">
        <v>3.24</v>
      </c>
      <c r="J3318" s="630">
        <v>43.31</v>
      </c>
      <c r="K3318"/>
    </row>
    <row r="3319" spans="1:11" ht="60" customHeight="1">
      <c r="A3319" s="631"/>
      <c r="B3319" s="631"/>
      <c r="C3319" s="631"/>
      <c r="D3319" s="631"/>
      <c r="E3319" s="631" t="s">
        <v>12714</v>
      </c>
      <c r="F3319" s="632">
        <v>0</v>
      </c>
      <c r="G3319" s="631" t="s">
        <v>12715</v>
      </c>
      <c r="H3319" s="632">
        <v>0</v>
      </c>
      <c r="I3319" s="631" t="s">
        <v>12716</v>
      </c>
      <c r="J3319" s="632">
        <v>0</v>
      </c>
      <c r="K3319"/>
    </row>
    <row r="3320" spans="1:11" ht="60" customHeight="1" thickBot="1">
      <c r="A3320" s="631"/>
      <c r="B3320" s="631"/>
      <c r="C3320" s="631"/>
      <c r="D3320" s="631"/>
      <c r="E3320" s="631" t="s">
        <v>12717</v>
      </c>
      <c r="F3320" s="632">
        <v>12.23</v>
      </c>
      <c r="G3320" s="631"/>
      <c r="H3320" s="806" t="s">
        <v>12718</v>
      </c>
      <c r="I3320" s="806"/>
      <c r="J3320" s="632">
        <v>55.54</v>
      </c>
      <c r="K3320"/>
    </row>
    <row r="3321" spans="1:11" ht="15" thickTop="1">
      <c r="A3321" s="633"/>
      <c r="B3321" s="633"/>
      <c r="C3321" s="633"/>
      <c r="D3321" s="633"/>
      <c r="E3321" s="633"/>
      <c r="F3321" s="633"/>
      <c r="G3321" s="633"/>
      <c r="H3321" s="633"/>
      <c r="I3321" s="633"/>
      <c r="J3321" s="633"/>
      <c r="K3321"/>
    </row>
    <row r="3322" spans="1:11" ht="15" customHeight="1">
      <c r="A3322" s="613"/>
      <c r="B3322" s="614" t="s">
        <v>12698</v>
      </c>
      <c r="C3322" s="613" t="s">
        <v>12699</v>
      </c>
      <c r="D3322" s="613" t="s">
        <v>12700</v>
      </c>
      <c r="E3322" s="807" t="s">
        <v>12701</v>
      </c>
      <c r="F3322" s="808"/>
      <c r="G3322" s="615" t="s">
        <v>12702</v>
      </c>
      <c r="H3322" s="614" t="s">
        <v>12703</v>
      </c>
      <c r="I3322" s="614" t="s">
        <v>12704</v>
      </c>
      <c r="J3322" s="614" t="s">
        <v>12705</v>
      </c>
      <c r="K3322"/>
    </row>
    <row r="3323" spans="1:11" ht="0.95" customHeight="1">
      <c r="A3323" s="616" t="s">
        <v>12706</v>
      </c>
      <c r="B3323" s="617" t="s">
        <v>13076</v>
      </c>
      <c r="C3323" s="616" t="s">
        <v>8</v>
      </c>
      <c r="D3323" s="616" t="s">
        <v>1025</v>
      </c>
      <c r="E3323" s="809" t="s">
        <v>12726</v>
      </c>
      <c r="F3323" s="810"/>
      <c r="G3323" s="618" t="s">
        <v>44</v>
      </c>
      <c r="H3323" s="619">
        <v>1</v>
      </c>
      <c r="I3323" s="620">
        <v>72.38</v>
      </c>
      <c r="J3323" s="620">
        <v>72.38</v>
      </c>
      <c r="K3323"/>
    </row>
    <row r="3324" spans="1:11" ht="18" customHeight="1">
      <c r="A3324" s="621" t="s">
        <v>12708</v>
      </c>
      <c r="B3324" s="622" t="s">
        <v>13073</v>
      </c>
      <c r="C3324" s="621" t="s">
        <v>8</v>
      </c>
      <c r="D3324" s="621" t="s">
        <v>1020</v>
      </c>
      <c r="E3324" s="811" t="s">
        <v>12726</v>
      </c>
      <c r="F3324" s="812"/>
      <c r="G3324" s="623" t="s">
        <v>23</v>
      </c>
      <c r="H3324" s="624">
        <v>1</v>
      </c>
      <c r="I3324" s="625">
        <v>15.32</v>
      </c>
      <c r="J3324" s="625">
        <v>15.32</v>
      </c>
      <c r="K3324"/>
    </row>
    <row r="3325" spans="1:11" ht="60" customHeight="1">
      <c r="A3325" s="621" t="s">
        <v>12708</v>
      </c>
      <c r="B3325" s="622" t="s">
        <v>13071</v>
      </c>
      <c r="C3325" s="621" t="s">
        <v>8</v>
      </c>
      <c r="D3325" s="621" t="s">
        <v>1021</v>
      </c>
      <c r="E3325" s="811" t="s">
        <v>12726</v>
      </c>
      <c r="F3325" s="812"/>
      <c r="G3325" s="623" t="s">
        <v>23</v>
      </c>
      <c r="H3325" s="624">
        <v>1</v>
      </c>
      <c r="I3325" s="625">
        <v>26.69</v>
      </c>
      <c r="J3325" s="625">
        <v>26.69</v>
      </c>
      <c r="K3325"/>
    </row>
    <row r="3326" spans="1:11" ht="60" customHeight="1">
      <c r="A3326" s="621" t="s">
        <v>12708</v>
      </c>
      <c r="B3326" s="622" t="s">
        <v>13075</v>
      </c>
      <c r="C3326" s="621" t="s">
        <v>8</v>
      </c>
      <c r="D3326" s="621" t="s">
        <v>1599</v>
      </c>
      <c r="E3326" s="811" t="s">
        <v>12726</v>
      </c>
      <c r="F3326" s="812"/>
      <c r="G3326" s="623" t="s">
        <v>23</v>
      </c>
      <c r="H3326" s="624">
        <v>1</v>
      </c>
      <c r="I3326" s="625">
        <v>12.26</v>
      </c>
      <c r="J3326" s="625">
        <v>12.26</v>
      </c>
      <c r="K3326"/>
    </row>
    <row r="3327" spans="1:11" ht="51">
      <c r="A3327" s="621" t="s">
        <v>12708</v>
      </c>
      <c r="B3327" s="622" t="s">
        <v>13074</v>
      </c>
      <c r="C3327" s="621" t="s">
        <v>8</v>
      </c>
      <c r="D3327" s="621" t="s">
        <v>1600</v>
      </c>
      <c r="E3327" s="811" t="s">
        <v>12726</v>
      </c>
      <c r="F3327" s="812"/>
      <c r="G3327" s="623" t="s">
        <v>23</v>
      </c>
      <c r="H3327" s="624">
        <v>1</v>
      </c>
      <c r="I3327" s="625">
        <v>1.66</v>
      </c>
      <c r="J3327" s="625">
        <v>1.66</v>
      </c>
      <c r="K3327"/>
    </row>
    <row r="3328" spans="1:11" ht="15" customHeight="1">
      <c r="A3328" s="621" t="s">
        <v>12708</v>
      </c>
      <c r="B3328" s="622" t="s">
        <v>13068</v>
      </c>
      <c r="C3328" s="621" t="s">
        <v>8</v>
      </c>
      <c r="D3328" s="621" t="s">
        <v>274</v>
      </c>
      <c r="E3328" s="811" t="s">
        <v>12707</v>
      </c>
      <c r="F3328" s="812"/>
      <c r="G3328" s="623" t="s">
        <v>23</v>
      </c>
      <c r="H3328" s="624">
        <v>1</v>
      </c>
      <c r="I3328" s="625">
        <v>16.45</v>
      </c>
      <c r="J3328" s="625">
        <v>16.45</v>
      </c>
      <c r="K3328"/>
    </row>
    <row r="3329" spans="1:11" ht="0.95" customHeight="1">
      <c r="A3329" s="631"/>
      <c r="B3329" s="631"/>
      <c r="C3329" s="631"/>
      <c r="D3329" s="631"/>
      <c r="E3329" s="631" t="s">
        <v>12714</v>
      </c>
      <c r="F3329" s="632">
        <v>6.7304573000000003</v>
      </c>
      <c r="G3329" s="631" t="s">
        <v>12715</v>
      </c>
      <c r="H3329" s="632">
        <v>5.72</v>
      </c>
      <c r="I3329" s="631" t="s">
        <v>12716</v>
      </c>
      <c r="J3329" s="632">
        <v>12.45</v>
      </c>
      <c r="K3329"/>
    </row>
    <row r="3330" spans="1:11" ht="18" customHeight="1" thickBot="1">
      <c r="A3330" s="631"/>
      <c r="B3330" s="631"/>
      <c r="C3330" s="631"/>
      <c r="D3330" s="631"/>
      <c r="E3330" s="631" t="s">
        <v>12717</v>
      </c>
      <c r="F3330" s="632">
        <v>20.440000000000001</v>
      </c>
      <c r="G3330" s="631"/>
      <c r="H3330" s="806" t="s">
        <v>12718</v>
      </c>
      <c r="I3330" s="806"/>
      <c r="J3330" s="632">
        <v>92.82</v>
      </c>
      <c r="K3330"/>
    </row>
    <row r="3331" spans="1:11" ht="60" customHeight="1" thickTop="1">
      <c r="A3331" s="633"/>
      <c r="B3331" s="633"/>
      <c r="C3331" s="633"/>
      <c r="D3331" s="633"/>
      <c r="E3331" s="633"/>
      <c r="F3331" s="633"/>
      <c r="G3331" s="633"/>
      <c r="H3331" s="633"/>
      <c r="I3331" s="633"/>
      <c r="J3331" s="633"/>
      <c r="K3331"/>
    </row>
    <row r="3332" spans="1:11" ht="24" customHeight="1">
      <c r="A3332" s="613"/>
      <c r="B3332" s="614" t="s">
        <v>12698</v>
      </c>
      <c r="C3332" s="613" t="s">
        <v>12699</v>
      </c>
      <c r="D3332" s="613" t="s">
        <v>12700</v>
      </c>
      <c r="E3332" s="807" t="s">
        <v>12701</v>
      </c>
      <c r="F3332" s="808"/>
      <c r="G3332" s="615" t="s">
        <v>12702</v>
      </c>
      <c r="H3332" s="614" t="s">
        <v>12703</v>
      </c>
      <c r="I3332" s="614" t="s">
        <v>12704</v>
      </c>
      <c r="J3332" s="614" t="s">
        <v>12705</v>
      </c>
      <c r="K3332"/>
    </row>
    <row r="3333" spans="1:11" ht="51">
      <c r="A3333" s="616" t="s">
        <v>12706</v>
      </c>
      <c r="B3333" s="617" t="s">
        <v>13075</v>
      </c>
      <c r="C3333" s="616" t="s">
        <v>8</v>
      </c>
      <c r="D3333" s="616" t="s">
        <v>1599</v>
      </c>
      <c r="E3333" s="809" t="s">
        <v>12726</v>
      </c>
      <c r="F3333" s="810"/>
      <c r="G3333" s="618" t="s">
        <v>23</v>
      </c>
      <c r="H3333" s="619">
        <v>1</v>
      </c>
      <c r="I3333" s="620">
        <v>12.26</v>
      </c>
      <c r="J3333" s="620">
        <v>12.26</v>
      </c>
      <c r="K3333"/>
    </row>
    <row r="3334" spans="1:11" ht="15" customHeight="1">
      <c r="A3334" s="626" t="s">
        <v>12709</v>
      </c>
      <c r="B3334" s="627" t="s">
        <v>13072</v>
      </c>
      <c r="C3334" s="626" t="s">
        <v>8</v>
      </c>
      <c r="D3334" s="626" t="s">
        <v>11182</v>
      </c>
      <c r="E3334" s="804" t="s">
        <v>12711</v>
      </c>
      <c r="F3334" s="805"/>
      <c r="G3334" s="628" t="s">
        <v>35</v>
      </c>
      <c r="H3334" s="629">
        <v>5.5999999999999999E-5</v>
      </c>
      <c r="I3334" s="630">
        <v>218963.41</v>
      </c>
      <c r="J3334" s="630">
        <v>12.26</v>
      </c>
      <c r="K3334"/>
    </row>
    <row r="3335" spans="1:11" ht="0.95" customHeight="1">
      <c r="A3335" s="631"/>
      <c r="B3335" s="631"/>
      <c r="C3335" s="631"/>
      <c r="D3335" s="631"/>
      <c r="E3335" s="631" t="s">
        <v>12714</v>
      </c>
      <c r="F3335" s="632">
        <v>0</v>
      </c>
      <c r="G3335" s="631" t="s">
        <v>12715</v>
      </c>
      <c r="H3335" s="632">
        <v>0</v>
      </c>
      <c r="I3335" s="631" t="s">
        <v>12716</v>
      </c>
      <c r="J3335" s="632">
        <v>0</v>
      </c>
      <c r="K3335"/>
    </row>
    <row r="3336" spans="1:11" ht="18" customHeight="1" thickBot="1">
      <c r="A3336" s="631"/>
      <c r="B3336" s="631"/>
      <c r="C3336" s="631"/>
      <c r="D3336" s="631"/>
      <c r="E3336" s="631" t="s">
        <v>12717</v>
      </c>
      <c r="F3336" s="632">
        <v>3.46</v>
      </c>
      <c r="G3336" s="631"/>
      <c r="H3336" s="806" t="s">
        <v>12718</v>
      </c>
      <c r="I3336" s="806"/>
      <c r="J3336" s="632">
        <v>15.72</v>
      </c>
      <c r="K3336"/>
    </row>
    <row r="3337" spans="1:11" ht="60" customHeight="1" thickTop="1">
      <c r="A3337" s="633"/>
      <c r="B3337" s="633"/>
      <c r="C3337" s="633"/>
      <c r="D3337" s="633"/>
      <c r="E3337" s="633"/>
      <c r="F3337" s="633"/>
      <c r="G3337" s="633"/>
      <c r="H3337" s="633"/>
      <c r="I3337" s="633"/>
      <c r="J3337" s="633"/>
      <c r="K3337"/>
    </row>
    <row r="3338" spans="1:11" ht="60" customHeight="1">
      <c r="A3338" s="613"/>
      <c r="B3338" s="614" t="s">
        <v>12698</v>
      </c>
      <c r="C3338" s="613" t="s">
        <v>12699</v>
      </c>
      <c r="D3338" s="613" t="s">
        <v>12700</v>
      </c>
      <c r="E3338" s="807" t="s">
        <v>12701</v>
      </c>
      <c r="F3338" s="808"/>
      <c r="G3338" s="615" t="s">
        <v>12702</v>
      </c>
      <c r="H3338" s="614" t="s">
        <v>12703</v>
      </c>
      <c r="I3338" s="614" t="s">
        <v>12704</v>
      </c>
      <c r="J3338" s="614" t="s">
        <v>12705</v>
      </c>
      <c r="K3338"/>
    </row>
    <row r="3339" spans="1:11" ht="60" customHeight="1">
      <c r="A3339" s="616" t="s">
        <v>12706</v>
      </c>
      <c r="B3339" s="617" t="s">
        <v>13074</v>
      </c>
      <c r="C3339" s="616" t="s">
        <v>8</v>
      </c>
      <c r="D3339" s="616" t="s">
        <v>1600</v>
      </c>
      <c r="E3339" s="809" t="s">
        <v>12726</v>
      </c>
      <c r="F3339" s="810"/>
      <c r="G3339" s="618" t="s">
        <v>23</v>
      </c>
      <c r="H3339" s="619">
        <v>1</v>
      </c>
      <c r="I3339" s="620">
        <v>1.66</v>
      </c>
      <c r="J3339" s="620">
        <v>1.66</v>
      </c>
      <c r="K3339"/>
    </row>
    <row r="3340" spans="1:11" ht="24" customHeight="1">
      <c r="A3340" s="626" t="s">
        <v>12709</v>
      </c>
      <c r="B3340" s="627" t="s">
        <v>13072</v>
      </c>
      <c r="C3340" s="626" t="s">
        <v>8</v>
      </c>
      <c r="D3340" s="626" t="s">
        <v>11182</v>
      </c>
      <c r="E3340" s="804" t="s">
        <v>12711</v>
      </c>
      <c r="F3340" s="805"/>
      <c r="G3340" s="628" t="s">
        <v>35</v>
      </c>
      <c r="H3340" s="629">
        <v>7.6000000000000001E-6</v>
      </c>
      <c r="I3340" s="630">
        <v>218963.41</v>
      </c>
      <c r="J3340" s="630">
        <v>1.66</v>
      </c>
      <c r="K3340"/>
    </row>
    <row r="3341" spans="1:11" ht="25.5">
      <c r="A3341" s="631"/>
      <c r="B3341" s="631"/>
      <c r="C3341" s="631"/>
      <c r="D3341" s="631"/>
      <c r="E3341" s="631" t="s">
        <v>12714</v>
      </c>
      <c r="F3341" s="632">
        <v>0</v>
      </c>
      <c r="G3341" s="631" t="s">
        <v>12715</v>
      </c>
      <c r="H3341" s="632">
        <v>0</v>
      </c>
      <c r="I3341" s="631" t="s">
        <v>12716</v>
      </c>
      <c r="J3341" s="632">
        <v>0</v>
      </c>
      <c r="K3341"/>
    </row>
    <row r="3342" spans="1:11" ht="15" customHeight="1" thickBot="1">
      <c r="A3342" s="631"/>
      <c r="B3342" s="631"/>
      <c r="C3342" s="631"/>
      <c r="D3342" s="631"/>
      <c r="E3342" s="631" t="s">
        <v>12717</v>
      </c>
      <c r="F3342" s="632">
        <v>0.46</v>
      </c>
      <c r="G3342" s="631"/>
      <c r="H3342" s="806" t="s">
        <v>12718</v>
      </c>
      <c r="I3342" s="806"/>
      <c r="J3342" s="632">
        <v>2.12</v>
      </c>
      <c r="K3342"/>
    </row>
    <row r="3343" spans="1:11" ht="0.95" customHeight="1" thickTop="1">
      <c r="A3343" s="633"/>
      <c r="B3343" s="633"/>
      <c r="C3343" s="633"/>
      <c r="D3343" s="633"/>
      <c r="E3343" s="633"/>
      <c r="F3343" s="633"/>
      <c r="G3343" s="633"/>
      <c r="H3343" s="633"/>
      <c r="I3343" s="633"/>
      <c r="J3343" s="633"/>
      <c r="K3343"/>
    </row>
    <row r="3344" spans="1:11" ht="18" customHeight="1">
      <c r="A3344" s="613"/>
      <c r="B3344" s="614" t="s">
        <v>12698</v>
      </c>
      <c r="C3344" s="613" t="s">
        <v>12699</v>
      </c>
      <c r="D3344" s="613" t="s">
        <v>12700</v>
      </c>
      <c r="E3344" s="807" t="s">
        <v>12701</v>
      </c>
      <c r="F3344" s="808"/>
      <c r="G3344" s="615" t="s">
        <v>12702</v>
      </c>
      <c r="H3344" s="614" t="s">
        <v>12703</v>
      </c>
      <c r="I3344" s="614" t="s">
        <v>12704</v>
      </c>
      <c r="J3344" s="614" t="s">
        <v>12705</v>
      </c>
      <c r="K3344"/>
    </row>
    <row r="3345" spans="1:11" ht="60" customHeight="1">
      <c r="A3345" s="616" t="s">
        <v>12706</v>
      </c>
      <c r="B3345" s="617" t="s">
        <v>13073</v>
      </c>
      <c r="C3345" s="616" t="s">
        <v>8</v>
      </c>
      <c r="D3345" s="616" t="s">
        <v>1020</v>
      </c>
      <c r="E3345" s="809" t="s">
        <v>12726</v>
      </c>
      <c r="F3345" s="810"/>
      <c r="G3345" s="618" t="s">
        <v>23</v>
      </c>
      <c r="H3345" s="619">
        <v>1</v>
      </c>
      <c r="I3345" s="620">
        <v>15.32</v>
      </c>
      <c r="J3345" s="620">
        <v>15.32</v>
      </c>
      <c r="K3345"/>
    </row>
    <row r="3346" spans="1:11" ht="60" customHeight="1">
      <c r="A3346" s="626" t="s">
        <v>12709</v>
      </c>
      <c r="B3346" s="627" t="s">
        <v>13072</v>
      </c>
      <c r="C3346" s="626" t="s">
        <v>8</v>
      </c>
      <c r="D3346" s="626" t="s">
        <v>11182</v>
      </c>
      <c r="E3346" s="804" t="s">
        <v>12711</v>
      </c>
      <c r="F3346" s="805"/>
      <c r="G3346" s="628" t="s">
        <v>35</v>
      </c>
      <c r="H3346" s="629">
        <v>6.9999999999999994E-5</v>
      </c>
      <c r="I3346" s="630">
        <v>218963.41</v>
      </c>
      <c r="J3346" s="630">
        <v>15.32</v>
      </c>
      <c r="K3346"/>
    </row>
    <row r="3347" spans="1:11" ht="60" customHeight="1">
      <c r="A3347" s="631"/>
      <c r="B3347" s="631"/>
      <c r="C3347" s="631"/>
      <c r="D3347" s="631"/>
      <c r="E3347" s="631" t="s">
        <v>12714</v>
      </c>
      <c r="F3347" s="632">
        <v>0</v>
      </c>
      <c r="G3347" s="631" t="s">
        <v>12715</v>
      </c>
      <c r="H3347" s="632">
        <v>0</v>
      </c>
      <c r="I3347" s="631" t="s">
        <v>12716</v>
      </c>
      <c r="J3347" s="632">
        <v>0</v>
      </c>
      <c r="K3347"/>
    </row>
    <row r="3348" spans="1:11" ht="60" customHeight="1" thickBot="1">
      <c r="A3348" s="631"/>
      <c r="B3348" s="631"/>
      <c r="C3348" s="631"/>
      <c r="D3348" s="631"/>
      <c r="E3348" s="631" t="s">
        <v>12717</v>
      </c>
      <c r="F3348" s="632">
        <v>4.32</v>
      </c>
      <c r="G3348" s="631"/>
      <c r="H3348" s="806" t="s">
        <v>12718</v>
      </c>
      <c r="I3348" s="806"/>
      <c r="J3348" s="632">
        <v>19.64</v>
      </c>
      <c r="K3348"/>
    </row>
    <row r="3349" spans="1:11" ht="60" customHeight="1" thickTop="1">
      <c r="A3349" s="633"/>
      <c r="B3349" s="633"/>
      <c r="C3349" s="633"/>
      <c r="D3349" s="633"/>
      <c r="E3349" s="633"/>
      <c r="F3349" s="633"/>
      <c r="G3349" s="633"/>
      <c r="H3349" s="633"/>
      <c r="I3349" s="633"/>
      <c r="J3349" s="633"/>
      <c r="K3349"/>
    </row>
    <row r="3350" spans="1:11" ht="24" customHeight="1">
      <c r="A3350" s="613"/>
      <c r="B3350" s="614" t="s">
        <v>12698</v>
      </c>
      <c r="C3350" s="613" t="s">
        <v>12699</v>
      </c>
      <c r="D3350" s="613" t="s">
        <v>12700</v>
      </c>
      <c r="E3350" s="807" t="s">
        <v>12701</v>
      </c>
      <c r="F3350" s="808"/>
      <c r="G3350" s="615" t="s">
        <v>12702</v>
      </c>
      <c r="H3350" s="614" t="s">
        <v>12703</v>
      </c>
      <c r="I3350" s="614" t="s">
        <v>12704</v>
      </c>
      <c r="J3350" s="614" t="s">
        <v>12705</v>
      </c>
      <c r="K3350"/>
    </row>
    <row r="3351" spans="1:11" ht="63.75">
      <c r="A3351" s="616" t="s">
        <v>12706</v>
      </c>
      <c r="B3351" s="617" t="s">
        <v>13071</v>
      </c>
      <c r="C3351" s="616" t="s">
        <v>8</v>
      </c>
      <c r="D3351" s="616" t="s">
        <v>1021</v>
      </c>
      <c r="E3351" s="809" t="s">
        <v>12726</v>
      </c>
      <c r="F3351" s="810"/>
      <c r="G3351" s="618" t="s">
        <v>23</v>
      </c>
      <c r="H3351" s="619">
        <v>1</v>
      </c>
      <c r="I3351" s="620">
        <v>26.69</v>
      </c>
      <c r="J3351" s="620">
        <v>26.69</v>
      </c>
      <c r="K3351"/>
    </row>
    <row r="3352" spans="1:11" ht="15" customHeight="1">
      <c r="A3352" s="626" t="s">
        <v>12709</v>
      </c>
      <c r="B3352" s="627" t="s">
        <v>13007</v>
      </c>
      <c r="C3352" s="626" t="s">
        <v>8</v>
      </c>
      <c r="D3352" s="626" t="s">
        <v>10549</v>
      </c>
      <c r="E3352" s="804" t="s">
        <v>12720</v>
      </c>
      <c r="F3352" s="805"/>
      <c r="G3352" s="628" t="s">
        <v>58</v>
      </c>
      <c r="H3352" s="629">
        <v>8.24</v>
      </c>
      <c r="I3352" s="630">
        <v>3.24</v>
      </c>
      <c r="J3352" s="630">
        <v>26.69</v>
      </c>
      <c r="K3352"/>
    </row>
    <row r="3353" spans="1:11" ht="0.95" customHeight="1">
      <c r="A3353" s="631"/>
      <c r="B3353" s="631"/>
      <c r="C3353" s="631"/>
      <c r="D3353" s="631"/>
      <c r="E3353" s="631" t="s">
        <v>12714</v>
      </c>
      <c r="F3353" s="632">
        <v>0</v>
      </c>
      <c r="G3353" s="631" t="s">
        <v>12715</v>
      </c>
      <c r="H3353" s="632">
        <v>0</v>
      </c>
      <c r="I3353" s="631" t="s">
        <v>12716</v>
      </c>
      <c r="J3353" s="632">
        <v>0</v>
      </c>
      <c r="K3353"/>
    </row>
    <row r="3354" spans="1:11" ht="18" customHeight="1" thickBot="1">
      <c r="A3354" s="631"/>
      <c r="B3354" s="631"/>
      <c r="C3354" s="631"/>
      <c r="D3354" s="631"/>
      <c r="E3354" s="631" t="s">
        <v>12717</v>
      </c>
      <c r="F3354" s="632">
        <v>7.53</v>
      </c>
      <c r="G3354" s="631"/>
      <c r="H3354" s="806" t="s">
        <v>12718</v>
      </c>
      <c r="I3354" s="806"/>
      <c r="J3354" s="632">
        <v>34.22</v>
      </c>
      <c r="K3354"/>
    </row>
    <row r="3355" spans="1:11" ht="60" customHeight="1" thickTop="1">
      <c r="A3355" s="633"/>
      <c r="B3355" s="633"/>
      <c r="C3355" s="633"/>
      <c r="D3355" s="633"/>
      <c r="E3355" s="633"/>
      <c r="F3355" s="633"/>
      <c r="G3355" s="633"/>
      <c r="H3355" s="633"/>
      <c r="I3355" s="633"/>
      <c r="J3355" s="633"/>
      <c r="K3355"/>
    </row>
    <row r="3356" spans="1:11" ht="60" customHeight="1">
      <c r="A3356" s="613"/>
      <c r="B3356" s="614" t="s">
        <v>12698</v>
      </c>
      <c r="C3356" s="613" t="s">
        <v>12699</v>
      </c>
      <c r="D3356" s="613" t="s">
        <v>12700</v>
      </c>
      <c r="E3356" s="807" t="s">
        <v>12701</v>
      </c>
      <c r="F3356" s="808"/>
      <c r="G3356" s="615" t="s">
        <v>12702</v>
      </c>
      <c r="H3356" s="614" t="s">
        <v>12703</v>
      </c>
      <c r="I3356" s="614" t="s">
        <v>12704</v>
      </c>
      <c r="J3356" s="614" t="s">
        <v>12705</v>
      </c>
      <c r="K3356"/>
    </row>
    <row r="3357" spans="1:11" ht="51">
      <c r="A3357" s="616" t="s">
        <v>12706</v>
      </c>
      <c r="B3357" s="617" t="s">
        <v>13070</v>
      </c>
      <c r="C3357" s="616" t="s">
        <v>8</v>
      </c>
      <c r="D3357" s="616" t="s">
        <v>1024</v>
      </c>
      <c r="E3357" s="809" t="s">
        <v>12726</v>
      </c>
      <c r="F3357" s="810"/>
      <c r="G3357" s="618" t="s">
        <v>61</v>
      </c>
      <c r="H3357" s="619">
        <v>1</v>
      </c>
      <c r="I3357" s="620">
        <v>32.1</v>
      </c>
      <c r="J3357" s="620">
        <v>32.1</v>
      </c>
      <c r="K3357"/>
    </row>
    <row r="3358" spans="1:11" ht="15" customHeight="1">
      <c r="A3358" s="621" t="s">
        <v>12708</v>
      </c>
      <c r="B3358" s="622" t="s">
        <v>13067</v>
      </c>
      <c r="C3358" s="621" t="s">
        <v>8</v>
      </c>
      <c r="D3358" s="621" t="s">
        <v>1597</v>
      </c>
      <c r="E3358" s="811" t="s">
        <v>12726</v>
      </c>
      <c r="F3358" s="812"/>
      <c r="G3358" s="623" t="s">
        <v>23</v>
      </c>
      <c r="H3358" s="624">
        <v>1</v>
      </c>
      <c r="I3358" s="625">
        <v>13.78</v>
      </c>
      <c r="J3358" s="625">
        <v>13.78</v>
      </c>
      <c r="K3358"/>
    </row>
    <row r="3359" spans="1:11" ht="0.95" customHeight="1">
      <c r="A3359" s="621" t="s">
        <v>12708</v>
      </c>
      <c r="B3359" s="622" t="s">
        <v>13066</v>
      </c>
      <c r="C3359" s="621" t="s">
        <v>8</v>
      </c>
      <c r="D3359" s="621" t="s">
        <v>1598</v>
      </c>
      <c r="E3359" s="811" t="s">
        <v>12726</v>
      </c>
      <c r="F3359" s="812"/>
      <c r="G3359" s="623" t="s">
        <v>23</v>
      </c>
      <c r="H3359" s="624">
        <v>1</v>
      </c>
      <c r="I3359" s="625">
        <v>1.87</v>
      </c>
      <c r="J3359" s="625">
        <v>1.87</v>
      </c>
      <c r="K3359"/>
    </row>
    <row r="3360" spans="1:11" ht="18" customHeight="1">
      <c r="A3360" s="621" t="s">
        <v>12708</v>
      </c>
      <c r="B3360" s="622" t="s">
        <v>13068</v>
      </c>
      <c r="C3360" s="621" t="s">
        <v>8</v>
      </c>
      <c r="D3360" s="621" t="s">
        <v>274</v>
      </c>
      <c r="E3360" s="811" t="s">
        <v>12707</v>
      </c>
      <c r="F3360" s="812"/>
      <c r="G3360" s="623" t="s">
        <v>23</v>
      </c>
      <c r="H3360" s="624">
        <v>1</v>
      </c>
      <c r="I3360" s="625">
        <v>16.45</v>
      </c>
      <c r="J3360" s="625">
        <v>16.45</v>
      </c>
      <c r="K3360"/>
    </row>
    <row r="3361" spans="1:11" ht="60" customHeight="1">
      <c r="A3361" s="631"/>
      <c r="B3361" s="631"/>
      <c r="C3361" s="631"/>
      <c r="D3361" s="631"/>
      <c r="E3361" s="631" t="s">
        <v>12714</v>
      </c>
      <c r="F3361" s="632">
        <v>6.7304573000000003</v>
      </c>
      <c r="G3361" s="631" t="s">
        <v>12715</v>
      </c>
      <c r="H3361" s="632">
        <v>5.72</v>
      </c>
      <c r="I3361" s="631" t="s">
        <v>12716</v>
      </c>
      <c r="J3361" s="632">
        <v>12.45</v>
      </c>
      <c r="K3361"/>
    </row>
    <row r="3362" spans="1:11" ht="60" customHeight="1" thickBot="1">
      <c r="A3362" s="631"/>
      <c r="B3362" s="631"/>
      <c r="C3362" s="631"/>
      <c r="D3362" s="631"/>
      <c r="E3362" s="631" t="s">
        <v>12717</v>
      </c>
      <c r="F3362" s="632">
        <v>9.06</v>
      </c>
      <c r="G3362" s="631"/>
      <c r="H3362" s="806" t="s">
        <v>12718</v>
      </c>
      <c r="I3362" s="806"/>
      <c r="J3362" s="632">
        <v>41.16</v>
      </c>
      <c r="K3362"/>
    </row>
    <row r="3363" spans="1:11" ht="15" thickTop="1">
      <c r="A3363" s="633"/>
      <c r="B3363" s="633"/>
      <c r="C3363" s="633"/>
      <c r="D3363" s="633"/>
      <c r="E3363" s="633"/>
      <c r="F3363" s="633"/>
      <c r="G3363" s="633"/>
      <c r="H3363" s="633"/>
      <c r="I3363" s="633"/>
      <c r="J3363" s="633"/>
      <c r="K3363"/>
    </row>
    <row r="3364" spans="1:11" ht="15" customHeight="1">
      <c r="A3364" s="613"/>
      <c r="B3364" s="614" t="s">
        <v>12698</v>
      </c>
      <c r="C3364" s="613" t="s">
        <v>12699</v>
      </c>
      <c r="D3364" s="613" t="s">
        <v>12700</v>
      </c>
      <c r="E3364" s="807" t="s">
        <v>12701</v>
      </c>
      <c r="F3364" s="808"/>
      <c r="G3364" s="615" t="s">
        <v>12702</v>
      </c>
      <c r="H3364" s="614" t="s">
        <v>12703</v>
      </c>
      <c r="I3364" s="614" t="s">
        <v>12704</v>
      </c>
      <c r="J3364" s="614" t="s">
        <v>12705</v>
      </c>
      <c r="K3364"/>
    </row>
    <row r="3365" spans="1:11" ht="0.95" customHeight="1">
      <c r="A3365" s="616" t="s">
        <v>12706</v>
      </c>
      <c r="B3365" s="617" t="s">
        <v>13069</v>
      </c>
      <c r="C3365" s="616" t="s">
        <v>8</v>
      </c>
      <c r="D3365" s="616" t="s">
        <v>1023</v>
      </c>
      <c r="E3365" s="809" t="s">
        <v>12726</v>
      </c>
      <c r="F3365" s="810"/>
      <c r="G3365" s="618" t="s">
        <v>44</v>
      </c>
      <c r="H3365" s="619">
        <v>1</v>
      </c>
      <c r="I3365" s="620">
        <v>78.23</v>
      </c>
      <c r="J3365" s="620">
        <v>78.23</v>
      </c>
      <c r="K3365"/>
    </row>
    <row r="3366" spans="1:11" ht="18" customHeight="1">
      <c r="A3366" s="621" t="s">
        <v>12708</v>
      </c>
      <c r="B3366" s="622" t="s">
        <v>13065</v>
      </c>
      <c r="C3366" s="621" t="s">
        <v>8</v>
      </c>
      <c r="D3366" s="621" t="s">
        <v>1019</v>
      </c>
      <c r="E3366" s="811" t="s">
        <v>12726</v>
      </c>
      <c r="F3366" s="812"/>
      <c r="G3366" s="623" t="s">
        <v>23</v>
      </c>
      <c r="H3366" s="624">
        <v>1</v>
      </c>
      <c r="I3366" s="625">
        <v>17.23</v>
      </c>
      <c r="J3366" s="625">
        <v>17.23</v>
      </c>
      <c r="K3366"/>
    </row>
    <row r="3367" spans="1:11" ht="60" customHeight="1">
      <c r="A3367" s="621" t="s">
        <v>12708</v>
      </c>
      <c r="B3367" s="622" t="s">
        <v>13063</v>
      </c>
      <c r="C3367" s="621" t="s">
        <v>8</v>
      </c>
      <c r="D3367" s="621" t="s">
        <v>1122</v>
      </c>
      <c r="E3367" s="811" t="s">
        <v>12726</v>
      </c>
      <c r="F3367" s="812"/>
      <c r="G3367" s="623" t="s">
        <v>23</v>
      </c>
      <c r="H3367" s="624">
        <v>1</v>
      </c>
      <c r="I3367" s="625">
        <v>28.9</v>
      </c>
      <c r="J3367" s="625">
        <v>28.9</v>
      </c>
      <c r="K3367"/>
    </row>
    <row r="3368" spans="1:11" ht="60" customHeight="1">
      <c r="A3368" s="621" t="s">
        <v>12708</v>
      </c>
      <c r="B3368" s="622" t="s">
        <v>13067</v>
      </c>
      <c r="C3368" s="621" t="s">
        <v>8</v>
      </c>
      <c r="D3368" s="621" t="s">
        <v>1597</v>
      </c>
      <c r="E3368" s="811" t="s">
        <v>12726</v>
      </c>
      <c r="F3368" s="812"/>
      <c r="G3368" s="623" t="s">
        <v>23</v>
      </c>
      <c r="H3368" s="624">
        <v>1</v>
      </c>
      <c r="I3368" s="625">
        <v>13.78</v>
      </c>
      <c r="J3368" s="625">
        <v>13.78</v>
      </c>
      <c r="K3368"/>
    </row>
    <row r="3369" spans="1:11" ht="51">
      <c r="A3369" s="621" t="s">
        <v>12708</v>
      </c>
      <c r="B3369" s="622" t="s">
        <v>13066</v>
      </c>
      <c r="C3369" s="621" t="s">
        <v>8</v>
      </c>
      <c r="D3369" s="621" t="s">
        <v>1598</v>
      </c>
      <c r="E3369" s="811" t="s">
        <v>12726</v>
      </c>
      <c r="F3369" s="812"/>
      <c r="G3369" s="623" t="s">
        <v>23</v>
      </c>
      <c r="H3369" s="624">
        <v>1</v>
      </c>
      <c r="I3369" s="625">
        <v>1.87</v>
      </c>
      <c r="J3369" s="625">
        <v>1.87</v>
      </c>
      <c r="K3369"/>
    </row>
    <row r="3370" spans="1:11" ht="15" customHeight="1">
      <c r="A3370" s="621" t="s">
        <v>12708</v>
      </c>
      <c r="B3370" s="622" t="s">
        <v>13068</v>
      </c>
      <c r="C3370" s="621" t="s">
        <v>8</v>
      </c>
      <c r="D3370" s="621" t="s">
        <v>274</v>
      </c>
      <c r="E3370" s="811" t="s">
        <v>12707</v>
      </c>
      <c r="F3370" s="812"/>
      <c r="G3370" s="623" t="s">
        <v>23</v>
      </c>
      <c r="H3370" s="624">
        <v>1</v>
      </c>
      <c r="I3370" s="625">
        <v>16.45</v>
      </c>
      <c r="J3370" s="625">
        <v>16.45</v>
      </c>
      <c r="K3370"/>
    </row>
    <row r="3371" spans="1:11" ht="0.95" customHeight="1">
      <c r="A3371" s="631"/>
      <c r="B3371" s="631"/>
      <c r="C3371" s="631"/>
      <c r="D3371" s="631"/>
      <c r="E3371" s="631" t="s">
        <v>12714</v>
      </c>
      <c r="F3371" s="632">
        <v>6.7304573000000003</v>
      </c>
      <c r="G3371" s="631" t="s">
        <v>12715</v>
      </c>
      <c r="H3371" s="632">
        <v>5.72</v>
      </c>
      <c r="I3371" s="631" t="s">
        <v>12716</v>
      </c>
      <c r="J3371" s="632">
        <v>12.45</v>
      </c>
      <c r="K3371"/>
    </row>
    <row r="3372" spans="1:11" ht="18" customHeight="1" thickBot="1">
      <c r="A3372" s="631"/>
      <c r="B3372" s="631"/>
      <c r="C3372" s="631"/>
      <c r="D3372" s="631"/>
      <c r="E3372" s="631" t="s">
        <v>12717</v>
      </c>
      <c r="F3372" s="632">
        <v>22.09</v>
      </c>
      <c r="G3372" s="631"/>
      <c r="H3372" s="806" t="s">
        <v>12718</v>
      </c>
      <c r="I3372" s="806"/>
      <c r="J3372" s="632">
        <v>100.32</v>
      </c>
      <c r="K3372"/>
    </row>
    <row r="3373" spans="1:11" ht="60" customHeight="1" thickTop="1">
      <c r="A3373" s="633"/>
      <c r="B3373" s="633"/>
      <c r="C3373" s="633"/>
      <c r="D3373" s="633"/>
      <c r="E3373" s="633"/>
      <c r="F3373" s="633"/>
      <c r="G3373" s="633"/>
      <c r="H3373" s="633"/>
      <c r="I3373" s="633"/>
      <c r="J3373" s="633"/>
      <c r="K3373"/>
    </row>
    <row r="3374" spans="1:11" ht="24" customHeight="1">
      <c r="A3374" s="613"/>
      <c r="B3374" s="614" t="s">
        <v>12698</v>
      </c>
      <c r="C3374" s="613" t="s">
        <v>12699</v>
      </c>
      <c r="D3374" s="613" t="s">
        <v>12700</v>
      </c>
      <c r="E3374" s="807" t="s">
        <v>12701</v>
      </c>
      <c r="F3374" s="808"/>
      <c r="G3374" s="615" t="s">
        <v>12702</v>
      </c>
      <c r="H3374" s="614" t="s">
        <v>12703</v>
      </c>
      <c r="I3374" s="614" t="s">
        <v>12704</v>
      </c>
      <c r="J3374" s="614" t="s">
        <v>12705</v>
      </c>
      <c r="K3374"/>
    </row>
    <row r="3375" spans="1:11" ht="51">
      <c r="A3375" s="616" t="s">
        <v>12706</v>
      </c>
      <c r="B3375" s="617" t="s">
        <v>13067</v>
      </c>
      <c r="C3375" s="616" t="s">
        <v>8</v>
      </c>
      <c r="D3375" s="616" t="s">
        <v>1597</v>
      </c>
      <c r="E3375" s="809" t="s">
        <v>12726</v>
      </c>
      <c r="F3375" s="810"/>
      <c r="G3375" s="618" t="s">
        <v>23</v>
      </c>
      <c r="H3375" s="619">
        <v>1</v>
      </c>
      <c r="I3375" s="620">
        <v>13.78</v>
      </c>
      <c r="J3375" s="620">
        <v>13.78</v>
      </c>
      <c r="K3375"/>
    </row>
    <row r="3376" spans="1:11" ht="15" customHeight="1">
      <c r="A3376" s="626" t="s">
        <v>12709</v>
      </c>
      <c r="B3376" s="627" t="s">
        <v>13064</v>
      </c>
      <c r="C3376" s="626" t="s">
        <v>8</v>
      </c>
      <c r="D3376" s="626" t="s">
        <v>11184</v>
      </c>
      <c r="E3376" s="804" t="s">
        <v>12711</v>
      </c>
      <c r="F3376" s="805"/>
      <c r="G3376" s="628" t="s">
        <v>35</v>
      </c>
      <c r="H3376" s="629">
        <v>5.5999999999999999E-5</v>
      </c>
      <c r="I3376" s="630">
        <v>246189</v>
      </c>
      <c r="J3376" s="630">
        <v>13.78</v>
      </c>
      <c r="K3376"/>
    </row>
    <row r="3377" spans="1:11" ht="0.95" customHeight="1">
      <c r="A3377" s="631"/>
      <c r="B3377" s="631"/>
      <c r="C3377" s="631"/>
      <c r="D3377" s="631"/>
      <c r="E3377" s="631" t="s">
        <v>12714</v>
      </c>
      <c r="F3377" s="632">
        <v>0</v>
      </c>
      <c r="G3377" s="631" t="s">
        <v>12715</v>
      </c>
      <c r="H3377" s="632">
        <v>0</v>
      </c>
      <c r="I3377" s="631" t="s">
        <v>12716</v>
      </c>
      <c r="J3377" s="632">
        <v>0</v>
      </c>
      <c r="K3377"/>
    </row>
    <row r="3378" spans="1:11" ht="18" customHeight="1" thickBot="1">
      <c r="A3378" s="631"/>
      <c r="B3378" s="631"/>
      <c r="C3378" s="631"/>
      <c r="D3378" s="631"/>
      <c r="E3378" s="631" t="s">
        <v>12717</v>
      </c>
      <c r="F3378" s="632">
        <v>3.89</v>
      </c>
      <c r="G3378" s="631"/>
      <c r="H3378" s="806" t="s">
        <v>12718</v>
      </c>
      <c r="I3378" s="806"/>
      <c r="J3378" s="632">
        <v>17.670000000000002</v>
      </c>
      <c r="K3378"/>
    </row>
    <row r="3379" spans="1:11" ht="36" customHeight="1" thickTop="1">
      <c r="A3379" s="633"/>
      <c r="B3379" s="633"/>
      <c r="C3379" s="633"/>
      <c r="D3379" s="633"/>
      <c r="E3379" s="633"/>
      <c r="F3379" s="633"/>
      <c r="G3379" s="633"/>
      <c r="H3379" s="633"/>
      <c r="I3379" s="633"/>
      <c r="J3379" s="633"/>
      <c r="K3379"/>
    </row>
    <row r="3380" spans="1:11" ht="36" customHeight="1">
      <c r="A3380" s="613"/>
      <c r="B3380" s="614" t="s">
        <v>12698</v>
      </c>
      <c r="C3380" s="613" t="s">
        <v>12699</v>
      </c>
      <c r="D3380" s="613" t="s">
        <v>12700</v>
      </c>
      <c r="E3380" s="807" t="s">
        <v>12701</v>
      </c>
      <c r="F3380" s="808"/>
      <c r="G3380" s="615" t="s">
        <v>12702</v>
      </c>
      <c r="H3380" s="614" t="s">
        <v>12703</v>
      </c>
      <c r="I3380" s="614" t="s">
        <v>12704</v>
      </c>
      <c r="J3380" s="614" t="s">
        <v>12705</v>
      </c>
      <c r="K3380"/>
    </row>
    <row r="3381" spans="1:11" ht="36" customHeight="1">
      <c r="A3381" s="616" t="s">
        <v>12706</v>
      </c>
      <c r="B3381" s="617" t="s">
        <v>13066</v>
      </c>
      <c r="C3381" s="616" t="s">
        <v>8</v>
      </c>
      <c r="D3381" s="616" t="s">
        <v>1598</v>
      </c>
      <c r="E3381" s="809" t="s">
        <v>12726</v>
      </c>
      <c r="F3381" s="810"/>
      <c r="G3381" s="618" t="s">
        <v>23</v>
      </c>
      <c r="H3381" s="619">
        <v>1</v>
      </c>
      <c r="I3381" s="620">
        <v>1.87</v>
      </c>
      <c r="J3381" s="620">
        <v>1.87</v>
      </c>
      <c r="K3381"/>
    </row>
    <row r="3382" spans="1:11" ht="24" customHeight="1">
      <c r="A3382" s="626" t="s">
        <v>12709</v>
      </c>
      <c r="B3382" s="627" t="s">
        <v>13064</v>
      </c>
      <c r="C3382" s="626" t="s">
        <v>8</v>
      </c>
      <c r="D3382" s="626" t="s">
        <v>11184</v>
      </c>
      <c r="E3382" s="804" t="s">
        <v>12711</v>
      </c>
      <c r="F3382" s="805"/>
      <c r="G3382" s="628" t="s">
        <v>35</v>
      </c>
      <c r="H3382" s="629">
        <v>7.6000000000000001E-6</v>
      </c>
      <c r="I3382" s="630">
        <v>246189</v>
      </c>
      <c r="J3382" s="630">
        <v>1.87</v>
      </c>
      <c r="K3382"/>
    </row>
    <row r="3383" spans="1:11" ht="25.5">
      <c r="A3383" s="631"/>
      <c r="B3383" s="631"/>
      <c r="C3383" s="631"/>
      <c r="D3383" s="631"/>
      <c r="E3383" s="631" t="s">
        <v>12714</v>
      </c>
      <c r="F3383" s="632">
        <v>0</v>
      </c>
      <c r="G3383" s="631" t="s">
        <v>12715</v>
      </c>
      <c r="H3383" s="632">
        <v>0</v>
      </c>
      <c r="I3383" s="631" t="s">
        <v>12716</v>
      </c>
      <c r="J3383" s="632">
        <v>0</v>
      </c>
      <c r="K3383"/>
    </row>
    <row r="3384" spans="1:11" ht="15" customHeight="1" thickBot="1">
      <c r="A3384" s="631"/>
      <c r="B3384" s="631"/>
      <c r="C3384" s="631"/>
      <c r="D3384" s="631"/>
      <c r="E3384" s="631" t="s">
        <v>12717</v>
      </c>
      <c r="F3384" s="632">
        <v>0.52</v>
      </c>
      <c r="G3384" s="631"/>
      <c r="H3384" s="806" t="s">
        <v>12718</v>
      </c>
      <c r="I3384" s="806"/>
      <c r="J3384" s="632">
        <v>2.39</v>
      </c>
      <c r="K3384"/>
    </row>
    <row r="3385" spans="1:11" ht="0.95" customHeight="1" thickTop="1">
      <c r="A3385" s="633"/>
      <c r="B3385" s="633"/>
      <c r="C3385" s="633"/>
      <c r="D3385" s="633"/>
      <c r="E3385" s="633"/>
      <c r="F3385" s="633"/>
      <c r="G3385" s="633"/>
      <c r="H3385" s="633"/>
      <c r="I3385" s="633"/>
      <c r="J3385" s="633"/>
      <c r="K3385"/>
    </row>
    <row r="3386" spans="1:11" ht="18" customHeight="1">
      <c r="A3386" s="613"/>
      <c r="B3386" s="614" t="s">
        <v>12698</v>
      </c>
      <c r="C3386" s="613" t="s">
        <v>12699</v>
      </c>
      <c r="D3386" s="613" t="s">
        <v>12700</v>
      </c>
      <c r="E3386" s="807" t="s">
        <v>12701</v>
      </c>
      <c r="F3386" s="808"/>
      <c r="G3386" s="615" t="s">
        <v>12702</v>
      </c>
      <c r="H3386" s="614" t="s">
        <v>12703</v>
      </c>
      <c r="I3386" s="614" t="s">
        <v>12704</v>
      </c>
      <c r="J3386" s="614" t="s">
        <v>12705</v>
      </c>
      <c r="K3386"/>
    </row>
    <row r="3387" spans="1:11" ht="36" customHeight="1">
      <c r="A3387" s="616" t="s">
        <v>12706</v>
      </c>
      <c r="B3387" s="617" t="s">
        <v>13065</v>
      </c>
      <c r="C3387" s="616" t="s">
        <v>8</v>
      </c>
      <c r="D3387" s="616" t="s">
        <v>1019</v>
      </c>
      <c r="E3387" s="809" t="s">
        <v>12726</v>
      </c>
      <c r="F3387" s="810"/>
      <c r="G3387" s="618" t="s">
        <v>23</v>
      </c>
      <c r="H3387" s="619">
        <v>1</v>
      </c>
      <c r="I3387" s="620">
        <v>17.23</v>
      </c>
      <c r="J3387" s="620">
        <v>17.23</v>
      </c>
      <c r="K3387"/>
    </row>
    <row r="3388" spans="1:11" ht="36" customHeight="1">
      <c r="A3388" s="626" t="s">
        <v>12709</v>
      </c>
      <c r="B3388" s="627" t="s">
        <v>13064</v>
      </c>
      <c r="C3388" s="626" t="s">
        <v>8</v>
      </c>
      <c r="D3388" s="626" t="s">
        <v>11184</v>
      </c>
      <c r="E3388" s="804" t="s">
        <v>12711</v>
      </c>
      <c r="F3388" s="805"/>
      <c r="G3388" s="628" t="s">
        <v>35</v>
      </c>
      <c r="H3388" s="629">
        <v>6.9999999999999994E-5</v>
      </c>
      <c r="I3388" s="630">
        <v>246189</v>
      </c>
      <c r="J3388" s="630">
        <v>17.23</v>
      </c>
      <c r="K3388"/>
    </row>
    <row r="3389" spans="1:11" ht="36" customHeight="1">
      <c r="A3389" s="631"/>
      <c r="B3389" s="631"/>
      <c r="C3389" s="631"/>
      <c r="D3389" s="631"/>
      <c r="E3389" s="631" t="s">
        <v>12714</v>
      </c>
      <c r="F3389" s="632">
        <v>0</v>
      </c>
      <c r="G3389" s="631" t="s">
        <v>12715</v>
      </c>
      <c r="H3389" s="632">
        <v>0</v>
      </c>
      <c r="I3389" s="631" t="s">
        <v>12716</v>
      </c>
      <c r="J3389" s="632">
        <v>0</v>
      </c>
      <c r="K3389"/>
    </row>
    <row r="3390" spans="1:11" ht="36" customHeight="1" thickBot="1">
      <c r="A3390" s="631"/>
      <c r="B3390" s="631"/>
      <c r="C3390" s="631"/>
      <c r="D3390" s="631"/>
      <c r="E3390" s="631" t="s">
        <v>12717</v>
      </c>
      <c r="F3390" s="632">
        <v>4.8600000000000003</v>
      </c>
      <c r="G3390" s="631"/>
      <c r="H3390" s="806" t="s">
        <v>12718</v>
      </c>
      <c r="I3390" s="806"/>
      <c r="J3390" s="632">
        <v>22.09</v>
      </c>
      <c r="K3390"/>
    </row>
    <row r="3391" spans="1:11" ht="36" customHeight="1" thickTop="1">
      <c r="A3391" s="633"/>
      <c r="B3391" s="633"/>
      <c r="C3391" s="633"/>
      <c r="D3391" s="633"/>
      <c r="E3391" s="633"/>
      <c r="F3391" s="633"/>
      <c r="G3391" s="633"/>
      <c r="H3391" s="633"/>
      <c r="I3391" s="633"/>
      <c r="J3391" s="633"/>
      <c r="K3391"/>
    </row>
    <row r="3392" spans="1:11" ht="24" customHeight="1">
      <c r="A3392" s="613"/>
      <c r="B3392" s="614" t="s">
        <v>12698</v>
      </c>
      <c r="C3392" s="613" t="s">
        <v>12699</v>
      </c>
      <c r="D3392" s="613" t="s">
        <v>12700</v>
      </c>
      <c r="E3392" s="807" t="s">
        <v>12701</v>
      </c>
      <c r="F3392" s="808"/>
      <c r="G3392" s="615" t="s">
        <v>12702</v>
      </c>
      <c r="H3392" s="614" t="s">
        <v>12703</v>
      </c>
      <c r="I3392" s="614" t="s">
        <v>12704</v>
      </c>
      <c r="J3392" s="614" t="s">
        <v>12705</v>
      </c>
      <c r="K3392"/>
    </row>
    <row r="3393" spans="1:11" ht="63.75">
      <c r="A3393" s="616" t="s">
        <v>12706</v>
      </c>
      <c r="B3393" s="617" t="s">
        <v>13063</v>
      </c>
      <c r="C3393" s="616" t="s">
        <v>8</v>
      </c>
      <c r="D3393" s="616" t="s">
        <v>1122</v>
      </c>
      <c r="E3393" s="809" t="s">
        <v>12726</v>
      </c>
      <c r="F3393" s="810"/>
      <c r="G3393" s="618" t="s">
        <v>23</v>
      </c>
      <c r="H3393" s="619">
        <v>1</v>
      </c>
      <c r="I3393" s="620">
        <v>28.9</v>
      </c>
      <c r="J3393" s="620">
        <v>28.9</v>
      </c>
      <c r="K3393"/>
    </row>
    <row r="3394" spans="1:11" ht="15" customHeight="1">
      <c r="A3394" s="626" t="s">
        <v>12709</v>
      </c>
      <c r="B3394" s="627" t="s">
        <v>13007</v>
      </c>
      <c r="C3394" s="626" t="s">
        <v>8</v>
      </c>
      <c r="D3394" s="626" t="s">
        <v>10549</v>
      </c>
      <c r="E3394" s="804" t="s">
        <v>12720</v>
      </c>
      <c r="F3394" s="805"/>
      <c r="G3394" s="628" t="s">
        <v>58</v>
      </c>
      <c r="H3394" s="629">
        <v>8.92</v>
      </c>
      <c r="I3394" s="630">
        <v>3.24</v>
      </c>
      <c r="J3394" s="630">
        <v>28.9</v>
      </c>
      <c r="K3394"/>
    </row>
    <row r="3395" spans="1:11" ht="0.95" customHeight="1">
      <c r="A3395" s="631"/>
      <c r="B3395" s="631"/>
      <c r="C3395" s="631"/>
      <c r="D3395" s="631"/>
      <c r="E3395" s="631" t="s">
        <v>12714</v>
      </c>
      <c r="F3395" s="632">
        <v>0</v>
      </c>
      <c r="G3395" s="631" t="s">
        <v>12715</v>
      </c>
      <c r="H3395" s="632">
        <v>0</v>
      </c>
      <c r="I3395" s="631" t="s">
        <v>12716</v>
      </c>
      <c r="J3395" s="632">
        <v>0</v>
      </c>
      <c r="K3395"/>
    </row>
    <row r="3396" spans="1:11" ht="18" customHeight="1" thickBot="1">
      <c r="A3396" s="631"/>
      <c r="B3396" s="631"/>
      <c r="C3396" s="631"/>
      <c r="D3396" s="631"/>
      <c r="E3396" s="631" t="s">
        <v>12717</v>
      </c>
      <c r="F3396" s="632">
        <v>8.16</v>
      </c>
      <c r="G3396" s="631"/>
      <c r="H3396" s="806" t="s">
        <v>12718</v>
      </c>
      <c r="I3396" s="806"/>
      <c r="J3396" s="632">
        <v>37.06</v>
      </c>
      <c r="K3396"/>
    </row>
    <row r="3397" spans="1:11" ht="36" customHeight="1" thickTop="1">
      <c r="A3397" s="633"/>
      <c r="B3397" s="633"/>
      <c r="C3397" s="633"/>
      <c r="D3397" s="633"/>
      <c r="E3397" s="633"/>
      <c r="F3397" s="633"/>
      <c r="G3397" s="633"/>
      <c r="H3397" s="633"/>
      <c r="I3397" s="633"/>
      <c r="J3397" s="633"/>
      <c r="K3397"/>
    </row>
    <row r="3398" spans="1:11" ht="36" customHeight="1">
      <c r="A3398" s="613"/>
      <c r="B3398" s="614" t="s">
        <v>12698</v>
      </c>
      <c r="C3398" s="613" t="s">
        <v>12699</v>
      </c>
      <c r="D3398" s="613" t="s">
        <v>12700</v>
      </c>
      <c r="E3398" s="807" t="s">
        <v>12701</v>
      </c>
      <c r="F3398" s="808"/>
      <c r="G3398" s="615" t="s">
        <v>12702</v>
      </c>
      <c r="H3398" s="614" t="s">
        <v>12703</v>
      </c>
      <c r="I3398" s="614" t="s">
        <v>12704</v>
      </c>
      <c r="J3398" s="614" t="s">
        <v>12705</v>
      </c>
      <c r="K3398"/>
    </row>
    <row r="3399" spans="1:11" ht="25.5" customHeight="1">
      <c r="A3399" s="616" t="s">
        <v>12706</v>
      </c>
      <c r="B3399" s="617" t="s">
        <v>13062</v>
      </c>
      <c r="C3399" s="616" t="s">
        <v>8</v>
      </c>
      <c r="D3399" s="616" t="s">
        <v>2468</v>
      </c>
      <c r="E3399" s="809" t="s">
        <v>12726</v>
      </c>
      <c r="F3399" s="810"/>
      <c r="G3399" s="618" t="s">
        <v>61</v>
      </c>
      <c r="H3399" s="619">
        <v>1</v>
      </c>
      <c r="I3399" s="620">
        <v>13.58</v>
      </c>
      <c r="J3399" s="620">
        <v>13.58</v>
      </c>
      <c r="K3399"/>
    </row>
    <row r="3400" spans="1:11" ht="15" customHeight="1">
      <c r="A3400" s="621" t="s">
        <v>12708</v>
      </c>
      <c r="B3400" s="622" t="s">
        <v>13059</v>
      </c>
      <c r="C3400" s="621" t="s">
        <v>8</v>
      </c>
      <c r="D3400" s="621" t="s">
        <v>2463</v>
      </c>
      <c r="E3400" s="811" t="s">
        <v>12726</v>
      </c>
      <c r="F3400" s="812"/>
      <c r="G3400" s="623" t="s">
        <v>23</v>
      </c>
      <c r="H3400" s="624">
        <v>1</v>
      </c>
      <c r="I3400" s="625">
        <v>0.08</v>
      </c>
      <c r="J3400" s="625">
        <v>0.08</v>
      </c>
      <c r="K3400"/>
    </row>
    <row r="3401" spans="1:11" ht="0.95" customHeight="1">
      <c r="A3401" s="621" t="s">
        <v>12708</v>
      </c>
      <c r="B3401" s="622" t="s">
        <v>13058</v>
      </c>
      <c r="C3401" s="621" t="s">
        <v>8</v>
      </c>
      <c r="D3401" s="621" t="s">
        <v>2464</v>
      </c>
      <c r="E3401" s="811" t="s">
        <v>12726</v>
      </c>
      <c r="F3401" s="812"/>
      <c r="G3401" s="623" t="s">
        <v>23</v>
      </c>
      <c r="H3401" s="624">
        <v>1</v>
      </c>
      <c r="I3401" s="625">
        <v>0.01</v>
      </c>
      <c r="J3401" s="625">
        <v>0.01</v>
      </c>
      <c r="K3401"/>
    </row>
    <row r="3402" spans="1:11" ht="18" customHeight="1">
      <c r="A3402" s="621" t="s">
        <v>12708</v>
      </c>
      <c r="B3402" s="622" t="s">
        <v>13060</v>
      </c>
      <c r="C3402" s="621" t="s">
        <v>8</v>
      </c>
      <c r="D3402" s="621" t="s">
        <v>277</v>
      </c>
      <c r="E3402" s="811" t="s">
        <v>12707</v>
      </c>
      <c r="F3402" s="812"/>
      <c r="G3402" s="623" t="s">
        <v>23</v>
      </c>
      <c r="H3402" s="624">
        <v>1</v>
      </c>
      <c r="I3402" s="625">
        <v>13.49</v>
      </c>
      <c r="J3402" s="625">
        <v>13.49</v>
      </c>
      <c r="K3402"/>
    </row>
    <row r="3403" spans="1:11" ht="36" customHeight="1">
      <c r="A3403" s="631"/>
      <c r="B3403" s="631"/>
      <c r="C3403" s="631"/>
      <c r="D3403" s="631"/>
      <c r="E3403" s="631" t="s">
        <v>12714</v>
      </c>
      <c r="F3403" s="632">
        <v>5.1302843999999999</v>
      </c>
      <c r="G3403" s="631" t="s">
        <v>12715</v>
      </c>
      <c r="H3403" s="632">
        <v>4.3600000000000003</v>
      </c>
      <c r="I3403" s="631" t="s">
        <v>12716</v>
      </c>
      <c r="J3403" s="632">
        <v>9.49</v>
      </c>
      <c r="K3403"/>
    </row>
    <row r="3404" spans="1:11" ht="36" customHeight="1" thickBot="1">
      <c r="A3404" s="631"/>
      <c r="B3404" s="631"/>
      <c r="C3404" s="631"/>
      <c r="D3404" s="631"/>
      <c r="E3404" s="631" t="s">
        <v>12717</v>
      </c>
      <c r="F3404" s="632">
        <v>3.83</v>
      </c>
      <c r="G3404" s="631"/>
      <c r="H3404" s="806" t="s">
        <v>12718</v>
      </c>
      <c r="I3404" s="806"/>
      <c r="J3404" s="632">
        <v>17.41</v>
      </c>
      <c r="K3404"/>
    </row>
    <row r="3405" spans="1:11" ht="15" thickTop="1">
      <c r="A3405" s="633"/>
      <c r="B3405" s="633"/>
      <c r="C3405" s="633"/>
      <c r="D3405" s="633"/>
      <c r="E3405" s="633"/>
      <c r="F3405" s="633"/>
      <c r="G3405" s="633"/>
      <c r="H3405" s="633"/>
      <c r="I3405" s="633"/>
      <c r="J3405" s="633"/>
      <c r="K3405"/>
    </row>
    <row r="3406" spans="1:11" ht="15" customHeight="1">
      <c r="A3406" s="613"/>
      <c r="B3406" s="614" t="s">
        <v>12698</v>
      </c>
      <c r="C3406" s="613" t="s">
        <v>12699</v>
      </c>
      <c r="D3406" s="613" t="s">
        <v>12700</v>
      </c>
      <c r="E3406" s="807" t="s">
        <v>12701</v>
      </c>
      <c r="F3406" s="808"/>
      <c r="G3406" s="615" t="s">
        <v>12702</v>
      </c>
      <c r="H3406" s="614" t="s">
        <v>12703</v>
      </c>
      <c r="I3406" s="614" t="s">
        <v>12704</v>
      </c>
      <c r="J3406" s="614" t="s">
        <v>12705</v>
      </c>
      <c r="K3406"/>
    </row>
    <row r="3407" spans="1:11" ht="0.95" customHeight="1">
      <c r="A3407" s="616" t="s">
        <v>12706</v>
      </c>
      <c r="B3407" s="617" t="s">
        <v>13061</v>
      </c>
      <c r="C3407" s="616" t="s">
        <v>8</v>
      </c>
      <c r="D3407" s="616" t="s">
        <v>2467</v>
      </c>
      <c r="E3407" s="809" t="s">
        <v>12726</v>
      </c>
      <c r="F3407" s="810"/>
      <c r="G3407" s="618" t="s">
        <v>44</v>
      </c>
      <c r="H3407" s="619">
        <v>1</v>
      </c>
      <c r="I3407" s="620">
        <v>16.2</v>
      </c>
      <c r="J3407" s="620">
        <v>16.2</v>
      </c>
      <c r="K3407"/>
    </row>
    <row r="3408" spans="1:11" ht="18" customHeight="1">
      <c r="A3408" s="621" t="s">
        <v>12708</v>
      </c>
      <c r="B3408" s="622" t="s">
        <v>13059</v>
      </c>
      <c r="C3408" s="621" t="s">
        <v>8</v>
      </c>
      <c r="D3408" s="621" t="s">
        <v>2463</v>
      </c>
      <c r="E3408" s="811" t="s">
        <v>12726</v>
      </c>
      <c r="F3408" s="812"/>
      <c r="G3408" s="623" t="s">
        <v>23</v>
      </c>
      <c r="H3408" s="624">
        <v>1</v>
      </c>
      <c r="I3408" s="625">
        <v>0.08</v>
      </c>
      <c r="J3408" s="625">
        <v>0.08</v>
      </c>
      <c r="K3408"/>
    </row>
    <row r="3409" spans="1:11" ht="36" customHeight="1">
      <c r="A3409" s="621" t="s">
        <v>12708</v>
      </c>
      <c r="B3409" s="622" t="s">
        <v>13058</v>
      </c>
      <c r="C3409" s="621" t="s">
        <v>8</v>
      </c>
      <c r="D3409" s="621" t="s">
        <v>2464</v>
      </c>
      <c r="E3409" s="811" t="s">
        <v>12726</v>
      </c>
      <c r="F3409" s="812"/>
      <c r="G3409" s="623" t="s">
        <v>23</v>
      </c>
      <c r="H3409" s="624">
        <v>1</v>
      </c>
      <c r="I3409" s="625">
        <v>0.01</v>
      </c>
      <c r="J3409" s="625">
        <v>0.01</v>
      </c>
      <c r="K3409"/>
    </row>
    <row r="3410" spans="1:11" ht="36" customHeight="1">
      <c r="A3410" s="621" t="s">
        <v>12708</v>
      </c>
      <c r="B3410" s="622" t="s">
        <v>13057</v>
      </c>
      <c r="C3410" s="621" t="s">
        <v>8</v>
      </c>
      <c r="D3410" s="621" t="s">
        <v>2465</v>
      </c>
      <c r="E3410" s="811" t="s">
        <v>12726</v>
      </c>
      <c r="F3410" s="812"/>
      <c r="G3410" s="623" t="s">
        <v>23</v>
      </c>
      <c r="H3410" s="624">
        <v>1</v>
      </c>
      <c r="I3410" s="625">
        <v>0.06</v>
      </c>
      <c r="J3410" s="625">
        <v>0.06</v>
      </c>
      <c r="K3410"/>
    </row>
    <row r="3411" spans="1:11" ht="38.25" customHeight="1">
      <c r="A3411" s="621" t="s">
        <v>12708</v>
      </c>
      <c r="B3411" s="622" t="s">
        <v>13055</v>
      </c>
      <c r="C3411" s="621" t="s">
        <v>8</v>
      </c>
      <c r="D3411" s="621" t="s">
        <v>2466</v>
      </c>
      <c r="E3411" s="811" t="s">
        <v>12726</v>
      </c>
      <c r="F3411" s="812"/>
      <c r="G3411" s="623" t="s">
        <v>23</v>
      </c>
      <c r="H3411" s="624">
        <v>1</v>
      </c>
      <c r="I3411" s="625">
        <v>2.56</v>
      </c>
      <c r="J3411" s="625">
        <v>2.56</v>
      </c>
      <c r="K3411"/>
    </row>
    <row r="3412" spans="1:11" ht="15" customHeight="1">
      <c r="A3412" s="621" t="s">
        <v>12708</v>
      </c>
      <c r="B3412" s="622" t="s">
        <v>13060</v>
      </c>
      <c r="C3412" s="621" t="s">
        <v>8</v>
      </c>
      <c r="D3412" s="621" t="s">
        <v>277</v>
      </c>
      <c r="E3412" s="811" t="s">
        <v>12707</v>
      </c>
      <c r="F3412" s="812"/>
      <c r="G3412" s="623" t="s">
        <v>23</v>
      </c>
      <c r="H3412" s="624">
        <v>1</v>
      </c>
      <c r="I3412" s="625">
        <v>13.49</v>
      </c>
      <c r="J3412" s="625">
        <v>13.49</v>
      </c>
      <c r="K3412"/>
    </row>
    <row r="3413" spans="1:11" ht="0.95" customHeight="1">
      <c r="A3413" s="631"/>
      <c r="B3413" s="631"/>
      <c r="C3413" s="631"/>
      <c r="D3413" s="631"/>
      <c r="E3413" s="631" t="s">
        <v>12714</v>
      </c>
      <c r="F3413" s="632">
        <v>5.1302843999999999</v>
      </c>
      <c r="G3413" s="631" t="s">
        <v>12715</v>
      </c>
      <c r="H3413" s="632">
        <v>4.3600000000000003</v>
      </c>
      <c r="I3413" s="631" t="s">
        <v>12716</v>
      </c>
      <c r="J3413" s="632">
        <v>9.49</v>
      </c>
      <c r="K3413"/>
    </row>
    <row r="3414" spans="1:11" ht="18" customHeight="1" thickBot="1">
      <c r="A3414" s="631"/>
      <c r="B3414" s="631"/>
      <c r="C3414" s="631"/>
      <c r="D3414" s="631"/>
      <c r="E3414" s="631" t="s">
        <v>12717</v>
      </c>
      <c r="F3414" s="632">
        <v>4.57</v>
      </c>
      <c r="G3414" s="631"/>
      <c r="H3414" s="806" t="s">
        <v>12718</v>
      </c>
      <c r="I3414" s="806"/>
      <c r="J3414" s="632">
        <v>20.77</v>
      </c>
      <c r="K3414"/>
    </row>
    <row r="3415" spans="1:11" ht="36" customHeight="1" thickTop="1">
      <c r="A3415" s="633"/>
      <c r="B3415" s="633"/>
      <c r="C3415" s="633"/>
      <c r="D3415" s="633"/>
      <c r="E3415" s="633"/>
      <c r="F3415" s="633"/>
      <c r="G3415" s="633"/>
      <c r="H3415" s="633"/>
      <c r="I3415" s="633"/>
      <c r="J3415" s="633"/>
      <c r="K3415"/>
    </row>
    <row r="3416" spans="1:11" ht="24" customHeight="1">
      <c r="A3416" s="613"/>
      <c r="B3416" s="614" t="s">
        <v>12698</v>
      </c>
      <c r="C3416" s="613" t="s">
        <v>12699</v>
      </c>
      <c r="D3416" s="613" t="s">
        <v>12700</v>
      </c>
      <c r="E3416" s="807" t="s">
        <v>12701</v>
      </c>
      <c r="F3416" s="808"/>
      <c r="G3416" s="615" t="s">
        <v>12702</v>
      </c>
      <c r="H3416" s="614" t="s">
        <v>12703</v>
      </c>
      <c r="I3416" s="614" t="s">
        <v>12704</v>
      </c>
      <c r="J3416" s="614" t="s">
        <v>12705</v>
      </c>
      <c r="K3416"/>
    </row>
    <row r="3417" spans="1:11" ht="25.5" customHeight="1">
      <c r="A3417" s="616" t="s">
        <v>12706</v>
      </c>
      <c r="B3417" s="617" t="s">
        <v>13059</v>
      </c>
      <c r="C3417" s="616" t="s">
        <v>8</v>
      </c>
      <c r="D3417" s="616" t="s">
        <v>2463</v>
      </c>
      <c r="E3417" s="809" t="s">
        <v>12726</v>
      </c>
      <c r="F3417" s="810"/>
      <c r="G3417" s="618" t="s">
        <v>23</v>
      </c>
      <c r="H3417" s="619">
        <v>1</v>
      </c>
      <c r="I3417" s="620">
        <v>0.08</v>
      </c>
      <c r="J3417" s="620">
        <v>0.08</v>
      </c>
      <c r="K3417"/>
    </row>
    <row r="3418" spans="1:11" ht="15" customHeight="1">
      <c r="A3418" s="626" t="s">
        <v>12709</v>
      </c>
      <c r="B3418" s="627" t="s">
        <v>13056</v>
      </c>
      <c r="C3418" s="626" t="s">
        <v>8</v>
      </c>
      <c r="D3418" s="626" t="s">
        <v>11277</v>
      </c>
      <c r="E3418" s="804" t="s">
        <v>12720</v>
      </c>
      <c r="F3418" s="805"/>
      <c r="G3418" s="628" t="s">
        <v>35</v>
      </c>
      <c r="H3418" s="629">
        <v>7.2000000000000002E-5</v>
      </c>
      <c r="I3418" s="630">
        <v>1248.02</v>
      </c>
      <c r="J3418" s="630">
        <v>0.08</v>
      </c>
      <c r="K3418"/>
    </row>
    <row r="3419" spans="1:11" ht="0.95" customHeight="1">
      <c r="A3419" s="631"/>
      <c r="B3419" s="631"/>
      <c r="C3419" s="631"/>
      <c r="D3419" s="631"/>
      <c r="E3419" s="631" t="s">
        <v>12714</v>
      </c>
      <c r="F3419" s="632">
        <v>0</v>
      </c>
      <c r="G3419" s="631" t="s">
        <v>12715</v>
      </c>
      <c r="H3419" s="632">
        <v>0</v>
      </c>
      <c r="I3419" s="631" t="s">
        <v>12716</v>
      </c>
      <c r="J3419" s="632">
        <v>0</v>
      </c>
      <c r="K3419"/>
    </row>
    <row r="3420" spans="1:11" ht="18" customHeight="1" thickBot="1">
      <c r="A3420" s="631"/>
      <c r="B3420" s="631"/>
      <c r="C3420" s="631"/>
      <c r="D3420" s="631"/>
      <c r="E3420" s="631" t="s">
        <v>12717</v>
      </c>
      <c r="F3420" s="632">
        <v>0.02</v>
      </c>
      <c r="G3420" s="631"/>
      <c r="H3420" s="806" t="s">
        <v>12718</v>
      </c>
      <c r="I3420" s="806"/>
      <c r="J3420" s="632">
        <v>0.1</v>
      </c>
      <c r="K3420"/>
    </row>
    <row r="3421" spans="1:11" ht="24" customHeight="1" thickTop="1">
      <c r="A3421" s="633"/>
      <c r="B3421" s="633"/>
      <c r="C3421" s="633"/>
      <c r="D3421" s="633"/>
      <c r="E3421" s="633"/>
      <c r="F3421" s="633"/>
      <c r="G3421" s="633"/>
      <c r="H3421" s="633"/>
      <c r="I3421" s="633"/>
      <c r="J3421" s="633"/>
      <c r="K3421"/>
    </row>
    <row r="3422" spans="1:11" ht="24" customHeight="1">
      <c r="A3422" s="613"/>
      <c r="B3422" s="614" t="s">
        <v>12698</v>
      </c>
      <c r="C3422" s="613" t="s">
        <v>12699</v>
      </c>
      <c r="D3422" s="613" t="s">
        <v>12700</v>
      </c>
      <c r="E3422" s="807" t="s">
        <v>12701</v>
      </c>
      <c r="F3422" s="808"/>
      <c r="G3422" s="615" t="s">
        <v>12702</v>
      </c>
      <c r="H3422" s="614" t="s">
        <v>12703</v>
      </c>
      <c r="I3422" s="614" t="s">
        <v>12704</v>
      </c>
      <c r="J3422" s="614" t="s">
        <v>12705</v>
      </c>
      <c r="K3422"/>
    </row>
    <row r="3423" spans="1:11" ht="24" customHeight="1">
      <c r="A3423" s="616" t="s">
        <v>12706</v>
      </c>
      <c r="B3423" s="617" t="s">
        <v>13058</v>
      </c>
      <c r="C3423" s="616" t="s">
        <v>8</v>
      </c>
      <c r="D3423" s="616" t="s">
        <v>2464</v>
      </c>
      <c r="E3423" s="809" t="s">
        <v>12726</v>
      </c>
      <c r="F3423" s="810"/>
      <c r="G3423" s="618" t="s">
        <v>23</v>
      </c>
      <c r="H3423" s="619">
        <v>1</v>
      </c>
      <c r="I3423" s="620">
        <v>0.01</v>
      </c>
      <c r="J3423" s="620">
        <v>0.01</v>
      </c>
      <c r="K3423"/>
    </row>
    <row r="3424" spans="1:11" ht="24" customHeight="1">
      <c r="A3424" s="626" t="s">
        <v>12709</v>
      </c>
      <c r="B3424" s="627" t="s">
        <v>13056</v>
      </c>
      <c r="C3424" s="626" t="s">
        <v>8</v>
      </c>
      <c r="D3424" s="626" t="s">
        <v>11277</v>
      </c>
      <c r="E3424" s="804" t="s">
        <v>12720</v>
      </c>
      <c r="F3424" s="805"/>
      <c r="G3424" s="628" t="s">
        <v>35</v>
      </c>
      <c r="H3424" s="629">
        <v>1.4399999999999999E-5</v>
      </c>
      <c r="I3424" s="630">
        <v>1248.02</v>
      </c>
      <c r="J3424" s="630">
        <v>0.01</v>
      </c>
      <c r="K3424"/>
    </row>
    <row r="3425" spans="1:11" ht="24" customHeight="1">
      <c r="A3425" s="631"/>
      <c r="B3425" s="631"/>
      <c r="C3425" s="631"/>
      <c r="D3425" s="631"/>
      <c r="E3425" s="631" t="s">
        <v>12714</v>
      </c>
      <c r="F3425" s="632">
        <v>0</v>
      </c>
      <c r="G3425" s="631" t="s">
        <v>12715</v>
      </c>
      <c r="H3425" s="632">
        <v>0</v>
      </c>
      <c r="I3425" s="631" t="s">
        <v>12716</v>
      </c>
      <c r="J3425" s="632">
        <v>0</v>
      </c>
      <c r="K3425"/>
    </row>
    <row r="3426" spans="1:11" ht="24" customHeight="1" thickBot="1">
      <c r="A3426" s="631"/>
      <c r="B3426" s="631"/>
      <c r="C3426" s="631"/>
      <c r="D3426" s="631"/>
      <c r="E3426" s="631" t="s">
        <v>12717</v>
      </c>
      <c r="F3426" s="632">
        <v>0</v>
      </c>
      <c r="G3426" s="631"/>
      <c r="H3426" s="806" t="s">
        <v>12718</v>
      </c>
      <c r="I3426" s="806"/>
      <c r="J3426" s="632">
        <v>0.01</v>
      </c>
      <c r="K3426"/>
    </row>
    <row r="3427" spans="1:11" ht="24" customHeight="1" thickTop="1">
      <c r="A3427" s="633"/>
      <c r="B3427" s="633"/>
      <c r="C3427" s="633"/>
      <c r="D3427" s="633"/>
      <c r="E3427" s="633"/>
      <c r="F3427" s="633"/>
      <c r="G3427" s="633"/>
      <c r="H3427" s="633"/>
      <c r="I3427" s="633"/>
      <c r="J3427" s="633"/>
      <c r="K3427"/>
    </row>
    <row r="3428" spans="1:11" ht="24" customHeight="1">
      <c r="A3428" s="613"/>
      <c r="B3428" s="614" t="s">
        <v>12698</v>
      </c>
      <c r="C3428" s="613" t="s">
        <v>12699</v>
      </c>
      <c r="D3428" s="613" t="s">
        <v>12700</v>
      </c>
      <c r="E3428" s="807" t="s">
        <v>12701</v>
      </c>
      <c r="F3428" s="808"/>
      <c r="G3428" s="615" t="s">
        <v>12702</v>
      </c>
      <c r="H3428" s="614" t="s">
        <v>12703</v>
      </c>
      <c r="I3428" s="614" t="s">
        <v>12704</v>
      </c>
      <c r="J3428" s="614" t="s">
        <v>12705</v>
      </c>
      <c r="K3428"/>
    </row>
    <row r="3429" spans="1:11" ht="24" customHeight="1">
      <c r="A3429" s="616" t="s">
        <v>12706</v>
      </c>
      <c r="B3429" s="617" t="s">
        <v>13057</v>
      </c>
      <c r="C3429" s="616" t="s">
        <v>8</v>
      </c>
      <c r="D3429" s="616" t="s">
        <v>2465</v>
      </c>
      <c r="E3429" s="809" t="s">
        <v>12726</v>
      </c>
      <c r="F3429" s="810"/>
      <c r="G3429" s="618" t="s">
        <v>23</v>
      </c>
      <c r="H3429" s="619">
        <v>1</v>
      </c>
      <c r="I3429" s="620">
        <v>0.06</v>
      </c>
      <c r="J3429" s="620">
        <v>0.06</v>
      </c>
      <c r="K3429"/>
    </row>
    <row r="3430" spans="1:11" ht="25.5">
      <c r="A3430" s="626" t="s">
        <v>12709</v>
      </c>
      <c r="B3430" s="627" t="s">
        <v>13056</v>
      </c>
      <c r="C3430" s="626" t="s">
        <v>8</v>
      </c>
      <c r="D3430" s="626" t="s">
        <v>11277</v>
      </c>
      <c r="E3430" s="804" t="s">
        <v>12720</v>
      </c>
      <c r="F3430" s="805"/>
      <c r="G3430" s="628" t="s">
        <v>35</v>
      </c>
      <c r="H3430" s="629">
        <v>5.0000000000000002E-5</v>
      </c>
      <c r="I3430" s="630">
        <v>1248.02</v>
      </c>
      <c r="J3430" s="630">
        <v>0.06</v>
      </c>
      <c r="K3430"/>
    </row>
    <row r="3431" spans="1:11" ht="15" customHeight="1">
      <c r="A3431" s="631"/>
      <c r="B3431" s="631"/>
      <c r="C3431" s="631"/>
      <c r="D3431" s="631"/>
      <c r="E3431" s="631" t="s">
        <v>12714</v>
      </c>
      <c r="F3431" s="632">
        <v>0</v>
      </c>
      <c r="G3431" s="631" t="s">
        <v>12715</v>
      </c>
      <c r="H3431" s="632">
        <v>0</v>
      </c>
      <c r="I3431" s="631" t="s">
        <v>12716</v>
      </c>
      <c r="J3431" s="632">
        <v>0</v>
      </c>
      <c r="K3431"/>
    </row>
    <row r="3432" spans="1:11" ht="0.95" customHeight="1" thickBot="1">
      <c r="A3432" s="631"/>
      <c r="B3432" s="631"/>
      <c r="C3432" s="631"/>
      <c r="D3432" s="631"/>
      <c r="E3432" s="631" t="s">
        <v>12717</v>
      </c>
      <c r="F3432" s="632">
        <v>0.01</v>
      </c>
      <c r="G3432" s="631"/>
      <c r="H3432" s="806" t="s">
        <v>12718</v>
      </c>
      <c r="I3432" s="806"/>
      <c r="J3432" s="632">
        <v>7.0000000000000007E-2</v>
      </c>
      <c r="K3432"/>
    </row>
    <row r="3433" spans="1:11" ht="18" customHeight="1" thickTop="1">
      <c r="A3433" s="633"/>
      <c r="B3433" s="633"/>
      <c r="C3433" s="633"/>
      <c r="D3433" s="633"/>
      <c r="E3433" s="633"/>
      <c r="F3433" s="633"/>
      <c r="G3433" s="633"/>
      <c r="H3433" s="633"/>
      <c r="I3433" s="633"/>
      <c r="J3433" s="633"/>
      <c r="K3433"/>
    </row>
    <row r="3434" spans="1:11" ht="24" customHeight="1">
      <c r="A3434" s="613"/>
      <c r="B3434" s="614" t="s">
        <v>12698</v>
      </c>
      <c r="C3434" s="613" t="s">
        <v>12699</v>
      </c>
      <c r="D3434" s="613" t="s">
        <v>12700</v>
      </c>
      <c r="E3434" s="807" t="s">
        <v>12701</v>
      </c>
      <c r="F3434" s="808"/>
      <c r="G3434" s="615" t="s">
        <v>12702</v>
      </c>
      <c r="H3434" s="614" t="s">
        <v>12703</v>
      </c>
      <c r="I3434" s="614" t="s">
        <v>12704</v>
      </c>
      <c r="J3434" s="614" t="s">
        <v>12705</v>
      </c>
      <c r="K3434"/>
    </row>
    <row r="3435" spans="1:11" ht="24" customHeight="1">
      <c r="A3435" s="616" t="s">
        <v>12706</v>
      </c>
      <c r="B3435" s="617" t="s">
        <v>13055</v>
      </c>
      <c r="C3435" s="616" t="s">
        <v>8</v>
      </c>
      <c r="D3435" s="616" t="s">
        <v>2466</v>
      </c>
      <c r="E3435" s="809" t="s">
        <v>12726</v>
      </c>
      <c r="F3435" s="810"/>
      <c r="G3435" s="618" t="s">
        <v>23</v>
      </c>
      <c r="H3435" s="619">
        <v>1</v>
      </c>
      <c r="I3435" s="620">
        <v>2.56</v>
      </c>
      <c r="J3435" s="620">
        <v>2.56</v>
      </c>
      <c r="K3435"/>
    </row>
    <row r="3436" spans="1:11" ht="24" customHeight="1">
      <c r="A3436" s="626" t="s">
        <v>12709</v>
      </c>
      <c r="B3436" s="627" t="s">
        <v>12987</v>
      </c>
      <c r="C3436" s="626" t="s">
        <v>8</v>
      </c>
      <c r="D3436" s="626" t="s">
        <v>9192</v>
      </c>
      <c r="E3436" s="804" t="s">
        <v>12720</v>
      </c>
      <c r="F3436" s="805"/>
      <c r="G3436" s="628" t="s">
        <v>12923</v>
      </c>
      <c r="H3436" s="629">
        <v>3.17</v>
      </c>
      <c r="I3436" s="630">
        <v>0.81</v>
      </c>
      <c r="J3436" s="630">
        <v>2.56</v>
      </c>
      <c r="K3436"/>
    </row>
    <row r="3437" spans="1:11" ht="24" customHeight="1">
      <c r="A3437" s="631"/>
      <c r="B3437" s="631"/>
      <c r="C3437" s="631"/>
      <c r="D3437" s="631"/>
      <c r="E3437" s="631" t="s">
        <v>12714</v>
      </c>
      <c r="F3437" s="632">
        <v>0</v>
      </c>
      <c r="G3437" s="631" t="s">
        <v>12715</v>
      </c>
      <c r="H3437" s="632">
        <v>0</v>
      </c>
      <c r="I3437" s="631" t="s">
        <v>12716</v>
      </c>
      <c r="J3437" s="632">
        <v>0</v>
      </c>
      <c r="K3437"/>
    </row>
    <row r="3438" spans="1:11" ht="24" customHeight="1" thickBot="1">
      <c r="A3438" s="631"/>
      <c r="B3438" s="631"/>
      <c r="C3438" s="631"/>
      <c r="D3438" s="631"/>
      <c r="E3438" s="631" t="s">
        <v>12717</v>
      </c>
      <c r="F3438" s="632">
        <v>0.72</v>
      </c>
      <c r="G3438" s="631"/>
      <c r="H3438" s="806" t="s">
        <v>12718</v>
      </c>
      <c r="I3438" s="806"/>
      <c r="J3438" s="632">
        <v>3.28</v>
      </c>
      <c r="K3438"/>
    </row>
    <row r="3439" spans="1:11" ht="24" customHeight="1" thickTop="1">
      <c r="A3439" s="633"/>
      <c r="B3439" s="633"/>
      <c r="C3439" s="633"/>
      <c r="D3439" s="633"/>
      <c r="E3439" s="633"/>
      <c r="F3439" s="633"/>
      <c r="G3439" s="633"/>
      <c r="H3439" s="633"/>
      <c r="I3439" s="633"/>
      <c r="J3439" s="633"/>
      <c r="K3439"/>
    </row>
    <row r="3440" spans="1:11" ht="24" customHeight="1">
      <c r="A3440" s="613"/>
      <c r="B3440" s="614" t="s">
        <v>12698</v>
      </c>
      <c r="C3440" s="613" t="s">
        <v>12699</v>
      </c>
      <c r="D3440" s="613" t="s">
        <v>12700</v>
      </c>
      <c r="E3440" s="807" t="s">
        <v>12701</v>
      </c>
      <c r="F3440" s="808"/>
      <c r="G3440" s="615" t="s">
        <v>12702</v>
      </c>
      <c r="H3440" s="614" t="s">
        <v>12703</v>
      </c>
      <c r="I3440" s="614" t="s">
        <v>12704</v>
      </c>
      <c r="J3440" s="614" t="s">
        <v>12705</v>
      </c>
      <c r="K3440"/>
    </row>
    <row r="3441" spans="1:11" ht="24" customHeight="1">
      <c r="A3441" s="616" t="s">
        <v>12706</v>
      </c>
      <c r="B3441" s="617" t="s">
        <v>13054</v>
      </c>
      <c r="C3441" s="616" t="s">
        <v>8</v>
      </c>
      <c r="D3441" s="616" t="s">
        <v>49</v>
      </c>
      <c r="E3441" s="809" t="s">
        <v>12707</v>
      </c>
      <c r="F3441" s="810"/>
      <c r="G3441" s="618" t="s">
        <v>23</v>
      </c>
      <c r="H3441" s="619">
        <v>1</v>
      </c>
      <c r="I3441" s="620">
        <v>17.68</v>
      </c>
      <c r="J3441" s="620">
        <v>17.68</v>
      </c>
      <c r="K3441"/>
    </row>
    <row r="3442" spans="1:11" ht="24" customHeight="1">
      <c r="A3442" s="621" t="s">
        <v>12708</v>
      </c>
      <c r="B3442" s="622" t="s">
        <v>13053</v>
      </c>
      <c r="C3442" s="621" t="s">
        <v>8</v>
      </c>
      <c r="D3442" s="621" t="s">
        <v>3689</v>
      </c>
      <c r="E3442" s="811" t="s">
        <v>12707</v>
      </c>
      <c r="F3442" s="812"/>
      <c r="G3442" s="623" t="s">
        <v>23</v>
      </c>
      <c r="H3442" s="624">
        <v>1</v>
      </c>
      <c r="I3442" s="625">
        <v>0.1</v>
      </c>
      <c r="J3442" s="625">
        <v>0.1</v>
      </c>
      <c r="K3442"/>
    </row>
    <row r="3443" spans="1:11">
      <c r="A3443" s="626" t="s">
        <v>12709</v>
      </c>
      <c r="B3443" s="627" t="s">
        <v>13004</v>
      </c>
      <c r="C3443" s="626" t="s">
        <v>8</v>
      </c>
      <c r="D3443" s="626" t="s">
        <v>7388</v>
      </c>
      <c r="E3443" s="804" t="s">
        <v>12712</v>
      </c>
      <c r="F3443" s="805"/>
      <c r="G3443" s="628" t="s">
        <v>23</v>
      </c>
      <c r="H3443" s="629">
        <v>1</v>
      </c>
      <c r="I3443" s="630">
        <v>2.2000000000000002</v>
      </c>
      <c r="J3443" s="630">
        <v>2.2000000000000002</v>
      </c>
      <c r="K3443"/>
    </row>
    <row r="3444" spans="1:11" ht="15" customHeight="1">
      <c r="A3444" s="626" t="s">
        <v>12709</v>
      </c>
      <c r="B3444" s="627" t="s">
        <v>13052</v>
      </c>
      <c r="C3444" s="626" t="s">
        <v>8</v>
      </c>
      <c r="D3444" s="626" t="s">
        <v>9229</v>
      </c>
      <c r="E3444" s="804" t="s">
        <v>12711</v>
      </c>
      <c r="F3444" s="805"/>
      <c r="G3444" s="628" t="s">
        <v>23</v>
      </c>
      <c r="H3444" s="629">
        <v>1</v>
      </c>
      <c r="I3444" s="630">
        <v>0.96</v>
      </c>
      <c r="J3444" s="630">
        <v>0.96</v>
      </c>
      <c r="K3444"/>
    </row>
    <row r="3445" spans="1:11" ht="0.95" customHeight="1">
      <c r="A3445" s="626" t="s">
        <v>12709</v>
      </c>
      <c r="B3445" s="627" t="s">
        <v>13002</v>
      </c>
      <c r="C3445" s="626" t="s">
        <v>8</v>
      </c>
      <c r="D3445" s="626" t="s">
        <v>9306</v>
      </c>
      <c r="E3445" s="804" t="s">
        <v>12712</v>
      </c>
      <c r="F3445" s="805"/>
      <c r="G3445" s="628" t="s">
        <v>23</v>
      </c>
      <c r="H3445" s="629">
        <v>1</v>
      </c>
      <c r="I3445" s="630">
        <v>0.35</v>
      </c>
      <c r="J3445" s="630">
        <v>0.35</v>
      </c>
      <c r="K3445"/>
    </row>
    <row r="3446" spans="1:11" ht="18" customHeight="1">
      <c r="A3446" s="626" t="s">
        <v>12709</v>
      </c>
      <c r="B3446" s="627" t="s">
        <v>13051</v>
      </c>
      <c r="C3446" s="626" t="s">
        <v>8</v>
      </c>
      <c r="D3446" s="626" t="s">
        <v>9376</v>
      </c>
      <c r="E3446" s="804" t="s">
        <v>12711</v>
      </c>
      <c r="F3446" s="805"/>
      <c r="G3446" s="628" t="s">
        <v>23</v>
      </c>
      <c r="H3446" s="629">
        <v>1</v>
      </c>
      <c r="I3446" s="630">
        <v>0.5</v>
      </c>
      <c r="J3446" s="630">
        <v>0.5</v>
      </c>
      <c r="K3446"/>
    </row>
    <row r="3447" spans="1:11" ht="24" customHeight="1">
      <c r="A3447" s="626" t="s">
        <v>12709</v>
      </c>
      <c r="B3447" s="627" t="s">
        <v>12999</v>
      </c>
      <c r="C3447" s="626" t="s">
        <v>8</v>
      </c>
      <c r="D3447" s="626" t="s">
        <v>11251</v>
      </c>
      <c r="E3447" s="804" t="s">
        <v>12713</v>
      </c>
      <c r="F3447" s="805"/>
      <c r="G3447" s="628" t="s">
        <v>23</v>
      </c>
      <c r="H3447" s="629">
        <v>1</v>
      </c>
      <c r="I3447" s="630">
        <v>7.0000000000000007E-2</v>
      </c>
      <c r="J3447" s="630">
        <v>7.0000000000000007E-2</v>
      </c>
      <c r="K3447"/>
    </row>
    <row r="3448" spans="1:11" ht="24" customHeight="1">
      <c r="A3448" s="626" t="s">
        <v>12709</v>
      </c>
      <c r="B3448" s="627" t="s">
        <v>13050</v>
      </c>
      <c r="C3448" s="626" t="s">
        <v>8</v>
      </c>
      <c r="D3448" s="626" t="s">
        <v>11279</v>
      </c>
      <c r="E3448" s="804" t="s">
        <v>12710</v>
      </c>
      <c r="F3448" s="805"/>
      <c r="G3448" s="628" t="s">
        <v>23</v>
      </c>
      <c r="H3448" s="629">
        <v>1</v>
      </c>
      <c r="I3448" s="630">
        <v>12.79</v>
      </c>
      <c r="J3448" s="630">
        <v>12.79</v>
      </c>
      <c r="K3448"/>
    </row>
    <row r="3449" spans="1:11" ht="24" customHeight="1">
      <c r="A3449" s="626" t="s">
        <v>12709</v>
      </c>
      <c r="B3449" s="627" t="s">
        <v>12998</v>
      </c>
      <c r="C3449" s="626" t="s">
        <v>8</v>
      </c>
      <c r="D3449" s="626" t="s">
        <v>11861</v>
      </c>
      <c r="E3449" s="804" t="s">
        <v>12722</v>
      </c>
      <c r="F3449" s="805"/>
      <c r="G3449" s="628" t="s">
        <v>23</v>
      </c>
      <c r="H3449" s="629">
        <v>1</v>
      </c>
      <c r="I3449" s="630">
        <v>0.71</v>
      </c>
      <c r="J3449" s="630">
        <v>0.71</v>
      </c>
      <c r="K3449"/>
    </row>
    <row r="3450" spans="1:11" ht="24" customHeight="1">
      <c r="A3450" s="631"/>
      <c r="B3450" s="631"/>
      <c r="C3450" s="631"/>
      <c r="D3450" s="631"/>
      <c r="E3450" s="631" t="s">
        <v>12714</v>
      </c>
      <c r="F3450" s="632">
        <v>6.9683209000000002</v>
      </c>
      <c r="G3450" s="631" t="s">
        <v>12715</v>
      </c>
      <c r="H3450" s="632">
        <v>5.92</v>
      </c>
      <c r="I3450" s="631" t="s">
        <v>12716</v>
      </c>
      <c r="J3450" s="632">
        <v>12.89</v>
      </c>
      <c r="K3450"/>
    </row>
    <row r="3451" spans="1:11" ht="24" customHeight="1" thickBot="1">
      <c r="A3451" s="631"/>
      <c r="B3451" s="631"/>
      <c r="C3451" s="631"/>
      <c r="D3451" s="631"/>
      <c r="E3451" s="631" t="s">
        <v>12717</v>
      </c>
      <c r="F3451" s="632">
        <v>4.99</v>
      </c>
      <c r="G3451" s="631"/>
      <c r="H3451" s="806" t="s">
        <v>12718</v>
      </c>
      <c r="I3451" s="806"/>
      <c r="J3451" s="632">
        <v>22.67</v>
      </c>
      <c r="K3451"/>
    </row>
    <row r="3452" spans="1:11" ht="15" thickTop="1">
      <c r="A3452" s="633"/>
      <c r="B3452" s="633"/>
      <c r="C3452" s="633"/>
      <c r="D3452" s="633"/>
      <c r="E3452" s="633"/>
      <c r="F3452" s="633"/>
      <c r="G3452" s="633"/>
      <c r="H3452" s="633"/>
      <c r="I3452" s="633"/>
      <c r="J3452" s="633"/>
      <c r="K3452"/>
    </row>
    <row r="3453" spans="1:11" ht="15" customHeight="1">
      <c r="A3453" s="613"/>
      <c r="B3453" s="614" t="s">
        <v>12698</v>
      </c>
      <c r="C3453" s="613" t="s">
        <v>12699</v>
      </c>
      <c r="D3453" s="613" t="s">
        <v>12700</v>
      </c>
      <c r="E3453" s="807" t="s">
        <v>12701</v>
      </c>
      <c r="F3453" s="808"/>
      <c r="G3453" s="615" t="s">
        <v>12702</v>
      </c>
      <c r="H3453" s="614" t="s">
        <v>12703</v>
      </c>
      <c r="I3453" s="614" t="s">
        <v>12704</v>
      </c>
      <c r="J3453" s="614" t="s">
        <v>12705</v>
      </c>
      <c r="K3453"/>
    </row>
    <row r="3454" spans="1:11" ht="0.95" customHeight="1">
      <c r="A3454" s="616" t="s">
        <v>12706</v>
      </c>
      <c r="B3454" s="617" t="s">
        <v>12727</v>
      </c>
      <c r="C3454" s="616" t="s">
        <v>8</v>
      </c>
      <c r="D3454" s="616" t="s">
        <v>26</v>
      </c>
      <c r="E3454" s="809" t="s">
        <v>12707</v>
      </c>
      <c r="F3454" s="810"/>
      <c r="G3454" s="618" t="s">
        <v>23</v>
      </c>
      <c r="H3454" s="619">
        <v>1</v>
      </c>
      <c r="I3454" s="620">
        <v>14.37</v>
      </c>
      <c r="J3454" s="620">
        <v>14.37</v>
      </c>
      <c r="K3454"/>
    </row>
    <row r="3455" spans="1:11" ht="18" customHeight="1">
      <c r="A3455" s="621" t="s">
        <v>12708</v>
      </c>
      <c r="B3455" s="622" t="s">
        <v>13049</v>
      </c>
      <c r="C3455" s="621" t="s">
        <v>8</v>
      </c>
      <c r="D3455" s="621" t="s">
        <v>826</v>
      </c>
      <c r="E3455" s="811" t="s">
        <v>12707</v>
      </c>
      <c r="F3455" s="812"/>
      <c r="G3455" s="623" t="s">
        <v>23</v>
      </c>
      <c r="H3455" s="624">
        <v>1</v>
      </c>
      <c r="I3455" s="625">
        <v>0.13</v>
      </c>
      <c r="J3455" s="625">
        <v>0.13</v>
      </c>
      <c r="K3455"/>
    </row>
    <row r="3456" spans="1:11" ht="24" customHeight="1">
      <c r="A3456" s="626" t="s">
        <v>12709</v>
      </c>
      <c r="B3456" s="627" t="s">
        <v>13004</v>
      </c>
      <c r="C3456" s="626" t="s">
        <v>8</v>
      </c>
      <c r="D3456" s="626" t="s">
        <v>7388</v>
      </c>
      <c r="E3456" s="804" t="s">
        <v>12712</v>
      </c>
      <c r="F3456" s="805"/>
      <c r="G3456" s="628" t="s">
        <v>23</v>
      </c>
      <c r="H3456" s="629">
        <v>1</v>
      </c>
      <c r="I3456" s="630">
        <v>2.2000000000000002</v>
      </c>
      <c r="J3456" s="630">
        <v>2.2000000000000002</v>
      </c>
      <c r="K3456"/>
    </row>
    <row r="3457" spans="1:11" ht="24" customHeight="1">
      <c r="A3457" s="626" t="s">
        <v>12709</v>
      </c>
      <c r="B3457" s="627" t="s">
        <v>13048</v>
      </c>
      <c r="C3457" s="626" t="s">
        <v>8</v>
      </c>
      <c r="D3457" s="626" t="s">
        <v>9233</v>
      </c>
      <c r="E3457" s="804" t="s">
        <v>12711</v>
      </c>
      <c r="F3457" s="805"/>
      <c r="G3457" s="628" t="s">
        <v>23</v>
      </c>
      <c r="H3457" s="629">
        <v>1</v>
      </c>
      <c r="I3457" s="630">
        <v>1.02</v>
      </c>
      <c r="J3457" s="630">
        <v>1.02</v>
      </c>
      <c r="K3457"/>
    </row>
    <row r="3458" spans="1:11" ht="24" customHeight="1">
      <c r="A3458" s="626" t="s">
        <v>12709</v>
      </c>
      <c r="B3458" s="627" t="s">
        <v>13002</v>
      </c>
      <c r="C3458" s="626" t="s">
        <v>8</v>
      </c>
      <c r="D3458" s="626" t="s">
        <v>9306</v>
      </c>
      <c r="E3458" s="804" t="s">
        <v>12712</v>
      </c>
      <c r="F3458" s="805"/>
      <c r="G3458" s="628" t="s">
        <v>23</v>
      </c>
      <c r="H3458" s="629">
        <v>1</v>
      </c>
      <c r="I3458" s="630">
        <v>0.35</v>
      </c>
      <c r="J3458" s="630">
        <v>0.35</v>
      </c>
      <c r="K3458"/>
    </row>
    <row r="3459" spans="1:11" ht="24" customHeight="1">
      <c r="A3459" s="626" t="s">
        <v>12709</v>
      </c>
      <c r="B3459" s="627" t="s">
        <v>13047</v>
      </c>
      <c r="C3459" s="626" t="s">
        <v>8</v>
      </c>
      <c r="D3459" s="626" t="s">
        <v>9380</v>
      </c>
      <c r="E3459" s="804" t="s">
        <v>12711</v>
      </c>
      <c r="F3459" s="805"/>
      <c r="G3459" s="628" t="s">
        <v>23</v>
      </c>
      <c r="H3459" s="629">
        <v>1</v>
      </c>
      <c r="I3459" s="630">
        <v>0.38</v>
      </c>
      <c r="J3459" s="630">
        <v>0.38</v>
      </c>
      <c r="K3459"/>
    </row>
    <row r="3460" spans="1:11" ht="24" customHeight="1">
      <c r="A3460" s="626" t="s">
        <v>12709</v>
      </c>
      <c r="B3460" s="627" t="s">
        <v>12999</v>
      </c>
      <c r="C3460" s="626" t="s">
        <v>8</v>
      </c>
      <c r="D3460" s="626" t="s">
        <v>11251</v>
      </c>
      <c r="E3460" s="804" t="s">
        <v>12713</v>
      </c>
      <c r="F3460" s="805"/>
      <c r="G3460" s="628" t="s">
        <v>23</v>
      </c>
      <c r="H3460" s="629">
        <v>1</v>
      </c>
      <c r="I3460" s="630">
        <v>7.0000000000000007E-2</v>
      </c>
      <c r="J3460" s="630">
        <v>7.0000000000000007E-2</v>
      </c>
      <c r="K3460"/>
    </row>
    <row r="3461" spans="1:11">
      <c r="A3461" s="626" t="s">
        <v>12709</v>
      </c>
      <c r="B3461" s="627" t="s">
        <v>13046</v>
      </c>
      <c r="C3461" s="626" t="s">
        <v>8</v>
      </c>
      <c r="D3461" s="626" t="s">
        <v>11281</v>
      </c>
      <c r="E3461" s="804" t="s">
        <v>12710</v>
      </c>
      <c r="F3461" s="805"/>
      <c r="G3461" s="628" t="s">
        <v>23</v>
      </c>
      <c r="H3461" s="629">
        <v>1</v>
      </c>
      <c r="I3461" s="630">
        <v>9.51</v>
      </c>
      <c r="J3461" s="630">
        <v>9.51</v>
      </c>
      <c r="K3461"/>
    </row>
    <row r="3462" spans="1:11" ht="15" customHeight="1">
      <c r="A3462" s="626" t="s">
        <v>12709</v>
      </c>
      <c r="B3462" s="627" t="s">
        <v>12998</v>
      </c>
      <c r="C3462" s="626" t="s">
        <v>8</v>
      </c>
      <c r="D3462" s="626" t="s">
        <v>11861</v>
      </c>
      <c r="E3462" s="804" t="s">
        <v>12722</v>
      </c>
      <c r="F3462" s="805"/>
      <c r="G3462" s="628" t="s">
        <v>23</v>
      </c>
      <c r="H3462" s="629">
        <v>1</v>
      </c>
      <c r="I3462" s="630">
        <v>0.71</v>
      </c>
      <c r="J3462" s="630">
        <v>0.71</v>
      </c>
      <c r="K3462"/>
    </row>
    <row r="3463" spans="1:11" ht="0.95" customHeight="1">
      <c r="A3463" s="631"/>
      <c r="B3463" s="631"/>
      <c r="C3463" s="631"/>
      <c r="D3463" s="631"/>
      <c r="E3463" s="631" t="s">
        <v>12714</v>
      </c>
      <c r="F3463" s="632">
        <v>5.2113742026164989</v>
      </c>
      <c r="G3463" s="631" t="s">
        <v>12715</v>
      </c>
      <c r="H3463" s="632">
        <v>4.43</v>
      </c>
      <c r="I3463" s="631" t="s">
        <v>12716</v>
      </c>
      <c r="J3463" s="632">
        <v>9.64</v>
      </c>
      <c r="K3463"/>
    </row>
    <row r="3464" spans="1:11" ht="18" customHeight="1" thickBot="1">
      <c r="A3464" s="631"/>
      <c r="B3464" s="631"/>
      <c r="C3464" s="631"/>
      <c r="D3464" s="631"/>
      <c r="E3464" s="631" t="s">
        <v>12717</v>
      </c>
      <c r="F3464" s="632">
        <v>4.05</v>
      </c>
      <c r="G3464" s="631"/>
      <c r="H3464" s="806" t="s">
        <v>12718</v>
      </c>
      <c r="I3464" s="806"/>
      <c r="J3464" s="632">
        <v>18.420000000000002</v>
      </c>
      <c r="K3464"/>
    </row>
    <row r="3465" spans="1:11" ht="36" customHeight="1" thickTop="1">
      <c r="A3465" s="633"/>
      <c r="B3465" s="633"/>
      <c r="C3465" s="633"/>
      <c r="D3465" s="633"/>
      <c r="E3465" s="633"/>
      <c r="F3465" s="633"/>
      <c r="G3465" s="633"/>
      <c r="H3465" s="633"/>
      <c r="I3465" s="633"/>
      <c r="J3465" s="633"/>
      <c r="K3465"/>
    </row>
    <row r="3466" spans="1:11" ht="24" customHeight="1">
      <c r="A3466" s="613"/>
      <c r="B3466" s="614" t="s">
        <v>12698</v>
      </c>
      <c r="C3466" s="613" t="s">
        <v>12699</v>
      </c>
      <c r="D3466" s="613" t="s">
        <v>12700</v>
      </c>
      <c r="E3466" s="807" t="s">
        <v>12701</v>
      </c>
      <c r="F3466" s="808"/>
      <c r="G3466" s="615" t="s">
        <v>12702</v>
      </c>
      <c r="H3466" s="614" t="s">
        <v>12703</v>
      </c>
      <c r="I3466" s="614" t="s">
        <v>12704</v>
      </c>
      <c r="J3466" s="614" t="s">
        <v>12705</v>
      </c>
      <c r="K3466"/>
    </row>
    <row r="3467" spans="1:11" ht="24" customHeight="1">
      <c r="A3467" s="616" t="s">
        <v>12706</v>
      </c>
      <c r="B3467" s="617" t="s">
        <v>13045</v>
      </c>
      <c r="C3467" s="616" t="s">
        <v>8</v>
      </c>
      <c r="D3467" s="616" t="s">
        <v>6891</v>
      </c>
      <c r="E3467" s="809" t="s">
        <v>12819</v>
      </c>
      <c r="F3467" s="810"/>
      <c r="G3467" s="618" t="s">
        <v>35</v>
      </c>
      <c r="H3467" s="619">
        <v>1</v>
      </c>
      <c r="I3467" s="620">
        <v>10.01</v>
      </c>
      <c r="J3467" s="620">
        <v>10.01</v>
      </c>
      <c r="K3467"/>
    </row>
    <row r="3468" spans="1:11" ht="36" customHeight="1">
      <c r="A3468" s="621" t="s">
        <v>12708</v>
      </c>
      <c r="B3468" s="622" t="s">
        <v>12981</v>
      </c>
      <c r="C3468" s="621" t="s">
        <v>8</v>
      </c>
      <c r="D3468" s="621" t="s">
        <v>50</v>
      </c>
      <c r="E3468" s="811" t="s">
        <v>12707</v>
      </c>
      <c r="F3468" s="812"/>
      <c r="G3468" s="623" t="s">
        <v>23</v>
      </c>
      <c r="H3468" s="624">
        <v>8.4500000000000006E-2</v>
      </c>
      <c r="I3468" s="625">
        <v>17.79</v>
      </c>
      <c r="J3468" s="625">
        <v>1.5</v>
      </c>
      <c r="K3468"/>
    </row>
    <row r="3469" spans="1:11" ht="25.5">
      <c r="A3469" s="621" t="s">
        <v>12708</v>
      </c>
      <c r="B3469" s="622" t="s">
        <v>12727</v>
      </c>
      <c r="C3469" s="621" t="s">
        <v>8</v>
      </c>
      <c r="D3469" s="621" t="s">
        <v>26</v>
      </c>
      <c r="E3469" s="811" t="s">
        <v>12707</v>
      </c>
      <c r="F3469" s="812"/>
      <c r="G3469" s="623" t="s">
        <v>23</v>
      </c>
      <c r="H3469" s="624">
        <v>2.6599999999999999E-2</v>
      </c>
      <c r="I3469" s="625">
        <v>14.37</v>
      </c>
      <c r="J3469" s="625">
        <v>0.38</v>
      </c>
      <c r="K3469"/>
    </row>
    <row r="3470" spans="1:11" ht="15" customHeight="1">
      <c r="A3470" s="626" t="s">
        <v>12709</v>
      </c>
      <c r="B3470" s="627" t="s">
        <v>12980</v>
      </c>
      <c r="C3470" s="626" t="s">
        <v>8</v>
      </c>
      <c r="D3470" s="626" t="s">
        <v>9425</v>
      </c>
      <c r="E3470" s="804" t="s">
        <v>12720</v>
      </c>
      <c r="F3470" s="805"/>
      <c r="G3470" s="628" t="s">
        <v>35</v>
      </c>
      <c r="H3470" s="629">
        <v>3.32E-2</v>
      </c>
      <c r="I3470" s="630">
        <v>4.0599999999999996</v>
      </c>
      <c r="J3470" s="630">
        <v>0.13</v>
      </c>
      <c r="K3470"/>
    </row>
    <row r="3471" spans="1:11" ht="0.95" customHeight="1">
      <c r="A3471" s="626" t="s">
        <v>12709</v>
      </c>
      <c r="B3471" s="627" t="s">
        <v>13044</v>
      </c>
      <c r="C3471" s="626" t="s">
        <v>8</v>
      </c>
      <c r="D3471" s="626" t="s">
        <v>11289</v>
      </c>
      <c r="E3471" s="804" t="s">
        <v>12720</v>
      </c>
      <c r="F3471" s="805"/>
      <c r="G3471" s="628" t="s">
        <v>35</v>
      </c>
      <c r="H3471" s="629">
        <v>1</v>
      </c>
      <c r="I3471" s="630">
        <v>8</v>
      </c>
      <c r="J3471" s="630">
        <v>8</v>
      </c>
      <c r="K3471"/>
    </row>
    <row r="3472" spans="1:11" ht="18" customHeight="1">
      <c r="A3472" s="631"/>
      <c r="B3472" s="631"/>
      <c r="C3472" s="631"/>
      <c r="D3472" s="631"/>
      <c r="E3472" s="631" t="s">
        <v>12714</v>
      </c>
      <c r="F3472" s="632">
        <v>0.74602659746999678</v>
      </c>
      <c r="G3472" s="631" t="s">
        <v>12715</v>
      </c>
      <c r="H3472" s="632">
        <v>0.63</v>
      </c>
      <c r="I3472" s="631" t="s">
        <v>12716</v>
      </c>
      <c r="J3472" s="632">
        <v>1.38</v>
      </c>
      <c r="K3472"/>
    </row>
    <row r="3473" spans="1:11" ht="24" customHeight="1" thickBot="1">
      <c r="A3473" s="631"/>
      <c r="B3473" s="631"/>
      <c r="C3473" s="631"/>
      <c r="D3473" s="631"/>
      <c r="E3473" s="631" t="s">
        <v>12717</v>
      </c>
      <c r="F3473" s="632">
        <v>2.82</v>
      </c>
      <c r="G3473" s="631"/>
      <c r="H3473" s="806" t="s">
        <v>12718</v>
      </c>
      <c r="I3473" s="806"/>
      <c r="J3473" s="632">
        <v>12.83</v>
      </c>
      <c r="K3473"/>
    </row>
    <row r="3474" spans="1:11" ht="24" customHeight="1" thickTop="1">
      <c r="A3474" s="633"/>
      <c r="B3474" s="633"/>
      <c r="C3474" s="633"/>
      <c r="D3474" s="633"/>
      <c r="E3474" s="633"/>
      <c r="F3474" s="633"/>
      <c r="G3474" s="633"/>
      <c r="H3474" s="633"/>
      <c r="I3474" s="633"/>
      <c r="J3474" s="633"/>
      <c r="K3474"/>
    </row>
    <row r="3475" spans="1:11" ht="24" customHeight="1">
      <c r="A3475" s="613"/>
      <c r="B3475" s="614" t="s">
        <v>12698</v>
      </c>
      <c r="C3475" s="613" t="s">
        <v>12699</v>
      </c>
      <c r="D3475" s="613" t="s">
        <v>12700</v>
      </c>
      <c r="E3475" s="807" t="s">
        <v>12701</v>
      </c>
      <c r="F3475" s="808"/>
      <c r="G3475" s="615" t="s">
        <v>12702</v>
      </c>
      <c r="H3475" s="614" t="s">
        <v>12703</v>
      </c>
      <c r="I3475" s="614" t="s">
        <v>12704</v>
      </c>
      <c r="J3475" s="614" t="s">
        <v>12705</v>
      </c>
      <c r="K3475"/>
    </row>
    <row r="3476" spans="1:11" ht="36" customHeight="1">
      <c r="A3476" s="616" t="s">
        <v>12706</v>
      </c>
      <c r="B3476" s="617" t="s">
        <v>13043</v>
      </c>
      <c r="C3476" s="616" t="s">
        <v>8</v>
      </c>
      <c r="D3476" s="616" t="s">
        <v>6889</v>
      </c>
      <c r="E3476" s="809" t="s">
        <v>12819</v>
      </c>
      <c r="F3476" s="810"/>
      <c r="G3476" s="618" t="s">
        <v>35</v>
      </c>
      <c r="H3476" s="619">
        <v>1</v>
      </c>
      <c r="I3476" s="620">
        <v>155.6</v>
      </c>
      <c r="J3476" s="620">
        <v>155.6</v>
      </c>
      <c r="K3476"/>
    </row>
    <row r="3477" spans="1:11" ht="24" customHeight="1">
      <c r="A3477" s="621" t="s">
        <v>12708</v>
      </c>
      <c r="B3477" s="622" t="s">
        <v>12981</v>
      </c>
      <c r="C3477" s="621" t="s">
        <v>8</v>
      </c>
      <c r="D3477" s="621" t="s">
        <v>50</v>
      </c>
      <c r="E3477" s="811" t="s">
        <v>12707</v>
      </c>
      <c r="F3477" s="812"/>
      <c r="G3477" s="623" t="s">
        <v>23</v>
      </c>
      <c r="H3477" s="624">
        <v>0.27339999999999998</v>
      </c>
      <c r="I3477" s="625">
        <v>17.79</v>
      </c>
      <c r="J3477" s="625">
        <v>4.8600000000000003</v>
      </c>
      <c r="K3477"/>
    </row>
    <row r="3478" spans="1:11" ht="24" customHeight="1">
      <c r="A3478" s="621" t="s">
        <v>12708</v>
      </c>
      <c r="B3478" s="622" t="s">
        <v>12727</v>
      </c>
      <c r="C3478" s="621" t="s">
        <v>8</v>
      </c>
      <c r="D3478" s="621" t="s">
        <v>26</v>
      </c>
      <c r="E3478" s="811" t="s">
        <v>12707</v>
      </c>
      <c r="F3478" s="812"/>
      <c r="G3478" s="623" t="s">
        <v>23</v>
      </c>
      <c r="H3478" s="624">
        <v>8.6199999999999999E-2</v>
      </c>
      <c r="I3478" s="625">
        <v>14.37</v>
      </c>
      <c r="J3478" s="625">
        <v>1.23</v>
      </c>
      <c r="K3478"/>
    </row>
    <row r="3479" spans="1:11">
      <c r="A3479" s="626" t="s">
        <v>12709</v>
      </c>
      <c r="B3479" s="627" t="s">
        <v>12980</v>
      </c>
      <c r="C3479" s="626" t="s">
        <v>8</v>
      </c>
      <c r="D3479" s="626" t="s">
        <v>9425</v>
      </c>
      <c r="E3479" s="804" t="s">
        <v>12720</v>
      </c>
      <c r="F3479" s="805"/>
      <c r="G3479" s="628" t="s">
        <v>35</v>
      </c>
      <c r="H3479" s="629">
        <v>3.32E-2</v>
      </c>
      <c r="I3479" s="630">
        <v>4.0599999999999996</v>
      </c>
      <c r="J3479" s="630">
        <v>0.13</v>
      </c>
      <c r="K3479"/>
    </row>
    <row r="3480" spans="1:11" ht="15" customHeight="1">
      <c r="A3480" s="626" t="s">
        <v>12709</v>
      </c>
      <c r="B3480" s="627" t="s">
        <v>13042</v>
      </c>
      <c r="C3480" s="626" t="s">
        <v>8</v>
      </c>
      <c r="D3480" s="626" t="s">
        <v>11286</v>
      </c>
      <c r="E3480" s="804" t="s">
        <v>12720</v>
      </c>
      <c r="F3480" s="805"/>
      <c r="G3480" s="628" t="s">
        <v>35</v>
      </c>
      <c r="H3480" s="629">
        <v>1</v>
      </c>
      <c r="I3480" s="630">
        <v>149.38</v>
      </c>
      <c r="J3480" s="630">
        <v>149.38</v>
      </c>
      <c r="K3480"/>
    </row>
    <row r="3481" spans="1:11" ht="0.95" customHeight="1">
      <c r="A3481" s="631"/>
      <c r="B3481" s="631"/>
      <c r="C3481" s="631"/>
      <c r="D3481" s="631"/>
      <c r="E3481" s="631" t="s">
        <v>12714</v>
      </c>
      <c r="F3481" s="632">
        <v>2.4272894366958591</v>
      </c>
      <c r="G3481" s="631" t="s">
        <v>12715</v>
      </c>
      <c r="H3481" s="632">
        <v>2.06</v>
      </c>
      <c r="I3481" s="631" t="s">
        <v>12716</v>
      </c>
      <c r="J3481" s="632">
        <v>4.49</v>
      </c>
      <c r="K3481"/>
    </row>
    <row r="3482" spans="1:11" ht="18" customHeight="1" thickBot="1">
      <c r="A3482" s="631"/>
      <c r="B3482" s="631"/>
      <c r="C3482" s="631"/>
      <c r="D3482" s="631"/>
      <c r="E3482" s="631" t="s">
        <v>12717</v>
      </c>
      <c r="F3482" s="632">
        <v>43.94</v>
      </c>
      <c r="G3482" s="631"/>
      <c r="H3482" s="806" t="s">
        <v>12718</v>
      </c>
      <c r="I3482" s="806"/>
      <c r="J3482" s="632">
        <v>199.54</v>
      </c>
      <c r="K3482"/>
    </row>
    <row r="3483" spans="1:11" ht="24" customHeight="1" thickTop="1">
      <c r="A3483" s="633"/>
      <c r="B3483" s="633"/>
      <c r="C3483" s="633"/>
      <c r="D3483" s="633"/>
      <c r="E3483" s="633"/>
      <c r="F3483" s="633"/>
      <c r="G3483" s="633"/>
      <c r="H3483" s="633"/>
      <c r="I3483" s="633"/>
      <c r="J3483" s="633"/>
      <c r="K3483"/>
    </row>
    <row r="3484" spans="1:11" ht="24" customHeight="1">
      <c r="A3484" s="613"/>
      <c r="B3484" s="614" t="s">
        <v>12698</v>
      </c>
      <c r="C3484" s="613" t="s">
        <v>12699</v>
      </c>
      <c r="D3484" s="613" t="s">
        <v>12700</v>
      </c>
      <c r="E3484" s="807" t="s">
        <v>12701</v>
      </c>
      <c r="F3484" s="808"/>
      <c r="G3484" s="615" t="s">
        <v>12702</v>
      </c>
      <c r="H3484" s="614" t="s">
        <v>12703</v>
      </c>
      <c r="I3484" s="614" t="s">
        <v>12704</v>
      </c>
      <c r="J3484" s="614" t="s">
        <v>12705</v>
      </c>
      <c r="K3484"/>
    </row>
    <row r="3485" spans="1:11" ht="24" customHeight="1">
      <c r="A3485" s="616" t="s">
        <v>12706</v>
      </c>
      <c r="B3485" s="617" t="s">
        <v>13041</v>
      </c>
      <c r="C3485" s="616" t="s">
        <v>8</v>
      </c>
      <c r="D3485" s="616" t="s">
        <v>584</v>
      </c>
      <c r="E3485" s="809" t="s">
        <v>12873</v>
      </c>
      <c r="F3485" s="810"/>
      <c r="G3485" s="618" t="s">
        <v>35</v>
      </c>
      <c r="H3485" s="619">
        <v>1</v>
      </c>
      <c r="I3485" s="620">
        <v>4.91</v>
      </c>
      <c r="J3485" s="620">
        <v>4.91</v>
      </c>
      <c r="K3485"/>
    </row>
    <row r="3486" spans="1:11" ht="24" customHeight="1">
      <c r="A3486" s="621" t="s">
        <v>12708</v>
      </c>
      <c r="B3486" s="622" t="s">
        <v>13022</v>
      </c>
      <c r="C3486" s="621" t="s">
        <v>8</v>
      </c>
      <c r="D3486" s="621" t="s">
        <v>52</v>
      </c>
      <c r="E3486" s="811" t="s">
        <v>12707</v>
      </c>
      <c r="F3486" s="812"/>
      <c r="G3486" s="623" t="s">
        <v>23</v>
      </c>
      <c r="H3486" s="624">
        <v>0.124</v>
      </c>
      <c r="I3486" s="625">
        <v>18.38</v>
      </c>
      <c r="J3486" s="625">
        <v>2.27</v>
      </c>
      <c r="K3486"/>
    </row>
    <row r="3487" spans="1:11" ht="24" customHeight="1">
      <c r="A3487" s="626" t="s">
        <v>12709</v>
      </c>
      <c r="B3487" s="627" t="s">
        <v>13040</v>
      </c>
      <c r="C3487" s="626" t="s">
        <v>8</v>
      </c>
      <c r="D3487" s="626" t="s">
        <v>9280</v>
      </c>
      <c r="E3487" s="804" t="s">
        <v>12720</v>
      </c>
      <c r="F3487" s="805"/>
      <c r="G3487" s="628" t="s">
        <v>35</v>
      </c>
      <c r="H3487" s="629">
        <v>1</v>
      </c>
      <c r="I3487" s="630">
        <v>1.74</v>
      </c>
      <c r="J3487" s="630">
        <v>1.74</v>
      </c>
      <c r="K3487"/>
    </row>
    <row r="3488" spans="1:11" ht="24" customHeight="1">
      <c r="A3488" s="626" t="s">
        <v>12709</v>
      </c>
      <c r="B3488" s="627" t="s">
        <v>13039</v>
      </c>
      <c r="C3488" s="626" t="s">
        <v>8</v>
      </c>
      <c r="D3488" s="626" t="s">
        <v>11339</v>
      </c>
      <c r="E3488" s="804" t="s">
        <v>12720</v>
      </c>
      <c r="F3488" s="805"/>
      <c r="G3488" s="628" t="s">
        <v>35</v>
      </c>
      <c r="H3488" s="629">
        <v>1</v>
      </c>
      <c r="I3488" s="630">
        <v>0.9</v>
      </c>
      <c r="J3488" s="630">
        <v>0.9</v>
      </c>
      <c r="K3488"/>
    </row>
    <row r="3489" spans="1:11" ht="24" customHeight="1">
      <c r="A3489" s="631"/>
      <c r="B3489" s="631"/>
      <c r="C3489" s="631"/>
      <c r="D3489" s="631"/>
      <c r="E3489" s="631" t="s">
        <v>12714</v>
      </c>
      <c r="F3489" s="632">
        <v>0.90820629257217</v>
      </c>
      <c r="G3489" s="631" t="s">
        <v>12715</v>
      </c>
      <c r="H3489" s="632">
        <v>0.77</v>
      </c>
      <c r="I3489" s="631" t="s">
        <v>12716</v>
      </c>
      <c r="J3489" s="632">
        <v>1.68</v>
      </c>
      <c r="K3489"/>
    </row>
    <row r="3490" spans="1:11" ht="24" customHeight="1" thickBot="1">
      <c r="A3490" s="631"/>
      <c r="B3490" s="631"/>
      <c r="C3490" s="631"/>
      <c r="D3490" s="631"/>
      <c r="E3490" s="631" t="s">
        <v>12717</v>
      </c>
      <c r="F3490" s="632">
        <v>1.38</v>
      </c>
      <c r="G3490" s="631"/>
      <c r="H3490" s="806" t="s">
        <v>12718</v>
      </c>
      <c r="I3490" s="806"/>
      <c r="J3490" s="632">
        <v>6.29</v>
      </c>
      <c r="K3490"/>
    </row>
    <row r="3491" spans="1:11" ht="24" customHeight="1" thickTop="1">
      <c r="A3491" s="633"/>
      <c r="B3491" s="633"/>
      <c r="C3491" s="633"/>
      <c r="D3491" s="633"/>
      <c r="E3491" s="633"/>
      <c r="F3491" s="633"/>
      <c r="G3491" s="633"/>
      <c r="H3491" s="633"/>
      <c r="I3491" s="633"/>
      <c r="J3491" s="633"/>
      <c r="K3491"/>
    </row>
    <row r="3492" spans="1:11" ht="15">
      <c r="A3492" s="613"/>
      <c r="B3492" s="614" t="s">
        <v>12698</v>
      </c>
      <c r="C3492" s="613" t="s">
        <v>12699</v>
      </c>
      <c r="D3492" s="613" t="s">
        <v>12700</v>
      </c>
      <c r="E3492" s="807" t="s">
        <v>12701</v>
      </c>
      <c r="F3492" s="808"/>
      <c r="G3492" s="615" t="s">
        <v>12702</v>
      </c>
      <c r="H3492" s="614" t="s">
        <v>12703</v>
      </c>
      <c r="I3492" s="614" t="s">
        <v>12704</v>
      </c>
      <c r="J3492" s="614" t="s">
        <v>12705</v>
      </c>
      <c r="K3492"/>
    </row>
    <row r="3493" spans="1:11" ht="15" customHeight="1">
      <c r="A3493" s="616" t="s">
        <v>12706</v>
      </c>
      <c r="B3493" s="617" t="s">
        <v>13038</v>
      </c>
      <c r="C3493" s="616" t="s">
        <v>8</v>
      </c>
      <c r="D3493" s="616" t="s">
        <v>6881</v>
      </c>
      <c r="E3493" s="809" t="s">
        <v>12819</v>
      </c>
      <c r="F3493" s="810"/>
      <c r="G3493" s="618" t="s">
        <v>35</v>
      </c>
      <c r="H3493" s="619">
        <v>1</v>
      </c>
      <c r="I3493" s="620">
        <v>575.64</v>
      </c>
      <c r="J3493" s="620">
        <v>575.64</v>
      </c>
      <c r="K3493"/>
    </row>
    <row r="3494" spans="1:11" ht="0.95" customHeight="1">
      <c r="A3494" s="621" t="s">
        <v>12708</v>
      </c>
      <c r="B3494" s="622" t="s">
        <v>12981</v>
      </c>
      <c r="C3494" s="621" t="s">
        <v>8</v>
      </c>
      <c r="D3494" s="621" t="s">
        <v>50</v>
      </c>
      <c r="E3494" s="811" t="s">
        <v>12707</v>
      </c>
      <c r="F3494" s="812"/>
      <c r="G3494" s="623" t="s">
        <v>23</v>
      </c>
      <c r="H3494" s="624">
        <v>1.7688999999999999</v>
      </c>
      <c r="I3494" s="625">
        <v>17.79</v>
      </c>
      <c r="J3494" s="625">
        <v>31.46</v>
      </c>
      <c r="K3494"/>
    </row>
    <row r="3495" spans="1:11" ht="18" customHeight="1">
      <c r="A3495" s="621" t="s">
        <v>12708</v>
      </c>
      <c r="B3495" s="622" t="s">
        <v>12727</v>
      </c>
      <c r="C3495" s="621" t="s">
        <v>8</v>
      </c>
      <c r="D3495" s="621" t="s">
        <v>26</v>
      </c>
      <c r="E3495" s="811" t="s">
        <v>12707</v>
      </c>
      <c r="F3495" s="812"/>
      <c r="G3495" s="623" t="s">
        <v>23</v>
      </c>
      <c r="H3495" s="624">
        <v>0.71109999999999995</v>
      </c>
      <c r="I3495" s="625">
        <v>14.37</v>
      </c>
      <c r="J3495" s="625">
        <v>10.210000000000001</v>
      </c>
      <c r="K3495"/>
    </row>
    <row r="3496" spans="1:11" ht="36" customHeight="1">
      <c r="A3496" s="626" t="s">
        <v>12709</v>
      </c>
      <c r="B3496" s="627" t="s">
        <v>13037</v>
      </c>
      <c r="C3496" s="626" t="s">
        <v>8</v>
      </c>
      <c r="D3496" s="626" t="s">
        <v>10652</v>
      </c>
      <c r="E3496" s="804" t="s">
        <v>12720</v>
      </c>
      <c r="F3496" s="805"/>
      <c r="G3496" s="628" t="s">
        <v>35</v>
      </c>
      <c r="H3496" s="629">
        <v>6</v>
      </c>
      <c r="I3496" s="630">
        <v>11.55</v>
      </c>
      <c r="J3496" s="630">
        <v>69.3</v>
      </c>
      <c r="K3496"/>
    </row>
    <row r="3497" spans="1:11" ht="24" customHeight="1">
      <c r="A3497" s="626" t="s">
        <v>12709</v>
      </c>
      <c r="B3497" s="627" t="s">
        <v>13036</v>
      </c>
      <c r="C3497" s="626" t="s">
        <v>8</v>
      </c>
      <c r="D3497" s="626" t="s">
        <v>11174</v>
      </c>
      <c r="E3497" s="804" t="s">
        <v>12720</v>
      </c>
      <c r="F3497" s="805"/>
      <c r="G3497" s="628" t="s">
        <v>20</v>
      </c>
      <c r="H3497" s="629">
        <v>7.0199999999999999E-2</v>
      </c>
      <c r="I3497" s="630">
        <v>57.59</v>
      </c>
      <c r="J3497" s="630">
        <v>4.04</v>
      </c>
      <c r="K3497"/>
    </row>
    <row r="3498" spans="1:11" ht="24" customHeight="1">
      <c r="A3498" s="626" t="s">
        <v>12709</v>
      </c>
      <c r="B3498" s="627" t="s">
        <v>13035</v>
      </c>
      <c r="C3498" s="626" t="s">
        <v>8</v>
      </c>
      <c r="D3498" s="626" t="s">
        <v>11418</v>
      </c>
      <c r="E3498" s="804" t="s">
        <v>12720</v>
      </c>
      <c r="F3498" s="805"/>
      <c r="G3498" s="628" t="s">
        <v>35</v>
      </c>
      <c r="H3498" s="629">
        <v>1</v>
      </c>
      <c r="I3498" s="630">
        <v>460.63</v>
      </c>
      <c r="J3498" s="630">
        <v>460.63</v>
      </c>
      <c r="K3498"/>
    </row>
    <row r="3499" spans="1:11" ht="24" customHeight="1">
      <c r="A3499" s="631"/>
      <c r="B3499" s="631"/>
      <c r="C3499" s="631"/>
      <c r="D3499" s="631"/>
      <c r="E3499" s="631" t="s">
        <v>12714</v>
      </c>
      <c r="F3499" s="632">
        <v>16.504486971564493</v>
      </c>
      <c r="G3499" s="631" t="s">
        <v>12715</v>
      </c>
      <c r="H3499" s="632">
        <v>14.03</v>
      </c>
      <c r="I3499" s="631" t="s">
        <v>12716</v>
      </c>
      <c r="J3499" s="632">
        <v>30.53</v>
      </c>
      <c r="K3499"/>
    </row>
    <row r="3500" spans="1:11" ht="15" customHeight="1" thickBot="1">
      <c r="A3500" s="631"/>
      <c r="B3500" s="631"/>
      <c r="C3500" s="631"/>
      <c r="D3500" s="631"/>
      <c r="E3500" s="631" t="s">
        <v>12717</v>
      </c>
      <c r="F3500" s="632">
        <v>162.56</v>
      </c>
      <c r="G3500" s="631"/>
      <c r="H3500" s="806" t="s">
        <v>12718</v>
      </c>
      <c r="I3500" s="806"/>
      <c r="J3500" s="632">
        <v>738.2</v>
      </c>
      <c r="K3500"/>
    </row>
    <row r="3501" spans="1:11" ht="15" customHeight="1" thickTop="1">
      <c r="A3501" s="633"/>
      <c r="B3501" s="633"/>
      <c r="C3501" s="633"/>
      <c r="D3501" s="633"/>
      <c r="E3501" s="633"/>
      <c r="F3501" s="633"/>
      <c r="G3501" s="633"/>
      <c r="H3501" s="633"/>
      <c r="I3501" s="633"/>
      <c r="J3501" s="633"/>
      <c r="K3501"/>
    </row>
    <row r="3502" spans="1:11" ht="0.95" customHeight="1">
      <c r="A3502" s="613"/>
      <c r="B3502" s="614" t="s">
        <v>12698</v>
      </c>
      <c r="C3502" s="613" t="s">
        <v>12699</v>
      </c>
      <c r="D3502" s="613" t="s">
        <v>12700</v>
      </c>
      <c r="E3502" s="807" t="s">
        <v>12701</v>
      </c>
      <c r="F3502" s="808"/>
      <c r="G3502" s="615" t="s">
        <v>12702</v>
      </c>
      <c r="H3502" s="614" t="s">
        <v>12703</v>
      </c>
      <c r="I3502" s="614" t="s">
        <v>12704</v>
      </c>
      <c r="J3502" s="614" t="s">
        <v>12705</v>
      </c>
      <c r="K3502"/>
    </row>
    <row r="3503" spans="1:11" ht="18" customHeight="1">
      <c r="A3503" s="616" t="s">
        <v>12706</v>
      </c>
      <c r="B3503" s="617" t="s">
        <v>13034</v>
      </c>
      <c r="C3503" s="616" t="s">
        <v>8</v>
      </c>
      <c r="D3503" s="616" t="s">
        <v>296</v>
      </c>
      <c r="E3503" s="809" t="s">
        <v>12707</v>
      </c>
      <c r="F3503" s="810"/>
      <c r="G3503" s="618" t="s">
        <v>23</v>
      </c>
      <c r="H3503" s="619">
        <v>1</v>
      </c>
      <c r="I3503" s="620">
        <v>18.809999999999999</v>
      </c>
      <c r="J3503" s="620">
        <v>18.809999999999999</v>
      </c>
      <c r="K3503"/>
    </row>
    <row r="3504" spans="1:11" ht="36" customHeight="1">
      <c r="A3504" s="621" t="s">
        <v>12708</v>
      </c>
      <c r="B3504" s="622" t="s">
        <v>13033</v>
      </c>
      <c r="C3504" s="621" t="s">
        <v>8</v>
      </c>
      <c r="D3504" s="621" t="s">
        <v>3694</v>
      </c>
      <c r="E3504" s="811" t="s">
        <v>12707</v>
      </c>
      <c r="F3504" s="812"/>
      <c r="G3504" s="623" t="s">
        <v>23</v>
      </c>
      <c r="H3504" s="624">
        <v>1</v>
      </c>
      <c r="I3504" s="625">
        <v>0.11</v>
      </c>
      <c r="J3504" s="625">
        <v>0.11</v>
      </c>
      <c r="K3504"/>
    </row>
    <row r="3505" spans="1:11" ht="24" customHeight="1">
      <c r="A3505" s="626" t="s">
        <v>12709</v>
      </c>
      <c r="B3505" s="627" t="s">
        <v>13004</v>
      </c>
      <c r="C3505" s="626" t="s">
        <v>8</v>
      </c>
      <c r="D3505" s="626" t="s">
        <v>7388</v>
      </c>
      <c r="E3505" s="804" t="s">
        <v>12712</v>
      </c>
      <c r="F3505" s="805"/>
      <c r="G3505" s="628" t="s">
        <v>23</v>
      </c>
      <c r="H3505" s="629">
        <v>1</v>
      </c>
      <c r="I3505" s="630">
        <v>2.2000000000000002</v>
      </c>
      <c r="J3505" s="630">
        <v>2.2000000000000002</v>
      </c>
      <c r="K3505"/>
    </row>
    <row r="3506" spans="1:11" ht="24" customHeight="1">
      <c r="A3506" s="626" t="s">
        <v>12709</v>
      </c>
      <c r="B3506" s="627" t="s">
        <v>13032</v>
      </c>
      <c r="C3506" s="626" t="s">
        <v>8</v>
      </c>
      <c r="D3506" s="626" t="s">
        <v>9217</v>
      </c>
      <c r="E3506" s="804" t="s">
        <v>12711</v>
      </c>
      <c r="F3506" s="805"/>
      <c r="G3506" s="628" t="s">
        <v>23</v>
      </c>
      <c r="H3506" s="629">
        <v>1</v>
      </c>
      <c r="I3506" s="630">
        <v>1.08</v>
      </c>
      <c r="J3506" s="630">
        <v>1.08</v>
      </c>
      <c r="K3506"/>
    </row>
    <row r="3507" spans="1:11" ht="24" customHeight="1">
      <c r="A3507" s="626" t="s">
        <v>12709</v>
      </c>
      <c r="B3507" s="627" t="s">
        <v>13002</v>
      </c>
      <c r="C3507" s="626" t="s">
        <v>8</v>
      </c>
      <c r="D3507" s="626" t="s">
        <v>9306</v>
      </c>
      <c r="E3507" s="804" t="s">
        <v>12712</v>
      </c>
      <c r="F3507" s="805"/>
      <c r="G3507" s="628" t="s">
        <v>23</v>
      </c>
      <c r="H3507" s="629">
        <v>1</v>
      </c>
      <c r="I3507" s="630">
        <v>0.35</v>
      </c>
      <c r="J3507" s="630">
        <v>0.35</v>
      </c>
      <c r="K3507"/>
    </row>
    <row r="3508" spans="1:11" ht="25.5">
      <c r="A3508" s="626" t="s">
        <v>12709</v>
      </c>
      <c r="B3508" s="627" t="s">
        <v>13031</v>
      </c>
      <c r="C3508" s="626" t="s">
        <v>8</v>
      </c>
      <c r="D3508" s="626" t="s">
        <v>9364</v>
      </c>
      <c r="E3508" s="804" t="s">
        <v>12711</v>
      </c>
      <c r="F3508" s="805"/>
      <c r="G3508" s="628" t="s">
        <v>23</v>
      </c>
      <c r="H3508" s="629">
        <v>1</v>
      </c>
      <c r="I3508" s="630">
        <v>0.34</v>
      </c>
      <c r="J3508" s="630">
        <v>0.34</v>
      </c>
      <c r="K3508"/>
    </row>
    <row r="3509" spans="1:11" ht="15" customHeight="1">
      <c r="A3509" s="626" t="s">
        <v>12709</v>
      </c>
      <c r="B3509" s="627" t="s">
        <v>12999</v>
      </c>
      <c r="C3509" s="626" t="s">
        <v>8</v>
      </c>
      <c r="D3509" s="626" t="s">
        <v>11251</v>
      </c>
      <c r="E3509" s="804" t="s">
        <v>12713</v>
      </c>
      <c r="F3509" s="805"/>
      <c r="G3509" s="628" t="s">
        <v>23</v>
      </c>
      <c r="H3509" s="629">
        <v>1</v>
      </c>
      <c r="I3509" s="630">
        <v>7.0000000000000007E-2</v>
      </c>
      <c r="J3509" s="630">
        <v>7.0000000000000007E-2</v>
      </c>
      <c r="K3509"/>
    </row>
    <row r="3510" spans="1:11" ht="0.95" customHeight="1">
      <c r="A3510" s="626" t="s">
        <v>12709</v>
      </c>
      <c r="B3510" s="627" t="s">
        <v>13030</v>
      </c>
      <c r="C3510" s="626" t="s">
        <v>8</v>
      </c>
      <c r="D3510" s="626" t="s">
        <v>11729</v>
      </c>
      <c r="E3510" s="804" t="s">
        <v>12710</v>
      </c>
      <c r="F3510" s="805"/>
      <c r="G3510" s="628" t="s">
        <v>23</v>
      </c>
      <c r="H3510" s="629">
        <v>1</v>
      </c>
      <c r="I3510" s="630">
        <v>13.95</v>
      </c>
      <c r="J3510" s="630">
        <v>13.95</v>
      </c>
      <c r="K3510"/>
    </row>
    <row r="3511" spans="1:11" ht="18" customHeight="1">
      <c r="A3511" s="626" t="s">
        <v>12709</v>
      </c>
      <c r="B3511" s="627" t="s">
        <v>12998</v>
      </c>
      <c r="C3511" s="626" t="s">
        <v>8</v>
      </c>
      <c r="D3511" s="626" t="s">
        <v>11861</v>
      </c>
      <c r="E3511" s="804" t="s">
        <v>12722</v>
      </c>
      <c r="F3511" s="805"/>
      <c r="G3511" s="628" t="s">
        <v>23</v>
      </c>
      <c r="H3511" s="629">
        <v>1</v>
      </c>
      <c r="I3511" s="630">
        <v>0.71</v>
      </c>
      <c r="J3511" s="630">
        <v>0.71</v>
      </c>
      <c r="K3511"/>
    </row>
    <row r="3512" spans="1:11" ht="36" customHeight="1">
      <c r="A3512" s="631"/>
      <c r="B3512" s="631"/>
      <c r="C3512" s="631"/>
      <c r="D3512" s="631"/>
      <c r="E3512" s="631" t="s">
        <v>12714</v>
      </c>
      <c r="F3512" s="632">
        <v>7.6008217</v>
      </c>
      <c r="G3512" s="631" t="s">
        <v>12715</v>
      </c>
      <c r="H3512" s="632">
        <v>6.46</v>
      </c>
      <c r="I3512" s="631" t="s">
        <v>12716</v>
      </c>
      <c r="J3512" s="632">
        <v>14.06</v>
      </c>
      <c r="K3512"/>
    </row>
    <row r="3513" spans="1:11" ht="24" customHeight="1" thickBot="1">
      <c r="A3513" s="631"/>
      <c r="B3513" s="631"/>
      <c r="C3513" s="631"/>
      <c r="D3513" s="631"/>
      <c r="E3513" s="631" t="s">
        <v>12717</v>
      </c>
      <c r="F3513" s="632">
        <v>5.31</v>
      </c>
      <c r="G3513" s="631"/>
      <c r="H3513" s="806" t="s">
        <v>12718</v>
      </c>
      <c r="I3513" s="806"/>
      <c r="J3513" s="632">
        <v>24.12</v>
      </c>
      <c r="K3513"/>
    </row>
    <row r="3514" spans="1:11" ht="24" customHeight="1" thickTop="1">
      <c r="A3514" s="633"/>
      <c r="B3514" s="633"/>
      <c r="C3514" s="633"/>
      <c r="D3514" s="633"/>
      <c r="E3514" s="633"/>
      <c r="F3514" s="633"/>
      <c r="G3514" s="633"/>
      <c r="H3514" s="633"/>
      <c r="I3514" s="633"/>
      <c r="J3514" s="633"/>
      <c r="K3514"/>
    </row>
    <row r="3515" spans="1:11" ht="24" customHeight="1">
      <c r="A3515" s="613"/>
      <c r="B3515" s="614" t="s">
        <v>12698</v>
      </c>
      <c r="C3515" s="613" t="s">
        <v>12699</v>
      </c>
      <c r="D3515" s="613" t="s">
        <v>12700</v>
      </c>
      <c r="E3515" s="807" t="s">
        <v>12701</v>
      </c>
      <c r="F3515" s="808"/>
      <c r="G3515" s="615" t="s">
        <v>12702</v>
      </c>
      <c r="H3515" s="614" t="s">
        <v>12703</v>
      </c>
      <c r="I3515" s="614" t="s">
        <v>12704</v>
      </c>
      <c r="J3515" s="614" t="s">
        <v>12705</v>
      </c>
      <c r="K3515"/>
    </row>
    <row r="3516" spans="1:11" ht="25.5" customHeight="1">
      <c r="A3516" s="616" t="s">
        <v>12706</v>
      </c>
      <c r="B3516" s="617" t="s">
        <v>13029</v>
      </c>
      <c r="C3516" s="616" t="s">
        <v>8</v>
      </c>
      <c r="D3516" s="616" t="s">
        <v>56</v>
      </c>
      <c r="E3516" s="809" t="s">
        <v>12873</v>
      </c>
      <c r="F3516" s="810"/>
      <c r="G3516" s="618" t="s">
        <v>35</v>
      </c>
      <c r="H3516" s="619">
        <v>1</v>
      </c>
      <c r="I3516" s="620">
        <v>20.9</v>
      </c>
      <c r="J3516" s="620">
        <v>20.9</v>
      </c>
      <c r="K3516"/>
    </row>
    <row r="3517" spans="1:11" ht="15" customHeight="1">
      <c r="A3517" s="621" t="s">
        <v>12708</v>
      </c>
      <c r="B3517" s="622" t="s">
        <v>13023</v>
      </c>
      <c r="C3517" s="621" t="s">
        <v>8</v>
      </c>
      <c r="D3517" s="621" t="s">
        <v>54</v>
      </c>
      <c r="E3517" s="811" t="s">
        <v>12707</v>
      </c>
      <c r="F3517" s="812"/>
      <c r="G3517" s="623" t="s">
        <v>23</v>
      </c>
      <c r="H3517" s="624">
        <v>0.496</v>
      </c>
      <c r="I3517" s="625">
        <v>14.33</v>
      </c>
      <c r="J3517" s="625">
        <v>7.1</v>
      </c>
      <c r="K3517"/>
    </row>
    <row r="3518" spans="1:11" ht="0.95" customHeight="1">
      <c r="A3518" s="621" t="s">
        <v>12708</v>
      </c>
      <c r="B3518" s="622" t="s">
        <v>13022</v>
      </c>
      <c r="C3518" s="621" t="s">
        <v>8</v>
      </c>
      <c r="D3518" s="621" t="s">
        <v>52</v>
      </c>
      <c r="E3518" s="811" t="s">
        <v>12707</v>
      </c>
      <c r="F3518" s="812"/>
      <c r="G3518" s="623" t="s">
        <v>23</v>
      </c>
      <c r="H3518" s="624">
        <v>0.496</v>
      </c>
      <c r="I3518" s="625">
        <v>18.38</v>
      </c>
      <c r="J3518" s="625">
        <v>9.11</v>
      </c>
      <c r="K3518"/>
    </row>
    <row r="3519" spans="1:11" ht="18" customHeight="1">
      <c r="A3519" s="626" t="s">
        <v>12709</v>
      </c>
      <c r="B3519" s="627" t="s">
        <v>13021</v>
      </c>
      <c r="C3519" s="626" t="s">
        <v>8</v>
      </c>
      <c r="D3519" s="626" t="s">
        <v>11808</v>
      </c>
      <c r="E3519" s="804" t="s">
        <v>12720</v>
      </c>
      <c r="F3519" s="805"/>
      <c r="G3519" s="628" t="s">
        <v>35</v>
      </c>
      <c r="H3519" s="629">
        <v>1</v>
      </c>
      <c r="I3519" s="630">
        <v>4.6900000000000004</v>
      </c>
      <c r="J3519" s="630">
        <v>4.6900000000000004</v>
      </c>
      <c r="K3519"/>
    </row>
    <row r="3520" spans="1:11" ht="36" customHeight="1">
      <c r="A3520" s="631"/>
      <c r="B3520" s="631"/>
      <c r="C3520" s="631"/>
      <c r="D3520" s="631"/>
      <c r="E3520" s="631" t="s">
        <v>12714</v>
      </c>
      <c r="F3520" s="632">
        <v>6.1898583630662776</v>
      </c>
      <c r="G3520" s="631" t="s">
        <v>12715</v>
      </c>
      <c r="H3520" s="632">
        <v>5.26</v>
      </c>
      <c r="I3520" s="631" t="s">
        <v>12716</v>
      </c>
      <c r="J3520" s="632">
        <v>11.45</v>
      </c>
      <c r="K3520"/>
    </row>
    <row r="3521" spans="1:11" ht="24" customHeight="1" thickBot="1">
      <c r="A3521" s="631"/>
      <c r="B3521" s="631"/>
      <c r="C3521" s="631"/>
      <c r="D3521" s="631"/>
      <c r="E3521" s="631" t="s">
        <v>12717</v>
      </c>
      <c r="F3521" s="632">
        <v>5.9</v>
      </c>
      <c r="G3521" s="631"/>
      <c r="H3521" s="806" t="s">
        <v>12718</v>
      </c>
      <c r="I3521" s="806"/>
      <c r="J3521" s="632">
        <v>26.8</v>
      </c>
      <c r="K3521"/>
    </row>
    <row r="3522" spans="1:11" ht="24" customHeight="1" thickTop="1">
      <c r="A3522" s="633"/>
      <c r="B3522" s="633"/>
      <c r="C3522" s="633"/>
      <c r="D3522" s="633"/>
      <c r="E3522" s="633"/>
      <c r="F3522" s="633"/>
      <c r="G3522" s="633"/>
      <c r="H3522" s="633"/>
      <c r="I3522" s="633"/>
      <c r="J3522" s="633"/>
      <c r="K3522"/>
    </row>
    <row r="3523" spans="1:11" ht="24" customHeight="1">
      <c r="A3523" s="613"/>
      <c r="B3523" s="614" t="s">
        <v>12698</v>
      </c>
      <c r="C3523" s="613" t="s">
        <v>12699</v>
      </c>
      <c r="D3523" s="613" t="s">
        <v>12700</v>
      </c>
      <c r="E3523" s="807" t="s">
        <v>12701</v>
      </c>
      <c r="F3523" s="808"/>
      <c r="G3523" s="615" t="s">
        <v>12702</v>
      </c>
      <c r="H3523" s="614" t="s">
        <v>12703</v>
      </c>
      <c r="I3523" s="614" t="s">
        <v>12704</v>
      </c>
      <c r="J3523" s="614" t="s">
        <v>12705</v>
      </c>
      <c r="K3523"/>
    </row>
    <row r="3524" spans="1:11" ht="25.5" customHeight="1">
      <c r="A3524" s="616" t="s">
        <v>12706</v>
      </c>
      <c r="B3524" s="617" t="s">
        <v>13028</v>
      </c>
      <c r="C3524" s="616" t="s">
        <v>8</v>
      </c>
      <c r="D3524" s="616" t="s">
        <v>599</v>
      </c>
      <c r="E3524" s="809" t="s">
        <v>12873</v>
      </c>
      <c r="F3524" s="810"/>
      <c r="G3524" s="618" t="s">
        <v>35</v>
      </c>
      <c r="H3524" s="619">
        <v>1</v>
      </c>
      <c r="I3524" s="620">
        <v>22.21</v>
      </c>
      <c r="J3524" s="620">
        <v>22.21</v>
      </c>
      <c r="K3524"/>
    </row>
    <row r="3525" spans="1:11" ht="15" customHeight="1">
      <c r="A3525" s="621" t="s">
        <v>12708</v>
      </c>
      <c r="B3525" s="622" t="s">
        <v>13023</v>
      </c>
      <c r="C3525" s="621" t="s">
        <v>8</v>
      </c>
      <c r="D3525" s="621" t="s">
        <v>54</v>
      </c>
      <c r="E3525" s="811" t="s">
        <v>12707</v>
      </c>
      <c r="F3525" s="812"/>
      <c r="G3525" s="623" t="s">
        <v>23</v>
      </c>
      <c r="H3525" s="624">
        <v>0.496</v>
      </c>
      <c r="I3525" s="625">
        <v>14.33</v>
      </c>
      <c r="J3525" s="625">
        <v>7.1</v>
      </c>
      <c r="K3525"/>
    </row>
    <row r="3526" spans="1:11" ht="0.95" customHeight="1">
      <c r="A3526" s="621" t="s">
        <v>12708</v>
      </c>
      <c r="B3526" s="622" t="s">
        <v>13022</v>
      </c>
      <c r="C3526" s="621" t="s">
        <v>8</v>
      </c>
      <c r="D3526" s="621" t="s">
        <v>52</v>
      </c>
      <c r="E3526" s="811" t="s">
        <v>12707</v>
      </c>
      <c r="F3526" s="812"/>
      <c r="G3526" s="623" t="s">
        <v>23</v>
      </c>
      <c r="H3526" s="624">
        <v>0.496</v>
      </c>
      <c r="I3526" s="625">
        <v>18.38</v>
      </c>
      <c r="J3526" s="625">
        <v>9.11</v>
      </c>
      <c r="K3526"/>
    </row>
    <row r="3527" spans="1:11" ht="18" customHeight="1">
      <c r="A3527" s="626" t="s">
        <v>12709</v>
      </c>
      <c r="B3527" s="627" t="s">
        <v>13025</v>
      </c>
      <c r="C3527" s="626" t="s">
        <v>8</v>
      </c>
      <c r="D3527" s="626" t="s">
        <v>11812</v>
      </c>
      <c r="E3527" s="804" t="s">
        <v>12720</v>
      </c>
      <c r="F3527" s="805"/>
      <c r="G3527" s="628" t="s">
        <v>35</v>
      </c>
      <c r="H3527" s="629">
        <v>1</v>
      </c>
      <c r="I3527" s="630">
        <v>6</v>
      </c>
      <c r="J3527" s="630">
        <v>6</v>
      </c>
      <c r="K3527"/>
    </row>
    <row r="3528" spans="1:11" ht="36" customHeight="1">
      <c r="A3528" s="631"/>
      <c r="B3528" s="631"/>
      <c r="C3528" s="631"/>
      <c r="D3528" s="631"/>
      <c r="E3528" s="631" t="s">
        <v>12714</v>
      </c>
      <c r="F3528" s="632">
        <v>6.1898583630662776</v>
      </c>
      <c r="G3528" s="631" t="s">
        <v>12715</v>
      </c>
      <c r="H3528" s="632">
        <v>5.26</v>
      </c>
      <c r="I3528" s="631" t="s">
        <v>12716</v>
      </c>
      <c r="J3528" s="632">
        <v>11.45</v>
      </c>
      <c r="K3528"/>
    </row>
    <row r="3529" spans="1:11" ht="24" customHeight="1" thickBot="1">
      <c r="A3529" s="631"/>
      <c r="B3529" s="631"/>
      <c r="C3529" s="631"/>
      <c r="D3529" s="631"/>
      <c r="E3529" s="631" t="s">
        <v>12717</v>
      </c>
      <c r="F3529" s="632">
        <v>6.27</v>
      </c>
      <c r="G3529" s="631"/>
      <c r="H3529" s="806" t="s">
        <v>12718</v>
      </c>
      <c r="I3529" s="806"/>
      <c r="J3529" s="632">
        <v>28.48</v>
      </c>
      <c r="K3529"/>
    </row>
    <row r="3530" spans="1:11" ht="24" customHeight="1" thickTop="1">
      <c r="A3530" s="633"/>
      <c r="B3530" s="633"/>
      <c r="C3530" s="633"/>
      <c r="D3530" s="633"/>
      <c r="E3530" s="633"/>
      <c r="F3530" s="633"/>
      <c r="G3530" s="633"/>
      <c r="H3530" s="633"/>
      <c r="I3530" s="633"/>
      <c r="J3530" s="633"/>
      <c r="K3530"/>
    </row>
    <row r="3531" spans="1:11" ht="24" customHeight="1">
      <c r="A3531" s="613"/>
      <c r="B3531" s="614" t="s">
        <v>12698</v>
      </c>
      <c r="C3531" s="613" t="s">
        <v>12699</v>
      </c>
      <c r="D3531" s="613" t="s">
        <v>12700</v>
      </c>
      <c r="E3531" s="807" t="s">
        <v>12701</v>
      </c>
      <c r="F3531" s="808"/>
      <c r="G3531" s="615" t="s">
        <v>12702</v>
      </c>
      <c r="H3531" s="614" t="s">
        <v>12703</v>
      </c>
      <c r="I3531" s="614" t="s">
        <v>12704</v>
      </c>
      <c r="J3531" s="614" t="s">
        <v>12705</v>
      </c>
      <c r="K3531"/>
    </row>
    <row r="3532" spans="1:11" ht="25.5" customHeight="1">
      <c r="A3532" s="616" t="s">
        <v>12706</v>
      </c>
      <c r="B3532" s="617" t="s">
        <v>13027</v>
      </c>
      <c r="C3532" s="616" t="s">
        <v>8</v>
      </c>
      <c r="D3532" s="616" t="s">
        <v>2574</v>
      </c>
      <c r="E3532" s="809" t="s">
        <v>12873</v>
      </c>
      <c r="F3532" s="810"/>
      <c r="G3532" s="618" t="s">
        <v>35</v>
      </c>
      <c r="H3532" s="619">
        <v>1</v>
      </c>
      <c r="I3532" s="620">
        <v>22.75</v>
      </c>
      <c r="J3532" s="620">
        <v>22.75</v>
      </c>
      <c r="K3532"/>
    </row>
    <row r="3533" spans="1:11" ht="15" customHeight="1">
      <c r="A3533" s="621" t="s">
        <v>12708</v>
      </c>
      <c r="B3533" s="622" t="s">
        <v>13023</v>
      </c>
      <c r="C3533" s="621" t="s">
        <v>8</v>
      </c>
      <c r="D3533" s="621" t="s">
        <v>54</v>
      </c>
      <c r="E3533" s="811" t="s">
        <v>12707</v>
      </c>
      <c r="F3533" s="812"/>
      <c r="G3533" s="623" t="s">
        <v>23</v>
      </c>
      <c r="H3533" s="624">
        <v>0.40899999999999997</v>
      </c>
      <c r="I3533" s="625">
        <v>14.33</v>
      </c>
      <c r="J3533" s="625">
        <v>5.86</v>
      </c>
      <c r="K3533"/>
    </row>
    <row r="3534" spans="1:11" ht="0.95" customHeight="1">
      <c r="A3534" s="621" t="s">
        <v>12708</v>
      </c>
      <c r="B3534" s="622" t="s">
        <v>13022</v>
      </c>
      <c r="C3534" s="621" t="s">
        <v>8</v>
      </c>
      <c r="D3534" s="621" t="s">
        <v>52</v>
      </c>
      <c r="E3534" s="811" t="s">
        <v>12707</v>
      </c>
      <c r="F3534" s="812"/>
      <c r="G3534" s="623" t="s">
        <v>23</v>
      </c>
      <c r="H3534" s="624">
        <v>0.40899999999999997</v>
      </c>
      <c r="I3534" s="625">
        <v>18.38</v>
      </c>
      <c r="J3534" s="625">
        <v>7.51</v>
      </c>
      <c r="K3534"/>
    </row>
    <row r="3535" spans="1:11" ht="18" customHeight="1">
      <c r="A3535" s="626" t="s">
        <v>12709</v>
      </c>
      <c r="B3535" s="627" t="s">
        <v>13021</v>
      </c>
      <c r="C3535" s="626" t="s">
        <v>8</v>
      </c>
      <c r="D3535" s="626" t="s">
        <v>11808</v>
      </c>
      <c r="E3535" s="804" t="s">
        <v>12720</v>
      </c>
      <c r="F3535" s="805"/>
      <c r="G3535" s="628" t="s">
        <v>35</v>
      </c>
      <c r="H3535" s="629">
        <v>2</v>
      </c>
      <c r="I3535" s="630">
        <v>4.6900000000000004</v>
      </c>
      <c r="J3535" s="630">
        <v>9.3800000000000008</v>
      </c>
      <c r="K3535"/>
    </row>
    <row r="3536" spans="1:11" ht="36" customHeight="1">
      <c r="A3536" s="631"/>
      <c r="B3536" s="631"/>
      <c r="C3536" s="631"/>
      <c r="D3536" s="631"/>
      <c r="E3536" s="631" t="s">
        <v>12714</v>
      </c>
      <c r="F3536" s="632">
        <v>5.1032544058817173</v>
      </c>
      <c r="G3536" s="631" t="s">
        <v>12715</v>
      </c>
      <c r="H3536" s="632">
        <v>4.34</v>
      </c>
      <c r="I3536" s="631" t="s">
        <v>12716</v>
      </c>
      <c r="J3536" s="632">
        <v>9.44</v>
      </c>
      <c r="K3536"/>
    </row>
    <row r="3537" spans="1:11" ht="24" customHeight="1" thickBot="1">
      <c r="A3537" s="631"/>
      <c r="B3537" s="631"/>
      <c r="C3537" s="631"/>
      <c r="D3537" s="631"/>
      <c r="E3537" s="631" t="s">
        <v>12717</v>
      </c>
      <c r="F3537" s="632">
        <v>6.42</v>
      </c>
      <c r="G3537" s="631"/>
      <c r="H3537" s="806" t="s">
        <v>12718</v>
      </c>
      <c r="I3537" s="806"/>
      <c r="J3537" s="632">
        <v>29.17</v>
      </c>
      <c r="K3537"/>
    </row>
    <row r="3538" spans="1:11" ht="24" customHeight="1" thickTop="1">
      <c r="A3538" s="633"/>
      <c r="B3538" s="633"/>
      <c r="C3538" s="633"/>
      <c r="D3538" s="633"/>
      <c r="E3538" s="633"/>
      <c r="F3538" s="633"/>
      <c r="G3538" s="633"/>
      <c r="H3538" s="633"/>
      <c r="I3538" s="633"/>
      <c r="J3538" s="633"/>
      <c r="K3538"/>
    </row>
    <row r="3539" spans="1:11" ht="24" customHeight="1">
      <c r="A3539" s="613"/>
      <c r="B3539" s="614" t="s">
        <v>12698</v>
      </c>
      <c r="C3539" s="613" t="s">
        <v>12699</v>
      </c>
      <c r="D3539" s="613" t="s">
        <v>12700</v>
      </c>
      <c r="E3539" s="807" t="s">
        <v>12701</v>
      </c>
      <c r="F3539" s="808"/>
      <c r="G3539" s="615" t="s">
        <v>12702</v>
      </c>
      <c r="H3539" s="614" t="s">
        <v>12703</v>
      </c>
      <c r="I3539" s="614" t="s">
        <v>12704</v>
      </c>
      <c r="J3539" s="614" t="s">
        <v>12705</v>
      </c>
      <c r="K3539"/>
    </row>
    <row r="3540" spans="1:11" ht="24" customHeight="1">
      <c r="A3540" s="616" t="s">
        <v>12706</v>
      </c>
      <c r="B3540" s="617" t="s">
        <v>13026</v>
      </c>
      <c r="C3540" s="616" t="s">
        <v>8</v>
      </c>
      <c r="D3540" s="616" t="s">
        <v>2575</v>
      </c>
      <c r="E3540" s="809" t="s">
        <v>12873</v>
      </c>
      <c r="F3540" s="810"/>
      <c r="G3540" s="618" t="s">
        <v>35</v>
      </c>
      <c r="H3540" s="619">
        <v>1</v>
      </c>
      <c r="I3540" s="620">
        <v>25.37</v>
      </c>
      <c r="J3540" s="620">
        <v>25.37</v>
      </c>
      <c r="K3540"/>
    </row>
    <row r="3541" spans="1:11" ht="25.5">
      <c r="A3541" s="621" t="s">
        <v>12708</v>
      </c>
      <c r="B3541" s="622" t="s">
        <v>13023</v>
      </c>
      <c r="C3541" s="621" t="s">
        <v>8</v>
      </c>
      <c r="D3541" s="621" t="s">
        <v>54</v>
      </c>
      <c r="E3541" s="811" t="s">
        <v>12707</v>
      </c>
      <c r="F3541" s="812"/>
      <c r="G3541" s="623" t="s">
        <v>23</v>
      </c>
      <c r="H3541" s="624">
        <v>0.40899999999999997</v>
      </c>
      <c r="I3541" s="625">
        <v>14.33</v>
      </c>
      <c r="J3541" s="625">
        <v>5.86</v>
      </c>
      <c r="K3541"/>
    </row>
    <row r="3542" spans="1:11" ht="15" customHeight="1">
      <c r="A3542" s="621" t="s">
        <v>12708</v>
      </c>
      <c r="B3542" s="622" t="s">
        <v>13022</v>
      </c>
      <c r="C3542" s="621" t="s">
        <v>8</v>
      </c>
      <c r="D3542" s="621" t="s">
        <v>52</v>
      </c>
      <c r="E3542" s="811" t="s">
        <v>12707</v>
      </c>
      <c r="F3542" s="812"/>
      <c r="G3542" s="623" t="s">
        <v>23</v>
      </c>
      <c r="H3542" s="624">
        <v>0.40899999999999997</v>
      </c>
      <c r="I3542" s="625">
        <v>18.38</v>
      </c>
      <c r="J3542" s="625">
        <v>7.51</v>
      </c>
      <c r="K3542"/>
    </row>
    <row r="3543" spans="1:11" ht="0.95" customHeight="1">
      <c r="A3543" s="626" t="s">
        <v>12709</v>
      </c>
      <c r="B3543" s="627" t="s">
        <v>13025</v>
      </c>
      <c r="C3543" s="626" t="s">
        <v>8</v>
      </c>
      <c r="D3543" s="626" t="s">
        <v>11812</v>
      </c>
      <c r="E3543" s="804" t="s">
        <v>12720</v>
      </c>
      <c r="F3543" s="805"/>
      <c r="G3543" s="628" t="s">
        <v>35</v>
      </c>
      <c r="H3543" s="629">
        <v>2</v>
      </c>
      <c r="I3543" s="630">
        <v>6</v>
      </c>
      <c r="J3543" s="630">
        <v>12</v>
      </c>
      <c r="K3543"/>
    </row>
    <row r="3544" spans="1:11" ht="18" customHeight="1">
      <c r="A3544" s="631"/>
      <c r="B3544" s="631"/>
      <c r="C3544" s="631"/>
      <c r="D3544" s="631"/>
      <c r="E3544" s="631" t="s">
        <v>12714</v>
      </c>
      <c r="F3544" s="632">
        <v>5.1032544058817173</v>
      </c>
      <c r="G3544" s="631" t="s">
        <v>12715</v>
      </c>
      <c r="H3544" s="632">
        <v>4.34</v>
      </c>
      <c r="I3544" s="631" t="s">
        <v>12716</v>
      </c>
      <c r="J3544" s="632">
        <v>9.44</v>
      </c>
      <c r="K3544"/>
    </row>
    <row r="3545" spans="1:11" ht="36" customHeight="1" thickBot="1">
      <c r="A3545" s="631"/>
      <c r="B3545" s="631"/>
      <c r="C3545" s="631"/>
      <c r="D3545" s="631"/>
      <c r="E3545" s="631" t="s">
        <v>12717</v>
      </c>
      <c r="F3545" s="632">
        <v>7.16</v>
      </c>
      <c r="G3545" s="631"/>
      <c r="H3545" s="806" t="s">
        <v>12718</v>
      </c>
      <c r="I3545" s="806"/>
      <c r="J3545" s="632">
        <v>32.53</v>
      </c>
      <c r="K3545"/>
    </row>
    <row r="3546" spans="1:11" ht="24" customHeight="1" thickTop="1">
      <c r="A3546" s="633"/>
      <c r="B3546" s="633"/>
      <c r="C3546" s="633"/>
      <c r="D3546" s="633"/>
      <c r="E3546" s="633"/>
      <c r="F3546" s="633"/>
      <c r="G3546" s="633"/>
      <c r="H3546" s="633"/>
      <c r="I3546" s="633"/>
      <c r="J3546" s="633"/>
      <c r="K3546"/>
    </row>
    <row r="3547" spans="1:11" ht="24" customHeight="1">
      <c r="A3547" s="613"/>
      <c r="B3547" s="614" t="s">
        <v>12698</v>
      </c>
      <c r="C3547" s="613" t="s">
        <v>12699</v>
      </c>
      <c r="D3547" s="613" t="s">
        <v>12700</v>
      </c>
      <c r="E3547" s="807" t="s">
        <v>12701</v>
      </c>
      <c r="F3547" s="808"/>
      <c r="G3547" s="615" t="s">
        <v>12702</v>
      </c>
      <c r="H3547" s="614" t="s">
        <v>12703</v>
      </c>
      <c r="I3547" s="614" t="s">
        <v>12704</v>
      </c>
      <c r="J3547" s="614" t="s">
        <v>12705</v>
      </c>
      <c r="K3547"/>
    </row>
    <row r="3548" spans="1:11" ht="24" customHeight="1">
      <c r="A3548" s="616" t="s">
        <v>12706</v>
      </c>
      <c r="B3548" s="617" t="s">
        <v>13024</v>
      </c>
      <c r="C3548" s="616" t="s">
        <v>8</v>
      </c>
      <c r="D3548" s="616" t="s">
        <v>600</v>
      </c>
      <c r="E3548" s="809" t="s">
        <v>12873</v>
      </c>
      <c r="F3548" s="810"/>
      <c r="G3548" s="618" t="s">
        <v>35</v>
      </c>
      <c r="H3548" s="619">
        <v>1</v>
      </c>
      <c r="I3548" s="620">
        <v>14.76</v>
      </c>
      <c r="J3548" s="620">
        <v>14.76</v>
      </c>
      <c r="K3548"/>
    </row>
    <row r="3549" spans="1:11" ht="24" customHeight="1">
      <c r="A3549" s="621" t="s">
        <v>12708</v>
      </c>
      <c r="B3549" s="622" t="s">
        <v>13023</v>
      </c>
      <c r="C3549" s="621" t="s">
        <v>8</v>
      </c>
      <c r="D3549" s="621" t="s">
        <v>54</v>
      </c>
      <c r="E3549" s="811" t="s">
        <v>12707</v>
      </c>
      <c r="F3549" s="812"/>
      <c r="G3549" s="623" t="s">
        <v>23</v>
      </c>
      <c r="H3549" s="624">
        <v>0.308</v>
      </c>
      <c r="I3549" s="625">
        <v>14.33</v>
      </c>
      <c r="J3549" s="625">
        <v>4.41</v>
      </c>
      <c r="K3549"/>
    </row>
    <row r="3550" spans="1:11" ht="25.5">
      <c r="A3550" s="621" t="s">
        <v>12708</v>
      </c>
      <c r="B3550" s="622" t="s">
        <v>13022</v>
      </c>
      <c r="C3550" s="621" t="s">
        <v>8</v>
      </c>
      <c r="D3550" s="621" t="s">
        <v>52</v>
      </c>
      <c r="E3550" s="811" t="s">
        <v>12707</v>
      </c>
      <c r="F3550" s="812"/>
      <c r="G3550" s="623" t="s">
        <v>23</v>
      </c>
      <c r="H3550" s="624">
        <v>0.308</v>
      </c>
      <c r="I3550" s="625">
        <v>18.38</v>
      </c>
      <c r="J3550" s="625">
        <v>5.66</v>
      </c>
      <c r="K3550"/>
    </row>
    <row r="3551" spans="1:11" ht="15" customHeight="1">
      <c r="A3551" s="626" t="s">
        <v>12709</v>
      </c>
      <c r="B3551" s="627" t="s">
        <v>13021</v>
      </c>
      <c r="C3551" s="626" t="s">
        <v>8</v>
      </c>
      <c r="D3551" s="626" t="s">
        <v>11808</v>
      </c>
      <c r="E3551" s="804" t="s">
        <v>12720</v>
      </c>
      <c r="F3551" s="805"/>
      <c r="G3551" s="628" t="s">
        <v>35</v>
      </c>
      <c r="H3551" s="629">
        <v>1</v>
      </c>
      <c r="I3551" s="630">
        <v>4.6900000000000004</v>
      </c>
      <c r="J3551" s="630">
        <v>4.6900000000000004</v>
      </c>
      <c r="K3551"/>
    </row>
    <row r="3552" spans="1:11" ht="0.95" customHeight="1">
      <c r="A3552" s="631"/>
      <c r="B3552" s="631"/>
      <c r="C3552" s="631"/>
      <c r="D3552" s="631"/>
      <c r="E3552" s="631" t="s">
        <v>12714</v>
      </c>
      <c r="F3552" s="632">
        <v>3.8382527840847658</v>
      </c>
      <c r="G3552" s="631" t="s">
        <v>12715</v>
      </c>
      <c r="H3552" s="632">
        <v>3.26</v>
      </c>
      <c r="I3552" s="631" t="s">
        <v>12716</v>
      </c>
      <c r="J3552" s="632">
        <v>7.1</v>
      </c>
      <c r="K3552"/>
    </row>
    <row r="3553" spans="1:11" ht="18" customHeight="1" thickBot="1">
      <c r="A3553" s="631"/>
      <c r="B3553" s="631"/>
      <c r="C3553" s="631"/>
      <c r="D3553" s="631"/>
      <c r="E3553" s="631" t="s">
        <v>12717</v>
      </c>
      <c r="F3553" s="632">
        <v>4.16</v>
      </c>
      <c r="G3553" s="631"/>
      <c r="H3553" s="806" t="s">
        <v>12718</v>
      </c>
      <c r="I3553" s="806"/>
      <c r="J3553" s="632">
        <v>18.920000000000002</v>
      </c>
      <c r="K3553"/>
    </row>
    <row r="3554" spans="1:11" ht="24" customHeight="1" thickTop="1">
      <c r="A3554" s="633"/>
      <c r="B3554" s="633"/>
      <c r="C3554" s="633"/>
      <c r="D3554" s="633"/>
      <c r="E3554" s="633"/>
      <c r="F3554" s="633"/>
      <c r="G3554" s="633"/>
      <c r="H3554" s="633"/>
      <c r="I3554" s="633"/>
      <c r="J3554" s="633"/>
      <c r="K3554"/>
    </row>
    <row r="3555" spans="1:11" ht="24" customHeight="1">
      <c r="A3555" s="613"/>
      <c r="B3555" s="614" t="s">
        <v>12698</v>
      </c>
      <c r="C3555" s="613" t="s">
        <v>12699</v>
      </c>
      <c r="D3555" s="613" t="s">
        <v>12700</v>
      </c>
      <c r="E3555" s="807" t="s">
        <v>12701</v>
      </c>
      <c r="F3555" s="808"/>
      <c r="G3555" s="615" t="s">
        <v>12702</v>
      </c>
      <c r="H3555" s="614" t="s">
        <v>12703</v>
      </c>
      <c r="I3555" s="614" t="s">
        <v>12704</v>
      </c>
      <c r="J3555" s="614" t="s">
        <v>12705</v>
      </c>
      <c r="K3555"/>
    </row>
    <row r="3556" spans="1:11" ht="24" customHeight="1">
      <c r="A3556" s="616" t="s">
        <v>12706</v>
      </c>
      <c r="B3556" s="617" t="s">
        <v>13020</v>
      </c>
      <c r="C3556" s="616" t="s">
        <v>8</v>
      </c>
      <c r="D3556" s="616" t="s">
        <v>6910</v>
      </c>
      <c r="E3556" s="809" t="s">
        <v>12819</v>
      </c>
      <c r="F3556" s="810"/>
      <c r="G3556" s="618" t="s">
        <v>35</v>
      </c>
      <c r="H3556" s="619">
        <v>1</v>
      </c>
      <c r="I3556" s="620">
        <v>83.91</v>
      </c>
      <c r="J3556" s="620">
        <v>83.91</v>
      </c>
      <c r="K3556"/>
    </row>
    <row r="3557" spans="1:11" ht="24" customHeight="1">
      <c r="A3557" s="621" t="s">
        <v>12708</v>
      </c>
      <c r="B3557" s="622" t="s">
        <v>12981</v>
      </c>
      <c r="C3557" s="621" t="s">
        <v>8</v>
      </c>
      <c r="D3557" s="621" t="s">
        <v>50</v>
      </c>
      <c r="E3557" s="811" t="s">
        <v>12707</v>
      </c>
      <c r="F3557" s="812"/>
      <c r="G3557" s="623" t="s">
        <v>23</v>
      </c>
      <c r="H3557" s="624">
        <v>9.6000000000000002E-2</v>
      </c>
      <c r="I3557" s="625">
        <v>17.79</v>
      </c>
      <c r="J3557" s="625">
        <v>1.7</v>
      </c>
      <c r="K3557"/>
    </row>
    <row r="3558" spans="1:11" ht="24" customHeight="1">
      <c r="A3558" s="621" t="s">
        <v>12708</v>
      </c>
      <c r="B3558" s="622" t="s">
        <v>12727</v>
      </c>
      <c r="C3558" s="621" t="s">
        <v>8</v>
      </c>
      <c r="D3558" s="621" t="s">
        <v>26</v>
      </c>
      <c r="E3558" s="811" t="s">
        <v>12707</v>
      </c>
      <c r="F3558" s="812"/>
      <c r="G3558" s="623" t="s">
        <v>23</v>
      </c>
      <c r="H3558" s="624">
        <v>3.0300000000000001E-2</v>
      </c>
      <c r="I3558" s="625">
        <v>14.37</v>
      </c>
      <c r="J3558" s="625">
        <v>0.43</v>
      </c>
      <c r="K3558"/>
    </row>
    <row r="3559" spans="1:11">
      <c r="A3559" s="626" t="s">
        <v>12709</v>
      </c>
      <c r="B3559" s="627" t="s">
        <v>12980</v>
      </c>
      <c r="C3559" s="626" t="s">
        <v>8</v>
      </c>
      <c r="D3559" s="626" t="s">
        <v>9425</v>
      </c>
      <c r="E3559" s="804" t="s">
        <v>12720</v>
      </c>
      <c r="F3559" s="805"/>
      <c r="G3559" s="628" t="s">
        <v>35</v>
      </c>
      <c r="H3559" s="629">
        <v>2.1000000000000001E-2</v>
      </c>
      <c r="I3559" s="630">
        <v>4.0599999999999996</v>
      </c>
      <c r="J3559" s="630">
        <v>0.08</v>
      </c>
      <c r="K3559"/>
    </row>
    <row r="3560" spans="1:11" ht="15" customHeight="1">
      <c r="A3560" s="626" t="s">
        <v>12709</v>
      </c>
      <c r="B3560" s="627" t="s">
        <v>13019</v>
      </c>
      <c r="C3560" s="626" t="s">
        <v>8</v>
      </c>
      <c r="D3560" s="626" t="s">
        <v>11822</v>
      </c>
      <c r="E3560" s="804" t="s">
        <v>12720</v>
      </c>
      <c r="F3560" s="805"/>
      <c r="G3560" s="628" t="s">
        <v>35</v>
      </c>
      <c r="H3560" s="629">
        <v>1</v>
      </c>
      <c r="I3560" s="630">
        <v>81.7</v>
      </c>
      <c r="J3560" s="630">
        <v>81.7</v>
      </c>
      <c r="K3560"/>
    </row>
    <row r="3561" spans="1:11" ht="0.95" customHeight="1">
      <c r="A3561" s="631"/>
      <c r="B3561" s="631"/>
      <c r="C3561" s="631"/>
      <c r="D3561" s="631"/>
      <c r="E3561" s="631" t="s">
        <v>12714</v>
      </c>
      <c r="F3561" s="632">
        <v>0.84874040436803977</v>
      </c>
      <c r="G3561" s="631" t="s">
        <v>12715</v>
      </c>
      <c r="H3561" s="632">
        <v>0.72</v>
      </c>
      <c r="I3561" s="631" t="s">
        <v>12716</v>
      </c>
      <c r="J3561" s="632">
        <v>1.57</v>
      </c>
      <c r="K3561"/>
    </row>
    <row r="3562" spans="1:11" ht="18" customHeight="1" thickBot="1">
      <c r="A3562" s="631"/>
      <c r="B3562" s="631"/>
      <c r="C3562" s="631"/>
      <c r="D3562" s="631"/>
      <c r="E3562" s="631" t="s">
        <v>12717</v>
      </c>
      <c r="F3562" s="632">
        <v>23.69</v>
      </c>
      <c r="G3562" s="631"/>
      <c r="H3562" s="806" t="s">
        <v>12718</v>
      </c>
      <c r="I3562" s="806"/>
      <c r="J3562" s="632">
        <v>107.6</v>
      </c>
      <c r="K3562"/>
    </row>
    <row r="3563" spans="1:11" ht="36" customHeight="1" thickTop="1">
      <c r="A3563" s="633"/>
      <c r="B3563" s="633"/>
      <c r="C3563" s="633"/>
      <c r="D3563" s="633"/>
      <c r="E3563" s="633"/>
      <c r="F3563" s="633"/>
      <c r="G3563" s="633"/>
      <c r="H3563" s="633"/>
      <c r="I3563" s="633"/>
      <c r="J3563" s="633"/>
      <c r="K3563"/>
    </row>
    <row r="3564" spans="1:11" ht="36" customHeight="1">
      <c r="A3564" s="613"/>
      <c r="B3564" s="614" t="s">
        <v>12698</v>
      </c>
      <c r="C3564" s="613" t="s">
        <v>12699</v>
      </c>
      <c r="D3564" s="613" t="s">
        <v>12700</v>
      </c>
      <c r="E3564" s="807" t="s">
        <v>12701</v>
      </c>
      <c r="F3564" s="808"/>
      <c r="G3564" s="615" t="s">
        <v>12702</v>
      </c>
      <c r="H3564" s="614" t="s">
        <v>12703</v>
      </c>
      <c r="I3564" s="614" t="s">
        <v>12704</v>
      </c>
      <c r="J3564" s="614" t="s">
        <v>12705</v>
      </c>
      <c r="K3564"/>
    </row>
    <row r="3565" spans="1:11" ht="24" customHeight="1">
      <c r="A3565" s="616" t="s">
        <v>12706</v>
      </c>
      <c r="B3565" s="617" t="s">
        <v>13018</v>
      </c>
      <c r="C3565" s="616" t="s">
        <v>8</v>
      </c>
      <c r="D3565" s="616" t="s">
        <v>6903</v>
      </c>
      <c r="E3565" s="809" t="s">
        <v>12819</v>
      </c>
      <c r="F3565" s="810"/>
      <c r="G3565" s="618" t="s">
        <v>35</v>
      </c>
      <c r="H3565" s="619">
        <v>1</v>
      </c>
      <c r="I3565" s="620">
        <v>49.7</v>
      </c>
      <c r="J3565" s="620">
        <v>49.7</v>
      </c>
      <c r="K3565"/>
    </row>
    <row r="3566" spans="1:11" ht="24" customHeight="1">
      <c r="A3566" s="621" t="s">
        <v>12708</v>
      </c>
      <c r="B3566" s="622" t="s">
        <v>12981</v>
      </c>
      <c r="C3566" s="621" t="s">
        <v>8</v>
      </c>
      <c r="D3566" s="621" t="s">
        <v>50</v>
      </c>
      <c r="E3566" s="811" t="s">
        <v>12707</v>
      </c>
      <c r="F3566" s="812"/>
      <c r="G3566" s="623" t="s">
        <v>23</v>
      </c>
      <c r="H3566" s="624">
        <v>9.6000000000000002E-2</v>
      </c>
      <c r="I3566" s="625">
        <v>17.79</v>
      </c>
      <c r="J3566" s="625">
        <v>1.7</v>
      </c>
      <c r="K3566"/>
    </row>
    <row r="3567" spans="1:11" ht="25.5">
      <c r="A3567" s="621" t="s">
        <v>12708</v>
      </c>
      <c r="B3567" s="622" t="s">
        <v>12727</v>
      </c>
      <c r="C3567" s="621" t="s">
        <v>8</v>
      </c>
      <c r="D3567" s="621" t="s">
        <v>26</v>
      </c>
      <c r="E3567" s="811" t="s">
        <v>12707</v>
      </c>
      <c r="F3567" s="812"/>
      <c r="G3567" s="623" t="s">
        <v>23</v>
      </c>
      <c r="H3567" s="624">
        <v>3.0300000000000001E-2</v>
      </c>
      <c r="I3567" s="625">
        <v>14.37</v>
      </c>
      <c r="J3567" s="625">
        <v>0.43</v>
      </c>
      <c r="K3567"/>
    </row>
    <row r="3568" spans="1:11" ht="15" customHeight="1">
      <c r="A3568" s="626" t="s">
        <v>12709</v>
      </c>
      <c r="B3568" s="627" t="s">
        <v>12980</v>
      </c>
      <c r="C3568" s="626" t="s">
        <v>8</v>
      </c>
      <c r="D3568" s="626" t="s">
        <v>9425</v>
      </c>
      <c r="E3568" s="804" t="s">
        <v>12720</v>
      </c>
      <c r="F3568" s="805"/>
      <c r="G3568" s="628" t="s">
        <v>35</v>
      </c>
      <c r="H3568" s="629">
        <v>2.1000000000000001E-2</v>
      </c>
      <c r="I3568" s="630">
        <v>4.0599999999999996</v>
      </c>
      <c r="J3568" s="630">
        <v>0.08</v>
      </c>
      <c r="K3568"/>
    </row>
    <row r="3569" spans="1:11" ht="0.95" customHeight="1">
      <c r="A3569" s="626" t="s">
        <v>12709</v>
      </c>
      <c r="B3569" s="627" t="s">
        <v>13017</v>
      </c>
      <c r="C3569" s="626" t="s">
        <v>8</v>
      </c>
      <c r="D3569" s="626" t="s">
        <v>11823</v>
      </c>
      <c r="E3569" s="804" t="s">
        <v>12720</v>
      </c>
      <c r="F3569" s="805"/>
      <c r="G3569" s="628" t="s">
        <v>35</v>
      </c>
      <c r="H3569" s="629">
        <v>1</v>
      </c>
      <c r="I3569" s="630">
        <v>47.49</v>
      </c>
      <c r="J3569" s="630">
        <v>47.49</v>
      </c>
      <c r="K3569"/>
    </row>
    <row r="3570" spans="1:11" ht="18" customHeight="1">
      <c r="A3570" s="631"/>
      <c r="B3570" s="631"/>
      <c r="C3570" s="631"/>
      <c r="D3570" s="631"/>
      <c r="E3570" s="631" t="s">
        <v>12714</v>
      </c>
      <c r="F3570" s="632">
        <v>0.84874040436803977</v>
      </c>
      <c r="G3570" s="631" t="s">
        <v>12715</v>
      </c>
      <c r="H3570" s="632">
        <v>0.72</v>
      </c>
      <c r="I3570" s="631" t="s">
        <v>12716</v>
      </c>
      <c r="J3570" s="632">
        <v>1.57</v>
      </c>
      <c r="K3570"/>
    </row>
    <row r="3571" spans="1:11" ht="36" customHeight="1" thickBot="1">
      <c r="A3571" s="631"/>
      <c r="B3571" s="631"/>
      <c r="C3571" s="631"/>
      <c r="D3571" s="631"/>
      <c r="E3571" s="631" t="s">
        <v>12717</v>
      </c>
      <c r="F3571" s="632">
        <v>14.03</v>
      </c>
      <c r="G3571" s="631"/>
      <c r="H3571" s="806" t="s">
        <v>12718</v>
      </c>
      <c r="I3571" s="806"/>
      <c r="J3571" s="632">
        <v>63.73</v>
      </c>
      <c r="K3571"/>
    </row>
    <row r="3572" spans="1:11" ht="36" customHeight="1" thickTop="1">
      <c r="A3572" s="633"/>
      <c r="B3572" s="633"/>
      <c r="C3572" s="633"/>
      <c r="D3572" s="633"/>
      <c r="E3572" s="633"/>
      <c r="F3572" s="633"/>
      <c r="G3572" s="633"/>
      <c r="H3572" s="633"/>
      <c r="I3572" s="633"/>
      <c r="J3572" s="633"/>
      <c r="K3572"/>
    </row>
    <row r="3573" spans="1:11" ht="36" customHeight="1">
      <c r="A3573" s="613"/>
      <c r="B3573" s="614" t="s">
        <v>12698</v>
      </c>
      <c r="C3573" s="613" t="s">
        <v>12699</v>
      </c>
      <c r="D3573" s="613" t="s">
        <v>12700</v>
      </c>
      <c r="E3573" s="807" t="s">
        <v>12701</v>
      </c>
      <c r="F3573" s="808"/>
      <c r="G3573" s="615" t="s">
        <v>12702</v>
      </c>
      <c r="H3573" s="614" t="s">
        <v>12703</v>
      </c>
      <c r="I3573" s="614" t="s">
        <v>12704</v>
      </c>
      <c r="J3573" s="614" t="s">
        <v>12705</v>
      </c>
      <c r="K3573"/>
    </row>
    <row r="3574" spans="1:11" ht="36" customHeight="1">
      <c r="A3574" s="616" t="s">
        <v>12706</v>
      </c>
      <c r="B3574" s="617" t="s">
        <v>13016</v>
      </c>
      <c r="C3574" s="616" t="s">
        <v>8</v>
      </c>
      <c r="D3574" s="616" t="s">
        <v>6911</v>
      </c>
      <c r="E3574" s="809" t="s">
        <v>12819</v>
      </c>
      <c r="F3574" s="810"/>
      <c r="G3574" s="618" t="s">
        <v>35</v>
      </c>
      <c r="H3574" s="619">
        <v>1</v>
      </c>
      <c r="I3574" s="620">
        <v>30.18</v>
      </c>
      <c r="J3574" s="620">
        <v>30.18</v>
      </c>
      <c r="K3574"/>
    </row>
    <row r="3575" spans="1:11" ht="24" customHeight="1">
      <c r="A3575" s="621" t="s">
        <v>12708</v>
      </c>
      <c r="B3575" s="622" t="s">
        <v>12981</v>
      </c>
      <c r="C3575" s="621" t="s">
        <v>8</v>
      </c>
      <c r="D3575" s="621" t="s">
        <v>50</v>
      </c>
      <c r="E3575" s="811" t="s">
        <v>12707</v>
      </c>
      <c r="F3575" s="812"/>
      <c r="G3575" s="623" t="s">
        <v>23</v>
      </c>
      <c r="H3575" s="624">
        <v>0.1525</v>
      </c>
      <c r="I3575" s="625">
        <v>17.79</v>
      </c>
      <c r="J3575" s="625">
        <v>2.71</v>
      </c>
      <c r="K3575"/>
    </row>
    <row r="3576" spans="1:11" ht="24" customHeight="1">
      <c r="A3576" s="621" t="s">
        <v>12708</v>
      </c>
      <c r="B3576" s="622" t="s">
        <v>12727</v>
      </c>
      <c r="C3576" s="621" t="s">
        <v>8</v>
      </c>
      <c r="D3576" s="621" t="s">
        <v>26</v>
      </c>
      <c r="E3576" s="811" t="s">
        <v>12707</v>
      </c>
      <c r="F3576" s="812"/>
      <c r="G3576" s="623" t="s">
        <v>23</v>
      </c>
      <c r="H3576" s="624">
        <v>4.8099999999999997E-2</v>
      </c>
      <c r="I3576" s="625">
        <v>14.37</v>
      </c>
      <c r="J3576" s="625">
        <v>0.69</v>
      </c>
      <c r="K3576"/>
    </row>
    <row r="3577" spans="1:11">
      <c r="A3577" s="626" t="s">
        <v>12709</v>
      </c>
      <c r="B3577" s="627" t="s">
        <v>12980</v>
      </c>
      <c r="C3577" s="626" t="s">
        <v>8</v>
      </c>
      <c r="D3577" s="626" t="s">
        <v>9425</v>
      </c>
      <c r="E3577" s="804" t="s">
        <v>12720</v>
      </c>
      <c r="F3577" s="805"/>
      <c r="G3577" s="628" t="s">
        <v>35</v>
      </c>
      <c r="H3577" s="629">
        <v>3.6499999999999998E-2</v>
      </c>
      <c r="I3577" s="630">
        <v>4.0599999999999996</v>
      </c>
      <c r="J3577" s="630">
        <v>0.14000000000000001</v>
      </c>
      <c r="K3577"/>
    </row>
    <row r="3578" spans="1:11" ht="15" customHeight="1">
      <c r="A3578" s="626" t="s">
        <v>12709</v>
      </c>
      <c r="B3578" s="627" t="s">
        <v>13015</v>
      </c>
      <c r="C3578" s="626" t="s">
        <v>8</v>
      </c>
      <c r="D3578" s="626" t="s">
        <v>11848</v>
      </c>
      <c r="E3578" s="804" t="s">
        <v>12720</v>
      </c>
      <c r="F3578" s="805"/>
      <c r="G3578" s="628" t="s">
        <v>35</v>
      </c>
      <c r="H3578" s="629">
        <v>1</v>
      </c>
      <c r="I3578" s="630">
        <v>26.64</v>
      </c>
      <c r="J3578" s="630">
        <v>26.64</v>
      </c>
      <c r="K3578"/>
    </row>
    <row r="3579" spans="1:11" ht="0.95" customHeight="1">
      <c r="A3579" s="631"/>
      <c r="B3579" s="631"/>
      <c r="C3579" s="631"/>
      <c r="D3579" s="631"/>
      <c r="E3579" s="631" t="s">
        <v>12714</v>
      </c>
      <c r="F3579" s="632">
        <v>1.3514974591847768</v>
      </c>
      <c r="G3579" s="631" t="s">
        <v>12715</v>
      </c>
      <c r="H3579" s="632">
        <v>1.1499999999999999</v>
      </c>
      <c r="I3579" s="631" t="s">
        <v>12716</v>
      </c>
      <c r="J3579" s="632">
        <v>2.5</v>
      </c>
      <c r="K3579"/>
    </row>
    <row r="3580" spans="1:11" ht="18" customHeight="1" thickBot="1">
      <c r="A3580" s="631"/>
      <c r="B3580" s="631"/>
      <c r="C3580" s="631"/>
      <c r="D3580" s="631"/>
      <c r="E3580" s="631" t="s">
        <v>12717</v>
      </c>
      <c r="F3580" s="632">
        <v>8.52</v>
      </c>
      <c r="G3580" s="631"/>
      <c r="H3580" s="806" t="s">
        <v>12718</v>
      </c>
      <c r="I3580" s="806"/>
      <c r="J3580" s="632">
        <v>38.700000000000003</v>
      </c>
      <c r="K3580"/>
    </row>
    <row r="3581" spans="1:11" ht="36" customHeight="1" thickTop="1">
      <c r="A3581" s="633"/>
      <c r="B3581" s="633"/>
      <c r="C3581" s="633"/>
      <c r="D3581" s="633"/>
      <c r="E3581" s="633"/>
      <c r="F3581" s="633"/>
      <c r="G3581" s="633"/>
      <c r="H3581" s="633"/>
      <c r="I3581" s="633"/>
      <c r="J3581" s="633"/>
      <c r="K3581"/>
    </row>
    <row r="3582" spans="1:11" ht="36" customHeight="1">
      <c r="A3582" s="613"/>
      <c r="B3582" s="614" t="s">
        <v>12698</v>
      </c>
      <c r="C3582" s="613" t="s">
        <v>12699</v>
      </c>
      <c r="D3582" s="613" t="s">
        <v>12700</v>
      </c>
      <c r="E3582" s="807" t="s">
        <v>12701</v>
      </c>
      <c r="F3582" s="808"/>
      <c r="G3582" s="615" t="s">
        <v>12702</v>
      </c>
      <c r="H3582" s="614" t="s">
        <v>12703</v>
      </c>
      <c r="I3582" s="614" t="s">
        <v>12704</v>
      </c>
      <c r="J3582" s="614" t="s">
        <v>12705</v>
      </c>
      <c r="K3582"/>
    </row>
    <row r="3583" spans="1:11" ht="25.5" customHeight="1">
      <c r="A3583" s="616" t="s">
        <v>12706</v>
      </c>
      <c r="B3583" s="617" t="s">
        <v>13014</v>
      </c>
      <c r="C3583" s="616" t="s">
        <v>8</v>
      </c>
      <c r="D3583" s="616" t="s">
        <v>1625</v>
      </c>
      <c r="E3583" s="809" t="s">
        <v>12726</v>
      </c>
      <c r="F3583" s="810"/>
      <c r="G3583" s="618" t="s">
        <v>61</v>
      </c>
      <c r="H3583" s="619">
        <v>1</v>
      </c>
      <c r="I3583" s="620">
        <v>34.74</v>
      </c>
      <c r="J3583" s="620">
        <v>34.74</v>
      </c>
      <c r="K3583"/>
    </row>
    <row r="3584" spans="1:11" ht="15" customHeight="1">
      <c r="A3584" s="621" t="s">
        <v>12708</v>
      </c>
      <c r="B3584" s="622" t="s">
        <v>13012</v>
      </c>
      <c r="C3584" s="621" t="s">
        <v>8</v>
      </c>
      <c r="D3584" s="621" t="s">
        <v>1623</v>
      </c>
      <c r="E3584" s="811" t="s">
        <v>12726</v>
      </c>
      <c r="F3584" s="812"/>
      <c r="G3584" s="623" t="s">
        <v>23</v>
      </c>
      <c r="H3584" s="624">
        <v>1</v>
      </c>
      <c r="I3584" s="625">
        <v>17.29</v>
      </c>
      <c r="J3584" s="625">
        <v>17.29</v>
      </c>
      <c r="K3584"/>
    </row>
    <row r="3585" spans="1:11" ht="0.95" customHeight="1">
      <c r="A3585" s="621" t="s">
        <v>12708</v>
      </c>
      <c r="B3585" s="622" t="s">
        <v>13011</v>
      </c>
      <c r="C3585" s="621" t="s">
        <v>8</v>
      </c>
      <c r="D3585" s="621" t="s">
        <v>1624</v>
      </c>
      <c r="E3585" s="811" t="s">
        <v>12726</v>
      </c>
      <c r="F3585" s="812"/>
      <c r="G3585" s="623" t="s">
        <v>23</v>
      </c>
      <c r="H3585" s="624">
        <v>1</v>
      </c>
      <c r="I3585" s="625">
        <v>3.89</v>
      </c>
      <c r="J3585" s="625">
        <v>3.89</v>
      </c>
      <c r="K3585"/>
    </row>
    <row r="3586" spans="1:11" ht="18" customHeight="1">
      <c r="A3586" s="621" t="s">
        <v>12708</v>
      </c>
      <c r="B3586" s="622" t="s">
        <v>13006</v>
      </c>
      <c r="C3586" s="621" t="s">
        <v>8</v>
      </c>
      <c r="D3586" s="621" t="s">
        <v>297</v>
      </c>
      <c r="E3586" s="811" t="s">
        <v>12707</v>
      </c>
      <c r="F3586" s="812"/>
      <c r="G3586" s="623" t="s">
        <v>23</v>
      </c>
      <c r="H3586" s="624">
        <v>1</v>
      </c>
      <c r="I3586" s="625">
        <v>13.56</v>
      </c>
      <c r="J3586" s="625">
        <v>13.56</v>
      </c>
      <c r="K3586"/>
    </row>
    <row r="3587" spans="1:11" ht="24" customHeight="1">
      <c r="A3587" s="631"/>
      <c r="B3587" s="631"/>
      <c r="C3587" s="631"/>
      <c r="D3587" s="631"/>
      <c r="E3587" s="631" t="s">
        <v>12714</v>
      </c>
      <c r="F3587" s="632">
        <v>5.1681263</v>
      </c>
      <c r="G3587" s="631" t="s">
        <v>12715</v>
      </c>
      <c r="H3587" s="632">
        <v>4.3899999999999997</v>
      </c>
      <c r="I3587" s="631" t="s">
        <v>12716</v>
      </c>
      <c r="J3587" s="632">
        <v>9.56</v>
      </c>
      <c r="K3587"/>
    </row>
    <row r="3588" spans="1:11" ht="36" customHeight="1" thickBot="1">
      <c r="A3588" s="631"/>
      <c r="B3588" s="631"/>
      <c r="C3588" s="631"/>
      <c r="D3588" s="631"/>
      <c r="E3588" s="631" t="s">
        <v>12717</v>
      </c>
      <c r="F3588" s="632">
        <v>9.81</v>
      </c>
      <c r="G3588" s="631"/>
      <c r="H3588" s="806" t="s">
        <v>12718</v>
      </c>
      <c r="I3588" s="806"/>
      <c r="J3588" s="632">
        <v>44.55</v>
      </c>
      <c r="K3588"/>
    </row>
    <row r="3589" spans="1:11" ht="15" thickTop="1">
      <c r="A3589" s="633"/>
      <c r="B3589" s="633"/>
      <c r="C3589" s="633"/>
      <c r="D3589" s="633"/>
      <c r="E3589" s="633"/>
      <c r="F3589" s="633"/>
      <c r="G3589" s="633"/>
      <c r="H3589" s="633"/>
      <c r="I3589" s="633"/>
      <c r="J3589" s="633"/>
      <c r="K3589"/>
    </row>
    <row r="3590" spans="1:11" ht="15" customHeight="1">
      <c r="A3590" s="613"/>
      <c r="B3590" s="614" t="s">
        <v>12698</v>
      </c>
      <c r="C3590" s="613" t="s">
        <v>12699</v>
      </c>
      <c r="D3590" s="613" t="s">
        <v>12700</v>
      </c>
      <c r="E3590" s="807" t="s">
        <v>12701</v>
      </c>
      <c r="F3590" s="808"/>
      <c r="G3590" s="615" t="s">
        <v>12702</v>
      </c>
      <c r="H3590" s="614" t="s">
        <v>12703</v>
      </c>
      <c r="I3590" s="614" t="s">
        <v>12704</v>
      </c>
      <c r="J3590" s="614" t="s">
        <v>12705</v>
      </c>
      <c r="K3590"/>
    </row>
    <row r="3591" spans="1:11" ht="0.95" customHeight="1">
      <c r="A3591" s="616" t="s">
        <v>12706</v>
      </c>
      <c r="B3591" s="617" t="s">
        <v>13013</v>
      </c>
      <c r="C3591" s="616" t="s">
        <v>8</v>
      </c>
      <c r="D3591" s="616" t="s">
        <v>1626</v>
      </c>
      <c r="E3591" s="809" t="s">
        <v>12726</v>
      </c>
      <c r="F3591" s="810"/>
      <c r="G3591" s="618" t="s">
        <v>44</v>
      </c>
      <c r="H3591" s="619">
        <v>1</v>
      </c>
      <c r="I3591" s="620">
        <v>99.48</v>
      </c>
      <c r="J3591" s="620">
        <v>99.48</v>
      </c>
      <c r="K3591"/>
    </row>
    <row r="3592" spans="1:11" ht="18" customHeight="1">
      <c r="A3592" s="621" t="s">
        <v>12708</v>
      </c>
      <c r="B3592" s="622" t="s">
        <v>13010</v>
      </c>
      <c r="C3592" s="621" t="s">
        <v>8</v>
      </c>
      <c r="D3592" s="621" t="s">
        <v>1039</v>
      </c>
      <c r="E3592" s="811" t="s">
        <v>12726</v>
      </c>
      <c r="F3592" s="812"/>
      <c r="G3592" s="623" t="s">
        <v>23</v>
      </c>
      <c r="H3592" s="624">
        <v>1</v>
      </c>
      <c r="I3592" s="625">
        <v>30.92</v>
      </c>
      <c r="J3592" s="625">
        <v>30.92</v>
      </c>
      <c r="K3592"/>
    </row>
    <row r="3593" spans="1:11" ht="36" customHeight="1">
      <c r="A3593" s="621" t="s">
        <v>12708</v>
      </c>
      <c r="B3593" s="622" t="s">
        <v>13008</v>
      </c>
      <c r="C3593" s="621" t="s">
        <v>8</v>
      </c>
      <c r="D3593" s="621" t="s">
        <v>1129</v>
      </c>
      <c r="E3593" s="811" t="s">
        <v>12726</v>
      </c>
      <c r="F3593" s="812"/>
      <c r="G3593" s="623" t="s">
        <v>23</v>
      </c>
      <c r="H3593" s="624">
        <v>1</v>
      </c>
      <c r="I3593" s="625">
        <v>33.82</v>
      </c>
      <c r="J3593" s="625">
        <v>33.82</v>
      </c>
      <c r="K3593"/>
    </row>
    <row r="3594" spans="1:11" ht="36" customHeight="1">
      <c r="A3594" s="621" t="s">
        <v>12708</v>
      </c>
      <c r="B3594" s="622" t="s">
        <v>13012</v>
      </c>
      <c r="C3594" s="621" t="s">
        <v>8</v>
      </c>
      <c r="D3594" s="621" t="s">
        <v>1623</v>
      </c>
      <c r="E3594" s="811" t="s">
        <v>12726</v>
      </c>
      <c r="F3594" s="812"/>
      <c r="G3594" s="623" t="s">
        <v>23</v>
      </c>
      <c r="H3594" s="624">
        <v>1</v>
      </c>
      <c r="I3594" s="625">
        <v>17.29</v>
      </c>
      <c r="J3594" s="625">
        <v>17.29</v>
      </c>
      <c r="K3594"/>
    </row>
    <row r="3595" spans="1:11" ht="25.5" customHeight="1">
      <c r="A3595" s="621" t="s">
        <v>12708</v>
      </c>
      <c r="B3595" s="622" t="s">
        <v>13011</v>
      </c>
      <c r="C3595" s="621" t="s">
        <v>8</v>
      </c>
      <c r="D3595" s="621" t="s">
        <v>1624</v>
      </c>
      <c r="E3595" s="811" t="s">
        <v>12726</v>
      </c>
      <c r="F3595" s="812"/>
      <c r="G3595" s="623" t="s">
        <v>23</v>
      </c>
      <c r="H3595" s="624">
        <v>1</v>
      </c>
      <c r="I3595" s="625">
        <v>3.89</v>
      </c>
      <c r="J3595" s="625">
        <v>3.89</v>
      </c>
      <c r="K3595"/>
    </row>
    <row r="3596" spans="1:11" ht="15" customHeight="1">
      <c r="A3596" s="621" t="s">
        <v>12708</v>
      </c>
      <c r="B3596" s="622" t="s">
        <v>13006</v>
      </c>
      <c r="C3596" s="621" t="s">
        <v>8</v>
      </c>
      <c r="D3596" s="621" t="s">
        <v>297</v>
      </c>
      <c r="E3596" s="811" t="s">
        <v>12707</v>
      </c>
      <c r="F3596" s="812"/>
      <c r="G3596" s="623" t="s">
        <v>23</v>
      </c>
      <c r="H3596" s="624">
        <v>1</v>
      </c>
      <c r="I3596" s="625">
        <v>13.56</v>
      </c>
      <c r="J3596" s="625">
        <v>13.56</v>
      </c>
      <c r="K3596"/>
    </row>
    <row r="3597" spans="1:11" ht="0.95" customHeight="1">
      <c r="A3597" s="631"/>
      <c r="B3597" s="631"/>
      <c r="C3597" s="631"/>
      <c r="D3597" s="631"/>
      <c r="E3597" s="631" t="s">
        <v>12714</v>
      </c>
      <c r="F3597" s="632">
        <v>5.1681263</v>
      </c>
      <c r="G3597" s="631" t="s">
        <v>12715</v>
      </c>
      <c r="H3597" s="632">
        <v>4.3899999999999997</v>
      </c>
      <c r="I3597" s="631" t="s">
        <v>12716</v>
      </c>
      <c r="J3597" s="632">
        <v>9.56</v>
      </c>
      <c r="K3597"/>
    </row>
    <row r="3598" spans="1:11" ht="18" customHeight="1" thickBot="1">
      <c r="A3598" s="631"/>
      <c r="B3598" s="631"/>
      <c r="C3598" s="631"/>
      <c r="D3598" s="631"/>
      <c r="E3598" s="631" t="s">
        <v>12717</v>
      </c>
      <c r="F3598" s="632">
        <v>28.09</v>
      </c>
      <c r="G3598" s="631"/>
      <c r="H3598" s="806" t="s">
        <v>12718</v>
      </c>
      <c r="I3598" s="806"/>
      <c r="J3598" s="632">
        <v>127.57</v>
      </c>
      <c r="K3598"/>
    </row>
    <row r="3599" spans="1:11" ht="36" customHeight="1" thickTop="1">
      <c r="A3599" s="633"/>
      <c r="B3599" s="633"/>
      <c r="C3599" s="633"/>
      <c r="D3599" s="633"/>
      <c r="E3599" s="633"/>
      <c r="F3599" s="633"/>
      <c r="G3599" s="633"/>
      <c r="H3599" s="633"/>
      <c r="I3599" s="633"/>
      <c r="J3599" s="633"/>
      <c r="K3599"/>
    </row>
    <row r="3600" spans="1:11" ht="24" customHeight="1">
      <c r="A3600" s="613"/>
      <c r="B3600" s="614" t="s">
        <v>12698</v>
      </c>
      <c r="C3600" s="613" t="s">
        <v>12699</v>
      </c>
      <c r="D3600" s="613" t="s">
        <v>12700</v>
      </c>
      <c r="E3600" s="807" t="s">
        <v>12701</v>
      </c>
      <c r="F3600" s="808"/>
      <c r="G3600" s="615" t="s">
        <v>12702</v>
      </c>
      <c r="H3600" s="614" t="s">
        <v>12703</v>
      </c>
      <c r="I3600" s="614" t="s">
        <v>12704</v>
      </c>
      <c r="J3600" s="614" t="s">
        <v>12705</v>
      </c>
      <c r="K3600"/>
    </row>
    <row r="3601" spans="1:11" ht="25.5" customHeight="1">
      <c r="A3601" s="616" t="s">
        <v>12706</v>
      </c>
      <c r="B3601" s="617" t="s">
        <v>13012</v>
      </c>
      <c r="C3601" s="616" t="s">
        <v>8</v>
      </c>
      <c r="D3601" s="616" t="s">
        <v>1623</v>
      </c>
      <c r="E3601" s="809" t="s">
        <v>12726</v>
      </c>
      <c r="F3601" s="810"/>
      <c r="G3601" s="618" t="s">
        <v>23</v>
      </c>
      <c r="H3601" s="619">
        <v>1</v>
      </c>
      <c r="I3601" s="620">
        <v>17.29</v>
      </c>
      <c r="J3601" s="620">
        <v>17.29</v>
      </c>
      <c r="K3601"/>
    </row>
    <row r="3602" spans="1:11" ht="15" customHeight="1">
      <c r="A3602" s="626" t="s">
        <v>12709</v>
      </c>
      <c r="B3602" s="627" t="s">
        <v>13009</v>
      </c>
      <c r="C3602" s="626" t="s">
        <v>8</v>
      </c>
      <c r="D3602" s="626" t="s">
        <v>11865</v>
      </c>
      <c r="E3602" s="804" t="s">
        <v>12711</v>
      </c>
      <c r="F3602" s="805"/>
      <c r="G3602" s="628" t="s">
        <v>35</v>
      </c>
      <c r="H3602" s="629">
        <v>3.1099999999999997E-5</v>
      </c>
      <c r="I3602" s="630">
        <v>556157.77</v>
      </c>
      <c r="J3602" s="630">
        <v>17.29</v>
      </c>
      <c r="K3602"/>
    </row>
    <row r="3603" spans="1:11" ht="0.95" customHeight="1">
      <c r="A3603" s="631"/>
      <c r="B3603" s="631"/>
      <c r="C3603" s="631"/>
      <c r="D3603" s="631"/>
      <c r="E3603" s="631" t="s">
        <v>12714</v>
      </c>
      <c r="F3603" s="632">
        <v>0</v>
      </c>
      <c r="G3603" s="631" t="s">
        <v>12715</v>
      </c>
      <c r="H3603" s="632">
        <v>0</v>
      </c>
      <c r="I3603" s="631" t="s">
        <v>12716</v>
      </c>
      <c r="J3603" s="632">
        <v>0</v>
      </c>
      <c r="K3603"/>
    </row>
    <row r="3604" spans="1:11" ht="18" customHeight="1" thickBot="1">
      <c r="A3604" s="631"/>
      <c r="B3604" s="631"/>
      <c r="C3604" s="631"/>
      <c r="D3604" s="631"/>
      <c r="E3604" s="631" t="s">
        <v>12717</v>
      </c>
      <c r="F3604" s="632">
        <v>4.88</v>
      </c>
      <c r="G3604" s="631"/>
      <c r="H3604" s="806" t="s">
        <v>12718</v>
      </c>
      <c r="I3604" s="806"/>
      <c r="J3604" s="632">
        <v>22.17</v>
      </c>
      <c r="K3604"/>
    </row>
    <row r="3605" spans="1:11" ht="24" customHeight="1" thickTop="1">
      <c r="A3605" s="633"/>
      <c r="B3605" s="633"/>
      <c r="C3605" s="633"/>
      <c r="D3605" s="633"/>
      <c r="E3605" s="633"/>
      <c r="F3605" s="633"/>
      <c r="G3605" s="633"/>
      <c r="H3605" s="633"/>
      <c r="I3605" s="633"/>
      <c r="J3605" s="633"/>
      <c r="K3605"/>
    </row>
    <row r="3606" spans="1:11" ht="24" customHeight="1">
      <c r="A3606" s="613"/>
      <c r="B3606" s="614" t="s">
        <v>12698</v>
      </c>
      <c r="C3606" s="613" t="s">
        <v>12699</v>
      </c>
      <c r="D3606" s="613" t="s">
        <v>12700</v>
      </c>
      <c r="E3606" s="807" t="s">
        <v>12701</v>
      </c>
      <c r="F3606" s="808"/>
      <c r="G3606" s="615" t="s">
        <v>12702</v>
      </c>
      <c r="H3606" s="614" t="s">
        <v>12703</v>
      </c>
      <c r="I3606" s="614" t="s">
        <v>12704</v>
      </c>
      <c r="J3606" s="614" t="s">
        <v>12705</v>
      </c>
      <c r="K3606"/>
    </row>
    <row r="3607" spans="1:11" ht="24" customHeight="1">
      <c r="A3607" s="616" t="s">
        <v>12706</v>
      </c>
      <c r="B3607" s="617" t="s">
        <v>13011</v>
      </c>
      <c r="C3607" s="616" t="s">
        <v>8</v>
      </c>
      <c r="D3607" s="616" t="s">
        <v>1624</v>
      </c>
      <c r="E3607" s="809" t="s">
        <v>12726</v>
      </c>
      <c r="F3607" s="810"/>
      <c r="G3607" s="618" t="s">
        <v>23</v>
      </c>
      <c r="H3607" s="619">
        <v>1</v>
      </c>
      <c r="I3607" s="620">
        <v>3.89</v>
      </c>
      <c r="J3607" s="620">
        <v>3.89</v>
      </c>
      <c r="K3607"/>
    </row>
    <row r="3608" spans="1:11" ht="24" customHeight="1">
      <c r="A3608" s="626" t="s">
        <v>12709</v>
      </c>
      <c r="B3608" s="627" t="s">
        <v>13009</v>
      </c>
      <c r="C3608" s="626" t="s">
        <v>8</v>
      </c>
      <c r="D3608" s="626" t="s">
        <v>11865</v>
      </c>
      <c r="E3608" s="804" t="s">
        <v>12711</v>
      </c>
      <c r="F3608" s="805"/>
      <c r="G3608" s="628" t="s">
        <v>35</v>
      </c>
      <c r="H3608" s="629">
        <v>6.9999999999999999E-6</v>
      </c>
      <c r="I3608" s="630">
        <v>556157.77</v>
      </c>
      <c r="J3608" s="630">
        <v>3.89</v>
      </c>
      <c r="K3608"/>
    </row>
    <row r="3609" spans="1:11" ht="24" customHeight="1">
      <c r="A3609" s="631"/>
      <c r="B3609" s="631"/>
      <c r="C3609" s="631"/>
      <c r="D3609" s="631"/>
      <c r="E3609" s="631" t="s">
        <v>12714</v>
      </c>
      <c r="F3609" s="632">
        <v>0</v>
      </c>
      <c r="G3609" s="631" t="s">
        <v>12715</v>
      </c>
      <c r="H3609" s="632">
        <v>0</v>
      </c>
      <c r="I3609" s="631" t="s">
        <v>12716</v>
      </c>
      <c r="J3609" s="632">
        <v>0</v>
      </c>
      <c r="K3609"/>
    </row>
    <row r="3610" spans="1:11" ht="24" customHeight="1" thickBot="1">
      <c r="A3610" s="631"/>
      <c r="B3610" s="631"/>
      <c r="C3610" s="631"/>
      <c r="D3610" s="631"/>
      <c r="E3610" s="631" t="s">
        <v>12717</v>
      </c>
      <c r="F3610" s="632">
        <v>1.0900000000000001</v>
      </c>
      <c r="G3610" s="631"/>
      <c r="H3610" s="806" t="s">
        <v>12718</v>
      </c>
      <c r="I3610" s="806"/>
      <c r="J3610" s="632">
        <v>4.9800000000000004</v>
      </c>
      <c r="K3610"/>
    </row>
    <row r="3611" spans="1:11" ht="24" customHeight="1" thickTop="1">
      <c r="A3611" s="633"/>
      <c r="B3611" s="633"/>
      <c r="C3611" s="633"/>
      <c r="D3611" s="633"/>
      <c r="E3611" s="633"/>
      <c r="F3611" s="633"/>
      <c r="G3611" s="633"/>
      <c r="H3611" s="633"/>
      <c r="I3611" s="633"/>
      <c r="J3611" s="633"/>
      <c r="K3611"/>
    </row>
    <row r="3612" spans="1:11" ht="24" customHeight="1">
      <c r="A3612" s="613"/>
      <c r="B3612" s="614" t="s">
        <v>12698</v>
      </c>
      <c r="C3612" s="613" t="s">
        <v>12699</v>
      </c>
      <c r="D3612" s="613" t="s">
        <v>12700</v>
      </c>
      <c r="E3612" s="807" t="s">
        <v>12701</v>
      </c>
      <c r="F3612" s="808"/>
      <c r="G3612" s="615" t="s">
        <v>12702</v>
      </c>
      <c r="H3612" s="614" t="s">
        <v>12703</v>
      </c>
      <c r="I3612" s="614" t="s">
        <v>12704</v>
      </c>
      <c r="J3612" s="614" t="s">
        <v>12705</v>
      </c>
      <c r="K3612"/>
    </row>
    <row r="3613" spans="1:11" ht="24" customHeight="1">
      <c r="A3613" s="616" t="s">
        <v>12706</v>
      </c>
      <c r="B3613" s="617" t="s">
        <v>13010</v>
      </c>
      <c r="C3613" s="616" t="s">
        <v>8</v>
      </c>
      <c r="D3613" s="616" t="s">
        <v>1039</v>
      </c>
      <c r="E3613" s="809" t="s">
        <v>12726</v>
      </c>
      <c r="F3613" s="810"/>
      <c r="G3613" s="618" t="s">
        <v>23</v>
      </c>
      <c r="H3613" s="619">
        <v>1</v>
      </c>
      <c r="I3613" s="620">
        <v>30.92</v>
      </c>
      <c r="J3613" s="620">
        <v>30.92</v>
      </c>
      <c r="K3613"/>
    </row>
    <row r="3614" spans="1:11" ht="25.5">
      <c r="A3614" s="626" t="s">
        <v>12709</v>
      </c>
      <c r="B3614" s="627" t="s">
        <v>13009</v>
      </c>
      <c r="C3614" s="626" t="s">
        <v>8</v>
      </c>
      <c r="D3614" s="626" t="s">
        <v>11865</v>
      </c>
      <c r="E3614" s="804" t="s">
        <v>12711</v>
      </c>
      <c r="F3614" s="805"/>
      <c r="G3614" s="628" t="s">
        <v>35</v>
      </c>
      <c r="H3614" s="629">
        <v>5.5600000000000003E-5</v>
      </c>
      <c r="I3614" s="630">
        <v>556157.77</v>
      </c>
      <c r="J3614" s="630">
        <v>30.92</v>
      </c>
      <c r="K3614"/>
    </row>
    <row r="3615" spans="1:11" ht="15" customHeight="1">
      <c r="A3615" s="631"/>
      <c r="B3615" s="631"/>
      <c r="C3615" s="631"/>
      <c r="D3615" s="631"/>
      <c r="E3615" s="631" t="s">
        <v>12714</v>
      </c>
      <c r="F3615" s="632">
        <v>0</v>
      </c>
      <c r="G3615" s="631" t="s">
        <v>12715</v>
      </c>
      <c r="H3615" s="632">
        <v>0</v>
      </c>
      <c r="I3615" s="631" t="s">
        <v>12716</v>
      </c>
      <c r="J3615" s="632">
        <v>0</v>
      </c>
      <c r="K3615"/>
    </row>
    <row r="3616" spans="1:11" ht="0.95" customHeight="1" thickBot="1">
      <c r="A3616" s="631"/>
      <c r="B3616" s="631"/>
      <c r="C3616" s="631"/>
      <c r="D3616" s="631"/>
      <c r="E3616" s="631" t="s">
        <v>12717</v>
      </c>
      <c r="F3616" s="632">
        <v>8.73</v>
      </c>
      <c r="G3616" s="631"/>
      <c r="H3616" s="806" t="s">
        <v>12718</v>
      </c>
      <c r="I3616" s="806"/>
      <c r="J3616" s="632">
        <v>39.65</v>
      </c>
      <c r="K3616"/>
    </row>
    <row r="3617" spans="1:11" ht="18" customHeight="1" thickTop="1">
      <c r="A3617" s="633"/>
      <c r="B3617" s="633"/>
      <c r="C3617" s="633"/>
      <c r="D3617" s="633"/>
      <c r="E3617" s="633"/>
      <c r="F3617" s="633"/>
      <c r="G3617" s="633"/>
      <c r="H3617" s="633"/>
      <c r="I3617" s="633"/>
      <c r="J3617" s="633"/>
      <c r="K3617"/>
    </row>
    <row r="3618" spans="1:11" ht="24" customHeight="1">
      <c r="A3618" s="613"/>
      <c r="B3618" s="614" t="s">
        <v>12698</v>
      </c>
      <c r="C3618" s="613" t="s">
        <v>12699</v>
      </c>
      <c r="D3618" s="613" t="s">
        <v>12700</v>
      </c>
      <c r="E3618" s="807" t="s">
        <v>12701</v>
      </c>
      <c r="F3618" s="808"/>
      <c r="G3618" s="615" t="s">
        <v>12702</v>
      </c>
      <c r="H3618" s="614" t="s">
        <v>12703</v>
      </c>
      <c r="I3618" s="614" t="s">
        <v>12704</v>
      </c>
      <c r="J3618" s="614" t="s">
        <v>12705</v>
      </c>
      <c r="K3618"/>
    </row>
    <row r="3619" spans="1:11" ht="60" customHeight="1">
      <c r="A3619" s="616" t="s">
        <v>12706</v>
      </c>
      <c r="B3619" s="617" t="s">
        <v>13008</v>
      </c>
      <c r="C3619" s="616" t="s">
        <v>8</v>
      </c>
      <c r="D3619" s="616" t="s">
        <v>1129</v>
      </c>
      <c r="E3619" s="809" t="s">
        <v>12726</v>
      </c>
      <c r="F3619" s="810"/>
      <c r="G3619" s="618" t="s">
        <v>23</v>
      </c>
      <c r="H3619" s="619">
        <v>1</v>
      </c>
      <c r="I3619" s="620">
        <v>33.82</v>
      </c>
      <c r="J3619" s="620">
        <v>33.82</v>
      </c>
      <c r="K3619"/>
    </row>
    <row r="3620" spans="1:11" ht="60" customHeight="1">
      <c r="A3620" s="626" t="s">
        <v>12709</v>
      </c>
      <c r="B3620" s="627" t="s">
        <v>13007</v>
      </c>
      <c r="C3620" s="626" t="s">
        <v>8</v>
      </c>
      <c r="D3620" s="626" t="s">
        <v>10549</v>
      </c>
      <c r="E3620" s="804" t="s">
        <v>12720</v>
      </c>
      <c r="F3620" s="805"/>
      <c r="G3620" s="628" t="s">
        <v>58</v>
      </c>
      <c r="H3620" s="629">
        <v>10.44</v>
      </c>
      <c r="I3620" s="630">
        <v>3.24</v>
      </c>
      <c r="J3620" s="630">
        <v>33.82</v>
      </c>
      <c r="K3620"/>
    </row>
    <row r="3621" spans="1:11" ht="24" customHeight="1">
      <c r="A3621" s="631"/>
      <c r="B3621" s="631"/>
      <c r="C3621" s="631"/>
      <c r="D3621" s="631"/>
      <c r="E3621" s="631" t="s">
        <v>12714</v>
      </c>
      <c r="F3621" s="632">
        <v>0</v>
      </c>
      <c r="G3621" s="631" t="s">
        <v>12715</v>
      </c>
      <c r="H3621" s="632">
        <v>0</v>
      </c>
      <c r="I3621" s="631" t="s">
        <v>12716</v>
      </c>
      <c r="J3621" s="632">
        <v>0</v>
      </c>
      <c r="K3621"/>
    </row>
    <row r="3622" spans="1:11" ht="15" customHeight="1" thickBot="1">
      <c r="A3622" s="631"/>
      <c r="B3622" s="631"/>
      <c r="C3622" s="631"/>
      <c r="D3622" s="631"/>
      <c r="E3622" s="631" t="s">
        <v>12717</v>
      </c>
      <c r="F3622" s="632">
        <v>9.5500000000000007</v>
      </c>
      <c r="G3622" s="631"/>
      <c r="H3622" s="806" t="s">
        <v>12718</v>
      </c>
      <c r="I3622" s="806"/>
      <c r="J3622" s="632">
        <v>43.37</v>
      </c>
      <c r="K3622"/>
    </row>
    <row r="3623" spans="1:11" ht="15" customHeight="1" thickTop="1">
      <c r="A3623" s="633"/>
      <c r="B3623" s="633"/>
      <c r="C3623" s="633"/>
      <c r="D3623" s="633"/>
      <c r="E3623" s="633"/>
      <c r="F3623" s="633"/>
      <c r="G3623" s="633"/>
      <c r="H3623" s="633"/>
      <c r="I3623" s="633"/>
      <c r="J3623" s="633"/>
      <c r="K3623"/>
    </row>
    <row r="3624" spans="1:11" ht="0.95" customHeight="1">
      <c r="A3624" s="613"/>
      <c r="B3624" s="614" t="s">
        <v>12698</v>
      </c>
      <c r="C3624" s="613" t="s">
        <v>12699</v>
      </c>
      <c r="D3624" s="613" t="s">
        <v>12700</v>
      </c>
      <c r="E3624" s="807" t="s">
        <v>12701</v>
      </c>
      <c r="F3624" s="808"/>
      <c r="G3624" s="615" t="s">
        <v>12702</v>
      </c>
      <c r="H3624" s="614" t="s">
        <v>12703</v>
      </c>
      <c r="I3624" s="614" t="s">
        <v>12704</v>
      </c>
      <c r="J3624" s="614" t="s">
        <v>12705</v>
      </c>
      <c r="K3624"/>
    </row>
    <row r="3625" spans="1:11" ht="18" customHeight="1">
      <c r="A3625" s="616" t="s">
        <v>12706</v>
      </c>
      <c r="B3625" s="617" t="s">
        <v>13006</v>
      </c>
      <c r="C3625" s="616" t="s">
        <v>8</v>
      </c>
      <c r="D3625" s="616" t="s">
        <v>297</v>
      </c>
      <c r="E3625" s="809" t="s">
        <v>12707</v>
      </c>
      <c r="F3625" s="810"/>
      <c r="G3625" s="618" t="s">
        <v>23</v>
      </c>
      <c r="H3625" s="619">
        <v>1</v>
      </c>
      <c r="I3625" s="620">
        <v>13.56</v>
      </c>
      <c r="J3625" s="620">
        <v>13.56</v>
      </c>
      <c r="K3625"/>
    </row>
    <row r="3626" spans="1:11" ht="36" customHeight="1">
      <c r="A3626" s="621" t="s">
        <v>12708</v>
      </c>
      <c r="B3626" s="622" t="s">
        <v>13005</v>
      </c>
      <c r="C3626" s="621" t="s">
        <v>8</v>
      </c>
      <c r="D3626" s="621" t="s">
        <v>3695</v>
      </c>
      <c r="E3626" s="811" t="s">
        <v>12707</v>
      </c>
      <c r="F3626" s="812"/>
      <c r="G3626" s="623" t="s">
        <v>23</v>
      </c>
      <c r="H3626" s="624">
        <v>1</v>
      </c>
      <c r="I3626" s="625">
        <v>7.0000000000000007E-2</v>
      </c>
      <c r="J3626" s="625">
        <v>7.0000000000000007E-2</v>
      </c>
      <c r="K3626"/>
    </row>
    <row r="3627" spans="1:11" ht="36" customHeight="1">
      <c r="A3627" s="626" t="s">
        <v>12709</v>
      </c>
      <c r="B3627" s="627" t="s">
        <v>13004</v>
      </c>
      <c r="C3627" s="626" t="s">
        <v>8</v>
      </c>
      <c r="D3627" s="626" t="s">
        <v>7388</v>
      </c>
      <c r="E3627" s="804" t="s">
        <v>12712</v>
      </c>
      <c r="F3627" s="805"/>
      <c r="G3627" s="628" t="s">
        <v>23</v>
      </c>
      <c r="H3627" s="629">
        <v>1</v>
      </c>
      <c r="I3627" s="630">
        <v>2.2000000000000002</v>
      </c>
      <c r="J3627" s="630">
        <v>2.2000000000000002</v>
      </c>
      <c r="K3627"/>
    </row>
    <row r="3628" spans="1:11" ht="36" customHeight="1">
      <c r="A3628" s="626" t="s">
        <v>12709</v>
      </c>
      <c r="B3628" s="627" t="s">
        <v>13003</v>
      </c>
      <c r="C3628" s="626" t="s">
        <v>8</v>
      </c>
      <c r="D3628" s="626" t="s">
        <v>9227</v>
      </c>
      <c r="E3628" s="804" t="s">
        <v>12711</v>
      </c>
      <c r="F3628" s="805"/>
      <c r="G3628" s="628" t="s">
        <v>23</v>
      </c>
      <c r="H3628" s="629">
        <v>1</v>
      </c>
      <c r="I3628" s="630">
        <v>0.66</v>
      </c>
      <c r="J3628" s="630">
        <v>0.66</v>
      </c>
      <c r="K3628"/>
    </row>
    <row r="3629" spans="1:11">
      <c r="A3629" s="626" t="s">
        <v>12709</v>
      </c>
      <c r="B3629" s="627" t="s">
        <v>13002</v>
      </c>
      <c r="C3629" s="626" t="s">
        <v>8</v>
      </c>
      <c r="D3629" s="626" t="s">
        <v>9306</v>
      </c>
      <c r="E3629" s="804" t="s">
        <v>12712</v>
      </c>
      <c r="F3629" s="805"/>
      <c r="G3629" s="628" t="s">
        <v>23</v>
      </c>
      <c r="H3629" s="629">
        <v>1</v>
      </c>
      <c r="I3629" s="630">
        <v>0.35</v>
      </c>
      <c r="J3629" s="630">
        <v>0.35</v>
      </c>
      <c r="K3629"/>
    </row>
    <row r="3630" spans="1:11" ht="15" customHeight="1">
      <c r="A3630" s="626" t="s">
        <v>12709</v>
      </c>
      <c r="B3630" s="627" t="s">
        <v>13001</v>
      </c>
      <c r="C3630" s="626" t="s">
        <v>8</v>
      </c>
      <c r="D3630" s="626" t="s">
        <v>9374</v>
      </c>
      <c r="E3630" s="804" t="s">
        <v>12711</v>
      </c>
      <c r="F3630" s="805"/>
      <c r="G3630" s="628" t="s">
        <v>23</v>
      </c>
      <c r="H3630" s="629">
        <v>1</v>
      </c>
      <c r="I3630" s="630">
        <v>0.01</v>
      </c>
      <c r="J3630" s="630">
        <v>0.01</v>
      </c>
      <c r="K3630"/>
    </row>
    <row r="3631" spans="1:11" ht="0.95" customHeight="1">
      <c r="A3631" s="626" t="s">
        <v>12709</v>
      </c>
      <c r="B3631" s="627" t="s">
        <v>13000</v>
      </c>
      <c r="C3631" s="626" t="s">
        <v>8</v>
      </c>
      <c r="D3631" s="626" t="s">
        <v>10584</v>
      </c>
      <c r="E3631" s="804" t="s">
        <v>12710</v>
      </c>
      <c r="F3631" s="805"/>
      <c r="G3631" s="628" t="s">
        <v>23</v>
      </c>
      <c r="H3631" s="629">
        <v>1</v>
      </c>
      <c r="I3631" s="630">
        <v>9.49</v>
      </c>
      <c r="J3631" s="630">
        <v>9.49</v>
      </c>
      <c r="K3631"/>
    </row>
    <row r="3632" spans="1:11" ht="18" customHeight="1">
      <c r="A3632" s="626" t="s">
        <v>12709</v>
      </c>
      <c r="B3632" s="627" t="s">
        <v>12999</v>
      </c>
      <c r="C3632" s="626" t="s">
        <v>8</v>
      </c>
      <c r="D3632" s="626" t="s">
        <v>11251</v>
      </c>
      <c r="E3632" s="804" t="s">
        <v>12713</v>
      </c>
      <c r="F3632" s="805"/>
      <c r="G3632" s="628" t="s">
        <v>23</v>
      </c>
      <c r="H3632" s="629">
        <v>1</v>
      </c>
      <c r="I3632" s="630">
        <v>7.0000000000000007E-2</v>
      </c>
      <c r="J3632" s="630">
        <v>7.0000000000000007E-2</v>
      </c>
      <c r="K3632"/>
    </row>
    <row r="3633" spans="1:11" ht="36" customHeight="1">
      <c r="A3633" s="626" t="s">
        <v>12709</v>
      </c>
      <c r="B3633" s="627" t="s">
        <v>12998</v>
      </c>
      <c r="C3633" s="626" t="s">
        <v>8</v>
      </c>
      <c r="D3633" s="626" t="s">
        <v>11861</v>
      </c>
      <c r="E3633" s="804" t="s">
        <v>12722</v>
      </c>
      <c r="F3633" s="805"/>
      <c r="G3633" s="628" t="s">
        <v>23</v>
      </c>
      <c r="H3633" s="629">
        <v>1</v>
      </c>
      <c r="I3633" s="630">
        <v>0.71</v>
      </c>
      <c r="J3633" s="630">
        <v>0.71</v>
      </c>
      <c r="K3633"/>
    </row>
    <row r="3634" spans="1:11" ht="36" customHeight="1">
      <c r="A3634" s="631"/>
      <c r="B3634" s="631"/>
      <c r="C3634" s="631"/>
      <c r="D3634" s="631"/>
      <c r="E3634" s="631" t="s">
        <v>12714</v>
      </c>
      <c r="F3634" s="632">
        <v>5.1681263</v>
      </c>
      <c r="G3634" s="631" t="s">
        <v>12715</v>
      </c>
      <c r="H3634" s="632">
        <v>4.3899999999999997</v>
      </c>
      <c r="I3634" s="631" t="s">
        <v>12716</v>
      </c>
      <c r="J3634" s="632">
        <v>9.56</v>
      </c>
      <c r="K3634"/>
    </row>
    <row r="3635" spans="1:11" ht="36" customHeight="1" thickBot="1">
      <c r="A3635" s="631"/>
      <c r="B3635" s="631"/>
      <c r="C3635" s="631"/>
      <c r="D3635" s="631"/>
      <c r="E3635" s="631" t="s">
        <v>12717</v>
      </c>
      <c r="F3635" s="632">
        <v>3.82</v>
      </c>
      <c r="G3635" s="631"/>
      <c r="H3635" s="806" t="s">
        <v>12718</v>
      </c>
      <c r="I3635" s="806"/>
      <c r="J3635" s="632">
        <v>17.38</v>
      </c>
      <c r="K3635"/>
    </row>
    <row r="3636" spans="1:11" ht="36" customHeight="1" thickTop="1">
      <c r="A3636" s="633"/>
      <c r="B3636" s="633"/>
      <c r="C3636" s="633"/>
      <c r="D3636" s="633"/>
      <c r="E3636" s="633"/>
      <c r="F3636" s="633"/>
      <c r="G3636" s="633"/>
      <c r="H3636" s="633"/>
      <c r="I3636" s="633"/>
      <c r="J3636" s="633"/>
      <c r="K3636"/>
    </row>
    <row r="3637" spans="1:11" ht="36" customHeight="1">
      <c r="A3637" s="613"/>
      <c r="B3637" s="614" t="s">
        <v>12698</v>
      </c>
      <c r="C3637" s="613" t="s">
        <v>12699</v>
      </c>
      <c r="D3637" s="613" t="s">
        <v>12700</v>
      </c>
      <c r="E3637" s="807" t="s">
        <v>12701</v>
      </c>
      <c r="F3637" s="808"/>
      <c r="G3637" s="615" t="s">
        <v>12702</v>
      </c>
      <c r="H3637" s="614" t="s">
        <v>12703</v>
      </c>
      <c r="I3637" s="614" t="s">
        <v>12704</v>
      </c>
      <c r="J3637" s="614" t="s">
        <v>12705</v>
      </c>
      <c r="K3637"/>
    </row>
    <row r="3638" spans="1:11" ht="25.5" customHeight="1">
      <c r="A3638" s="616" t="s">
        <v>12706</v>
      </c>
      <c r="B3638" s="617" t="s">
        <v>12997</v>
      </c>
      <c r="C3638" s="616" t="s">
        <v>8</v>
      </c>
      <c r="D3638" s="616" t="s">
        <v>3761</v>
      </c>
      <c r="E3638" s="809" t="s">
        <v>12729</v>
      </c>
      <c r="F3638" s="810"/>
      <c r="G3638" s="618" t="s">
        <v>12730</v>
      </c>
      <c r="H3638" s="619">
        <v>1</v>
      </c>
      <c r="I3638" s="620">
        <v>1.1599999999999999</v>
      </c>
      <c r="J3638" s="620">
        <v>1.1599999999999999</v>
      </c>
      <c r="K3638"/>
    </row>
    <row r="3639" spans="1:11" ht="15" customHeight="1">
      <c r="A3639" s="621" t="s">
        <v>12708</v>
      </c>
      <c r="B3639" s="622" t="s">
        <v>12996</v>
      </c>
      <c r="C3639" s="621" t="s">
        <v>8</v>
      </c>
      <c r="D3639" s="621" t="s">
        <v>1078</v>
      </c>
      <c r="E3639" s="811" t="s">
        <v>12726</v>
      </c>
      <c r="F3639" s="812"/>
      <c r="G3639" s="623" t="s">
        <v>44</v>
      </c>
      <c r="H3639" s="624">
        <v>6.0000000000000001E-3</v>
      </c>
      <c r="I3639" s="625">
        <v>159.11000000000001</v>
      </c>
      <c r="J3639" s="625">
        <v>0.95</v>
      </c>
      <c r="K3639"/>
    </row>
    <row r="3640" spans="1:11" ht="0.95" customHeight="1">
      <c r="A3640" s="621" t="s">
        <v>12708</v>
      </c>
      <c r="B3640" s="622" t="s">
        <v>12995</v>
      </c>
      <c r="C3640" s="621" t="s">
        <v>8</v>
      </c>
      <c r="D3640" s="621" t="s">
        <v>1079</v>
      </c>
      <c r="E3640" s="811" t="s">
        <v>12726</v>
      </c>
      <c r="F3640" s="812"/>
      <c r="G3640" s="623" t="s">
        <v>61</v>
      </c>
      <c r="H3640" s="624">
        <v>3.0000000000000001E-3</v>
      </c>
      <c r="I3640" s="625">
        <v>30.79</v>
      </c>
      <c r="J3640" s="625">
        <v>0.09</v>
      </c>
      <c r="K3640"/>
    </row>
    <row r="3641" spans="1:11" ht="18" customHeight="1">
      <c r="A3641" s="621" t="s">
        <v>12708</v>
      </c>
      <c r="B3641" s="622" t="s">
        <v>12727</v>
      </c>
      <c r="C3641" s="621" t="s">
        <v>8</v>
      </c>
      <c r="D3641" s="621" t="s">
        <v>26</v>
      </c>
      <c r="E3641" s="811" t="s">
        <v>12707</v>
      </c>
      <c r="F3641" s="812"/>
      <c r="G3641" s="623" t="s">
        <v>23</v>
      </c>
      <c r="H3641" s="624">
        <v>8.9999999999999993E-3</v>
      </c>
      <c r="I3641" s="625">
        <v>14.37</v>
      </c>
      <c r="J3641" s="625">
        <v>0.12</v>
      </c>
      <c r="K3641"/>
    </row>
    <row r="3642" spans="1:11" ht="36" customHeight="1">
      <c r="A3642" s="631"/>
      <c r="B3642" s="631"/>
      <c r="C3642" s="631"/>
      <c r="D3642" s="631"/>
      <c r="E3642" s="631" t="s">
        <v>12714</v>
      </c>
      <c r="F3642" s="632">
        <v>9.1901827224564817E-2</v>
      </c>
      <c r="G3642" s="631" t="s">
        <v>12715</v>
      </c>
      <c r="H3642" s="632">
        <v>0.08</v>
      </c>
      <c r="I3642" s="631" t="s">
        <v>12716</v>
      </c>
      <c r="J3642" s="632">
        <v>0.17</v>
      </c>
      <c r="K3642"/>
    </row>
    <row r="3643" spans="1:11" ht="24" customHeight="1" thickBot="1">
      <c r="A3643" s="631"/>
      <c r="B3643" s="631"/>
      <c r="C3643" s="631"/>
      <c r="D3643" s="631"/>
      <c r="E3643" s="631" t="s">
        <v>12717</v>
      </c>
      <c r="F3643" s="632">
        <v>0.32</v>
      </c>
      <c r="G3643" s="631"/>
      <c r="H3643" s="806" t="s">
        <v>12718</v>
      </c>
      <c r="I3643" s="806"/>
      <c r="J3643" s="632">
        <v>1.48</v>
      </c>
      <c r="K3643"/>
    </row>
    <row r="3644" spans="1:11" ht="15" thickTop="1">
      <c r="A3644" s="633"/>
      <c r="B3644" s="633"/>
      <c r="C3644" s="633"/>
      <c r="D3644" s="633"/>
      <c r="E3644" s="633"/>
      <c r="F3644" s="633"/>
      <c r="G3644" s="633"/>
      <c r="H3644" s="633"/>
      <c r="I3644" s="633"/>
      <c r="J3644" s="633"/>
      <c r="K3644"/>
    </row>
    <row r="3645" spans="1:11" ht="15" customHeight="1">
      <c r="A3645" s="613"/>
      <c r="B3645" s="614" t="s">
        <v>12698</v>
      </c>
      <c r="C3645" s="613" t="s">
        <v>12699</v>
      </c>
      <c r="D3645" s="613" t="s">
        <v>12700</v>
      </c>
      <c r="E3645" s="807" t="s">
        <v>12701</v>
      </c>
      <c r="F3645" s="808"/>
      <c r="G3645" s="615" t="s">
        <v>12702</v>
      </c>
      <c r="H3645" s="614" t="s">
        <v>12703</v>
      </c>
      <c r="I3645" s="614" t="s">
        <v>12704</v>
      </c>
      <c r="J3645" s="614" t="s">
        <v>12705</v>
      </c>
      <c r="K3645"/>
    </row>
    <row r="3646" spans="1:11" ht="0.95" customHeight="1">
      <c r="A3646" s="616" t="s">
        <v>12706</v>
      </c>
      <c r="B3646" s="617" t="s">
        <v>14848</v>
      </c>
      <c r="C3646" s="616" t="s">
        <v>8</v>
      </c>
      <c r="D3646" s="616" t="s">
        <v>6941</v>
      </c>
      <c r="E3646" s="809" t="s">
        <v>12819</v>
      </c>
      <c r="F3646" s="810"/>
      <c r="G3646" s="618" t="s">
        <v>35</v>
      </c>
      <c r="H3646" s="619">
        <v>1</v>
      </c>
      <c r="I3646" s="620">
        <v>157.34</v>
      </c>
      <c r="J3646" s="620">
        <v>157.34</v>
      </c>
      <c r="K3646"/>
    </row>
    <row r="3647" spans="1:11" ht="18" customHeight="1">
      <c r="A3647" s="621" t="s">
        <v>12708</v>
      </c>
      <c r="B3647" s="622" t="s">
        <v>12981</v>
      </c>
      <c r="C3647" s="621" t="s">
        <v>8</v>
      </c>
      <c r="D3647" s="621" t="s">
        <v>50</v>
      </c>
      <c r="E3647" s="811" t="s">
        <v>12707</v>
      </c>
      <c r="F3647" s="812"/>
      <c r="G3647" s="623" t="s">
        <v>23</v>
      </c>
      <c r="H3647" s="624">
        <v>0.49680000000000002</v>
      </c>
      <c r="I3647" s="625">
        <v>17.79</v>
      </c>
      <c r="J3647" s="625">
        <v>8.83</v>
      </c>
      <c r="K3647"/>
    </row>
    <row r="3648" spans="1:11" ht="36" customHeight="1">
      <c r="A3648" s="621" t="s">
        <v>12708</v>
      </c>
      <c r="B3648" s="622" t="s">
        <v>12727</v>
      </c>
      <c r="C3648" s="621" t="s">
        <v>8</v>
      </c>
      <c r="D3648" s="621" t="s">
        <v>26</v>
      </c>
      <c r="E3648" s="811" t="s">
        <v>12707</v>
      </c>
      <c r="F3648" s="812"/>
      <c r="G3648" s="623" t="s">
        <v>23</v>
      </c>
      <c r="H3648" s="624">
        <v>0.34949999999999998</v>
      </c>
      <c r="I3648" s="625">
        <v>14.37</v>
      </c>
      <c r="J3648" s="625">
        <v>5.0199999999999996</v>
      </c>
      <c r="K3648"/>
    </row>
    <row r="3649" spans="1:11" ht="24" customHeight="1">
      <c r="A3649" s="626" t="s">
        <v>12709</v>
      </c>
      <c r="B3649" s="627" t="s">
        <v>14857</v>
      </c>
      <c r="C3649" s="626" t="s">
        <v>8</v>
      </c>
      <c r="D3649" s="626" t="s">
        <v>7612</v>
      </c>
      <c r="E3649" s="804" t="s">
        <v>12720</v>
      </c>
      <c r="F3649" s="805"/>
      <c r="G3649" s="628" t="s">
        <v>35</v>
      </c>
      <c r="H3649" s="629">
        <v>1</v>
      </c>
      <c r="I3649" s="630">
        <v>105.5</v>
      </c>
      <c r="J3649" s="630">
        <v>105.5</v>
      </c>
      <c r="K3649"/>
    </row>
    <row r="3650" spans="1:11" ht="38.25">
      <c r="A3650" s="626" t="s">
        <v>12709</v>
      </c>
      <c r="B3650" s="627" t="s">
        <v>14858</v>
      </c>
      <c r="C3650" s="626" t="s">
        <v>8</v>
      </c>
      <c r="D3650" s="626" t="s">
        <v>10651</v>
      </c>
      <c r="E3650" s="804" t="s">
        <v>12720</v>
      </c>
      <c r="F3650" s="805"/>
      <c r="G3650" s="628" t="s">
        <v>35</v>
      </c>
      <c r="H3650" s="629">
        <v>2</v>
      </c>
      <c r="I3650" s="630">
        <v>15.58</v>
      </c>
      <c r="J3650" s="630">
        <v>31.16</v>
      </c>
      <c r="K3650"/>
    </row>
    <row r="3651" spans="1:11" ht="15" customHeight="1">
      <c r="A3651" s="626" t="s">
        <v>12709</v>
      </c>
      <c r="B3651" s="627" t="s">
        <v>13036</v>
      </c>
      <c r="C3651" s="626" t="s">
        <v>8</v>
      </c>
      <c r="D3651" s="626" t="s">
        <v>11174</v>
      </c>
      <c r="E3651" s="804" t="s">
        <v>12720</v>
      </c>
      <c r="F3651" s="805"/>
      <c r="G3651" s="628" t="s">
        <v>20</v>
      </c>
      <c r="H3651" s="629">
        <v>8.8099999999999998E-2</v>
      </c>
      <c r="I3651" s="630">
        <v>57.59</v>
      </c>
      <c r="J3651" s="630">
        <v>5.07</v>
      </c>
      <c r="K3651"/>
    </row>
    <row r="3652" spans="1:11" ht="0.95" customHeight="1">
      <c r="A3652" s="626" t="s">
        <v>12709</v>
      </c>
      <c r="B3652" s="627" t="s">
        <v>14859</v>
      </c>
      <c r="C3652" s="626" t="s">
        <v>8</v>
      </c>
      <c r="D3652" s="626" t="s">
        <v>12331</v>
      </c>
      <c r="E3652" s="804" t="s">
        <v>12720</v>
      </c>
      <c r="F3652" s="805"/>
      <c r="G3652" s="628" t="s">
        <v>35</v>
      </c>
      <c r="H3652" s="629">
        <v>1</v>
      </c>
      <c r="I3652" s="630">
        <v>1.76</v>
      </c>
      <c r="J3652" s="630">
        <v>1.76</v>
      </c>
      <c r="K3652"/>
    </row>
    <row r="3653" spans="1:11" ht="18" customHeight="1">
      <c r="A3653" s="631"/>
      <c r="B3653" s="631"/>
      <c r="C3653" s="631"/>
      <c r="D3653" s="631"/>
      <c r="E3653" s="631" t="s">
        <v>12714</v>
      </c>
      <c r="F3653" s="632">
        <v>5.4113958265758457</v>
      </c>
      <c r="G3653" s="631" t="s">
        <v>12715</v>
      </c>
      <c r="H3653" s="632">
        <v>4.5999999999999996</v>
      </c>
      <c r="I3653" s="631" t="s">
        <v>12716</v>
      </c>
      <c r="J3653" s="632">
        <v>10.01</v>
      </c>
      <c r="K3653"/>
    </row>
    <row r="3654" spans="1:11" ht="36" customHeight="1" thickBot="1">
      <c r="A3654" s="631"/>
      <c r="B3654" s="631"/>
      <c r="C3654" s="631"/>
      <c r="D3654" s="631"/>
      <c r="E3654" s="631" t="s">
        <v>12717</v>
      </c>
      <c r="F3654" s="632">
        <v>44.43</v>
      </c>
      <c r="G3654" s="631"/>
      <c r="H3654" s="806" t="s">
        <v>12718</v>
      </c>
      <c r="I3654" s="806"/>
      <c r="J3654" s="632">
        <v>201.77</v>
      </c>
      <c r="K3654"/>
    </row>
    <row r="3655" spans="1:11" ht="24" customHeight="1" thickTop="1">
      <c r="A3655" s="633"/>
      <c r="B3655" s="633"/>
      <c r="C3655" s="633"/>
      <c r="D3655" s="633"/>
      <c r="E3655" s="633"/>
      <c r="F3655" s="633"/>
      <c r="G3655" s="633"/>
      <c r="H3655" s="633"/>
      <c r="I3655" s="633"/>
      <c r="J3655" s="633"/>
      <c r="K3655"/>
    </row>
    <row r="3656" spans="1:11" ht="15">
      <c r="A3656" s="613"/>
      <c r="B3656" s="614" t="s">
        <v>12698</v>
      </c>
      <c r="C3656" s="613" t="s">
        <v>12699</v>
      </c>
      <c r="D3656" s="613" t="s">
        <v>12700</v>
      </c>
      <c r="E3656" s="807" t="s">
        <v>12701</v>
      </c>
      <c r="F3656" s="808"/>
      <c r="G3656" s="615" t="s">
        <v>12702</v>
      </c>
      <c r="H3656" s="614" t="s">
        <v>12703</v>
      </c>
      <c r="I3656" s="614" t="s">
        <v>12704</v>
      </c>
      <c r="J3656" s="614" t="s">
        <v>12705</v>
      </c>
      <c r="K3656"/>
    </row>
    <row r="3657" spans="1:11" ht="15" customHeight="1">
      <c r="A3657" s="616" t="s">
        <v>12706</v>
      </c>
      <c r="B3657" s="617" t="s">
        <v>14852</v>
      </c>
      <c r="C3657" s="616" t="s">
        <v>8</v>
      </c>
      <c r="D3657" s="616" t="s">
        <v>6942</v>
      </c>
      <c r="E3657" s="809" t="s">
        <v>12819</v>
      </c>
      <c r="F3657" s="810"/>
      <c r="G3657" s="618" t="s">
        <v>35</v>
      </c>
      <c r="H3657" s="619">
        <v>1</v>
      </c>
      <c r="I3657" s="620">
        <v>592.11</v>
      </c>
      <c r="J3657" s="620">
        <v>592.11</v>
      </c>
      <c r="K3657"/>
    </row>
    <row r="3658" spans="1:11" ht="0.95" customHeight="1">
      <c r="A3658" s="621" t="s">
        <v>12708</v>
      </c>
      <c r="B3658" s="622" t="s">
        <v>12981</v>
      </c>
      <c r="C3658" s="621" t="s">
        <v>8</v>
      </c>
      <c r="D3658" s="621" t="s">
        <v>50</v>
      </c>
      <c r="E3658" s="811" t="s">
        <v>12707</v>
      </c>
      <c r="F3658" s="812"/>
      <c r="G3658" s="623" t="s">
        <v>23</v>
      </c>
      <c r="H3658" s="624">
        <v>1.1539999999999999</v>
      </c>
      <c r="I3658" s="625">
        <v>17.79</v>
      </c>
      <c r="J3658" s="625">
        <v>20.52</v>
      </c>
      <c r="K3658"/>
    </row>
    <row r="3659" spans="1:11" ht="18" customHeight="1">
      <c r="A3659" s="621" t="s">
        <v>12708</v>
      </c>
      <c r="B3659" s="622" t="s">
        <v>12727</v>
      </c>
      <c r="C3659" s="621" t="s">
        <v>8</v>
      </c>
      <c r="D3659" s="621" t="s">
        <v>26</v>
      </c>
      <c r="E3659" s="811" t="s">
        <v>12707</v>
      </c>
      <c r="F3659" s="812"/>
      <c r="G3659" s="623" t="s">
        <v>23</v>
      </c>
      <c r="H3659" s="624">
        <v>0.55649999999999999</v>
      </c>
      <c r="I3659" s="625">
        <v>14.37</v>
      </c>
      <c r="J3659" s="625">
        <v>7.99</v>
      </c>
      <c r="K3659"/>
    </row>
    <row r="3660" spans="1:11" ht="36" customHeight="1">
      <c r="A3660" s="626" t="s">
        <v>12709</v>
      </c>
      <c r="B3660" s="627" t="s">
        <v>14860</v>
      </c>
      <c r="C3660" s="626" t="s">
        <v>8</v>
      </c>
      <c r="D3660" s="626" t="s">
        <v>7614</v>
      </c>
      <c r="E3660" s="804" t="s">
        <v>12720</v>
      </c>
      <c r="F3660" s="805"/>
      <c r="G3660" s="628" t="s">
        <v>35</v>
      </c>
      <c r="H3660" s="629">
        <v>1</v>
      </c>
      <c r="I3660" s="630">
        <v>525.61</v>
      </c>
      <c r="J3660" s="630">
        <v>525.61</v>
      </c>
      <c r="K3660"/>
    </row>
    <row r="3661" spans="1:11" ht="24" customHeight="1">
      <c r="A3661" s="626" t="s">
        <v>12709</v>
      </c>
      <c r="B3661" s="627" t="s">
        <v>14858</v>
      </c>
      <c r="C3661" s="626" t="s">
        <v>8</v>
      </c>
      <c r="D3661" s="626" t="s">
        <v>10651</v>
      </c>
      <c r="E3661" s="804" t="s">
        <v>12720</v>
      </c>
      <c r="F3661" s="805"/>
      <c r="G3661" s="628" t="s">
        <v>35</v>
      </c>
      <c r="H3661" s="629">
        <v>2</v>
      </c>
      <c r="I3661" s="630">
        <v>15.58</v>
      </c>
      <c r="J3661" s="630">
        <v>31.16</v>
      </c>
      <c r="K3661"/>
    </row>
    <row r="3662" spans="1:11">
      <c r="A3662" s="626" t="s">
        <v>12709</v>
      </c>
      <c r="B3662" s="627" t="s">
        <v>13036</v>
      </c>
      <c r="C3662" s="626" t="s">
        <v>8</v>
      </c>
      <c r="D3662" s="626" t="s">
        <v>11174</v>
      </c>
      <c r="E3662" s="804" t="s">
        <v>12720</v>
      </c>
      <c r="F3662" s="805"/>
      <c r="G3662" s="628" t="s">
        <v>20</v>
      </c>
      <c r="H3662" s="629">
        <v>8.8099999999999998E-2</v>
      </c>
      <c r="I3662" s="630">
        <v>57.59</v>
      </c>
      <c r="J3662" s="630">
        <v>5.07</v>
      </c>
      <c r="K3662"/>
    </row>
    <row r="3663" spans="1:11" ht="15" customHeight="1">
      <c r="A3663" s="626" t="s">
        <v>12709</v>
      </c>
      <c r="B3663" s="627" t="s">
        <v>14859</v>
      </c>
      <c r="C3663" s="626" t="s">
        <v>8</v>
      </c>
      <c r="D3663" s="626" t="s">
        <v>12331</v>
      </c>
      <c r="E3663" s="804" t="s">
        <v>12720</v>
      </c>
      <c r="F3663" s="805"/>
      <c r="G3663" s="628" t="s">
        <v>35</v>
      </c>
      <c r="H3663" s="629">
        <v>1</v>
      </c>
      <c r="I3663" s="630">
        <v>1.76</v>
      </c>
      <c r="J3663" s="630">
        <v>1.76</v>
      </c>
      <c r="K3663"/>
    </row>
    <row r="3664" spans="1:11" ht="0.95" customHeight="1">
      <c r="A3664" s="631"/>
      <c r="B3664" s="631"/>
      <c r="C3664" s="631"/>
      <c r="D3664" s="631"/>
      <c r="E3664" s="631" t="s">
        <v>12714</v>
      </c>
      <c r="F3664" s="632">
        <v>11.249864850254081</v>
      </c>
      <c r="G3664" s="631" t="s">
        <v>12715</v>
      </c>
      <c r="H3664" s="632">
        <v>9.56</v>
      </c>
      <c r="I3664" s="631" t="s">
        <v>12716</v>
      </c>
      <c r="J3664" s="632">
        <v>20.81</v>
      </c>
      <c r="K3664"/>
    </row>
    <row r="3665" spans="1:11" ht="18" customHeight="1" thickBot="1">
      <c r="A3665" s="631"/>
      <c r="B3665" s="631"/>
      <c r="C3665" s="631"/>
      <c r="D3665" s="631"/>
      <c r="E3665" s="631" t="s">
        <v>12717</v>
      </c>
      <c r="F3665" s="632">
        <v>167.21</v>
      </c>
      <c r="G3665" s="631"/>
      <c r="H3665" s="806" t="s">
        <v>12718</v>
      </c>
      <c r="I3665" s="806"/>
      <c r="J3665" s="632">
        <v>759.32</v>
      </c>
      <c r="K3665"/>
    </row>
    <row r="3666" spans="1:11" ht="36" customHeight="1" thickTop="1">
      <c r="A3666" s="633"/>
      <c r="B3666" s="633"/>
      <c r="C3666" s="633"/>
      <c r="D3666" s="633"/>
      <c r="E3666" s="633"/>
      <c r="F3666" s="633"/>
      <c r="G3666" s="633"/>
      <c r="H3666" s="633"/>
      <c r="I3666" s="633"/>
      <c r="J3666" s="633"/>
      <c r="K3666"/>
    </row>
    <row r="3667" spans="1:11" ht="24" customHeight="1">
      <c r="A3667" s="613"/>
      <c r="B3667" s="614" t="s">
        <v>12698</v>
      </c>
      <c r="C3667" s="613" t="s">
        <v>12699</v>
      </c>
      <c r="D3667" s="613" t="s">
        <v>12700</v>
      </c>
      <c r="E3667" s="807" t="s">
        <v>12701</v>
      </c>
      <c r="F3667" s="808"/>
      <c r="G3667" s="615" t="s">
        <v>12702</v>
      </c>
      <c r="H3667" s="614" t="s">
        <v>12703</v>
      </c>
      <c r="I3667" s="614" t="s">
        <v>12704</v>
      </c>
      <c r="J3667" s="614" t="s">
        <v>12705</v>
      </c>
      <c r="K3667"/>
    </row>
    <row r="3668" spans="1:11" ht="24" customHeight="1">
      <c r="A3668" s="616" t="s">
        <v>12706</v>
      </c>
      <c r="B3668" s="617" t="s">
        <v>12994</v>
      </c>
      <c r="C3668" s="616" t="s">
        <v>8</v>
      </c>
      <c r="D3668" s="616" t="s">
        <v>2194</v>
      </c>
      <c r="E3668" s="809" t="s">
        <v>12726</v>
      </c>
      <c r="F3668" s="810"/>
      <c r="G3668" s="618" t="s">
        <v>61</v>
      </c>
      <c r="H3668" s="619">
        <v>1</v>
      </c>
      <c r="I3668" s="620">
        <v>0.34</v>
      </c>
      <c r="J3668" s="620">
        <v>0.34</v>
      </c>
      <c r="K3668"/>
    </row>
    <row r="3669" spans="1:11" ht="24" customHeight="1">
      <c r="A3669" s="621" t="s">
        <v>12708</v>
      </c>
      <c r="B3669" s="622" t="s">
        <v>12992</v>
      </c>
      <c r="C3669" s="621" t="s">
        <v>8</v>
      </c>
      <c r="D3669" s="621" t="s">
        <v>2189</v>
      </c>
      <c r="E3669" s="811" t="s">
        <v>12726</v>
      </c>
      <c r="F3669" s="812"/>
      <c r="G3669" s="623" t="s">
        <v>23</v>
      </c>
      <c r="H3669" s="624">
        <v>1</v>
      </c>
      <c r="I3669" s="625">
        <v>0.31</v>
      </c>
      <c r="J3669" s="625">
        <v>0.31</v>
      </c>
      <c r="K3669"/>
    </row>
    <row r="3670" spans="1:11" ht="24" customHeight="1">
      <c r="A3670" s="621" t="s">
        <v>12708</v>
      </c>
      <c r="B3670" s="622" t="s">
        <v>12991</v>
      </c>
      <c r="C3670" s="621" t="s">
        <v>8</v>
      </c>
      <c r="D3670" s="621" t="s">
        <v>2190</v>
      </c>
      <c r="E3670" s="811" t="s">
        <v>12726</v>
      </c>
      <c r="F3670" s="812"/>
      <c r="G3670" s="623" t="s">
        <v>23</v>
      </c>
      <c r="H3670" s="624">
        <v>1</v>
      </c>
      <c r="I3670" s="625">
        <v>0.03</v>
      </c>
      <c r="J3670" s="625">
        <v>0.03</v>
      </c>
      <c r="K3670"/>
    </row>
    <row r="3671" spans="1:11" ht="25.5">
      <c r="A3671" s="631"/>
      <c r="B3671" s="631"/>
      <c r="C3671" s="631"/>
      <c r="D3671" s="631"/>
      <c r="E3671" s="631" t="s">
        <v>12714</v>
      </c>
      <c r="F3671" s="632">
        <v>0</v>
      </c>
      <c r="G3671" s="631" t="s">
        <v>12715</v>
      </c>
      <c r="H3671" s="632">
        <v>0</v>
      </c>
      <c r="I3671" s="631" t="s">
        <v>12716</v>
      </c>
      <c r="J3671" s="632">
        <v>0</v>
      </c>
      <c r="K3671"/>
    </row>
    <row r="3672" spans="1:11" ht="15" customHeight="1" thickBot="1">
      <c r="A3672" s="631"/>
      <c r="B3672" s="631"/>
      <c r="C3672" s="631"/>
      <c r="D3672" s="631"/>
      <c r="E3672" s="631" t="s">
        <v>12717</v>
      </c>
      <c r="F3672" s="632">
        <v>0.09</v>
      </c>
      <c r="G3672" s="631"/>
      <c r="H3672" s="806" t="s">
        <v>12718</v>
      </c>
      <c r="I3672" s="806"/>
      <c r="J3672" s="632">
        <v>0.43</v>
      </c>
      <c r="K3672"/>
    </row>
    <row r="3673" spans="1:11" ht="0.95" customHeight="1" thickTop="1">
      <c r="A3673" s="633"/>
      <c r="B3673" s="633"/>
      <c r="C3673" s="633"/>
      <c r="D3673" s="633"/>
      <c r="E3673" s="633"/>
      <c r="F3673" s="633"/>
      <c r="G3673" s="633"/>
      <c r="H3673" s="633"/>
      <c r="I3673" s="633"/>
      <c r="J3673" s="633"/>
      <c r="K3673"/>
    </row>
    <row r="3674" spans="1:11" ht="18" customHeight="1">
      <c r="A3674" s="613"/>
      <c r="B3674" s="614" t="s">
        <v>12698</v>
      </c>
      <c r="C3674" s="613" t="s">
        <v>12699</v>
      </c>
      <c r="D3674" s="613" t="s">
        <v>12700</v>
      </c>
      <c r="E3674" s="807" t="s">
        <v>12701</v>
      </c>
      <c r="F3674" s="808"/>
      <c r="G3674" s="615" t="s">
        <v>12702</v>
      </c>
      <c r="H3674" s="614" t="s">
        <v>12703</v>
      </c>
      <c r="I3674" s="614" t="s">
        <v>12704</v>
      </c>
      <c r="J3674" s="614" t="s">
        <v>12705</v>
      </c>
      <c r="K3674"/>
    </row>
    <row r="3675" spans="1:11" ht="36" customHeight="1">
      <c r="A3675" s="616" t="s">
        <v>12706</v>
      </c>
      <c r="B3675" s="617" t="s">
        <v>12993</v>
      </c>
      <c r="C3675" s="616" t="s">
        <v>8</v>
      </c>
      <c r="D3675" s="616" t="s">
        <v>2193</v>
      </c>
      <c r="E3675" s="809" t="s">
        <v>12726</v>
      </c>
      <c r="F3675" s="810"/>
      <c r="G3675" s="618" t="s">
        <v>44</v>
      </c>
      <c r="H3675" s="619">
        <v>1</v>
      </c>
      <c r="I3675" s="620">
        <v>1.59</v>
      </c>
      <c r="J3675" s="620">
        <v>1.59</v>
      </c>
      <c r="K3675"/>
    </row>
    <row r="3676" spans="1:11" ht="24" customHeight="1">
      <c r="A3676" s="621" t="s">
        <v>12708</v>
      </c>
      <c r="B3676" s="622" t="s">
        <v>12992</v>
      </c>
      <c r="C3676" s="621" t="s">
        <v>8</v>
      </c>
      <c r="D3676" s="621" t="s">
        <v>2189</v>
      </c>
      <c r="E3676" s="811" t="s">
        <v>12726</v>
      </c>
      <c r="F3676" s="812"/>
      <c r="G3676" s="623" t="s">
        <v>23</v>
      </c>
      <c r="H3676" s="624">
        <v>1</v>
      </c>
      <c r="I3676" s="625">
        <v>0.31</v>
      </c>
      <c r="J3676" s="625">
        <v>0.31</v>
      </c>
      <c r="K3676"/>
    </row>
    <row r="3677" spans="1:11" ht="24" customHeight="1">
      <c r="A3677" s="621" t="s">
        <v>12708</v>
      </c>
      <c r="B3677" s="622" t="s">
        <v>12991</v>
      </c>
      <c r="C3677" s="621" t="s">
        <v>8</v>
      </c>
      <c r="D3677" s="621" t="s">
        <v>2190</v>
      </c>
      <c r="E3677" s="811" t="s">
        <v>12726</v>
      </c>
      <c r="F3677" s="812"/>
      <c r="G3677" s="623" t="s">
        <v>23</v>
      </c>
      <c r="H3677" s="624">
        <v>1</v>
      </c>
      <c r="I3677" s="625">
        <v>0.03</v>
      </c>
      <c r="J3677" s="625">
        <v>0.03</v>
      </c>
      <c r="K3677"/>
    </row>
    <row r="3678" spans="1:11" ht="24" customHeight="1">
      <c r="A3678" s="621" t="s">
        <v>12708</v>
      </c>
      <c r="B3678" s="622" t="s">
        <v>12990</v>
      </c>
      <c r="C3678" s="621" t="s">
        <v>8</v>
      </c>
      <c r="D3678" s="621" t="s">
        <v>2191</v>
      </c>
      <c r="E3678" s="811" t="s">
        <v>12726</v>
      </c>
      <c r="F3678" s="812"/>
      <c r="G3678" s="623" t="s">
        <v>23</v>
      </c>
      <c r="H3678" s="624">
        <v>1</v>
      </c>
      <c r="I3678" s="625">
        <v>0.24</v>
      </c>
      <c r="J3678" s="625">
        <v>0.24</v>
      </c>
      <c r="K3678"/>
    </row>
    <row r="3679" spans="1:11" ht="24" customHeight="1">
      <c r="A3679" s="621" t="s">
        <v>12708</v>
      </c>
      <c r="B3679" s="622" t="s">
        <v>12988</v>
      </c>
      <c r="C3679" s="621" t="s">
        <v>8</v>
      </c>
      <c r="D3679" s="621" t="s">
        <v>2192</v>
      </c>
      <c r="E3679" s="811" t="s">
        <v>12726</v>
      </c>
      <c r="F3679" s="812"/>
      <c r="G3679" s="623" t="s">
        <v>23</v>
      </c>
      <c r="H3679" s="624">
        <v>1</v>
      </c>
      <c r="I3679" s="625">
        <v>1.01</v>
      </c>
      <c r="J3679" s="625">
        <v>1.01</v>
      </c>
      <c r="K3679"/>
    </row>
    <row r="3680" spans="1:11" ht="25.5">
      <c r="A3680" s="631"/>
      <c r="B3680" s="631"/>
      <c r="C3680" s="631"/>
      <c r="D3680" s="631"/>
      <c r="E3680" s="631" t="s">
        <v>12714</v>
      </c>
      <c r="F3680" s="632">
        <v>0</v>
      </c>
      <c r="G3680" s="631" t="s">
        <v>12715</v>
      </c>
      <c r="H3680" s="632">
        <v>0</v>
      </c>
      <c r="I3680" s="631" t="s">
        <v>12716</v>
      </c>
      <c r="J3680" s="632">
        <v>0</v>
      </c>
      <c r="K3680"/>
    </row>
    <row r="3681" spans="1:11" ht="15" customHeight="1" thickBot="1">
      <c r="A3681" s="631"/>
      <c r="B3681" s="631"/>
      <c r="C3681" s="631"/>
      <c r="D3681" s="631"/>
      <c r="E3681" s="631" t="s">
        <v>12717</v>
      </c>
      <c r="F3681" s="632">
        <v>0.44</v>
      </c>
      <c r="G3681" s="631"/>
      <c r="H3681" s="806" t="s">
        <v>12718</v>
      </c>
      <c r="I3681" s="806"/>
      <c r="J3681" s="632">
        <v>2.0299999999999998</v>
      </c>
      <c r="K3681"/>
    </row>
    <row r="3682" spans="1:11" ht="0.95" customHeight="1" thickTop="1">
      <c r="A3682" s="633"/>
      <c r="B3682" s="633"/>
      <c r="C3682" s="633"/>
      <c r="D3682" s="633"/>
      <c r="E3682" s="633"/>
      <c r="F3682" s="633"/>
      <c r="G3682" s="633"/>
      <c r="H3682" s="633"/>
      <c r="I3682" s="633"/>
      <c r="J3682" s="633"/>
      <c r="K3682"/>
    </row>
    <row r="3683" spans="1:11" ht="18" customHeight="1">
      <c r="A3683" s="613"/>
      <c r="B3683" s="614" t="s">
        <v>12698</v>
      </c>
      <c r="C3683" s="613" t="s">
        <v>12699</v>
      </c>
      <c r="D3683" s="613" t="s">
        <v>12700</v>
      </c>
      <c r="E3683" s="807" t="s">
        <v>12701</v>
      </c>
      <c r="F3683" s="808"/>
      <c r="G3683" s="615" t="s">
        <v>12702</v>
      </c>
      <c r="H3683" s="614" t="s">
        <v>12703</v>
      </c>
      <c r="I3683" s="614" t="s">
        <v>12704</v>
      </c>
      <c r="J3683" s="614" t="s">
        <v>12705</v>
      </c>
      <c r="K3683"/>
    </row>
    <row r="3684" spans="1:11" ht="36" customHeight="1">
      <c r="A3684" s="616" t="s">
        <v>12706</v>
      </c>
      <c r="B3684" s="617" t="s">
        <v>12992</v>
      </c>
      <c r="C3684" s="616" t="s">
        <v>8</v>
      </c>
      <c r="D3684" s="616" t="s">
        <v>2189</v>
      </c>
      <c r="E3684" s="809" t="s">
        <v>12726</v>
      </c>
      <c r="F3684" s="810"/>
      <c r="G3684" s="618" t="s">
        <v>23</v>
      </c>
      <c r="H3684" s="619">
        <v>1</v>
      </c>
      <c r="I3684" s="620">
        <v>0.31</v>
      </c>
      <c r="J3684" s="620">
        <v>0.31</v>
      </c>
      <c r="K3684"/>
    </row>
    <row r="3685" spans="1:11" ht="24" customHeight="1">
      <c r="A3685" s="626" t="s">
        <v>12709</v>
      </c>
      <c r="B3685" s="627" t="s">
        <v>12989</v>
      </c>
      <c r="C3685" s="626" t="s">
        <v>8</v>
      </c>
      <c r="D3685" s="626" t="s">
        <v>12342</v>
      </c>
      <c r="E3685" s="804" t="s">
        <v>12711</v>
      </c>
      <c r="F3685" s="805"/>
      <c r="G3685" s="628" t="s">
        <v>35</v>
      </c>
      <c r="H3685" s="629">
        <v>1.2799999999999999E-4</v>
      </c>
      <c r="I3685" s="630">
        <v>2422.13</v>
      </c>
      <c r="J3685" s="630">
        <v>0.31</v>
      </c>
      <c r="K3685"/>
    </row>
    <row r="3686" spans="1:11" ht="24" customHeight="1">
      <c r="A3686" s="631"/>
      <c r="B3686" s="631"/>
      <c r="C3686" s="631"/>
      <c r="D3686" s="631"/>
      <c r="E3686" s="631" t="s">
        <v>12714</v>
      </c>
      <c r="F3686" s="632">
        <v>0</v>
      </c>
      <c r="G3686" s="631" t="s">
        <v>12715</v>
      </c>
      <c r="H3686" s="632">
        <v>0</v>
      </c>
      <c r="I3686" s="631" t="s">
        <v>12716</v>
      </c>
      <c r="J3686" s="632">
        <v>0</v>
      </c>
      <c r="K3686"/>
    </row>
    <row r="3687" spans="1:11" ht="24" customHeight="1" thickBot="1">
      <c r="A3687" s="631"/>
      <c r="B3687" s="631"/>
      <c r="C3687" s="631"/>
      <c r="D3687" s="631"/>
      <c r="E3687" s="631" t="s">
        <v>12717</v>
      </c>
      <c r="F3687" s="632">
        <v>0.08</v>
      </c>
      <c r="G3687" s="631"/>
      <c r="H3687" s="806" t="s">
        <v>12718</v>
      </c>
      <c r="I3687" s="806"/>
      <c r="J3687" s="632">
        <v>0.39</v>
      </c>
      <c r="K3687"/>
    </row>
    <row r="3688" spans="1:11" ht="24" customHeight="1" thickTop="1">
      <c r="A3688" s="633"/>
      <c r="B3688" s="633"/>
      <c r="C3688" s="633"/>
      <c r="D3688" s="633"/>
      <c r="E3688" s="633"/>
      <c r="F3688" s="633"/>
      <c r="G3688" s="633"/>
      <c r="H3688" s="633"/>
      <c r="I3688" s="633"/>
      <c r="J3688" s="633"/>
      <c r="K3688"/>
    </row>
    <row r="3689" spans="1:11" ht="15">
      <c r="A3689" s="613"/>
      <c r="B3689" s="614" t="s">
        <v>12698</v>
      </c>
      <c r="C3689" s="613" t="s">
        <v>12699</v>
      </c>
      <c r="D3689" s="613" t="s">
        <v>12700</v>
      </c>
      <c r="E3689" s="807" t="s">
        <v>12701</v>
      </c>
      <c r="F3689" s="808"/>
      <c r="G3689" s="615" t="s">
        <v>12702</v>
      </c>
      <c r="H3689" s="614" t="s">
        <v>12703</v>
      </c>
      <c r="I3689" s="614" t="s">
        <v>12704</v>
      </c>
      <c r="J3689" s="614" t="s">
        <v>12705</v>
      </c>
      <c r="K3689"/>
    </row>
    <row r="3690" spans="1:11" ht="15" customHeight="1">
      <c r="A3690" s="616" t="s">
        <v>12706</v>
      </c>
      <c r="B3690" s="617" t="s">
        <v>12991</v>
      </c>
      <c r="C3690" s="616" t="s">
        <v>8</v>
      </c>
      <c r="D3690" s="616" t="s">
        <v>2190</v>
      </c>
      <c r="E3690" s="809" t="s">
        <v>12726</v>
      </c>
      <c r="F3690" s="810"/>
      <c r="G3690" s="618" t="s">
        <v>23</v>
      </c>
      <c r="H3690" s="619">
        <v>1</v>
      </c>
      <c r="I3690" s="620">
        <v>0.03</v>
      </c>
      <c r="J3690" s="620">
        <v>0.03</v>
      </c>
      <c r="K3690"/>
    </row>
    <row r="3691" spans="1:11" ht="0.95" customHeight="1">
      <c r="A3691" s="626" t="s">
        <v>12709</v>
      </c>
      <c r="B3691" s="627" t="s">
        <v>12989</v>
      </c>
      <c r="C3691" s="626" t="s">
        <v>8</v>
      </c>
      <c r="D3691" s="626" t="s">
        <v>12342</v>
      </c>
      <c r="E3691" s="804" t="s">
        <v>12711</v>
      </c>
      <c r="F3691" s="805"/>
      <c r="G3691" s="628" t="s">
        <v>35</v>
      </c>
      <c r="H3691" s="629">
        <v>1.5099999999999999E-5</v>
      </c>
      <c r="I3691" s="630">
        <v>2422.13</v>
      </c>
      <c r="J3691" s="630">
        <v>0.03</v>
      </c>
      <c r="K3691"/>
    </row>
    <row r="3692" spans="1:11" ht="25.5">
      <c r="A3692" s="631"/>
      <c r="B3692" s="631"/>
      <c r="C3692" s="631"/>
      <c r="D3692" s="631"/>
      <c r="E3692" s="631" t="s">
        <v>12714</v>
      </c>
      <c r="F3692" s="632">
        <v>0</v>
      </c>
      <c r="G3692" s="631" t="s">
        <v>12715</v>
      </c>
      <c r="H3692" s="632">
        <v>0</v>
      </c>
      <c r="I3692" s="631" t="s">
        <v>12716</v>
      </c>
      <c r="J3692" s="632">
        <v>0</v>
      </c>
      <c r="K3692"/>
    </row>
    <row r="3693" spans="1:11" ht="15" customHeight="1" thickBot="1">
      <c r="A3693" s="631"/>
      <c r="B3693" s="631"/>
      <c r="C3693" s="631"/>
      <c r="D3693" s="631"/>
      <c r="E3693" s="631" t="s">
        <v>12717</v>
      </c>
      <c r="F3693" s="632">
        <v>0</v>
      </c>
      <c r="G3693" s="631"/>
      <c r="H3693" s="806" t="s">
        <v>12718</v>
      </c>
      <c r="I3693" s="806"/>
      <c r="J3693" s="632">
        <v>0.03</v>
      </c>
      <c r="K3693"/>
    </row>
    <row r="3694" spans="1:11" ht="15" thickTop="1">
      <c r="A3694" s="633"/>
      <c r="B3694" s="633"/>
      <c r="C3694" s="633"/>
      <c r="D3694" s="633"/>
      <c r="E3694" s="633"/>
      <c r="F3694" s="633"/>
      <c r="G3694" s="633"/>
      <c r="H3694" s="633"/>
      <c r="I3694" s="633"/>
      <c r="J3694" s="633"/>
      <c r="K3694"/>
    </row>
    <row r="3695" spans="1:11" ht="15">
      <c r="A3695" s="613"/>
      <c r="B3695" s="614" t="s">
        <v>12698</v>
      </c>
      <c r="C3695" s="613" t="s">
        <v>12699</v>
      </c>
      <c r="D3695" s="613" t="s">
        <v>12700</v>
      </c>
      <c r="E3695" s="807" t="s">
        <v>12701</v>
      </c>
      <c r="F3695" s="808"/>
      <c r="G3695" s="615" t="s">
        <v>12702</v>
      </c>
      <c r="H3695" s="614" t="s">
        <v>12703</v>
      </c>
      <c r="I3695" s="614" t="s">
        <v>12704</v>
      </c>
      <c r="J3695" s="614" t="s">
        <v>12705</v>
      </c>
      <c r="K3695"/>
    </row>
    <row r="3696" spans="1:11" ht="60" customHeight="1">
      <c r="A3696" s="616" t="s">
        <v>12706</v>
      </c>
      <c r="B3696" s="617" t="s">
        <v>12990</v>
      </c>
      <c r="C3696" s="616" t="s">
        <v>8</v>
      </c>
      <c r="D3696" s="616" t="s">
        <v>2191</v>
      </c>
      <c r="E3696" s="809" t="s">
        <v>12726</v>
      </c>
      <c r="F3696" s="810"/>
      <c r="G3696" s="618" t="s">
        <v>23</v>
      </c>
      <c r="H3696" s="619">
        <v>1</v>
      </c>
      <c r="I3696" s="620">
        <v>0.24</v>
      </c>
      <c r="J3696" s="620">
        <v>0.24</v>
      </c>
      <c r="K3696"/>
    </row>
    <row r="3697" spans="1:11" ht="25.5">
      <c r="A3697" s="626" t="s">
        <v>12709</v>
      </c>
      <c r="B3697" s="627" t="s">
        <v>12989</v>
      </c>
      <c r="C3697" s="626" t="s">
        <v>8</v>
      </c>
      <c r="D3697" s="626" t="s">
        <v>12342</v>
      </c>
      <c r="E3697" s="804" t="s">
        <v>12711</v>
      </c>
      <c r="F3697" s="805"/>
      <c r="G3697" s="628" t="s">
        <v>35</v>
      </c>
      <c r="H3697" s="629">
        <v>1E-4</v>
      </c>
      <c r="I3697" s="630">
        <v>2422.13</v>
      </c>
      <c r="J3697" s="630">
        <v>0.24</v>
      </c>
      <c r="K3697"/>
    </row>
    <row r="3698" spans="1:11" ht="25.5">
      <c r="A3698" s="631"/>
      <c r="B3698" s="631"/>
      <c r="C3698" s="631"/>
      <c r="D3698" s="631"/>
      <c r="E3698" s="631" t="s">
        <v>12714</v>
      </c>
      <c r="F3698" s="632">
        <v>0</v>
      </c>
      <c r="G3698" s="631" t="s">
        <v>12715</v>
      </c>
      <c r="H3698" s="632">
        <v>0</v>
      </c>
      <c r="I3698" s="631" t="s">
        <v>12716</v>
      </c>
      <c r="J3698" s="632">
        <v>0</v>
      </c>
      <c r="K3698"/>
    </row>
    <row r="3699" spans="1:11" ht="15" thickBot="1">
      <c r="A3699" s="631"/>
      <c r="B3699" s="631"/>
      <c r="C3699" s="631"/>
      <c r="D3699" s="631"/>
      <c r="E3699" s="631" t="s">
        <v>12717</v>
      </c>
      <c r="F3699" s="632">
        <v>0.06</v>
      </c>
      <c r="G3699" s="631"/>
      <c r="H3699" s="806" t="s">
        <v>12718</v>
      </c>
      <c r="I3699" s="806"/>
      <c r="J3699" s="632">
        <v>0.3</v>
      </c>
      <c r="K3699"/>
    </row>
    <row r="3700" spans="1:11" ht="15" thickTop="1">
      <c r="A3700" s="633"/>
      <c r="B3700" s="633"/>
      <c r="C3700" s="633"/>
      <c r="D3700" s="633"/>
      <c r="E3700" s="633"/>
      <c r="F3700" s="633"/>
      <c r="G3700" s="633"/>
      <c r="H3700" s="633"/>
      <c r="I3700" s="633"/>
      <c r="J3700" s="633"/>
      <c r="K3700"/>
    </row>
    <row r="3701" spans="1:11" ht="15">
      <c r="A3701" s="613"/>
      <c r="B3701" s="614" t="s">
        <v>12698</v>
      </c>
      <c r="C3701" s="613" t="s">
        <v>12699</v>
      </c>
      <c r="D3701" s="613" t="s">
        <v>12700</v>
      </c>
      <c r="E3701" s="807" t="s">
        <v>12701</v>
      </c>
      <c r="F3701" s="808"/>
      <c r="G3701" s="615" t="s">
        <v>12702</v>
      </c>
      <c r="H3701" s="614" t="s">
        <v>12703</v>
      </c>
      <c r="I3701" s="614" t="s">
        <v>12704</v>
      </c>
      <c r="J3701" s="614" t="s">
        <v>12705</v>
      </c>
      <c r="K3701"/>
    </row>
    <row r="3702" spans="1:11" ht="38.25">
      <c r="A3702" s="616" t="s">
        <v>12706</v>
      </c>
      <c r="B3702" s="617" t="s">
        <v>12988</v>
      </c>
      <c r="C3702" s="616" t="s">
        <v>8</v>
      </c>
      <c r="D3702" s="616" t="s">
        <v>2192</v>
      </c>
      <c r="E3702" s="809" t="s">
        <v>12726</v>
      </c>
      <c r="F3702" s="810"/>
      <c r="G3702" s="618" t="s">
        <v>23</v>
      </c>
      <c r="H3702" s="619">
        <v>1</v>
      </c>
      <c r="I3702" s="620">
        <v>1.01</v>
      </c>
      <c r="J3702" s="620">
        <v>1.01</v>
      </c>
      <c r="K3702"/>
    </row>
    <row r="3703" spans="1:11">
      <c r="A3703" s="626" t="s">
        <v>12709</v>
      </c>
      <c r="B3703" s="627" t="s">
        <v>12987</v>
      </c>
      <c r="C3703" s="626" t="s">
        <v>8</v>
      </c>
      <c r="D3703" s="626" t="s">
        <v>9192</v>
      </c>
      <c r="E3703" s="804" t="s">
        <v>12720</v>
      </c>
      <c r="F3703" s="805"/>
      <c r="G3703" s="628" t="s">
        <v>12923</v>
      </c>
      <c r="H3703" s="629">
        <v>1.25</v>
      </c>
      <c r="I3703" s="630">
        <v>0.81</v>
      </c>
      <c r="J3703" s="630">
        <v>1.01</v>
      </c>
      <c r="K3703"/>
    </row>
    <row r="3704" spans="1:11" ht="25.5">
      <c r="A3704" s="631"/>
      <c r="B3704" s="631"/>
      <c r="C3704" s="631"/>
      <c r="D3704" s="631"/>
      <c r="E3704" s="631" t="s">
        <v>12714</v>
      </c>
      <c r="F3704" s="632">
        <v>0</v>
      </c>
      <c r="G3704" s="631" t="s">
        <v>12715</v>
      </c>
      <c r="H3704" s="632">
        <v>0</v>
      </c>
      <c r="I3704" s="631" t="s">
        <v>12716</v>
      </c>
      <c r="J3704" s="632">
        <v>0</v>
      </c>
      <c r="K3704"/>
    </row>
    <row r="3705" spans="1:11" ht="15" thickBot="1">
      <c r="A3705" s="631"/>
      <c r="B3705" s="631"/>
      <c r="C3705" s="631"/>
      <c r="D3705" s="631"/>
      <c r="E3705" s="631" t="s">
        <v>12717</v>
      </c>
      <c r="F3705" s="632">
        <v>0.28000000000000003</v>
      </c>
      <c r="G3705" s="631"/>
      <c r="H3705" s="806" t="s">
        <v>12718</v>
      </c>
      <c r="I3705" s="806"/>
      <c r="J3705" s="632">
        <v>1.29</v>
      </c>
      <c r="K3705"/>
    </row>
    <row r="3706" spans="1:11" ht="15" thickTop="1">
      <c r="A3706" s="633"/>
      <c r="B3706" s="633"/>
      <c r="C3706" s="633"/>
      <c r="D3706" s="633"/>
      <c r="E3706" s="633"/>
      <c r="F3706" s="633"/>
      <c r="G3706" s="633"/>
      <c r="H3706" s="633"/>
      <c r="I3706" s="633"/>
      <c r="J3706" s="633"/>
      <c r="K3706"/>
    </row>
    <row r="3707" spans="1:11" ht="15">
      <c r="A3707" s="613"/>
      <c r="B3707" s="614" t="s">
        <v>12698</v>
      </c>
      <c r="C3707" s="613" t="s">
        <v>12699</v>
      </c>
      <c r="D3707" s="613" t="s">
        <v>12700</v>
      </c>
      <c r="E3707" s="807" t="s">
        <v>12701</v>
      </c>
      <c r="F3707" s="808"/>
      <c r="G3707" s="615" t="s">
        <v>12702</v>
      </c>
      <c r="H3707" s="614" t="s">
        <v>12703</v>
      </c>
      <c r="I3707" s="614" t="s">
        <v>12704</v>
      </c>
      <c r="J3707" s="614" t="s">
        <v>12705</v>
      </c>
      <c r="K3707"/>
    </row>
    <row r="3708" spans="1:11" ht="38.25">
      <c r="A3708" s="616" t="s">
        <v>12706</v>
      </c>
      <c r="B3708" s="617" t="s">
        <v>12986</v>
      </c>
      <c r="C3708" s="616" t="s">
        <v>8</v>
      </c>
      <c r="D3708" s="616" t="s">
        <v>6885</v>
      </c>
      <c r="E3708" s="809" t="s">
        <v>12819</v>
      </c>
      <c r="F3708" s="810"/>
      <c r="G3708" s="618" t="s">
        <v>35</v>
      </c>
      <c r="H3708" s="619">
        <v>1</v>
      </c>
      <c r="I3708" s="620">
        <v>25.52</v>
      </c>
      <c r="J3708" s="620">
        <v>25.52</v>
      </c>
      <c r="K3708"/>
    </row>
    <row r="3709" spans="1:11" ht="25.5">
      <c r="A3709" s="621" t="s">
        <v>12708</v>
      </c>
      <c r="B3709" s="622" t="s">
        <v>12981</v>
      </c>
      <c r="C3709" s="621" t="s">
        <v>8</v>
      </c>
      <c r="D3709" s="621" t="s">
        <v>50</v>
      </c>
      <c r="E3709" s="811" t="s">
        <v>12707</v>
      </c>
      <c r="F3709" s="812"/>
      <c r="G3709" s="623" t="s">
        <v>23</v>
      </c>
      <c r="H3709" s="624">
        <v>0.17399999999999999</v>
      </c>
      <c r="I3709" s="625">
        <v>17.79</v>
      </c>
      <c r="J3709" s="625">
        <v>3.09</v>
      </c>
      <c r="K3709"/>
    </row>
    <row r="3710" spans="1:11" ht="25.5">
      <c r="A3710" s="621" t="s">
        <v>12708</v>
      </c>
      <c r="B3710" s="622" t="s">
        <v>12727</v>
      </c>
      <c r="C3710" s="621" t="s">
        <v>8</v>
      </c>
      <c r="D3710" s="621" t="s">
        <v>26</v>
      </c>
      <c r="E3710" s="811" t="s">
        <v>12707</v>
      </c>
      <c r="F3710" s="812"/>
      <c r="G3710" s="623" t="s">
        <v>23</v>
      </c>
      <c r="H3710" s="624">
        <v>5.4800000000000001E-2</v>
      </c>
      <c r="I3710" s="625">
        <v>14.37</v>
      </c>
      <c r="J3710" s="625">
        <v>0.78</v>
      </c>
      <c r="K3710"/>
    </row>
    <row r="3711" spans="1:11">
      <c r="A3711" s="626" t="s">
        <v>12709</v>
      </c>
      <c r="B3711" s="627" t="s">
        <v>12980</v>
      </c>
      <c r="C3711" s="626" t="s">
        <v>8</v>
      </c>
      <c r="D3711" s="626" t="s">
        <v>9425</v>
      </c>
      <c r="E3711" s="804" t="s">
        <v>12720</v>
      </c>
      <c r="F3711" s="805"/>
      <c r="G3711" s="628" t="s">
        <v>35</v>
      </c>
      <c r="H3711" s="629">
        <v>4.8000000000000001E-2</v>
      </c>
      <c r="I3711" s="630">
        <v>4.0599999999999996</v>
      </c>
      <c r="J3711" s="630">
        <v>0.19</v>
      </c>
      <c r="K3711"/>
    </row>
    <row r="3712" spans="1:11">
      <c r="A3712" s="626" t="s">
        <v>12709</v>
      </c>
      <c r="B3712" s="627" t="s">
        <v>12985</v>
      </c>
      <c r="C3712" s="626" t="s">
        <v>8</v>
      </c>
      <c r="D3712" s="626" t="s">
        <v>12312</v>
      </c>
      <c r="E3712" s="804" t="s">
        <v>12720</v>
      </c>
      <c r="F3712" s="805"/>
      <c r="G3712" s="628" t="s">
        <v>35</v>
      </c>
      <c r="H3712" s="629">
        <v>1</v>
      </c>
      <c r="I3712" s="630">
        <v>21.46</v>
      </c>
      <c r="J3712" s="630">
        <v>21.46</v>
      </c>
      <c r="K3712"/>
    </row>
    <row r="3713" spans="1:11" ht="25.5">
      <c r="A3713" s="631"/>
      <c r="B3713" s="631"/>
      <c r="C3713" s="631"/>
      <c r="D3713" s="631"/>
      <c r="E3713" s="631" t="s">
        <v>12714</v>
      </c>
      <c r="F3713" s="632">
        <v>1.5353011136339063</v>
      </c>
      <c r="G3713" s="631" t="s">
        <v>12715</v>
      </c>
      <c r="H3713" s="632">
        <v>1.3</v>
      </c>
      <c r="I3713" s="631" t="s">
        <v>12716</v>
      </c>
      <c r="J3713" s="632">
        <v>2.84</v>
      </c>
      <c r="K3713"/>
    </row>
    <row r="3714" spans="1:11" ht="15" thickBot="1">
      <c r="A3714" s="631"/>
      <c r="B3714" s="631"/>
      <c r="C3714" s="631"/>
      <c r="D3714" s="631"/>
      <c r="E3714" s="631" t="s">
        <v>12717</v>
      </c>
      <c r="F3714" s="632">
        <v>7.2</v>
      </c>
      <c r="G3714" s="631"/>
      <c r="H3714" s="806" t="s">
        <v>12718</v>
      </c>
      <c r="I3714" s="806"/>
      <c r="J3714" s="632">
        <v>32.72</v>
      </c>
      <c r="K3714"/>
    </row>
    <row r="3715" spans="1:11" ht="15" thickTop="1">
      <c r="A3715" s="633"/>
      <c r="B3715" s="633"/>
      <c r="C3715" s="633"/>
      <c r="D3715" s="633"/>
      <c r="E3715" s="633"/>
      <c r="F3715" s="633"/>
      <c r="G3715" s="633"/>
      <c r="H3715" s="633"/>
      <c r="I3715" s="633"/>
      <c r="J3715" s="633"/>
      <c r="K3715"/>
    </row>
    <row r="3716" spans="1:11" ht="15">
      <c r="A3716" s="613"/>
      <c r="B3716" s="614" t="s">
        <v>12698</v>
      </c>
      <c r="C3716" s="613" t="s">
        <v>12699</v>
      </c>
      <c r="D3716" s="613" t="s">
        <v>12700</v>
      </c>
      <c r="E3716" s="807" t="s">
        <v>12701</v>
      </c>
      <c r="F3716" s="808"/>
      <c r="G3716" s="615" t="s">
        <v>12702</v>
      </c>
      <c r="H3716" s="614" t="s">
        <v>12703</v>
      </c>
      <c r="I3716" s="614" t="s">
        <v>12704</v>
      </c>
      <c r="J3716" s="614" t="s">
        <v>12705</v>
      </c>
      <c r="K3716"/>
    </row>
    <row r="3717" spans="1:11" ht="25.5">
      <c r="A3717" s="616" t="s">
        <v>12706</v>
      </c>
      <c r="B3717" s="617" t="s">
        <v>12984</v>
      </c>
      <c r="C3717" s="616" t="s">
        <v>8</v>
      </c>
      <c r="D3717" s="616" t="s">
        <v>6886</v>
      </c>
      <c r="E3717" s="809" t="s">
        <v>12819</v>
      </c>
      <c r="F3717" s="810"/>
      <c r="G3717" s="618" t="s">
        <v>35</v>
      </c>
      <c r="H3717" s="619">
        <v>1</v>
      </c>
      <c r="I3717" s="620">
        <v>55.07</v>
      </c>
      <c r="J3717" s="620">
        <v>55.07</v>
      </c>
      <c r="K3717"/>
    </row>
    <row r="3718" spans="1:11" ht="25.5">
      <c r="A3718" s="621" t="s">
        <v>12708</v>
      </c>
      <c r="B3718" s="622" t="s">
        <v>12981</v>
      </c>
      <c r="C3718" s="621" t="s">
        <v>8</v>
      </c>
      <c r="D3718" s="621" t="s">
        <v>50</v>
      </c>
      <c r="E3718" s="811" t="s">
        <v>12707</v>
      </c>
      <c r="F3718" s="812"/>
      <c r="G3718" s="623" t="s">
        <v>23</v>
      </c>
      <c r="H3718" s="624">
        <v>0.17399999999999999</v>
      </c>
      <c r="I3718" s="625">
        <v>17.79</v>
      </c>
      <c r="J3718" s="625">
        <v>3.09</v>
      </c>
      <c r="K3718"/>
    </row>
    <row r="3719" spans="1:11" ht="25.5">
      <c r="A3719" s="621" t="s">
        <v>12708</v>
      </c>
      <c r="B3719" s="622" t="s">
        <v>12727</v>
      </c>
      <c r="C3719" s="621" t="s">
        <v>8</v>
      </c>
      <c r="D3719" s="621" t="s">
        <v>26</v>
      </c>
      <c r="E3719" s="811" t="s">
        <v>12707</v>
      </c>
      <c r="F3719" s="812"/>
      <c r="G3719" s="623" t="s">
        <v>23</v>
      </c>
      <c r="H3719" s="624">
        <v>5.4800000000000001E-2</v>
      </c>
      <c r="I3719" s="625">
        <v>14.37</v>
      </c>
      <c r="J3719" s="625">
        <v>0.78</v>
      </c>
      <c r="K3719"/>
    </row>
    <row r="3720" spans="1:11">
      <c r="A3720" s="626" t="s">
        <v>12709</v>
      </c>
      <c r="B3720" s="627" t="s">
        <v>12980</v>
      </c>
      <c r="C3720" s="626" t="s">
        <v>8</v>
      </c>
      <c r="D3720" s="626" t="s">
        <v>9425</v>
      </c>
      <c r="E3720" s="804" t="s">
        <v>12720</v>
      </c>
      <c r="F3720" s="805"/>
      <c r="G3720" s="628" t="s">
        <v>35</v>
      </c>
      <c r="H3720" s="629">
        <v>4.8000000000000001E-2</v>
      </c>
      <c r="I3720" s="630">
        <v>4.0599999999999996</v>
      </c>
      <c r="J3720" s="630">
        <v>0.19</v>
      </c>
      <c r="K3720"/>
    </row>
    <row r="3721" spans="1:11">
      <c r="A3721" s="626" t="s">
        <v>12709</v>
      </c>
      <c r="B3721" s="627" t="s">
        <v>12983</v>
      </c>
      <c r="C3721" s="626" t="s">
        <v>8</v>
      </c>
      <c r="D3721" s="626" t="s">
        <v>12311</v>
      </c>
      <c r="E3721" s="804" t="s">
        <v>12720</v>
      </c>
      <c r="F3721" s="805"/>
      <c r="G3721" s="628" t="s">
        <v>35</v>
      </c>
      <c r="H3721" s="629">
        <v>1</v>
      </c>
      <c r="I3721" s="630">
        <v>51.01</v>
      </c>
      <c r="J3721" s="630">
        <v>51.01</v>
      </c>
      <c r="K3721"/>
    </row>
    <row r="3722" spans="1:11" ht="25.5">
      <c r="A3722" s="631"/>
      <c r="B3722" s="631"/>
      <c r="C3722" s="631"/>
      <c r="D3722" s="631"/>
      <c r="E3722" s="631" t="s">
        <v>12714</v>
      </c>
      <c r="F3722" s="632">
        <v>1.5353011136339063</v>
      </c>
      <c r="G3722" s="631" t="s">
        <v>12715</v>
      </c>
      <c r="H3722" s="632">
        <v>1.3</v>
      </c>
      <c r="I3722" s="631" t="s">
        <v>12716</v>
      </c>
      <c r="J3722" s="632">
        <v>2.84</v>
      </c>
      <c r="K3722"/>
    </row>
    <row r="3723" spans="1:11" ht="15" thickBot="1">
      <c r="A3723" s="631"/>
      <c r="B3723" s="631"/>
      <c r="C3723" s="631"/>
      <c r="D3723" s="631"/>
      <c r="E3723" s="631" t="s">
        <v>12717</v>
      </c>
      <c r="F3723" s="632">
        <v>15.55</v>
      </c>
      <c r="G3723" s="631"/>
      <c r="H3723" s="806" t="s">
        <v>12718</v>
      </c>
      <c r="I3723" s="806"/>
      <c r="J3723" s="632">
        <v>70.62</v>
      </c>
      <c r="K3723"/>
    </row>
    <row r="3724" spans="1:11" ht="15" thickTop="1">
      <c r="A3724" s="633"/>
      <c r="B3724" s="633"/>
      <c r="C3724" s="633"/>
      <c r="D3724" s="633"/>
      <c r="E3724" s="633"/>
      <c r="F3724" s="633"/>
      <c r="G3724" s="633"/>
      <c r="H3724" s="633"/>
      <c r="I3724" s="633"/>
      <c r="J3724" s="633"/>
      <c r="K3724"/>
    </row>
    <row r="3725" spans="1:11" ht="15">
      <c r="A3725" s="613"/>
      <c r="B3725" s="614" t="s">
        <v>12698</v>
      </c>
      <c r="C3725" s="613" t="s">
        <v>12699</v>
      </c>
      <c r="D3725" s="613" t="s">
        <v>12700</v>
      </c>
      <c r="E3725" s="807" t="s">
        <v>12701</v>
      </c>
      <c r="F3725" s="808"/>
      <c r="G3725" s="615" t="s">
        <v>12702</v>
      </c>
      <c r="H3725" s="614" t="s">
        <v>12703</v>
      </c>
      <c r="I3725" s="614" t="s">
        <v>12704</v>
      </c>
      <c r="J3725" s="614" t="s">
        <v>12705</v>
      </c>
      <c r="K3725"/>
    </row>
    <row r="3726" spans="1:11" ht="25.5">
      <c r="A3726" s="616" t="s">
        <v>12706</v>
      </c>
      <c r="B3726" s="617" t="s">
        <v>12982</v>
      </c>
      <c r="C3726" s="616" t="s">
        <v>8</v>
      </c>
      <c r="D3726" s="616" t="s">
        <v>6887</v>
      </c>
      <c r="E3726" s="809" t="s">
        <v>12819</v>
      </c>
      <c r="F3726" s="810"/>
      <c r="G3726" s="618" t="s">
        <v>35</v>
      </c>
      <c r="H3726" s="619">
        <v>1</v>
      </c>
      <c r="I3726" s="620">
        <v>5.75</v>
      </c>
      <c r="J3726" s="620">
        <v>5.75</v>
      </c>
      <c r="K3726"/>
    </row>
    <row r="3727" spans="1:11" ht="25.5">
      <c r="A3727" s="621" t="s">
        <v>12708</v>
      </c>
      <c r="B3727" s="622" t="s">
        <v>12981</v>
      </c>
      <c r="C3727" s="621" t="s">
        <v>8</v>
      </c>
      <c r="D3727" s="621" t="s">
        <v>50</v>
      </c>
      <c r="E3727" s="811" t="s">
        <v>12707</v>
      </c>
      <c r="F3727" s="812"/>
      <c r="G3727" s="623" t="s">
        <v>23</v>
      </c>
      <c r="H3727" s="624">
        <v>0.1232</v>
      </c>
      <c r="I3727" s="625">
        <v>17.79</v>
      </c>
      <c r="J3727" s="625">
        <v>2.19</v>
      </c>
      <c r="K3727"/>
    </row>
    <row r="3728" spans="1:11" ht="25.5">
      <c r="A3728" s="621" t="s">
        <v>12708</v>
      </c>
      <c r="B3728" s="622" t="s">
        <v>12727</v>
      </c>
      <c r="C3728" s="621" t="s">
        <v>8</v>
      </c>
      <c r="D3728" s="621" t="s">
        <v>26</v>
      </c>
      <c r="E3728" s="811" t="s">
        <v>12707</v>
      </c>
      <c r="F3728" s="812"/>
      <c r="G3728" s="623" t="s">
        <v>23</v>
      </c>
      <c r="H3728" s="624">
        <v>3.8800000000000001E-2</v>
      </c>
      <c r="I3728" s="625">
        <v>14.37</v>
      </c>
      <c r="J3728" s="625">
        <v>0.55000000000000004</v>
      </c>
      <c r="K3728"/>
    </row>
    <row r="3729" spans="1:11">
      <c r="A3729" s="626" t="s">
        <v>12709</v>
      </c>
      <c r="B3729" s="627" t="s">
        <v>12980</v>
      </c>
      <c r="C3729" s="626" t="s">
        <v>8</v>
      </c>
      <c r="D3729" s="626" t="s">
        <v>9425</v>
      </c>
      <c r="E3729" s="804" t="s">
        <v>12720</v>
      </c>
      <c r="F3729" s="805"/>
      <c r="G3729" s="628" t="s">
        <v>35</v>
      </c>
      <c r="H3729" s="629">
        <v>3.32E-2</v>
      </c>
      <c r="I3729" s="630">
        <v>4.0599999999999996</v>
      </c>
      <c r="J3729" s="630">
        <v>0.13</v>
      </c>
      <c r="K3729"/>
    </row>
    <row r="3730" spans="1:11" ht="25.5">
      <c r="A3730" s="626" t="s">
        <v>12709</v>
      </c>
      <c r="B3730" s="627" t="s">
        <v>12979</v>
      </c>
      <c r="C3730" s="626" t="s">
        <v>8</v>
      </c>
      <c r="D3730" s="626" t="s">
        <v>12315</v>
      </c>
      <c r="E3730" s="804" t="s">
        <v>12720</v>
      </c>
      <c r="F3730" s="805"/>
      <c r="G3730" s="628" t="s">
        <v>35</v>
      </c>
      <c r="H3730" s="629">
        <v>1</v>
      </c>
      <c r="I3730" s="630">
        <v>2.88</v>
      </c>
      <c r="J3730" s="630">
        <v>2.88</v>
      </c>
      <c r="K3730"/>
    </row>
    <row r="3731" spans="1:11" ht="25.5">
      <c r="A3731" s="631"/>
      <c r="B3731" s="631"/>
      <c r="C3731" s="631"/>
      <c r="D3731" s="631"/>
      <c r="E3731" s="631" t="s">
        <v>12714</v>
      </c>
      <c r="F3731" s="632">
        <v>1.0866039571845605</v>
      </c>
      <c r="G3731" s="631" t="s">
        <v>12715</v>
      </c>
      <c r="H3731" s="632">
        <v>0.92</v>
      </c>
      <c r="I3731" s="631" t="s">
        <v>12716</v>
      </c>
      <c r="J3731" s="632">
        <v>2.0099999999999998</v>
      </c>
      <c r="K3731"/>
    </row>
    <row r="3732" spans="1:11" ht="15" thickBot="1">
      <c r="A3732" s="631"/>
      <c r="B3732" s="631"/>
      <c r="C3732" s="631"/>
      <c r="D3732" s="631"/>
      <c r="E3732" s="631" t="s">
        <v>12717</v>
      </c>
      <c r="F3732" s="632">
        <v>1.62</v>
      </c>
      <c r="G3732" s="631"/>
      <c r="H3732" s="806" t="s">
        <v>12718</v>
      </c>
      <c r="I3732" s="806"/>
      <c r="J3732" s="632">
        <v>7.37</v>
      </c>
      <c r="K3732"/>
    </row>
    <row r="3733" spans="1:11" ht="15" thickTop="1">
      <c r="A3733" s="633"/>
      <c r="B3733" s="633"/>
      <c r="C3733" s="633"/>
      <c r="D3733" s="633"/>
      <c r="E3733" s="633"/>
      <c r="F3733" s="633"/>
      <c r="G3733" s="633"/>
      <c r="H3733" s="633"/>
      <c r="I3733" s="633"/>
      <c r="J3733" s="633"/>
      <c r="K3733"/>
    </row>
    <row r="3734" spans="1:11">
      <c r="A3734" s="634"/>
      <c r="B3734" s="634"/>
      <c r="C3734" s="634"/>
      <c r="D3734" s="634"/>
      <c r="E3734" s="634"/>
      <c r="F3734" s="634"/>
      <c r="G3734" s="634"/>
      <c r="H3734" s="634"/>
      <c r="I3734" s="634"/>
      <c r="J3734" s="634"/>
      <c r="K3734"/>
    </row>
    <row r="3735" spans="1:11">
      <c r="A3735" s="801"/>
      <c r="B3735" s="801"/>
      <c r="C3735" s="801"/>
      <c r="D3735" s="635"/>
      <c r="E3735" s="636"/>
      <c r="F3735" s="802" t="s">
        <v>12924</v>
      </c>
      <c r="G3735" s="802"/>
      <c r="H3735" s="803">
        <v>711684.05</v>
      </c>
      <c r="I3735" s="803"/>
      <c r="J3735" s="803"/>
      <c r="K3735"/>
    </row>
    <row r="3736" spans="1:11">
      <c r="A3736" s="801"/>
      <c r="B3736" s="801"/>
      <c r="C3736" s="801"/>
      <c r="D3736" s="635"/>
      <c r="E3736" s="636"/>
      <c r="F3736" s="802" t="s">
        <v>12925</v>
      </c>
      <c r="G3736" s="802"/>
      <c r="H3736" s="803">
        <v>200820.65</v>
      </c>
      <c r="I3736" s="803"/>
      <c r="J3736" s="803"/>
      <c r="K3736"/>
    </row>
    <row r="3737" spans="1:11">
      <c r="A3737" s="801"/>
      <c r="B3737" s="801"/>
      <c r="C3737" s="801"/>
      <c r="D3737" s="635"/>
      <c r="E3737" s="636"/>
      <c r="F3737" s="802" t="s">
        <v>12926</v>
      </c>
      <c r="G3737" s="802"/>
      <c r="H3737" s="803">
        <v>912504.7</v>
      </c>
      <c r="I3737" s="803"/>
      <c r="J3737" s="803"/>
      <c r="K3737"/>
    </row>
  </sheetData>
  <mergeCells count="2906">
    <mergeCell ref="C1:D1"/>
    <mergeCell ref="E1:F1"/>
    <mergeCell ref="G1:H1"/>
    <mergeCell ref="I1:J1"/>
    <mergeCell ref="C2:D2"/>
    <mergeCell ref="E2:F2"/>
    <mergeCell ref="G2:H2"/>
    <mergeCell ref="I2:J2"/>
    <mergeCell ref="E17:F17"/>
    <mergeCell ref="E18:F18"/>
    <mergeCell ref="E19:F19"/>
    <mergeCell ref="E20:F20"/>
    <mergeCell ref="E49:F49"/>
    <mergeCell ref="E50:F50"/>
    <mergeCell ref="E51:F51"/>
    <mergeCell ref="E52:F52"/>
    <mergeCell ref="E53:F53"/>
    <mergeCell ref="E9:F9"/>
    <mergeCell ref="E10:F10"/>
    <mergeCell ref="E11:F11"/>
    <mergeCell ref="A3:J3"/>
    <mergeCell ref="A4:J4"/>
    <mergeCell ref="E5:F5"/>
    <mergeCell ref="E6:F6"/>
    <mergeCell ref="E7:F7"/>
    <mergeCell ref="E8:F8"/>
    <mergeCell ref="E67:F67"/>
    <mergeCell ref="E68:F68"/>
    <mergeCell ref="E93:F93"/>
    <mergeCell ref="E94:F94"/>
    <mergeCell ref="E95:F95"/>
    <mergeCell ref="H97:I97"/>
    <mergeCell ref="E99:F99"/>
    <mergeCell ref="E12:F12"/>
    <mergeCell ref="E21:F21"/>
    <mergeCell ref="E22:F22"/>
    <mergeCell ref="E23:F23"/>
    <mergeCell ref="E32:F32"/>
    <mergeCell ref="E41:F41"/>
    <mergeCell ref="E42:F42"/>
    <mergeCell ref="E43:F43"/>
    <mergeCell ref="E44:F44"/>
    <mergeCell ref="E45:F45"/>
    <mergeCell ref="H47:I47"/>
    <mergeCell ref="E33:F33"/>
    <mergeCell ref="E34:F34"/>
    <mergeCell ref="E35:F35"/>
    <mergeCell ref="E36:F36"/>
    <mergeCell ref="H38:I38"/>
    <mergeCell ref="E40:F40"/>
    <mergeCell ref="H25:I25"/>
    <mergeCell ref="E27:F27"/>
    <mergeCell ref="E28:F28"/>
    <mergeCell ref="E29:F29"/>
    <mergeCell ref="E30:F30"/>
    <mergeCell ref="E31:F31"/>
    <mergeCell ref="H14:I14"/>
    <mergeCell ref="E16:F16"/>
    <mergeCell ref="E139:F139"/>
    <mergeCell ref="E140:F140"/>
    <mergeCell ref="E141:F141"/>
    <mergeCell ref="E142:F142"/>
    <mergeCell ref="H144:I144"/>
    <mergeCell ref="H55:I55"/>
    <mergeCell ref="E57:F57"/>
    <mergeCell ref="E58:F58"/>
    <mergeCell ref="E59:F59"/>
    <mergeCell ref="E60:F60"/>
    <mergeCell ref="E85:F85"/>
    <mergeCell ref="E86:F86"/>
    <mergeCell ref="E87:F87"/>
    <mergeCell ref="E88:F88"/>
    <mergeCell ref="H90:I90"/>
    <mergeCell ref="E92:F92"/>
    <mergeCell ref="H76:I76"/>
    <mergeCell ref="E78:F78"/>
    <mergeCell ref="E79:F79"/>
    <mergeCell ref="E80:F80"/>
    <mergeCell ref="E81:F81"/>
    <mergeCell ref="H83:I83"/>
    <mergeCell ref="E69:F69"/>
    <mergeCell ref="E70:F70"/>
    <mergeCell ref="E71:F71"/>
    <mergeCell ref="E72:F72"/>
    <mergeCell ref="E73:F73"/>
    <mergeCell ref="E74:F74"/>
    <mergeCell ref="H62:I62"/>
    <mergeCell ref="E64:F64"/>
    <mergeCell ref="E65:F65"/>
    <mergeCell ref="E66:F66"/>
    <mergeCell ref="E185:F185"/>
    <mergeCell ref="E186:F186"/>
    <mergeCell ref="E187:F187"/>
    <mergeCell ref="E100:F100"/>
    <mergeCell ref="E101:F101"/>
    <mergeCell ref="E102:F102"/>
    <mergeCell ref="E103:F103"/>
    <mergeCell ref="E104:F104"/>
    <mergeCell ref="E131:F131"/>
    <mergeCell ref="E132:F132"/>
    <mergeCell ref="E133:F133"/>
    <mergeCell ref="E134:F134"/>
    <mergeCell ref="H136:I136"/>
    <mergeCell ref="E138:F138"/>
    <mergeCell ref="H122:I122"/>
    <mergeCell ref="E124:F124"/>
    <mergeCell ref="E125:F125"/>
    <mergeCell ref="E126:F126"/>
    <mergeCell ref="E127:F127"/>
    <mergeCell ref="H129:I129"/>
    <mergeCell ref="E115:F115"/>
    <mergeCell ref="E116:F116"/>
    <mergeCell ref="E117:F117"/>
    <mergeCell ref="E118:F118"/>
    <mergeCell ref="E119:F119"/>
    <mergeCell ref="E120:F120"/>
    <mergeCell ref="H106:I106"/>
    <mergeCell ref="E108:F108"/>
    <mergeCell ref="E109:F109"/>
    <mergeCell ref="E110:F110"/>
    <mergeCell ref="E111:F111"/>
    <mergeCell ref="H113:I113"/>
    <mergeCell ref="E146:F146"/>
    <mergeCell ref="E147:F147"/>
    <mergeCell ref="E148:F148"/>
    <mergeCell ref="E149:F149"/>
    <mergeCell ref="H151:I151"/>
    <mergeCell ref="E177:F177"/>
    <mergeCell ref="E178:F178"/>
    <mergeCell ref="E179:F179"/>
    <mergeCell ref="H181:I181"/>
    <mergeCell ref="E183:F183"/>
    <mergeCell ref="E184:F184"/>
    <mergeCell ref="E169:F169"/>
    <mergeCell ref="E170:F170"/>
    <mergeCell ref="E171:F171"/>
    <mergeCell ref="E172:F172"/>
    <mergeCell ref="H174:I174"/>
    <mergeCell ref="E176:F176"/>
    <mergeCell ref="E161:F161"/>
    <mergeCell ref="E162:F162"/>
    <mergeCell ref="E163:F163"/>
    <mergeCell ref="H165:I165"/>
    <mergeCell ref="E167:F167"/>
    <mergeCell ref="E168:F168"/>
    <mergeCell ref="E153:F153"/>
    <mergeCell ref="E154:F154"/>
    <mergeCell ref="E155:F155"/>
    <mergeCell ref="E156:F156"/>
    <mergeCell ref="H158:I158"/>
    <mergeCell ref="E160:F160"/>
    <mergeCell ref="E307:F307"/>
    <mergeCell ref="E308:F308"/>
    <mergeCell ref="E357:F357"/>
    <mergeCell ref="E358:F358"/>
    <mergeCell ref="E254:F254"/>
    <mergeCell ref="E241:F241"/>
    <mergeCell ref="E242:F242"/>
    <mergeCell ref="E243:F243"/>
    <mergeCell ref="E244:F244"/>
    <mergeCell ref="E271:F271"/>
    <mergeCell ref="E272:F272"/>
    <mergeCell ref="E273:F273"/>
    <mergeCell ref="E274:F274"/>
    <mergeCell ref="E194:F194"/>
    <mergeCell ref="E211:F211"/>
    <mergeCell ref="E212:F212"/>
    <mergeCell ref="E221:F221"/>
    <mergeCell ref="E222:F222"/>
    <mergeCell ref="E223:F223"/>
    <mergeCell ref="E224:F224"/>
    <mergeCell ref="E213:F213"/>
    <mergeCell ref="E218:F218"/>
    <mergeCell ref="E219:F219"/>
    <mergeCell ref="E220:F220"/>
    <mergeCell ref="E209:F209"/>
    <mergeCell ref="E210:F210"/>
    <mergeCell ref="E198:F198"/>
    <mergeCell ref="E202:F202"/>
    <mergeCell ref="E229:F229"/>
    <mergeCell ref="E230:F230"/>
    <mergeCell ref="E231:F231"/>
    <mergeCell ref="E232:F232"/>
    <mergeCell ref="E371:F371"/>
    <mergeCell ref="E372:F372"/>
    <mergeCell ref="E373:F373"/>
    <mergeCell ref="E374:F374"/>
    <mergeCell ref="E397:F397"/>
    <mergeCell ref="E398:F398"/>
    <mergeCell ref="E404:F404"/>
    <mergeCell ref="E405:F405"/>
    <mergeCell ref="E329:F329"/>
    <mergeCell ref="E330:F330"/>
    <mergeCell ref="E355:F355"/>
    <mergeCell ref="E359:F359"/>
    <mergeCell ref="E360:F360"/>
    <mergeCell ref="E361:F361"/>
    <mergeCell ref="E279:F279"/>
    <mergeCell ref="E280:F280"/>
    <mergeCell ref="E281:F281"/>
    <mergeCell ref="E282:F282"/>
    <mergeCell ref="E305:F305"/>
    <mergeCell ref="E306:F306"/>
    <mergeCell ref="E312:F312"/>
    <mergeCell ref="E297:F297"/>
    <mergeCell ref="E304:F304"/>
    <mergeCell ref="E289:F289"/>
    <mergeCell ref="E293:F293"/>
    <mergeCell ref="E294:F294"/>
    <mergeCell ref="E295:F295"/>
    <mergeCell ref="E296:F296"/>
    <mergeCell ref="E283:F283"/>
    <mergeCell ref="E284:F284"/>
    <mergeCell ref="E285:F285"/>
    <mergeCell ref="E313:F313"/>
    <mergeCell ref="E419:F419"/>
    <mergeCell ref="E420:F420"/>
    <mergeCell ref="E421:F421"/>
    <mergeCell ref="E422:F422"/>
    <mergeCell ref="E409:F409"/>
    <mergeCell ref="E410:F410"/>
    <mergeCell ref="E411:F411"/>
    <mergeCell ref="E416:F416"/>
    <mergeCell ref="E439:F439"/>
    <mergeCell ref="E440:F440"/>
    <mergeCell ref="E441:F441"/>
    <mergeCell ref="E442:F442"/>
    <mergeCell ref="E443:F443"/>
    <mergeCell ref="E362:F362"/>
    <mergeCell ref="E363:F363"/>
    <mergeCell ref="E364:F364"/>
    <mergeCell ref="E365:F365"/>
    <mergeCell ref="E391:F391"/>
    <mergeCell ref="E392:F392"/>
    <mergeCell ref="E393:F393"/>
    <mergeCell ref="E394:F394"/>
    <mergeCell ref="E395:F395"/>
    <mergeCell ref="E396:F396"/>
    <mergeCell ref="E383:F383"/>
    <mergeCell ref="E384:F384"/>
    <mergeCell ref="E385:F385"/>
    <mergeCell ref="E386:F386"/>
    <mergeCell ref="E375:F375"/>
    <mergeCell ref="E380:F380"/>
    <mergeCell ref="E381:F381"/>
    <mergeCell ref="E382:F382"/>
    <mergeCell ref="E370:F370"/>
    <mergeCell ref="E460:F460"/>
    <mergeCell ref="E461:F461"/>
    <mergeCell ref="E462:F462"/>
    <mergeCell ref="E463:F463"/>
    <mergeCell ref="E464:F464"/>
    <mergeCell ref="H447:I447"/>
    <mergeCell ref="E449:F449"/>
    <mergeCell ref="E450:F450"/>
    <mergeCell ref="E451:F451"/>
    <mergeCell ref="E452:F452"/>
    <mergeCell ref="E453:F453"/>
    <mergeCell ref="E482:F482"/>
    <mergeCell ref="E483:F483"/>
    <mergeCell ref="E484:F484"/>
    <mergeCell ref="E485:F485"/>
    <mergeCell ref="E406:F406"/>
    <mergeCell ref="E407:F407"/>
    <mergeCell ref="E408:F408"/>
    <mergeCell ref="E431:F431"/>
    <mergeCell ref="E432:F432"/>
    <mergeCell ref="E433:F433"/>
    <mergeCell ref="E434:F434"/>
    <mergeCell ref="H436:I436"/>
    <mergeCell ref="E438:F438"/>
    <mergeCell ref="E423:F423"/>
    <mergeCell ref="H425:I425"/>
    <mergeCell ref="E427:F427"/>
    <mergeCell ref="E428:F428"/>
    <mergeCell ref="E429:F429"/>
    <mergeCell ref="E430:F430"/>
    <mergeCell ref="E417:F417"/>
    <mergeCell ref="E418:F418"/>
    <mergeCell ref="E588:F588"/>
    <mergeCell ref="E589:F589"/>
    <mergeCell ref="E545:F545"/>
    <mergeCell ref="E546:F546"/>
    <mergeCell ref="E550:F550"/>
    <mergeCell ref="E535:F535"/>
    <mergeCell ref="E536:F536"/>
    <mergeCell ref="E540:F540"/>
    <mergeCell ref="E541:F541"/>
    <mergeCell ref="E568:F568"/>
    <mergeCell ref="E569:F569"/>
    <mergeCell ref="E486:F486"/>
    <mergeCell ref="E487:F487"/>
    <mergeCell ref="E488:F488"/>
    <mergeCell ref="H490:I490"/>
    <mergeCell ref="E492:F492"/>
    <mergeCell ref="E515:F515"/>
    <mergeCell ref="E516:F516"/>
    <mergeCell ref="E517:F517"/>
    <mergeCell ref="E507:F507"/>
    <mergeCell ref="E508:F508"/>
    <mergeCell ref="E509:F509"/>
    <mergeCell ref="E499:F499"/>
    <mergeCell ref="E504:F504"/>
    <mergeCell ref="E505:F505"/>
    <mergeCell ref="E506:F506"/>
    <mergeCell ref="E493:F493"/>
    <mergeCell ref="E494:F494"/>
    <mergeCell ref="E495:F495"/>
    <mergeCell ref="E496:F496"/>
    <mergeCell ref="E497:F497"/>
    <mergeCell ref="E498:F498"/>
    <mergeCell ref="H650:I650"/>
    <mergeCell ref="E658:F658"/>
    <mergeCell ref="H660:I660"/>
    <mergeCell ref="E670:F670"/>
    <mergeCell ref="E671:F671"/>
    <mergeCell ref="E672:F672"/>
    <mergeCell ref="H674:I674"/>
    <mergeCell ref="E678:F678"/>
    <mergeCell ref="E679:F679"/>
    <mergeCell ref="E680:F680"/>
    <mergeCell ref="E615:F615"/>
    <mergeCell ref="E616:F616"/>
    <mergeCell ref="E617:F617"/>
    <mergeCell ref="E647:F647"/>
    <mergeCell ref="E648:F648"/>
    <mergeCell ref="E637:F637"/>
    <mergeCell ref="E638:F638"/>
    <mergeCell ref="E639:F639"/>
    <mergeCell ref="E640:F640"/>
    <mergeCell ref="E669:F669"/>
    <mergeCell ref="E664:F664"/>
    <mergeCell ref="E665:F665"/>
    <mergeCell ref="E666:F666"/>
    <mergeCell ref="E667:F667"/>
    <mergeCell ref="E668:F668"/>
    <mergeCell ref="E629:F629"/>
    <mergeCell ref="E630:F630"/>
    <mergeCell ref="E631:F631"/>
    <mergeCell ref="E632:F632"/>
    <mergeCell ref="E656:F656"/>
    <mergeCell ref="E657:F657"/>
    <mergeCell ref="E662:F662"/>
    <mergeCell ref="E677:F677"/>
    <mergeCell ref="E681:F681"/>
    <mergeCell ref="E682:F682"/>
    <mergeCell ref="E683:F683"/>
    <mergeCell ref="E676:F676"/>
    <mergeCell ref="E663:F663"/>
    <mergeCell ref="E714:F714"/>
    <mergeCell ref="E718:F718"/>
    <mergeCell ref="E699:F699"/>
    <mergeCell ref="E621:F621"/>
    <mergeCell ref="E622:F622"/>
    <mergeCell ref="E623:F623"/>
    <mergeCell ref="E624:F624"/>
    <mergeCell ref="E652:F652"/>
    <mergeCell ref="E653:F653"/>
    <mergeCell ref="E654:F654"/>
    <mergeCell ref="E655:F655"/>
    <mergeCell ref="E645:F645"/>
    <mergeCell ref="E646:F646"/>
    <mergeCell ref="E684:F684"/>
    <mergeCell ref="H821:I821"/>
    <mergeCell ref="H832:I832"/>
    <mergeCell ref="E840:F840"/>
    <mergeCell ref="E764:F764"/>
    <mergeCell ref="E749:F749"/>
    <mergeCell ref="E753:F753"/>
    <mergeCell ref="E779:F779"/>
    <mergeCell ref="E780:F780"/>
    <mergeCell ref="E781:F781"/>
    <mergeCell ref="E782:F782"/>
    <mergeCell ref="E700:F700"/>
    <mergeCell ref="E704:F704"/>
    <mergeCell ref="E731:F731"/>
    <mergeCell ref="E735:F735"/>
    <mergeCell ref="E722:F722"/>
    <mergeCell ref="E723:F723"/>
    <mergeCell ref="E727:F727"/>
    <mergeCell ref="E705:F705"/>
    <mergeCell ref="E706:F706"/>
    <mergeCell ref="E710:F710"/>
    <mergeCell ref="E739:F739"/>
    <mergeCell ref="E740:F740"/>
    <mergeCell ref="E726:F726"/>
    <mergeCell ref="E813:F813"/>
    <mergeCell ref="E814:F814"/>
    <mergeCell ref="E815:F815"/>
    <mergeCell ref="E819:F819"/>
    <mergeCell ref="H729:I729"/>
    <mergeCell ref="E732:F732"/>
    <mergeCell ref="E733:F733"/>
    <mergeCell ref="E734:F734"/>
    <mergeCell ref="H737:I737"/>
    <mergeCell ref="E827:F827"/>
    <mergeCell ref="E828:F828"/>
    <mergeCell ref="E829:F829"/>
    <mergeCell ref="E838:F838"/>
    <mergeCell ref="E839:F839"/>
    <mergeCell ref="E922:F922"/>
    <mergeCell ref="E926:F926"/>
    <mergeCell ref="E912:F912"/>
    <mergeCell ref="E913:F913"/>
    <mergeCell ref="E845:F845"/>
    <mergeCell ref="E846:F846"/>
    <mergeCell ref="E808:F808"/>
    <mergeCell ref="E812:F812"/>
    <mergeCell ref="E835:F835"/>
    <mergeCell ref="E836:F836"/>
    <mergeCell ref="E837:F837"/>
    <mergeCell ref="E841:F841"/>
    <mergeCell ref="E823:F823"/>
    <mergeCell ref="E824:F824"/>
    <mergeCell ref="E825:F825"/>
    <mergeCell ref="E816:F816"/>
    <mergeCell ref="E817:F817"/>
    <mergeCell ref="E818:F818"/>
    <mergeCell ref="E826:F826"/>
    <mergeCell ref="E830:F830"/>
    <mergeCell ref="E834:F834"/>
    <mergeCell ref="E1092:F1092"/>
    <mergeCell ref="E986:F986"/>
    <mergeCell ref="E987:F987"/>
    <mergeCell ref="E1009:F1009"/>
    <mergeCell ref="E1010:F1010"/>
    <mergeCell ref="E1051:F1051"/>
    <mergeCell ref="E1052:F1052"/>
    <mergeCell ref="E1053:F1053"/>
    <mergeCell ref="E860:F860"/>
    <mergeCell ref="E864:F864"/>
    <mergeCell ref="E852:F852"/>
    <mergeCell ref="E856:F856"/>
    <mergeCell ref="E847:F847"/>
    <mergeCell ref="E848:F848"/>
    <mergeCell ref="E858:F858"/>
    <mergeCell ref="E859:F859"/>
    <mergeCell ref="E906:F906"/>
    <mergeCell ref="E970:F970"/>
    <mergeCell ref="E971:F971"/>
    <mergeCell ref="E972:F972"/>
    <mergeCell ref="E973:F973"/>
    <mergeCell ref="H979:I979"/>
    <mergeCell ref="E985:F985"/>
    <mergeCell ref="E935:F935"/>
    <mergeCell ref="E917:F917"/>
    <mergeCell ref="E872:F872"/>
    <mergeCell ref="E873:F873"/>
    <mergeCell ref="E877:F877"/>
    <mergeCell ref="E868:F868"/>
    <mergeCell ref="E910:F910"/>
    <mergeCell ref="E911:F911"/>
    <mergeCell ref="E899:F899"/>
    <mergeCell ref="E900:F900"/>
    <mergeCell ref="E901:F901"/>
    <mergeCell ref="E902:F902"/>
    <mergeCell ref="E886:F886"/>
    <mergeCell ref="E890:F890"/>
    <mergeCell ref="E904:F904"/>
    <mergeCell ref="E905:F905"/>
    <mergeCell ref="E939:F939"/>
    <mergeCell ref="E962:F962"/>
    <mergeCell ref="E966:F966"/>
    <mergeCell ref="E959:F959"/>
    <mergeCell ref="E960:F960"/>
    <mergeCell ref="E961:F961"/>
    <mergeCell ref="E948:F948"/>
    <mergeCell ref="E949:F949"/>
    <mergeCell ref="E950:F950"/>
    <mergeCell ref="E951:F951"/>
    <mergeCell ref="E955:F955"/>
    <mergeCell ref="H937:I937"/>
    <mergeCell ref="E941:F941"/>
    <mergeCell ref="E942:F942"/>
    <mergeCell ref="E943:F943"/>
    <mergeCell ref="H946:I946"/>
    <mergeCell ref="E952:F952"/>
    <mergeCell ref="E953:F953"/>
    <mergeCell ref="E954:F954"/>
    <mergeCell ref="H957:I957"/>
    <mergeCell ref="E940:F940"/>
    <mergeCell ref="E944:F944"/>
    <mergeCell ref="E1048:F1048"/>
    <mergeCell ref="E1049:F1049"/>
    <mergeCell ref="E1050:F1050"/>
    <mergeCell ref="E1054:F1054"/>
    <mergeCell ref="E1043:F1043"/>
    <mergeCell ref="E1047:F1047"/>
    <mergeCell ref="E1037:F1037"/>
    <mergeCell ref="E1038:F1038"/>
    <mergeCell ref="E1039:F1039"/>
    <mergeCell ref="E1026:F1026"/>
    <mergeCell ref="E1027:F1027"/>
    <mergeCell ref="E1028:F1028"/>
    <mergeCell ref="E1029:F1029"/>
    <mergeCell ref="E1033:F1033"/>
    <mergeCell ref="E1058:F1058"/>
    <mergeCell ref="E1059:F1059"/>
    <mergeCell ref="E1060:F1060"/>
    <mergeCell ref="E1302:F1302"/>
    <mergeCell ref="E1303:F1303"/>
    <mergeCell ref="E1304:F1304"/>
    <mergeCell ref="E1301:F1301"/>
    <mergeCell ref="E1305:F1305"/>
    <mergeCell ref="H1096:I1096"/>
    <mergeCell ref="E1098:F1098"/>
    <mergeCell ref="E1099:F1099"/>
    <mergeCell ref="E1100:F1100"/>
    <mergeCell ref="E1167:F1167"/>
    <mergeCell ref="E1152:F1152"/>
    <mergeCell ref="E1153:F1153"/>
    <mergeCell ref="E1157:F1157"/>
    <mergeCell ref="E1158:F1158"/>
    <mergeCell ref="E1159:F1159"/>
    <mergeCell ref="E1186:F1186"/>
    <mergeCell ref="E1105:F1105"/>
    <mergeCell ref="E1109:F1109"/>
    <mergeCell ref="E1132:F1132"/>
    <mergeCell ref="E1136:F1136"/>
    <mergeCell ref="E1129:F1129"/>
    <mergeCell ref="E1130:F1130"/>
    <mergeCell ref="E1131:F1131"/>
    <mergeCell ref="E1120:F1120"/>
    <mergeCell ref="E1121:F1121"/>
    <mergeCell ref="E1125:F1125"/>
    <mergeCell ref="E1110:F1110"/>
    <mergeCell ref="E1111:F1111"/>
    <mergeCell ref="E1112:F1112"/>
    <mergeCell ref="E1116:F1116"/>
    <mergeCell ref="E1140:F1140"/>
    <mergeCell ref="E1141:F1141"/>
    <mergeCell ref="E1236:F1236"/>
    <mergeCell ref="E1245:F1245"/>
    <mergeCell ref="E1262:F1262"/>
    <mergeCell ref="E1263:F1263"/>
    <mergeCell ref="E1264:F1264"/>
    <mergeCell ref="E1265:F1265"/>
    <mergeCell ref="E1266:F1266"/>
    <mergeCell ref="E1254:F1254"/>
    <mergeCell ref="E1255:F1255"/>
    <mergeCell ref="E1256:F1256"/>
    <mergeCell ref="E1261:F1261"/>
    <mergeCell ref="E1246:F1246"/>
    <mergeCell ref="E1253:F1253"/>
    <mergeCell ref="E1240:F1240"/>
    <mergeCell ref="E1241:F1241"/>
    <mergeCell ref="E1271:F1271"/>
    <mergeCell ref="E1272:F1272"/>
    <mergeCell ref="E1392:F1392"/>
    <mergeCell ref="E1396:F1396"/>
    <mergeCell ref="E1387:F1387"/>
    <mergeCell ref="E1391:F1391"/>
    <mergeCell ref="E1378:F1378"/>
    <mergeCell ref="E1382:F1382"/>
    <mergeCell ref="E1383:F1383"/>
    <mergeCell ref="E1369:F1369"/>
    <mergeCell ref="E1373:F1373"/>
    <mergeCell ref="E1374:F1374"/>
    <mergeCell ref="H1394:I1394"/>
    <mergeCell ref="E1397:F1397"/>
    <mergeCell ref="E1398:F1398"/>
    <mergeCell ref="E1400:F1400"/>
    <mergeCell ref="E1401:F1401"/>
    <mergeCell ref="E1320:F1320"/>
    <mergeCell ref="E1321:F1321"/>
    <mergeCell ref="E1322:F1322"/>
    <mergeCell ref="E1323:F1323"/>
    <mergeCell ref="E1348:F1348"/>
    <mergeCell ref="E1349:F1349"/>
    <mergeCell ref="E1350:F1350"/>
    <mergeCell ref="E1351:F1351"/>
    <mergeCell ref="E1355:F1355"/>
    <mergeCell ref="E1340:F1340"/>
    <mergeCell ref="E1341:F1341"/>
    <mergeCell ref="E1342:F1342"/>
    <mergeCell ref="H1344:I1344"/>
    <mergeCell ref="E1346:F1346"/>
    <mergeCell ref="E1347:F1347"/>
    <mergeCell ref="E1332:F1332"/>
    <mergeCell ref="E1333:F1333"/>
    <mergeCell ref="E1501:F1501"/>
    <mergeCell ref="E1502:F1502"/>
    <mergeCell ref="E1500:F1500"/>
    <mergeCell ref="H1504:I1504"/>
    <mergeCell ref="E1486:F1486"/>
    <mergeCell ref="E1492:F1492"/>
    <mergeCell ref="E1493:F1493"/>
    <mergeCell ref="E1497:F1497"/>
    <mergeCell ref="E1407:F1407"/>
    <mergeCell ref="E1408:F1408"/>
    <mergeCell ref="E1409:F1409"/>
    <mergeCell ref="E1410:F1410"/>
    <mergeCell ref="H1412:I1412"/>
    <mergeCell ref="E1442:F1442"/>
    <mergeCell ref="E1443:F1443"/>
    <mergeCell ref="E1444:F1444"/>
    <mergeCell ref="E1470:F1470"/>
    <mergeCell ref="E1476:F1476"/>
    <mergeCell ref="E1477:F1477"/>
    <mergeCell ref="E1478:F1478"/>
    <mergeCell ref="E1479:F1479"/>
    <mergeCell ref="H1481:I1481"/>
    <mergeCell ref="E1435:F1435"/>
    <mergeCell ref="E1436:F1436"/>
    <mergeCell ref="E1437:F1437"/>
    <mergeCell ref="E1465:F1465"/>
    <mergeCell ref="E1469:F1469"/>
    <mergeCell ref="E1423:F1423"/>
    <mergeCell ref="E1424:F1424"/>
    <mergeCell ref="E1428:F1428"/>
    <mergeCell ref="E1414:F1414"/>
    <mergeCell ref="E1415:F1415"/>
    <mergeCell ref="E1506:F1506"/>
    <mergeCell ref="E1515:F1515"/>
    <mergeCell ref="E1528:F1528"/>
    <mergeCell ref="E1529:F1529"/>
    <mergeCell ref="E1561:F1561"/>
    <mergeCell ref="E1562:F1562"/>
    <mergeCell ref="E1519:F1519"/>
    <mergeCell ref="E1545:F1545"/>
    <mergeCell ref="E1507:F1507"/>
    <mergeCell ref="E1508:F1508"/>
    <mergeCell ref="E1509:F1509"/>
    <mergeCell ref="H1513:I1513"/>
    <mergeCell ref="E1516:F1516"/>
    <mergeCell ref="E1517:F1517"/>
    <mergeCell ref="E1518:F1518"/>
    <mergeCell ref="H1522:I1522"/>
    <mergeCell ref="E1525:F1525"/>
    <mergeCell ref="E1526:F1526"/>
    <mergeCell ref="E1527:F1527"/>
    <mergeCell ref="H1531:I1531"/>
    <mergeCell ref="E1510:F1510"/>
    <mergeCell ref="E1511:F1511"/>
    <mergeCell ref="E1520:F1520"/>
    <mergeCell ref="E1524:F1524"/>
    <mergeCell ref="E1553:F1553"/>
    <mergeCell ref="E1554:F1554"/>
    <mergeCell ref="E1555:F1555"/>
    <mergeCell ref="E1556:F1556"/>
    <mergeCell ref="E1533:F1533"/>
    <mergeCell ref="E1534:F1534"/>
    <mergeCell ref="E1535:F1535"/>
    <mergeCell ref="E1586:F1586"/>
    <mergeCell ref="E1546:F1546"/>
    <mergeCell ref="E1547:F1547"/>
    <mergeCell ref="H1575:I1575"/>
    <mergeCell ref="E1577:F1577"/>
    <mergeCell ref="E1578:F1578"/>
    <mergeCell ref="E1579:F1579"/>
    <mergeCell ref="E1580:F1580"/>
    <mergeCell ref="E1581:F1581"/>
    <mergeCell ref="H1567:I1567"/>
    <mergeCell ref="E1569:F1569"/>
    <mergeCell ref="E1570:F1570"/>
    <mergeCell ref="E1536:F1536"/>
    <mergeCell ref="E1537:F1537"/>
    <mergeCell ref="E1538:F1538"/>
    <mergeCell ref="E1564:F1564"/>
    <mergeCell ref="E1565:F1565"/>
    <mergeCell ref="H1540:I1540"/>
    <mergeCell ref="E1542:F1542"/>
    <mergeCell ref="E1543:F1543"/>
    <mergeCell ref="E1544:F1544"/>
    <mergeCell ref="H1549:I1549"/>
    <mergeCell ref="E1551:F1551"/>
    <mergeCell ref="E1552:F1552"/>
    <mergeCell ref="H1558:I1558"/>
    <mergeCell ref="E1560:F1560"/>
    <mergeCell ref="E1582:F1582"/>
    <mergeCell ref="H1584:I1584"/>
    <mergeCell ref="E1563:F1563"/>
    <mergeCell ref="E1735:F1735"/>
    <mergeCell ref="E1750:F1750"/>
    <mergeCell ref="E1751:F1751"/>
    <mergeCell ref="E1736:F1736"/>
    <mergeCell ref="E1587:F1587"/>
    <mergeCell ref="E1588:F1588"/>
    <mergeCell ref="E1589:F1589"/>
    <mergeCell ref="E1590:F1590"/>
    <mergeCell ref="H1592:I1592"/>
    <mergeCell ref="E1594:F1594"/>
    <mergeCell ref="E1614:F1614"/>
    <mergeCell ref="E1637:F1637"/>
    <mergeCell ref="E1638:F1638"/>
    <mergeCell ref="E1639:F1639"/>
    <mergeCell ref="E1644:F1644"/>
    <mergeCell ref="E1631:F1631"/>
    <mergeCell ref="E1635:F1635"/>
    <mergeCell ref="E1636:F1636"/>
    <mergeCell ref="E1629:F1629"/>
    <mergeCell ref="E1630:F1630"/>
    <mergeCell ref="E1620:F1620"/>
    <mergeCell ref="E1621:F1621"/>
    <mergeCell ref="E1622:F1622"/>
    <mergeCell ref="H1600:I1600"/>
    <mergeCell ref="E1602:F1602"/>
    <mergeCell ref="H1608:I1608"/>
    <mergeCell ref="E1610:F1610"/>
    <mergeCell ref="H1616:I1616"/>
    <mergeCell ref="E1618:F1618"/>
    <mergeCell ref="E1619:F1619"/>
    <mergeCell ref="H1624:I1624"/>
    <mergeCell ref="E1626:F1626"/>
    <mergeCell ref="E1694:F1694"/>
    <mergeCell ref="E1695:F1695"/>
    <mergeCell ref="E1696:F1696"/>
    <mergeCell ref="E1697:F1697"/>
    <mergeCell ref="E1725:F1725"/>
    <mergeCell ref="E1726:F1726"/>
    <mergeCell ref="E1727:F1727"/>
    <mergeCell ref="E1728:F1728"/>
    <mergeCell ref="E1717:F1717"/>
    <mergeCell ref="E1718:F1718"/>
    <mergeCell ref="E1709:F1709"/>
    <mergeCell ref="E1710:F1710"/>
    <mergeCell ref="E1711:F1711"/>
    <mergeCell ref="E1712:F1712"/>
    <mergeCell ref="E1713:F1713"/>
    <mergeCell ref="E1703:F1703"/>
    <mergeCell ref="E1734:F1734"/>
    <mergeCell ref="E1806:F1806"/>
    <mergeCell ref="E1810:F1810"/>
    <mergeCell ref="E1819:F1819"/>
    <mergeCell ref="E1820:F1820"/>
    <mergeCell ref="E1811:F1811"/>
    <mergeCell ref="E1812:F1812"/>
    <mergeCell ref="H1815:I1815"/>
    <mergeCell ref="E1817:F1817"/>
    <mergeCell ref="E1818:F1818"/>
    <mergeCell ref="E1754:F1754"/>
    <mergeCell ref="E1742:F1742"/>
    <mergeCell ref="E1743:F1743"/>
    <mergeCell ref="E1744:F1744"/>
    <mergeCell ref="E1745:F1745"/>
    <mergeCell ref="E1746:F1746"/>
    <mergeCell ref="E1769:F1769"/>
    <mergeCell ref="E1770:F1770"/>
    <mergeCell ref="E1771:F1771"/>
    <mergeCell ref="E1772:F1772"/>
    <mergeCell ref="E1847:F1847"/>
    <mergeCell ref="E1839:F1839"/>
    <mergeCell ref="E1840:F1840"/>
    <mergeCell ref="E1841:F1841"/>
    <mergeCell ref="E1829:F1829"/>
    <mergeCell ref="E1835:F1835"/>
    <mergeCell ref="E1859:F1859"/>
    <mergeCell ref="E1860:F1860"/>
    <mergeCell ref="E1871:F1871"/>
    <mergeCell ref="H1856:I1856"/>
    <mergeCell ref="E1861:F1861"/>
    <mergeCell ref="E1862:F1862"/>
    <mergeCell ref="E1863:F1863"/>
    <mergeCell ref="H1865:I1865"/>
    <mergeCell ref="E1778:F1778"/>
    <mergeCell ref="E1779:F1779"/>
    <mergeCell ref="E1780:F1780"/>
    <mergeCell ref="E1807:F1807"/>
    <mergeCell ref="E1808:F1808"/>
    <mergeCell ref="E1809:F1809"/>
    <mergeCell ref="E1813:F1813"/>
    <mergeCell ref="E1797:F1797"/>
    <mergeCell ref="E1792:F1792"/>
    <mergeCell ref="E1793:F1793"/>
    <mergeCell ref="E1794:F1794"/>
    <mergeCell ref="E1795:F1795"/>
    <mergeCell ref="E1796:F1796"/>
    <mergeCell ref="E1781:F1781"/>
    <mergeCell ref="E1785:F1785"/>
    <mergeCell ref="E1786:F1786"/>
    <mergeCell ref="E1787:F1787"/>
    <mergeCell ref="E1805:F1805"/>
    <mergeCell ref="E1985:F1985"/>
    <mergeCell ref="E1989:F1989"/>
    <mergeCell ref="E1910:F1910"/>
    <mergeCell ref="E1911:F1911"/>
    <mergeCell ref="E1912:F1912"/>
    <mergeCell ref="E1913:F1913"/>
    <mergeCell ref="E1937:F1937"/>
    <mergeCell ref="E1938:F1938"/>
    <mergeCell ref="E1939:F1939"/>
    <mergeCell ref="E1940:F1940"/>
    <mergeCell ref="E1941:F1941"/>
    <mergeCell ref="E1929:F1929"/>
    <mergeCell ref="E1935:F1935"/>
    <mergeCell ref="E1936:F1936"/>
    <mergeCell ref="E1923:F1923"/>
    <mergeCell ref="E1927:F1927"/>
    <mergeCell ref="E1928:F1928"/>
    <mergeCell ref="E1917:F1917"/>
    <mergeCell ref="E1918:F1918"/>
    <mergeCell ref="E1919:F1919"/>
    <mergeCell ref="E1946:F1946"/>
    <mergeCell ref="E1947:F1947"/>
    <mergeCell ref="E1948:F1948"/>
    <mergeCell ref="E1949:F1949"/>
    <mergeCell ref="E2050:F2050"/>
    <mergeCell ref="E2077:F2077"/>
    <mergeCell ref="E1990:F1990"/>
    <mergeCell ref="E1991:F1991"/>
    <mergeCell ref="E1992:F1992"/>
    <mergeCell ref="E1993:F1993"/>
    <mergeCell ref="E2019:F2019"/>
    <mergeCell ref="E2023:F2023"/>
    <mergeCell ref="E2024:F2024"/>
    <mergeCell ref="E2015:F2015"/>
    <mergeCell ref="E2016:F2016"/>
    <mergeCell ref="E2017:F2017"/>
    <mergeCell ref="E2018:F2018"/>
    <mergeCell ref="E2003:F2003"/>
    <mergeCell ref="E2007:F2007"/>
    <mergeCell ref="E2008:F2008"/>
    <mergeCell ref="E2009:F2009"/>
    <mergeCell ref="E2010:F2010"/>
    <mergeCell ref="E1997:F1997"/>
    <mergeCell ref="E1998:F1998"/>
    <mergeCell ref="E2002:F2002"/>
    <mergeCell ref="E2029:F2029"/>
    <mergeCell ref="E2030:F2030"/>
    <mergeCell ref="E2031:F2031"/>
    <mergeCell ref="E2145:F2145"/>
    <mergeCell ref="E2150:F2150"/>
    <mergeCell ref="E2151:F2151"/>
    <mergeCell ref="E2152:F2152"/>
    <mergeCell ref="E2137:F2137"/>
    <mergeCell ref="E2142:F2142"/>
    <mergeCell ref="E2143:F2143"/>
    <mergeCell ref="E2144:F2144"/>
    <mergeCell ref="E2171:F2171"/>
    <mergeCell ref="E2175:F2175"/>
    <mergeCell ref="E2174:F2174"/>
    <mergeCell ref="E2192:F2192"/>
    <mergeCell ref="H2194:I2194"/>
    <mergeCell ref="H2073:I2073"/>
    <mergeCell ref="E2075:F2075"/>
    <mergeCell ref="E2076:F2076"/>
    <mergeCell ref="E2104:F2104"/>
    <mergeCell ref="H2106:I2106"/>
    <mergeCell ref="E2111:F2111"/>
    <mergeCell ref="E2112:F2112"/>
    <mergeCell ref="E2113:F2113"/>
    <mergeCell ref="E2108:F2108"/>
    <mergeCell ref="E2109:F2109"/>
    <mergeCell ref="E2110:F2110"/>
    <mergeCell ref="E2102:F2102"/>
    <mergeCell ref="E2103:F2103"/>
    <mergeCell ref="H2115:I2115"/>
    <mergeCell ref="E2118:F2118"/>
    <mergeCell ref="E2119:F2119"/>
    <mergeCell ref="E2259:F2259"/>
    <mergeCell ref="E2260:F2260"/>
    <mergeCell ref="H2262:I2262"/>
    <mergeCell ref="H2268:I2268"/>
    <mergeCell ref="E2272:F2272"/>
    <mergeCell ref="E2273:F2273"/>
    <mergeCell ref="E2274:F2274"/>
    <mergeCell ref="E2290:F2290"/>
    <mergeCell ref="E2183:F2183"/>
    <mergeCell ref="E2184:F2184"/>
    <mergeCell ref="E2185:F2185"/>
    <mergeCell ref="H2187:I2187"/>
    <mergeCell ref="E2189:F2189"/>
    <mergeCell ref="E2190:F2190"/>
    <mergeCell ref="E2216:F2216"/>
    <mergeCell ref="E2217:F2217"/>
    <mergeCell ref="E2218:F2218"/>
    <mergeCell ref="E2253:F2253"/>
    <mergeCell ref="E2257:F2257"/>
    <mergeCell ref="E2258:F2258"/>
    <mergeCell ref="E2245:F2245"/>
    <mergeCell ref="E2250:F2250"/>
    <mergeCell ref="E2251:F2251"/>
    <mergeCell ref="E2252:F2252"/>
    <mergeCell ref="E2237:F2237"/>
    <mergeCell ref="E2238:F2238"/>
    <mergeCell ref="E2239:F2239"/>
    <mergeCell ref="H2241:I2241"/>
    <mergeCell ref="E2243:F2243"/>
    <mergeCell ref="E2230:F2230"/>
    <mergeCell ref="E2231:F2231"/>
    <mergeCell ref="E2232:F2232"/>
    <mergeCell ref="H2234:I2234"/>
    <mergeCell ref="E2236:F2236"/>
    <mergeCell ref="E2266:F2266"/>
    <mergeCell ref="E2270:F2270"/>
    <mergeCell ref="E2299:F2299"/>
    <mergeCell ref="E2300:F2300"/>
    <mergeCell ref="E2287:F2287"/>
    <mergeCell ref="E2288:F2288"/>
    <mergeCell ref="E2289:F2289"/>
    <mergeCell ref="E2279:F2279"/>
    <mergeCell ref="H2281:I2281"/>
    <mergeCell ref="E2283:F2283"/>
    <mergeCell ref="E2284:F2284"/>
    <mergeCell ref="E2285:F2285"/>
    <mergeCell ref="E2286:F2286"/>
    <mergeCell ref="E2271:F2271"/>
    <mergeCell ref="E2275:F2275"/>
    <mergeCell ref="E2276:F2276"/>
    <mergeCell ref="E2277:F2277"/>
    <mergeCell ref="E2278:F2278"/>
    <mergeCell ref="E2291:F2291"/>
    <mergeCell ref="E2292:F2292"/>
    <mergeCell ref="H2294:I2294"/>
    <mergeCell ref="E2296:F2296"/>
    <mergeCell ref="E2297:F2297"/>
    <mergeCell ref="E2298:F2298"/>
    <mergeCell ref="E2264:F2264"/>
    <mergeCell ref="E2265:F2265"/>
    <mergeCell ref="H2255:I2255"/>
    <mergeCell ref="E2409:F2409"/>
    <mergeCell ref="E2410:F2410"/>
    <mergeCell ref="E2338:F2338"/>
    <mergeCell ref="E2372:F2372"/>
    <mergeCell ref="E2373:F2373"/>
    <mergeCell ref="E2374:F2374"/>
    <mergeCell ref="E2332:F2332"/>
    <mergeCell ref="E2320:F2320"/>
    <mergeCell ref="E2326:F2326"/>
    <mergeCell ref="E2353:F2353"/>
    <mergeCell ref="H2355:I2355"/>
    <mergeCell ref="E2357:F2357"/>
    <mergeCell ref="E2358:F2358"/>
    <mergeCell ref="E2359:F2359"/>
    <mergeCell ref="E2328:F2328"/>
    <mergeCell ref="H2330:I2330"/>
    <mergeCell ref="E2333:F2333"/>
    <mergeCell ref="E2334:F2334"/>
    <mergeCell ref="H2336:I2336"/>
    <mergeCell ref="E2339:F2339"/>
    <mergeCell ref="E2340:F2340"/>
    <mergeCell ref="E2341:F2341"/>
    <mergeCell ref="H2343:I2343"/>
    <mergeCell ref="H2361:I2361"/>
    <mergeCell ref="E2366:F2366"/>
    <mergeCell ref="E2367:F2367"/>
    <mergeCell ref="E2577:F2577"/>
    <mergeCell ref="E2578:F2578"/>
    <mergeCell ref="E2606:F2606"/>
    <mergeCell ref="E2438:F2438"/>
    <mergeCell ref="E2439:F2439"/>
    <mergeCell ref="H2481:I2481"/>
    <mergeCell ref="E2483:F2483"/>
    <mergeCell ref="E2459:F2459"/>
    <mergeCell ref="E2460:F2460"/>
    <mergeCell ref="E2461:F2461"/>
    <mergeCell ref="H2465:I2465"/>
    <mergeCell ref="E2468:F2468"/>
    <mergeCell ref="E2469:F2469"/>
    <mergeCell ref="E2470:F2470"/>
    <mergeCell ref="H2473:I2473"/>
    <mergeCell ref="E2475:F2475"/>
    <mergeCell ref="E2476:F2476"/>
    <mergeCell ref="E2486:F2486"/>
    <mergeCell ref="E2487:F2487"/>
    <mergeCell ref="E2462:F2462"/>
    <mergeCell ref="E2463:F2463"/>
    <mergeCell ref="E2454:F2454"/>
    <mergeCell ref="E2455:F2455"/>
    <mergeCell ref="E2467:F2467"/>
    <mergeCell ref="E2471:F2471"/>
    <mergeCell ref="E2446:F2446"/>
    <mergeCell ref="E2447:F2447"/>
    <mergeCell ref="E2484:F2484"/>
    <mergeCell ref="E2485:F2485"/>
    <mergeCell ref="E2477:F2477"/>
    <mergeCell ref="E2478:F2478"/>
    <mergeCell ref="E2479:F2479"/>
    <mergeCell ref="E2488:F2488"/>
    <mergeCell ref="E2516:F2516"/>
    <mergeCell ref="E2517:F2517"/>
    <mergeCell ref="E2518:F2518"/>
    <mergeCell ref="E2546:F2546"/>
    <mergeCell ref="E2547:F2547"/>
    <mergeCell ref="E2548:F2548"/>
    <mergeCell ref="E2576:F2576"/>
    <mergeCell ref="E2914:F2914"/>
    <mergeCell ref="E2915:F2915"/>
    <mergeCell ref="E2916:F2916"/>
    <mergeCell ref="H2920:I2920"/>
    <mergeCell ref="E2770:F2770"/>
    <mergeCell ref="E2771:F2771"/>
    <mergeCell ref="E2772:F2772"/>
    <mergeCell ref="E2776:F2776"/>
    <mergeCell ref="E2777:F2777"/>
    <mergeCell ref="E2762:F2762"/>
    <mergeCell ref="E2763:F2763"/>
    <mergeCell ref="E2764:F2764"/>
    <mergeCell ref="E2769:F2769"/>
    <mergeCell ref="E2798:F2798"/>
    <mergeCell ref="E2799:F2799"/>
    <mergeCell ref="E2800:F2800"/>
    <mergeCell ref="E2716:F2716"/>
    <mergeCell ref="E2717:F2717"/>
    <mergeCell ref="E2718:F2718"/>
    <mergeCell ref="E2719:F2719"/>
    <mergeCell ref="E2742:F2742"/>
    <mergeCell ref="E2748:F2748"/>
    <mergeCell ref="E2749:F2749"/>
    <mergeCell ref="E2737:F2737"/>
    <mergeCell ref="E2728:F2728"/>
    <mergeCell ref="E2729:F2729"/>
    <mergeCell ref="E2730:F2730"/>
    <mergeCell ref="E2731:F2731"/>
    <mergeCell ref="E3016:F3016"/>
    <mergeCell ref="E3017:F3017"/>
    <mergeCell ref="E3018:F3018"/>
    <mergeCell ref="E3020:F3020"/>
    <mergeCell ref="E3021:F3021"/>
    <mergeCell ref="H3023:I3023"/>
    <mergeCell ref="H3029:I3029"/>
    <mergeCell ref="E2894:F2894"/>
    <mergeCell ref="E2895:F2895"/>
    <mergeCell ref="E2896:F2896"/>
    <mergeCell ref="E2897:F2897"/>
    <mergeCell ref="E2922:F2922"/>
    <mergeCell ref="E2923:F2923"/>
    <mergeCell ref="E2924:F2924"/>
    <mergeCell ref="E2925:F2925"/>
    <mergeCell ref="E2926:F2926"/>
    <mergeCell ref="H2928:I2928"/>
    <mergeCell ref="E2917:F2917"/>
    <mergeCell ref="E2918:F2918"/>
    <mergeCell ref="E2909:F2909"/>
    <mergeCell ref="E2910:F2910"/>
    <mergeCell ref="E2904:F2904"/>
    <mergeCell ref="E2905:F2905"/>
    <mergeCell ref="E2930:F2930"/>
    <mergeCell ref="E2898:F2898"/>
    <mergeCell ref="E2899:F2899"/>
    <mergeCell ref="E2900:F2900"/>
    <mergeCell ref="H2902:I2902"/>
    <mergeCell ref="E2906:F2906"/>
    <mergeCell ref="E2907:F2907"/>
    <mergeCell ref="E2908:F2908"/>
    <mergeCell ref="H2912:I2912"/>
    <mergeCell ref="E2978:F2978"/>
    <mergeCell ref="E2979:F2979"/>
    <mergeCell ref="E2980:F2980"/>
    <mergeCell ref="E2981:F2981"/>
    <mergeCell ref="E3010:F3010"/>
    <mergeCell ref="E3011:F3011"/>
    <mergeCell ref="E3012:F3012"/>
    <mergeCell ref="H3014:I3014"/>
    <mergeCell ref="E2998:F2998"/>
    <mergeCell ref="E2999:F2999"/>
    <mergeCell ref="E3000:F3000"/>
    <mergeCell ref="E3004:F3004"/>
    <mergeCell ref="E2990:F2990"/>
    <mergeCell ref="E2991:F2991"/>
    <mergeCell ref="H2993:I2993"/>
    <mergeCell ref="E2995:F2995"/>
    <mergeCell ref="E2996:F2996"/>
    <mergeCell ref="E2997:F2997"/>
    <mergeCell ref="E2987:F2987"/>
    <mergeCell ref="E2988:F2988"/>
    <mergeCell ref="E2989:F2989"/>
    <mergeCell ref="H2936:I2936"/>
    <mergeCell ref="E2939:F2939"/>
    <mergeCell ref="E2940:F2940"/>
    <mergeCell ref="E3119:F3119"/>
    <mergeCell ref="E3136:F3136"/>
    <mergeCell ref="E3140:F3140"/>
    <mergeCell ref="E3141:F3141"/>
    <mergeCell ref="E3142:F3142"/>
    <mergeCell ref="E3143:F3143"/>
    <mergeCell ref="E3130:F3130"/>
    <mergeCell ref="E3131:F3131"/>
    <mergeCell ref="E3135:F3135"/>
    <mergeCell ref="E3123:F3123"/>
    <mergeCell ref="E3129:F3129"/>
    <mergeCell ref="E3117:F3117"/>
    <mergeCell ref="E3118:F3118"/>
    <mergeCell ref="E3144:F3144"/>
    <mergeCell ref="E3148:F3148"/>
    <mergeCell ref="E3063:F3063"/>
    <mergeCell ref="E3064:F3064"/>
    <mergeCell ref="E3065:F3065"/>
    <mergeCell ref="E3096:F3096"/>
    <mergeCell ref="E3097:F3097"/>
    <mergeCell ref="E3098:F3098"/>
    <mergeCell ref="E3084:F3084"/>
    <mergeCell ref="E3085:F3085"/>
    <mergeCell ref="E3086:F3086"/>
    <mergeCell ref="E3090:F3090"/>
    <mergeCell ref="E3091:F3091"/>
    <mergeCell ref="E3076:F3076"/>
    <mergeCell ref="E3077:F3077"/>
    <mergeCell ref="E3082:F3082"/>
    <mergeCell ref="E3083:F3083"/>
    <mergeCell ref="E3069:F3069"/>
    <mergeCell ref="E3070:F3070"/>
    <mergeCell ref="E3201:F3201"/>
    <mergeCell ref="E3226:F3226"/>
    <mergeCell ref="E3227:F3227"/>
    <mergeCell ref="E3228:F3228"/>
    <mergeCell ref="E3149:F3149"/>
    <mergeCell ref="E3161:F3161"/>
    <mergeCell ref="E3179:F3179"/>
    <mergeCell ref="E3180:F3180"/>
    <mergeCell ref="E3181:F3181"/>
    <mergeCell ref="E3182:F3182"/>
    <mergeCell ref="E3183:F3183"/>
    <mergeCell ref="E3170:F3170"/>
    <mergeCell ref="E3174:F3174"/>
    <mergeCell ref="E3175:F3175"/>
    <mergeCell ref="E3162:F3162"/>
    <mergeCell ref="E3166:F3166"/>
    <mergeCell ref="E3167:F3167"/>
    <mergeCell ref="E3168:F3168"/>
    <mergeCell ref="E3169:F3169"/>
    <mergeCell ref="E3153:F3153"/>
    <mergeCell ref="E3154:F3154"/>
    <mergeCell ref="E3155:F3155"/>
    <mergeCell ref="E3156:F3156"/>
    <mergeCell ref="E3157:F3157"/>
    <mergeCell ref="E3187:F3187"/>
    <mergeCell ref="E3188:F3188"/>
    <mergeCell ref="E3176:F3176"/>
    <mergeCell ref="E3177:F3177"/>
    <mergeCell ref="E3178:F3178"/>
    <mergeCell ref="E3284:F3284"/>
    <mergeCell ref="E3283:F3283"/>
    <mergeCell ref="H3286:I3286"/>
    <mergeCell ref="E3288:F3288"/>
    <mergeCell ref="E3312:F3312"/>
    <mergeCell ref="E3318:F3318"/>
    <mergeCell ref="E3229:F3229"/>
    <mergeCell ref="E3230:F3230"/>
    <mergeCell ref="E3231:F3231"/>
    <mergeCell ref="E3232:F3232"/>
    <mergeCell ref="E3233:F3233"/>
    <mergeCell ref="E3260:F3260"/>
    <mergeCell ref="E3261:F3261"/>
    <mergeCell ref="E3262:F3262"/>
    <mergeCell ref="E3263:F3263"/>
    <mergeCell ref="E3250:F3250"/>
    <mergeCell ref="E3251:F3251"/>
    <mergeCell ref="E3252:F3252"/>
    <mergeCell ref="E3253:F3253"/>
    <mergeCell ref="E3254:F3254"/>
    <mergeCell ref="E3242:F3242"/>
    <mergeCell ref="E3243:F3243"/>
    <mergeCell ref="E3244:F3244"/>
    <mergeCell ref="E3245:F3245"/>
    <mergeCell ref="E3246:F3246"/>
    <mergeCell ref="E3239:F3239"/>
    <mergeCell ref="E3240:F3240"/>
    <mergeCell ref="E3241:F3241"/>
    <mergeCell ref="E3264:F3264"/>
    <mergeCell ref="E3235:F3235"/>
    <mergeCell ref="H3237:I3237"/>
    <mergeCell ref="E3247:F3247"/>
    <mergeCell ref="E3350:F3350"/>
    <mergeCell ref="E3356:F3356"/>
    <mergeCell ref="E3344:F3344"/>
    <mergeCell ref="E3345:F3345"/>
    <mergeCell ref="E3346:F3346"/>
    <mergeCell ref="E3338:F3338"/>
    <mergeCell ref="E3339:F3339"/>
    <mergeCell ref="E3340:F3340"/>
    <mergeCell ref="H3342:I3342"/>
    <mergeCell ref="E3326:F3326"/>
    <mergeCell ref="E3332:F3332"/>
    <mergeCell ref="E3360:F3360"/>
    <mergeCell ref="E3366:F3366"/>
    <mergeCell ref="E3328:F3328"/>
    <mergeCell ref="H3330:I3330"/>
    <mergeCell ref="E3333:F3333"/>
    <mergeCell ref="E3334:F3334"/>
    <mergeCell ref="H3336:I3336"/>
    <mergeCell ref="H3348:I3348"/>
    <mergeCell ref="E3351:F3351"/>
    <mergeCell ref="E3352:F3352"/>
    <mergeCell ref="H3354:I3354"/>
    <mergeCell ref="E3357:F3357"/>
    <mergeCell ref="E3358:F3358"/>
    <mergeCell ref="E3359:F3359"/>
    <mergeCell ref="H3362:I3362"/>
    <mergeCell ref="E3364:F3364"/>
    <mergeCell ref="E3365:F3365"/>
    <mergeCell ref="E3367:F3367"/>
    <mergeCell ref="E3368:F3368"/>
    <mergeCell ref="E3398:F3398"/>
    <mergeCell ref="E3402:F3402"/>
    <mergeCell ref="E3392:F3392"/>
    <mergeCell ref="E3382:F3382"/>
    <mergeCell ref="H3384:I3384"/>
    <mergeCell ref="E3386:F3386"/>
    <mergeCell ref="E3387:F3387"/>
    <mergeCell ref="E3388:F3388"/>
    <mergeCell ref="E3374:F3374"/>
    <mergeCell ref="E3380:F3380"/>
    <mergeCell ref="E3381:F3381"/>
    <mergeCell ref="E3408:F3408"/>
    <mergeCell ref="E3409:F3409"/>
    <mergeCell ref="E3410:F3410"/>
    <mergeCell ref="E3369:F3369"/>
    <mergeCell ref="E3370:F3370"/>
    <mergeCell ref="H3372:I3372"/>
    <mergeCell ref="E3375:F3375"/>
    <mergeCell ref="E3376:F3376"/>
    <mergeCell ref="H3378:I3378"/>
    <mergeCell ref="H3390:I3390"/>
    <mergeCell ref="E3393:F3393"/>
    <mergeCell ref="E3394:F3394"/>
    <mergeCell ref="H3396:I3396"/>
    <mergeCell ref="E3399:F3399"/>
    <mergeCell ref="E3400:F3400"/>
    <mergeCell ref="E3401:F3401"/>
    <mergeCell ref="H3404:I3404"/>
    <mergeCell ref="E3406:F3406"/>
    <mergeCell ref="E3407:F3407"/>
    <mergeCell ref="E3511:F3511"/>
    <mergeCell ref="E3539:F3539"/>
    <mergeCell ref="E3540:F3540"/>
    <mergeCell ref="E3457:F3457"/>
    <mergeCell ref="E3458:F3458"/>
    <mergeCell ref="E3459:F3459"/>
    <mergeCell ref="E3460:F3460"/>
    <mergeCell ref="E3486:F3486"/>
    <mergeCell ref="E3487:F3487"/>
    <mergeCell ref="E3488:F3488"/>
    <mergeCell ref="E3478:F3478"/>
    <mergeCell ref="E3484:F3484"/>
    <mergeCell ref="E3485:F3485"/>
    <mergeCell ref="E3475:F3475"/>
    <mergeCell ref="E3476:F3476"/>
    <mergeCell ref="E3477:F3477"/>
    <mergeCell ref="E3466:F3466"/>
    <mergeCell ref="E3467:F3467"/>
    <mergeCell ref="E3468:F3468"/>
    <mergeCell ref="E3495:F3495"/>
    <mergeCell ref="E3496:F3496"/>
    <mergeCell ref="E3497:F3497"/>
    <mergeCell ref="E3498:F3498"/>
    <mergeCell ref="E3461:F3461"/>
    <mergeCell ref="E3462:F3462"/>
    <mergeCell ref="E3509:F3509"/>
    <mergeCell ref="E3510:F3510"/>
    <mergeCell ref="E3667:F3667"/>
    <mergeCell ref="E3683:F3683"/>
    <mergeCell ref="E3684:F3684"/>
    <mergeCell ref="E3685:F3685"/>
    <mergeCell ref="E3590:F3590"/>
    <mergeCell ref="E3591:F3591"/>
    <mergeCell ref="E3595:F3595"/>
    <mergeCell ref="E3628:F3628"/>
    <mergeCell ref="E3632:F3632"/>
    <mergeCell ref="E3633:F3633"/>
    <mergeCell ref="E3547:F3547"/>
    <mergeCell ref="E3548:F3548"/>
    <mergeCell ref="E3549:F3549"/>
    <mergeCell ref="E3574:F3574"/>
    <mergeCell ref="E3575:F3575"/>
    <mergeCell ref="E3576:F3576"/>
    <mergeCell ref="E3566:F3566"/>
    <mergeCell ref="E3573:F3573"/>
    <mergeCell ref="E3558:F3558"/>
    <mergeCell ref="E3564:F3564"/>
    <mergeCell ref="E3565:F3565"/>
    <mergeCell ref="E3555:F3555"/>
    <mergeCell ref="E3556:F3556"/>
    <mergeCell ref="E3557:F3557"/>
    <mergeCell ref="E3582:F3582"/>
    <mergeCell ref="E3586:F3586"/>
    <mergeCell ref="E3550:F3550"/>
    <mergeCell ref="E3551:F3551"/>
    <mergeCell ref="E3601:F3601"/>
    <mergeCell ref="E3602:F3602"/>
    <mergeCell ref="H3654:I3654"/>
    <mergeCell ref="E3656:F3656"/>
    <mergeCell ref="E3657:F3657"/>
    <mergeCell ref="E3658:F3658"/>
    <mergeCell ref="E3662:F3662"/>
    <mergeCell ref="E3663:F3663"/>
    <mergeCell ref="H3665:I3665"/>
    <mergeCell ref="H3687:I3687"/>
    <mergeCell ref="E3592:F3592"/>
    <mergeCell ref="E3593:F3593"/>
    <mergeCell ref="E3594:F3594"/>
    <mergeCell ref="E3620:F3620"/>
    <mergeCell ref="E3625:F3625"/>
    <mergeCell ref="E3626:F3626"/>
    <mergeCell ref="E3627:F3627"/>
    <mergeCell ref="E3612:F3612"/>
    <mergeCell ref="E3613:F3613"/>
    <mergeCell ref="E3618:F3618"/>
    <mergeCell ref="E3619:F3619"/>
    <mergeCell ref="E3606:F3606"/>
    <mergeCell ref="E3607:F3607"/>
    <mergeCell ref="E3608:F3608"/>
    <mergeCell ref="E3600:F3600"/>
    <mergeCell ref="E3641:F3641"/>
    <mergeCell ref="E3668:F3668"/>
    <mergeCell ref="E3669:F3669"/>
    <mergeCell ref="E3670:F3670"/>
    <mergeCell ref="H3672:I3672"/>
    <mergeCell ref="E3674:F3674"/>
    <mergeCell ref="E3675:F3675"/>
    <mergeCell ref="E3660:F3660"/>
    <mergeCell ref="E3661:F3661"/>
    <mergeCell ref="E188:F188"/>
    <mergeCell ref="E189:F189"/>
    <mergeCell ref="E190:F190"/>
    <mergeCell ref="H192:I192"/>
    <mergeCell ref="E195:F195"/>
    <mergeCell ref="E196:F196"/>
    <mergeCell ref="E197:F197"/>
    <mergeCell ref="H200:I200"/>
    <mergeCell ref="E203:F203"/>
    <mergeCell ref="E204:F204"/>
    <mergeCell ref="E205:F205"/>
    <mergeCell ref="H207:I207"/>
    <mergeCell ref="H215:I215"/>
    <mergeCell ref="E217:F217"/>
    <mergeCell ref="E225:F225"/>
    <mergeCell ref="H227:I227"/>
    <mergeCell ref="E235:F235"/>
    <mergeCell ref="E234:F234"/>
    <mergeCell ref="E233:F233"/>
    <mergeCell ref="H237:I237"/>
    <mergeCell ref="E245:F245"/>
    <mergeCell ref="H247:I247"/>
    <mergeCell ref="E255:F255"/>
    <mergeCell ref="H257:I257"/>
    <mergeCell ref="E265:F265"/>
    <mergeCell ref="H267:I267"/>
    <mergeCell ref="E275:F275"/>
    <mergeCell ref="H277:I277"/>
    <mergeCell ref="H287:I287"/>
    <mergeCell ref="E290:F290"/>
    <mergeCell ref="E291:F291"/>
    <mergeCell ref="E292:F292"/>
    <mergeCell ref="E298:F298"/>
    <mergeCell ref="E299:F299"/>
    <mergeCell ref="E300:F300"/>
    <mergeCell ref="H302:I302"/>
    <mergeCell ref="E239:F239"/>
    <mergeCell ref="E240:F240"/>
    <mergeCell ref="E263:F263"/>
    <mergeCell ref="E264:F264"/>
    <mergeCell ref="E269:F269"/>
    <mergeCell ref="E270:F270"/>
    <mergeCell ref="E259:F259"/>
    <mergeCell ref="E260:F260"/>
    <mergeCell ref="E261:F261"/>
    <mergeCell ref="E262:F262"/>
    <mergeCell ref="E249:F249"/>
    <mergeCell ref="E250:F250"/>
    <mergeCell ref="E251:F251"/>
    <mergeCell ref="E252:F252"/>
    <mergeCell ref="E253:F253"/>
    <mergeCell ref="H310:I310"/>
    <mergeCell ref="E314:F314"/>
    <mergeCell ref="E315:F315"/>
    <mergeCell ref="E316:F316"/>
    <mergeCell ref="H319:I319"/>
    <mergeCell ref="E321:F321"/>
    <mergeCell ref="E322:F322"/>
    <mergeCell ref="E323:F323"/>
    <mergeCell ref="H326:I326"/>
    <mergeCell ref="E331:F331"/>
    <mergeCell ref="H333:I333"/>
    <mergeCell ref="E341:F341"/>
    <mergeCell ref="H343:I343"/>
    <mergeCell ref="H353:I353"/>
    <mergeCell ref="E356:F356"/>
    <mergeCell ref="E324:F324"/>
    <mergeCell ref="E349:F349"/>
    <mergeCell ref="E350:F350"/>
    <mergeCell ref="E351:F351"/>
    <mergeCell ref="E345:F345"/>
    <mergeCell ref="E346:F346"/>
    <mergeCell ref="E347:F347"/>
    <mergeCell ref="E348:F348"/>
    <mergeCell ref="E335:F335"/>
    <mergeCell ref="E336:F336"/>
    <mergeCell ref="E337:F337"/>
    <mergeCell ref="E338:F338"/>
    <mergeCell ref="E339:F339"/>
    <mergeCell ref="E340:F340"/>
    <mergeCell ref="E328:F328"/>
    <mergeCell ref="E317:F317"/>
    <mergeCell ref="E366:F366"/>
    <mergeCell ref="H368:I368"/>
    <mergeCell ref="E376:F376"/>
    <mergeCell ref="H378:I378"/>
    <mergeCell ref="H388:I388"/>
    <mergeCell ref="E390:F390"/>
    <mergeCell ref="H400:I400"/>
    <mergeCell ref="E402:F402"/>
    <mergeCell ref="E403:F403"/>
    <mergeCell ref="H413:I413"/>
    <mergeCell ref="E415:F415"/>
    <mergeCell ref="E478:F478"/>
    <mergeCell ref="H480:I480"/>
    <mergeCell ref="H501:I501"/>
    <mergeCell ref="E503:F503"/>
    <mergeCell ref="E444:F444"/>
    <mergeCell ref="E445:F445"/>
    <mergeCell ref="E454:F454"/>
    <mergeCell ref="E455:F455"/>
    <mergeCell ref="E456:F456"/>
    <mergeCell ref="E473:F473"/>
    <mergeCell ref="E474:F474"/>
    <mergeCell ref="E475:F475"/>
    <mergeCell ref="E476:F476"/>
    <mergeCell ref="E477:F477"/>
    <mergeCell ref="E465:F465"/>
    <mergeCell ref="E466:F466"/>
    <mergeCell ref="E467:F467"/>
    <mergeCell ref="H469:I469"/>
    <mergeCell ref="E471:F471"/>
    <mergeCell ref="E472:F472"/>
    <mergeCell ref="H458:I458"/>
    <mergeCell ref="E510:F510"/>
    <mergeCell ref="E511:F511"/>
    <mergeCell ref="H513:I513"/>
    <mergeCell ref="E518:F518"/>
    <mergeCell ref="E519:F519"/>
    <mergeCell ref="E520:F520"/>
    <mergeCell ref="H522:I522"/>
    <mergeCell ref="E527:F527"/>
    <mergeCell ref="E528:F528"/>
    <mergeCell ref="E529:F529"/>
    <mergeCell ref="H533:I533"/>
    <mergeCell ref="E537:F537"/>
    <mergeCell ref="E538:F538"/>
    <mergeCell ref="E539:F539"/>
    <mergeCell ref="H543:I543"/>
    <mergeCell ref="E547:F547"/>
    <mergeCell ref="E548:F548"/>
    <mergeCell ref="E530:F530"/>
    <mergeCell ref="E531:F531"/>
    <mergeCell ref="E524:F524"/>
    <mergeCell ref="E525:F525"/>
    <mergeCell ref="E526:F526"/>
    <mergeCell ref="E549:F549"/>
    <mergeCell ref="H553:I553"/>
    <mergeCell ref="E555:F555"/>
    <mergeCell ref="E556:F556"/>
    <mergeCell ref="E557:F557"/>
    <mergeCell ref="H563:I563"/>
    <mergeCell ref="E565:F565"/>
    <mergeCell ref="E566:F566"/>
    <mergeCell ref="E567:F567"/>
    <mergeCell ref="H571:I571"/>
    <mergeCell ref="E575:F575"/>
    <mergeCell ref="E576:F576"/>
    <mergeCell ref="E577:F577"/>
    <mergeCell ref="H581:I581"/>
    <mergeCell ref="E585:F585"/>
    <mergeCell ref="E586:F586"/>
    <mergeCell ref="E587:F587"/>
    <mergeCell ref="E573:F573"/>
    <mergeCell ref="E574:F574"/>
    <mergeCell ref="E578:F578"/>
    <mergeCell ref="E579:F579"/>
    <mergeCell ref="E558:F558"/>
    <mergeCell ref="E559:F559"/>
    <mergeCell ref="E560:F560"/>
    <mergeCell ref="E561:F561"/>
    <mergeCell ref="E551:F551"/>
    <mergeCell ref="E583:F583"/>
    <mergeCell ref="E584:F584"/>
    <mergeCell ref="H591:I591"/>
    <mergeCell ref="E597:F597"/>
    <mergeCell ref="E598:F598"/>
    <mergeCell ref="E599:F599"/>
    <mergeCell ref="H601:I601"/>
    <mergeCell ref="E610:F610"/>
    <mergeCell ref="E611:F611"/>
    <mergeCell ref="H613:I613"/>
    <mergeCell ref="E618:F618"/>
    <mergeCell ref="E619:F619"/>
    <mergeCell ref="E620:F620"/>
    <mergeCell ref="H626:I626"/>
    <mergeCell ref="E628:F628"/>
    <mergeCell ref="H634:I634"/>
    <mergeCell ref="E636:F636"/>
    <mergeCell ref="H642:I642"/>
    <mergeCell ref="E644:F644"/>
    <mergeCell ref="E604:F604"/>
    <mergeCell ref="E605:F605"/>
    <mergeCell ref="E606:F606"/>
    <mergeCell ref="E607:F607"/>
    <mergeCell ref="E608:F608"/>
    <mergeCell ref="E609:F609"/>
    <mergeCell ref="E593:F593"/>
    <mergeCell ref="E594:F594"/>
    <mergeCell ref="E595:F595"/>
    <mergeCell ref="E596:F596"/>
    <mergeCell ref="E603:F603"/>
    <mergeCell ref="H686:I686"/>
    <mergeCell ref="E688:F688"/>
    <mergeCell ref="H694:I694"/>
    <mergeCell ref="E696:F696"/>
    <mergeCell ref="E697:F697"/>
    <mergeCell ref="E698:F698"/>
    <mergeCell ref="H702:I702"/>
    <mergeCell ref="E707:F707"/>
    <mergeCell ref="E708:F708"/>
    <mergeCell ref="E709:F709"/>
    <mergeCell ref="H712:I712"/>
    <mergeCell ref="E715:F715"/>
    <mergeCell ref="E716:F716"/>
    <mergeCell ref="E717:F717"/>
    <mergeCell ref="H720:I720"/>
    <mergeCell ref="E724:F724"/>
    <mergeCell ref="E725:F725"/>
    <mergeCell ref="E689:F689"/>
    <mergeCell ref="E690:F690"/>
    <mergeCell ref="E691:F691"/>
    <mergeCell ref="E692:F692"/>
    <mergeCell ref="E741:F741"/>
    <mergeCell ref="E742:F742"/>
    <mergeCell ref="E743:F743"/>
    <mergeCell ref="H746:I746"/>
    <mergeCell ref="E750:F750"/>
    <mergeCell ref="E751:F751"/>
    <mergeCell ref="E752:F752"/>
    <mergeCell ref="H755:I755"/>
    <mergeCell ref="E761:F761"/>
    <mergeCell ref="E762:F762"/>
    <mergeCell ref="E763:F763"/>
    <mergeCell ref="E744:F744"/>
    <mergeCell ref="E748:F748"/>
    <mergeCell ref="E757:F757"/>
    <mergeCell ref="E758:F758"/>
    <mergeCell ref="E759:F759"/>
    <mergeCell ref="E760:F760"/>
    <mergeCell ref="H766:I766"/>
    <mergeCell ref="E772:F772"/>
    <mergeCell ref="E773:F773"/>
    <mergeCell ref="E774:F774"/>
    <mergeCell ref="H777:I777"/>
    <mergeCell ref="E783:F783"/>
    <mergeCell ref="E784:F784"/>
    <mergeCell ref="E785:F785"/>
    <mergeCell ref="H788:I788"/>
    <mergeCell ref="E794:F794"/>
    <mergeCell ref="E795:F795"/>
    <mergeCell ref="E796:F796"/>
    <mergeCell ref="H799:I799"/>
    <mergeCell ref="E805:F805"/>
    <mergeCell ref="E806:F806"/>
    <mergeCell ref="E807:F807"/>
    <mergeCell ref="H810:I810"/>
    <mergeCell ref="E771:F771"/>
    <mergeCell ref="E775:F775"/>
    <mergeCell ref="E768:F768"/>
    <mergeCell ref="E769:F769"/>
    <mergeCell ref="E770:F770"/>
    <mergeCell ref="E786:F786"/>
    <mergeCell ref="E790:F790"/>
    <mergeCell ref="E801:F801"/>
    <mergeCell ref="E802:F802"/>
    <mergeCell ref="E803:F803"/>
    <mergeCell ref="E804:F804"/>
    <mergeCell ref="E791:F791"/>
    <mergeCell ref="E792:F792"/>
    <mergeCell ref="E793:F793"/>
    <mergeCell ref="E797:F797"/>
    <mergeCell ref="H843:I843"/>
    <mergeCell ref="E849:F849"/>
    <mergeCell ref="E850:F850"/>
    <mergeCell ref="E851:F851"/>
    <mergeCell ref="H854:I854"/>
    <mergeCell ref="E857:F857"/>
    <mergeCell ref="E865:F865"/>
    <mergeCell ref="E866:F866"/>
    <mergeCell ref="E867:F867"/>
    <mergeCell ref="H870:I870"/>
    <mergeCell ref="E874:F874"/>
    <mergeCell ref="E875:F875"/>
    <mergeCell ref="E876:F876"/>
    <mergeCell ref="H879:I879"/>
    <mergeCell ref="E883:F883"/>
    <mergeCell ref="E884:F884"/>
    <mergeCell ref="E885:F885"/>
    <mergeCell ref="H862:I862"/>
    <mergeCell ref="H888:I888"/>
    <mergeCell ref="E892:F892"/>
    <mergeCell ref="E893:F893"/>
    <mergeCell ref="E894:F894"/>
    <mergeCell ref="H897:I897"/>
    <mergeCell ref="E903:F903"/>
    <mergeCell ref="E881:F881"/>
    <mergeCell ref="E882:F882"/>
    <mergeCell ref="E891:F891"/>
    <mergeCell ref="E895:F895"/>
    <mergeCell ref="E963:F963"/>
    <mergeCell ref="E964:F964"/>
    <mergeCell ref="E965:F965"/>
    <mergeCell ref="H968:I968"/>
    <mergeCell ref="E974:F974"/>
    <mergeCell ref="E975:F975"/>
    <mergeCell ref="E976:F976"/>
    <mergeCell ref="E930:F930"/>
    <mergeCell ref="E931:F931"/>
    <mergeCell ref="H908:I908"/>
    <mergeCell ref="E914:F914"/>
    <mergeCell ref="E915:F915"/>
    <mergeCell ref="E916:F916"/>
    <mergeCell ref="H919:I919"/>
    <mergeCell ref="E923:F923"/>
    <mergeCell ref="E924:F924"/>
    <mergeCell ref="E925:F925"/>
    <mergeCell ref="H928:I928"/>
    <mergeCell ref="E932:F932"/>
    <mergeCell ref="E933:F933"/>
    <mergeCell ref="E934:F934"/>
    <mergeCell ref="E921:F921"/>
    <mergeCell ref="H990:I990"/>
    <mergeCell ref="E996:F996"/>
    <mergeCell ref="E997:F997"/>
    <mergeCell ref="E998:F998"/>
    <mergeCell ref="H1001:I1001"/>
    <mergeCell ref="E1003:F1003"/>
    <mergeCell ref="E977:F977"/>
    <mergeCell ref="E981:F981"/>
    <mergeCell ref="E999:F999"/>
    <mergeCell ref="E992:F992"/>
    <mergeCell ref="E993:F993"/>
    <mergeCell ref="E994:F994"/>
    <mergeCell ref="E995:F995"/>
    <mergeCell ref="E982:F982"/>
    <mergeCell ref="E983:F983"/>
    <mergeCell ref="E1004:F1004"/>
    <mergeCell ref="H1007:I1007"/>
    <mergeCell ref="E984:F984"/>
    <mergeCell ref="E988:F988"/>
    <mergeCell ref="H1013:I1013"/>
    <mergeCell ref="E1019:F1019"/>
    <mergeCell ref="E1020:F1020"/>
    <mergeCell ref="E1021:F1021"/>
    <mergeCell ref="H1024:I1024"/>
    <mergeCell ref="E1030:F1030"/>
    <mergeCell ref="E1031:F1031"/>
    <mergeCell ref="E1032:F1032"/>
    <mergeCell ref="H1035:I1035"/>
    <mergeCell ref="E1040:F1040"/>
    <mergeCell ref="E1041:F1041"/>
    <mergeCell ref="E1042:F1042"/>
    <mergeCell ref="H1045:I1045"/>
    <mergeCell ref="E1011:F1011"/>
    <mergeCell ref="E1005:F1005"/>
    <mergeCell ref="E1016:F1016"/>
    <mergeCell ref="E1017:F1017"/>
    <mergeCell ref="E1018:F1018"/>
    <mergeCell ref="E1022:F1022"/>
    <mergeCell ref="E1015:F1015"/>
    <mergeCell ref="H1056:I1056"/>
    <mergeCell ref="E1061:F1061"/>
    <mergeCell ref="E1062:F1062"/>
    <mergeCell ref="E1063:F1063"/>
    <mergeCell ref="H1066:I1066"/>
    <mergeCell ref="E1071:F1071"/>
    <mergeCell ref="E1072:F1072"/>
    <mergeCell ref="E1073:F1073"/>
    <mergeCell ref="H1076:I1076"/>
    <mergeCell ref="E1081:F1081"/>
    <mergeCell ref="E1082:F1082"/>
    <mergeCell ref="E1083:F1083"/>
    <mergeCell ref="H1086:I1086"/>
    <mergeCell ref="E1091:F1091"/>
    <mergeCell ref="E1064:F1064"/>
    <mergeCell ref="E1090:F1090"/>
    <mergeCell ref="E1185:F1185"/>
    <mergeCell ref="E1102:F1102"/>
    <mergeCell ref="E1103:F1103"/>
    <mergeCell ref="E1101:F1101"/>
    <mergeCell ref="E1094:F1094"/>
    <mergeCell ref="E1084:F1084"/>
    <mergeCell ref="E1088:F1088"/>
    <mergeCell ref="E1089:F1089"/>
    <mergeCell ref="E1078:F1078"/>
    <mergeCell ref="E1079:F1079"/>
    <mergeCell ref="E1080:F1080"/>
    <mergeCell ref="E1068:F1068"/>
    <mergeCell ref="E1069:F1069"/>
    <mergeCell ref="E1070:F1070"/>
    <mergeCell ref="E1074:F1074"/>
    <mergeCell ref="E1093:F1093"/>
    <mergeCell ref="H1188:I1188"/>
    <mergeCell ref="E1192:F1192"/>
    <mergeCell ref="E1193:F1193"/>
    <mergeCell ref="E1194:F1194"/>
    <mergeCell ref="E1190:F1190"/>
    <mergeCell ref="E1191:F1191"/>
    <mergeCell ref="E1104:F1104"/>
    <mergeCell ref="H1107:I1107"/>
    <mergeCell ref="E1113:F1113"/>
    <mergeCell ref="E1114:F1114"/>
    <mergeCell ref="E1115:F1115"/>
    <mergeCell ref="H1118:I1118"/>
    <mergeCell ref="E1122:F1122"/>
    <mergeCell ref="E1123:F1123"/>
    <mergeCell ref="E1124:F1124"/>
    <mergeCell ref="H1127:I1127"/>
    <mergeCell ref="E1133:F1133"/>
    <mergeCell ref="E1134:F1134"/>
    <mergeCell ref="E1135:F1135"/>
    <mergeCell ref="H1138:I1138"/>
    <mergeCell ref="E1144:F1144"/>
    <mergeCell ref="E1146:F1146"/>
    <mergeCell ref="H1149:I1149"/>
    <mergeCell ref="E1147:F1147"/>
    <mergeCell ref="E1142:F1142"/>
    <mergeCell ref="E1143:F1143"/>
    <mergeCell ref="E1145:F1145"/>
    <mergeCell ref="E1223:F1223"/>
    <mergeCell ref="E1212:F1212"/>
    <mergeCell ref="E1213:F1213"/>
    <mergeCell ref="E1214:F1214"/>
    <mergeCell ref="E1151:F1151"/>
    <mergeCell ref="E1177:F1177"/>
    <mergeCell ref="E1178:F1178"/>
    <mergeCell ref="E1179:F1179"/>
    <mergeCell ref="E1168:F1168"/>
    <mergeCell ref="E1169:F1169"/>
    <mergeCell ref="E1170:F1170"/>
    <mergeCell ref="E1171:F1171"/>
    <mergeCell ref="E1172:F1172"/>
    <mergeCell ref="E1160:F1160"/>
    <mergeCell ref="E1161:F1161"/>
    <mergeCell ref="E1162:F1162"/>
    <mergeCell ref="H1196:I1196"/>
    <mergeCell ref="E1201:F1201"/>
    <mergeCell ref="E1202:F1202"/>
    <mergeCell ref="E1203:F1203"/>
    <mergeCell ref="H1206:I1206"/>
    <mergeCell ref="E1204:F1204"/>
    <mergeCell ref="E1154:F1154"/>
    <mergeCell ref="E1155:F1155"/>
    <mergeCell ref="E1156:F1156"/>
    <mergeCell ref="H1164:I1164"/>
    <mergeCell ref="E1166:F1166"/>
    <mergeCell ref="H1174:I1174"/>
    <mergeCell ref="E1176:F1176"/>
    <mergeCell ref="H1181:I1181"/>
    <mergeCell ref="E1183:F1183"/>
    <mergeCell ref="E1184:F1184"/>
    <mergeCell ref="E1208:F1208"/>
    <mergeCell ref="E1198:F1198"/>
    <mergeCell ref="E1199:F1199"/>
    <mergeCell ref="E1200:F1200"/>
    <mergeCell ref="E1230:F1230"/>
    <mergeCell ref="E1231:F1231"/>
    <mergeCell ref="E1232:F1232"/>
    <mergeCell ref="E1238:F1238"/>
    <mergeCell ref="E1239:F1239"/>
    <mergeCell ref="H1243:I1243"/>
    <mergeCell ref="E1247:F1247"/>
    <mergeCell ref="E1248:F1248"/>
    <mergeCell ref="E1249:F1249"/>
    <mergeCell ref="H1251:I1251"/>
    <mergeCell ref="E1257:F1257"/>
    <mergeCell ref="H1259:I1259"/>
    <mergeCell ref="E1267:F1267"/>
    <mergeCell ref="E1209:F1209"/>
    <mergeCell ref="E1210:F1210"/>
    <mergeCell ref="E1211:F1211"/>
    <mergeCell ref="H1216:I1216"/>
    <mergeCell ref="E1218:F1218"/>
    <mergeCell ref="E1219:F1219"/>
    <mergeCell ref="H1225:I1225"/>
    <mergeCell ref="E1227:F1227"/>
    <mergeCell ref="E1228:F1228"/>
    <mergeCell ref="E1229:F1229"/>
    <mergeCell ref="H1234:I1234"/>
    <mergeCell ref="E1237:F1237"/>
    <mergeCell ref="E1220:F1220"/>
    <mergeCell ref="E1221:F1221"/>
    <mergeCell ref="E1222:F1222"/>
    <mergeCell ref="H1269:I1269"/>
    <mergeCell ref="E1276:F1276"/>
    <mergeCell ref="E1277:F1277"/>
    <mergeCell ref="H1279:I1279"/>
    <mergeCell ref="E1285:F1285"/>
    <mergeCell ref="E1286:F1286"/>
    <mergeCell ref="E1287:F1287"/>
    <mergeCell ref="E1275:F1275"/>
    <mergeCell ref="E1281:F1281"/>
    <mergeCell ref="E1282:F1282"/>
    <mergeCell ref="E1283:F1283"/>
    <mergeCell ref="E1284:F1284"/>
    <mergeCell ref="H1289:I1289"/>
    <mergeCell ref="E1294:F1294"/>
    <mergeCell ref="E1295:F1295"/>
    <mergeCell ref="E1296:F1296"/>
    <mergeCell ref="H1299:I1299"/>
    <mergeCell ref="E1291:F1291"/>
    <mergeCell ref="E1292:F1292"/>
    <mergeCell ref="E1293:F1293"/>
    <mergeCell ref="E1297:F1297"/>
    <mergeCell ref="E1273:F1273"/>
    <mergeCell ref="E1274:F1274"/>
    <mergeCell ref="H1309:I1309"/>
    <mergeCell ref="E1316:F1316"/>
    <mergeCell ref="H1318:I1318"/>
    <mergeCell ref="E1325:F1325"/>
    <mergeCell ref="H1327:I1327"/>
    <mergeCell ref="E1334:F1334"/>
    <mergeCell ref="H1336:I1336"/>
    <mergeCell ref="E1352:F1352"/>
    <mergeCell ref="E1353:F1353"/>
    <mergeCell ref="E1338:F1338"/>
    <mergeCell ref="E1339:F1339"/>
    <mergeCell ref="E1324:F1324"/>
    <mergeCell ref="E1329:F1329"/>
    <mergeCell ref="E1330:F1330"/>
    <mergeCell ref="E1331:F1331"/>
    <mergeCell ref="E1306:F1306"/>
    <mergeCell ref="E1307:F1307"/>
    <mergeCell ref="E1311:F1311"/>
    <mergeCell ref="E1312:F1312"/>
    <mergeCell ref="E1313:F1313"/>
    <mergeCell ref="E1314:F1314"/>
    <mergeCell ref="E1315:F1315"/>
    <mergeCell ref="E1354:F1354"/>
    <mergeCell ref="H1358:I1358"/>
    <mergeCell ref="E1361:F1361"/>
    <mergeCell ref="E1362:F1362"/>
    <mergeCell ref="E1363:F1363"/>
    <mergeCell ref="H1367:I1367"/>
    <mergeCell ref="E1370:F1370"/>
    <mergeCell ref="E1371:F1371"/>
    <mergeCell ref="E1372:F1372"/>
    <mergeCell ref="H1376:I1376"/>
    <mergeCell ref="E1379:F1379"/>
    <mergeCell ref="E1380:F1380"/>
    <mergeCell ref="E1381:F1381"/>
    <mergeCell ref="H1385:I1385"/>
    <mergeCell ref="E1388:F1388"/>
    <mergeCell ref="E1389:F1389"/>
    <mergeCell ref="E1390:F1390"/>
    <mergeCell ref="E1364:F1364"/>
    <mergeCell ref="E1365:F1365"/>
    <mergeCell ref="E1356:F1356"/>
    <mergeCell ref="E1360:F1360"/>
    <mergeCell ref="E1450:F1450"/>
    <mergeCell ref="E1451:F1451"/>
    <mergeCell ref="E1456:F1456"/>
    <mergeCell ref="E1457:F1457"/>
    <mergeCell ref="E1458:F1458"/>
    <mergeCell ref="E1399:F1399"/>
    <mergeCell ref="H1403:I1403"/>
    <mergeCell ref="E1405:F1405"/>
    <mergeCell ref="E1406:F1406"/>
    <mergeCell ref="E1418:F1418"/>
    <mergeCell ref="E1419:F1419"/>
    <mergeCell ref="H1421:I1421"/>
    <mergeCell ref="E1425:F1425"/>
    <mergeCell ref="E1426:F1426"/>
    <mergeCell ref="E1427:F1427"/>
    <mergeCell ref="H1430:I1430"/>
    <mergeCell ref="E1432:F1432"/>
    <mergeCell ref="E1433:F1433"/>
    <mergeCell ref="E1434:F1434"/>
    <mergeCell ref="H1439:I1439"/>
    <mergeCell ref="E1441:F1441"/>
    <mergeCell ref="H1446:I1446"/>
    <mergeCell ref="E1416:F1416"/>
    <mergeCell ref="E1417:F1417"/>
    <mergeCell ref="E1571:F1571"/>
    <mergeCell ref="E1572:F1572"/>
    <mergeCell ref="E1573:F1573"/>
    <mergeCell ref="E1603:F1603"/>
    <mergeCell ref="E1604:F1604"/>
    <mergeCell ref="E1605:F1605"/>
    <mergeCell ref="E1606:F1606"/>
    <mergeCell ref="E1595:F1595"/>
    <mergeCell ref="E1596:F1596"/>
    <mergeCell ref="E1597:F1597"/>
    <mergeCell ref="E1598:F1598"/>
    <mergeCell ref="E1448:F1448"/>
    <mergeCell ref="H1453:I1453"/>
    <mergeCell ref="E1455:F1455"/>
    <mergeCell ref="H1460:I1460"/>
    <mergeCell ref="E1462:F1462"/>
    <mergeCell ref="E1463:F1463"/>
    <mergeCell ref="E1464:F1464"/>
    <mergeCell ref="H1467:I1467"/>
    <mergeCell ref="E1471:F1471"/>
    <mergeCell ref="E1472:F1472"/>
    <mergeCell ref="H1474:I1474"/>
    <mergeCell ref="H1488:I1488"/>
    <mergeCell ref="E1490:F1490"/>
    <mergeCell ref="E1491:F1491"/>
    <mergeCell ref="H1495:I1495"/>
    <mergeCell ref="E1498:F1498"/>
    <mergeCell ref="E1499:F1499"/>
    <mergeCell ref="E1483:F1483"/>
    <mergeCell ref="E1484:F1484"/>
    <mergeCell ref="E1485:F1485"/>
    <mergeCell ref="E1449:F1449"/>
    <mergeCell ref="E1664:F1664"/>
    <mergeCell ref="E1665:F1665"/>
    <mergeCell ref="H1668:I1668"/>
    <mergeCell ref="E1673:F1673"/>
    <mergeCell ref="E1652:F1652"/>
    <mergeCell ref="E1653:F1653"/>
    <mergeCell ref="E1654:F1654"/>
    <mergeCell ref="E1655:F1655"/>
    <mergeCell ref="E1656:F1656"/>
    <mergeCell ref="E1671:F1671"/>
    <mergeCell ref="E1672:F1672"/>
    <mergeCell ref="E1666:F1666"/>
    <mergeCell ref="E1670:F1670"/>
    <mergeCell ref="E1657:F1657"/>
    <mergeCell ref="E1661:F1661"/>
    <mergeCell ref="E1662:F1662"/>
    <mergeCell ref="E1611:F1611"/>
    <mergeCell ref="E1612:F1612"/>
    <mergeCell ref="E1613:F1613"/>
    <mergeCell ref="E1645:F1645"/>
    <mergeCell ref="H1642:I1642"/>
    <mergeCell ref="H1659:I1659"/>
    <mergeCell ref="E1663:F1663"/>
    <mergeCell ref="E1646:F1646"/>
    <mergeCell ref="E1647:F1647"/>
    <mergeCell ref="E1648:F1648"/>
    <mergeCell ref="H1650:I1650"/>
    <mergeCell ref="E1627:F1627"/>
    <mergeCell ref="E1628:F1628"/>
    <mergeCell ref="H1633:I1633"/>
    <mergeCell ref="E1640:F1640"/>
    <mergeCell ref="E1674:F1674"/>
    <mergeCell ref="E1675:F1675"/>
    <mergeCell ref="E1689:F1689"/>
    <mergeCell ref="H1691:I1691"/>
    <mergeCell ref="E1698:F1698"/>
    <mergeCell ref="E1699:F1699"/>
    <mergeCell ref="E1700:F1700"/>
    <mergeCell ref="H1705:I1705"/>
    <mergeCell ref="E1707:F1707"/>
    <mergeCell ref="E1708:F1708"/>
    <mergeCell ref="H1715:I1715"/>
    <mergeCell ref="E1719:F1719"/>
    <mergeCell ref="E1720:F1720"/>
    <mergeCell ref="E1721:F1721"/>
    <mergeCell ref="H1723:I1723"/>
    <mergeCell ref="H1731:I1731"/>
    <mergeCell ref="E1733:F1733"/>
    <mergeCell ref="E1729:F1729"/>
    <mergeCell ref="E1679:F1679"/>
    <mergeCell ref="E1680:F1680"/>
    <mergeCell ref="H1682:I1682"/>
    <mergeCell ref="E1684:F1684"/>
    <mergeCell ref="E1685:F1685"/>
    <mergeCell ref="E1686:F1686"/>
    <mergeCell ref="E1676:F1676"/>
    <mergeCell ref="E1677:F1677"/>
    <mergeCell ref="E1678:F1678"/>
    <mergeCell ref="E1687:F1687"/>
    <mergeCell ref="E1688:F1688"/>
    <mergeCell ref="E1693:F1693"/>
    <mergeCell ref="E1701:F1701"/>
    <mergeCell ref="E1702:F1702"/>
    <mergeCell ref="H1740:I1740"/>
    <mergeCell ref="E1773:F1773"/>
    <mergeCell ref="H1775:I1775"/>
    <mergeCell ref="A1777:K1777"/>
    <mergeCell ref="E1782:F1782"/>
    <mergeCell ref="E1783:F1783"/>
    <mergeCell ref="E1784:F1784"/>
    <mergeCell ref="H1789:I1789"/>
    <mergeCell ref="E1791:F1791"/>
    <mergeCell ref="E1798:F1798"/>
    <mergeCell ref="E1799:F1799"/>
    <mergeCell ref="E1800:F1800"/>
    <mergeCell ref="H1802:I1802"/>
    <mergeCell ref="E1804:F1804"/>
    <mergeCell ref="E1737:F1737"/>
    <mergeCell ref="E1738:F1738"/>
    <mergeCell ref="E1763:F1763"/>
    <mergeCell ref="E1764:F1764"/>
    <mergeCell ref="E1765:F1765"/>
    <mergeCell ref="E1766:F1766"/>
    <mergeCell ref="E1767:F1767"/>
    <mergeCell ref="E1768:F1768"/>
    <mergeCell ref="E1755:F1755"/>
    <mergeCell ref="E1756:F1756"/>
    <mergeCell ref="E1757:F1757"/>
    <mergeCell ref="E1758:F1758"/>
    <mergeCell ref="E1759:F1759"/>
    <mergeCell ref="H1761:I1761"/>
    <mergeCell ref="H1748:I1748"/>
    <mergeCell ref="E1752:F1752"/>
    <mergeCell ref="E1753:F1753"/>
    <mergeCell ref="H1822:I1822"/>
    <mergeCell ref="E1824:F1824"/>
    <mergeCell ref="E1825:F1825"/>
    <mergeCell ref="H1831:I1831"/>
    <mergeCell ref="E1833:F1833"/>
    <mergeCell ref="E1834:F1834"/>
    <mergeCell ref="H1837:I1837"/>
    <mergeCell ref="H1843:I1843"/>
    <mergeCell ref="E1845:F1845"/>
    <mergeCell ref="H1849:I1849"/>
    <mergeCell ref="E1853:F1853"/>
    <mergeCell ref="E1854:F1854"/>
    <mergeCell ref="E1872:F1872"/>
    <mergeCell ref="E1873:F1873"/>
    <mergeCell ref="H1876:I1876"/>
    <mergeCell ref="E1881:F1881"/>
    <mergeCell ref="E1882:F1882"/>
    <mergeCell ref="E1867:F1867"/>
    <mergeCell ref="E1868:F1868"/>
    <mergeCell ref="E1869:F1869"/>
    <mergeCell ref="E1870:F1870"/>
    <mergeCell ref="E1879:F1879"/>
    <mergeCell ref="E1880:F1880"/>
    <mergeCell ref="E1874:F1874"/>
    <mergeCell ref="E1878:F1878"/>
    <mergeCell ref="E1826:F1826"/>
    <mergeCell ref="E1827:F1827"/>
    <mergeCell ref="E1828:F1828"/>
    <mergeCell ref="E1851:F1851"/>
    <mergeCell ref="E1852:F1852"/>
    <mergeCell ref="E1858:F1858"/>
    <mergeCell ref="E1846:F1846"/>
    <mergeCell ref="E1883:F1883"/>
    <mergeCell ref="H1886:I1886"/>
    <mergeCell ref="E1889:F1889"/>
    <mergeCell ref="E1890:F1890"/>
    <mergeCell ref="E1891:F1891"/>
    <mergeCell ref="H1897:I1897"/>
    <mergeCell ref="E1899:F1899"/>
    <mergeCell ref="E1900:F1900"/>
    <mergeCell ref="E1901:F1901"/>
    <mergeCell ref="H1905:I1905"/>
    <mergeCell ref="E1907:F1907"/>
    <mergeCell ref="E1908:F1908"/>
    <mergeCell ref="E1909:F1909"/>
    <mergeCell ref="H1915:I1915"/>
    <mergeCell ref="E1920:F1920"/>
    <mergeCell ref="E1921:F1921"/>
    <mergeCell ref="E1922:F1922"/>
    <mergeCell ref="E1895:F1895"/>
    <mergeCell ref="E1902:F1902"/>
    <mergeCell ref="E1888:F1888"/>
    <mergeCell ref="E1892:F1892"/>
    <mergeCell ref="E1893:F1893"/>
    <mergeCell ref="E1894:F1894"/>
    <mergeCell ref="E1884:F1884"/>
    <mergeCell ref="E1903:F1903"/>
    <mergeCell ref="E1979:F1979"/>
    <mergeCell ref="E1980:F1980"/>
    <mergeCell ref="E1981:F1981"/>
    <mergeCell ref="H1925:I1925"/>
    <mergeCell ref="E1930:F1930"/>
    <mergeCell ref="E1931:F1931"/>
    <mergeCell ref="H1933:I1933"/>
    <mergeCell ref="H1943:I1943"/>
    <mergeCell ref="E1945:F1945"/>
    <mergeCell ref="H1951:I1951"/>
    <mergeCell ref="E1956:F1956"/>
    <mergeCell ref="E1957:F1957"/>
    <mergeCell ref="E1958:F1958"/>
    <mergeCell ref="H1964:I1964"/>
    <mergeCell ref="E1953:F1953"/>
    <mergeCell ref="E1954:F1954"/>
    <mergeCell ref="E1969:F1969"/>
    <mergeCell ref="E1970:F1970"/>
    <mergeCell ref="E1971:F1971"/>
    <mergeCell ref="H1974:I1974"/>
    <mergeCell ref="E1972:F1972"/>
    <mergeCell ref="E1966:F1966"/>
    <mergeCell ref="E1967:F1967"/>
    <mergeCell ref="E1968:F1968"/>
    <mergeCell ref="E1955:F1955"/>
    <mergeCell ref="E1959:F1959"/>
    <mergeCell ref="E1960:F1960"/>
    <mergeCell ref="E1961:F1961"/>
    <mergeCell ref="E1962:F1962"/>
    <mergeCell ref="E1976:F1976"/>
    <mergeCell ref="E2020:F2020"/>
    <mergeCell ref="E2021:F2021"/>
    <mergeCell ref="E2022:F2022"/>
    <mergeCell ref="H2026:I2026"/>
    <mergeCell ref="E2028:F2028"/>
    <mergeCell ref="E2038:F2038"/>
    <mergeCell ref="E2039:F2039"/>
    <mergeCell ref="E2040:F2040"/>
    <mergeCell ref="H2042:I2042"/>
    <mergeCell ref="E2044:F2044"/>
    <mergeCell ref="E2045:F2045"/>
    <mergeCell ref="E2046:F2046"/>
    <mergeCell ref="H2048:I2048"/>
    <mergeCell ref="E2051:F2051"/>
    <mergeCell ref="E2052:F2052"/>
    <mergeCell ref="H2054:I2054"/>
    <mergeCell ref="E1982:F1982"/>
    <mergeCell ref="E1983:F1983"/>
    <mergeCell ref="E1984:F1984"/>
    <mergeCell ref="H1987:I1987"/>
    <mergeCell ref="E1994:F1994"/>
    <mergeCell ref="E1995:F1995"/>
    <mergeCell ref="E1996:F1996"/>
    <mergeCell ref="H2000:I2000"/>
    <mergeCell ref="E2004:F2004"/>
    <mergeCell ref="E2005:F2005"/>
    <mergeCell ref="E2006:F2006"/>
    <mergeCell ref="E2011:F2011"/>
    <mergeCell ref="H2013:I2013"/>
    <mergeCell ref="E1977:F1977"/>
    <mergeCell ref="E1978:F1978"/>
    <mergeCell ref="H2060:I2060"/>
    <mergeCell ref="E2036:F2036"/>
    <mergeCell ref="E2037:F2037"/>
    <mergeCell ref="H2033:I2033"/>
    <mergeCell ref="E2035:F2035"/>
    <mergeCell ref="E2062:F2062"/>
    <mergeCell ref="H2066:I2066"/>
    <mergeCell ref="E2068:F2068"/>
    <mergeCell ref="E2078:F2078"/>
    <mergeCell ref="E2079:F2079"/>
    <mergeCell ref="E2080:F2080"/>
    <mergeCell ref="H2082:I2082"/>
    <mergeCell ref="E2084:F2084"/>
    <mergeCell ref="E2085:F2085"/>
    <mergeCell ref="E2086:F2086"/>
    <mergeCell ref="H2088:I2088"/>
    <mergeCell ref="H2100:I2100"/>
    <mergeCell ref="E2090:F2090"/>
    <mergeCell ref="E2091:F2091"/>
    <mergeCell ref="E2092:F2092"/>
    <mergeCell ref="H2094:I2094"/>
    <mergeCell ref="E2096:F2096"/>
    <mergeCell ref="E2097:F2097"/>
    <mergeCell ref="E2098:F2098"/>
    <mergeCell ref="E2069:F2069"/>
    <mergeCell ref="E2070:F2070"/>
    <mergeCell ref="E2071:F2071"/>
    <mergeCell ref="E2063:F2063"/>
    <mergeCell ref="E2064:F2064"/>
    <mergeCell ref="E2056:F2056"/>
    <mergeCell ref="E2057:F2057"/>
    <mergeCell ref="E2058:F2058"/>
    <mergeCell ref="E2120:F2120"/>
    <mergeCell ref="E2138:F2138"/>
    <mergeCell ref="H2140:I2140"/>
    <mergeCell ref="H2147:I2147"/>
    <mergeCell ref="E2149:F2149"/>
    <mergeCell ref="H2154:I2154"/>
    <mergeCell ref="E2158:F2158"/>
    <mergeCell ref="H2160:I2160"/>
    <mergeCell ref="E2165:F2165"/>
    <mergeCell ref="E2166:F2166"/>
    <mergeCell ref="E2167:F2167"/>
    <mergeCell ref="H2169:I2169"/>
    <mergeCell ref="E2172:F2172"/>
    <mergeCell ref="E2173:F2173"/>
    <mergeCell ref="E2117:F2117"/>
    <mergeCell ref="E2121:F2121"/>
    <mergeCell ref="E2122:F2122"/>
    <mergeCell ref="E2123:F2123"/>
    <mergeCell ref="E2124:F2124"/>
    <mergeCell ref="H2126:I2126"/>
    <mergeCell ref="E2128:F2128"/>
    <mergeCell ref="E2129:F2129"/>
    <mergeCell ref="E2130:F2130"/>
    <mergeCell ref="E2131:F2131"/>
    <mergeCell ref="H2133:I2133"/>
    <mergeCell ref="E2135:F2135"/>
    <mergeCell ref="E2136:F2136"/>
    <mergeCell ref="E2162:F2162"/>
    <mergeCell ref="E2163:F2163"/>
    <mergeCell ref="E2164:F2164"/>
    <mergeCell ref="E2156:F2156"/>
    <mergeCell ref="E2157:F2157"/>
    <mergeCell ref="H2201:I2201"/>
    <mergeCell ref="E2203:F2203"/>
    <mergeCell ref="H2208:I2208"/>
    <mergeCell ref="E2212:F2212"/>
    <mergeCell ref="H2214:I2214"/>
    <mergeCell ref="E2219:F2219"/>
    <mergeCell ref="E2220:F2220"/>
    <mergeCell ref="E2221:F2221"/>
    <mergeCell ref="H2223:I2223"/>
    <mergeCell ref="E2226:F2226"/>
    <mergeCell ref="E2227:F2227"/>
    <mergeCell ref="E2228:F2228"/>
    <mergeCell ref="E2246:F2246"/>
    <mergeCell ref="H2248:I2248"/>
    <mergeCell ref="E2176:F2176"/>
    <mergeCell ref="E2177:F2177"/>
    <mergeCell ref="E2178:F2178"/>
    <mergeCell ref="H2180:I2180"/>
    <mergeCell ref="E2182:F2182"/>
    <mergeCell ref="E2210:F2210"/>
    <mergeCell ref="E2211:F2211"/>
    <mergeCell ref="E2199:F2199"/>
    <mergeCell ref="E2204:F2204"/>
    <mergeCell ref="E2205:F2205"/>
    <mergeCell ref="E2206:F2206"/>
    <mergeCell ref="E2191:F2191"/>
    <mergeCell ref="E2196:F2196"/>
    <mergeCell ref="E2197:F2197"/>
    <mergeCell ref="E2198:F2198"/>
    <mergeCell ref="E2225:F2225"/>
    <mergeCell ref="E2244:F2244"/>
    <mergeCell ref="E2229:F2229"/>
    <mergeCell ref="H2302:I2302"/>
    <mergeCell ref="E2304:F2304"/>
    <mergeCell ref="E2308:F2308"/>
    <mergeCell ref="E2309:F2309"/>
    <mergeCell ref="E2310:F2310"/>
    <mergeCell ref="H2312:I2312"/>
    <mergeCell ref="E2314:F2314"/>
    <mergeCell ref="E2315:F2315"/>
    <mergeCell ref="E2316:F2316"/>
    <mergeCell ref="H2318:I2318"/>
    <mergeCell ref="E2321:F2321"/>
    <mergeCell ref="E2305:F2305"/>
    <mergeCell ref="E2306:F2306"/>
    <mergeCell ref="E2307:F2307"/>
    <mergeCell ref="E2322:F2322"/>
    <mergeCell ref="H2324:I2324"/>
    <mergeCell ref="E2327:F2327"/>
    <mergeCell ref="E2368:F2368"/>
    <mergeCell ref="H2370:I2370"/>
    <mergeCell ref="E2363:F2363"/>
    <mergeCell ref="E2364:F2364"/>
    <mergeCell ref="E2365:F2365"/>
    <mergeCell ref="E2345:F2345"/>
    <mergeCell ref="E2346:F2346"/>
    <mergeCell ref="E2347:F2347"/>
    <mergeCell ref="H2349:I2349"/>
    <mergeCell ref="E2351:F2351"/>
    <mergeCell ref="E2352:F2352"/>
    <mergeCell ref="H2376:I2376"/>
    <mergeCell ref="E2378:F2378"/>
    <mergeCell ref="E2379:F2379"/>
    <mergeCell ref="E2380:F2380"/>
    <mergeCell ref="H2388:I2388"/>
    <mergeCell ref="E2390:F2390"/>
    <mergeCell ref="E2391:F2391"/>
    <mergeCell ref="E2392:F2392"/>
    <mergeCell ref="E2381:F2381"/>
    <mergeCell ref="E2382:F2382"/>
    <mergeCell ref="E2383:F2383"/>
    <mergeCell ref="E2384:F2384"/>
    <mergeCell ref="E2385:F2385"/>
    <mergeCell ref="E2386:F2386"/>
    <mergeCell ref="H2421:I2421"/>
    <mergeCell ref="E2427:F2427"/>
    <mergeCell ref="E2428:F2428"/>
    <mergeCell ref="E2397:F2397"/>
    <mergeCell ref="E2398:F2398"/>
    <mergeCell ref="H2400:I2400"/>
    <mergeCell ref="E2393:F2393"/>
    <mergeCell ref="E2394:F2394"/>
    <mergeCell ref="E2395:F2395"/>
    <mergeCell ref="E2396:F2396"/>
    <mergeCell ref="E2419:F2419"/>
    <mergeCell ref="H2412:I2412"/>
    <mergeCell ref="E2414:F2414"/>
    <mergeCell ref="E2415:F2415"/>
    <mergeCell ref="E2416:F2416"/>
    <mergeCell ref="E2417:F2417"/>
    <mergeCell ref="E2418:F2418"/>
    <mergeCell ref="E2402:F2402"/>
    <mergeCell ref="E2403:F2403"/>
    <mergeCell ref="E2404:F2404"/>
    <mergeCell ref="E2405:F2405"/>
    <mergeCell ref="E2406:F2406"/>
    <mergeCell ref="E2407:F2407"/>
    <mergeCell ref="E2408:F2408"/>
    <mergeCell ref="E2429:F2429"/>
    <mergeCell ref="H2433:I2433"/>
    <mergeCell ref="E2435:F2435"/>
    <mergeCell ref="E2436:F2436"/>
    <mergeCell ref="E2437:F2437"/>
    <mergeCell ref="H2441:I2441"/>
    <mergeCell ref="E2443:F2443"/>
    <mergeCell ref="E2444:F2444"/>
    <mergeCell ref="E2445:F2445"/>
    <mergeCell ref="H2449:I2449"/>
    <mergeCell ref="E2451:F2451"/>
    <mergeCell ref="E2452:F2452"/>
    <mergeCell ref="E2453:F2453"/>
    <mergeCell ref="H2457:I2457"/>
    <mergeCell ref="E2423:F2423"/>
    <mergeCell ref="E2424:F2424"/>
    <mergeCell ref="E2425:F2425"/>
    <mergeCell ref="E2426:F2426"/>
    <mergeCell ref="E2430:F2430"/>
    <mergeCell ref="E2431:F2431"/>
    <mergeCell ref="H2490:I2490"/>
    <mergeCell ref="E2492:F2492"/>
    <mergeCell ref="E2493:F2493"/>
    <mergeCell ref="E2494:F2494"/>
    <mergeCell ref="H2496:I2496"/>
    <mergeCell ref="E2498:F2498"/>
    <mergeCell ref="E2499:F2499"/>
    <mergeCell ref="E2500:F2500"/>
    <mergeCell ref="H2502:I2502"/>
    <mergeCell ref="E2504:F2504"/>
    <mergeCell ref="E2505:F2505"/>
    <mergeCell ref="E2506:F2506"/>
    <mergeCell ref="H2508:I2508"/>
    <mergeCell ref="E2510:F2510"/>
    <mergeCell ref="E2511:F2511"/>
    <mergeCell ref="E2512:F2512"/>
    <mergeCell ref="H2514:I2514"/>
    <mergeCell ref="H2520:I2520"/>
    <mergeCell ref="E2522:F2522"/>
    <mergeCell ref="E2523:F2523"/>
    <mergeCell ref="E2524:F2524"/>
    <mergeCell ref="H2526:I2526"/>
    <mergeCell ref="E2528:F2528"/>
    <mergeCell ref="E2529:F2529"/>
    <mergeCell ref="E2530:F2530"/>
    <mergeCell ref="H2532:I2532"/>
    <mergeCell ref="E2534:F2534"/>
    <mergeCell ref="E2535:F2535"/>
    <mergeCell ref="E2536:F2536"/>
    <mergeCell ref="H2538:I2538"/>
    <mergeCell ref="E2540:F2540"/>
    <mergeCell ref="E2541:F2541"/>
    <mergeCell ref="E2542:F2542"/>
    <mergeCell ref="H2544:I2544"/>
    <mergeCell ref="H2550:I2550"/>
    <mergeCell ref="E2552:F2552"/>
    <mergeCell ref="E2553:F2553"/>
    <mergeCell ref="E2554:F2554"/>
    <mergeCell ref="H2556:I2556"/>
    <mergeCell ref="E2558:F2558"/>
    <mergeCell ref="E2559:F2559"/>
    <mergeCell ref="E2560:F2560"/>
    <mergeCell ref="H2562:I2562"/>
    <mergeCell ref="E2564:F2564"/>
    <mergeCell ref="E2565:F2565"/>
    <mergeCell ref="E2566:F2566"/>
    <mergeCell ref="H2568:I2568"/>
    <mergeCell ref="E2570:F2570"/>
    <mergeCell ref="E2571:F2571"/>
    <mergeCell ref="E2572:F2572"/>
    <mergeCell ref="H2574:I2574"/>
    <mergeCell ref="H2580:I2580"/>
    <mergeCell ref="E2582:F2582"/>
    <mergeCell ref="E2583:F2583"/>
    <mergeCell ref="E2584:F2584"/>
    <mergeCell ref="H2586:I2586"/>
    <mergeCell ref="E2588:F2588"/>
    <mergeCell ref="E2589:F2589"/>
    <mergeCell ref="E2590:F2590"/>
    <mergeCell ref="H2592:I2592"/>
    <mergeCell ref="E2594:F2594"/>
    <mergeCell ref="E2595:F2595"/>
    <mergeCell ref="E2596:F2596"/>
    <mergeCell ref="H2598:I2598"/>
    <mergeCell ref="E2600:F2600"/>
    <mergeCell ref="E2601:F2601"/>
    <mergeCell ref="E2602:F2602"/>
    <mergeCell ref="H2604:I2604"/>
    <mergeCell ref="E2607:F2607"/>
    <mergeCell ref="E2608:F2608"/>
    <mergeCell ref="H2610:I2610"/>
    <mergeCell ref="E2612:F2612"/>
    <mergeCell ref="E2613:F2613"/>
    <mergeCell ref="E2614:F2614"/>
    <mergeCell ref="H2616:I2616"/>
    <mergeCell ref="E2618:F2618"/>
    <mergeCell ref="E2619:F2619"/>
    <mergeCell ref="E2620:F2620"/>
    <mergeCell ref="H2622:I2622"/>
    <mergeCell ref="E2624:F2624"/>
    <mergeCell ref="E2625:F2625"/>
    <mergeCell ref="E2626:F2626"/>
    <mergeCell ref="H2628:I2628"/>
    <mergeCell ref="E2630:F2630"/>
    <mergeCell ref="E2631:F2631"/>
    <mergeCell ref="E2632:F2632"/>
    <mergeCell ref="H2634:I2634"/>
    <mergeCell ref="E2636:F2636"/>
    <mergeCell ref="E2637:F2637"/>
    <mergeCell ref="E2638:F2638"/>
    <mergeCell ref="H2640:I2640"/>
    <mergeCell ref="E2642:F2642"/>
    <mergeCell ref="E2643:F2643"/>
    <mergeCell ref="E2644:F2644"/>
    <mergeCell ref="H2646:I2646"/>
    <mergeCell ref="E2648:F2648"/>
    <mergeCell ref="E2649:F2649"/>
    <mergeCell ref="E2650:F2650"/>
    <mergeCell ref="H2652:I2652"/>
    <mergeCell ref="E2654:F2654"/>
    <mergeCell ref="E2655:F2655"/>
    <mergeCell ref="E2656:F2656"/>
    <mergeCell ref="H2658:I2658"/>
    <mergeCell ref="E2660:F2660"/>
    <mergeCell ref="E2661:F2661"/>
    <mergeCell ref="E2662:F2662"/>
    <mergeCell ref="H2664:I2664"/>
    <mergeCell ref="E2666:F2666"/>
    <mergeCell ref="E2667:F2667"/>
    <mergeCell ref="E2668:F2668"/>
    <mergeCell ref="H2670:I2670"/>
    <mergeCell ref="E2672:F2672"/>
    <mergeCell ref="E2673:F2673"/>
    <mergeCell ref="E2674:F2674"/>
    <mergeCell ref="H2676:I2676"/>
    <mergeCell ref="E2678:F2678"/>
    <mergeCell ref="E2679:F2679"/>
    <mergeCell ref="E2680:F2680"/>
    <mergeCell ref="H2682:I2682"/>
    <mergeCell ref="H2688:I2688"/>
    <mergeCell ref="E2691:F2691"/>
    <mergeCell ref="E2692:F2692"/>
    <mergeCell ref="H2694:I2694"/>
    <mergeCell ref="H2700:I2700"/>
    <mergeCell ref="E2704:F2704"/>
    <mergeCell ref="E2684:F2684"/>
    <mergeCell ref="E2685:F2685"/>
    <mergeCell ref="E2702:F2702"/>
    <mergeCell ref="E2703:F2703"/>
    <mergeCell ref="H2713:I2713"/>
    <mergeCell ref="E2715:F2715"/>
    <mergeCell ref="E2722:F2722"/>
    <mergeCell ref="E2723:F2723"/>
    <mergeCell ref="E2724:F2724"/>
    <mergeCell ref="H2726:I2726"/>
    <mergeCell ref="E2733:F2733"/>
    <mergeCell ref="E2732:F2732"/>
    <mergeCell ref="E2720:F2720"/>
    <mergeCell ref="E2721:F2721"/>
    <mergeCell ref="E2707:F2707"/>
    <mergeCell ref="E2696:F2696"/>
    <mergeCell ref="E2697:F2697"/>
    <mergeCell ref="E2698:F2698"/>
    <mergeCell ref="E2686:F2686"/>
    <mergeCell ref="E2690:F2690"/>
    <mergeCell ref="E2705:F2705"/>
    <mergeCell ref="E2706:F2706"/>
    <mergeCell ref="E2708:F2708"/>
    <mergeCell ref="E2709:F2709"/>
    <mergeCell ref="E2710:F2710"/>
    <mergeCell ref="E2711:F2711"/>
    <mergeCell ref="H2735:I2735"/>
    <mergeCell ref="H2744:I2744"/>
    <mergeCell ref="E2746:F2746"/>
    <mergeCell ref="E2747:F2747"/>
    <mergeCell ref="H2755:I2755"/>
    <mergeCell ref="E2757:F2757"/>
    <mergeCell ref="E2758:F2758"/>
    <mergeCell ref="E2759:F2759"/>
    <mergeCell ref="E2765:F2765"/>
    <mergeCell ref="H2767:I2767"/>
    <mergeCell ref="E2760:F2760"/>
    <mergeCell ref="E2761:F2761"/>
    <mergeCell ref="E2751:F2751"/>
    <mergeCell ref="E2752:F2752"/>
    <mergeCell ref="E2753:F2753"/>
    <mergeCell ref="E2773:F2773"/>
    <mergeCell ref="E2774:F2774"/>
    <mergeCell ref="E2750:F2750"/>
    <mergeCell ref="E2738:F2738"/>
    <mergeCell ref="E2739:F2739"/>
    <mergeCell ref="E2740:F2740"/>
    <mergeCell ref="E2741:F2741"/>
    <mergeCell ref="E2775:F2775"/>
    <mergeCell ref="H2779:I2779"/>
    <mergeCell ref="E2783:F2783"/>
    <mergeCell ref="E2784:F2784"/>
    <mergeCell ref="E2785:F2785"/>
    <mergeCell ref="H2787:I2787"/>
    <mergeCell ref="E2789:F2789"/>
    <mergeCell ref="E2790:F2790"/>
    <mergeCell ref="E2791:F2791"/>
    <mergeCell ref="H2795:I2795"/>
    <mergeCell ref="E2797:F2797"/>
    <mergeCell ref="E2801:F2801"/>
    <mergeCell ref="E2802:F2802"/>
    <mergeCell ref="E2803:F2803"/>
    <mergeCell ref="H2805:I2805"/>
    <mergeCell ref="E2792:F2792"/>
    <mergeCell ref="E2793:F2793"/>
    <mergeCell ref="E2781:F2781"/>
    <mergeCell ref="E2782:F2782"/>
    <mergeCell ref="E2807:F2807"/>
    <mergeCell ref="E2808:F2808"/>
    <mergeCell ref="E2809:F2809"/>
    <mergeCell ref="H2811:I2811"/>
    <mergeCell ref="H2823:I2823"/>
    <mergeCell ref="E2827:F2827"/>
    <mergeCell ref="H2829:I2829"/>
    <mergeCell ref="E2833:F2833"/>
    <mergeCell ref="E2834:F2834"/>
    <mergeCell ref="E2835:F2835"/>
    <mergeCell ref="H2838:I2838"/>
    <mergeCell ref="E2840:F2840"/>
    <mergeCell ref="E2841:F2841"/>
    <mergeCell ref="E2845:F2845"/>
    <mergeCell ref="E2846:F2846"/>
    <mergeCell ref="E2847:F2847"/>
    <mergeCell ref="H2849:I2849"/>
    <mergeCell ref="E2832:F2832"/>
    <mergeCell ref="E2836:F2836"/>
    <mergeCell ref="E2825:F2825"/>
    <mergeCell ref="E2826:F2826"/>
    <mergeCell ref="E2831:F2831"/>
    <mergeCell ref="H2817:I2817"/>
    <mergeCell ref="E2819:F2819"/>
    <mergeCell ref="E2820:F2820"/>
    <mergeCell ref="E2821:F2821"/>
    <mergeCell ref="E2813:F2813"/>
    <mergeCell ref="E2814:F2814"/>
    <mergeCell ref="E2815:F2815"/>
    <mergeCell ref="E2842:F2842"/>
    <mergeCell ref="E2843:F2843"/>
    <mergeCell ref="E2844:F2844"/>
    <mergeCell ref="E2851:F2851"/>
    <mergeCell ref="E2852:F2852"/>
    <mergeCell ref="E2853:F2853"/>
    <mergeCell ref="H2855:I2855"/>
    <mergeCell ref="E2857:F2857"/>
    <mergeCell ref="E2858:F2858"/>
    <mergeCell ref="E2859:F2859"/>
    <mergeCell ref="H2861:I2861"/>
    <mergeCell ref="H2867:I2867"/>
    <mergeCell ref="E2870:F2870"/>
    <mergeCell ref="E2871:F2871"/>
    <mergeCell ref="H2873:I2873"/>
    <mergeCell ref="H2879:I2879"/>
    <mergeCell ref="E2881:F2881"/>
    <mergeCell ref="E2882:F2882"/>
    <mergeCell ref="E2890:F2890"/>
    <mergeCell ref="H2892:I2892"/>
    <mergeCell ref="E2883:F2883"/>
    <mergeCell ref="E2884:F2884"/>
    <mergeCell ref="E2885:F2885"/>
    <mergeCell ref="E2875:F2875"/>
    <mergeCell ref="E2876:F2876"/>
    <mergeCell ref="E2877:F2877"/>
    <mergeCell ref="E2864:F2864"/>
    <mergeCell ref="E2865:F2865"/>
    <mergeCell ref="E2869:F2869"/>
    <mergeCell ref="E2863:F2863"/>
    <mergeCell ref="E2886:F2886"/>
    <mergeCell ref="E2887:F2887"/>
    <mergeCell ref="E2888:F2888"/>
    <mergeCell ref="E2889:F2889"/>
    <mergeCell ref="E2941:F2941"/>
    <mergeCell ref="H2949:I2949"/>
    <mergeCell ref="E2938:F2938"/>
    <mergeCell ref="E2942:F2942"/>
    <mergeCell ref="E2943:F2943"/>
    <mergeCell ref="E2944:F2944"/>
    <mergeCell ref="E2945:F2945"/>
    <mergeCell ref="E2946:F2946"/>
    <mergeCell ref="E2947:F2947"/>
    <mergeCell ref="E2931:F2931"/>
    <mergeCell ref="E2932:F2932"/>
    <mergeCell ref="E2933:F2933"/>
    <mergeCell ref="E2934:F2934"/>
    <mergeCell ref="E2951:F2951"/>
    <mergeCell ref="E2952:F2952"/>
    <mergeCell ref="E2953:F2953"/>
    <mergeCell ref="H2961:I2961"/>
    <mergeCell ref="E2956:F2956"/>
    <mergeCell ref="E2957:F2957"/>
    <mergeCell ref="E2958:F2958"/>
    <mergeCell ref="E2959:F2959"/>
    <mergeCell ref="E2954:F2954"/>
    <mergeCell ref="E2955:F2955"/>
    <mergeCell ref="E2963:F2963"/>
    <mergeCell ref="E2971:F2971"/>
    <mergeCell ref="H2973:I2973"/>
    <mergeCell ref="H2983:I2983"/>
    <mergeCell ref="E2985:F2985"/>
    <mergeCell ref="E2986:F2986"/>
    <mergeCell ref="E3001:F3001"/>
    <mergeCell ref="E3002:F3002"/>
    <mergeCell ref="E3003:F3003"/>
    <mergeCell ref="H3006:I3006"/>
    <mergeCell ref="E3008:F3008"/>
    <mergeCell ref="E3009:F3009"/>
    <mergeCell ref="E3019:F3019"/>
    <mergeCell ref="E2964:F2964"/>
    <mergeCell ref="E2965:F2965"/>
    <mergeCell ref="E2966:F2966"/>
    <mergeCell ref="E2967:F2967"/>
    <mergeCell ref="E2968:F2968"/>
    <mergeCell ref="E2969:F2969"/>
    <mergeCell ref="E2970:F2970"/>
    <mergeCell ref="E2975:F2975"/>
    <mergeCell ref="E2976:F2976"/>
    <mergeCell ref="E2977:F2977"/>
    <mergeCell ref="E3032:F3032"/>
    <mergeCell ref="E3033:F3033"/>
    <mergeCell ref="H3035:I3035"/>
    <mergeCell ref="H3041:I3041"/>
    <mergeCell ref="E3045:F3045"/>
    <mergeCell ref="E3046:F3046"/>
    <mergeCell ref="E3047:F3047"/>
    <mergeCell ref="H3054:I3054"/>
    <mergeCell ref="E3058:F3058"/>
    <mergeCell ref="E3059:F3059"/>
    <mergeCell ref="E3060:F3060"/>
    <mergeCell ref="H3067:I3067"/>
    <mergeCell ref="E3071:F3071"/>
    <mergeCell ref="E3025:F3025"/>
    <mergeCell ref="E3026:F3026"/>
    <mergeCell ref="E3027:F3027"/>
    <mergeCell ref="E3050:F3050"/>
    <mergeCell ref="E3051:F3051"/>
    <mergeCell ref="E3052:F3052"/>
    <mergeCell ref="E3043:F3043"/>
    <mergeCell ref="E3044:F3044"/>
    <mergeCell ref="E3048:F3048"/>
    <mergeCell ref="E3049:F3049"/>
    <mergeCell ref="E3037:F3037"/>
    <mergeCell ref="E3038:F3038"/>
    <mergeCell ref="E3039:F3039"/>
    <mergeCell ref="E3031:F3031"/>
    <mergeCell ref="E3056:F3056"/>
    <mergeCell ref="E3057:F3057"/>
    <mergeCell ref="E3061:F3061"/>
    <mergeCell ref="E3062:F3062"/>
    <mergeCell ref="E3072:F3072"/>
    <mergeCell ref="E3073:F3073"/>
    <mergeCell ref="E3078:F3078"/>
    <mergeCell ref="H3080:I3080"/>
    <mergeCell ref="E3087:F3087"/>
    <mergeCell ref="E3088:F3088"/>
    <mergeCell ref="E3089:F3089"/>
    <mergeCell ref="H3093:I3093"/>
    <mergeCell ref="E3095:F3095"/>
    <mergeCell ref="E3105:F3105"/>
    <mergeCell ref="E3106:F3106"/>
    <mergeCell ref="E3107:F3107"/>
    <mergeCell ref="H3109:I3109"/>
    <mergeCell ref="E3111:F3111"/>
    <mergeCell ref="E3112:F3112"/>
    <mergeCell ref="E3113:F3113"/>
    <mergeCell ref="H3115:I3115"/>
    <mergeCell ref="H3100:I3100"/>
    <mergeCell ref="E3074:F3074"/>
    <mergeCell ref="E3075:F3075"/>
    <mergeCell ref="E3102:F3102"/>
    <mergeCell ref="E3103:F3103"/>
    <mergeCell ref="E3104:F3104"/>
    <mergeCell ref="H3121:I3121"/>
    <mergeCell ref="E3124:F3124"/>
    <mergeCell ref="E3125:F3125"/>
    <mergeCell ref="H3127:I3127"/>
    <mergeCell ref="H3133:I3133"/>
    <mergeCell ref="E3137:F3137"/>
    <mergeCell ref="E3138:F3138"/>
    <mergeCell ref="E3139:F3139"/>
    <mergeCell ref="H3146:I3146"/>
    <mergeCell ref="E3150:F3150"/>
    <mergeCell ref="E3151:F3151"/>
    <mergeCell ref="E3152:F3152"/>
    <mergeCell ref="H3159:I3159"/>
    <mergeCell ref="E3163:F3163"/>
    <mergeCell ref="E3164:F3164"/>
    <mergeCell ref="E3165:F3165"/>
    <mergeCell ref="H3172:I3172"/>
    <mergeCell ref="H3185:I3185"/>
    <mergeCell ref="E3189:F3189"/>
    <mergeCell ref="E3190:F3190"/>
    <mergeCell ref="E3191:F3191"/>
    <mergeCell ref="H3198:I3198"/>
    <mergeCell ref="E3202:F3202"/>
    <mergeCell ref="E3203:F3203"/>
    <mergeCell ref="E3204:F3204"/>
    <mergeCell ref="H3211:I3211"/>
    <mergeCell ref="E3215:F3215"/>
    <mergeCell ref="E3216:F3216"/>
    <mergeCell ref="E3217:F3217"/>
    <mergeCell ref="H3224:I3224"/>
    <mergeCell ref="E3234:F3234"/>
    <mergeCell ref="E3192:F3192"/>
    <mergeCell ref="E3193:F3193"/>
    <mergeCell ref="E3194:F3194"/>
    <mergeCell ref="E3195:F3195"/>
    <mergeCell ref="E3218:F3218"/>
    <mergeCell ref="E3219:F3219"/>
    <mergeCell ref="E3220:F3220"/>
    <mergeCell ref="E3221:F3221"/>
    <mergeCell ref="E3222:F3222"/>
    <mergeCell ref="E3213:F3213"/>
    <mergeCell ref="E3214:F3214"/>
    <mergeCell ref="E3205:F3205"/>
    <mergeCell ref="E3206:F3206"/>
    <mergeCell ref="E3207:F3207"/>
    <mergeCell ref="E3208:F3208"/>
    <mergeCell ref="E3209:F3209"/>
    <mergeCell ref="E3196:F3196"/>
    <mergeCell ref="E3200:F3200"/>
    <mergeCell ref="E3248:F3248"/>
    <mergeCell ref="E3249:F3249"/>
    <mergeCell ref="H3256:I3256"/>
    <mergeCell ref="E3258:F3258"/>
    <mergeCell ref="E3259:F3259"/>
    <mergeCell ref="E3265:F3265"/>
    <mergeCell ref="E3266:F3266"/>
    <mergeCell ref="E3267:F3267"/>
    <mergeCell ref="H3269:I3269"/>
    <mergeCell ref="E3275:F3275"/>
    <mergeCell ref="E3276:F3276"/>
    <mergeCell ref="H3278:I3278"/>
    <mergeCell ref="E3281:F3281"/>
    <mergeCell ref="E3282:F3282"/>
    <mergeCell ref="E3271:F3271"/>
    <mergeCell ref="E3272:F3272"/>
    <mergeCell ref="E3273:F3273"/>
    <mergeCell ref="E3274:F3274"/>
    <mergeCell ref="E3280:F3280"/>
    <mergeCell ref="E3289:F3289"/>
    <mergeCell ref="E3293:F3293"/>
    <mergeCell ref="E3294:F3294"/>
    <mergeCell ref="H3296:I3296"/>
    <mergeCell ref="E3299:F3299"/>
    <mergeCell ref="E3300:F3300"/>
    <mergeCell ref="H3302:I3302"/>
    <mergeCell ref="H3308:I3308"/>
    <mergeCell ref="E3310:F3310"/>
    <mergeCell ref="E3311:F3311"/>
    <mergeCell ref="H3314:I3314"/>
    <mergeCell ref="E3316:F3316"/>
    <mergeCell ref="E3317:F3317"/>
    <mergeCell ref="H3320:I3320"/>
    <mergeCell ref="E3322:F3322"/>
    <mergeCell ref="E3323:F3323"/>
    <mergeCell ref="E3327:F3327"/>
    <mergeCell ref="E3324:F3324"/>
    <mergeCell ref="E3325:F3325"/>
    <mergeCell ref="E3304:F3304"/>
    <mergeCell ref="E3305:F3305"/>
    <mergeCell ref="E3306:F3306"/>
    <mergeCell ref="E3298:F3298"/>
    <mergeCell ref="E3290:F3290"/>
    <mergeCell ref="E3291:F3291"/>
    <mergeCell ref="E3292:F3292"/>
    <mergeCell ref="E3411:F3411"/>
    <mergeCell ref="E3412:F3412"/>
    <mergeCell ref="H3414:I3414"/>
    <mergeCell ref="E3417:F3417"/>
    <mergeCell ref="E3418:F3418"/>
    <mergeCell ref="H3420:I3420"/>
    <mergeCell ref="H3426:I3426"/>
    <mergeCell ref="E3430:F3430"/>
    <mergeCell ref="H3432:I3432"/>
    <mergeCell ref="H3438:I3438"/>
    <mergeCell ref="E3443:F3443"/>
    <mergeCell ref="E3444:F3444"/>
    <mergeCell ref="E3445:F3445"/>
    <mergeCell ref="H3451:I3451"/>
    <mergeCell ref="E3424:F3424"/>
    <mergeCell ref="E3453:F3453"/>
    <mergeCell ref="E3454:F3454"/>
    <mergeCell ref="E3416:F3416"/>
    <mergeCell ref="E3442:F3442"/>
    <mergeCell ref="E3446:F3446"/>
    <mergeCell ref="E3447:F3447"/>
    <mergeCell ref="E3448:F3448"/>
    <mergeCell ref="E3449:F3449"/>
    <mergeCell ref="E3436:F3436"/>
    <mergeCell ref="E3440:F3440"/>
    <mergeCell ref="E3441:F3441"/>
    <mergeCell ref="E3428:F3428"/>
    <mergeCell ref="E3429:F3429"/>
    <mergeCell ref="E3434:F3434"/>
    <mergeCell ref="E3435:F3435"/>
    <mergeCell ref="E3422:F3422"/>
    <mergeCell ref="E3423:F3423"/>
    <mergeCell ref="E3455:F3455"/>
    <mergeCell ref="E3456:F3456"/>
    <mergeCell ref="H3464:I3464"/>
    <mergeCell ref="E3469:F3469"/>
    <mergeCell ref="E3470:F3470"/>
    <mergeCell ref="E3471:F3471"/>
    <mergeCell ref="H3473:I3473"/>
    <mergeCell ref="E3479:F3479"/>
    <mergeCell ref="E3480:F3480"/>
    <mergeCell ref="H3482:I3482"/>
    <mergeCell ref="H3490:I3490"/>
    <mergeCell ref="E3492:F3492"/>
    <mergeCell ref="E3493:F3493"/>
    <mergeCell ref="E3494:F3494"/>
    <mergeCell ref="H3500:I3500"/>
    <mergeCell ref="E3502:F3502"/>
    <mergeCell ref="E3508:F3508"/>
    <mergeCell ref="E3503:F3503"/>
    <mergeCell ref="E3504:F3504"/>
    <mergeCell ref="E3505:F3505"/>
    <mergeCell ref="E3506:F3506"/>
    <mergeCell ref="E3507:F3507"/>
    <mergeCell ref="H3513:I3513"/>
    <mergeCell ref="E3516:F3516"/>
    <mergeCell ref="E3517:F3517"/>
    <mergeCell ref="E3518:F3518"/>
    <mergeCell ref="H3521:I3521"/>
    <mergeCell ref="E3524:F3524"/>
    <mergeCell ref="E3525:F3525"/>
    <mergeCell ref="E3526:F3526"/>
    <mergeCell ref="H3529:I3529"/>
    <mergeCell ref="E3532:F3532"/>
    <mergeCell ref="E3533:F3533"/>
    <mergeCell ref="E3534:F3534"/>
    <mergeCell ref="H3537:I3537"/>
    <mergeCell ref="E3541:F3541"/>
    <mergeCell ref="E3542:F3542"/>
    <mergeCell ref="E3543:F3543"/>
    <mergeCell ref="H3545:I3545"/>
    <mergeCell ref="E3531:F3531"/>
    <mergeCell ref="E3535:F3535"/>
    <mergeCell ref="E3523:F3523"/>
    <mergeCell ref="E3527:F3527"/>
    <mergeCell ref="E3515:F3515"/>
    <mergeCell ref="E3519:F3519"/>
    <mergeCell ref="H3553:I3553"/>
    <mergeCell ref="E3559:F3559"/>
    <mergeCell ref="E3560:F3560"/>
    <mergeCell ref="H3562:I3562"/>
    <mergeCell ref="E3567:F3567"/>
    <mergeCell ref="E3568:F3568"/>
    <mergeCell ref="E3569:F3569"/>
    <mergeCell ref="H3571:I3571"/>
    <mergeCell ref="E3577:F3577"/>
    <mergeCell ref="E3578:F3578"/>
    <mergeCell ref="H3580:I3580"/>
    <mergeCell ref="E3583:F3583"/>
    <mergeCell ref="E3584:F3584"/>
    <mergeCell ref="E3585:F3585"/>
    <mergeCell ref="H3588:I3588"/>
    <mergeCell ref="E3596:F3596"/>
    <mergeCell ref="H3598:I3598"/>
    <mergeCell ref="H3604:I3604"/>
    <mergeCell ref="H3610:I3610"/>
    <mergeCell ref="E3614:F3614"/>
    <mergeCell ref="H3616:I3616"/>
    <mergeCell ref="H3622:I3622"/>
    <mergeCell ref="E3624:F3624"/>
    <mergeCell ref="E3629:F3629"/>
    <mergeCell ref="E3630:F3630"/>
    <mergeCell ref="E3631:F3631"/>
    <mergeCell ref="H3635:I3635"/>
    <mergeCell ref="E3638:F3638"/>
    <mergeCell ref="E3639:F3639"/>
    <mergeCell ref="E3640:F3640"/>
    <mergeCell ref="E3637:F3637"/>
    <mergeCell ref="E3689:F3689"/>
    <mergeCell ref="E3690:F3690"/>
    <mergeCell ref="E3691:F3691"/>
    <mergeCell ref="E3659:F3659"/>
    <mergeCell ref="E3647:F3647"/>
    <mergeCell ref="E3648:F3648"/>
    <mergeCell ref="E3649:F3649"/>
    <mergeCell ref="E3676:F3676"/>
    <mergeCell ref="E3677:F3677"/>
    <mergeCell ref="E3678:F3678"/>
    <mergeCell ref="E3679:F3679"/>
    <mergeCell ref="H3681:I3681"/>
    <mergeCell ref="H3643:I3643"/>
    <mergeCell ref="E3645:F3645"/>
    <mergeCell ref="E3646:F3646"/>
    <mergeCell ref="E3650:F3650"/>
    <mergeCell ref="E3651:F3651"/>
    <mergeCell ref="E3652:F3652"/>
    <mergeCell ref="H3693:I3693"/>
    <mergeCell ref="E3695:F3695"/>
    <mergeCell ref="E3696:F3696"/>
    <mergeCell ref="E3697:F3697"/>
    <mergeCell ref="H3699:I3699"/>
    <mergeCell ref="E3701:F3701"/>
    <mergeCell ref="E3702:F3702"/>
    <mergeCell ref="E3703:F3703"/>
    <mergeCell ref="H3705:I3705"/>
    <mergeCell ref="E3707:F3707"/>
    <mergeCell ref="E3708:F3708"/>
    <mergeCell ref="E3709:F3709"/>
    <mergeCell ref="E3710:F3710"/>
    <mergeCell ref="E3711:F3711"/>
    <mergeCell ref="A3736:C3736"/>
    <mergeCell ref="F3736:G3736"/>
    <mergeCell ref="H3736:J3736"/>
    <mergeCell ref="A3737:C3737"/>
    <mergeCell ref="F3737:G3737"/>
    <mergeCell ref="H3737:J3737"/>
    <mergeCell ref="E3712:F3712"/>
    <mergeCell ref="H3714:I3714"/>
    <mergeCell ref="E3716:F3716"/>
    <mergeCell ref="E3717:F3717"/>
    <mergeCell ref="E3718:F3718"/>
    <mergeCell ref="E3719:F3719"/>
    <mergeCell ref="E3720:F3720"/>
    <mergeCell ref="E3721:F3721"/>
    <mergeCell ref="H3723:I3723"/>
    <mergeCell ref="E3725:F3725"/>
    <mergeCell ref="E3726:F3726"/>
    <mergeCell ref="E3727:F3727"/>
    <mergeCell ref="E3728:F3728"/>
    <mergeCell ref="E3729:F3729"/>
    <mergeCell ref="E3730:F3730"/>
    <mergeCell ref="H3732:I3732"/>
    <mergeCell ref="A3735:C3735"/>
    <mergeCell ref="F3735:G3735"/>
    <mergeCell ref="H3735:J3735"/>
  </mergeCells>
  <pageMargins left="0.5" right="0.5" top="1" bottom="1" header="0.5" footer="0.5"/>
  <pageSetup paperSize="9" fitToHeight="0" orientation="landscape"/>
  <headerFooter>
    <oddHeader>&amp;L &amp;CMinha Empresa
CNPJ:  &amp;R</oddHeader>
    <oddFooter>&amp;L &amp;C  -  -  / MT
(65) 99217-4973 / aureo.emanoel10@gmail.com &amp;R</oddFooter>
  </headerFooter>
</worksheet>
</file>

<file path=xl/worksheets/sheet9.xml><?xml version="1.0" encoding="utf-8"?>
<worksheet xmlns="http://schemas.openxmlformats.org/spreadsheetml/2006/main" xmlns:r="http://schemas.openxmlformats.org/officeDocument/2006/relationships">
  <sheetPr>
    <pageSetUpPr fitToPage="1"/>
  </sheetPr>
  <dimension ref="A1:L10872"/>
  <sheetViews>
    <sheetView showOutlineSymbols="0" showWhiteSpace="0" topLeftCell="A10863" workbookViewId="0">
      <selection activeCell="J10872" sqref="J10872:L10872"/>
    </sheetView>
  </sheetViews>
  <sheetFormatPr defaultRowHeight="14.25"/>
  <cols>
    <col min="1" max="1" width="11.42578125" style="409" bestFit="1" customWidth="1"/>
    <col min="2" max="3" width="9.140625" style="409" bestFit="1" customWidth="1"/>
    <col min="4" max="4" width="68.5703125" style="409" bestFit="1" customWidth="1"/>
    <col min="5" max="5" width="5.7109375" style="409" bestFit="1" customWidth="1"/>
    <col min="6" max="6" width="11.42578125" style="409" bestFit="1" customWidth="1"/>
    <col min="7" max="7" width="14.85546875" style="409" bestFit="1" customWidth="1"/>
    <col min="8" max="8" width="11.42578125" style="409" bestFit="1" customWidth="1"/>
    <col min="9" max="9" width="9.140625" style="409"/>
    <col min="10" max="10" width="18.85546875" style="409" bestFit="1" customWidth="1"/>
    <col min="11" max="11" width="17.140625" style="409" bestFit="1" customWidth="1"/>
    <col min="12" max="12" width="22.28515625" style="409" bestFit="1" customWidth="1"/>
    <col min="13" max="16384" width="9.140625" style="409"/>
  </cols>
  <sheetData>
    <row r="1" spans="1:12" ht="15" customHeight="1">
      <c r="A1" s="611"/>
      <c r="B1" s="611"/>
      <c r="C1" s="814" t="s">
        <v>12691</v>
      </c>
      <c r="D1" s="814"/>
      <c r="E1" s="814" t="s">
        <v>12692</v>
      </c>
      <c r="F1" s="814"/>
      <c r="G1" s="814"/>
      <c r="H1" s="814" t="s">
        <v>12693</v>
      </c>
      <c r="I1" s="814"/>
      <c r="J1" s="818"/>
      <c r="K1" s="818"/>
      <c r="L1" s="818"/>
    </row>
    <row r="2" spans="1:12" ht="80.099999999999994" customHeight="1">
      <c r="A2" s="612"/>
      <c r="B2" s="612"/>
      <c r="C2" s="802" t="s">
        <v>12695</v>
      </c>
      <c r="D2" s="802"/>
      <c r="E2" s="802" t="s">
        <v>14460</v>
      </c>
      <c r="F2" s="802"/>
      <c r="G2" s="802"/>
      <c r="H2" s="802" t="s">
        <v>13667</v>
      </c>
      <c r="I2" s="802"/>
      <c r="J2" s="818"/>
      <c r="K2" s="818"/>
      <c r="L2" s="818"/>
    </row>
    <row r="3" spans="1:12" ht="15" customHeight="1">
      <c r="A3" s="813" t="s">
        <v>12691</v>
      </c>
      <c r="B3" s="818"/>
      <c r="C3" s="818"/>
      <c r="D3" s="818"/>
      <c r="E3" s="818"/>
      <c r="F3" s="818"/>
      <c r="G3" s="818"/>
      <c r="H3" s="818"/>
      <c r="I3" s="818"/>
      <c r="J3" s="818"/>
      <c r="K3" s="818"/>
      <c r="L3" s="818"/>
    </row>
    <row r="4" spans="1:12" ht="24" customHeight="1">
      <c r="A4" s="616" t="s">
        <v>14299</v>
      </c>
      <c r="B4" s="617" t="s">
        <v>13666</v>
      </c>
      <c r="C4" s="616" t="s">
        <v>8</v>
      </c>
      <c r="D4" s="616" t="s">
        <v>527</v>
      </c>
      <c r="E4" s="618" t="s">
        <v>23</v>
      </c>
      <c r="F4" s="617"/>
      <c r="G4" s="617"/>
      <c r="H4" s="617"/>
      <c r="I4" s="617"/>
      <c r="J4" s="617"/>
      <c r="K4" s="617"/>
      <c r="L4" s="617"/>
    </row>
    <row r="5" spans="1:12" ht="14.25" customHeight="1">
      <c r="A5" s="802" t="s">
        <v>12711</v>
      </c>
      <c r="B5" s="802"/>
      <c r="C5" s="802"/>
      <c r="D5" s="802"/>
      <c r="E5" s="802"/>
      <c r="F5" s="802"/>
      <c r="G5" s="802"/>
      <c r="H5" s="802"/>
      <c r="I5" s="612"/>
      <c r="J5" s="612"/>
      <c r="K5" s="612"/>
      <c r="L5" s="612"/>
    </row>
    <row r="6" spans="1:12" ht="17.100000000000001" customHeight="1">
      <c r="A6" s="612" t="s">
        <v>13679</v>
      </c>
      <c r="B6" s="636" t="s">
        <v>12698</v>
      </c>
      <c r="C6" s="612" t="s">
        <v>12699</v>
      </c>
      <c r="D6" s="612" t="s">
        <v>12700</v>
      </c>
      <c r="E6" s="637" t="s">
        <v>12702</v>
      </c>
      <c r="F6" s="801" t="s">
        <v>12704</v>
      </c>
      <c r="G6" s="801"/>
      <c r="H6" s="801" t="s">
        <v>13678</v>
      </c>
      <c r="I6" s="801"/>
      <c r="J6" s="801" t="s">
        <v>12705</v>
      </c>
      <c r="K6" s="801"/>
      <c r="L6" s="801"/>
    </row>
    <row r="7" spans="1:12" ht="24" customHeight="1">
      <c r="A7" s="626" t="s">
        <v>12709</v>
      </c>
      <c r="B7" s="627" t="s">
        <v>13665</v>
      </c>
      <c r="C7" s="626" t="s">
        <v>8</v>
      </c>
      <c r="D7" s="626" t="s">
        <v>9225</v>
      </c>
      <c r="E7" s="628" t="s">
        <v>23</v>
      </c>
      <c r="F7" s="816" t="s">
        <v>13849</v>
      </c>
      <c r="G7" s="816"/>
      <c r="H7" s="816">
        <v>1</v>
      </c>
      <c r="I7" s="816"/>
      <c r="J7" s="817">
        <v>0.56999999999999995</v>
      </c>
      <c r="K7" s="817"/>
      <c r="L7" s="817"/>
    </row>
    <row r="8" spans="1:12" ht="24" customHeight="1">
      <c r="A8" s="626" t="s">
        <v>12709</v>
      </c>
      <c r="B8" s="627" t="s">
        <v>13664</v>
      </c>
      <c r="C8" s="626" t="s">
        <v>8</v>
      </c>
      <c r="D8" s="626" t="s">
        <v>9372</v>
      </c>
      <c r="E8" s="628" t="s">
        <v>23</v>
      </c>
      <c r="F8" s="816" t="s">
        <v>13728</v>
      </c>
      <c r="G8" s="816"/>
      <c r="H8" s="816">
        <v>1</v>
      </c>
      <c r="I8" s="816"/>
      <c r="J8" s="817">
        <v>0.01</v>
      </c>
      <c r="K8" s="817"/>
      <c r="L8" s="817"/>
    </row>
    <row r="9" spans="1:12" ht="17.100000000000001" customHeight="1">
      <c r="A9" s="636"/>
      <c r="B9" s="636"/>
      <c r="C9" s="636"/>
      <c r="D9" s="636"/>
      <c r="E9" s="636"/>
      <c r="F9" s="636"/>
      <c r="G9" s="636"/>
      <c r="H9" s="636"/>
      <c r="I9" s="636"/>
      <c r="J9" s="636" t="s">
        <v>13675</v>
      </c>
      <c r="K9" s="636"/>
      <c r="L9" s="636" t="s">
        <v>13861</v>
      </c>
    </row>
    <row r="10" spans="1:12" ht="14.25" customHeight="1">
      <c r="A10" s="802" t="s">
        <v>12710</v>
      </c>
      <c r="B10" s="802"/>
      <c r="C10" s="802"/>
      <c r="D10" s="802"/>
      <c r="E10" s="802"/>
      <c r="F10" s="802"/>
      <c r="G10" s="802"/>
      <c r="H10" s="802"/>
      <c r="I10" s="612"/>
      <c r="J10" s="612"/>
      <c r="K10" s="612"/>
      <c r="L10" s="612"/>
    </row>
    <row r="11" spans="1:12" ht="17.100000000000001" customHeight="1">
      <c r="A11" s="612" t="s">
        <v>13679</v>
      </c>
      <c r="B11" s="636" t="s">
        <v>12698</v>
      </c>
      <c r="C11" s="612" t="s">
        <v>12699</v>
      </c>
      <c r="D11" s="612" t="s">
        <v>12700</v>
      </c>
      <c r="E11" s="637" t="s">
        <v>12702</v>
      </c>
      <c r="F11" s="801" t="s">
        <v>12704</v>
      </c>
      <c r="G11" s="801"/>
      <c r="H11" s="801" t="s">
        <v>13678</v>
      </c>
      <c r="I11" s="801"/>
      <c r="J11" s="801" t="s">
        <v>12705</v>
      </c>
      <c r="K11" s="801"/>
      <c r="L11" s="801"/>
    </row>
    <row r="12" spans="1:12" ht="24" customHeight="1">
      <c r="A12" s="626" t="s">
        <v>12709</v>
      </c>
      <c r="B12" s="627" t="s">
        <v>13208</v>
      </c>
      <c r="C12" s="626" t="s">
        <v>8</v>
      </c>
      <c r="D12" s="626" t="s">
        <v>9198</v>
      </c>
      <c r="E12" s="628" t="s">
        <v>23</v>
      </c>
      <c r="F12" s="816" t="s">
        <v>14802</v>
      </c>
      <c r="G12" s="816"/>
      <c r="H12" s="816">
        <v>1.0100053</v>
      </c>
      <c r="I12" s="816"/>
      <c r="J12" s="817">
        <v>42.258600000000001</v>
      </c>
      <c r="K12" s="817"/>
      <c r="L12" s="817"/>
    </row>
    <row r="13" spans="1:12" ht="17.100000000000001" customHeight="1">
      <c r="A13" s="636"/>
      <c r="B13" s="636"/>
      <c r="C13" s="636"/>
      <c r="D13" s="636"/>
      <c r="E13" s="636"/>
      <c r="F13" s="636"/>
      <c r="G13" s="636"/>
      <c r="H13" s="636"/>
      <c r="I13" s="636"/>
      <c r="J13" s="636" t="s">
        <v>13675</v>
      </c>
      <c r="K13" s="636"/>
      <c r="L13" s="636" t="s">
        <v>14801</v>
      </c>
    </row>
    <row r="14" spans="1:12">
      <c r="A14" s="802" t="s">
        <v>12713</v>
      </c>
      <c r="B14" s="802"/>
      <c r="C14" s="802"/>
      <c r="D14" s="802"/>
      <c r="E14" s="802"/>
      <c r="F14" s="802"/>
      <c r="G14" s="802"/>
      <c r="H14" s="802"/>
      <c r="I14" s="612"/>
      <c r="J14" s="612"/>
      <c r="K14" s="612"/>
      <c r="L14" s="612"/>
    </row>
    <row r="15" spans="1:12" ht="17.100000000000001" customHeight="1">
      <c r="A15" s="612" t="s">
        <v>13679</v>
      </c>
      <c r="B15" s="636" t="s">
        <v>12698</v>
      </c>
      <c r="C15" s="612" t="s">
        <v>12699</v>
      </c>
      <c r="D15" s="612" t="s">
        <v>12700</v>
      </c>
      <c r="E15" s="637" t="s">
        <v>12702</v>
      </c>
      <c r="F15" s="801" t="s">
        <v>12704</v>
      </c>
      <c r="G15" s="801"/>
      <c r="H15" s="801" t="s">
        <v>13678</v>
      </c>
      <c r="I15" s="801"/>
      <c r="J15" s="801" t="s">
        <v>12705</v>
      </c>
      <c r="K15" s="801"/>
      <c r="L15" s="801"/>
    </row>
    <row r="16" spans="1:12" ht="24" customHeight="1">
      <c r="A16" s="626" t="s">
        <v>12709</v>
      </c>
      <c r="B16" s="627" t="s">
        <v>12999</v>
      </c>
      <c r="C16" s="626" t="s">
        <v>8</v>
      </c>
      <c r="D16" s="626" t="s">
        <v>11251</v>
      </c>
      <c r="E16" s="628" t="s">
        <v>23</v>
      </c>
      <c r="F16" s="816" t="s">
        <v>13681</v>
      </c>
      <c r="G16" s="816"/>
      <c r="H16" s="816">
        <v>1</v>
      </c>
      <c r="I16" s="816"/>
      <c r="J16" s="817">
        <v>7.0000000000000007E-2</v>
      </c>
      <c r="K16" s="817"/>
      <c r="L16" s="817"/>
    </row>
    <row r="17" spans="1:12" ht="17.100000000000001" customHeight="1">
      <c r="A17" s="636"/>
      <c r="B17" s="636"/>
      <c r="C17" s="636"/>
      <c r="D17" s="636"/>
      <c r="E17" s="636"/>
      <c r="F17" s="636"/>
      <c r="G17" s="636"/>
      <c r="H17" s="636"/>
      <c r="I17" s="636"/>
      <c r="J17" s="636" t="s">
        <v>13675</v>
      </c>
      <c r="K17" s="636"/>
      <c r="L17" s="636" t="s">
        <v>13681</v>
      </c>
    </row>
    <row r="18" spans="1:12">
      <c r="A18" s="802" t="s">
        <v>12712</v>
      </c>
      <c r="B18" s="802"/>
      <c r="C18" s="802"/>
      <c r="D18" s="802"/>
      <c r="E18" s="802"/>
      <c r="F18" s="802"/>
      <c r="G18" s="802"/>
      <c r="H18" s="802"/>
      <c r="I18" s="612"/>
      <c r="J18" s="612"/>
      <c r="K18" s="612"/>
      <c r="L18" s="612"/>
    </row>
    <row r="19" spans="1:12" ht="17.100000000000001" customHeight="1">
      <c r="A19" s="612" t="s">
        <v>13679</v>
      </c>
      <c r="B19" s="636" t="s">
        <v>12698</v>
      </c>
      <c r="C19" s="612" t="s">
        <v>12699</v>
      </c>
      <c r="D19" s="612" t="s">
        <v>12700</v>
      </c>
      <c r="E19" s="637" t="s">
        <v>12702</v>
      </c>
      <c r="F19" s="801" t="s">
        <v>12704</v>
      </c>
      <c r="G19" s="801"/>
      <c r="H19" s="801" t="s">
        <v>13678</v>
      </c>
      <c r="I19" s="801"/>
      <c r="J19" s="801" t="s">
        <v>12705</v>
      </c>
      <c r="K19" s="801"/>
      <c r="L19" s="801"/>
    </row>
    <row r="20" spans="1:12" ht="24" customHeight="1">
      <c r="A20" s="626" t="s">
        <v>12709</v>
      </c>
      <c r="B20" s="627" t="s">
        <v>13002</v>
      </c>
      <c r="C20" s="626" t="s">
        <v>8</v>
      </c>
      <c r="D20" s="626" t="s">
        <v>9306</v>
      </c>
      <c r="E20" s="628" t="s">
        <v>23</v>
      </c>
      <c r="F20" s="816" t="s">
        <v>13677</v>
      </c>
      <c r="G20" s="816"/>
      <c r="H20" s="816">
        <v>1</v>
      </c>
      <c r="I20" s="816"/>
      <c r="J20" s="817">
        <v>0.35</v>
      </c>
      <c r="K20" s="817"/>
      <c r="L20" s="817"/>
    </row>
    <row r="21" spans="1:12" ht="17.100000000000001" customHeight="1">
      <c r="A21" s="636"/>
      <c r="B21" s="636"/>
      <c r="C21" s="636"/>
      <c r="D21" s="636"/>
      <c r="E21" s="636"/>
      <c r="F21" s="636"/>
      <c r="G21" s="636"/>
      <c r="H21" s="636"/>
      <c r="I21" s="636"/>
      <c r="J21" s="636" t="s">
        <v>13675</v>
      </c>
      <c r="K21" s="636"/>
      <c r="L21" s="636" t="s">
        <v>13677</v>
      </c>
    </row>
    <row r="22" spans="1:12" ht="17.100000000000001" customHeight="1">
      <c r="A22" s="612" t="s">
        <v>13673</v>
      </c>
      <c r="B22" s="612"/>
      <c r="C22" s="612"/>
      <c r="D22" s="612"/>
      <c r="E22" s="612"/>
      <c r="F22" s="612"/>
      <c r="G22" s="612"/>
      <c r="H22" s="612"/>
      <c r="I22" s="612"/>
      <c r="J22" s="612"/>
      <c r="K22" s="612"/>
      <c r="L22" s="612"/>
    </row>
    <row r="23" spans="1:12" ht="17.100000000000001" customHeight="1">
      <c r="A23" s="636"/>
      <c r="B23" s="636"/>
      <c r="C23" s="636"/>
      <c r="D23" s="636"/>
      <c r="E23" s="636"/>
      <c r="F23" s="636"/>
      <c r="G23" s="636"/>
      <c r="H23" s="636"/>
      <c r="I23" s="636"/>
      <c r="J23" s="636" t="s">
        <v>13672</v>
      </c>
      <c r="K23" s="636"/>
      <c r="L23" s="636" t="s">
        <v>14861</v>
      </c>
    </row>
    <row r="24" spans="1:12" ht="17.100000000000001" customHeight="1">
      <c r="A24" s="636"/>
      <c r="B24" s="636"/>
      <c r="C24" s="636"/>
      <c r="D24" s="636"/>
      <c r="E24" s="636"/>
      <c r="F24" s="636"/>
      <c r="G24" s="636"/>
      <c r="H24" s="636"/>
      <c r="I24" s="636"/>
      <c r="J24" s="636" t="s">
        <v>13671</v>
      </c>
      <c r="K24" s="636" t="s">
        <v>14461</v>
      </c>
      <c r="L24" s="636" t="s">
        <v>14862</v>
      </c>
    </row>
    <row r="25" spans="1:12" ht="17.100000000000001" customHeight="1">
      <c r="A25" s="636"/>
      <c r="B25" s="636"/>
      <c r="C25" s="636"/>
      <c r="D25" s="636"/>
      <c r="E25" s="636"/>
      <c r="F25" s="636"/>
      <c r="G25" s="636"/>
      <c r="H25" s="636"/>
      <c r="I25" s="636"/>
      <c r="J25" s="636" t="s">
        <v>13670</v>
      </c>
      <c r="K25" s="636"/>
      <c r="L25" s="636" t="s">
        <v>14863</v>
      </c>
    </row>
    <row r="26" spans="1:12" ht="17.100000000000001" customHeight="1">
      <c r="A26" s="636"/>
      <c r="B26" s="636"/>
      <c r="C26" s="636"/>
      <c r="D26" s="636"/>
      <c r="E26" s="636"/>
      <c r="F26" s="636"/>
      <c r="G26" s="636"/>
      <c r="H26" s="636"/>
      <c r="I26" s="636"/>
      <c r="J26" s="636" t="s">
        <v>13669</v>
      </c>
      <c r="K26" s="636" t="s">
        <v>13667</v>
      </c>
      <c r="L26" s="636" t="s">
        <v>14864</v>
      </c>
    </row>
    <row r="27" spans="1:12" ht="17.100000000000001" customHeight="1">
      <c r="A27" s="636"/>
      <c r="B27" s="636"/>
      <c r="C27" s="636"/>
      <c r="D27" s="636"/>
      <c r="E27" s="636"/>
      <c r="F27" s="636"/>
      <c r="G27" s="636"/>
      <c r="H27" s="636"/>
      <c r="I27" s="636"/>
      <c r="J27" s="636" t="s">
        <v>13668</v>
      </c>
      <c r="K27" s="636"/>
      <c r="L27" s="636" t="s">
        <v>14865</v>
      </c>
    </row>
    <row r="28" spans="1:12" ht="30" customHeight="1">
      <c r="A28" s="637"/>
      <c r="B28" s="637"/>
      <c r="C28" s="637"/>
      <c r="D28" s="637"/>
      <c r="E28" s="637"/>
      <c r="F28" s="637"/>
      <c r="G28" s="637"/>
      <c r="H28" s="637"/>
      <c r="I28" s="637"/>
      <c r="J28" s="637"/>
      <c r="K28" s="637"/>
      <c r="L28" s="637"/>
    </row>
    <row r="29" spans="1:12" ht="24" customHeight="1">
      <c r="A29" s="616" t="s">
        <v>14298</v>
      </c>
      <c r="B29" s="617" t="s">
        <v>13663</v>
      </c>
      <c r="C29" s="616" t="s">
        <v>8</v>
      </c>
      <c r="D29" s="616" t="s">
        <v>689</v>
      </c>
      <c r="E29" s="618" t="s">
        <v>96</v>
      </c>
      <c r="F29" s="617"/>
      <c r="G29" s="617"/>
      <c r="H29" s="617"/>
      <c r="I29" s="617"/>
      <c r="J29" s="617"/>
      <c r="K29" s="617"/>
      <c r="L29" s="617"/>
    </row>
    <row r="30" spans="1:12" ht="14.25" customHeight="1">
      <c r="A30" s="802" t="s">
        <v>12711</v>
      </c>
      <c r="B30" s="802"/>
      <c r="C30" s="802"/>
      <c r="D30" s="802"/>
      <c r="E30" s="802"/>
      <c r="F30" s="802"/>
      <c r="G30" s="802"/>
      <c r="H30" s="802"/>
      <c r="I30" s="612"/>
      <c r="J30" s="612"/>
      <c r="K30" s="612"/>
      <c r="L30" s="612"/>
    </row>
    <row r="31" spans="1:12" ht="17.100000000000001" customHeight="1">
      <c r="A31" s="612" t="s">
        <v>13679</v>
      </c>
      <c r="B31" s="636" t="s">
        <v>12698</v>
      </c>
      <c r="C31" s="612" t="s">
        <v>12699</v>
      </c>
      <c r="D31" s="612" t="s">
        <v>12700</v>
      </c>
      <c r="E31" s="637" t="s">
        <v>12702</v>
      </c>
      <c r="F31" s="801" t="s">
        <v>12704</v>
      </c>
      <c r="G31" s="801"/>
      <c r="H31" s="801" t="s">
        <v>13678</v>
      </c>
      <c r="I31" s="801"/>
      <c r="J31" s="801" t="s">
        <v>12705</v>
      </c>
      <c r="K31" s="801"/>
      <c r="L31" s="801"/>
    </row>
    <row r="32" spans="1:12" ht="24" customHeight="1">
      <c r="A32" s="626" t="s">
        <v>12709</v>
      </c>
      <c r="B32" s="627" t="s">
        <v>13662</v>
      </c>
      <c r="C32" s="626" t="s">
        <v>8</v>
      </c>
      <c r="D32" s="626" t="s">
        <v>9224</v>
      </c>
      <c r="E32" s="628" t="s">
        <v>96</v>
      </c>
      <c r="F32" s="816" t="s">
        <v>14297</v>
      </c>
      <c r="G32" s="816"/>
      <c r="H32" s="816">
        <v>1</v>
      </c>
      <c r="I32" s="816"/>
      <c r="J32" s="817">
        <v>179.44</v>
      </c>
      <c r="K32" s="817"/>
      <c r="L32" s="817"/>
    </row>
    <row r="33" spans="1:12" ht="24" customHeight="1">
      <c r="A33" s="626" t="s">
        <v>12709</v>
      </c>
      <c r="B33" s="627" t="s">
        <v>13660</v>
      </c>
      <c r="C33" s="626" t="s">
        <v>8</v>
      </c>
      <c r="D33" s="626" t="s">
        <v>9371</v>
      </c>
      <c r="E33" s="628" t="s">
        <v>96</v>
      </c>
      <c r="F33" s="816" t="s">
        <v>14296</v>
      </c>
      <c r="G33" s="816"/>
      <c r="H33" s="816">
        <v>1</v>
      </c>
      <c r="I33" s="816"/>
      <c r="J33" s="817">
        <v>14.26</v>
      </c>
      <c r="K33" s="817"/>
      <c r="L33" s="817"/>
    </row>
    <row r="34" spans="1:12" ht="17.100000000000001" customHeight="1">
      <c r="A34" s="636"/>
      <c r="B34" s="636"/>
      <c r="C34" s="636"/>
      <c r="D34" s="636"/>
      <c r="E34" s="636"/>
      <c r="F34" s="636"/>
      <c r="G34" s="636"/>
      <c r="H34" s="636"/>
      <c r="I34" s="636"/>
      <c r="J34" s="636" t="s">
        <v>13675</v>
      </c>
      <c r="K34" s="636"/>
      <c r="L34" s="636" t="s">
        <v>14295</v>
      </c>
    </row>
    <row r="35" spans="1:12" ht="14.25" customHeight="1">
      <c r="A35" s="802" t="s">
        <v>12710</v>
      </c>
      <c r="B35" s="802"/>
      <c r="C35" s="802"/>
      <c r="D35" s="802"/>
      <c r="E35" s="802"/>
      <c r="F35" s="802"/>
      <c r="G35" s="802"/>
      <c r="H35" s="802"/>
      <c r="I35" s="612"/>
      <c r="J35" s="612"/>
      <c r="K35" s="612"/>
      <c r="L35" s="612"/>
    </row>
    <row r="36" spans="1:12" ht="17.100000000000001" customHeight="1">
      <c r="A36" s="612" t="s">
        <v>13679</v>
      </c>
      <c r="B36" s="636" t="s">
        <v>12698</v>
      </c>
      <c r="C36" s="612" t="s">
        <v>12699</v>
      </c>
      <c r="D36" s="612" t="s">
        <v>12700</v>
      </c>
      <c r="E36" s="637" t="s">
        <v>12702</v>
      </c>
      <c r="F36" s="801" t="s">
        <v>12704</v>
      </c>
      <c r="G36" s="801"/>
      <c r="H36" s="801" t="s">
        <v>13678</v>
      </c>
      <c r="I36" s="801"/>
      <c r="J36" s="801" t="s">
        <v>12705</v>
      </c>
      <c r="K36" s="801"/>
      <c r="L36" s="801"/>
    </row>
    <row r="37" spans="1:12" ht="24" customHeight="1">
      <c r="A37" s="626" t="s">
        <v>12709</v>
      </c>
      <c r="B37" s="627" t="s">
        <v>13210</v>
      </c>
      <c r="C37" s="626" t="s">
        <v>8</v>
      </c>
      <c r="D37" s="626" t="s">
        <v>9190</v>
      </c>
      <c r="E37" s="628" t="s">
        <v>96</v>
      </c>
      <c r="F37" s="816" t="s">
        <v>14800</v>
      </c>
      <c r="G37" s="816"/>
      <c r="H37" s="816">
        <v>1.0111988999999999</v>
      </c>
      <c r="I37" s="816"/>
      <c r="J37" s="817">
        <v>1659.6605</v>
      </c>
      <c r="K37" s="817"/>
      <c r="L37" s="817"/>
    </row>
    <row r="38" spans="1:12" ht="17.100000000000001" customHeight="1">
      <c r="A38" s="636"/>
      <c r="B38" s="636"/>
      <c r="C38" s="636"/>
      <c r="D38" s="636"/>
      <c r="E38" s="636"/>
      <c r="F38" s="636"/>
      <c r="G38" s="636"/>
      <c r="H38" s="636"/>
      <c r="I38" s="636"/>
      <c r="J38" s="636" t="s">
        <v>13675</v>
      </c>
      <c r="K38" s="636"/>
      <c r="L38" s="636" t="s">
        <v>14799</v>
      </c>
    </row>
    <row r="39" spans="1:12">
      <c r="A39" s="802" t="s">
        <v>12720</v>
      </c>
      <c r="B39" s="802"/>
      <c r="C39" s="802"/>
      <c r="D39" s="802"/>
      <c r="E39" s="802"/>
      <c r="F39" s="802"/>
      <c r="G39" s="802"/>
      <c r="H39" s="802"/>
      <c r="I39" s="612"/>
      <c r="J39" s="612"/>
      <c r="K39" s="612"/>
      <c r="L39" s="612"/>
    </row>
    <row r="40" spans="1:12" ht="17.100000000000001" customHeight="1">
      <c r="A40" s="612" t="s">
        <v>13679</v>
      </c>
      <c r="B40" s="636" t="s">
        <v>12698</v>
      </c>
      <c r="C40" s="612" t="s">
        <v>12699</v>
      </c>
      <c r="D40" s="612" t="s">
        <v>12700</v>
      </c>
      <c r="E40" s="637" t="s">
        <v>12702</v>
      </c>
      <c r="F40" s="801" t="s">
        <v>12704</v>
      </c>
      <c r="G40" s="801"/>
      <c r="H40" s="801" t="s">
        <v>13678</v>
      </c>
      <c r="I40" s="801"/>
      <c r="J40" s="801" t="s">
        <v>12705</v>
      </c>
      <c r="K40" s="801"/>
      <c r="L40" s="801"/>
    </row>
    <row r="41" spans="1:12" ht="24" customHeight="1">
      <c r="A41" s="626" t="s">
        <v>12709</v>
      </c>
      <c r="B41" s="627" t="s">
        <v>13661</v>
      </c>
      <c r="C41" s="626" t="s">
        <v>8</v>
      </c>
      <c r="D41" s="626" t="s">
        <v>9307</v>
      </c>
      <c r="E41" s="628" t="s">
        <v>96</v>
      </c>
      <c r="F41" s="816" t="s">
        <v>14294</v>
      </c>
      <c r="G41" s="816"/>
      <c r="H41" s="816">
        <v>1</v>
      </c>
      <c r="I41" s="816"/>
      <c r="J41" s="817">
        <v>65.94</v>
      </c>
      <c r="K41" s="817"/>
      <c r="L41" s="817"/>
    </row>
    <row r="42" spans="1:12" ht="24" customHeight="1">
      <c r="A42" s="626" t="s">
        <v>12709</v>
      </c>
      <c r="B42" s="627" t="s">
        <v>13659</v>
      </c>
      <c r="C42" s="626" t="s">
        <v>8</v>
      </c>
      <c r="D42" s="626" t="s">
        <v>11252</v>
      </c>
      <c r="E42" s="628" t="s">
        <v>96</v>
      </c>
      <c r="F42" s="816" t="s">
        <v>14293</v>
      </c>
      <c r="G42" s="816"/>
      <c r="H42" s="816">
        <v>1</v>
      </c>
      <c r="I42" s="816"/>
      <c r="J42" s="817">
        <v>13.07</v>
      </c>
      <c r="K42" s="817"/>
      <c r="L42" s="817"/>
    </row>
    <row r="43" spans="1:12" ht="17.100000000000001" customHeight="1">
      <c r="A43" s="636"/>
      <c r="B43" s="636"/>
      <c r="C43" s="636"/>
      <c r="D43" s="636"/>
      <c r="E43" s="636"/>
      <c r="F43" s="636"/>
      <c r="G43" s="636"/>
      <c r="H43" s="636"/>
      <c r="I43" s="636"/>
      <c r="J43" s="636" t="s">
        <v>13675</v>
      </c>
      <c r="K43" s="636"/>
      <c r="L43" s="636" t="s">
        <v>14292</v>
      </c>
    </row>
    <row r="44" spans="1:12" ht="17.100000000000001" customHeight="1">
      <c r="A44" s="612" t="s">
        <v>13673</v>
      </c>
      <c r="B44" s="612"/>
      <c r="C44" s="612"/>
      <c r="D44" s="612"/>
      <c r="E44" s="612"/>
      <c r="F44" s="612"/>
      <c r="G44" s="612"/>
      <c r="H44" s="612"/>
      <c r="I44" s="612"/>
      <c r="J44" s="612"/>
      <c r="K44" s="612"/>
      <c r="L44" s="612"/>
    </row>
    <row r="45" spans="1:12" ht="17.100000000000001" customHeight="1">
      <c r="A45" s="636"/>
      <c r="B45" s="636"/>
      <c r="C45" s="636"/>
      <c r="D45" s="636"/>
      <c r="E45" s="636"/>
      <c r="F45" s="636"/>
      <c r="G45" s="636"/>
      <c r="H45" s="636"/>
      <c r="I45" s="636"/>
      <c r="J45" s="636" t="s">
        <v>13672</v>
      </c>
      <c r="K45" s="636"/>
      <c r="L45" s="636" t="s">
        <v>14866</v>
      </c>
    </row>
    <row r="46" spans="1:12" ht="17.100000000000001" customHeight="1">
      <c r="A46" s="636"/>
      <c r="B46" s="636"/>
      <c r="C46" s="636"/>
      <c r="D46" s="636"/>
      <c r="E46" s="636"/>
      <c r="F46" s="636"/>
      <c r="G46" s="636"/>
      <c r="H46" s="636"/>
      <c r="I46" s="636"/>
      <c r="J46" s="636" t="s">
        <v>13671</v>
      </c>
      <c r="K46" s="636" t="s">
        <v>14461</v>
      </c>
      <c r="L46" s="636" t="s">
        <v>14867</v>
      </c>
    </row>
    <row r="47" spans="1:12" ht="17.100000000000001" customHeight="1">
      <c r="A47" s="636"/>
      <c r="B47" s="636"/>
      <c r="C47" s="636"/>
      <c r="D47" s="636"/>
      <c r="E47" s="636"/>
      <c r="F47" s="636"/>
      <c r="G47" s="636"/>
      <c r="H47" s="636"/>
      <c r="I47" s="636"/>
      <c r="J47" s="636" t="s">
        <v>13670</v>
      </c>
      <c r="K47" s="636"/>
      <c r="L47" s="636" t="s">
        <v>14868</v>
      </c>
    </row>
    <row r="48" spans="1:12" ht="17.100000000000001" customHeight="1">
      <c r="A48" s="636"/>
      <c r="B48" s="636"/>
      <c r="C48" s="636"/>
      <c r="D48" s="636"/>
      <c r="E48" s="636"/>
      <c r="F48" s="636"/>
      <c r="G48" s="636"/>
      <c r="H48" s="636"/>
      <c r="I48" s="636"/>
      <c r="J48" s="636" t="s">
        <v>13669</v>
      </c>
      <c r="K48" s="636" t="s">
        <v>13667</v>
      </c>
      <c r="L48" s="636" t="s">
        <v>14869</v>
      </c>
    </row>
    <row r="49" spans="1:12" ht="17.100000000000001" customHeight="1">
      <c r="A49" s="636"/>
      <c r="B49" s="636"/>
      <c r="C49" s="636"/>
      <c r="D49" s="636"/>
      <c r="E49" s="636"/>
      <c r="F49" s="636"/>
      <c r="G49" s="636"/>
      <c r="H49" s="636"/>
      <c r="I49" s="636"/>
      <c r="J49" s="636" t="s">
        <v>13668</v>
      </c>
      <c r="K49" s="636"/>
      <c r="L49" s="636" t="s">
        <v>14870</v>
      </c>
    </row>
    <row r="50" spans="1:12" ht="30" customHeight="1">
      <c r="A50" s="637"/>
      <c r="B50" s="637"/>
      <c r="C50" s="637"/>
      <c r="D50" s="637"/>
      <c r="E50" s="637"/>
      <c r="F50" s="637"/>
      <c r="G50" s="637"/>
      <c r="H50" s="637"/>
      <c r="I50" s="637"/>
      <c r="J50" s="637"/>
      <c r="K50" s="637"/>
      <c r="L50" s="637"/>
    </row>
    <row r="51" spans="1:12" ht="24" customHeight="1">
      <c r="A51" s="616" t="s">
        <v>14291</v>
      </c>
      <c r="B51" s="617" t="s">
        <v>13658</v>
      </c>
      <c r="C51" s="616" t="s">
        <v>8</v>
      </c>
      <c r="D51" s="616" t="s">
        <v>299</v>
      </c>
      <c r="E51" s="618" t="s">
        <v>23</v>
      </c>
      <c r="F51" s="617"/>
      <c r="G51" s="617"/>
      <c r="H51" s="617"/>
      <c r="I51" s="617"/>
      <c r="J51" s="617"/>
      <c r="K51" s="617"/>
      <c r="L51" s="617"/>
    </row>
    <row r="52" spans="1:12" ht="14.25" customHeight="1">
      <c r="A52" s="802" t="s">
        <v>12711</v>
      </c>
      <c r="B52" s="802"/>
      <c r="C52" s="802"/>
      <c r="D52" s="802"/>
      <c r="E52" s="802"/>
      <c r="F52" s="802"/>
      <c r="G52" s="802"/>
      <c r="H52" s="802"/>
      <c r="I52" s="612"/>
      <c r="J52" s="612"/>
      <c r="K52" s="612"/>
      <c r="L52" s="612"/>
    </row>
    <row r="53" spans="1:12" ht="17.100000000000001" customHeight="1">
      <c r="A53" s="612" t="s">
        <v>13679</v>
      </c>
      <c r="B53" s="636" t="s">
        <v>12698</v>
      </c>
      <c r="C53" s="612" t="s">
        <v>12699</v>
      </c>
      <c r="D53" s="612" t="s">
        <v>12700</v>
      </c>
      <c r="E53" s="637" t="s">
        <v>12702</v>
      </c>
      <c r="F53" s="801" t="s">
        <v>12704</v>
      </c>
      <c r="G53" s="801"/>
      <c r="H53" s="801" t="s">
        <v>13678</v>
      </c>
      <c r="I53" s="801"/>
      <c r="J53" s="801" t="s">
        <v>12705</v>
      </c>
      <c r="K53" s="801"/>
      <c r="L53" s="801"/>
    </row>
    <row r="54" spans="1:12" ht="24" customHeight="1">
      <c r="A54" s="626" t="s">
        <v>12709</v>
      </c>
      <c r="B54" s="627" t="s">
        <v>13048</v>
      </c>
      <c r="C54" s="626" t="s">
        <v>8</v>
      </c>
      <c r="D54" s="626" t="s">
        <v>9233</v>
      </c>
      <c r="E54" s="628" t="s">
        <v>23</v>
      </c>
      <c r="F54" s="816" t="s">
        <v>13690</v>
      </c>
      <c r="G54" s="816"/>
      <c r="H54" s="816">
        <v>1</v>
      </c>
      <c r="I54" s="816"/>
      <c r="J54" s="817">
        <v>1.02</v>
      </c>
      <c r="K54" s="817"/>
      <c r="L54" s="817"/>
    </row>
    <row r="55" spans="1:12" ht="24" customHeight="1">
      <c r="A55" s="626" t="s">
        <v>12709</v>
      </c>
      <c r="B55" s="627" t="s">
        <v>13047</v>
      </c>
      <c r="C55" s="626" t="s">
        <v>8</v>
      </c>
      <c r="D55" s="626" t="s">
        <v>9380</v>
      </c>
      <c r="E55" s="628" t="s">
        <v>23</v>
      </c>
      <c r="F55" s="816" t="s">
        <v>13689</v>
      </c>
      <c r="G55" s="816"/>
      <c r="H55" s="816">
        <v>1</v>
      </c>
      <c r="I55" s="816"/>
      <c r="J55" s="817">
        <v>0.38</v>
      </c>
      <c r="K55" s="817"/>
      <c r="L55" s="817"/>
    </row>
    <row r="56" spans="1:12" ht="17.100000000000001" customHeight="1">
      <c r="A56" s="636"/>
      <c r="B56" s="636"/>
      <c r="C56" s="636"/>
      <c r="D56" s="636"/>
      <c r="E56" s="636"/>
      <c r="F56" s="636"/>
      <c r="G56" s="636"/>
      <c r="H56" s="636"/>
      <c r="I56" s="636"/>
      <c r="J56" s="636" t="s">
        <v>13675</v>
      </c>
      <c r="K56" s="636"/>
      <c r="L56" s="636" t="s">
        <v>13853</v>
      </c>
    </row>
    <row r="57" spans="1:12" ht="14.25" customHeight="1">
      <c r="A57" s="802" t="s">
        <v>12710</v>
      </c>
      <c r="B57" s="802"/>
      <c r="C57" s="802"/>
      <c r="D57" s="802"/>
      <c r="E57" s="802"/>
      <c r="F57" s="802"/>
      <c r="G57" s="802"/>
      <c r="H57" s="802"/>
      <c r="I57" s="612"/>
      <c r="J57" s="612"/>
      <c r="K57" s="612"/>
      <c r="L57" s="612"/>
    </row>
    <row r="58" spans="1:12" ht="17.100000000000001" customHeight="1">
      <c r="A58" s="612" t="s">
        <v>13679</v>
      </c>
      <c r="B58" s="636" t="s">
        <v>12698</v>
      </c>
      <c r="C58" s="612" t="s">
        <v>12699</v>
      </c>
      <c r="D58" s="612" t="s">
        <v>12700</v>
      </c>
      <c r="E58" s="637" t="s">
        <v>12702</v>
      </c>
      <c r="F58" s="801" t="s">
        <v>12704</v>
      </c>
      <c r="G58" s="801"/>
      <c r="H58" s="801" t="s">
        <v>13678</v>
      </c>
      <c r="I58" s="801"/>
      <c r="J58" s="801" t="s">
        <v>12705</v>
      </c>
      <c r="K58" s="801"/>
      <c r="L58" s="801"/>
    </row>
    <row r="59" spans="1:12" ht="24" customHeight="1">
      <c r="A59" s="626" t="s">
        <v>12709</v>
      </c>
      <c r="B59" s="627" t="s">
        <v>13206</v>
      </c>
      <c r="C59" s="626" t="s">
        <v>8</v>
      </c>
      <c r="D59" s="626" t="s">
        <v>12388</v>
      </c>
      <c r="E59" s="628" t="s">
        <v>23</v>
      </c>
      <c r="F59" s="816" t="s">
        <v>14798</v>
      </c>
      <c r="G59" s="816"/>
      <c r="H59" s="816">
        <v>1.0031277999999999</v>
      </c>
      <c r="I59" s="816"/>
      <c r="J59" s="817">
        <v>7.3630000000000004</v>
      </c>
      <c r="K59" s="817"/>
      <c r="L59" s="817"/>
    </row>
    <row r="60" spans="1:12" ht="17.100000000000001" customHeight="1">
      <c r="A60" s="636"/>
      <c r="B60" s="636"/>
      <c r="C60" s="636"/>
      <c r="D60" s="636"/>
      <c r="E60" s="636"/>
      <c r="F60" s="636"/>
      <c r="G60" s="636"/>
      <c r="H60" s="636"/>
      <c r="I60" s="636"/>
      <c r="J60" s="636" t="s">
        <v>13675</v>
      </c>
      <c r="K60" s="636"/>
      <c r="L60" s="636" t="s">
        <v>14797</v>
      </c>
    </row>
    <row r="61" spans="1:12">
      <c r="A61" s="802" t="s">
        <v>12722</v>
      </c>
      <c r="B61" s="802"/>
      <c r="C61" s="802"/>
      <c r="D61" s="802"/>
      <c r="E61" s="802"/>
      <c r="F61" s="802"/>
      <c r="G61" s="802"/>
      <c r="H61" s="802"/>
      <c r="I61" s="612"/>
      <c r="J61" s="612"/>
      <c r="K61" s="612"/>
      <c r="L61" s="612"/>
    </row>
    <row r="62" spans="1:12" ht="17.100000000000001" customHeight="1">
      <c r="A62" s="612" t="s">
        <v>13679</v>
      </c>
      <c r="B62" s="636" t="s">
        <v>12698</v>
      </c>
      <c r="C62" s="612" t="s">
        <v>12699</v>
      </c>
      <c r="D62" s="612" t="s">
        <v>12700</v>
      </c>
      <c r="E62" s="637" t="s">
        <v>12702</v>
      </c>
      <c r="F62" s="801" t="s">
        <v>12704</v>
      </c>
      <c r="G62" s="801"/>
      <c r="H62" s="801" t="s">
        <v>13678</v>
      </c>
      <c r="I62" s="801"/>
      <c r="J62" s="801" t="s">
        <v>12705</v>
      </c>
      <c r="K62" s="801"/>
      <c r="L62" s="801"/>
    </row>
    <row r="63" spans="1:12" ht="24" customHeight="1">
      <c r="A63" s="626" t="s">
        <v>12709</v>
      </c>
      <c r="B63" s="627" t="s">
        <v>12998</v>
      </c>
      <c r="C63" s="626" t="s">
        <v>8</v>
      </c>
      <c r="D63" s="626" t="s">
        <v>11861</v>
      </c>
      <c r="E63" s="628" t="s">
        <v>23</v>
      </c>
      <c r="F63" s="816" t="s">
        <v>13683</v>
      </c>
      <c r="G63" s="816"/>
      <c r="H63" s="816">
        <v>1</v>
      </c>
      <c r="I63" s="816"/>
      <c r="J63" s="817">
        <v>0.71</v>
      </c>
      <c r="K63" s="817"/>
      <c r="L63" s="817"/>
    </row>
    <row r="64" spans="1:12" ht="17.100000000000001" customHeight="1">
      <c r="A64" s="636"/>
      <c r="B64" s="636"/>
      <c r="C64" s="636"/>
      <c r="D64" s="636"/>
      <c r="E64" s="636"/>
      <c r="F64" s="636"/>
      <c r="G64" s="636"/>
      <c r="H64" s="636"/>
      <c r="I64" s="636"/>
      <c r="J64" s="636" t="s">
        <v>13675</v>
      </c>
      <c r="K64" s="636"/>
      <c r="L64" s="636" t="s">
        <v>13683</v>
      </c>
    </row>
    <row r="65" spans="1:12">
      <c r="A65" s="802" t="s">
        <v>12713</v>
      </c>
      <c r="B65" s="802"/>
      <c r="C65" s="802"/>
      <c r="D65" s="802"/>
      <c r="E65" s="802"/>
      <c r="F65" s="802"/>
      <c r="G65" s="802"/>
      <c r="H65" s="802"/>
      <c r="I65" s="612"/>
      <c r="J65" s="612"/>
      <c r="K65" s="612"/>
      <c r="L65" s="612"/>
    </row>
    <row r="66" spans="1:12" ht="17.100000000000001" customHeight="1">
      <c r="A66" s="612" t="s">
        <v>13679</v>
      </c>
      <c r="B66" s="636" t="s">
        <v>12698</v>
      </c>
      <c r="C66" s="612" t="s">
        <v>12699</v>
      </c>
      <c r="D66" s="612" t="s">
        <v>12700</v>
      </c>
      <c r="E66" s="637" t="s">
        <v>12702</v>
      </c>
      <c r="F66" s="801" t="s">
        <v>12704</v>
      </c>
      <c r="G66" s="801"/>
      <c r="H66" s="801" t="s">
        <v>13678</v>
      </c>
      <c r="I66" s="801"/>
      <c r="J66" s="801" t="s">
        <v>12705</v>
      </c>
      <c r="K66" s="801"/>
      <c r="L66" s="801"/>
    </row>
    <row r="67" spans="1:12" ht="24" customHeight="1">
      <c r="A67" s="626" t="s">
        <v>12709</v>
      </c>
      <c r="B67" s="627" t="s">
        <v>12999</v>
      </c>
      <c r="C67" s="626" t="s">
        <v>8</v>
      </c>
      <c r="D67" s="626" t="s">
        <v>11251</v>
      </c>
      <c r="E67" s="628" t="s">
        <v>23</v>
      </c>
      <c r="F67" s="816" t="s">
        <v>13681</v>
      </c>
      <c r="G67" s="816"/>
      <c r="H67" s="816">
        <v>1</v>
      </c>
      <c r="I67" s="816"/>
      <c r="J67" s="817">
        <v>7.0000000000000007E-2</v>
      </c>
      <c r="K67" s="817"/>
      <c r="L67" s="817"/>
    </row>
    <row r="68" spans="1:12" ht="17.100000000000001" customHeight="1">
      <c r="A68" s="636"/>
      <c r="B68" s="636"/>
      <c r="C68" s="636"/>
      <c r="D68" s="636"/>
      <c r="E68" s="636"/>
      <c r="F68" s="636"/>
      <c r="G68" s="636"/>
      <c r="H68" s="636"/>
      <c r="I68" s="636"/>
      <c r="J68" s="636" t="s">
        <v>13675</v>
      </c>
      <c r="K68" s="636"/>
      <c r="L68" s="636" t="s">
        <v>13681</v>
      </c>
    </row>
    <row r="69" spans="1:12">
      <c r="A69" s="802" t="s">
        <v>12712</v>
      </c>
      <c r="B69" s="802"/>
      <c r="C69" s="802"/>
      <c r="D69" s="802"/>
      <c r="E69" s="802"/>
      <c r="F69" s="802"/>
      <c r="G69" s="802"/>
      <c r="H69" s="802"/>
      <c r="I69" s="612"/>
      <c r="J69" s="612"/>
      <c r="K69" s="612"/>
      <c r="L69" s="612"/>
    </row>
    <row r="70" spans="1:12" ht="17.100000000000001" customHeight="1">
      <c r="A70" s="612" t="s">
        <v>13679</v>
      </c>
      <c r="B70" s="636" t="s">
        <v>12698</v>
      </c>
      <c r="C70" s="612" t="s">
        <v>12699</v>
      </c>
      <c r="D70" s="612" t="s">
        <v>12700</v>
      </c>
      <c r="E70" s="637" t="s">
        <v>12702</v>
      </c>
      <c r="F70" s="801" t="s">
        <v>12704</v>
      </c>
      <c r="G70" s="801"/>
      <c r="H70" s="801" t="s">
        <v>13678</v>
      </c>
      <c r="I70" s="801"/>
      <c r="J70" s="801" t="s">
        <v>12705</v>
      </c>
      <c r="K70" s="801"/>
      <c r="L70" s="801"/>
    </row>
    <row r="71" spans="1:12" ht="24" customHeight="1">
      <c r="A71" s="626" t="s">
        <v>12709</v>
      </c>
      <c r="B71" s="627" t="s">
        <v>13002</v>
      </c>
      <c r="C71" s="626" t="s">
        <v>8</v>
      </c>
      <c r="D71" s="626" t="s">
        <v>9306</v>
      </c>
      <c r="E71" s="628" t="s">
        <v>23</v>
      </c>
      <c r="F71" s="816" t="s">
        <v>13677</v>
      </c>
      <c r="G71" s="816"/>
      <c r="H71" s="816">
        <v>1</v>
      </c>
      <c r="I71" s="816"/>
      <c r="J71" s="817">
        <v>0.35</v>
      </c>
      <c r="K71" s="817"/>
      <c r="L71" s="817"/>
    </row>
    <row r="72" spans="1:12" ht="24" customHeight="1">
      <c r="A72" s="626" t="s">
        <v>12709</v>
      </c>
      <c r="B72" s="627" t="s">
        <v>13004</v>
      </c>
      <c r="C72" s="626" t="s">
        <v>8</v>
      </c>
      <c r="D72" s="626" t="s">
        <v>7388</v>
      </c>
      <c r="E72" s="628" t="s">
        <v>23</v>
      </c>
      <c r="F72" s="816" t="s">
        <v>13676</v>
      </c>
      <c r="G72" s="816"/>
      <c r="H72" s="816">
        <v>1</v>
      </c>
      <c r="I72" s="816"/>
      <c r="J72" s="817">
        <v>2.2000000000000002</v>
      </c>
      <c r="K72" s="817"/>
      <c r="L72" s="817"/>
    </row>
    <row r="73" spans="1:12" ht="17.100000000000001" customHeight="1">
      <c r="A73" s="636"/>
      <c r="B73" s="636"/>
      <c r="C73" s="636"/>
      <c r="D73" s="636"/>
      <c r="E73" s="636"/>
      <c r="F73" s="636"/>
      <c r="G73" s="636"/>
      <c r="H73" s="636"/>
      <c r="I73" s="636"/>
      <c r="J73" s="636" t="s">
        <v>13675</v>
      </c>
      <c r="K73" s="636"/>
      <c r="L73" s="636" t="s">
        <v>13722</v>
      </c>
    </row>
    <row r="74" spans="1:12" ht="17.100000000000001" customHeight="1">
      <c r="A74" s="612" t="s">
        <v>13673</v>
      </c>
      <c r="B74" s="612"/>
      <c r="C74" s="612"/>
      <c r="D74" s="612"/>
      <c r="E74" s="612"/>
      <c r="F74" s="612"/>
      <c r="G74" s="612"/>
      <c r="H74" s="612"/>
      <c r="I74" s="612"/>
      <c r="J74" s="612"/>
      <c r="K74" s="612"/>
      <c r="L74" s="612"/>
    </row>
    <row r="75" spans="1:12" ht="17.100000000000001" customHeight="1">
      <c r="A75" s="636"/>
      <c r="B75" s="636"/>
      <c r="C75" s="636"/>
      <c r="D75" s="636"/>
      <c r="E75" s="636"/>
      <c r="F75" s="636"/>
      <c r="G75" s="636"/>
      <c r="H75" s="636"/>
      <c r="I75" s="636"/>
      <c r="J75" s="636" t="s">
        <v>13672</v>
      </c>
      <c r="K75" s="636"/>
      <c r="L75" s="636" t="s">
        <v>14871</v>
      </c>
    </row>
    <row r="76" spans="1:12" ht="17.100000000000001" customHeight="1">
      <c r="A76" s="636"/>
      <c r="B76" s="636"/>
      <c r="C76" s="636"/>
      <c r="D76" s="636"/>
      <c r="E76" s="636"/>
      <c r="F76" s="636"/>
      <c r="G76" s="636"/>
      <c r="H76" s="636"/>
      <c r="I76" s="636"/>
      <c r="J76" s="636" t="s">
        <v>13671</v>
      </c>
      <c r="K76" s="636" t="s">
        <v>14461</v>
      </c>
      <c r="L76" s="636" t="s">
        <v>14872</v>
      </c>
    </row>
    <row r="77" spans="1:12" ht="17.100000000000001" customHeight="1">
      <c r="A77" s="636"/>
      <c r="B77" s="636"/>
      <c r="C77" s="636"/>
      <c r="D77" s="636"/>
      <c r="E77" s="636"/>
      <c r="F77" s="636"/>
      <c r="G77" s="636"/>
      <c r="H77" s="636"/>
      <c r="I77" s="636"/>
      <c r="J77" s="636" t="s">
        <v>13670</v>
      </c>
      <c r="K77" s="636"/>
      <c r="L77" s="636" t="s">
        <v>14873</v>
      </c>
    </row>
    <row r="78" spans="1:12" ht="17.100000000000001" customHeight="1">
      <c r="A78" s="636"/>
      <c r="B78" s="636"/>
      <c r="C78" s="636"/>
      <c r="D78" s="636"/>
      <c r="E78" s="636"/>
      <c r="F78" s="636"/>
      <c r="G78" s="636"/>
      <c r="H78" s="636"/>
      <c r="I78" s="636"/>
      <c r="J78" s="636" t="s">
        <v>13669</v>
      </c>
      <c r="K78" s="636" t="s">
        <v>13667</v>
      </c>
      <c r="L78" s="636" t="s">
        <v>14874</v>
      </c>
    </row>
    <row r="79" spans="1:12" ht="17.100000000000001" customHeight="1">
      <c r="A79" s="636"/>
      <c r="B79" s="636"/>
      <c r="C79" s="636"/>
      <c r="D79" s="636"/>
      <c r="E79" s="636"/>
      <c r="F79" s="636"/>
      <c r="G79" s="636"/>
      <c r="H79" s="636"/>
      <c r="I79" s="636"/>
      <c r="J79" s="636" t="s">
        <v>13668</v>
      </c>
      <c r="K79" s="636"/>
      <c r="L79" s="636" t="s">
        <v>14875</v>
      </c>
    </row>
    <row r="80" spans="1:12" ht="30" customHeight="1">
      <c r="A80" s="637"/>
      <c r="B80" s="637"/>
      <c r="C80" s="637"/>
      <c r="D80" s="637"/>
      <c r="E80" s="637"/>
      <c r="F80" s="637"/>
      <c r="G80" s="637"/>
      <c r="H80" s="637"/>
      <c r="I80" s="637"/>
      <c r="J80" s="637"/>
      <c r="K80" s="637"/>
      <c r="L80" s="637"/>
    </row>
    <row r="81" spans="1:12" ht="36" customHeight="1">
      <c r="A81" s="616" t="s">
        <v>14290</v>
      </c>
      <c r="B81" s="617" t="s">
        <v>13657</v>
      </c>
      <c r="C81" s="616" t="s">
        <v>8</v>
      </c>
      <c r="D81" s="616" t="s">
        <v>5095</v>
      </c>
      <c r="E81" s="618" t="s">
        <v>12725</v>
      </c>
      <c r="F81" s="617"/>
      <c r="G81" s="617"/>
      <c r="H81" s="617"/>
      <c r="I81" s="617"/>
      <c r="J81" s="617"/>
      <c r="K81" s="617"/>
      <c r="L81" s="617"/>
    </row>
    <row r="82" spans="1:12" ht="14.25" customHeight="1">
      <c r="A82" s="802" t="s">
        <v>12711</v>
      </c>
      <c r="B82" s="802"/>
      <c r="C82" s="802"/>
      <c r="D82" s="802"/>
      <c r="E82" s="802"/>
      <c r="F82" s="802"/>
      <c r="G82" s="802"/>
      <c r="H82" s="802"/>
      <c r="I82" s="612"/>
      <c r="J82" s="612"/>
      <c r="K82" s="612"/>
      <c r="L82" s="612"/>
    </row>
    <row r="83" spans="1:12" ht="17.100000000000001" customHeight="1">
      <c r="A83" s="612" t="s">
        <v>13679</v>
      </c>
      <c r="B83" s="636" t="s">
        <v>12698</v>
      </c>
      <c r="C83" s="612" t="s">
        <v>12699</v>
      </c>
      <c r="D83" s="612" t="s">
        <v>12700</v>
      </c>
      <c r="E83" s="637" t="s">
        <v>12702</v>
      </c>
      <c r="F83" s="801" t="s">
        <v>12704</v>
      </c>
      <c r="G83" s="801"/>
      <c r="H83" s="801" t="s">
        <v>13678</v>
      </c>
      <c r="I83" s="801"/>
      <c r="J83" s="801" t="s">
        <v>12705</v>
      </c>
      <c r="K83" s="801"/>
      <c r="L83" s="801"/>
    </row>
    <row r="84" spans="1:12" ht="36" customHeight="1">
      <c r="A84" s="626" t="s">
        <v>12709</v>
      </c>
      <c r="B84" s="627" t="s">
        <v>13009</v>
      </c>
      <c r="C84" s="626" t="s">
        <v>8</v>
      </c>
      <c r="D84" s="626" t="s">
        <v>11865</v>
      </c>
      <c r="E84" s="628" t="s">
        <v>35</v>
      </c>
      <c r="F84" s="816" t="s">
        <v>14796</v>
      </c>
      <c r="G84" s="816"/>
      <c r="H84" s="816">
        <v>9.9999999999999995E-8</v>
      </c>
      <c r="I84" s="816"/>
      <c r="J84" s="817">
        <v>5.5599999999999997E-2</v>
      </c>
      <c r="K84" s="817"/>
      <c r="L84" s="817"/>
    </row>
    <row r="85" spans="1:12" ht="24" customHeight="1">
      <c r="A85" s="626" t="s">
        <v>12709</v>
      </c>
      <c r="B85" s="627" t="s">
        <v>13003</v>
      </c>
      <c r="C85" s="626" t="s">
        <v>8</v>
      </c>
      <c r="D85" s="626" t="s">
        <v>9227</v>
      </c>
      <c r="E85" s="628" t="s">
        <v>23</v>
      </c>
      <c r="F85" s="816" t="s">
        <v>13732</v>
      </c>
      <c r="G85" s="816"/>
      <c r="H85" s="816">
        <v>3.1554999999999999E-3</v>
      </c>
      <c r="I85" s="816"/>
      <c r="J85" s="817">
        <v>2.0999999999999999E-3</v>
      </c>
      <c r="K85" s="817"/>
      <c r="L85" s="817"/>
    </row>
    <row r="86" spans="1:12" ht="24" customHeight="1">
      <c r="A86" s="626" t="s">
        <v>12709</v>
      </c>
      <c r="B86" s="627" t="s">
        <v>13001</v>
      </c>
      <c r="C86" s="626" t="s">
        <v>8</v>
      </c>
      <c r="D86" s="626" t="s">
        <v>9374</v>
      </c>
      <c r="E86" s="628" t="s">
        <v>23</v>
      </c>
      <c r="F86" s="816" t="s">
        <v>13728</v>
      </c>
      <c r="G86" s="816"/>
      <c r="H86" s="816">
        <v>3.1554999999999999E-3</v>
      </c>
      <c r="I86" s="816"/>
      <c r="J86" s="817">
        <v>0</v>
      </c>
      <c r="K86" s="817"/>
      <c r="L86" s="817"/>
    </row>
    <row r="87" spans="1:12" ht="24" customHeight="1">
      <c r="A87" s="626" t="s">
        <v>12709</v>
      </c>
      <c r="B87" s="627" t="s">
        <v>13048</v>
      </c>
      <c r="C87" s="626" t="s">
        <v>8</v>
      </c>
      <c r="D87" s="626" t="s">
        <v>9233</v>
      </c>
      <c r="E87" s="628" t="s">
        <v>23</v>
      </c>
      <c r="F87" s="816" t="s">
        <v>13690</v>
      </c>
      <c r="G87" s="816"/>
      <c r="H87" s="816">
        <v>3.1554999999999999E-3</v>
      </c>
      <c r="I87" s="816"/>
      <c r="J87" s="817">
        <v>3.2000000000000002E-3</v>
      </c>
      <c r="K87" s="817"/>
      <c r="L87" s="817"/>
    </row>
    <row r="88" spans="1:12" ht="24" customHeight="1">
      <c r="A88" s="626" t="s">
        <v>12709</v>
      </c>
      <c r="B88" s="627" t="s">
        <v>13047</v>
      </c>
      <c r="C88" s="626" t="s">
        <v>8</v>
      </c>
      <c r="D88" s="626" t="s">
        <v>9380</v>
      </c>
      <c r="E88" s="628" t="s">
        <v>23</v>
      </c>
      <c r="F88" s="816" t="s">
        <v>13689</v>
      </c>
      <c r="G88" s="816"/>
      <c r="H88" s="816">
        <v>3.1554999999999999E-3</v>
      </c>
      <c r="I88" s="816"/>
      <c r="J88" s="817">
        <v>1.1999999999999999E-3</v>
      </c>
      <c r="K88" s="817"/>
      <c r="L88" s="817"/>
    </row>
    <row r="89" spans="1:12" ht="24" customHeight="1">
      <c r="A89" s="626" t="s">
        <v>12709</v>
      </c>
      <c r="B89" s="627" t="s">
        <v>13052</v>
      </c>
      <c r="C89" s="626" t="s">
        <v>8</v>
      </c>
      <c r="D89" s="626" t="s">
        <v>9229</v>
      </c>
      <c r="E89" s="628" t="s">
        <v>23</v>
      </c>
      <c r="F89" s="816" t="s">
        <v>13692</v>
      </c>
      <c r="G89" s="816"/>
      <c r="H89" s="816">
        <v>3.1554999999999999E-3</v>
      </c>
      <c r="I89" s="816"/>
      <c r="J89" s="817">
        <v>3.0000000000000001E-3</v>
      </c>
      <c r="K89" s="817"/>
      <c r="L89" s="817"/>
    </row>
    <row r="90" spans="1:12" ht="24" customHeight="1">
      <c r="A90" s="626" t="s">
        <v>12709</v>
      </c>
      <c r="B90" s="627" t="s">
        <v>13051</v>
      </c>
      <c r="C90" s="626" t="s">
        <v>8</v>
      </c>
      <c r="D90" s="626" t="s">
        <v>9376</v>
      </c>
      <c r="E90" s="628" t="s">
        <v>23</v>
      </c>
      <c r="F90" s="816" t="s">
        <v>13691</v>
      </c>
      <c r="G90" s="816"/>
      <c r="H90" s="816">
        <v>3.1554999999999999E-3</v>
      </c>
      <c r="I90" s="816"/>
      <c r="J90" s="817">
        <v>1.6000000000000001E-3</v>
      </c>
      <c r="K90" s="817"/>
      <c r="L90" s="817"/>
    </row>
    <row r="91" spans="1:12" ht="17.100000000000001" customHeight="1">
      <c r="A91" s="636"/>
      <c r="B91" s="636"/>
      <c r="C91" s="636"/>
      <c r="D91" s="636"/>
      <c r="E91" s="636"/>
      <c r="F91" s="636"/>
      <c r="G91" s="636"/>
      <c r="H91" s="636"/>
      <c r="I91" s="636"/>
      <c r="J91" s="636" t="s">
        <v>13675</v>
      </c>
      <c r="K91" s="636"/>
      <c r="L91" s="636" t="s">
        <v>13681</v>
      </c>
    </row>
    <row r="92" spans="1:12" ht="14.25" customHeight="1">
      <c r="A92" s="802" t="s">
        <v>12710</v>
      </c>
      <c r="B92" s="802"/>
      <c r="C92" s="802"/>
      <c r="D92" s="802"/>
      <c r="E92" s="802"/>
      <c r="F92" s="802"/>
      <c r="G92" s="802"/>
      <c r="H92" s="802"/>
      <c r="I92" s="612"/>
      <c r="J92" s="612"/>
      <c r="K92" s="612"/>
      <c r="L92" s="612"/>
    </row>
    <row r="93" spans="1:12" ht="17.100000000000001" customHeight="1">
      <c r="A93" s="612" t="s">
        <v>13679</v>
      </c>
      <c r="B93" s="636" t="s">
        <v>12698</v>
      </c>
      <c r="C93" s="612" t="s">
        <v>12699</v>
      </c>
      <c r="D93" s="612" t="s">
        <v>12700</v>
      </c>
      <c r="E93" s="637" t="s">
        <v>12702</v>
      </c>
      <c r="F93" s="801" t="s">
        <v>12704</v>
      </c>
      <c r="G93" s="801"/>
      <c r="H93" s="801" t="s">
        <v>13678</v>
      </c>
      <c r="I93" s="801"/>
      <c r="J93" s="801" t="s">
        <v>12705</v>
      </c>
      <c r="K93" s="801"/>
      <c r="L93" s="801"/>
    </row>
    <row r="94" spans="1:12" ht="24" customHeight="1">
      <c r="A94" s="626" t="s">
        <v>12709</v>
      </c>
      <c r="B94" s="627" t="s">
        <v>13000</v>
      </c>
      <c r="C94" s="626" t="s">
        <v>8</v>
      </c>
      <c r="D94" s="626" t="s">
        <v>10584</v>
      </c>
      <c r="E94" s="628" t="s">
        <v>23</v>
      </c>
      <c r="F94" s="816" t="s">
        <v>13696</v>
      </c>
      <c r="G94" s="816"/>
      <c r="H94" s="816">
        <v>2.2319000000000002E-3</v>
      </c>
      <c r="I94" s="816"/>
      <c r="J94" s="817">
        <v>1.14E-2</v>
      </c>
      <c r="K94" s="817"/>
      <c r="L94" s="817"/>
    </row>
    <row r="95" spans="1:12" ht="24" customHeight="1">
      <c r="A95" s="626" t="s">
        <v>12709</v>
      </c>
      <c r="B95" s="627" t="s">
        <v>13046</v>
      </c>
      <c r="C95" s="626" t="s">
        <v>8</v>
      </c>
      <c r="D95" s="626" t="s">
        <v>11281</v>
      </c>
      <c r="E95" s="628" t="s">
        <v>23</v>
      </c>
      <c r="F95" s="816" t="s">
        <v>13731</v>
      </c>
      <c r="G95" s="816"/>
      <c r="H95" s="816">
        <v>2.2466999999999999E-3</v>
      </c>
      <c r="I95" s="816"/>
      <c r="J95" s="817">
        <v>1.15E-2</v>
      </c>
      <c r="K95" s="817"/>
      <c r="L95" s="817"/>
    </row>
    <row r="96" spans="1:12" ht="24" customHeight="1">
      <c r="A96" s="626" t="s">
        <v>12709</v>
      </c>
      <c r="B96" s="627" t="s">
        <v>13158</v>
      </c>
      <c r="C96" s="626" t="s">
        <v>8</v>
      </c>
      <c r="D96" s="626" t="s">
        <v>9691</v>
      </c>
      <c r="E96" s="628" t="s">
        <v>23</v>
      </c>
      <c r="F96" s="816" t="s">
        <v>14524</v>
      </c>
      <c r="G96" s="816"/>
      <c r="H96" s="816">
        <v>2.2222000000000001E-3</v>
      </c>
      <c r="I96" s="816"/>
      <c r="J96" s="817">
        <v>1.4800000000000001E-2</v>
      </c>
      <c r="K96" s="817"/>
      <c r="L96" s="817"/>
    </row>
    <row r="97" spans="1:12" ht="17.100000000000001" customHeight="1">
      <c r="A97" s="636"/>
      <c r="B97" s="636"/>
      <c r="C97" s="636"/>
      <c r="D97" s="636"/>
      <c r="E97" s="636"/>
      <c r="F97" s="636"/>
      <c r="G97" s="636"/>
      <c r="H97" s="636"/>
      <c r="I97" s="636"/>
      <c r="J97" s="636" t="s">
        <v>13675</v>
      </c>
      <c r="K97" s="636"/>
      <c r="L97" s="636" t="s">
        <v>13716</v>
      </c>
    </row>
    <row r="98" spans="1:12">
      <c r="A98" s="802" t="s">
        <v>12720</v>
      </c>
      <c r="B98" s="802"/>
      <c r="C98" s="802"/>
      <c r="D98" s="802"/>
      <c r="E98" s="802"/>
      <c r="F98" s="802"/>
      <c r="G98" s="802"/>
      <c r="H98" s="802"/>
      <c r="I98" s="612"/>
      <c r="J98" s="612"/>
      <c r="K98" s="612"/>
      <c r="L98" s="612"/>
    </row>
    <row r="99" spans="1:12" ht="17.100000000000001" customHeight="1">
      <c r="A99" s="612" t="s">
        <v>13679</v>
      </c>
      <c r="B99" s="636" t="s">
        <v>12698</v>
      </c>
      <c r="C99" s="612" t="s">
        <v>12699</v>
      </c>
      <c r="D99" s="612" t="s">
        <v>12700</v>
      </c>
      <c r="E99" s="637" t="s">
        <v>12702</v>
      </c>
      <c r="F99" s="801" t="s">
        <v>12704</v>
      </c>
      <c r="G99" s="801"/>
      <c r="H99" s="801" t="s">
        <v>13678</v>
      </c>
      <c r="I99" s="801"/>
      <c r="J99" s="801" t="s">
        <v>12705</v>
      </c>
      <c r="K99" s="801"/>
      <c r="L99" s="801"/>
    </row>
    <row r="100" spans="1:12" ht="24" customHeight="1">
      <c r="A100" s="626" t="s">
        <v>12709</v>
      </c>
      <c r="B100" s="627" t="s">
        <v>13007</v>
      </c>
      <c r="C100" s="626" t="s">
        <v>8</v>
      </c>
      <c r="D100" s="626" t="s">
        <v>10549</v>
      </c>
      <c r="E100" s="628" t="s">
        <v>58</v>
      </c>
      <c r="F100" s="816" t="s">
        <v>14172</v>
      </c>
      <c r="G100" s="816"/>
      <c r="H100" s="816">
        <v>6.5887000000000003E-3</v>
      </c>
      <c r="I100" s="816"/>
      <c r="J100" s="817">
        <v>2.1299999999999999E-2</v>
      </c>
      <c r="K100" s="817"/>
      <c r="L100" s="817"/>
    </row>
    <row r="101" spans="1:12" ht="17.100000000000001" customHeight="1">
      <c r="A101" s="636"/>
      <c r="B101" s="636"/>
      <c r="C101" s="636"/>
      <c r="D101" s="636"/>
      <c r="E101" s="636"/>
      <c r="F101" s="636"/>
      <c r="G101" s="636"/>
      <c r="H101" s="636"/>
      <c r="I101" s="636"/>
      <c r="J101" s="636" t="s">
        <v>13675</v>
      </c>
      <c r="K101" s="636"/>
      <c r="L101" s="636" t="s">
        <v>13680</v>
      </c>
    </row>
    <row r="102" spans="1:12">
      <c r="A102" s="802" t="s">
        <v>12722</v>
      </c>
      <c r="B102" s="802"/>
      <c r="C102" s="802"/>
      <c r="D102" s="802"/>
      <c r="E102" s="802"/>
      <c r="F102" s="802"/>
      <c r="G102" s="802"/>
      <c r="H102" s="802"/>
      <c r="I102" s="612"/>
      <c r="J102" s="612"/>
      <c r="K102" s="612"/>
      <c r="L102" s="612"/>
    </row>
    <row r="103" spans="1:12" ht="17.100000000000001" customHeight="1">
      <c r="A103" s="612" t="s">
        <v>13679</v>
      </c>
      <c r="B103" s="636" t="s">
        <v>12698</v>
      </c>
      <c r="C103" s="612" t="s">
        <v>12699</v>
      </c>
      <c r="D103" s="612" t="s">
        <v>12700</v>
      </c>
      <c r="E103" s="637" t="s">
        <v>12702</v>
      </c>
      <c r="F103" s="801" t="s">
        <v>12704</v>
      </c>
      <c r="G103" s="801"/>
      <c r="H103" s="801" t="s">
        <v>13678</v>
      </c>
      <c r="I103" s="801"/>
      <c r="J103" s="801" t="s">
        <v>12705</v>
      </c>
      <c r="K103" s="801"/>
      <c r="L103" s="801"/>
    </row>
    <row r="104" spans="1:12" ht="24" customHeight="1">
      <c r="A104" s="626" t="s">
        <v>12709</v>
      </c>
      <c r="B104" s="627" t="s">
        <v>12998</v>
      </c>
      <c r="C104" s="626" t="s">
        <v>8</v>
      </c>
      <c r="D104" s="626" t="s">
        <v>11861</v>
      </c>
      <c r="E104" s="628" t="s">
        <v>23</v>
      </c>
      <c r="F104" s="816" t="s">
        <v>13683</v>
      </c>
      <c r="G104" s="816"/>
      <c r="H104" s="816">
        <v>9.4666000000000004E-3</v>
      </c>
      <c r="I104" s="816"/>
      <c r="J104" s="817">
        <v>6.7000000000000002E-3</v>
      </c>
      <c r="K104" s="817"/>
      <c r="L104" s="817"/>
    </row>
    <row r="105" spans="1:12" ht="17.100000000000001" customHeight="1">
      <c r="A105" s="636"/>
      <c r="B105" s="636"/>
      <c r="C105" s="636"/>
      <c r="D105" s="636"/>
      <c r="E105" s="636"/>
      <c r="F105" s="636"/>
      <c r="G105" s="636"/>
      <c r="H105" s="636"/>
      <c r="I105" s="636"/>
      <c r="J105" s="636" t="s">
        <v>13675</v>
      </c>
      <c r="K105" s="636"/>
      <c r="L105" s="636" t="s">
        <v>13728</v>
      </c>
    </row>
    <row r="106" spans="1:12">
      <c r="A106" s="802" t="s">
        <v>12713</v>
      </c>
      <c r="B106" s="802"/>
      <c r="C106" s="802"/>
      <c r="D106" s="802"/>
      <c r="E106" s="802"/>
      <c r="F106" s="802"/>
      <c r="G106" s="802"/>
      <c r="H106" s="802"/>
      <c r="I106" s="612"/>
      <c r="J106" s="612"/>
      <c r="K106" s="612"/>
      <c r="L106" s="612"/>
    </row>
    <row r="107" spans="1:12" ht="17.100000000000001" customHeight="1">
      <c r="A107" s="612" t="s">
        <v>13679</v>
      </c>
      <c r="B107" s="636" t="s">
        <v>12698</v>
      </c>
      <c r="C107" s="612" t="s">
        <v>12699</v>
      </c>
      <c r="D107" s="612" t="s">
        <v>12700</v>
      </c>
      <c r="E107" s="637" t="s">
        <v>12702</v>
      </c>
      <c r="F107" s="801" t="s">
        <v>12704</v>
      </c>
      <c r="G107" s="801"/>
      <c r="H107" s="801" t="s">
        <v>13678</v>
      </c>
      <c r="I107" s="801"/>
      <c r="J107" s="801" t="s">
        <v>12705</v>
      </c>
      <c r="K107" s="801"/>
      <c r="L107" s="801"/>
    </row>
    <row r="108" spans="1:12" ht="24" customHeight="1">
      <c r="A108" s="626" t="s">
        <v>12709</v>
      </c>
      <c r="B108" s="627" t="s">
        <v>12999</v>
      </c>
      <c r="C108" s="626" t="s">
        <v>8</v>
      </c>
      <c r="D108" s="626" t="s">
        <v>11251</v>
      </c>
      <c r="E108" s="628" t="s">
        <v>23</v>
      </c>
      <c r="F108" s="816" t="s">
        <v>13681</v>
      </c>
      <c r="G108" s="816"/>
      <c r="H108" s="816">
        <v>9.4666000000000004E-3</v>
      </c>
      <c r="I108" s="816"/>
      <c r="J108" s="817">
        <v>6.9999999999999999E-4</v>
      </c>
      <c r="K108" s="817"/>
      <c r="L108" s="817"/>
    </row>
    <row r="109" spans="1:12" ht="17.100000000000001" customHeight="1">
      <c r="A109" s="636"/>
      <c r="B109" s="636"/>
      <c r="C109" s="636"/>
      <c r="D109" s="636"/>
      <c r="E109" s="636"/>
      <c r="F109" s="636"/>
      <c r="G109" s="636"/>
      <c r="H109" s="636"/>
      <c r="I109" s="636"/>
      <c r="J109" s="636" t="s">
        <v>13675</v>
      </c>
      <c r="K109" s="636"/>
      <c r="L109" s="636" t="s">
        <v>13727</v>
      </c>
    </row>
    <row r="110" spans="1:12">
      <c r="A110" s="802" t="s">
        <v>12712</v>
      </c>
      <c r="B110" s="802"/>
      <c r="C110" s="802"/>
      <c r="D110" s="802"/>
      <c r="E110" s="802"/>
      <c r="F110" s="802"/>
      <c r="G110" s="802"/>
      <c r="H110" s="802"/>
      <c r="I110" s="612"/>
      <c r="J110" s="612"/>
      <c r="K110" s="612"/>
      <c r="L110" s="612"/>
    </row>
    <row r="111" spans="1:12" ht="17.100000000000001" customHeight="1">
      <c r="A111" s="612" t="s">
        <v>13679</v>
      </c>
      <c r="B111" s="636" t="s">
        <v>12698</v>
      </c>
      <c r="C111" s="612" t="s">
        <v>12699</v>
      </c>
      <c r="D111" s="612" t="s">
        <v>12700</v>
      </c>
      <c r="E111" s="637" t="s">
        <v>12702</v>
      </c>
      <c r="F111" s="801" t="s">
        <v>12704</v>
      </c>
      <c r="G111" s="801"/>
      <c r="H111" s="801" t="s">
        <v>13678</v>
      </c>
      <c r="I111" s="801"/>
      <c r="J111" s="801" t="s">
        <v>12705</v>
      </c>
      <c r="K111" s="801"/>
      <c r="L111" s="801"/>
    </row>
    <row r="112" spans="1:12" ht="24" customHeight="1">
      <c r="A112" s="626" t="s">
        <v>12709</v>
      </c>
      <c r="B112" s="627" t="s">
        <v>13002</v>
      </c>
      <c r="C112" s="626" t="s">
        <v>8</v>
      </c>
      <c r="D112" s="626" t="s">
        <v>9306</v>
      </c>
      <c r="E112" s="628" t="s">
        <v>23</v>
      </c>
      <c r="F112" s="816" t="s">
        <v>13677</v>
      </c>
      <c r="G112" s="816"/>
      <c r="H112" s="816">
        <v>9.4666000000000004E-3</v>
      </c>
      <c r="I112" s="816"/>
      <c r="J112" s="817">
        <v>3.3E-3</v>
      </c>
      <c r="K112" s="817"/>
      <c r="L112" s="817"/>
    </row>
    <row r="113" spans="1:12" ht="24" customHeight="1">
      <c r="A113" s="626" t="s">
        <v>12709</v>
      </c>
      <c r="B113" s="627" t="s">
        <v>13004</v>
      </c>
      <c r="C113" s="626" t="s">
        <v>8</v>
      </c>
      <c r="D113" s="626" t="s">
        <v>7388</v>
      </c>
      <c r="E113" s="628" t="s">
        <v>23</v>
      </c>
      <c r="F113" s="816" t="s">
        <v>13676</v>
      </c>
      <c r="G113" s="816"/>
      <c r="H113" s="816">
        <v>9.4666000000000004E-3</v>
      </c>
      <c r="I113" s="816"/>
      <c r="J113" s="817">
        <v>2.0799999999999999E-2</v>
      </c>
      <c r="K113" s="817"/>
      <c r="L113" s="817"/>
    </row>
    <row r="114" spans="1:12" ht="17.100000000000001" customHeight="1">
      <c r="A114" s="636"/>
      <c r="B114" s="636"/>
      <c r="C114" s="636"/>
      <c r="D114" s="636"/>
      <c r="E114" s="636"/>
      <c r="F114" s="636"/>
      <c r="G114" s="636"/>
      <c r="H114" s="636"/>
      <c r="I114" s="636"/>
      <c r="J114" s="636" t="s">
        <v>13675</v>
      </c>
      <c r="K114" s="636"/>
      <c r="L114" s="636" t="s">
        <v>13680</v>
      </c>
    </row>
    <row r="115" spans="1:12" ht="17.100000000000001" customHeight="1">
      <c r="A115" s="612" t="s">
        <v>13673</v>
      </c>
      <c r="B115" s="612"/>
      <c r="C115" s="612"/>
      <c r="D115" s="612"/>
      <c r="E115" s="612"/>
      <c r="F115" s="612"/>
      <c r="G115" s="612"/>
      <c r="H115" s="612"/>
      <c r="I115" s="612"/>
      <c r="J115" s="612"/>
      <c r="K115" s="612"/>
      <c r="L115" s="612"/>
    </row>
    <row r="116" spans="1:12" ht="17.100000000000001" customHeight="1">
      <c r="A116" s="636"/>
      <c r="B116" s="636"/>
      <c r="C116" s="636"/>
      <c r="D116" s="636"/>
      <c r="E116" s="636"/>
      <c r="F116" s="636"/>
      <c r="G116" s="636"/>
      <c r="H116" s="636"/>
      <c r="I116" s="636"/>
      <c r="J116" s="636" t="s">
        <v>13672</v>
      </c>
      <c r="K116" s="636"/>
      <c r="L116" s="636" t="s">
        <v>14876</v>
      </c>
    </row>
    <row r="117" spans="1:12" ht="17.100000000000001" customHeight="1">
      <c r="A117" s="636"/>
      <c r="B117" s="636"/>
      <c r="C117" s="636"/>
      <c r="D117" s="636"/>
      <c r="E117" s="636"/>
      <c r="F117" s="636"/>
      <c r="G117" s="636"/>
      <c r="H117" s="636"/>
      <c r="I117" s="636"/>
      <c r="J117" s="636" t="s">
        <v>13671</v>
      </c>
      <c r="K117" s="636" t="s">
        <v>14461</v>
      </c>
      <c r="L117" s="636" t="s">
        <v>14877</v>
      </c>
    </row>
    <row r="118" spans="1:12" ht="17.100000000000001" customHeight="1">
      <c r="A118" s="636"/>
      <c r="B118" s="636"/>
      <c r="C118" s="636"/>
      <c r="D118" s="636"/>
      <c r="E118" s="636"/>
      <c r="F118" s="636"/>
      <c r="G118" s="636"/>
      <c r="H118" s="636"/>
      <c r="I118" s="636"/>
      <c r="J118" s="636" t="s">
        <v>13670</v>
      </c>
      <c r="K118" s="636"/>
      <c r="L118" s="636" t="s">
        <v>14878</v>
      </c>
    </row>
    <row r="119" spans="1:12" ht="17.100000000000001" customHeight="1">
      <c r="A119" s="636"/>
      <c r="B119" s="636"/>
      <c r="C119" s="636"/>
      <c r="D119" s="636"/>
      <c r="E119" s="636"/>
      <c r="F119" s="636"/>
      <c r="G119" s="636"/>
      <c r="H119" s="636"/>
      <c r="I119" s="636"/>
      <c r="J119" s="636" t="s">
        <v>13669</v>
      </c>
      <c r="K119" s="636" t="s">
        <v>13667</v>
      </c>
      <c r="L119" s="636" t="s">
        <v>14879</v>
      </c>
    </row>
    <row r="120" spans="1:12" ht="17.100000000000001" customHeight="1">
      <c r="A120" s="636"/>
      <c r="B120" s="636"/>
      <c r="C120" s="636"/>
      <c r="D120" s="636"/>
      <c r="E120" s="636"/>
      <c r="F120" s="636"/>
      <c r="G120" s="636"/>
      <c r="H120" s="636"/>
      <c r="I120" s="636"/>
      <c r="J120" s="636" t="s">
        <v>13668</v>
      </c>
      <c r="K120" s="636"/>
      <c r="L120" s="636" t="s">
        <v>14880</v>
      </c>
    </row>
    <row r="121" spans="1:12" ht="30" customHeight="1">
      <c r="A121" s="637"/>
      <c r="B121" s="637"/>
      <c r="C121" s="637"/>
      <c r="D121" s="637"/>
      <c r="E121" s="637"/>
      <c r="F121" s="637"/>
      <c r="G121" s="637"/>
      <c r="H121" s="637"/>
      <c r="I121" s="637"/>
      <c r="J121" s="637"/>
      <c r="K121" s="637"/>
      <c r="L121" s="637"/>
    </row>
    <row r="122" spans="1:12" ht="24" customHeight="1">
      <c r="A122" s="616" t="s">
        <v>14288</v>
      </c>
      <c r="B122" s="617" t="s">
        <v>13656</v>
      </c>
      <c r="C122" s="616" t="s">
        <v>8</v>
      </c>
      <c r="D122" s="616" t="s">
        <v>146</v>
      </c>
      <c r="E122" s="618" t="s">
        <v>12730</v>
      </c>
      <c r="F122" s="617"/>
      <c r="G122" s="617"/>
      <c r="H122" s="617"/>
      <c r="I122" s="617"/>
      <c r="J122" s="617"/>
      <c r="K122" s="617"/>
      <c r="L122" s="617"/>
    </row>
    <row r="123" spans="1:12" ht="14.25" customHeight="1">
      <c r="A123" s="802" t="s">
        <v>12711</v>
      </c>
      <c r="B123" s="802"/>
      <c r="C123" s="802"/>
      <c r="D123" s="802"/>
      <c r="E123" s="802"/>
      <c r="F123" s="802"/>
      <c r="G123" s="802"/>
      <c r="H123" s="802"/>
      <c r="I123" s="612"/>
      <c r="J123" s="612"/>
      <c r="K123" s="612"/>
      <c r="L123" s="612"/>
    </row>
    <row r="124" spans="1:12" ht="17.100000000000001" customHeight="1">
      <c r="A124" s="612" t="s">
        <v>13679</v>
      </c>
      <c r="B124" s="636" t="s">
        <v>12698</v>
      </c>
      <c r="C124" s="612" t="s">
        <v>12699</v>
      </c>
      <c r="D124" s="612" t="s">
        <v>12700</v>
      </c>
      <c r="E124" s="637" t="s">
        <v>12702</v>
      </c>
      <c r="F124" s="801" t="s">
        <v>12704</v>
      </c>
      <c r="G124" s="801"/>
      <c r="H124" s="801" t="s">
        <v>13678</v>
      </c>
      <c r="I124" s="801"/>
      <c r="J124" s="801" t="s">
        <v>12705</v>
      </c>
      <c r="K124" s="801"/>
      <c r="L124" s="801"/>
    </row>
    <row r="125" spans="1:12" ht="48" customHeight="1">
      <c r="A125" s="626" t="s">
        <v>12709</v>
      </c>
      <c r="B125" s="627" t="s">
        <v>13280</v>
      </c>
      <c r="C125" s="626" t="s">
        <v>8</v>
      </c>
      <c r="D125" s="626" t="s">
        <v>8193</v>
      </c>
      <c r="E125" s="628" t="s">
        <v>35</v>
      </c>
      <c r="F125" s="816" t="s">
        <v>14491</v>
      </c>
      <c r="G125" s="816"/>
      <c r="H125" s="816">
        <v>8.9999999999999996E-7</v>
      </c>
      <c r="I125" s="816"/>
      <c r="J125" s="817">
        <v>0.26079999999999998</v>
      </c>
      <c r="K125" s="817"/>
      <c r="L125" s="817"/>
    </row>
    <row r="126" spans="1:12" ht="24" customHeight="1">
      <c r="A126" s="626" t="s">
        <v>12709</v>
      </c>
      <c r="B126" s="627" t="s">
        <v>13003</v>
      </c>
      <c r="C126" s="626" t="s">
        <v>8</v>
      </c>
      <c r="D126" s="626" t="s">
        <v>9227</v>
      </c>
      <c r="E126" s="628" t="s">
        <v>23</v>
      </c>
      <c r="F126" s="816" t="s">
        <v>13732</v>
      </c>
      <c r="G126" s="816"/>
      <c r="H126" s="816">
        <v>2.4813100000000001E-2</v>
      </c>
      <c r="I126" s="816"/>
      <c r="J126" s="817">
        <v>1.6400000000000001E-2</v>
      </c>
      <c r="K126" s="817"/>
      <c r="L126" s="817"/>
    </row>
    <row r="127" spans="1:12" ht="24" customHeight="1">
      <c r="A127" s="626" t="s">
        <v>12709</v>
      </c>
      <c r="B127" s="627" t="s">
        <v>13001</v>
      </c>
      <c r="C127" s="626" t="s">
        <v>8</v>
      </c>
      <c r="D127" s="626" t="s">
        <v>9374</v>
      </c>
      <c r="E127" s="628" t="s">
        <v>23</v>
      </c>
      <c r="F127" s="816" t="s">
        <v>13728</v>
      </c>
      <c r="G127" s="816"/>
      <c r="H127" s="816">
        <v>2.4813100000000001E-2</v>
      </c>
      <c r="I127" s="816"/>
      <c r="J127" s="817">
        <v>2.0000000000000001E-4</v>
      </c>
      <c r="K127" s="817"/>
      <c r="L127" s="817"/>
    </row>
    <row r="128" spans="1:12" ht="36" customHeight="1">
      <c r="A128" s="626" t="s">
        <v>12709</v>
      </c>
      <c r="B128" s="627" t="s">
        <v>13078</v>
      </c>
      <c r="C128" s="626" t="s">
        <v>8</v>
      </c>
      <c r="D128" s="626" t="s">
        <v>10590</v>
      </c>
      <c r="E128" s="628" t="s">
        <v>35</v>
      </c>
      <c r="F128" s="816" t="s">
        <v>14249</v>
      </c>
      <c r="G128" s="816"/>
      <c r="H128" s="816">
        <v>2.3999999999999999E-6</v>
      </c>
      <c r="I128" s="816"/>
      <c r="J128" s="817">
        <v>0.92390000000000005</v>
      </c>
      <c r="K128" s="817"/>
      <c r="L128" s="817"/>
    </row>
    <row r="129" spans="1:12" ht="24" customHeight="1">
      <c r="A129" s="626" t="s">
        <v>12709</v>
      </c>
      <c r="B129" s="627" t="s">
        <v>13048</v>
      </c>
      <c r="C129" s="626" t="s">
        <v>8</v>
      </c>
      <c r="D129" s="626" t="s">
        <v>9233</v>
      </c>
      <c r="E129" s="628" t="s">
        <v>23</v>
      </c>
      <c r="F129" s="816" t="s">
        <v>13690</v>
      </c>
      <c r="G129" s="816"/>
      <c r="H129" s="816">
        <v>1.78654E-2</v>
      </c>
      <c r="I129" s="816"/>
      <c r="J129" s="817">
        <v>1.8200000000000001E-2</v>
      </c>
      <c r="K129" s="817"/>
      <c r="L129" s="817"/>
    </row>
    <row r="130" spans="1:12" ht="24" customHeight="1">
      <c r="A130" s="626" t="s">
        <v>12709</v>
      </c>
      <c r="B130" s="627" t="s">
        <v>13047</v>
      </c>
      <c r="C130" s="626" t="s">
        <v>8</v>
      </c>
      <c r="D130" s="626" t="s">
        <v>9380</v>
      </c>
      <c r="E130" s="628" t="s">
        <v>23</v>
      </c>
      <c r="F130" s="816" t="s">
        <v>13689</v>
      </c>
      <c r="G130" s="816"/>
      <c r="H130" s="816">
        <v>1.78654E-2</v>
      </c>
      <c r="I130" s="816"/>
      <c r="J130" s="817">
        <v>6.7999999999999996E-3</v>
      </c>
      <c r="K130" s="817"/>
      <c r="L130" s="817"/>
    </row>
    <row r="131" spans="1:12" ht="17.100000000000001" customHeight="1">
      <c r="A131" s="636"/>
      <c r="B131" s="636"/>
      <c r="C131" s="636"/>
      <c r="D131" s="636"/>
      <c r="E131" s="636"/>
      <c r="F131" s="636"/>
      <c r="G131" s="636"/>
      <c r="H131" s="636"/>
      <c r="I131" s="636"/>
      <c r="J131" s="636" t="s">
        <v>13675</v>
      </c>
      <c r="K131" s="636"/>
      <c r="L131" s="636" t="s">
        <v>13856</v>
      </c>
    </row>
    <row r="132" spans="1:12" ht="14.25" customHeight="1">
      <c r="A132" s="802" t="s">
        <v>12710</v>
      </c>
      <c r="B132" s="802"/>
      <c r="C132" s="802"/>
      <c r="D132" s="802"/>
      <c r="E132" s="802"/>
      <c r="F132" s="802"/>
      <c r="G132" s="802"/>
      <c r="H132" s="802"/>
      <c r="I132" s="612"/>
      <c r="J132" s="612"/>
      <c r="K132" s="612"/>
      <c r="L132" s="612"/>
    </row>
    <row r="133" spans="1:12" ht="17.100000000000001" customHeight="1">
      <c r="A133" s="612" t="s">
        <v>13679</v>
      </c>
      <c r="B133" s="636" t="s">
        <v>12698</v>
      </c>
      <c r="C133" s="612" t="s">
        <v>12699</v>
      </c>
      <c r="D133" s="612" t="s">
        <v>12700</v>
      </c>
      <c r="E133" s="637" t="s">
        <v>12702</v>
      </c>
      <c r="F133" s="801" t="s">
        <v>12704</v>
      </c>
      <c r="G133" s="801"/>
      <c r="H133" s="801" t="s">
        <v>13678</v>
      </c>
      <c r="I133" s="801"/>
      <c r="J133" s="801" t="s">
        <v>12705</v>
      </c>
      <c r="K133" s="801"/>
      <c r="L133" s="801"/>
    </row>
    <row r="134" spans="1:12" ht="24" customHeight="1">
      <c r="A134" s="626" t="s">
        <v>12709</v>
      </c>
      <c r="B134" s="627" t="s">
        <v>13129</v>
      </c>
      <c r="C134" s="626" t="s">
        <v>8</v>
      </c>
      <c r="D134" s="626" t="s">
        <v>10467</v>
      </c>
      <c r="E134" s="628" t="s">
        <v>23</v>
      </c>
      <c r="F134" s="816" t="s">
        <v>14252</v>
      </c>
      <c r="G134" s="816"/>
      <c r="H134" s="816">
        <v>6.7479999999999997E-3</v>
      </c>
      <c r="I134" s="816"/>
      <c r="J134" s="817">
        <v>3.5000000000000003E-2</v>
      </c>
      <c r="K134" s="817"/>
      <c r="L134" s="817"/>
    </row>
    <row r="135" spans="1:12" ht="24" customHeight="1">
      <c r="A135" s="626" t="s">
        <v>12709</v>
      </c>
      <c r="B135" s="627" t="s">
        <v>13101</v>
      </c>
      <c r="C135" s="626" t="s">
        <v>8</v>
      </c>
      <c r="D135" s="626" t="s">
        <v>10578</v>
      </c>
      <c r="E135" s="628" t="s">
        <v>23</v>
      </c>
      <c r="F135" s="816" t="s">
        <v>14200</v>
      </c>
      <c r="G135" s="816"/>
      <c r="H135" s="816">
        <v>1.7390099999999999E-2</v>
      </c>
      <c r="I135" s="816"/>
      <c r="J135" s="817">
        <v>9.6500000000000002E-2</v>
      </c>
      <c r="K135" s="817"/>
      <c r="L135" s="817"/>
    </row>
    <row r="136" spans="1:12" ht="24" customHeight="1">
      <c r="A136" s="626" t="s">
        <v>12709</v>
      </c>
      <c r="B136" s="627" t="s">
        <v>13046</v>
      </c>
      <c r="C136" s="626" t="s">
        <v>8</v>
      </c>
      <c r="D136" s="626" t="s">
        <v>11281</v>
      </c>
      <c r="E136" s="628" t="s">
        <v>23</v>
      </c>
      <c r="F136" s="816" t="s">
        <v>13731</v>
      </c>
      <c r="G136" s="816"/>
      <c r="H136" s="816">
        <v>1.7544000000000001E-2</v>
      </c>
      <c r="I136" s="816"/>
      <c r="J136" s="817">
        <v>9.0200000000000002E-2</v>
      </c>
      <c r="K136" s="817"/>
      <c r="L136" s="817"/>
    </row>
    <row r="137" spans="1:12" ht="17.100000000000001" customHeight="1">
      <c r="A137" s="636"/>
      <c r="B137" s="636"/>
      <c r="C137" s="636"/>
      <c r="D137" s="636"/>
      <c r="E137" s="636"/>
      <c r="F137" s="636"/>
      <c r="G137" s="636"/>
      <c r="H137" s="636"/>
      <c r="I137" s="636"/>
      <c r="J137" s="636" t="s">
        <v>13675</v>
      </c>
      <c r="K137" s="636"/>
      <c r="L137" s="636" t="s">
        <v>14276</v>
      </c>
    </row>
    <row r="138" spans="1:12">
      <c r="A138" s="802" t="s">
        <v>12720</v>
      </c>
      <c r="B138" s="802"/>
      <c r="C138" s="802"/>
      <c r="D138" s="802"/>
      <c r="E138" s="802"/>
      <c r="F138" s="802"/>
      <c r="G138" s="802"/>
      <c r="H138" s="802"/>
      <c r="I138" s="612"/>
      <c r="J138" s="612"/>
      <c r="K138" s="612"/>
      <c r="L138" s="612"/>
    </row>
    <row r="139" spans="1:12" ht="17.100000000000001" customHeight="1">
      <c r="A139" s="612" t="s">
        <v>13679</v>
      </c>
      <c r="B139" s="636" t="s">
        <v>12698</v>
      </c>
      <c r="C139" s="612" t="s">
        <v>12699</v>
      </c>
      <c r="D139" s="612" t="s">
        <v>12700</v>
      </c>
      <c r="E139" s="637" t="s">
        <v>12702</v>
      </c>
      <c r="F139" s="801" t="s">
        <v>12704</v>
      </c>
      <c r="G139" s="801"/>
      <c r="H139" s="801" t="s">
        <v>13678</v>
      </c>
      <c r="I139" s="801"/>
      <c r="J139" s="801" t="s">
        <v>12705</v>
      </c>
      <c r="K139" s="801"/>
      <c r="L139" s="801"/>
    </row>
    <row r="140" spans="1:12" ht="24" customHeight="1">
      <c r="A140" s="626" t="s">
        <v>12709</v>
      </c>
      <c r="B140" s="627" t="s">
        <v>13281</v>
      </c>
      <c r="C140" s="626" t="s">
        <v>8</v>
      </c>
      <c r="D140" s="626" t="s">
        <v>8070</v>
      </c>
      <c r="E140" s="628" t="s">
        <v>35</v>
      </c>
      <c r="F140" s="816" t="s">
        <v>13730</v>
      </c>
      <c r="G140" s="816"/>
      <c r="H140" s="816">
        <v>8.9999999999999996E-7</v>
      </c>
      <c r="I140" s="816"/>
      <c r="J140" s="817">
        <v>3.0499999999999999E-2</v>
      </c>
      <c r="K140" s="817"/>
      <c r="L140" s="817"/>
    </row>
    <row r="141" spans="1:12" ht="24" customHeight="1">
      <c r="A141" s="626" t="s">
        <v>12709</v>
      </c>
      <c r="B141" s="627" t="s">
        <v>13007</v>
      </c>
      <c r="C141" s="626" t="s">
        <v>8</v>
      </c>
      <c r="D141" s="626" t="s">
        <v>10549</v>
      </c>
      <c r="E141" s="628" t="s">
        <v>58</v>
      </c>
      <c r="F141" s="816" t="s">
        <v>14172</v>
      </c>
      <c r="G141" s="816"/>
      <c r="H141" s="816">
        <v>0.35648439999999998</v>
      </c>
      <c r="I141" s="816"/>
      <c r="J141" s="817">
        <v>1.155</v>
      </c>
      <c r="K141" s="817"/>
      <c r="L141" s="817"/>
    </row>
    <row r="142" spans="1:12" ht="17.100000000000001" customHeight="1">
      <c r="A142" s="636"/>
      <c r="B142" s="636"/>
      <c r="C142" s="636"/>
      <c r="D142" s="636"/>
      <c r="E142" s="636"/>
      <c r="F142" s="636"/>
      <c r="G142" s="636"/>
      <c r="H142" s="636"/>
      <c r="I142" s="636"/>
      <c r="J142" s="636" t="s">
        <v>13675</v>
      </c>
      <c r="K142" s="636"/>
      <c r="L142" s="636" t="s">
        <v>14795</v>
      </c>
    </row>
    <row r="143" spans="1:12">
      <c r="A143" s="802" t="s">
        <v>12722</v>
      </c>
      <c r="B143" s="802"/>
      <c r="C143" s="802"/>
      <c r="D143" s="802"/>
      <c r="E143" s="802"/>
      <c r="F143" s="802"/>
      <c r="G143" s="802"/>
      <c r="H143" s="802"/>
      <c r="I143" s="612"/>
      <c r="J143" s="612"/>
      <c r="K143" s="612"/>
      <c r="L143" s="612"/>
    </row>
    <row r="144" spans="1:12" ht="17.100000000000001" customHeight="1">
      <c r="A144" s="612" t="s">
        <v>13679</v>
      </c>
      <c r="B144" s="636" t="s">
        <v>12698</v>
      </c>
      <c r="C144" s="612" t="s">
        <v>12699</v>
      </c>
      <c r="D144" s="612" t="s">
        <v>12700</v>
      </c>
      <c r="E144" s="637" t="s">
        <v>12702</v>
      </c>
      <c r="F144" s="801" t="s">
        <v>12704</v>
      </c>
      <c r="G144" s="801"/>
      <c r="H144" s="801" t="s">
        <v>13678</v>
      </c>
      <c r="I144" s="801"/>
      <c r="J144" s="801" t="s">
        <v>12705</v>
      </c>
      <c r="K144" s="801"/>
      <c r="L144" s="801"/>
    </row>
    <row r="145" spans="1:12" ht="24" customHeight="1">
      <c r="A145" s="626" t="s">
        <v>12709</v>
      </c>
      <c r="B145" s="627" t="s">
        <v>12998</v>
      </c>
      <c r="C145" s="626" t="s">
        <v>8</v>
      </c>
      <c r="D145" s="626" t="s">
        <v>11861</v>
      </c>
      <c r="E145" s="628" t="s">
        <v>23</v>
      </c>
      <c r="F145" s="816" t="s">
        <v>13683</v>
      </c>
      <c r="G145" s="816"/>
      <c r="H145" s="816">
        <v>4.2678500000000001E-2</v>
      </c>
      <c r="I145" s="816"/>
      <c r="J145" s="817">
        <v>3.0300000000000001E-2</v>
      </c>
      <c r="K145" s="817"/>
      <c r="L145" s="817"/>
    </row>
    <row r="146" spans="1:12" ht="17.100000000000001" customHeight="1">
      <c r="A146" s="636"/>
      <c r="B146" s="636"/>
      <c r="C146" s="636"/>
      <c r="D146" s="636"/>
      <c r="E146" s="636"/>
      <c r="F146" s="636"/>
      <c r="G146" s="636"/>
      <c r="H146" s="636"/>
      <c r="I146" s="636"/>
      <c r="J146" s="636" t="s">
        <v>13675</v>
      </c>
      <c r="K146" s="636"/>
      <c r="L146" s="636" t="s">
        <v>13726</v>
      </c>
    </row>
    <row r="147" spans="1:12">
      <c r="A147" s="802" t="s">
        <v>12713</v>
      </c>
      <c r="B147" s="802"/>
      <c r="C147" s="802"/>
      <c r="D147" s="802"/>
      <c r="E147" s="802"/>
      <c r="F147" s="802"/>
      <c r="G147" s="802"/>
      <c r="H147" s="802"/>
      <c r="I147" s="612"/>
      <c r="J147" s="612"/>
      <c r="K147" s="612"/>
      <c r="L147" s="612"/>
    </row>
    <row r="148" spans="1:12" ht="17.100000000000001" customHeight="1">
      <c r="A148" s="612" t="s">
        <v>13679</v>
      </c>
      <c r="B148" s="636" t="s">
        <v>12698</v>
      </c>
      <c r="C148" s="612" t="s">
        <v>12699</v>
      </c>
      <c r="D148" s="612" t="s">
        <v>12700</v>
      </c>
      <c r="E148" s="637" t="s">
        <v>12702</v>
      </c>
      <c r="F148" s="801" t="s">
        <v>12704</v>
      </c>
      <c r="G148" s="801"/>
      <c r="H148" s="801" t="s">
        <v>13678</v>
      </c>
      <c r="I148" s="801"/>
      <c r="J148" s="801" t="s">
        <v>12705</v>
      </c>
      <c r="K148" s="801"/>
      <c r="L148" s="801"/>
    </row>
    <row r="149" spans="1:12" ht="24" customHeight="1">
      <c r="A149" s="626" t="s">
        <v>12709</v>
      </c>
      <c r="B149" s="627" t="s">
        <v>12999</v>
      </c>
      <c r="C149" s="626" t="s">
        <v>8</v>
      </c>
      <c r="D149" s="626" t="s">
        <v>11251</v>
      </c>
      <c r="E149" s="628" t="s">
        <v>23</v>
      </c>
      <c r="F149" s="816" t="s">
        <v>13681</v>
      </c>
      <c r="G149" s="816"/>
      <c r="H149" s="816">
        <v>4.2678500000000001E-2</v>
      </c>
      <c r="I149" s="816"/>
      <c r="J149" s="817">
        <v>3.0000000000000001E-3</v>
      </c>
      <c r="K149" s="817"/>
      <c r="L149" s="817"/>
    </row>
    <row r="150" spans="1:12" ht="17.100000000000001" customHeight="1">
      <c r="A150" s="636"/>
      <c r="B150" s="636"/>
      <c r="C150" s="636"/>
      <c r="D150" s="636"/>
      <c r="E150" s="636"/>
      <c r="F150" s="636"/>
      <c r="G150" s="636"/>
      <c r="H150" s="636"/>
      <c r="I150" s="636"/>
      <c r="J150" s="636" t="s">
        <v>13675</v>
      </c>
      <c r="K150" s="636"/>
      <c r="L150" s="636" t="s">
        <v>13727</v>
      </c>
    </row>
    <row r="151" spans="1:12">
      <c r="A151" s="802" t="s">
        <v>12712</v>
      </c>
      <c r="B151" s="802"/>
      <c r="C151" s="802"/>
      <c r="D151" s="802"/>
      <c r="E151" s="802"/>
      <c r="F151" s="802"/>
      <c r="G151" s="802"/>
      <c r="H151" s="802"/>
      <c r="I151" s="612"/>
      <c r="J151" s="612"/>
      <c r="K151" s="612"/>
      <c r="L151" s="612"/>
    </row>
    <row r="152" spans="1:12" ht="17.100000000000001" customHeight="1">
      <c r="A152" s="612" t="s">
        <v>13679</v>
      </c>
      <c r="B152" s="636" t="s">
        <v>12698</v>
      </c>
      <c r="C152" s="612" t="s">
        <v>12699</v>
      </c>
      <c r="D152" s="612" t="s">
        <v>12700</v>
      </c>
      <c r="E152" s="637" t="s">
        <v>12702</v>
      </c>
      <c r="F152" s="801" t="s">
        <v>12704</v>
      </c>
      <c r="G152" s="801"/>
      <c r="H152" s="801" t="s">
        <v>13678</v>
      </c>
      <c r="I152" s="801"/>
      <c r="J152" s="801" t="s">
        <v>12705</v>
      </c>
      <c r="K152" s="801"/>
      <c r="L152" s="801"/>
    </row>
    <row r="153" spans="1:12" ht="24" customHeight="1">
      <c r="A153" s="626" t="s">
        <v>12709</v>
      </c>
      <c r="B153" s="627" t="s">
        <v>13002</v>
      </c>
      <c r="C153" s="626" t="s">
        <v>8</v>
      </c>
      <c r="D153" s="626" t="s">
        <v>9306</v>
      </c>
      <c r="E153" s="628" t="s">
        <v>23</v>
      </c>
      <c r="F153" s="816" t="s">
        <v>13677</v>
      </c>
      <c r="G153" s="816"/>
      <c r="H153" s="816">
        <v>4.2678500000000001E-2</v>
      </c>
      <c r="I153" s="816"/>
      <c r="J153" s="817">
        <v>1.49E-2</v>
      </c>
      <c r="K153" s="817"/>
      <c r="L153" s="817"/>
    </row>
    <row r="154" spans="1:12" ht="24" customHeight="1">
      <c r="A154" s="626" t="s">
        <v>12709</v>
      </c>
      <c r="B154" s="627" t="s">
        <v>13004</v>
      </c>
      <c r="C154" s="626" t="s">
        <v>8</v>
      </c>
      <c r="D154" s="626" t="s">
        <v>7388</v>
      </c>
      <c r="E154" s="628" t="s">
        <v>23</v>
      </c>
      <c r="F154" s="816" t="s">
        <v>13676</v>
      </c>
      <c r="G154" s="816"/>
      <c r="H154" s="816">
        <v>4.2678500000000001E-2</v>
      </c>
      <c r="I154" s="816"/>
      <c r="J154" s="817">
        <v>9.3899999999999997E-2</v>
      </c>
      <c r="K154" s="817"/>
      <c r="L154" s="817"/>
    </row>
    <row r="155" spans="1:12" ht="17.100000000000001" customHeight="1">
      <c r="A155" s="636"/>
      <c r="B155" s="636"/>
      <c r="C155" s="636"/>
      <c r="D155" s="636"/>
      <c r="E155" s="636"/>
      <c r="F155" s="636"/>
      <c r="G155" s="636"/>
      <c r="H155" s="636"/>
      <c r="I155" s="636"/>
      <c r="J155" s="636" t="s">
        <v>13675</v>
      </c>
      <c r="K155" s="636"/>
      <c r="L155" s="636" t="s">
        <v>13785</v>
      </c>
    </row>
    <row r="156" spans="1:12" ht="17.100000000000001" customHeight="1">
      <c r="A156" s="612" t="s">
        <v>13673</v>
      </c>
      <c r="B156" s="612"/>
      <c r="C156" s="612"/>
      <c r="D156" s="612"/>
      <c r="E156" s="612"/>
      <c r="F156" s="612"/>
      <c r="G156" s="612"/>
      <c r="H156" s="612"/>
      <c r="I156" s="612"/>
      <c r="J156" s="612"/>
      <c r="K156" s="612"/>
      <c r="L156" s="612"/>
    </row>
    <row r="157" spans="1:12" ht="17.100000000000001" customHeight="1">
      <c r="A157" s="636"/>
      <c r="B157" s="636"/>
      <c r="C157" s="636"/>
      <c r="D157" s="636"/>
      <c r="E157" s="636"/>
      <c r="F157" s="636"/>
      <c r="G157" s="636"/>
      <c r="H157" s="636"/>
      <c r="I157" s="636"/>
      <c r="J157" s="636" t="s">
        <v>13672</v>
      </c>
      <c r="K157" s="636"/>
      <c r="L157" s="636" t="s">
        <v>14881</v>
      </c>
    </row>
    <row r="158" spans="1:12" ht="17.100000000000001" customHeight="1">
      <c r="A158" s="636"/>
      <c r="B158" s="636"/>
      <c r="C158" s="636"/>
      <c r="D158" s="636"/>
      <c r="E158" s="636"/>
      <c r="F158" s="636"/>
      <c r="G158" s="636"/>
      <c r="H158" s="636"/>
      <c r="I158" s="636"/>
      <c r="J158" s="636" t="s">
        <v>13671</v>
      </c>
      <c r="K158" s="636" t="s">
        <v>14461</v>
      </c>
      <c r="L158" s="636" t="s">
        <v>14882</v>
      </c>
    </row>
    <row r="159" spans="1:12" ht="17.100000000000001" customHeight="1">
      <c r="A159" s="636"/>
      <c r="B159" s="636"/>
      <c r="C159" s="636"/>
      <c r="D159" s="636"/>
      <c r="E159" s="636"/>
      <c r="F159" s="636"/>
      <c r="G159" s="636"/>
      <c r="H159" s="636"/>
      <c r="I159" s="636"/>
      <c r="J159" s="636" t="s">
        <v>13670</v>
      </c>
      <c r="K159" s="636"/>
      <c r="L159" s="636" t="s">
        <v>14883</v>
      </c>
    </row>
    <row r="160" spans="1:12" ht="17.100000000000001" customHeight="1">
      <c r="A160" s="636"/>
      <c r="B160" s="636"/>
      <c r="C160" s="636"/>
      <c r="D160" s="636"/>
      <c r="E160" s="636"/>
      <c r="F160" s="636"/>
      <c r="G160" s="636"/>
      <c r="H160" s="636"/>
      <c r="I160" s="636"/>
      <c r="J160" s="636" t="s">
        <v>13669</v>
      </c>
      <c r="K160" s="636" t="s">
        <v>13667</v>
      </c>
      <c r="L160" s="636" t="s">
        <v>14884</v>
      </c>
    </row>
    <row r="161" spans="1:12" ht="17.100000000000001" customHeight="1">
      <c r="A161" s="636"/>
      <c r="B161" s="636"/>
      <c r="C161" s="636"/>
      <c r="D161" s="636"/>
      <c r="E161" s="636"/>
      <c r="F161" s="636"/>
      <c r="G161" s="636"/>
      <c r="H161" s="636"/>
      <c r="I161" s="636"/>
      <c r="J161" s="636" t="s">
        <v>13668</v>
      </c>
      <c r="K161" s="636"/>
      <c r="L161" s="636" t="s">
        <v>14885</v>
      </c>
    </row>
    <row r="162" spans="1:12" ht="30" customHeight="1">
      <c r="A162" s="637"/>
      <c r="B162" s="637"/>
      <c r="C162" s="637"/>
      <c r="D162" s="637"/>
      <c r="E162" s="637"/>
      <c r="F162" s="637"/>
      <c r="G162" s="637"/>
      <c r="H162" s="637"/>
      <c r="I162" s="637"/>
      <c r="J162" s="637"/>
      <c r="K162" s="637"/>
      <c r="L162" s="637"/>
    </row>
    <row r="163" spans="1:12" ht="36" customHeight="1">
      <c r="A163" s="616" t="s">
        <v>14287</v>
      </c>
      <c r="B163" s="617" t="s">
        <v>13655</v>
      </c>
      <c r="C163" s="616" t="s">
        <v>8</v>
      </c>
      <c r="D163" s="616" t="s">
        <v>4680</v>
      </c>
      <c r="E163" s="618" t="s">
        <v>144</v>
      </c>
      <c r="F163" s="617"/>
      <c r="G163" s="617"/>
      <c r="H163" s="617"/>
      <c r="I163" s="617"/>
      <c r="J163" s="617"/>
      <c r="K163" s="617"/>
      <c r="L163" s="617"/>
    </row>
    <row r="164" spans="1:12" ht="14.25" customHeight="1">
      <c r="A164" s="802" t="s">
        <v>12711</v>
      </c>
      <c r="B164" s="802"/>
      <c r="C164" s="802"/>
      <c r="D164" s="802"/>
      <c r="E164" s="802"/>
      <c r="F164" s="802"/>
      <c r="G164" s="802"/>
      <c r="H164" s="802"/>
      <c r="I164" s="612"/>
      <c r="J164" s="612"/>
      <c r="K164" s="612"/>
      <c r="L164" s="612"/>
    </row>
    <row r="165" spans="1:12" ht="17.100000000000001" customHeight="1">
      <c r="A165" s="612" t="s">
        <v>13679</v>
      </c>
      <c r="B165" s="636" t="s">
        <v>12698</v>
      </c>
      <c r="C165" s="612" t="s">
        <v>12699</v>
      </c>
      <c r="D165" s="612" t="s">
        <v>12700</v>
      </c>
      <c r="E165" s="637" t="s">
        <v>12702</v>
      </c>
      <c r="F165" s="801" t="s">
        <v>12704</v>
      </c>
      <c r="G165" s="801"/>
      <c r="H165" s="801" t="s">
        <v>13678</v>
      </c>
      <c r="I165" s="801"/>
      <c r="J165" s="801" t="s">
        <v>12705</v>
      </c>
      <c r="K165" s="801"/>
      <c r="L165" s="801"/>
    </row>
    <row r="166" spans="1:12" ht="48" customHeight="1">
      <c r="A166" s="626" t="s">
        <v>12709</v>
      </c>
      <c r="B166" s="627" t="s">
        <v>13289</v>
      </c>
      <c r="C166" s="626" t="s">
        <v>8</v>
      </c>
      <c r="D166" s="626" t="s">
        <v>8192</v>
      </c>
      <c r="E166" s="628" t="s">
        <v>35</v>
      </c>
      <c r="F166" s="816" t="s">
        <v>14489</v>
      </c>
      <c r="G166" s="816"/>
      <c r="H166" s="816">
        <v>1.3999999999999999E-6</v>
      </c>
      <c r="I166" s="816"/>
      <c r="J166" s="817">
        <v>0.38529999999999998</v>
      </c>
      <c r="K166" s="817"/>
      <c r="L166" s="817"/>
    </row>
    <row r="167" spans="1:12" ht="24" customHeight="1">
      <c r="A167" s="626" t="s">
        <v>12709</v>
      </c>
      <c r="B167" s="627" t="s">
        <v>13003</v>
      </c>
      <c r="C167" s="626" t="s">
        <v>8</v>
      </c>
      <c r="D167" s="626" t="s">
        <v>9227</v>
      </c>
      <c r="E167" s="628" t="s">
        <v>23</v>
      </c>
      <c r="F167" s="816" t="s">
        <v>13732</v>
      </c>
      <c r="G167" s="816"/>
      <c r="H167" s="816">
        <v>1.3021899999999999E-2</v>
      </c>
      <c r="I167" s="816"/>
      <c r="J167" s="817">
        <v>8.6E-3</v>
      </c>
      <c r="K167" s="817"/>
      <c r="L167" s="817"/>
    </row>
    <row r="168" spans="1:12" ht="24" customHeight="1">
      <c r="A168" s="626" t="s">
        <v>12709</v>
      </c>
      <c r="B168" s="627" t="s">
        <v>13001</v>
      </c>
      <c r="C168" s="626" t="s">
        <v>8</v>
      </c>
      <c r="D168" s="626" t="s">
        <v>9374</v>
      </c>
      <c r="E168" s="628" t="s">
        <v>23</v>
      </c>
      <c r="F168" s="816" t="s">
        <v>13728</v>
      </c>
      <c r="G168" s="816"/>
      <c r="H168" s="816">
        <v>1.3021899999999999E-2</v>
      </c>
      <c r="I168" s="816"/>
      <c r="J168" s="817">
        <v>1E-4</v>
      </c>
      <c r="K168" s="817"/>
      <c r="L168" s="817"/>
    </row>
    <row r="169" spans="1:12" ht="17.100000000000001" customHeight="1">
      <c r="A169" s="636"/>
      <c r="B169" s="636"/>
      <c r="C169" s="636"/>
      <c r="D169" s="636"/>
      <c r="E169" s="636"/>
      <c r="F169" s="636"/>
      <c r="G169" s="636"/>
      <c r="H169" s="636"/>
      <c r="I169" s="636"/>
      <c r="J169" s="636" t="s">
        <v>13675</v>
      </c>
      <c r="K169" s="636"/>
      <c r="L169" s="636" t="s">
        <v>13784</v>
      </c>
    </row>
    <row r="170" spans="1:12" ht="14.25" customHeight="1">
      <c r="A170" s="802" t="s">
        <v>12710</v>
      </c>
      <c r="B170" s="802"/>
      <c r="C170" s="802"/>
      <c r="D170" s="802"/>
      <c r="E170" s="802"/>
      <c r="F170" s="802"/>
      <c r="G170" s="802"/>
      <c r="H170" s="802"/>
      <c r="I170" s="612"/>
      <c r="J170" s="612"/>
      <c r="K170" s="612"/>
      <c r="L170" s="612"/>
    </row>
    <row r="171" spans="1:12" ht="17.100000000000001" customHeight="1">
      <c r="A171" s="612" t="s">
        <v>13679</v>
      </c>
      <c r="B171" s="636" t="s">
        <v>12698</v>
      </c>
      <c r="C171" s="612" t="s">
        <v>12699</v>
      </c>
      <c r="D171" s="612" t="s">
        <v>12700</v>
      </c>
      <c r="E171" s="637" t="s">
        <v>12702</v>
      </c>
      <c r="F171" s="801" t="s">
        <v>12704</v>
      </c>
      <c r="G171" s="801"/>
      <c r="H171" s="801" t="s">
        <v>13678</v>
      </c>
      <c r="I171" s="801"/>
      <c r="J171" s="801" t="s">
        <v>12705</v>
      </c>
      <c r="K171" s="801"/>
      <c r="L171" s="801"/>
    </row>
    <row r="172" spans="1:12" ht="24" customHeight="1">
      <c r="A172" s="626" t="s">
        <v>12709</v>
      </c>
      <c r="B172" s="627" t="s">
        <v>13129</v>
      </c>
      <c r="C172" s="626" t="s">
        <v>8</v>
      </c>
      <c r="D172" s="626" t="s">
        <v>10467</v>
      </c>
      <c r="E172" s="628" t="s">
        <v>23</v>
      </c>
      <c r="F172" s="816" t="s">
        <v>14252</v>
      </c>
      <c r="G172" s="816"/>
      <c r="H172" s="816">
        <v>1.25235E-2</v>
      </c>
      <c r="I172" s="816"/>
      <c r="J172" s="817">
        <v>6.4899999999999999E-2</v>
      </c>
      <c r="K172" s="817"/>
      <c r="L172" s="817"/>
    </row>
    <row r="173" spans="1:12" ht="17.100000000000001" customHeight="1">
      <c r="A173" s="636"/>
      <c r="B173" s="636"/>
      <c r="C173" s="636"/>
      <c r="D173" s="636"/>
      <c r="E173" s="636"/>
      <c r="F173" s="636"/>
      <c r="G173" s="636"/>
      <c r="H173" s="636"/>
      <c r="I173" s="636"/>
      <c r="J173" s="636" t="s">
        <v>13675</v>
      </c>
      <c r="K173" s="636"/>
      <c r="L173" s="636" t="s">
        <v>13708</v>
      </c>
    </row>
    <row r="174" spans="1:12">
      <c r="A174" s="802" t="s">
        <v>12720</v>
      </c>
      <c r="B174" s="802"/>
      <c r="C174" s="802"/>
      <c r="D174" s="802"/>
      <c r="E174" s="802"/>
      <c r="F174" s="802"/>
      <c r="G174" s="802"/>
      <c r="H174" s="802"/>
      <c r="I174" s="612"/>
      <c r="J174" s="612"/>
      <c r="K174" s="612"/>
      <c r="L174" s="612"/>
    </row>
    <row r="175" spans="1:12" ht="17.100000000000001" customHeight="1">
      <c r="A175" s="612" t="s">
        <v>13679</v>
      </c>
      <c r="B175" s="636" t="s">
        <v>12698</v>
      </c>
      <c r="C175" s="612" t="s">
        <v>12699</v>
      </c>
      <c r="D175" s="612" t="s">
        <v>12700</v>
      </c>
      <c r="E175" s="637" t="s">
        <v>12702</v>
      </c>
      <c r="F175" s="801" t="s">
        <v>12704</v>
      </c>
      <c r="G175" s="801"/>
      <c r="H175" s="801" t="s">
        <v>13678</v>
      </c>
      <c r="I175" s="801"/>
      <c r="J175" s="801" t="s">
        <v>12705</v>
      </c>
      <c r="K175" s="801"/>
      <c r="L175" s="801"/>
    </row>
    <row r="176" spans="1:12" ht="24" customHeight="1">
      <c r="A176" s="626" t="s">
        <v>12709</v>
      </c>
      <c r="B176" s="627" t="s">
        <v>13281</v>
      </c>
      <c r="C176" s="626" t="s">
        <v>8</v>
      </c>
      <c r="D176" s="626" t="s">
        <v>8070</v>
      </c>
      <c r="E176" s="628" t="s">
        <v>35</v>
      </c>
      <c r="F176" s="816" t="s">
        <v>13730</v>
      </c>
      <c r="G176" s="816"/>
      <c r="H176" s="816">
        <v>1.3999999999999999E-6</v>
      </c>
      <c r="I176" s="816"/>
      <c r="J176" s="817">
        <v>4.7500000000000001E-2</v>
      </c>
      <c r="K176" s="817"/>
      <c r="L176" s="817"/>
    </row>
    <row r="177" spans="1:12" ht="24" customHeight="1">
      <c r="A177" s="626" t="s">
        <v>12709</v>
      </c>
      <c r="B177" s="627" t="s">
        <v>13007</v>
      </c>
      <c r="C177" s="626" t="s">
        <v>8</v>
      </c>
      <c r="D177" s="626" t="s">
        <v>10549</v>
      </c>
      <c r="E177" s="628" t="s">
        <v>58</v>
      </c>
      <c r="F177" s="816" t="s">
        <v>14172</v>
      </c>
      <c r="G177" s="816"/>
      <c r="H177" s="816">
        <v>0.14194129999999999</v>
      </c>
      <c r="I177" s="816"/>
      <c r="J177" s="817">
        <v>0.45989999999999998</v>
      </c>
      <c r="K177" s="817"/>
      <c r="L177" s="817"/>
    </row>
    <row r="178" spans="1:12" ht="17.100000000000001" customHeight="1">
      <c r="A178" s="636"/>
      <c r="B178" s="636"/>
      <c r="C178" s="636"/>
      <c r="D178" s="636"/>
      <c r="E178" s="636"/>
      <c r="F178" s="636"/>
      <c r="G178" s="636"/>
      <c r="H178" s="636"/>
      <c r="I178" s="636"/>
      <c r="J178" s="636" t="s">
        <v>13675</v>
      </c>
      <c r="K178" s="636"/>
      <c r="L178" s="636" t="s">
        <v>13746</v>
      </c>
    </row>
    <row r="179" spans="1:12">
      <c r="A179" s="802" t="s">
        <v>12722</v>
      </c>
      <c r="B179" s="802"/>
      <c r="C179" s="802"/>
      <c r="D179" s="802"/>
      <c r="E179" s="802"/>
      <c r="F179" s="802"/>
      <c r="G179" s="802"/>
      <c r="H179" s="802"/>
      <c r="I179" s="612"/>
      <c r="J179" s="612"/>
      <c r="K179" s="612"/>
      <c r="L179" s="612"/>
    </row>
    <row r="180" spans="1:12" ht="17.100000000000001" customHeight="1">
      <c r="A180" s="612" t="s">
        <v>13679</v>
      </c>
      <c r="B180" s="636" t="s">
        <v>12698</v>
      </c>
      <c r="C180" s="612" t="s">
        <v>12699</v>
      </c>
      <c r="D180" s="612" t="s">
        <v>12700</v>
      </c>
      <c r="E180" s="637" t="s">
        <v>12702</v>
      </c>
      <c r="F180" s="801" t="s">
        <v>12704</v>
      </c>
      <c r="G180" s="801"/>
      <c r="H180" s="801" t="s">
        <v>13678</v>
      </c>
      <c r="I180" s="801"/>
      <c r="J180" s="801" t="s">
        <v>12705</v>
      </c>
      <c r="K180" s="801"/>
      <c r="L180" s="801"/>
    </row>
    <row r="181" spans="1:12" ht="24" customHeight="1">
      <c r="A181" s="626" t="s">
        <v>12709</v>
      </c>
      <c r="B181" s="627" t="s">
        <v>12998</v>
      </c>
      <c r="C181" s="626" t="s">
        <v>8</v>
      </c>
      <c r="D181" s="626" t="s">
        <v>11861</v>
      </c>
      <c r="E181" s="628" t="s">
        <v>23</v>
      </c>
      <c r="F181" s="816" t="s">
        <v>13683</v>
      </c>
      <c r="G181" s="816"/>
      <c r="H181" s="816">
        <v>1.3021899999999999E-2</v>
      </c>
      <c r="I181" s="816"/>
      <c r="J181" s="817">
        <v>9.1999999999999998E-3</v>
      </c>
      <c r="K181" s="817"/>
      <c r="L181" s="817"/>
    </row>
    <row r="182" spans="1:12" ht="17.100000000000001" customHeight="1">
      <c r="A182" s="636"/>
      <c r="B182" s="636"/>
      <c r="C182" s="636"/>
      <c r="D182" s="636"/>
      <c r="E182" s="636"/>
      <c r="F182" s="636"/>
      <c r="G182" s="636"/>
      <c r="H182" s="636"/>
      <c r="I182" s="636"/>
      <c r="J182" s="636" t="s">
        <v>13675</v>
      </c>
      <c r="K182" s="636"/>
      <c r="L182" s="636" t="s">
        <v>13728</v>
      </c>
    </row>
    <row r="183" spans="1:12">
      <c r="A183" s="802" t="s">
        <v>12713</v>
      </c>
      <c r="B183" s="802"/>
      <c r="C183" s="802"/>
      <c r="D183" s="802"/>
      <c r="E183" s="802"/>
      <c r="F183" s="802"/>
      <c r="G183" s="802"/>
      <c r="H183" s="802"/>
      <c r="I183" s="612"/>
      <c r="J183" s="612"/>
      <c r="K183" s="612"/>
      <c r="L183" s="612"/>
    </row>
    <row r="184" spans="1:12" ht="17.100000000000001" customHeight="1">
      <c r="A184" s="612" t="s">
        <v>13679</v>
      </c>
      <c r="B184" s="636" t="s">
        <v>12698</v>
      </c>
      <c r="C184" s="612" t="s">
        <v>12699</v>
      </c>
      <c r="D184" s="612" t="s">
        <v>12700</v>
      </c>
      <c r="E184" s="637" t="s">
        <v>12702</v>
      </c>
      <c r="F184" s="801" t="s">
        <v>12704</v>
      </c>
      <c r="G184" s="801"/>
      <c r="H184" s="801" t="s">
        <v>13678</v>
      </c>
      <c r="I184" s="801"/>
      <c r="J184" s="801" t="s">
        <v>12705</v>
      </c>
      <c r="K184" s="801"/>
      <c r="L184" s="801"/>
    </row>
    <row r="185" spans="1:12" ht="24" customHeight="1">
      <c r="A185" s="626" t="s">
        <v>12709</v>
      </c>
      <c r="B185" s="627" t="s">
        <v>12999</v>
      </c>
      <c r="C185" s="626" t="s">
        <v>8</v>
      </c>
      <c r="D185" s="626" t="s">
        <v>11251</v>
      </c>
      <c r="E185" s="628" t="s">
        <v>23</v>
      </c>
      <c r="F185" s="816" t="s">
        <v>13681</v>
      </c>
      <c r="G185" s="816"/>
      <c r="H185" s="816">
        <v>1.3021899999999999E-2</v>
      </c>
      <c r="I185" s="816"/>
      <c r="J185" s="817">
        <v>8.9999999999999998E-4</v>
      </c>
      <c r="K185" s="817"/>
      <c r="L185" s="817"/>
    </row>
    <row r="186" spans="1:12" ht="17.100000000000001" customHeight="1">
      <c r="A186" s="636"/>
      <c r="B186" s="636"/>
      <c r="C186" s="636"/>
      <c r="D186" s="636"/>
      <c r="E186" s="636"/>
      <c r="F186" s="636"/>
      <c r="G186" s="636"/>
      <c r="H186" s="636"/>
      <c r="I186" s="636"/>
      <c r="J186" s="636" t="s">
        <v>13675</v>
      </c>
      <c r="K186" s="636"/>
      <c r="L186" s="636" t="s">
        <v>13727</v>
      </c>
    </row>
    <row r="187" spans="1:12">
      <c r="A187" s="802" t="s">
        <v>12712</v>
      </c>
      <c r="B187" s="802"/>
      <c r="C187" s="802"/>
      <c r="D187" s="802"/>
      <c r="E187" s="802"/>
      <c r="F187" s="802"/>
      <c r="G187" s="802"/>
      <c r="H187" s="802"/>
      <c r="I187" s="612"/>
      <c r="J187" s="612"/>
      <c r="K187" s="612"/>
      <c r="L187" s="612"/>
    </row>
    <row r="188" spans="1:12" ht="17.100000000000001" customHeight="1">
      <c r="A188" s="612" t="s">
        <v>13679</v>
      </c>
      <c r="B188" s="636" t="s">
        <v>12698</v>
      </c>
      <c r="C188" s="612" t="s">
        <v>12699</v>
      </c>
      <c r="D188" s="612" t="s">
        <v>12700</v>
      </c>
      <c r="E188" s="637" t="s">
        <v>12702</v>
      </c>
      <c r="F188" s="801" t="s">
        <v>12704</v>
      </c>
      <c r="G188" s="801"/>
      <c r="H188" s="801" t="s">
        <v>13678</v>
      </c>
      <c r="I188" s="801"/>
      <c r="J188" s="801" t="s">
        <v>12705</v>
      </c>
      <c r="K188" s="801"/>
      <c r="L188" s="801"/>
    </row>
    <row r="189" spans="1:12" ht="24" customHeight="1">
      <c r="A189" s="626" t="s">
        <v>12709</v>
      </c>
      <c r="B189" s="627" t="s">
        <v>13002</v>
      </c>
      <c r="C189" s="626" t="s">
        <v>8</v>
      </c>
      <c r="D189" s="626" t="s">
        <v>9306</v>
      </c>
      <c r="E189" s="628" t="s">
        <v>23</v>
      </c>
      <c r="F189" s="816" t="s">
        <v>13677</v>
      </c>
      <c r="G189" s="816"/>
      <c r="H189" s="816">
        <v>1.3021899999999999E-2</v>
      </c>
      <c r="I189" s="816"/>
      <c r="J189" s="817">
        <v>4.5999999999999999E-3</v>
      </c>
      <c r="K189" s="817"/>
      <c r="L189" s="817"/>
    </row>
    <row r="190" spans="1:12" ht="24" customHeight="1">
      <c r="A190" s="626" t="s">
        <v>12709</v>
      </c>
      <c r="B190" s="627" t="s">
        <v>13004</v>
      </c>
      <c r="C190" s="626" t="s">
        <v>8</v>
      </c>
      <c r="D190" s="626" t="s">
        <v>7388</v>
      </c>
      <c r="E190" s="628" t="s">
        <v>23</v>
      </c>
      <c r="F190" s="816" t="s">
        <v>13676</v>
      </c>
      <c r="G190" s="816"/>
      <c r="H190" s="816">
        <v>1.3021899999999999E-2</v>
      </c>
      <c r="I190" s="816"/>
      <c r="J190" s="817">
        <v>2.86E-2</v>
      </c>
      <c r="K190" s="817"/>
      <c r="L190" s="817"/>
    </row>
    <row r="191" spans="1:12" ht="17.100000000000001" customHeight="1">
      <c r="A191" s="636"/>
      <c r="B191" s="636"/>
      <c r="C191" s="636"/>
      <c r="D191" s="636"/>
      <c r="E191" s="636"/>
      <c r="F191" s="636"/>
      <c r="G191" s="636"/>
      <c r="H191" s="636"/>
      <c r="I191" s="636"/>
      <c r="J191" s="636" t="s">
        <v>13675</v>
      </c>
      <c r="K191" s="636"/>
      <c r="L191" s="636" t="s">
        <v>13726</v>
      </c>
    </row>
    <row r="192" spans="1:12" ht="17.100000000000001" customHeight="1">
      <c r="A192" s="612" t="s">
        <v>13673</v>
      </c>
      <c r="B192" s="612"/>
      <c r="C192" s="612"/>
      <c r="D192" s="612"/>
      <c r="E192" s="612"/>
      <c r="F192" s="612"/>
      <c r="G192" s="612"/>
      <c r="H192" s="612"/>
      <c r="I192" s="612"/>
      <c r="J192" s="612"/>
      <c r="K192" s="612"/>
      <c r="L192" s="612"/>
    </row>
    <row r="193" spans="1:12" ht="17.100000000000001" customHeight="1">
      <c r="A193" s="636"/>
      <c r="B193" s="636"/>
      <c r="C193" s="636"/>
      <c r="D193" s="636"/>
      <c r="E193" s="636"/>
      <c r="F193" s="636"/>
      <c r="G193" s="636"/>
      <c r="H193" s="636"/>
      <c r="I193" s="636"/>
      <c r="J193" s="636" t="s">
        <v>13672</v>
      </c>
      <c r="K193" s="636"/>
      <c r="L193" s="636" t="s">
        <v>14886</v>
      </c>
    </row>
    <row r="194" spans="1:12" ht="17.100000000000001" customHeight="1">
      <c r="A194" s="636"/>
      <c r="B194" s="636"/>
      <c r="C194" s="636"/>
      <c r="D194" s="636"/>
      <c r="E194" s="636"/>
      <c r="F194" s="636"/>
      <c r="G194" s="636"/>
      <c r="H194" s="636"/>
      <c r="I194" s="636"/>
      <c r="J194" s="636" t="s">
        <v>13671</v>
      </c>
      <c r="K194" s="636" t="s">
        <v>14461</v>
      </c>
      <c r="L194" s="636" t="s">
        <v>14879</v>
      </c>
    </row>
    <row r="195" spans="1:12" ht="17.100000000000001" customHeight="1">
      <c r="A195" s="636"/>
      <c r="B195" s="636"/>
      <c r="C195" s="636"/>
      <c r="D195" s="636"/>
      <c r="E195" s="636"/>
      <c r="F195" s="636"/>
      <c r="G195" s="636"/>
      <c r="H195" s="636"/>
      <c r="I195" s="636"/>
      <c r="J195" s="636" t="s">
        <v>13670</v>
      </c>
      <c r="K195" s="636"/>
      <c r="L195" s="636" t="s">
        <v>14887</v>
      </c>
    </row>
    <row r="196" spans="1:12" ht="17.100000000000001" customHeight="1">
      <c r="A196" s="636"/>
      <c r="B196" s="636"/>
      <c r="C196" s="636"/>
      <c r="D196" s="636"/>
      <c r="E196" s="636"/>
      <c r="F196" s="636"/>
      <c r="G196" s="636"/>
      <c r="H196" s="636"/>
      <c r="I196" s="636"/>
      <c r="J196" s="636" t="s">
        <v>13669</v>
      </c>
      <c r="K196" s="636" t="s">
        <v>13667</v>
      </c>
      <c r="L196" s="636" t="s">
        <v>14888</v>
      </c>
    </row>
    <row r="197" spans="1:12" ht="17.100000000000001" customHeight="1">
      <c r="A197" s="636"/>
      <c r="B197" s="636"/>
      <c r="C197" s="636"/>
      <c r="D197" s="636"/>
      <c r="E197" s="636"/>
      <c r="F197" s="636"/>
      <c r="G197" s="636"/>
      <c r="H197" s="636"/>
      <c r="I197" s="636"/>
      <c r="J197" s="636" t="s">
        <v>13668</v>
      </c>
      <c r="K197" s="636"/>
      <c r="L197" s="636" t="s">
        <v>14889</v>
      </c>
    </row>
    <row r="198" spans="1:12" ht="30" customHeight="1">
      <c r="A198" s="637"/>
      <c r="B198" s="637"/>
      <c r="C198" s="637"/>
      <c r="D198" s="637"/>
      <c r="E198" s="637"/>
      <c r="F198" s="637"/>
      <c r="G198" s="637"/>
      <c r="H198" s="637"/>
      <c r="I198" s="637"/>
      <c r="J198" s="637"/>
      <c r="K198" s="637"/>
      <c r="L198" s="637"/>
    </row>
    <row r="199" spans="1:12" ht="24" customHeight="1">
      <c r="A199" s="616" t="s">
        <v>14286</v>
      </c>
      <c r="B199" s="617" t="s">
        <v>13654</v>
      </c>
      <c r="C199" s="616" t="s">
        <v>8</v>
      </c>
      <c r="D199" s="616" t="s">
        <v>4736</v>
      </c>
      <c r="E199" s="618" t="s">
        <v>12725</v>
      </c>
      <c r="F199" s="617"/>
      <c r="G199" s="617"/>
      <c r="H199" s="617"/>
      <c r="I199" s="617"/>
      <c r="J199" s="617"/>
      <c r="K199" s="617"/>
      <c r="L199" s="617"/>
    </row>
    <row r="200" spans="1:12" ht="14.25" customHeight="1">
      <c r="A200" s="802" t="s">
        <v>12711</v>
      </c>
      <c r="B200" s="802"/>
      <c r="C200" s="802"/>
      <c r="D200" s="802"/>
      <c r="E200" s="802"/>
      <c r="F200" s="802"/>
      <c r="G200" s="802"/>
      <c r="H200" s="802"/>
      <c r="I200" s="612"/>
      <c r="J200" s="612"/>
      <c r="K200" s="612"/>
      <c r="L200" s="612"/>
    </row>
    <row r="201" spans="1:12" ht="17.100000000000001" customHeight="1">
      <c r="A201" s="612" t="s">
        <v>13679</v>
      </c>
      <c r="B201" s="636" t="s">
        <v>12698</v>
      </c>
      <c r="C201" s="612" t="s">
        <v>12699</v>
      </c>
      <c r="D201" s="612" t="s">
        <v>12700</v>
      </c>
      <c r="E201" s="637" t="s">
        <v>12702</v>
      </c>
      <c r="F201" s="801" t="s">
        <v>12704</v>
      </c>
      <c r="G201" s="801"/>
      <c r="H201" s="801" t="s">
        <v>13678</v>
      </c>
      <c r="I201" s="801"/>
      <c r="J201" s="801" t="s">
        <v>12705</v>
      </c>
      <c r="K201" s="801"/>
      <c r="L201" s="801"/>
    </row>
    <row r="202" spans="1:12" ht="24" customHeight="1">
      <c r="A202" s="626" t="s">
        <v>12709</v>
      </c>
      <c r="B202" s="627" t="s">
        <v>13003</v>
      </c>
      <c r="C202" s="626" t="s">
        <v>8</v>
      </c>
      <c r="D202" s="626" t="s">
        <v>9227</v>
      </c>
      <c r="E202" s="628" t="s">
        <v>23</v>
      </c>
      <c r="F202" s="816" t="s">
        <v>13732</v>
      </c>
      <c r="G202" s="816"/>
      <c r="H202" s="816">
        <v>2.3385900000000001E-2</v>
      </c>
      <c r="I202" s="816"/>
      <c r="J202" s="817">
        <v>1.54E-2</v>
      </c>
      <c r="K202" s="817"/>
      <c r="L202" s="817"/>
    </row>
    <row r="203" spans="1:12" ht="24" customHeight="1">
      <c r="A203" s="626" t="s">
        <v>12709</v>
      </c>
      <c r="B203" s="627" t="s">
        <v>13001</v>
      </c>
      <c r="C203" s="626" t="s">
        <v>8</v>
      </c>
      <c r="D203" s="626" t="s">
        <v>9374</v>
      </c>
      <c r="E203" s="628" t="s">
        <v>23</v>
      </c>
      <c r="F203" s="816" t="s">
        <v>13728</v>
      </c>
      <c r="G203" s="816"/>
      <c r="H203" s="816">
        <v>2.3385900000000001E-2</v>
      </c>
      <c r="I203" s="816"/>
      <c r="J203" s="817">
        <v>2.0000000000000001E-4</v>
      </c>
      <c r="K203" s="817"/>
      <c r="L203" s="817"/>
    </row>
    <row r="204" spans="1:12" ht="24" customHeight="1">
      <c r="A204" s="626" t="s">
        <v>12709</v>
      </c>
      <c r="B204" s="627" t="s">
        <v>13048</v>
      </c>
      <c r="C204" s="626" t="s">
        <v>8</v>
      </c>
      <c r="D204" s="626" t="s">
        <v>9233</v>
      </c>
      <c r="E204" s="628" t="s">
        <v>23</v>
      </c>
      <c r="F204" s="816" t="s">
        <v>13690</v>
      </c>
      <c r="G204" s="816"/>
      <c r="H204" s="816">
        <v>1.19417E-2</v>
      </c>
      <c r="I204" s="816"/>
      <c r="J204" s="817">
        <v>1.2200000000000001E-2</v>
      </c>
      <c r="K204" s="817"/>
      <c r="L204" s="817"/>
    </row>
    <row r="205" spans="1:12" ht="24" customHeight="1">
      <c r="A205" s="626" t="s">
        <v>12709</v>
      </c>
      <c r="B205" s="627" t="s">
        <v>13047</v>
      </c>
      <c r="C205" s="626" t="s">
        <v>8</v>
      </c>
      <c r="D205" s="626" t="s">
        <v>9380</v>
      </c>
      <c r="E205" s="628" t="s">
        <v>23</v>
      </c>
      <c r="F205" s="816" t="s">
        <v>13689</v>
      </c>
      <c r="G205" s="816"/>
      <c r="H205" s="816">
        <v>1.19417E-2</v>
      </c>
      <c r="I205" s="816"/>
      <c r="J205" s="817">
        <v>4.4999999999999997E-3</v>
      </c>
      <c r="K205" s="817"/>
      <c r="L205" s="817"/>
    </row>
    <row r="206" spans="1:12" ht="24" customHeight="1">
      <c r="A206" s="626" t="s">
        <v>12709</v>
      </c>
      <c r="B206" s="627" t="s">
        <v>13032</v>
      </c>
      <c r="C206" s="626" t="s">
        <v>8</v>
      </c>
      <c r="D206" s="626" t="s">
        <v>9217</v>
      </c>
      <c r="E206" s="628" t="s">
        <v>23</v>
      </c>
      <c r="F206" s="816" t="s">
        <v>13741</v>
      </c>
      <c r="G206" s="816"/>
      <c r="H206" s="816">
        <v>0.75511530000000004</v>
      </c>
      <c r="I206" s="816"/>
      <c r="J206" s="817">
        <v>0.8155</v>
      </c>
      <c r="K206" s="817"/>
      <c r="L206" s="817"/>
    </row>
    <row r="207" spans="1:12" ht="24" customHeight="1">
      <c r="A207" s="626" t="s">
        <v>12709</v>
      </c>
      <c r="B207" s="627" t="s">
        <v>13031</v>
      </c>
      <c r="C207" s="626" t="s">
        <v>8</v>
      </c>
      <c r="D207" s="626" t="s">
        <v>9364</v>
      </c>
      <c r="E207" s="628" t="s">
        <v>23</v>
      </c>
      <c r="F207" s="816" t="s">
        <v>13740</v>
      </c>
      <c r="G207" s="816"/>
      <c r="H207" s="816">
        <v>0.75511530000000004</v>
      </c>
      <c r="I207" s="816"/>
      <c r="J207" s="817">
        <v>0.25669999999999998</v>
      </c>
      <c r="K207" s="817"/>
      <c r="L207" s="817"/>
    </row>
    <row r="208" spans="1:12" ht="17.100000000000001" customHeight="1">
      <c r="A208" s="636"/>
      <c r="B208" s="636"/>
      <c r="C208" s="636"/>
      <c r="D208" s="636"/>
      <c r="E208" s="636"/>
      <c r="F208" s="636"/>
      <c r="G208" s="636"/>
      <c r="H208" s="636"/>
      <c r="I208" s="636"/>
      <c r="J208" s="636" t="s">
        <v>13675</v>
      </c>
      <c r="K208" s="636"/>
      <c r="L208" s="636" t="s">
        <v>14038</v>
      </c>
    </row>
    <row r="209" spans="1:12" ht="14.25" customHeight="1">
      <c r="A209" s="802" t="s">
        <v>12710</v>
      </c>
      <c r="B209" s="802"/>
      <c r="C209" s="802"/>
      <c r="D209" s="802"/>
      <c r="E209" s="802"/>
      <c r="F209" s="802"/>
      <c r="G209" s="802"/>
      <c r="H209" s="802"/>
      <c r="I209" s="612"/>
      <c r="J209" s="612"/>
      <c r="K209" s="612"/>
      <c r="L209" s="612"/>
    </row>
    <row r="210" spans="1:12" ht="17.100000000000001" customHeight="1">
      <c r="A210" s="612" t="s">
        <v>13679</v>
      </c>
      <c r="B210" s="636" t="s">
        <v>12698</v>
      </c>
      <c r="C210" s="612" t="s">
        <v>12699</v>
      </c>
      <c r="D210" s="612" t="s">
        <v>12700</v>
      </c>
      <c r="E210" s="637" t="s">
        <v>12702</v>
      </c>
      <c r="F210" s="801" t="s">
        <v>12704</v>
      </c>
      <c r="G210" s="801"/>
      <c r="H210" s="801" t="s">
        <v>13678</v>
      </c>
      <c r="I210" s="801"/>
      <c r="J210" s="801" t="s">
        <v>12705</v>
      </c>
      <c r="K210" s="801"/>
      <c r="L210" s="801"/>
    </row>
    <row r="211" spans="1:12" ht="24" customHeight="1">
      <c r="A211" s="626" t="s">
        <v>12709</v>
      </c>
      <c r="B211" s="627" t="s">
        <v>13103</v>
      </c>
      <c r="C211" s="626" t="s">
        <v>8</v>
      </c>
      <c r="D211" s="626" t="s">
        <v>10570</v>
      </c>
      <c r="E211" s="628" t="s">
        <v>23</v>
      </c>
      <c r="F211" s="816" t="s">
        <v>14289</v>
      </c>
      <c r="G211" s="816"/>
      <c r="H211" s="816">
        <v>2.3638900000000001E-2</v>
      </c>
      <c r="I211" s="816"/>
      <c r="J211" s="817">
        <v>0.1203</v>
      </c>
      <c r="K211" s="817"/>
      <c r="L211" s="817"/>
    </row>
    <row r="212" spans="1:12" ht="24" customHeight="1">
      <c r="A212" s="626" t="s">
        <v>12709</v>
      </c>
      <c r="B212" s="627" t="s">
        <v>13046</v>
      </c>
      <c r="C212" s="626" t="s">
        <v>8</v>
      </c>
      <c r="D212" s="626" t="s">
        <v>11281</v>
      </c>
      <c r="E212" s="628" t="s">
        <v>23</v>
      </c>
      <c r="F212" s="816" t="s">
        <v>13731</v>
      </c>
      <c r="G212" s="816"/>
      <c r="H212" s="816">
        <v>1.2151199999999999E-2</v>
      </c>
      <c r="I212" s="816"/>
      <c r="J212" s="817">
        <v>6.25E-2</v>
      </c>
      <c r="K212" s="817"/>
      <c r="L212" s="817"/>
    </row>
    <row r="213" spans="1:12" ht="24" customHeight="1">
      <c r="A213" s="626" t="s">
        <v>12709</v>
      </c>
      <c r="B213" s="627" t="s">
        <v>13228</v>
      </c>
      <c r="C213" s="626" t="s">
        <v>8</v>
      </c>
      <c r="D213" s="626" t="s">
        <v>8289</v>
      </c>
      <c r="E213" s="628" t="s">
        <v>23</v>
      </c>
      <c r="F213" s="816" t="s">
        <v>14199</v>
      </c>
      <c r="G213" s="816"/>
      <c r="H213" s="816">
        <v>0.1912566</v>
      </c>
      <c r="I213" s="816"/>
      <c r="J213" s="817">
        <v>1.0404</v>
      </c>
      <c r="K213" s="817"/>
      <c r="L213" s="817"/>
    </row>
    <row r="214" spans="1:12" ht="24" customHeight="1">
      <c r="A214" s="626" t="s">
        <v>12709</v>
      </c>
      <c r="B214" s="627" t="s">
        <v>13212</v>
      </c>
      <c r="C214" s="626" t="s">
        <v>8</v>
      </c>
      <c r="D214" s="626" t="s">
        <v>8293</v>
      </c>
      <c r="E214" s="628" t="s">
        <v>23</v>
      </c>
      <c r="F214" s="816" t="s">
        <v>14470</v>
      </c>
      <c r="G214" s="816"/>
      <c r="H214" s="816">
        <v>0.57246359999999996</v>
      </c>
      <c r="I214" s="816"/>
      <c r="J214" s="817">
        <v>3.9557000000000002</v>
      </c>
      <c r="K214" s="817"/>
      <c r="L214" s="817"/>
    </row>
    <row r="215" spans="1:12" ht="17.100000000000001" customHeight="1">
      <c r="A215" s="636"/>
      <c r="B215" s="636"/>
      <c r="C215" s="636"/>
      <c r="D215" s="636"/>
      <c r="E215" s="636"/>
      <c r="F215" s="636"/>
      <c r="G215" s="636"/>
      <c r="H215" s="636"/>
      <c r="I215" s="636"/>
      <c r="J215" s="636" t="s">
        <v>13675</v>
      </c>
      <c r="K215" s="636"/>
      <c r="L215" s="636" t="s">
        <v>14252</v>
      </c>
    </row>
    <row r="216" spans="1:12">
      <c r="A216" s="802" t="s">
        <v>12720</v>
      </c>
      <c r="B216" s="802"/>
      <c r="C216" s="802"/>
      <c r="D216" s="802"/>
      <c r="E216" s="802"/>
      <c r="F216" s="802"/>
      <c r="G216" s="802"/>
      <c r="H216" s="802"/>
      <c r="I216" s="612"/>
      <c r="J216" s="612"/>
      <c r="K216" s="612"/>
      <c r="L216" s="612"/>
    </row>
    <row r="217" spans="1:12" ht="17.100000000000001" customHeight="1">
      <c r="A217" s="612" t="s">
        <v>13679</v>
      </c>
      <c r="B217" s="636" t="s">
        <v>12698</v>
      </c>
      <c r="C217" s="612" t="s">
        <v>12699</v>
      </c>
      <c r="D217" s="612" t="s">
        <v>12700</v>
      </c>
      <c r="E217" s="637" t="s">
        <v>12702</v>
      </c>
      <c r="F217" s="801" t="s">
        <v>12704</v>
      </c>
      <c r="G217" s="801"/>
      <c r="H217" s="801" t="s">
        <v>13678</v>
      </c>
      <c r="I217" s="801"/>
      <c r="J217" s="801" t="s">
        <v>12705</v>
      </c>
      <c r="K217" s="801"/>
      <c r="L217" s="801"/>
    </row>
    <row r="218" spans="1:12" ht="36" customHeight="1">
      <c r="A218" s="626" t="s">
        <v>12709</v>
      </c>
      <c r="B218" s="627" t="s">
        <v>13653</v>
      </c>
      <c r="C218" s="626" t="s">
        <v>8</v>
      </c>
      <c r="D218" s="626" t="s">
        <v>10706</v>
      </c>
      <c r="E218" s="628" t="s">
        <v>17</v>
      </c>
      <c r="F218" s="816" t="s">
        <v>14794</v>
      </c>
      <c r="G218" s="816"/>
      <c r="H218" s="816">
        <v>1.2273000000000001</v>
      </c>
      <c r="I218" s="816"/>
      <c r="J218" s="817">
        <v>8.51</v>
      </c>
      <c r="K218" s="817"/>
      <c r="L218" s="817"/>
    </row>
    <row r="219" spans="1:12" ht="24" customHeight="1">
      <c r="A219" s="626" t="s">
        <v>12709</v>
      </c>
      <c r="B219" s="627" t="s">
        <v>13306</v>
      </c>
      <c r="C219" s="626" t="s">
        <v>8</v>
      </c>
      <c r="D219" s="626" t="s">
        <v>11014</v>
      </c>
      <c r="E219" s="628" t="s">
        <v>20</v>
      </c>
      <c r="F219" s="816" t="s">
        <v>13769</v>
      </c>
      <c r="G219" s="816"/>
      <c r="H219" s="816">
        <v>4.2799999999999998E-2</v>
      </c>
      <c r="I219" s="816"/>
      <c r="J219" s="817">
        <v>0.47</v>
      </c>
      <c r="K219" s="817"/>
      <c r="L219" s="817"/>
    </row>
    <row r="220" spans="1:12" ht="24" customHeight="1">
      <c r="A220" s="626" t="s">
        <v>12709</v>
      </c>
      <c r="B220" s="627" t="s">
        <v>13652</v>
      </c>
      <c r="C220" s="626" t="s">
        <v>8</v>
      </c>
      <c r="D220" s="626" t="s">
        <v>11357</v>
      </c>
      <c r="E220" s="628" t="s">
        <v>17</v>
      </c>
      <c r="F220" s="816" t="s">
        <v>14793</v>
      </c>
      <c r="G220" s="816"/>
      <c r="H220" s="816">
        <v>1</v>
      </c>
      <c r="I220" s="816"/>
      <c r="J220" s="817">
        <v>15.4</v>
      </c>
      <c r="K220" s="817"/>
      <c r="L220" s="817"/>
    </row>
    <row r="221" spans="1:12" ht="36" customHeight="1">
      <c r="A221" s="626" t="s">
        <v>12709</v>
      </c>
      <c r="B221" s="627" t="s">
        <v>13651</v>
      </c>
      <c r="C221" s="626" t="s">
        <v>8</v>
      </c>
      <c r="D221" s="626" t="s">
        <v>11725</v>
      </c>
      <c r="E221" s="628" t="s">
        <v>12725</v>
      </c>
      <c r="F221" s="816" t="s">
        <v>14792</v>
      </c>
      <c r="G221" s="816"/>
      <c r="H221" s="816">
        <v>0.58530000000000004</v>
      </c>
      <c r="I221" s="816"/>
      <c r="J221" s="817">
        <v>18.03</v>
      </c>
      <c r="K221" s="817"/>
      <c r="L221" s="817"/>
    </row>
    <row r="222" spans="1:12" ht="36" customHeight="1">
      <c r="A222" s="626" t="s">
        <v>12709</v>
      </c>
      <c r="B222" s="627" t="s">
        <v>13056</v>
      </c>
      <c r="C222" s="626" t="s">
        <v>8</v>
      </c>
      <c r="D222" s="626" t="s">
        <v>11277</v>
      </c>
      <c r="E222" s="628" t="s">
        <v>35</v>
      </c>
      <c r="F222" s="816" t="s">
        <v>14498</v>
      </c>
      <c r="G222" s="816"/>
      <c r="H222" s="816">
        <v>2.3E-6</v>
      </c>
      <c r="I222" s="816"/>
      <c r="J222" s="817">
        <v>2.8999999999999998E-3</v>
      </c>
      <c r="K222" s="817"/>
      <c r="L222" s="817"/>
    </row>
    <row r="223" spans="1:12" ht="24" customHeight="1">
      <c r="A223" s="626" t="s">
        <v>12709</v>
      </c>
      <c r="B223" s="627" t="s">
        <v>12987</v>
      </c>
      <c r="C223" s="626" t="s">
        <v>8</v>
      </c>
      <c r="D223" s="626" t="s">
        <v>9192</v>
      </c>
      <c r="E223" s="628" t="s">
        <v>12923</v>
      </c>
      <c r="F223" s="816" t="s">
        <v>13999</v>
      </c>
      <c r="G223" s="816"/>
      <c r="H223" s="816">
        <v>1.38803E-2</v>
      </c>
      <c r="I223" s="816"/>
      <c r="J223" s="817">
        <v>1.12E-2</v>
      </c>
      <c r="K223" s="817"/>
      <c r="L223" s="817"/>
    </row>
    <row r="224" spans="1:12" ht="24" customHeight="1">
      <c r="A224" s="626" t="s">
        <v>12709</v>
      </c>
      <c r="B224" s="627" t="s">
        <v>13250</v>
      </c>
      <c r="C224" s="626" t="s">
        <v>8</v>
      </c>
      <c r="D224" s="626" t="s">
        <v>7526</v>
      </c>
      <c r="E224" s="628" t="s">
        <v>12730</v>
      </c>
      <c r="F224" s="816" t="s">
        <v>13747</v>
      </c>
      <c r="G224" s="816"/>
      <c r="H224" s="816">
        <v>1.0185999999999999E-3</v>
      </c>
      <c r="I224" s="816"/>
      <c r="J224" s="817">
        <v>6.3700000000000007E-2</v>
      </c>
      <c r="K224" s="817"/>
      <c r="L224" s="817"/>
    </row>
    <row r="225" spans="1:12" ht="24" customHeight="1">
      <c r="A225" s="626" t="s">
        <v>12709</v>
      </c>
      <c r="B225" s="627" t="s">
        <v>13249</v>
      </c>
      <c r="C225" s="626" t="s">
        <v>8</v>
      </c>
      <c r="D225" s="626" t="s">
        <v>8420</v>
      </c>
      <c r="E225" s="628" t="s">
        <v>20</v>
      </c>
      <c r="F225" s="816" t="s">
        <v>13700</v>
      </c>
      <c r="G225" s="816"/>
      <c r="H225" s="816">
        <v>0.2611059</v>
      </c>
      <c r="I225" s="816"/>
      <c r="J225" s="817">
        <v>0.12790000000000001</v>
      </c>
      <c r="K225" s="817"/>
      <c r="L225" s="817"/>
    </row>
    <row r="226" spans="1:12" ht="24" customHeight="1">
      <c r="A226" s="626" t="s">
        <v>12709</v>
      </c>
      <c r="B226" s="627" t="s">
        <v>13248</v>
      </c>
      <c r="C226" s="626" t="s">
        <v>8</v>
      </c>
      <c r="D226" s="626" t="s">
        <v>10712</v>
      </c>
      <c r="E226" s="628" t="s">
        <v>12730</v>
      </c>
      <c r="F226" s="816" t="s">
        <v>13745</v>
      </c>
      <c r="G226" s="816"/>
      <c r="H226" s="816">
        <v>7.1170000000000001E-4</v>
      </c>
      <c r="I226" s="816"/>
      <c r="J226" s="817">
        <v>5.6899999999999999E-2</v>
      </c>
      <c r="K226" s="817"/>
      <c r="L226" s="817"/>
    </row>
    <row r="227" spans="1:12" ht="17.100000000000001" customHeight="1">
      <c r="A227" s="636"/>
      <c r="B227" s="636"/>
      <c r="C227" s="636"/>
      <c r="D227" s="636"/>
      <c r="E227" s="636"/>
      <c r="F227" s="636"/>
      <c r="G227" s="636"/>
      <c r="H227" s="636"/>
      <c r="I227" s="636"/>
      <c r="J227" s="636" t="s">
        <v>13675</v>
      </c>
      <c r="K227" s="636"/>
      <c r="L227" s="636" t="s">
        <v>14791</v>
      </c>
    </row>
    <row r="228" spans="1:12">
      <c r="A228" s="802" t="s">
        <v>12722</v>
      </c>
      <c r="B228" s="802"/>
      <c r="C228" s="802"/>
      <c r="D228" s="802"/>
      <c r="E228" s="802"/>
      <c r="F228" s="802"/>
      <c r="G228" s="802"/>
      <c r="H228" s="802"/>
      <c r="I228" s="612"/>
      <c r="J228" s="612"/>
      <c r="K228" s="612"/>
      <c r="L228" s="612"/>
    </row>
    <row r="229" spans="1:12" ht="17.100000000000001" customHeight="1">
      <c r="A229" s="612" t="s">
        <v>13679</v>
      </c>
      <c r="B229" s="636" t="s">
        <v>12698</v>
      </c>
      <c r="C229" s="612" t="s">
        <v>12699</v>
      </c>
      <c r="D229" s="612" t="s">
        <v>12700</v>
      </c>
      <c r="E229" s="637" t="s">
        <v>12702</v>
      </c>
      <c r="F229" s="801" t="s">
        <v>12704</v>
      </c>
      <c r="G229" s="801"/>
      <c r="H229" s="801" t="s">
        <v>13678</v>
      </c>
      <c r="I229" s="801"/>
      <c r="J229" s="801" t="s">
        <v>12705</v>
      </c>
      <c r="K229" s="801"/>
      <c r="L229" s="801"/>
    </row>
    <row r="230" spans="1:12" ht="24" customHeight="1">
      <c r="A230" s="626" t="s">
        <v>12709</v>
      </c>
      <c r="B230" s="627" t="s">
        <v>12998</v>
      </c>
      <c r="C230" s="626" t="s">
        <v>8</v>
      </c>
      <c r="D230" s="626" t="s">
        <v>11861</v>
      </c>
      <c r="E230" s="628" t="s">
        <v>23</v>
      </c>
      <c r="F230" s="816" t="s">
        <v>13683</v>
      </c>
      <c r="G230" s="816"/>
      <c r="H230" s="816">
        <v>0.79044289999999995</v>
      </c>
      <c r="I230" s="816"/>
      <c r="J230" s="817">
        <v>0.56120000000000003</v>
      </c>
      <c r="K230" s="817"/>
      <c r="L230" s="817"/>
    </row>
    <row r="231" spans="1:12" ht="17.100000000000001" customHeight="1">
      <c r="A231" s="636"/>
      <c r="B231" s="636"/>
      <c r="C231" s="636"/>
      <c r="D231" s="636"/>
      <c r="E231" s="636"/>
      <c r="F231" s="636"/>
      <c r="G231" s="636"/>
      <c r="H231" s="636"/>
      <c r="I231" s="636"/>
      <c r="J231" s="636" t="s">
        <v>13675</v>
      </c>
      <c r="K231" s="636"/>
      <c r="L231" s="636" t="s">
        <v>14284</v>
      </c>
    </row>
    <row r="232" spans="1:12">
      <c r="A232" s="802" t="s">
        <v>12713</v>
      </c>
      <c r="B232" s="802"/>
      <c r="C232" s="802"/>
      <c r="D232" s="802"/>
      <c r="E232" s="802"/>
      <c r="F232" s="802"/>
      <c r="G232" s="802"/>
      <c r="H232" s="802"/>
      <c r="I232" s="612"/>
      <c r="J232" s="612"/>
      <c r="K232" s="612"/>
      <c r="L232" s="612"/>
    </row>
    <row r="233" spans="1:12" ht="17.100000000000001" customHeight="1">
      <c r="A233" s="612" t="s">
        <v>13679</v>
      </c>
      <c r="B233" s="636" t="s">
        <v>12698</v>
      </c>
      <c r="C233" s="612" t="s">
        <v>12699</v>
      </c>
      <c r="D233" s="612" t="s">
        <v>12700</v>
      </c>
      <c r="E233" s="637" t="s">
        <v>12702</v>
      </c>
      <c r="F233" s="801" t="s">
        <v>12704</v>
      </c>
      <c r="G233" s="801"/>
      <c r="H233" s="801" t="s">
        <v>13678</v>
      </c>
      <c r="I233" s="801"/>
      <c r="J233" s="801" t="s">
        <v>12705</v>
      </c>
      <c r="K233" s="801"/>
      <c r="L233" s="801"/>
    </row>
    <row r="234" spans="1:12" ht="24" customHeight="1">
      <c r="A234" s="626" t="s">
        <v>12709</v>
      </c>
      <c r="B234" s="627" t="s">
        <v>12999</v>
      </c>
      <c r="C234" s="626" t="s">
        <v>8</v>
      </c>
      <c r="D234" s="626" t="s">
        <v>11251</v>
      </c>
      <c r="E234" s="628" t="s">
        <v>23</v>
      </c>
      <c r="F234" s="816" t="s">
        <v>13681</v>
      </c>
      <c r="G234" s="816"/>
      <c r="H234" s="816">
        <v>0.79044289999999995</v>
      </c>
      <c r="I234" s="816"/>
      <c r="J234" s="817">
        <v>5.5300000000000002E-2</v>
      </c>
      <c r="K234" s="817"/>
      <c r="L234" s="817"/>
    </row>
    <row r="235" spans="1:12" ht="17.100000000000001" customHeight="1">
      <c r="A235" s="636"/>
      <c r="B235" s="636"/>
      <c r="C235" s="636"/>
      <c r="D235" s="636"/>
      <c r="E235" s="636"/>
      <c r="F235" s="636"/>
      <c r="G235" s="636"/>
      <c r="H235" s="636"/>
      <c r="I235" s="636"/>
      <c r="J235" s="636" t="s">
        <v>13675</v>
      </c>
      <c r="K235" s="636"/>
      <c r="L235" s="636" t="s">
        <v>13708</v>
      </c>
    </row>
    <row r="236" spans="1:12">
      <c r="A236" s="802" t="s">
        <v>12712</v>
      </c>
      <c r="B236" s="802"/>
      <c r="C236" s="802"/>
      <c r="D236" s="802"/>
      <c r="E236" s="802"/>
      <c r="F236" s="802"/>
      <c r="G236" s="802"/>
      <c r="H236" s="802"/>
      <c r="I236" s="612"/>
      <c r="J236" s="612"/>
      <c r="K236" s="612"/>
      <c r="L236" s="612"/>
    </row>
    <row r="237" spans="1:12" ht="17.100000000000001" customHeight="1">
      <c r="A237" s="612" t="s">
        <v>13679</v>
      </c>
      <c r="B237" s="636" t="s">
        <v>12698</v>
      </c>
      <c r="C237" s="612" t="s">
        <v>12699</v>
      </c>
      <c r="D237" s="612" t="s">
        <v>12700</v>
      </c>
      <c r="E237" s="637" t="s">
        <v>12702</v>
      </c>
      <c r="F237" s="801" t="s">
        <v>12704</v>
      </c>
      <c r="G237" s="801"/>
      <c r="H237" s="801" t="s">
        <v>13678</v>
      </c>
      <c r="I237" s="801"/>
      <c r="J237" s="801" t="s">
        <v>12705</v>
      </c>
      <c r="K237" s="801"/>
      <c r="L237" s="801"/>
    </row>
    <row r="238" spans="1:12" ht="24" customHeight="1">
      <c r="A238" s="626" t="s">
        <v>12709</v>
      </c>
      <c r="B238" s="627" t="s">
        <v>13002</v>
      </c>
      <c r="C238" s="626" t="s">
        <v>8</v>
      </c>
      <c r="D238" s="626" t="s">
        <v>9306</v>
      </c>
      <c r="E238" s="628" t="s">
        <v>23</v>
      </c>
      <c r="F238" s="816" t="s">
        <v>13677</v>
      </c>
      <c r="G238" s="816"/>
      <c r="H238" s="816">
        <v>0.79044289999999995</v>
      </c>
      <c r="I238" s="816"/>
      <c r="J238" s="817">
        <v>0.2767</v>
      </c>
      <c r="K238" s="817"/>
      <c r="L238" s="817"/>
    </row>
    <row r="239" spans="1:12" ht="24" customHeight="1">
      <c r="A239" s="626" t="s">
        <v>12709</v>
      </c>
      <c r="B239" s="627" t="s">
        <v>13004</v>
      </c>
      <c r="C239" s="626" t="s">
        <v>8</v>
      </c>
      <c r="D239" s="626" t="s">
        <v>7388</v>
      </c>
      <c r="E239" s="628" t="s">
        <v>23</v>
      </c>
      <c r="F239" s="816" t="s">
        <v>13676</v>
      </c>
      <c r="G239" s="816"/>
      <c r="H239" s="816">
        <v>0.79044289999999995</v>
      </c>
      <c r="I239" s="816"/>
      <c r="J239" s="817">
        <v>1.7390000000000001</v>
      </c>
      <c r="K239" s="817"/>
      <c r="L239" s="817"/>
    </row>
    <row r="240" spans="1:12" ht="17.100000000000001" customHeight="1">
      <c r="A240" s="636"/>
      <c r="B240" s="636"/>
      <c r="C240" s="636"/>
      <c r="D240" s="636"/>
      <c r="E240" s="636"/>
      <c r="F240" s="636"/>
      <c r="G240" s="636"/>
      <c r="H240" s="636"/>
      <c r="I240" s="636"/>
      <c r="J240" s="636" t="s">
        <v>13675</v>
      </c>
      <c r="K240" s="636"/>
      <c r="L240" s="636" t="s">
        <v>14790</v>
      </c>
    </row>
    <row r="241" spans="1:12" ht="17.100000000000001" customHeight="1">
      <c r="A241" s="612" t="s">
        <v>13673</v>
      </c>
      <c r="B241" s="612"/>
      <c r="C241" s="612"/>
      <c r="D241" s="612"/>
      <c r="E241" s="612"/>
      <c r="F241" s="612"/>
      <c r="G241" s="612"/>
      <c r="H241" s="612"/>
      <c r="I241" s="612"/>
      <c r="J241" s="612"/>
      <c r="K241" s="612"/>
      <c r="L241" s="612"/>
    </row>
    <row r="242" spans="1:12" ht="17.100000000000001" customHeight="1">
      <c r="A242" s="636"/>
      <c r="B242" s="636"/>
      <c r="C242" s="636"/>
      <c r="D242" s="636"/>
      <c r="E242" s="636"/>
      <c r="F242" s="636"/>
      <c r="G242" s="636"/>
      <c r="H242" s="636"/>
      <c r="I242" s="636"/>
      <c r="J242" s="636" t="s">
        <v>13672</v>
      </c>
      <c r="K242" s="636"/>
      <c r="L242" s="636" t="s">
        <v>14890</v>
      </c>
    </row>
    <row r="243" spans="1:12" ht="17.100000000000001" customHeight="1">
      <c r="A243" s="636"/>
      <c r="B243" s="636"/>
      <c r="C243" s="636"/>
      <c r="D243" s="636"/>
      <c r="E243" s="636"/>
      <c r="F243" s="636"/>
      <c r="G243" s="636"/>
      <c r="H243" s="636"/>
      <c r="I243" s="636"/>
      <c r="J243" s="636" t="s">
        <v>13671</v>
      </c>
      <c r="K243" s="636" t="s">
        <v>14461</v>
      </c>
      <c r="L243" s="636" t="s">
        <v>14891</v>
      </c>
    </row>
    <row r="244" spans="1:12" ht="17.100000000000001" customHeight="1">
      <c r="A244" s="636"/>
      <c r="B244" s="636"/>
      <c r="C244" s="636"/>
      <c r="D244" s="636"/>
      <c r="E244" s="636"/>
      <c r="F244" s="636"/>
      <c r="G244" s="636"/>
      <c r="H244" s="636"/>
      <c r="I244" s="636"/>
      <c r="J244" s="636" t="s">
        <v>13670</v>
      </c>
      <c r="K244" s="636"/>
      <c r="L244" s="636" t="s">
        <v>14892</v>
      </c>
    </row>
    <row r="245" spans="1:12" ht="17.100000000000001" customHeight="1">
      <c r="A245" s="636"/>
      <c r="B245" s="636"/>
      <c r="C245" s="636"/>
      <c r="D245" s="636"/>
      <c r="E245" s="636"/>
      <c r="F245" s="636"/>
      <c r="G245" s="636"/>
      <c r="H245" s="636"/>
      <c r="I245" s="636"/>
      <c r="J245" s="636" t="s">
        <v>13669</v>
      </c>
      <c r="K245" s="636" t="s">
        <v>13667</v>
      </c>
      <c r="L245" s="636" t="s">
        <v>14893</v>
      </c>
    </row>
    <row r="246" spans="1:12" ht="17.100000000000001" customHeight="1">
      <c r="A246" s="636"/>
      <c r="B246" s="636"/>
      <c r="C246" s="636"/>
      <c r="D246" s="636"/>
      <c r="E246" s="636"/>
      <c r="F246" s="636"/>
      <c r="G246" s="636"/>
      <c r="H246" s="636"/>
      <c r="I246" s="636"/>
      <c r="J246" s="636" t="s">
        <v>13668</v>
      </c>
      <c r="K246" s="636"/>
      <c r="L246" s="636" t="s">
        <v>14894</v>
      </c>
    </row>
    <row r="247" spans="1:12" ht="30" customHeight="1">
      <c r="A247" s="637"/>
      <c r="B247" s="637"/>
      <c r="C247" s="637"/>
      <c r="D247" s="637"/>
      <c r="E247" s="637"/>
      <c r="F247" s="637"/>
      <c r="G247" s="637"/>
      <c r="H247" s="637"/>
      <c r="I247" s="637"/>
      <c r="J247" s="637"/>
      <c r="K247" s="637"/>
      <c r="L247" s="637"/>
    </row>
    <row r="248" spans="1:12" ht="36" customHeight="1">
      <c r="A248" s="616" t="s">
        <v>14283</v>
      </c>
      <c r="B248" s="617" t="s">
        <v>13650</v>
      </c>
      <c r="C248" s="616" t="s">
        <v>8</v>
      </c>
      <c r="D248" s="616" t="s">
        <v>4642</v>
      </c>
      <c r="E248" s="618" t="s">
        <v>12725</v>
      </c>
      <c r="F248" s="617"/>
      <c r="G248" s="617"/>
      <c r="H248" s="617"/>
      <c r="I248" s="617"/>
      <c r="J248" s="617"/>
      <c r="K248" s="617"/>
      <c r="L248" s="617"/>
    </row>
    <row r="249" spans="1:12" ht="14.25" customHeight="1">
      <c r="A249" s="802" t="s">
        <v>12711</v>
      </c>
      <c r="B249" s="802"/>
      <c r="C249" s="802"/>
      <c r="D249" s="802"/>
      <c r="E249" s="802"/>
      <c r="F249" s="802"/>
      <c r="G249" s="802"/>
      <c r="H249" s="802"/>
      <c r="I249" s="612"/>
      <c r="J249" s="612"/>
      <c r="K249" s="612"/>
      <c r="L249" s="612"/>
    </row>
    <row r="250" spans="1:12" ht="17.100000000000001" customHeight="1">
      <c r="A250" s="612" t="s">
        <v>13679</v>
      </c>
      <c r="B250" s="636" t="s">
        <v>12698</v>
      </c>
      <c r="C250" s="612" t="s">
        <v>12699</v>
      </c>
      <c r="D250" s="612" t="s">
        <v>12700</v>
      </c>
      <c r="E250" s="637" t="s">
        <v>12702</v>
      </c>
      <c r="F250" s="801" t="s">
        <v>12704</v>
      </c>
      <c r="G250" s="801"/>
      <c r="H250" s="801" t="s">
        <v>13678</v>
      </c>
      <c r="I250" s="801"/>
      <c r="J250" s="801" t="s">
        <v>12705</v>
      </c>
      <c r="K250" s="801"/>
      <c r="L250" s="801"/>
    </row>
    <row r="251" spans="1:12" ht="24" customHeight="1">
      <c r="A251" s="626" t="s">
        <v>12709</v>
      </c>
      <c r="B251" s="627" t="s">
        <v>13048</v>
      </c>
      <c r="C251" s="626" t="s">
        <v>8</v>
      </c>
      <c r="D251" s="626" t="s">
        <v>9233</v>
      </c>
      <c r="E251" s="628" t="s">
        <v>23</v>
      </c>
      <c r="F251" s="816" t="s">
        <v>13690</v>
      </c>
      <c r="G251" s="816"/>
      <c r="H251" s="816">
        <v>9.61703E-2</v>
      </c>
      <c r="I251" s="816"/>
      <c r="J251" s="817">
        <v>9.8100000000000007E-2</v>
      </c>
      <c r="K251" s="817"/>
      <c r="L251" s="817"/>
    </row>
    <row r="252" spans="1:12" ht="24" customHeight="1">
      <c r="A252" s="626" t="s">
        <v>12709</v>
      </c>
      <c r="B252" s="627" t="s">
        <v>13047</v>
      </c>
      <c r="C252" s="626" t="s">
        <v>8</v>
      </c>
      <c r="D252" s="626" t="s">
        <v>9380</v>
      </c>
      <c r="E252" s="628" t="s">
        <v>23</v>
      </c>
      <c r="F252" s="816" t="s">
        <v>13689</v>
      </c>
      <c r="G252" s="816"/>
      <c r="H252" s="816">
        <v>9.61703E-2</v>
      </c>
      <c r="I252" s="816"/>
      <c r="J252" s="817">
        <v>3.6499999999999998E-2</v>
      </c>
      <c r="K252" s="817"/>
      <c r="L252" s="817"/>
    </row>
    <row r="253" spans="1:12" ht="24" customHeight="1">
      <c r="A253" s="626" t="s">
        <v>12709</v>
      </c>
      <c r="B253" s="627" t="s">
        <v>13032</v>
      </c>
      <c r="C253" s="626" t="s">
        <v>8</v>
      </c>
      <c r="D253" s="626" t="s">
        <v>9217</v>
      </c>
      <c r="E253" s="628" t="s">
        <v>23</v>
      </c>
      <c r="F253" s="816" t="s">
        <v>13741</v>
      </c>
      <c r="G253" s="816"/>
      <c r="H253" s="816">
        <v>4.8926999999999998E-2</v>
      </c>
      <c r="I253" s="816"/>
      <c r="J253" s="817">
        <v>5.28E-2</v>
      </c>
      <c r="K253" s="817"/>
      <c r="L253" s="817"/>
    </row>
    <row r="254" spans="1:12" ht="24" customHeight="1">
      <c r="A254" s="626" t="s">
        <v>12709</v>
      </c>
      <c r="B254" s="627" t="s">
        <v>13031</v>
      </c>
      <c r="C254" s="626" t="s">
        <v>8</v>
      </c>
      <c r="D254" s="626" t="s">
        <v>9364</v>
      </c>
      <c r="E254" s="628" t="s">
        <v>23</v>
      </c>
      <c r="F254" s="816" t="s">
        <v>13740</v>
      </c>
      <c r="G254" s="816"/>
      <c r="H254" s="816">
        <v>4.8926999999999998E-2</v>
      </c>
      <c r="I254" s="816"/>
      <c r="J254" s="817">
        <v>1.66E-2</v>
      </c>
      <c r="K254" s="817"/>
      <c r="L254" s="817"/>
    </row>
    <row r="255" spans="1:12" ht="17.100000000000001" customHeight="1">
      <c r="A255" s="636"/>
      <c r="B255" s="636"/>
      <c r="C255" s="636"/>
      <c r="D255" s="636"/>
      <c r="E255" s="636"/>
      <c r="F255" s="636"/>
      <c r="G255" s="636"/>
      <c r="H255" s="636"/>
      <c r="I255" s="636"/>
      <c r="J255" s="636" t="s">
        <v>13675</v>
      </c>
      <c r="K255" s="636"/>
      <c r="L255" s="636" t="s">
        <v>13855</v>
      </c>
    </row>
    <row r="256" spans="1:12" ht="14.25" customHeight="1">
      <c r="A256" s="802" t="s">
        <v>12710</v>
      </c>
      <c r="B256" s="802"/>
      <c r="C256" s="802"/>
      <c r="D256" s="802"/>
      <c r="E256" s="802"/>
      <c r="F256" s="802"/>
      <c r="G256" s="802"/>
      <c r="H256" s="802"/>
      <c r="I256" s="612"/>
      <c r="J256" s="612"/>
      <c r="K256" s="612"/>
      <c r="L256" s="612"/>
    </row>
    <row r="257" spans="1:12" ht="17.100000000000001" customHeight="1">
      <c r="A257" s="612" t="s">
        <v>13679</v>
      </c>
      <c r="B257" s="636" t="s">
        <v>12698</v>
      </c>
      <c r="C257" s="612" t="s">
        <v>12699</v>
      </c>
      <c r="D257" s="612" t="s">
        <v>12700</v>
      </c>
      <c r="E257" s="637" t="s">
        <v>12702</v>
      </c>
      <c r="F257" s="801" t="s">
        <v>12704</v>
      </c>
      <c r="G257" s="801"/>
      <c r="H257" s="801" t="s">
        <v>13678</v>
      </c>
      <c r="I257" s="801"/>
      <c r="J257" s="801" t="s">
        <v>12705</v>
      </c>
      <c r="K257" s="801"/>
      <c r="L257" s="801"/>
    </row>
    <row r="258" spans="1:12" ht="24" customHeight="1">
      <c r="A258" s="626" t="s">
        <v>12709</v>
      </c>
      <c r="B258" s="627" t="s">
        <v>13046</v>
      </c>
      <c r="C258" s="626" t="s">
        <v>8</v>
      </c>
      <c r="D258" s="626" t="s">
        <v>11281</v>
      </c>
      <c r="E258" s="628" t="s">
        <v>23</v>
      </c>
      <c r="F258" s="816" t="s">
        <v>13731</v>
      </c>
      <c r="G258" s="816"/>
      <c r="H258" s="816">
        <v>9.7844100000000003E-2</v>
      </c>
      <c r="I258" s="816"/>
      <c r="J258" s="817">
        <v>0.50290000000000001</v>
      </c>
      <c r="K258" s="817"/>
      <c r="L258" s="817"/>
    </row>
    <row r="259" spans="1:12" ht="24" customHeight="1">
      <c r="A259" s="626" t="s">
        <v>12709</v>
      </c>
      <c r="B259" s="627" t="s">
        <v>13030</v>
      </c>
      <c r="C259" s="626" t="s">
        <v>8</v>
      </c>
      <c r="D259" s="626" t="s">
        <v>11729</v>
      </c>
      <c r="E259" s="628" t="s">
        <v>23</v>
      </c>
      <c r="F259" s="816" t="s">
        <v>14513</v>
      </c>
      <c r="G259" s="816"/>
      <c r="H259" s="816">
        <v>4.9449800000000002E-2</v>
      </c>
      <c r="I259" s="816"/>
      <c r="J259" s="817">
        <v>0.37290000000000001</v>
      </c>
      <c r="K259" s="817"/>
      <c r="L259" s="817"/>
    </row>
    <row r="260" spans="1:12" ht="17.100000000000001" customHeight="1">
      <c r="A260" s="636"/>
      <c r="B260" s="636"/>
      <c r="C260" s="636"/>
      <c r="D260" s="636"/>
      <c r="E260" s="636"/>
      <c r="F260" s="636"/>
      <c r="G260" s="636"/>
      <c r="H260" s="636"/>
      <c r="I260" s="636"/>
      <c r="J260" s="636" t="s">
        <v>13675</v>
      </c>
      <c r="K260" s="636"/>
      <c r="L260" s="636" t="s">
        <v>13900</v>
      </c>
    </row>
    <row r="261" spans="1:12">
      <c r="A261" s="802" t="s">
        <v>12722</v>
      </c>
      <c r="B261" s="802"/>
      <c r="C261" s="802"/>
      <c r="D261" s="802"/>
      <c r="E261" s="802"/>
      <c r="F261" s="802"/>
      <c r="G261" s="802"/>
      <c r="H261" s="802"/>
      <c r="I261" s="612"/>
      <c r="J261" s="612"/>
      <c r="K261" s="612"/>
      <c r="L261" s="612"/>
    </row>
    <row r="262" spans="1:12" ht="17.100000000000001" customHeight="1">
      <c r="A262" s="612" t="s">
        <v>13679</v>
      </c>
      <c r="B262" s="636" t="s">
        <v>12698</v>
      </c>
      <c r="C262" s="612" t="s">
        <v>12699</v>
      </c>
      <c r="D262" s="612" t="s">
        <v>12700</v>
      </c>
      <c r="E262" s="637" t="s">
        <v>12702</v>
      </c>
      <c r="F262" s="801" t="s">
        <v>12704</v>
      </c>
      <c r="G262" s="801"/>
      <c r="H262" s="801" t="s">
        <v>13678</v>
      </c>
      <c r="I262" s="801"/>
      <c r="J262" s="801" t="s">
        <v>12705</v>
      </c>
      <c r="K262" s="801"/>
      <c r="L262" s="801"/>
    </row>
    <row r="263" spans="1:12" ht="24" customHeight="1">
      <c r="A263" s="626" t="s">
        <v>12709</v>
      </c>
      <c r="B263" s="627" t="s">
        <v>12998</v>
      </c>
      <c r="C263" s="626" t="s">
        <v>8</v>
      </c>
      <c r="D263" s="626" t="s">
        <v>11861</v>
      </c>
      <c r="E263" s="628" t="s">
        <v>23</v>
      </c>
      <c r="F263" s="816" t="s">
        <v>13683</v>
      </c>
      <c r="G263" s="816"/>
      <c r="H263" s="816">
        <v>0.14509739999999999</v>
      </c>
      <c r="I263" s="816"/>
      <c r="J263" s="817">
        <v>0.10299999999999999</v>
      </c>
      <c r="K263" s="817"/>
      <c r="L263" s="817"/>
    </row>
    <row r="264" spans="1:12" ht="17.100000000000001" customHeight="1">
      <c r="A264" s="636"/>
      <c r="B264" s="636"/>
      <c r="C264" s="636"/>
      <c r="D264" s="636"/>
      <c r="E264" s="636"/>
      <c r="F264" s="636"/>
      <c r="G264" s="636"/>
      <c r="H264" s="636"/>
      <c r="I264" s="636"/>
      <c r="J264" s="636" t="s">
        <v>13675</v>
      </c>
      <c r="K264" s="636"/>
      <c r="L264" s="636" t="s">
        <v>13882</v>
      </c>
    </row>
    <row r="265" spans="1:12">
      <c r="A265" s="802" t="s">
        <v>12713</v>
      </c>
      <c r="B265" s="802"/>
      <c r="C265" s="802"/>
      <c r="D265" s="802"/>
      <c r="E265" s="802"/>
      <c r="F265" s="802"/>
      <c r="G265" s="802"/>
      <c r="H265" s="802"/>
      <c r="I265" s="612"/>
      <c r="J265" s="612"/>
      <c r="K265" s="612"/>
      <c r="L265" s="612"/>
    </row>
    <row r="266" spans="1:12" ht="17.100000000000001" customHeight="1">
      <c r="A266" s="612" t="s">
        <v>13679</v>
      </c>
      <c r="B266" s="636" t="s">
        <v>12698</v>
      </c>
      <c r="C266" s="612" t="s">
        <v>12699</v>
      </c>
      <c r="D266" s="612" t="s">
        <v>12700</v>
      </c>
      <c r="E266" s="637" t="s">
        <v>12702</v>
      </c>
      <c r="F266" s="801" t="s">
        <v>12704</v>
      </c>
      <c r="G266" s="801"/>
      <c r="H266" s="801" t="s">
        <v>13678</v>
      </c>
      <c r="I266" s="801"/>
      <c r="J266" s="801" t="s">
        <v>12705</v>
      </c>
      <c r="K266" s="801"/>
      <c r="L266" s="801"/>
    </row>
    <row r="267" spans="1:12" ht="24" customHeight="1">
      <c r="A267" s="626" t="s">
        <v>12709</v>
      </c>
      <c r="B267" s="627" t="s">
        <v>12999</v>
      </c>
      <c r="C267" s="626" t="s">
        <v>8</v>
      </c>
      <c r="D267" s="626" t="s">
        <v>11251</v>
      </c>
      <c r="E267" s="628" t="s">
        <v>23</v>
      </c>
      <c r="F267" s="816" t="s">
        <v>13681</v>
      </c>
      <c r="G267" s="816"/>
      <c r="H267" s="816">
        <v>0.14509739999999999</v>
      </c>
      <c r="I267" s="816"/>
      <c r="J267" s="817">
        <v>1.0200000000000001E-2</v>
      </c>
      <c r="K267" s="817"/>
      <c r="L267" s="817"/>
    </row>
    <row r="268" spans="1:12" ht="17.100000000000001" customHeight="1">
      <c r="A268" s="636"/>
      <c r="B268" s="636"/>
      <c r="C268" s="636"/>
      <c r="D268" s="636"/>
      <c r="E268" s="636"/>
      <c r="F268" s="636"/>
      <c r="G268" s="636"/>
      <c r="H268" s="636"/>
      <c r="I268" s="636"/>
      <c r="J268" s="636" t="s">
        <v>13675</v>
      </c>
      <c r="K268" s="636"/>
      <c r="L268" s="636" t="s">
        <v>13728</v>
      </c>
    </row>
    <row r="269" spans="1:12">
      <c r="A269" s="802" t="s">
        <v>12712</v>
      </c>
      <c r="B269" s="802"/>
      <c r="C269" s="802"/>
      <c r="D269" s="802"/>
      <c r="E269" s="802"/>
      <c r="F269" s="802"/>
      <c r="G269" s="802"/>
      <c r="H269" s="802"/>
      <c r="I269" s="612"/>
      <c r="J269" s="612"/>
      <c r="K269" s="612"/>
      <c r="L269" s="612"/>
    </row>
    <row r="270" spans="1:12" ht="17.100000000000001" customHeight="1">
      <c r="A270" s="612" t="s">
        <v>13679</v>
      </c>
      <c r="B270" s="636" t="s">
        <v>12698</v>
      </c>
      <c r="C270" s="612" t="s">
        <v>12699</v>
      </c>
      <c r="D270" s="612" t="s">
        <v>12700</v>
      </c>
      <c r="E270" s="637" t="s">
        <v>12702</v>
      </c>
      <c r="F270" s="801" t="s">
        <v>12704</v>
      </c>
      <c r="G270" s="801"/>
      <c r="H270" s="801" t="s">
        <v>13678</v>
      </c>
      <c r="I270" s="801"/>
      <c r="J270" s="801" t="s">
        <v>12705</v>
      </c>
      <c r="K270" s="801"/>
      <c r="L270" s="801"/>
    </row>
    <row r="271" spans="1:12" ht="24" customHeight="1">
      <c r="A271" s="626" t="s">
        <v>12709</v>
      </c>
      <c r="B271" s="627" t="s">
        <v>13002</v>
      </c>
      <c r="C271" s="626" t="s">
        <v>8</v>
      </c>
      <c r="D271" s="626" t="s">
        <v>9306</v>
      </c>
      <c r="E271" s="628" t="s">
        <v>23</v>
      </c>
      <c r="F271" s="816" t="s">
        <v>13677</v>
      </c>
      <c r="G271" s="816"/>
      <c r="H271" s="816">
        <v>0.14509739999999999</v>
      </c>
      <c r="I271" s="816"/>
      <c r="J271" s="817">
        <v>5.0799999999999998E-2</v>
      </c>
      <c r="K271" s="817"/>
      <c r="L271" s="817"/>
    </row>
    <row r="272" spans="1:12" ht="24" customHeight="1">
      <c r="A272" s="626" t="s">
        <v>12709</v>
      </c>
      <c r="B272" s="627" t="s">
        <v>13004</v>
      </c>
      <c r="C272" s="626" t="s">
        <v>8</v>
      </c>
      <c r="D272" s="626" t="s">
        <v>7388</v>
      </c>
      <c r="E272" s="628" t="s">
        <v>23</v>
      </c>
      <c r="F272" s="816" t="s">
        <v>13676</v>
      </c>
      <c r="G272" s="816"/>
      <c r="H272" s="816">
        <v>0.14509739999999999</v>
      </c>
      <c r="I272" s="816"/>
      <c r="J272" s="817">
        <v>0.31919999999999998</v>
      </c>
      <c r="K272" s="817"/>
      <c r="L272" s="817"/>
    </row>
    <row r="273" spans="1:12" ht="17.100000000000001" customHeight="1">
      <c r="A273" s="636"/>
      <c r="B273" s="636"/>
      <c r="C273" s="636"/>
      <c r="D273" s="636"/>
      <c r="E273" s="636"/>
      <c r="F273" s="636"/>
      <c r="G273" s="636"/>
      <c r="H273" s="636"/>
      <c r="I273" s="636"/>
      <c r="J273" s="636" t="s">
        <v>13675</v>
      </c>
      <c r="K273" s="636"/>
      <c r="L273" s="636" t="s">
        <v>13798</v>
      </c>
    </row>
    <row r="274" spans="1:12" ht="17.100000000000001" customHeight="1">
      <c r="A274" s="612" t="s">
        <v>13673</v>
      </c>
      <c r="B274" s="612"/>
      <c r="C274" s="612"/>
      <c r="D274" s="612"/>
      <c r="E274" s="612"/>
      <c r="F274" s="612"/>
      <c r="G274" s="612"/>
      <c r="H274" s="612"/>
      <c r="I274" s="612"/>
      <c r="J274" s="612"/>
      <c r="K274" s="612"/>
      <c r="L274" s="612"/>
    </row>
    <row r="275" spans="1:12" ht="17.100000000000001" customHeight="1">
      <c r="A275" s="636"/>
      <c r="B275" s="636"/>
      <c r="C275" s="636"/>
      <c r="D275" s="636"/>
      <c r="E275" s="636"/>
      <c r="F275" s="636"/>
      <c r="G275" s="636"/>
      <c r="H275" s="636"/>
      <c r="I275" s="636"/>
      <c r="J275" s="636" t="s">
        <v>13672</v>
      </c>
      <c r="K275" s="636"/>
      <c r="L275" s="636" t="s">
        <v>14895</v>
      </c>
    </row>
    <row r="276" spans="1:12" ht="17.100000000000001" customHeight="1">
      <c r="A276" s="636"/>
      <c r="B276" s="636"/>
      <c r="C276" s="636"/>
      <c r="D276" s="636"/>
      <c r="E276" s="636"/>
      <c r="F276" s="636"/>
      <c r="G276" s="636"/>
      <c r="H276" s="636"/>
      <c r="I276" s="636"/>
      <c r="J276" s="636" t="s">
        <v>13671</v>
      </c>
      <c r="K276" s="636" t="s">
        <v>14461</v>
      </c>
      <c r="L276" s="636" t="s">
        <v>14896</v>
      </c>
    </row>
    <row r="277" spans="1:12" ht="17.100000000000001" customHeight="1">
      <c r="A277" s="636"/>
      <c r="B277" s="636"/>
      <c r="C277" s="636"/>
      <c r="D277" s="636"/>
      <c r="E277" s="636"/>
      <c r="F277" s="636"/>
      <c r="G277" s="636"/>
      <c r="H277" s="636"/>
      <c r="I277" s="636"/>
      <c r="J277" s="636" t="s">
        <v>13670</v>
      </c>
      <c r="K277" s="636"/>
      <c r="L277" s="636" t="s">
        <v>14897</v>
      </c>
    </row>
    <row r="278" spans="1:12" ht="17.100000000000001" customHeight="1">
      <c r="A278" s="636"/>
      <c r="B278" s="636"/>
      <c r="C278" s="636"/>
      <c r="D278" s="636"/>
      <c r="E278" s="636"/>
      <c r="F278" s="636"/>
      <c r="G278" s="636"/>
      <c r="H278" s="636"/>
      <c r="I278" s="636"/>
      <c r="J278" s="636" t="s">
        <v>13669</v>
      </c>
      <c r="K278" s="636" t="s">
        <v>13667</v>
      </c>
      <c r="L278" s="636" t="s">
        <v>14898</v>
      </c>
    </row>
    <row r="279" spans="1:12" ht="17.100000000000001" customHeight="1">
      <c r="A279" s="636"/>
      <c r="B279" s="636"/>
      <c r="C279" s="636"/>
      <c r="D279" s="636"/>
      <c r="E279" s="636"/>
      <c r="F279" s="636"/>
      <c r="G279" s="636"/>
      <c r="H279" s="636"/>
      <c r="I279" s="636"/>
      <c r="J279" s="636" t="s">
        <v>13668</v>
      </c>
      <c r="K279" s="636"/>
      <c r="L279" s="636" t="s">
        <v>14899</v>
      </c>
    </row>
    <row r="280" spans="1:12" ht="30" customHeight="1">
      <c r="A280" s="637"/>
      <c r="B280" s="637"/>
      <c r="C280" s="637"/>
      <c r="D280" s="637"/>
      <c r="E280" s="637"/>
      <c r="F280" s="637"/>
      <c r="G280" s="637"/>
      <c r="H280" s="637"/>
      <c r="I280" s="637"/>
      <c r="J280" s="637"/>
      <c r="K280" s="637"/>
      <c r="L280" s="637"/>
    </row>
    <row r="281" spans="1:12" ht="24" customHeight="1">
      <c r="A281" s="616" t="s">
        <v>14282</v>
      </c>
      <c r="B281" s="617" t="s">
        <v>13649</v>
      </c>
      <c r="C281" s="616" t="s">
        <v>8</v>
      </c>
      <c r="D281" s="616" t="s">
        <v>4656</v>
      </c>
      <c r="E281" s="618" t="s">
        <v>17</v>
      </c>
      <c r="F281" s="617"/>
      <c r="G281" s="617"/>
      <c r="H281" s="617"/>
      <c r="I281" s="617"/>
      <c r="J281" s="617"/>
      <c r="K281" s="617"/>
      <c r="L281" s="617"/>
    </row>
    <row r="282" spans="1:12" ht="14.25" customHeight="1">
      <c r="A282" s="802" t="s">
        <v>12711</v>
      </c>
      <c r="B282" s="802"/>
      <c r="C282" s="802"/>
      <c r="D282" s="802"/>
      <c r="E282" s="802"/>
      <c r="F282" s="802"/>
      <c r="G282" s="802"/>
      <c r="H282" s="802"/>
      <c r="I282" s="612"/>
      <c r="J282" s="612"/>
      <c r="K282" s="612"/>
      <c r="L282" s="612"/>
    </row>
    <row r="283" spans="1:12" ht="17.100000000000001" customHeight="1">
      <c r="A283" s="612" t="s">
        <v>13679</v>
      </c>
      <c r="B283" s="636" t="s">
        <v>12698</v>
      </c>
      <c r="C283" s="612" t="s">
        <v>12699</v>
      </c>
      <c r="D283" s="612" t="s">
        <v>12700</v>
      </c>
      <c r="E283" s="637" t="s">
        <v>12702</v>
      </c>
      <c r="F283" s="801" t="s">
        <v>12704</v>
      </c>
      <c r="G283" s="801"/>
      <c r="H283" s="801" t="s">
        <v>13678</v>
      </c>
      <c r="I283" s="801"/>
      <c r="J283" s="801" t="s">
        <v>12705</v>
      </c>
      <c r="K283" s="801"/>
      <c r="L283" s="801"/>
    </row>
    <row r="284" spans="1:12" ht="24" customHeight="1">
      <c r="A284" s="626" t="s">
        <v>12709</v>
      </c>
      <c r="B284" s="627" t="s">
        <v>13134</v>
      </c>
      <c r="C284" s="626" t="s">
        <v>8</v>
      </c>
      <c r="D284" s="626" t="s">
        <v>9219</v>
      </c>
      <c r="E284" s="628" t="s">
        <v>23</v>
      </c>
      <c r="F284" s="816" t="s">
        <v>13782</v>
      </c>
      <c r="G284" s="816"/>
      <c r="H284" s="816">
        <v>9.3883000000000005E-3</v>
      </c>
      <c r="I284" s="816"/>
      <c r="J284" s="817">
        <v>8.6999999999999994E-3</v>
      </c>
      <c r="K284" s="817"/>
      <c r="L284" s="817"/>
    </row>
    <row r="285" spans="1:12" ht="24" customHeight="1">
      <c r="A285" s="626" t="s">
        <v>12709</v>
      </c>
      <c r="B285" s="627" t="s">
        <v>13133</v>
      </c>
      <c r="C285" s="626" t="s">
        <v>8</v>
      </c>
      <c r="D285" s="626" t="s">
        <v>9366</v>
      </c>
      <c r="E285" s="628" t="s">
        <v>23</v>
      </c>
      <c r="F285" s="816" t="s">
        <v>13781</v>
      </c>
      <c r="G285" s="816"/>
      <c r="H285" s="816">
        <v>9.3883000000000005E-3</v>
      </c>
      <c r="I285" s="816"/>
      <c r="J285" s="817">
        <v>5.1999999999999998E-3</v>
      </c>
      <c r="K285" s="817"/>
      <c r="L285" s="817"/>
    </row>
    <row r="286" spans="1:12" ht="24" customHeight="1">
      <c r="A286" s="626" t="s">
        <v>12709</v>
      </c>
      <c r="B286" s="627" t="s">
        <v>13048</v>
      </c>
      <c r="C286" s="626" t="s">
        <v>8</v>
      </c>
      <c r="D286" s="626" t="s">
        <v>9233</v>
      </c>
      <c r="E286" s="628" t="s">
        <v>23</v>
      </c>
      <c r="F286" s="816" t="s">
        <v>13690</v>
      </c>
      <c r="G286" s="816"/>
      <c r="H286" s="816">
        <v>1.8385499999999999E-2</v>
      </c>
      <c r="I286" s="816"/>
      <c r="J286" s="817">
        <v>1.8800000000000001E-2</v>
      </c>
      <c r="K286" s="817"/>
      <c r="L286" s="817"/>
    </row>
    <row r="287" spans="1:12" ht="24" customHeight="1">
      <c r="A287" s="626" t="s">
        <v>12709</v>
      </c>
      <c r="B287" s="627" t="s">
        <v>13047</v>
      </c>
      <c r="C287" s="626" t="s">
        <v>8</v>
      </c>
      <c r="D287" s="626" t="s">
        <v>9380</v>
      </c>
      <c r="E287" s="628" t="s">
        <v>23</v>
      </c>
      <c r="F287" s="816" t="s">
        <v>13689</v>
      </c>
      <c r="G287" s="816"/>
      <c r="H287" s="816">
        <v>1.8385499999999999E-2</v>
      </c>
      <c r="I287" s="816"/>
      <c r="J287" s="817">
        <v>7.0000000000000001E-3</v>
      </c>
      <c r="K287" s="817"/>
      <c r="L287" s="817"/>
    </row>
    <row r="288" spans="1:12" ht="17.100000000000001" customHeight="1">
      <c r="A288" s="636"/>
      <c r="B288" s="636"/>
      <c r="C288" s="636"/>
      <c r="D288" s="636"/>
      <c r="E288" s="636"/>
      <c r="F288" s="636"/>
      <c r="G288" s="636"/>
      <c r="H288" s="636"/>
      <c r="I288" s="636"/>
      <c r="J288" s="636" t="s">
        <v>13675</v>
      </c>
      <c r="K288" s="636"/>
      <c r="L288" s="636" t="s">
        <v>13716</v>
      </c>
    </row>
    <row r="289" spans="1:12" ht="14.25" customHeight="1">
      <c r="A289" s="802" t="s">
        <v>12710</v>
      </c>
      <c r="B289" s="802"/>
      <c r="C289" s="802"/>
      <c r="D289" s="802"/>
      <c r="E289" s="802"/>
      <c r="F289" s="802"/>
      <c r="G289" s="802"/>
      <c r="H289" s="802"/>
      <c r="I289" s="612"/>
      <c r="J289" s="612"/>
      <c r="K289" s="612"/>
      <c r="L289" s="612"/>
    </row>
    <row r="290" spans="1:12" ht="17.100000000000001" customHeight="1">
      <c r="A290" s="612" t="s">
        <v>13679</v>
      </c>
      <c r="B290" s="636" t="s">
        <v>12698</v>
      </c>
      <c r="C290" s="612" t="s">
        <v>12699</v>
      </c>
      <c r="D290" s="612" t="s">
        <v>12700</v>
      </c>
      <c r="E290" s="637" t="s">
        <v>12702</v>
      </c>
      <c r="F290" s="801" t="s">
        <v>12704</v>
      </c>
      <c r="G290" s="801"/>
      <c r="H290" s="801" t="s">
        <v>13678</v>
      </c>
      <c r="I290" s="801"/>
      <c r="J290" s="801" t="s">
        <v>12705</v>
      </c>
      <c r="K290" s="801"/>
      <c r="L290" s="801"/>
    </row>
    <row r="291" spans="1:12" ht="24" customHeight="1">
      <c r="A291" s="626" t="s">
        <v>12709</v>
      </c>
      <c r="B291" s="627" t="s">
        <v>13204</v>
      </c>
      <c r="C291" s="626" t="s">
        <v>8</v>
      </c>
      <c r="D291" s="626" t="s">
        <v>9112</v>
      </c>
      <c r="E291" s="628" t="s">
        <v>23</v>
      </c>
      <c r="F291" s="816" t="s">
        <v>14479</v>
      </c>
      <c r="G291" s="816"/>
      <c r="H291" s="816">
        <v>9.7964000000000002E-3</v>
      </c>
      <c r="I291" s="816"/>
      <c r="J291" s="817">
        <v>7.0000000000000007E-2</v>
      </c>
      <c r="K291" s="817"/>
      <c r="L291" s="817"/>
    </row>
    <row r="292" spans="1:12" ht="24" customHeight="1">
      <c r="A292" s="626" t="s">
        <v>12709</v>
      </c>
      <c r="B292" s="627" t="s">
        <v>13046</v>
      </c>
      <c r="C292" s="626" t="s">
        <v>8</v>
      </c>
      <c r="D292" s="626" t="s">
        <v>11281</v>
      </c>
      <c r="E292" s="628" t="s">
        <v>23</v>
      </c>
      <c r="F292" s="816" t="s">
        <v>13731</v>
      </c>
      <c r="G292" s="816"/>
      <c r="H292" s="816">
        <v>1.8977000000000001E-2</v>
      </c>
      <c r="I292" s="816"/>
      <c r="J292" s="817">
        <v>9.7500000000000003E-2</v>
      </c>
      <c r="K292" s="817"/>
      <c r="L292" s="817"/>
    </row>
    <row r="293" spans="1:12" ht="17.100000000000001" customHeight="1">
      <c r="A293" s="636"/>
      <c r="B293" s="636"/>
      <c r="C293" s="636"/>
      <c r="D293" s="636"/>
      <c r="E293" s="636"/>
      <c r="F293" s="636"/>
      <c r="G293" s="636"/>
      <c r="H293" s="636"/>
      <c r="I293" s="636"/>
      <c r="J293" s="636" t="s">
        <v>13675</v>
      </c>
      <c r="K293" s="636"/>
      <c r="L293" s="636" t="s">
        <v>13832</v>
      </c>
    </row>
    <row r="294" spans="1:12">
      <c r="A294" s="802" t="s">
        <v>12722</v>
      </c>
      <c r="B294" s="802"/>
      <c r="C294" s="802"/>
      <c r="D294" s="802"/>
      <c r="E294" s="802"/>
      <c r="F294" s="802"/>
      <c r="G294" s="802"/>
      <c r="H294" s="802"/>
      <c r="I294" s="612"/>
      <c r="J294" s="612"/>
      <c r="K294" s="612"/>
      <c r="L294" s="612"/>
    </row>
    <row r="295" spans="1:12" ht="17.100000000000001" customHeight="1">
      <c r="A295" s="612" t="s">
        <v>13679</v>
      </c>
      <c r="B295" s="636" t="s">
        <v>12698</v>
      </c>
      <c r="C295" s="612" t="s">
        <v>12699</v>
      </c>
      <c r="D295" s="612" t="s">
        <v>12700</v>
      </c>
      <c r="E295" s="637" t="s">
        <v>12702</v>
      </c>
      <c r="F295" s="801" t="s">
        <v>12704</v>
      </c>
      <c r="G295" s="801"/>
      <c r="H295" s="801" t="s">
        <v>13678</v>
      </c>
      <c r="I295" s="801"/>
      <c r="J295" s="801" t="s">
        <v>12705</v>
      </c>
      <c r="K295" s="801"/>
      <c r="L295" s="801"/>
    </row>
    <row r="296" spans="1:12" ht="24" customHeight="1">
      <c r="A296" s="626" t="s">
        <v>12709</v>
      </c>
      <c r="B296" s="627" t="s">
        <v>12998</v>
      </c>
      <c r="C296" s="626" t="s">
        <v>8</v>
      </c>
      <c r="D296" s="626" t="s">
        <v>11861</v>
      </c>
      <c r="E296" s="628" t="s">
        <v>23</v>
      </c>
      <c r="F296" s="816" t="s">
        <v>13683</v>
      </c>
      <c r="G296" s="816"/>
      <c r="H296" s="816">
        <v>2.7773800000000001E-2</v>
      </c>
      <c r="I296" s="816"/>
      <c r="J296" s="817">
        <v>1.9699999999999999E-2</v>
      </c>
      <c r="K296" s="817"/>
      <c r="L296" s="817"/>
    </row>
    <row r="297" spans="1:12" ht="17.100000000000001" customHeight="1">
      <c r="A297" s="636"/>
      <c r="B297" s="636"/>
      <c r="C297" s="636"/>
      <c r="D297" s="636"/>
      <c r="E297" s="636"/>
      <c r="F297" s="636"/>
      <c r="G297" s="636"/>
      <c r="H297" s="636"/>
      <c r="I297" s="636"/>
      <c r="J297" s="636" t="s">
        <v>13675</v>
      </c>
      <c r="K297" s="636"/>
      <c r="L297" s="636" t="s">
        <v>13680</v>
      </c>
    </row>
    <row r="298" spans="1:12">
      <c r="A298" s="802" t="s">
        <v>12713</v>
      </c>
      <c r="B298" s="802"/>
      <c r="C298" s="802"/>
      <c r="D298" s="802"/>
      <c r="E298" s="802"/>
      <c r="F298" s="802"/>
      <c r="G298" s="802"/>
      <c r="H298" s="802"/>
      <c r="I298" s="612"/>
      <c r="J298" s="612"/>
      <c r="K298" s="612"/>
      <c r="L298" s="612"/>
    </row>
    <row r="299" spans="1:12" ht="17.100000000000001" customHeight="1">
      <c r="A299" s="612" t="s">
        <v>13679</v>
      </c>
      <c r="B299" s="636" t="s">
        <v>12698</v>
      </c>
      <c r="C299" s="612" t="s">
        <v>12699</v>
      </c>
      <c r="D299" s="612" t="s">
        <v>12700</v>
      </c>
      <c r="E299" s="637" t="s">
        <v>12702</v>
      </c>
      <c r="F299" s="801" t="s">
        <v>12704</v>
      </c>
      <c r="G299" s="801"/>
      <c r="H299" s="801" t="s">
        <v>13678</v>
      </c>
      <c r="I299" s="801"/>
      <c r="J299" s="801" t="s">
        <v>12705</v>
      </c>
      <c r="K299" s="801"/>
      <c r="L299" s="801"/>
    </row>
    <row r="300" spans="1:12" ht="24" customHeight="1">
      <c r="A300" s="626" t="s">
        <v>12709</v>
      </c>
      <c r="B300" s="627" t="s">
        <v>12999</v>
      </c>
      <c r="C300" s="626" t="s">
        <v>8</v>
      </c>
      <c r="D300" s="626" t="s">
        <v>11251</v>
      </c>
      <c r="E300" s="628" t="s">
        <v>23</v>
      </c>
      <c r="F300" s="816" t="s">
        <v>13681</v>
      </c>
      <c r="G300" s="816"/>
      <c r="H300" s="816">
        <v>2.7773800000000001E-2</v>
      </c>
      <c r="I300" s="816"/>
      <c r="J300" s="817">
        <v>1.9E-3</v>
      </c>
      <c r="K300" s="817"/>
      <c r="L300" s="817"/>
    </row>
    <row r="301" spans="1:12" ht="17.100000000000001" customHeight="1">
      <c r="A301" s="636"/>
      <c r="B301" s="636"/>
      <c r="C301" s="636"/>
      <c r="D301" s="636"/>
      <c r="E301" s="636"/>
      <c r="F301" s="636"/>
      <c r="G301" s="636"/>
      <c r="H301" s="636"/>
      <c r="I301" s="636"/>
      <c r="J301" s="636" t="s">
        <v>13675</v>
      </c>
      <c r="K301" s="636"/>
      <c r="L301" s="636" t="s">
        <v>13727</v>
      </c>
    </row>
    <row r="302" spans="1:12">
      <c r="A302" s="802" t="s">
        <v>12712</v>
      </c>
      <c r="B302" s="802"/>
      <c r="C302" s="802"/>
      <c r="D302" s="802"/>
      <c r="E302" s="802"/>
      <c r="F302" s="802"/>
      <c r="G302" s="802"/>
      <c r="H302" s="802"/>
      <c r="I302" s="612"/>
      <c r="J302" s="612"/>
      <c r="K302" s="612"/>
      <c r="L302" s="612"/>
    </row>
    <row r="303" spans="1:12" ht="17.100000000000001" customHeight="1">
      <c r="A303" s="612" t="s">
        <v>13679</v>
      </c>
      <c r="B303" s="636" t="s">
        <v>12698</v>
      </c>
      <c r="C303" s="612" t="s">
        <v>12699</v>
      </c>
      <c r="D303" s="612" t="s">
        <v>12700</v>
      </c>
      <c r="E303" s="637" t="s">
        <v>12702</v>
      </c>
      <c r="F303" s="801" t="s">
        <v>12704</v>
      </c>
      <c r="G303" s="801"/>
      <c r="H303" s="801" t="s">
        <v>13678</v>
      </c>
      <c r="I303" s="801"/>
      <c r="J303" s="801" t="s">
        <v>12705</v>
      </c>
      <c r="K303" s="801"/>
      <c r="L303" s="801"/>
    </row>
    <row r="304" spans="1:12" ht="24" customHeight="1">
      <c r="A304" s="626" t="s">
        <v>12709</v>
      </c>
      <c r="B304" s="627" t="s">
        <v>13002</v>
      </c>
      <c r="C304" s="626" t="s">
        <v>8</v>
      </c>
      <c r="D304" s="626" t="s">
        <v>9306</v>
      </c>
      <c r="E304" s="628" t="s">
        <v>23</v>
      </c>
      <c r="F304" s="816" t="s">
        <v>13677</v>
      </c>
      <c r="G304" s="816"/>
      <c r="H304" s="816">
        <v>2.7773800000000001E-2</v>
      </c>
      <c r="I304" s="816"/>
      <c r="J304" s="817">
        <v>9.7000000000000003E-3</v>
      </c>
      <c r="K304" s="817"/>
      <c r="L304" s="817"/>
    </row>
    <row r="305" spans="1:12" ht="24" customHeight="1">
      <c r="A305" s="626" t="s">
        <v>12709</v>
      </c>
      <c r="B305" s="627" t="s">
        <v>13004</v>
      </c>
      <c r="C305" s="626" t="s">
        <v>8</v>
      </c>
      <c r="D305" s="626" t="s">
        <v>7388</v>
      </c>
      <c r="E305" s="628" t="s">
        <v>23</v>
      </c>
      <c r="F305" s="816" t="s">
        <v>13676</v>
      </c>
      <c r="G305" s="816"/>
      <c r="H305" s="816">
        <v>2.7773800000000001E-2</v>
      </c>
      <c r="I305" s="816"/>
      <c r="J305" s="817">
        <v>6.1100000000000002E-2</v>
      </c>
      <c r="K305" s="817"/>
      <c r="L305" s="817"/>
    </row>
    <row r="306" spans="1:12" ht="17.100000000000001" customHeight="1">
      <c r="A306" s="636"/>
      <c r="B306" s="636"/>
      <c r="C306" s="636"/>
      <c r="D306" s="636"/>
      <c r="E306" s="636"/>
      <c r="F306" s="636"/>
      <c r="G306" s="636"/>
      <c r="H306" s="636"/>
      <c r="I306" s="636"/>
      <c r="J306" s="636" t="s">
        <v>13675</v>
      </c>
      <c r="K306" s="636"/>
      <c r="L306" s="636" t="s">
        <v>13681</v>
      </c>
    </row>
    <row r="307" spans="1:12" ht="17.100000000000001" customHeight="1">
      <c r="A307" s="612" t="s">
        <v>13673</v>
      </c>
      <c r="B307" s="612"/>
      <c r="C307" s="612"/>
      <c r="D307" s="612"/>
      <c r="E307" s="612"/>
      <c r="F307" s="612"/>
      <c r="G307" s="612"/>
      <c r="H307" s="612"/>
      <c r="I307" s="612"/>
      <c r="J307" s="612"/>
      <c r="K307" s="612"/>
      <c r="L307" s="612"/>
    </row>
    <row r="308" spans="1:12" ht="17.100000000000001" customHeight="1">
      <c r="A308" s="636"/>
      <c r="B308" s="636"/>
      <c r="C308" s="636"/>
      <c r="D308" s="636"/>
      <c r="E308" s="636"/>
      <c r="F308" s="636"/>
      <c r="G308" s="636"/>
      <c r="H308" s="636"/>
      <c r="I308" s="636"/>
      <c r="J308" s="636" t="s">
        <v>13672</v>
      </c>
      <c r="K308" s="636"/>
      <c r="L308" s="636" t="s">
        <v>14888</v>
      </c>
    </row>
    <row r="309" spans="1:12" ht="17.100000000000001" customHeight="1">
      <c r="A309" s="636"/>
      <c r="B309" s="636"/>
      <c r="C309" s="636"/>
      <c r="D309" s="636"/>
      <c r="E309" s="636"/>
      <c r="F309" s="636"/>
      <c r="G309" s="636"/>
      <c r="H309" s="636"/>
      <c r="I309" s="636"/>
      <c r="J309" s="636" t="s">
        <v>13671</v>
      </c>
      <c r="K309" s="636" t="s">
        <v>14461</v>
      </c>
      <c r="L309" s="636" t="s">
        <v>14900</v>
      </c>
    </row>
    <row r="310" spans="1:12" ht="17.100000000000001" customHeight="1">
      <c r="A310" s="636"/>
      <c r="B310" s="636"/>
      <c r="C310" s="636"/>
      <c r="D310" s="636"/>
      <c r="E310" s="636"/>
      <c r="F310" s="636"/>
      <c r="G310" s="636"/>
      <c r="H310" s="636"/>
      <c r="I310" s="636"/>
      <c r="J310" s="636" t="s">
        <v>13670</v>
      </c>
      <c r="K310" s="636"/>
      <c r="L310" s="636" t="s">
        <v>14901</v>
      </c>
    </row>
    <row r="311" spans="1:12" ht="17.100000000000001" customHeight="1">
      <c r="A311" s="636"/>
      <c r="B311" s="636"/>
      <c r="C311" s="636"/>
      <c r="D311" s="636"/>
      <c r="E311" s="636"/>
      <c r="F311" s="636"/>
      <c r="G311" s="636"/>
      <c r="H311" s="636"/>
      <c r="I311" s="636"/>
      <c r="J311" s="636" t="s">
        <v>13669</v>
      </c>
      <c r="K311" s="636" t="s">
        <v>13667</v>
      </c>
      <c r="L311" s="636" t="s">
        <v>14902</v>
      </c>
    </row>
    <row r="312" spans="1:12" ht="17.100000000000001" customHeight="1">
      <c r="A312" s="636"/>
      <c r="B312" s="636"/>
      <c r="C312" s="636"/>
      <c r="D312" s="636"/>
      <c r="E312" s="636"/>
      <c r="F312" s="636"/>
      <c r="G312" s="636"/>
      <c r="H312" s="636"/>
      <c r="I312" s="636"/>
      <c r="J312" s="636" t="s">
        <v>13668</v>
      </c>
      <c r="K312" s="636"/>
      <c r="L312" s="636" t="s">
        <v>14903</v>
      </c>
    </row>
    <row r="313" spans="1:12" ht="30" customHeight="1">
      <c r="A313" s="637"/>
      <c r="B313" s="637"/>
      <c r="C313" s="637"/>
      <c r="D313" s="637"/>
      <c r="E313" s="637"/>
      <c r="F313" s="637"/>
      <c r="G313" s="637"/>
      <c r="H313" s="637"/>
      <c r="I313" s="637"/>
      <c r="J313" s="637"/>
      <c r="K313" s="637"/>
      <c r="L313" s="637"/>
    </row>
    <row r="314" spans="1:12" ht="36" customHeight="1">
      <c r="A314" s="616" t="s">
        <v>14281</v>
      </c>
      <c r="B314" s="617" t="s">
        <v>13648</v>
      </c>
      <c r="C314" s="616" t="s">
        <v>8</v>
      </c>
      <c r="D314" s="616" t="s">
        <v>4657</v>
      </c>
      <c r="E314" s="618" t="s">
        <v>17</v>
      </c>
      <c r="F314" s="617"/>
      <c r="G314" s="617"/>
      <c r="H314" s="617"/>
      <c r="I314" s="617"/>
      <c r="J314" s="617"/>
      <c r="K314" s="617"/>
      <c r="L314" s="617"/>
    </row>
    <row r="315" spans="1:12" ht="14.25" customHeight="1">
      <c r="A315" s="802" t="s">
        <v>12711</v>
      </c>
      <c r="B315" s="802"/>
      <c r="C315" s="802"/>
      <c r="D315" s="802"/>
      <c r="E315" s="802"/>
      <c r="F315" s="802"/>
      <c r="G315" s="802"/>
      <c r="H315" s="802"/>
      <c r="I315" s="612"/>
      <c r="J315" s="612"/>
      <c r="K315" s="612"/>
      <c r="L315" s="612"/>
    </row>
    <row r="316" spans="1:12" ht="17.100000000000001" customHeight="1">
      <c r="A316" s="612" t="s">
        <v>13679</v>
      </c>
      <c r="B316" s="636" t="s">
        <v>12698</v>
      </c>
      <c r="C316" s="612" t="s">
        <v>12699</v>
      </c>
      <c r="D316" s="612" t="s">
        <v>12700</v>
      </c>
      <c r="E316" s="637" t="s">
        <v>12702</v>
      </c>
      <c r="F316" s="801" t="s">
        <v>12704</v>
      </c>
      <c r="G316" s="801"/>
      <c r="H316" s="801" t="s">
        <v>13678</v>
      </c>
      <c r="I316" s="801"/>
      <c r="J316" s="801" t="s">
        <v>12705</v>
      </c>
      <c r="K316" s="801"/>
      <c r="L316" s="801"/>
    </row>
    <row r="317" spans="1:12" ht="24" customHeight="1">
      <c r="A317" s="626" t="s">
        <v>12709</v>
      </c>
      <c r="B317" s="627" t="s">
        <v>13201</v>
      </c>
      <c r="C317" s="626" t="s">
        <v>8</v>
      </c>
      <c r="D317" s="626" t="s">
        <v>9221</v>
      </c>
      <c r="E317" s="628" t="s">
        <v>23</v>
      </c>
      <c r="F317" s="816" t="s">
        <v>13705</v>
      </c>
      <c r="G317" s="816"/>
      <c r="H317" s="816">
        <v>6.8573000000000002E-3</v>
      </c>
      <c r="I317" s="816"/>
      <c r="J317" s="817">
        <v>5.7000000000000002E-3</v>
      </c>
      <c r="K317" s="817"/>
      <c r="L317" s="817"/>
    </row>
    <row r="318" spans="1:12" ht="24" customHeight="1">
      <c r="A318" s="626" t="s">
        <v>12709</v>
      </c>
      <c r="B318" s="627" t="s">
        <v>13200</v>
      </c>
      <c r="C318" s="626" t="s">
        <v>8</v>
      </c>
      <c r="D318" s="626" t="s">
        <v>9368</v>
      </c>
      <c r="E318" s="628" t="s">
        <v>23</v>
      </c>
      <c r="F318" s="816" t="s">
        <v>13704</v>
      </c>
      <c r="G318" s="816"/>
      <c r="H318" s="816">
        <v>6.8573000000000002E-3</v>
      </c>
      <c r="I318" s="816"/>
      <c r="J318" s="817">
        <v>1.6000000000000001E-3</v>
      </c>
      <c r="K318" s="817"/>
      <c r="L318" s="817"/>
    </row>
    <row r="319" spans="1:12" ht="24" customHeight="1">
      <c r="A319" s="626" t="s">
        <v>12709</v>
      </c>
      <c r="B319" s="627" t="s">
        <v>13048</v>
      </c>
      <c r="C319" s="626" t="s">
        <v>8</v>
      </c>
      <c r="D319" s="626" t="s">
        <v>9233</v>
      </c>
      <c r="E319" s="628" t="s">
        <v>23</v>
      </c>
      <c r="F319" s="816" t="s">
        <v>13690</v>
      </c>
      <c r="G319" s="816"/>
      <c r="H319" s="816">
        <v>1.3521399999999999E-2</v>
      </c>
      <c r="I319" s="816"/>
      <c r="J319" s="817">
        <v>1.38E-2</v>
      </c>
      <c r="K319" s="817"/>
      <c r="L319" s="817"/>
    </row>
    <row r="320" spans="1:12" ht="24" customHeight="1">
      <c r="A320" s="626" t="s">
        <v>12709</v>
      </c>
      <c r="B320" s="627" t="s">
        <v>13047</v>
      </c>
      <c r="C320" s="626" t="s">
        <v>8</v>
      </c>
      <c r="D320" s="626" t="s">
        <v>9380</v>
      </c>
      <c r="E320" s="628" t="s">
        <v>23</v>
      </c>
      <c r="F320" s="816" t="s">
        <v>13689</v>
      </c>
      <c r="G320" s="816"/>
      <c r="H320" s="816">
        <v>1.3521399999999999E-2</v>
      </c>
      <c r="I320" s="816"/>
      <c r="J320" s="817">
        <v>5.1000000000000004E-3</v>
      </c>
      <c r="K320" s="817"/>
      <c r="L320" s="817"/>
    </row>
    <row r="321" spans="1:12" ht="17.100000000000001" customHeight="1">
      <c r="A321" s="636"/>
      <c r="B321" s="636"/>
      <c r="C321" s="636"/>
      <c r="D321" s="636"/>
      <c r="E321" s="636"/>
      <c r="F321" s="636"/>
      <c r="G321" s="636"/>
      <c r="H321" s="636"/>
      <c r="I321" s="636"/>
      <c r="J321" s="636" t="s">
        <v>13675</v>
      </c>
      <c r="K321" s="636"/>
      <c r="L321" s="636" t="s">
        <v>13726</v>
      </c>
    </row>
    <row r="322" spans="1:12" ht="14.25" customHeight="1">
      <c r="A322" s="802" t="s">
        <v>12710</v>
      </c>
      <c r="B322" s="802"/>
      <c r="C322" s="802"/>
      <c r="D322" s="802"/>
      <c r="E322" s="802"/>
      <c r="F322" s="802"/>
      <c r="G322" s="802"/>
      <c r="H322" s="802"/>
      <c r="I322" s="612"/>
      <c r="J322" s="612"/>
      <c r="K322" s="612"/>
      <c r="L322" s="612"/>
    </row>
    <row r="323" spans="1:12" ht="17.100000000000001" customHeight="1">
      <c r="A323" s="612" t="s">
        <v>13679</v>
      </c>
      <c r="B323" s="636" t="s">
        <v>12698</v>
      </c>
      <c r="C323" s="612" t="s">
        <v>12699</v>
      </c>
      <c r="D323" s="612" t="s">
        <v>12700</v>
      </c>
      <c r="E323" s="637" t="s">
        <v>12702</v>
      </c>
      <c r="F323" s="801" t="s">
        <v>12704</v>
      </c>
      <c r="G323" s="801"/>
      <c r="H323" s="801" t="s">
        <v>13678</v>
      </c>
      <c r="I323" s="801"/>
      <c r="J323" s="801" t="s">
        <v>12705</v>
      </c>
      <c r="K323" s="801"/>
      <c r="L323" s="801"/>
    </row>
    <row r="324" spans="1:12" ht="24" customHeight="1">
      <c r="A324" s="626" t="s">
        <v>12709</v>
      </c>
      <c r="B324" s="627" t="s">
        <v>13202</v>
      </c>
      <c r="C324" s="626" t="s">
        <v>8</v>
      </c>
      <c r="D324" s="626" t="s">
        <v>9187</v>
      </c>
      <c r="E324" s="628" t="s">
        <v>23</v>
      </c>
      <c r="F324" s="816" t="s">
        <v>14479</v>
      </c>
      <c r="G324" s="816"/>
      <c r="H324" s="816">
        <v>6.8718E-3</v>
      </c>
      <c r="I324" s="816"/>
      <c r="J324" s="817">
        <v>4.9099999999999998E-2</v>
      </c>
      <c r="K324" s="817"/>
      <c r="L324" s="817"/>
    </row>
    <row r="325" spans="1:12" ht="24" customHeight="1">
      <c r="A325" s="626" t="s">
        <v>12709</v>
      </c>
      <c r="B325" s="627" t="s">
        <v>13046</v>
      </c>
      <c r="C325" s="626" t="s">
        <v>8</v>
      </c>
      <c r="D325" s="626" t="s">
        <v>11281</v>
      </c>
      <c r="E325" s="628" t="s">
        <v>23</v>
      </c>
      <c r="F325" s="816" t="s">
        <v>13731</v>
      </c>
      <c r="G325" s="816"/>
      <c r="H325" s="816">
        <v>1.35795E-2</v>
      </c>
      <c r="I325" s="816"/>
      <c r="J325" s="817">
        <v>6.9800000000000001E-2</v>
      </c>
      <c r="K325" s="817"/>
      <c r="L325" s="817"/>
    </row>
    <row r="326" spans="1:12" ht="17.100000000000001" customHeight="1">
      <c r="A326" s="636"/>
      <c r="B326" s="636"/>
      <c r="C326" s="636"/>
      <c r="D326" s="636"/>
      <c r="E326" s="636"/>
      <c r="F326" s="636"/>
      <c r="G326" s="636"/>
      <c r="H326" s="636"/>
      <c r="I326" s="636"/>
      <c r="J326" s="636" t="s">
        <v>13675</v>
      </c>
      <c r="K326" s="636"/>
      <c r="L326" s="636" t="s">
        <v>13751</v>
      </c>
    </row>
    <row r="327" spans="1:12">
      <c r="A327" s="802" t="s">
        <v>12722</v>
      </c>
      <c r="B327" s="802"/>
      <c r="C327" s="802"/>
      <c r="D327" s="802"/>
      <c r="E327" s="802"/>
      <c r="F327" s="802"/>
      <c r="G327" s="802"/>
      <c r="H327" s="802"/>
      <c r="I327" s="612"/>
      <c r="J327" s="612"/>
      <c r="K327" s="612"/>
      <c r="L327" s="612"/>
    </row>
    <row r="328" spans="1:12" ht="17.100000000000001" customHeight="1">
      <c r="A328" s="612" t="s">
        <v>13679</v>
      </c>
      <c r="B328" s="636" t="s">
        <v>12698</v>
      </c>
      <c r="C328" s="612" t="s">
        <v>12699</v>
      </c>
      <c r="D328" s="612" t="s">
        <v>12700</v>
      </c>
      <c r="E328" s="637" t="s">
        <v>12702</v>
      </c>
      <c r="F328" s="801" t="s">
        <v>12704</v>
      </c>
      <c r="G328" s="801"/>
      <c r="H328" s="801" t="s">
        <v>13678</v>
      </c>
      <c r="I328" s="801"/>
      <c r="J328" s="801" t="s">
        <v>12705</v>
      </c>
      <c r="K328" s="801"/>
      <c r="L328" s="801"/>
    </row>
    <row r="329" spans="1:12" ht="24" customHeight="1">
      <c r="A329" s="626" t="s">
        <v>12709</v>
      </c>
      <c r="B329" s="627" t="s">
        <v>12998</v>
      </c>
      <c r="C329" s="626" t="s">
        <v>8</v>
      </c>
      <c r="D329" s="626" t="s">
        <v>11861</v>
      </c>
      <c r="E329" s="628" t="s">
        <v>23</v>
      </c>
      <c r="F329" s="816" t="s">
        <v>13683</v>
      </c>
      <c r="G329" s="816"/>
      <c r="H329" s="816">
        <v>2.03787E-2</v>
      </c>
      <c r="I329" s="816"/>
      <c r="J329" s="817">
        <v>1.4500000000000001E-2</v>
      </c>
      <c r="K329" s="817"/>
      <c r="L329" s="817"/>
    </row>
    <row r="330" spans="1:12" ht="17.100000000000001" customHeight="1">
      <c r="A330" s="636"/>
      <c r="B330" s="636"/>
      <c r="C330" s="636"/>
      <c r="D330" s="636"/>
      <c r="E330" s="636"/>
      <c r="F330" s="636"/>
      <c r="G330" s="636"/>
      <c r="H330" s="636"/>
      <c r="I330" s="636"/>
      <c r="J330" s="636" t="s">
        <v>13675</v>
      </c>
      <c r="K330" s="636"/>
      <c r="L330" s="636" t="s">
        <v>13728</v>
      </c>
    </row>
    <row r="331" spans="1:12">
      <c r="A331" s="802" t="s">
        <v>12713</v>
      </c>
      <c r="B331" s="802"/>
      <c r="C331" s="802"/>
      <c r="D331" s="802"/>
      <c r="E331" s="802"/>
      <c r="F331" s="802"/>
      <c r="G331" s="802"/>
      <c r="H331" s="802"/>
      <c r="I331" s="612"/>
      <c r="J331" s="612"/>
      <c r="K331" s="612"/>
      <c r="L331" s="612"/>
    </row>
    <row r="332" spans="1:12" ht="17.100000000000001" customHeight="1">
      <c r="A332" s="612" t="s">
        <v>13679</v>
      </c>
      <c r="B332" s="636" t="s">
        <v>12698</v>
      </c>
      <c r="C332" s="612" t="s">
        <v>12699</v>
      </c>
      <c r="D332" s="612" t="s">
        <v>12700</v>
      </c>
      <c r="E332" s="637" t="s">
        <v>12702</v>
      </c>
      <c r="F332" s="801" t="s">
        <v>12704</v>
      </c>
      <c r="G332" s="801"/>
      <c r="H332" s="801" t="s">
        <v>13678</v>
      </c>
      <c r="I332" s="801"/>
      <c r="J332" s="801" t="s">
        <v>12705</v>
      </c>
      <c r="K332" s="801"/>
      <c r="L332" s="801"/>
    </row>
    <row r="333" spans="1:12" ht="24" customHeight="1">
      <c r="A333" s="626" t="s">
        <v>12709</v>
      </c>
      <c r="B333" s="627" t="s">
        <v>12999</v>
      </c>
      <c r="C333" s="626" t="s">
        <v>8</v>
      </c>
      <c r="D333" s="626" t="s">
        <v>11251</v>
      </c>
      <c r="E333" s="628" t="s">
        <v>23</v>
      </c>
      <c r="F333" s="816" t="s">
        <v>13681</v>
      </c>
      <c r="G333" s="816"/>
      <c r="H333" s="816">
        <v>2.03787E-2</v>
      </c>
      <c r="I333" s="816"/>
      <c r="J333" s="817">
        <v>1.4E-3</v>
      </c>
      <c r="K333" s="817"/>
      <c r="L333" s="817"/>
    </row>
    <row r="334" spans="1:12" ht="17.100000000000001" customHeight="1">
      <c r="A334" s="636"/>
      <c r="B334" s="636"/>
      <c r="C334" s="636"/>
      <c r="D334" s="636"/>
      <c r="E334" s="636"/>
      <c r="F334" s="636"/>
      <c r="G334" s="636"/>
      <c r="H334" s="636"/>
      <c r="I334" s="636"/>
      <c r="J334" s="636" t="s">
        <v>13675</v>
      </c>
      <c r="K334" s="636"/>
      <c r="L334" s="636" t="s">
        <v>13727</v>
      </c>
    </row>
    <row r="335" spans="1:12">
      <c r="A335" s="802" t="s">
        <v>12712</v>
      </c>
      <c r="B335" s="802"/>
      <c r="C335" s="802"/>
      <c r="D335" s="802"/>
      <c r="E335" s="802"/>
      <c r="F335" s="802"/>
      <c r="G335" s="802"/>
      <c r="H335" s="802"/>
      <c r="I335" s="612"/>
      <c r="J335" s="612"/>
      <c r="K335" s="612"/>
      <c r="L335" s="612"/>
    </row>
    <row r="336" spans="1:12" ht="17.100000000000001" customHeight="1">
      <c r="A336" s="612" t="s">
        <v>13679</v>
      </c>
      <c r="B336" s="636" t="s">
        <v>12698</v>
      </c>
      <c r="C336" s="612" t="s">
        <v>12699</v>
      </c>
      <c r="D336" s="612" t="s">
        <v>12700</v>
      </c>
      <c r="E336" s="637" t="s">
        <v>12702</v>
      </c>
      <c r="F336" s="801" t="s">
        <v>12704</v>
      </c>
      <c r="G336" s="801"/>
      <c r="H336" s="801" t="s">
        <v>13678</v>
      </c>
      <c r="I336" s="801"/>
      <c r="J336" s="801" t="s">
        <v>12705</v>
      </c>
      <c r="K336" s="801"/>
      <c r="L336" s="801"/>
    </row>
    <row r="337" spans="1:12" ht="24" customHeight="1">
      <c r="A337" s="626" t="s">
        <v>12709</v>
      </c>
      <c r="B337" s="627" t="s">
        <v>13002</v>
      </c>
      <c r="C337" s="626" t="s">
        <v>8</v>
      </c>
      <c r="D337" s="626" t="s">
        <v>9306</v>
      </c>
      <c r="E337" s="628" t="s">
        <v>23</v>
      </c>
      <c r="F337" s="816" t="s">
        <v>13677</v>
      </c>
      <c r="G337" s="816"/>
      <c r="H337" s="816">
        <v>2.03787E-2</v>
      </c>
      <c r="I337" s="816"/>
      <c r="J337" s="817">
        <v>7.1000000000000004E-3</v>
      </c>
      <c r="K337" s="817"/>
      <c r="L337" s="817"/>
    </row>
    <row r="338" spans="1:12" ht="24" customHeight="1">
      <c r="A338" s="626" t="s">
        <v>12709</v>
      </c>
      <c r="B338" s="627" t="s">
        <v>13004</v>
      </c>
      <c r="C338" s="626" t="s">
        <v>8</v>
      </c>
      <c r="D338" s="626" t="s">
        <v>7388</v>
      </c>
      <c r="E338" s="628" t="s">
        <v>23</v>
      </c>
      <c r="F338" s="816" t="s">
        <v>13676</v>
      </c>
      <c r="G338" s="816"/>
      <c r="H338" s="816">
        <v>2.03787E-2</v>
      </c>
      <c r="I338" s="816"/>
      <c r="J338" s="817">
        <v>4.48E-2</v>
      </c>
      <c r="K338" s="817"/>
      <c r="L338" s="817"/>
    </row>
    <row r="339" spans="1:12" ht="17.100000000000001" customHeight="1">
      <c r="A339" s="636"/>
      <c r="B339" s="636"/>
      <c r="C339" s="636"/>
      <c r="D339" s="636"/>
      <c r="E339" s="636"/>
      <c r="F339" s="636"/>
      <c r="G339" s="636"/>
      <c r="H339" s="636"/>
      <c r="I339" s="636"/>
      <c r="J339" s="636" t="s">
        <v>13675</v>
      </c>
      <c r="K339" s="636"/>
      <c r="L339" s="636" t="s">
        <v>13767</v>
      </c>
    </row>
    <row r="340" spans="1:12" ht="17.100000000000001" customHeight="1">
      <c r="A340" s="612" t="s">
        <v>13673</v>
      </c>
      <c r="B340" s="612"/>
      <c r="C340" s="612"/>
      <c r="D340" s="612"/>
      <c r="E340" s="612"/>
      <c r="F340" s="612"/>
      <c r="G340" s="612"/>
      <c r="H340" s="612"/>
      <c r="I340" s="612"/>
      <c r="J340" s="612"/>
      <c r="K340" s="612"/>
      <c r="L340" s="612"/>
    </row>
    <row r="341" spans="1:12" ht="17.100000000000001" customHeight="1">
      <c r="A341" s="636"/>
      <c r="B341" s="636"/>
      <c r="C341" s="636"/>
      <c r="D341" s="636"/>
      <c r="E341" s="636"/>
      <c r="F341" s="636"/>
      <c r="G341" s="636"/>
      <c r="H341" s="636"/>
      <c r="I341" s="636"/>
      <c r="J341" s="636" t="s">
        <v>13672</v>
      </c>
      <c r="K341" s="636"/>
      <c r="L341" s="636" t="s">
        <v>14904</v>
      </c>
    </row>
    <row r="342" spans="1:12" ht="17.100000000000001" customHeight="1">
      <c r="A342" s="636"/>
      <c r="B342" s="636"/>
      <c r="C342" s="636"/>
      <c r="D342" s="636"/>
      <c r="E342" s="636"/>
      <c r="F342" s="636"/>
      <c r="G342" s="636"/>
      <c r="H342" s="636"/>
      <c r="I342" s="636"/>
      <c r="J342" s="636" t="s">
        <v>13671</v>
      </c>
      <c r="K342" s="636" t="s">
        <v>14461</v>
      </c>
      <c r="L342" s="636" t="s">
        <v>14905</v>
      </c>
    </row>
    <row r="343" spans="1:12" ht="17.100000000000001" customHeight="1">
      <c r="A343" s="636"/>
      <c r="B343" s="636"/>
      <c r="C343" s="636"/>
      <c r="D343" s="636"/>
      <c r="E343" s="636"/>
      <c r="F343" s="636"/>
      <c r="G343" s="636"/>
      <c r="H343" s="636"/>
      <c r="I343" s="636"/>
      <c r="J343" s="636" t="s">
        <v>13670</v>
      </c>
      <c r="K343" s="636"/>
      <c r="L343" s="636" t="s">
        <v>14906</v>
      </c>
    </row>
    <row r="344" spans="1:12" ht="17.100000000000001" customHeight="1">
      <c r="A344" s="636"/>
      <c r="B344" s="636"/>
      <c r="C344" s="636"/>
      <c r="D344" s="636"/>
      <c r="E344" s="636"/>
      <c r="F344" s="636"/>
      <c r="G344" s="636"/>
      <c r="H344" s="636"/>
      <c r="I344" s="636"/>
      <c r="J344" s="636" t="s">
        <v>13669</v>
      </c>
      <c r="K344" s="636" t="s">
        <v>13667</v>
      </c>
      <c r="L344" s="636" t="s">
        <v>14907</v>
      </c>
    </row>
    <row r="345" spans="1:12" ht="17.100000000000001" customHeight="1">
      <c r="A345" s="636"/>
      <c r="B345" s="636"/>
      <c r="C345" s="636"/>
      <c r="D345" s="636"/>
      <c r="E345" s="636"/>
      <c r="F345" s="636"/>
      <c r="G345" s="636"/>
      <c r="H345" s="636"/>
      <c r="I345" s="636"/>
      <c r="J345" s="636" t="s">
        <v>13668</v>
      </c>
      <c r="K345" s="636"/>
      <c r="L345" s="636" t="s">
        <v>14908</v>
      </c>
    </row>
    <row r="346" spans="1:12" ht="30" customHeight="1">
      <c r="A346" s="637"/>
      <c r="B346" s="637"/>
      <c r="C346" s="637"/>
      <c r="D346" s="637"/>
      <c r="E346" s="637"/>
      <c r="F346" s="637"/>
      <c r="G346" s="637"/>
      <c r="H346" s="637"/>
      <c r="I346" s="637"/>
      <c r="J346" s="637"/>
      <c r="K346" s="637"/>
      <c r="L346" s="637"/>
    </row>
    <row r="347" spans="1:12" ht="24" customHeight="1">
      <c r="A347" s="616" t="s">
        <v>14280</v>
      </c>
      <c r="B347" s="617" t="s">
        <v>13647</v>
      </c>
      <c r="C347" s="616" t="s">
        <v>8</v>
      </c>
      <c r="D347" s="616" t="s">
        <v>4650</v>
      </c>
      <c r="E347" s="618" t="s">
        <v>12725</v>
      </c>
      <c r="F347" s="617"/>
      <c r="G347" s="617"/>
      <c r="H347" s="617"/>
      <c r="I347" s="617"/>
      <c r="J347" s="617"/>
      <c r="K347" s="617"/>
      <c r="L347" s="617"/>
    </row>
    <row r="348" spans="1:12" ht="14.25" customHeight="1">
      <c r="A348" s="802" t="s">
        <v>12711</v>
      </c>
      <c r="B348" s="802"/>
      <c r="C348" s="802"/>
      <c r="D348" s="802"/>
      <c r="E348" s="802"/>
      <c r="F348" s="802"/>
      <c r="G348" s="802"/>
      <c r="H348" s="802"/>
      <c r="I348" s="612"/>
      <c r="J348" s="612"/>
      <c r="K348" s="612"/>
      <c r="L348" s="612"/>
    </row>
    <row r="349" spans="1:12" ht="17.100000000000001" customHeight="1">
      <c r="A349" s="612" t="s">
        <v>13679</v>
      </c>
      <c r="B349" s="636" t="s">
        <v>12698</v>
      </c>
      <c r="C349" s="612" t="s">
        <v>12699</v>
      </c>
      <c r="D349" s="612" t="s">
        <v>12700</v>
      </c>
      <c r="E349" s="637" t="s">
        <v>12702</v>
      </c>
      <c r="F349" s="801" t="s">
        <v>12704</v>
      </c>
      <c r="G349" s="801"/>
      <c r="H349" s="801" t="s">
        <v>13678</v>
      </c>
      <c r="I349" s="801"/>
      <c r="J349" s="801" t="s">
        <v>12705</v>
      </c>
      <c r="K349" s="801"/>
      <c r="L349" s="801"/>
    </row>
    <row r="350" spans="1:12" ht="24" customHeight="1">
      <c r="A350" s="626" t="s">
        <v>12709</v>
      </c>
      <c r="B350" s="627" t="s">
        <v>13048</v>
      </c>
      <c r="C350" s="626" t="s">
        <v>8</v>
      </c>
      <c r="D350" s="626" t="s">
        <v>9233</v>
      </c>
      <c r="E350" s="628" t="s">
        <v>23</v>
      </c>
      <c r="F350" s="816" t="s">
        <v>13690</v>
      </c>
      <c r="G350" s="816"/>
      <c r="H350" s="816">
        <v>0.46779969999999998</v>
      </c>
      <c r="I350" s="816"/>
      <c r="J350" s="817">
        <v>0.47720000000000001</v>
      </c>
      <c r="K350" s="817"/>
      <c r="L350" s="817"/>
    </row>
    <row r="351" spans="1:12" ht="24" customHeight="1">
      <c r="A351" s="626" t="s">
        <v>12709</v>
      </c>
      <c r="B351" s="627" t="s">
        <v>13047</v>
      </c>
      <c r="C351" s="626" t="s">
        <v>8</v>
      </c>
      <c r="D351" s="626" t="s">
        <v>9380</v>
      </c>
      <c r="E351" s="628" t="s">
        <v>23</v>
      </c>
      <c r="F351" s="816" t="s">
        <v>13689</v>
      </c>
      <c r="G351" s="816"/>
      <c r="H351" s="816">
        <v>0.46779969999999998</v>
      </c>
      <c r="I351" s="816"/>
      <c r="J351" s="817">
        <v>0.17780000000000001</v>
      </c>
      <c r="K351" s="817"/>
      <c r="L351" s="817"/>
    </row>
    <row r="352" spans="1:12" ht="24" customHeight="1">
      <c r="A352" s="626" t="s">
        <v>12709</v>
      </c>
      <c r="B352" s="627" t="s">
        <v>13032</v>
      </c>
      <c r="C352" s="626" t="s">
        <v>8</v>
      </c>
      <c r="D352" s="626" t="s">
        <v>9217</v>
      </c>
      <c r="E352" s="628" t="s">
        <v>23</v>
      </c>
      <c r="F352" s="816" t="s">
        <v>13741</v>
      </c>
      <c r="G352" s="816"/>
      <c r="H352" s="816">
        <v>0.23818890000000001</v>
      </c>
      <c r="I352" s="816"/>
      <c r="J352" s="817">
        <v>0.25719999999999998</v>
      </c>
      <c r="K352" s="817"/>
      <c r="L352" s="817"/>
    </row>
    <row r="353" spans="1:12" ht="24" customHeight="1">
      <c r="A353" s="626" t="s">
        <v>12709</v>
      </c>
      <c r="B353" s="627" t="s">
        <v>13031</v>
      </c>
      <c r="C353" s="626" t="s">
        <v>8</v>
      </c>
      <c r="D353" s="626" t="s">
        <v>9364</v>
      </c>
      <c r="E353" s="628" t="s">
        <v>23</v>
      </c>
      <c r="F353" s="816" t="s">
        <v>13740</v>
      </c>
      <c r="G353" s="816"/>
      <c r="H353" s="816">
        <v>0.23818890000000001</v>
      </c>
      <c r="I353" s="816"/>
      <c r="J353" s="817">
        <v>8.1000000000000003E-2</v>
      </c>
      <c r="K353" s="817"/>
      <c r="L353" s="817"/>
    </row>
    <row r="354" spans="1:12" ht="17.100000000000001" customHeight="1">
      <c r="A354" s="636"/>
      <c r="B354" s="636"/>
      <c r="C354" s="636"/>
      <c r="D354" s="636"/>
      <c r="E354" s="636"/>
      <c r="F354" s="636"/>
      <c r="G354" s="636"/>
      <c r="H354" s="636"/>
      <c r="I354" s="636"/>
      <c r="J354" s="636" t="s">
        <v>13675</v>
      </c>
      <c r="K354" s="636"/>
      <c r="L354" s="636" t="s">
        <v>13870</v>
      </c>
    </row>
    <row r="355" spans="1:12" ht="14.25" customHeight="1">
      <c r="A355" s="802" t="s">
        <v>12710</v>
      </c>
      <c r="B355" s="802"/>
      <c r="C355" s="802"/>
      <c r="D355" s="802"/>
      <c r="E355" s="802"/>
      <c r="F355" s="802"/>
      <c r="G355" s="802"/>
      <c r="H355" s="802"/>
      <c r="I355" s="612"/>
      <c r="J355" s="612"/>
      <c r="K355" s="612"/>
      <c r="L355" s="612"/>
    </row>
    <row r="356" spans="1:12" ht="17.100000000000001" customHeight="1">
      <c r="A356" s="612" t="s">
        <v>13679</v>
      </c>
      <c r="B356" s="636" t="s">
        <v>12698</v>
      </c>
      <c r="C356" s="612" t="s">
        <v>12699</v>
      </c>
      <c r="D356" s="612" t="s">
        <v>12700</v>
      </c>
      <c r="E356" s="637" t="s">
        <v>12702</v>
      </c>
      <c r="F356" s="801" t="s">
        <v>12704</v>
      </c>
      <c r="G356" s="801"/>
      <c r="H356" s="801" t="s">
        <v>13678</v>
      </c>
      <c r="I356" s="801"/>
      <c r="J356" s="801" t="s">
        <v>12705</v>
      </c>
      <c r="K356" s="801"/>
      <c r="L356" s="801"/>
    </row>
    <row r="357" spans="1:12" ht="24" customHeight="1">
      <c r="A357" s="626" t="s">
        <v>12709</v>
      </c>
      <c r="B357" s="627" t="s">
        <v>13046</v>
      </c>
      <c r="C357" s="626" t="s">
        <v>8</v>
      </c>
      <c r="D357" s="626" t="s">
        <v>11281</v>
      </c>
      <c r="E357" s="628" t="s">
        <v>23</v>
      </c>
      <c r="F357" s="816" t="s">
        <v>13731</v>
      </c>
      <c r="G357" s="816"/>
      <c r="H357" s="816">
        <v>0.47516409999999998</v>
      </c>
      <c r="I357" s="816"/>
      <c r="J357" s="817">
        <v>2.4422999999999999</v>
      </c>
      <c r="K357" s="817"/>
      <c r="L357" s="817"/>
    </row>
    <row r="358" spans="1:12" ht="24" customHeight="1">
      <c r="A358" s="626" t="s">
        <v>12709</v>
      </c>
      <c r="B358" s="627" t="s">
        <v>13030</v>
      </c>
      <c r="C358" s="626" t="s">
        <v>8</v>
      </c>
      <c r="D358" s="626" t="s">
        <v>11729</v>
      </c>
      <c r="E358" s="628" t="s">
        <v>23</v>
      </c>
      <c r="F358" s="816" t="s">
        <v>14513</v>
      </c>
      <c r="G358" s="816"/>
      <c r="H358" s="816">
        <v>0.2403409</v>
      </c>
      <c r="I358" s="816"/>
      <c r="J358" s="817">
        <v>1.8122</v>
      </c>
      <c r="K358" s="817"/>
      <c r="L358" s="817"/>
    </row>
    <row r="359" spans="1:12" ht="17.100000000000001" customHeight="1">
      <c r="A359" s="636"/>
      <c r="B359" s="636"/>
      <c r="C359" s="636"/>
      <c r="D359" s="636"/>
      <c r="E359" s="636"/>
      <c r="F359" s="636"/>
      <c r="G359" s="636"/>
      <c r="H359" s="636"/>
      <c r="I359" s="636"/>
      <c r="J359" s="636" t="s">
        <v>13675</v>
      </c>
      <c r="K359" s="636"/>
      <c r="L359" s="636" t="s">
        <v>14143</v>
      </c>
    </row>
    <row r="360" spans="1:12">
      <c r="A360" s="802" t="s">
        <v>12720</v>
      </c>
      <c r="B360" s="802"/>
      <c r="C360" s="802"/>
      <c r="D360" s="802"/>
      <c r="E360" s="802"/>
      <c r="F360" s="802"/>
      <c r="G360" s="802"/>
      <c r="H360" s="802"/>
      <c r="I360" s="612"/>
      <c r="J360" s="612"/>
      <c r="K360" s="612"/>
      <c r="L360" s="612"/>
    </row>
    <row r="361" spans="1:12" ht="17.100000000000001" customHeight="1">
      <c r="A361" s="612" t="s">
        <v>13679</v>
      </c>
      <c r="B361" s="636" t="s">
        <v>12698</v>
      </c>
      <c r="C361" s="612" t="s">
        <v>12699</v>
      </c>
      <c r="D361" s="612" t="s">
        <v>12700</v>
      </c>
      <c r="E361" s="637" t="s">
        <v>12702</v>
      </c>
      <c r="F361" s="801" t="s">
        <v>12704</v>
      </c>
      <c r="G361" s="801"/>
      <c r="H361" s="801" t="s">
        <v>13678</v>
      </c>
      <c r="I361" s="801"/>
      <c r="J361" s="801" t="s">
        <v>12705</v>
      </c>
      <c r="K361" s="801"/>
      <c r="L361" s="801"/>
    </row>
    <row r="362" spans="1:12" ht="36" customHeight="1">
      <c r="A362" s="626" t="s">
        <v>12709</v>
      </c>
      <c r="B362" s="627" t="s">
        <v>13325</v>
      </c>
      <c r="C362" s="626" t="s">
        <v>8</v>
      </c>
      <c r="D362" s="626" t="s">
        <v>7456</v>
      </c>
      <c r="E362" s="628" t="s">
        <v>35</v>
      </c>
      <c r="F362" s="816" t="s">
        <v>14787</v>
      </c>
      <c r="G362" s="816"/>
      <c r="H362" s="816">
        <v>6.0000000000000002E-5</v>
      </c>
      <c r="I362" s="816"/>
      <c r="J362" s="817">
        <v>0.25629999999999997</v>
      </c>
      <c r="K362" s="817"/>
      <c r="L362" s="817"/>
    </row>
    <row r="363" spans="1:12" ht="24" customHeight="1">
      <c r="A363" s="626" t="s">
        <v>12709</v>
      </c>
      <c r="B363" s="627" t="s">
        <v>13323</v>
      </c>
      <c r="C363" s="626" t="s">
        <v>8</v>
      </c>
      <c r="D363" s="626" t="s">
        <v>7251</v>
      </c>
      <c r="E363" s="628" t="s">
        <v>20</v>
      </c>
      <c r="F363" s="816" t="s">
        <v>14272</v>
      </c>
      <c r="G363" s="816"/>
      <c r="H363" s="816">
        <v>6.0044E-2</v>
      </c>
      <c r="I363" s="816"/>
      <c r="J363" s="817">
        <v>3.9365000000000001</v>
      </c>
      <c r="K363" s="817"/>
      <c r="L363" s="817"/>
    </row>
    <row r="364" spans="1:12" ht="24" customHeight="1">
      <c r="A364" s="626" t="s">
        <v>12709</v>
      </c>
      <c r="B364" s="627" t="s">
        <v>13322</v>
      </c>
      <c r="C364" s="626" t="s">
        <v>8</v>
      </c>
      <c r="D364" s="626" t="s">
        <v>10588</v>
      </c>
      <c r="E364" s="628" t="s">
        <v>12730</v>
      </c>
      <c r="F364" s="816" t="s">
        <v>14271</v>
      </c>
      <c r="G364" s="816"/>
      <c r="H364" s="816">
        <v>6.0762099999999999E-2</v>
      </c>
      <c r="I364" s="816"/>
      <c r="J364" s="817">
        <v>0.87250000000000005</v>
      </c>
      <c r="K364" s="817"/>
      <c r="L364" s="817"/>
    </row>
    <row r="365" spans="1:12" ht="17.100000000000001" customHeight="1">
      <c r="A365" s="636"/>
      <c r="B365" s="636"/>
      <c r="C365" s="636"/>
      <c r="D365" s="636"/>
      <c r="E365" s="636"/>
      <c r="F365" s="636"/>
      <c r="G365" s="636"/>
      <c r="H365" s="636"/>
      <c r="I365" s="636"/>
      <c r="J365" s="636" t="s">
        <v>13675</v>
      </c>
      <c r="K365" s="636"/>
      <c r="L365" s="636" t="s">
        <v>14789</v>
      </c>
    </row>
    <row r="366" spans="1:12">
      <c r="A366" s="802" t="s">
        <v>12722</v>
      </c>
      <c r="B366" s="802"/>
      <c r="C366" s="802"/>
      <c r="D366" s="802"/>
      <c r="E366" s="802"/>
      <c r="F366" s="802"/>
      <c r="G366" s="802"/>
      <c r="H366" s="802"/>
      <c r="I366" s="612"/>
      <c r="J366" s="612"/>
      <c r="K366" s="612"/>
      <c r="L366" s="612"/>
    </row>
    <row r="367" spans="1:12" ht="17.100000000000001" customHeight="1">
      <c r="A367" s="612" t="s">
        <v>13679</v>
      </c>
      <c r="B367" s="636" t="s">
        <v>12698</v>
      </c>
      <c r="C367" s="612" t="s">
        <v>12699</v>
      </c>
      <c r="D367" s="612" t="s">
        <v>12700</v>
      </c>
      <c r="E367" s="637" t="s">
        <v>12702</v>
      </c>
      <c r="F367" s="801" t="s">
        <v>12704</v>
      </c>
      <c r="G367" s="801"/>
      <c r="H367" s="801" t="s">
        <v>13678</v>
      </c>
      <c r="I367" s="801"/>
      <c r="J367" s="801" t="s">
        <v>12705</v>
      </c>
      <c r="K367" s="801"/>
      <c r="L367" s="801"/>
    </row>
    <row r="368" spans="1:12" ht="24" customHeight="1">
      <c r="A368" s="626" t="s">
        <v>12709</v>
      </c>
      <c r="B368" s="627" t="s">
        <v>12998</v>
      </c>
      <c r="C368" s="626" t="s">
        <v>8</v>
      </c>
      <c r="D368" s="626" t="s">
        <v>11861</v>
      </c>
      <c r="E368" s="628" t="s">
        <v>23</v>
      </c>
      <c r="F368" s="816" t="s">
        <v>13683</v>
      </c>
      <c r="G368" s="816"/>
      <c r="H368" s="816">
        <v>0.70598859999999997</v>
      </c>
      <c r="I368" s="816"/>
      <c r="J368" s="817">
        <v>0.50129999999999997</v>
      </c>
      <c r="K368" s="817"/>
      <c r="L368" s="817"/>
    </row>
    <row r="369" spans="1:12" ht="17.100000000000001" customHeight="1">
      <c r="A369" s="636"/>
      <c r="B369" s="636"/>
      <c r="C369" s="636"/>
      <c r="D369" s="636"/>
      <c r="E369" s="636"/>
      <c r="F369" s="636"/>
      <c r="G369" s="636"/>
      <c r="H369" s="636"/>
      <c r="I369" s="636"/>
      <c r="J369" s="636" t="s">
        <v>13675</v>
      </c>
      <c r="K369" s="636"/>
      <c r="L369" s="636" t="s">
        <v>13691</v>
      </c>
    </row>
    <row r="370" spans="1:12">
      <c r="A370" s="802" t="s">
        <v>12713</v>
      </c>
      <c r="B370" s="802"/>
      <c r="C370" s="802"/>
      <c r="D370" s="802"/>
      <c r="E370" s="802"/>
      <c r="F370" s="802"/>
      <c r="G370" s="802"/>
      <c r="H370" s="802"/>
      <c r="I370" s="612"/>
      <c r="J370" s="612"/>
      <c r="K370" s="612"/>
      <c r="L370" s="612"/>
    </row>
    <row r="371" spans="1:12" ht="17.100000000000001" customHeight="1">
      <c r="A371" s="612" t="s">
        <v>13679</v>
      </c>
      <c r="B371" s="636" t="s">
        <v>12698</v>
      </c>
      <c r="C371" s="612" t="s">
        <v>12699</v>
      </c>
      <c r="D371" s="612" t="s">
        <v>12700</v>
      </c>
      <c r="E371" s="637" t="s">
        <v>12702</v>
      </c>
      <c r="F371" s="801" t="s">
        <v>12704</v>
      </c>
      <c r="G371" s="801"/>
      <c r="H371" s="801" t="s">
        <v>13678</v>
      </c>
      <c r="I371" s="801"/>
      <c r="J371" s="801" t="s">
        <v>12705</v>
      </c>
      <c r="K371" s="801"/>
      <c r="L371" s="801"/>
    </row>
    <row r="372" spans="1:12" ht="24" customHeight="1">
      <c r="A372" s="626" t="s">
        <v>12709</v>
      </c>
      <c r="B372" s="627" t="s">
        <v>12999</v>
      </c>
      <c r="C372" s="626" t="s">
        <v>8</v>
      </c>
      <c r="D372" s="626" t="s">
        <v>11251</v>
      </c>
      <c r="E372" s="628" t="s">
        <v>23</v>
      </c>
      <c r="F372" s="816" t="s">
        <v>13681</v>
      </c>
      <c r="G372" s="816"/>
      <c r="H372" s="816">
        <v>0.70598859999999997</v>
      </c>
      <c r="I372" s="816"/>
      <c r="J372" s="817">
        <v>4.9399999999999999E-2</v>
      </c>
      <c r="K372" s="817"/>
      <c r="L372" s="817"/>
    </row>
    <row r="373" spans="1:12" ht="17.100000000000001" customHeight="1">
      <c r="A373" s="636"/>
      <c r="B373" s="636"/>
      <c r="C373" s="636"/>
      <c r="D373" s="636"/>
      <c r="E373" s="636"/>
      <c r="F373" s="636"/>
      <c r="G373" s="636"/>
      <c r="H373" s="636"/>
      <c r="I373" s="636"/>
      <c r="J373" s="636" t="s">
        <v>13675</v>
      </c>
      <c r="K373" s="636"/>
      <c r="L373" s="636" t="s">
        <v>13767</v>
      </c>
    </row>
    <row r="374" spans="1:12">
      <c r="A374" s="802" t="s">
        <v>12712</v>
      </c>
      <c r="B374" s="802"/>
      <c r="C374" s="802"/>
      <c r="D374" s="802"/>
      <c r="E374" s="802"/>
      <c r="F374" s="802"/>
      <c r="G374" s="802"/>
      <c r="H374" s="802"/>
      <c r="I374" s="612"/>
      <c r="J374" s="612"/>
      <c r="K374" s="612"/>
      <c r="L374" s="612"/>
    </row>
    <row r="375" spans="1:12" ht="17.100000000000001" customHeight="1">
      <c r="A375" s="612" t="s">
        <v>13679</v>
      </c>
      <c r="B375" s="636" t="s">
        <v>12698</v>
      </c>
      <c r="C375" s="612" t="s">
        <v>12699</v>
      </c>
      <c r="D375" s="612" t="s">
        <v>12700</v>
      </c>
      <c r="E375" s="637" t="s">
        <v>12702</v>
      </c>
      <c r="F375" s="801" t="s">
        <v>12704</v>
      </c>
      <c r="G375" s="801"/>
      <c r="H375" s="801" t="s">
        <v>13678</v>
      </c>
      <c r="I375" s="801"/>
      <c r="J375" s="801" t="s">
        <v>12705</v>
      </c>
      <c r="K375" s="801"/>
      <c r="L375" s="801"/>
    </row>
    <row r="376" spans="1:12" ht="24" customHeight="1">
      <c r="A376" s="626" t="s">
        <v>12709</v>
      </c>
      <c r="B376" s="627" t="s">
        <v>13002</v>
      </c>
      <c r="C376" s="626" t="s">
        <v>8</v>
      </c>
      <c r="D376" s="626" t="s">
        <v>9306</v>
      </c>
      <c r="E376" s="628" t="s">
        <v>23</v>
      </c>
      <c r="F376" s="816" t="s">
        <v>13677</v>
      </c>
      <c r="G376" s="816"/>
      <c r="H376" s="816">
        <v>0.70598859999999997</v>
      </c>
      <c r="I376" s="816"/>
      <c r="J376" s="817">
        <v>0.24709999999999999</v>
      </c>
      <c r="K376" s="817"/>
      <c r="L376" s="817"/>
    </row>
    <row r="377" spans="1:12" ht="24" customHeight="1">
      <c r="A377" s="626" t="s">
        <v>12709</v>
      </c>
      <c r="B377" s="627" t="s">
        <v>13004</v>
      </c>
      <c r="C377" s="626" t="s">
        <v>8</v>
      </c>
      <c r="D377" s="626" t="s">
        <v>7388</v>
      </c>
      <c r="E377" s="628" t="s">
        <v>23</v>
      </c>
      <c r="F377" s="816" t="s">
        <v>13676</v>
      </c>
      <c r="G377" s="816"/>
      <c r="H377" s="816">
        <v>0.70598859999999997</v>
      </c>
      <c r="I377" s="816"/>
      <c r="J377" s="817">
        <v>1.5531999999999999</v>
      </c>
      <c r="K377" s="817"/>
      <c r="L377" s="817"/>
    </row>
    <row r="378" spans="1:12" ht="17.100000000000001" customHeight="1">
      <c r="A378" s="636"/>
      <c r="B378" s="636"/>
      <c r="C378" s="636"/>
      <c r="D378" s="636"/>
      <c r="E378" s="636"/>
      <c r="F378" s="636"/>
      <c r="G378" s="636"/>
      <c r="H378" s="636"/>
      <c r="I378" s="636"/>
      <c r="J378" s="636" t="s">
        <v>13675</v>
      </c>
      <c r="K378" s="636"/>
      <c r="L378" s="636" t="s">
        <v>14278</v>
      </c>
    </row>
    <row r="379" spans="1:12" ht="17.100000000000001" customHeight="1">
      <c r="A379" s="612" t="s">
        <v>13673</v>
      </c>
      <c r="B379" s="612"/>
      <c r="C379" s="612"/>
      <c r="D379" s="612"/>
      <c r="E379" s="612"/>
      <c r="F379" s="612"/>
      <c r="G379" s="612"/>
      <c r="H379" s="612"/>
      <c r="I379" s="612"/>
      <c r="J379" s="612"/>
      <c r="K379" s="612"/>
      <c r="L379" s="612"/>
    </row>
    <row r="380" spans="1:12" ht="17.100000000000001" customHeight="1">
      <c r="A380" s="636"/>
      <c r="B380" s="636"/>
      <c r="C380" s="636"/>
      <c r="D380" s="636"/>
      <c r="E380" s="636"/>
      <c r="F380" s="636"/>
      <c r="G380" s="636"/>
      <c r="H380" s="636"/>
      <c r="I380" s="636"/>
      <c r="J380" s="636" t="s">
        <v>13672</v>
      </c>
      <c r="K380" s="636"/>
      <c r="L380" s="636" t="s">
        <v>14909</v>
      </c>
    </row>
    <row r="381" spans="1:12" ht="17.100000000000001" customHeight="1">
      <c r="A381" s="636"/>
      <c r="B381" s="636"/>
      <c r="C381" s="636"/>
      <c r="D381" s="636"/>
      <c r="E381" s="636"/>
      <c r="F381" s="636"/>
      <c r="G381" s="636"/>
      <c r="H381" s="636"/>
      <c r="I381" s="636"/>
      <c r="J381" s="636" t="s">
        <v>13671</v>
      </c>
      <c r="K381" s="636" t="s">
        <v>14461</v>
      </c>
      <c r="L381" s="636" t="s">
        <v>14910</v>
      </c>
    </row>
    <row r="382" spans="1:12" ht="17.100000000000001" customHeight="1">
      <c r="A382" s="636"/>
      <c r="B382" s="636"/>
      <c r="C382" s="636"/>
      <c r="D382" s="636"/>
      <c r="E382" s="636"/>
      <c r="F382" s="636"/>
      <c r="G382" s="636"/>
      <c r="H382" s="636"/>
      <c r="I382" s="636"/>
      <c r="J382" s="636" t="s">
        <v>13670</v>
      </c>
      <c r="K382" s="636"/>
      <c r="L382" s="636" t="s">
        <v>14911</v>
      </c>
    </row>
    <row r="383" spans="1:12" ht="17.100000000000001" customHeight="1">
      <c r="A383" s="636"/>
      <c r="B383" s="636"/>
      <c r="C383" s="636"/>
      <c r="D383" s="636"/>
      <c r="E383" s="636"/>
      <c r="F383" s="636"/>
      <c r="G383" s="636"/>
      <c r="H383" s="636"/>
      <c r="I383" s="636"/>
      <c r="J383" s="636" t="s">
        <v>13669</v>
      </c>
      <c r="K383" s="636" t="s">
        <v>13667</v>
      </c>
      <c r="L383" s="636" t="s">
        <v>14912</v>
      </c>
    </row>
    <row r="384" spans="1:12" ht="17.100000000000001" customHeight="1">
      <c r="A384" s="636"/>
      <c r="B384" s="636"/>
      <c r="C384" s="636"/>
      <c r="D384" s="636"/>
      <c r="E384" s="636"/>
      <c r="F384" s="636"/>
      <c r="G384" s="636"/>
      <c r="H384" s="636"/>
      <c r="I384" s="636"/>
      <c r="J384" s="636" t="s">
        <v>13668</v>
      </c>
      <c r="K384" s="636"/>
      <c r="L384" s="636" t="s">
        <v>14913</v>
      </c>
    </row>
    <row r="385" spans="1:12" ht="30" customHeight="1">
      <c r="A385" s="637"/>
      <c r="B385" s="637"/>
      <c r="C385" s="637"/>
      <c r="D385" s="637"/>
      <c r="E385" s="637"/>
      <c r="F385" s="637"/>
      <c r="G385" s="637"/>
      <c r="H385" s="637"/>
      <c r="I385" s="637"/>
      <c r="J385" s="637"/>
      <c r="K385" s="637"/>
      <c r="L385" s="637"/>
    </row>
    <row r="386" spans="1:12" ht="24" customHeight="1">
      <c r="A386" s="616" t="s">
        <v>14277</v>
      </c>
      <c r="B386" s="617" t="s">
        <v>13646</v>
      </c>
      <c r="C386" s="616" t="s">
        <v>8</v>
      </c>
      <c r="D386" s="616" t="s">
        <v>4645</v>
      </c>
      <c r="E386" s="618" t="s">
        <v>12725</v>
      </c>
      <c r="F386" s="617"/>
      <c r="G386" s="617"/>
      <c r="H386" s="617"/>
      <c r="I386" s="617"/>
      <c r="J386" s="617"/>
      <c r="K386" s="617"/>
      <c r="L386" s="617"/>
    </row>
    <row r="387" spans="1:12" ht="14.25" customHeight="1">
      <c r="A387" s="802" t="s">
        <v>12711</v>
      </c>
      <c r="B387" s="802"/>
      <c r="C387" s="802"/>
      <c r="D387" s="802"/>
      <c r="E387" s="802"/>
      <c r="F387" s="802"/>
      <c r="G387" s="802"/>
      <c r="H387" s="802"/>
      <c r="I387" s="612"/>
      <c r="J387" s="612"/>
      <c r="K387" s="612"/>
      <c r="L387" s="612"/>
    </row>
    <row r="388" spans="1:12" ht="17.100000000000001" customHeight="1">
      <c r="A388" s="612" t="s">
        <v>13679</v>
      </c>
      <c r="B388" s="636" t="s">
        <v>12698</v>
      </c>
      <c r="C388" s="612" t="s">
        <v>12699</v>
      </c>
      <c r="D388" s="612" t="s">
        <v>12700</v>
      </c>
      <c r="E388" s="637" t="s">
        <v>12702</v>
      </c>
      <c r="F388" s="801" t="s">
        <v>12704</v>
      </c>
      <c r="G388" s="801"/>
      <c r="H388" s="801" t="s">
        <v>13678</v>
      </c>
      <c r="I388" s="801"/>
      <c r="J388" s="801" t="s">
        <v>12705</v>
      </c>
      <c r="K388" s="801"/>
      <c r="L388" s="801"/>
    </row>
    <row r="389" spans="1:12" ht="24" customHeight="1">
      <c r="A389" s="626" t="s">
        <v>12709</v>
      </c>
      <c r="B389" s="627" t="s">
        <v>13048</v>
      </c>
      <c r="C389" s="626" t="s">
        <v>8</v>
      </c>
      <c r="D389" s="626" t="s">
        <v>9233</v>
      </c>
      <c r="E389" s="628" t="s">
        <v>23</v>
      </c>
      <c r="F389" s="816" t="s">
        <v>13690</v>
      </c>
      <c r="G389" s="816"/>
      <c r="H389" s="816">
        <v>0.20759130000000001</v>
      </c>
      <c r="I389" s="816"/>
      <c r="J389" s="817">
        <v>0.2117</v>
      </c>
      <c r="K389" s="817"/>
      <c r="L389" s="817"/>
    </row>
    <row r="390" spans="1:12" ht="24" customHeight="1">
      <c r="A390" s="626" t="s">
        <v>12709</v>
      </c>
      <c r="B390" s="627" t="s">
        <v>13047</v>
      </c>
      <c r="C390" s="626" t="s">
        <v>8</v>
      </c>
      <c r="D390" s="626" t="s">
        <v>9380</v>
      </c>
      <c r="E390" s="628" t="s">
        <v>23</v>
      </c>
      <c r="F390" s="816" t="s">
        <v>13689</v>
      </c>
      <c r="G390" s="816"/>
      <c r="H390" s="816">
        <v>0.20759130000000001</v>
      </c>
      <c r="I390" s="816"/>
      <c r="J390" s="817">
        <v>7.8899999999999998E-2</v>
      </c>
      <c r="K390" s="817"/>
      <c r="L390" s="817"/>
    </row>
    <row r="391" spans="1:12" ht="24" customHeight="1">
      <c r="A391" s="626" t="s">
        <v>12709</v>
      </c>
      <c r="B391" s="627" t="s">
        <v>13032</v>
      </c>
      <c r="C391" s="626" t="s">
        <v>8</v>
      </c>
      <c r="D391" s="626" t="s">
        <v>9217</v>
      </c>
      <c r="E391" s="628" t="s">
        <v>23</v>
      </c>
      <c r="F391" s="816" t="s">
        <v>13741</v>
      </c>
      <c r="G391" s="816"/>
      <c r="H391" s="816">
        <v>0.1056864</v>
      </c>
      <c r="I391" s="816"/>
      <c r="J391" s="817">
        <v>0.11409999999999999</v>
      </c>
      <c r="K391" s="817"/>
      <c r="L391" s="817"/>
    </row>
    <row r="392" spans="1:12" ht="24" customHeight="1">
      <c r="A392" s="626" t="s">
        <v>12709</v>
      </c>
      <c r="B392" s="627" t="s">
        <v>13031</v>
      </c>
      <c r="C392" s="626" t="s">
        <v>8</v>
      </c>
      <c r="D392" s="626" t="s">
        <v>9364</v>
      </c>
      <c r="E392" s="628" t="s">
        <v>23</v>
      </c>
      <c r="F392" s="816" t="s">
        <v>13740</v>
      </c>
      <c r="G392" s="816"/>
      <c r="H392" s="816">
        <v>0.1056864</v>
      </c>
      <c r="I392" s="816"/>
      <c r="J392" s="817">
        <v>3.5900000000000001E-2</v>
      </c>
      <c r="K392" s="817"/>
      <c r="L392" s="817"/>
    </row>
    <row r="393" spans="1:12" ht="17.100000000000001" customHeight="1">
      <c r="A393" s="636"/>
      <c r="B393" s="636"/>
      <c r="C393" s="636"/>
      <c r="D393" s="636"/>
      <c r="E393" s="636"/>
      <c r="F393" s="636"/>
      <c r="G393" s="636"/>
      <c r="H393" s="636"/>
      <c r="I393" s="636"/>
      <c r="J393" s="636" t="s">
        <v>13675</v>
      </c>
      <c r="K393" s="636"/>
      <c r="L393" s="636" t="s">
        <v>13718</v>
      </c>
    </row>
    <row r="394" spans="1:12" ht="14.25" customHeight="1">
      <c r="A394" s="802" t="s">
        <v>12710</v>
      </c>
      <c r="B394" s="802"/>
      <c r="C394" s="802"/>
      <c r="D394" s="802"/>
      <c r="E394" s="802"/>
      <c r="F394" s="802"/>
      <c r="G394" s="802"/>
      <c r="H394" s="802"/>
      <c r="I394" s="612"/>
      <c r="J394" s="612"/>
      <c r="K394" s="612"/>
      <c r="L394" s="612"/>
    </row>
    <row r="395" spans="1:12" ht="17.100000000000001" customHeight="1">
      <c r="A395" s="612" t="s">
        <v>13679</v>
      </c>
      <c r="B395" s="636" t="s">
        <v>12698</v>
      </c>
      <c r="C395" s="612" t="s">
        <v>12699</v>
      </c>
      <c r="D395" s="612" t="s">
        <v>12700</v>
      </c>
      <c r="E395" s="637" t="s">
        <v>12702</v>
      </c>
      <c r="F395" s="801" t="s">
        <v>12704</v>
      </c>
      <c r="G395" s="801"/>
      <c r="H395" s="801" t="s">
        <v>13678</v>
      </c>
      <c r="I395" s="801"/>
      <c r="J395" s="801" t="s">
        <v>12705</v>
      </c>
      <c r="K395" s="801"/>
      <c r="L395" s="801"/>
    </row>
    <row r="396" spans="1:12" ht="24" customHeight="1">
      <c r="A396" s="626" t="s">
        <v>12709</v>
      </c>
      <c r="B396" s="627" t="s">
        <v>13046</v>
      </c>
      <c r="C396" s="626" t="s">
        <v>8</v>
      </c>
      <c r="D396" s="626" t="s">
        <v>11281</v>
      </c>
      <c r="E396" s="628" t="s">
        <v>23</v>
      </c>
      <c r="F396" s="816" t="s">
        <v>13731</v>
      </c>
      <c r="G396" s="816"/>
      <c r="H396" s="816">
        <v>0.21132880000000001</v>
      </c>
      <c r="I396" s="816"/>
      <c r="J396" s="817">
        <v>1.0862000000000001</v>
      </c>
      <c r="K396" s="817"/>
      <c r="L396" s="817"/>
    </row>
    <row r="397" spans="1:12" ht="24" customHeight="1">
      <c r="A397" s="626" t="s">
        <v>12709</v>
      </c>
      <c r="B397" s="627" t="s">
        <v>13030</v>
      </c>
      <c r="C397" s="626" t="s">
        <v>8</v>
      </c>
      <c r="D397" s="626" t="s">
        <v>11729</v>
      </c>
      <c r="E397" s="628" t="s">
        <v>23</v>
      </c>
      <c r="F397" s="816" t="s">
        <v>14513</v>
      </c>
      <c r="G397" s="816"/>
      <c r="H397" s="816">
        <v>0.1068788</v>
      </c>
      <c r="I397" s="816"/>
      <c r="J397" s="817">
        <v>0.80589999999999995</v>
      </c>
      <c r="K397" s="817"/>
      <c r="L397" s="817"/>
    </row>
    <row r="398" spans="1:12" ht="17.100000000000001" customHeight="1">
      <c r="A398" s="636"/>
      <c r="B398" s="636"/>
      <c r="C398" s="636"/>
      <c r="D398" s="636"/>
      <c r="E398" s="636"/>
      <c r="F398" s="636"/>
      <c r="G398" s="636"/>
      <c r="H398" s="636"/>
      <c r="I398" s="636"/>
      <c r="J398" s="636" t="s">
        <v>13675</v>
      </c>
      <c r="K398" s="636"/>
      <c r="L398" s="636" t="s">
        <v>13895</v>
      </c>
    </row>
    <row r="399" spans="1:12">
      <c r="A399" s="802" t="s">
        <v>12722</v>
      </c>
      <c r="B399" s="802"/>
      <c r="C399" s="802"/>
      <c r="D399" s="802"/>
      <c r="E399" s="802"/>
      <c r="F399" s="802"/>
      <c r="G399" s="802"/>
      <c r="H399" s="802"/>
      <c r="I399" s="612"/>
      <c r="J399" s="612"/>
      <c r="K399" s="612"/>
      <c r="L399" s="612"/>
    </row>
    <row r="400" spans="1:12" ht="17.100000000000001" customHeight="1">
      <c r="A400" s="612" t="s">
        <v>13679</v>
      </c>
      <c r="B400" s="636" t="s">
        <v>12698</v>
      </c>
      <c r="C400" s="612" t="s">
        <v>12699</v>
      </c>
      <c r="D400" s="612" t="s">
        <v>12700</v>
      </c>
      <c r="E400" s="637" t="s">
        <v>12702</v>
      </c>
      <c r="F400" s="801" t="s">
        <v>12704</v>
      </c>
      <c r="G400" s="801"/>
      <c r="H400" s="801" t="s">
        <v>13678</v>
      </c>
      <c r="I400" s="801"/>
      <c r="J400" s="801" t="s">
        <v>12705</v>
      </c>
      <c r="K400" s="801"/>
      <c r="L400" s="801"/>
    </row>
    <row r="401" spans="1:12" ht="24" customHeight="1">
      <c r="A401" s="626" t="s">
        <v>12709</v>
      </c>
      <c r="B401" s="627" t="s">
        <v>12998</v>
      </c>
      <c r="C401" s="626" t="s">
        <v>8</v>
      </c>
      <c r="D401" s="626" t="s">
        <v>11861</v>
      </c>
      <c r="E401" s="628" t="s">
        <v>23</v>
      </c>
      <c r="F401" s="816" t="s">
        <v>13683</v>
      </c>
      <c r="G401" s="816"/>
      <c r="H401" s="816">
        <v>0.31327769999999999</v>
      </c>
      <c r="I401" s="816"/>
      <c r="J401" s="817">
        <v>0.22239999999999999</v>
      </c>
      <c r="K401" s="817"/>
      <c r="L401" s="817"/>
    </row>
    <row r="402" spans="1:12" ht="17.100000000000001" customHeight="1">
      <c r="A402" s="636"/>
      <c r="B402" s="636"/>
      <c r="C402" s="636"/>
      <c r="D402" s="636"/>
      <c r="E402" s="636"/>
      <c r="F402" s="636"/>
      <c r="G402" s="636"/>
      <c r="H402" s="636"/>
      <c r="I402" s="636"/>
      <c r="J402" s="636" t="s">
        <v>13675</v>
      </c>
      <c r="K402" s="636"/>
      <c r="L402" s="636" t="s">
        <v>14276</v>
      </c>
    </row>
    <row r="403" spans="1:12">
      <c r="A403" s="802" t="s">
        <v>12713</v>
      </c>
      <c r="B403" s="802"/>
      <c r="C403" s="802"/>
      <c r="D403" s="802"/>
      <c r="E403" s="802"/>
      <c r="F403" s="802"/>
      <c r="G403" s="802"/>
      <c r="H403" s="802"/>
      <c r="I403" s="612"/>
      <c r="J403" s="612"/>
      <c r="K403" s="612"/>
      <c r="L403" s="612"/>
    </row>
    <row r="404" spans="1:12" ht="17.100000000000001" customHeight="1">
      <c r="A404" s="612" t="s">
        <v>13679</v>
      </c>
      <c r="B404" s="636" t="s">
        <v>12698</v>
      </c>
      <c r="C404" s="612" t="s">
        <v>12699</v>
      </c>
      <c r="D404" s="612" t="s">
        <v>12700</v>
      </c>
      <c r="E404" s="637" t="s">
        <v>12702</v>
      </c>
      <c r="F404" s="801" t="s">
        <v>12704</v>
      </c>
      <c r="G404" s="801"/>
      <c r="H404" s="801" t="s">
        <v>13678</v>
      </c>
      <c r="I404" s="801"/>
      <c r="J404" s="801" t="s">
        <v>12705</v>
      </c>
      <c r="K404" s="801"/>
      <c r="L404" s="801"/>
    </row>
    <row r="405" spans="1:12" ht="24" customHeight="1">
      <c r="A405" s="626" t="s">
        <v>12709</v>
      </c>
      <c r="B405" s="627" t="s">
        <v>12999</v>
      </c>
      <c r="C405" s="626" t="s">
        <v>8</v>
      </c>
      <c r="D405" s="626" t="s">
        <v>11251</v>
      </c>
      <c r="E405" s="628" t="s">
        <v>23</v>
      </c>
      <c r="F405" s="816" t="s">
        <v>13681</v>
      </c>
      <c r="G405" s="816"/>
      <c r="H405" s="816">
        <v>0.31327769999999999</v>
      </c>
      <c r="I405" s="816"/>
      <c r="J405" s="817">
        <v>2.1899999999999999E-2</v>
      </c>
      <c r="K405" s="817"/>
      <c r="L405" s="817"/>
    </row>
    <row r="406" spans="1:12" ht="17.100000000000001" customHeight="1">
      <c r="A406" s="636"/>
      <c r="B406" s="636"/>
      <c r="C406" s="636"/>
      <c r="D406" s="636"/>
      <c r="E406" s="636"/>
      <c r="F406" s="636"/>
      <c r="G406" s="636"/>
      <c r="H406" s="636"/>
      <c r="I406" s="636"/>
      <c r="J406" s="636" t="s">
        <v>13675</v>
      </c>
      <c r="K406" s="636"/>
      <c r="L406" s="636" t="s">
        <v>13680</v>
      </c>
    </row>
    <row r="407" spans="1:12">
      <c r="A407" s="802" t="s">
        <v>12712</v>
      </c>
      <c r="B407" s="802"/>
      <c r="C407" s="802"/>
      <c r="D407" s="802"/>
      <c r="E407" s="802"/>
      <c r="F407" s="802"/>
      <c r="G407" s="802"/>
      <c r="H407" s="802"/>
      <c r="I407" s="612"/>
      <c r="J407" s="612"/>
      <c r="K407" s="612"/>
      <c r="L407" s="612"/>
    </row>
    <row r="408" spans="1:12" ht="17.100000000000001" customHeight="1">
      <c r="A408" s="612" t="s">
        <v>13679</v>
      </c>
      <c r="B408" s="636" t="s">
        <v>12698</v>
      </c>
      <c r="C408" s="612" t="s">
        <v>12699</v>
      </c>
      <c r="D408" s="612" t="s">
        <v>12700</v>
      </c>
      <c r="E408" s="637" t="s">
        <v>12702</v>
      </c>
      <c r="F408" s="801" t="s">
        <v>12704</v>
      </c>
      <c r="G408" s="801"/>
      <c r="H408" s="801" t="s">
        <v>13678</v>
      </c>
      <c r="I408" s="801"/>
      <c r="J408" s="801" t="s">
        <v>12705</v>
      </c>
      <c r="K408" s="801"/>
      <c r="L408" s="801"/>
    </row>
    <row r="409" spans="1:12" ht="24" customHeight="1">
      <c r="A409" s="626" t="s">
        <v>12709</v>
      </c>
      <c r="B409" s="627" t="s">
        <v>13002</v>
      </c>
      <c r="C409" s="626" t="s">
        <v>8</v>
      </c>
      <c r="D409" s="626" t="s">
        <v>9306</v>
      </c>
      <c r="E409" s="628" t="s">
        <v>23</v>
      </c>
      <c r="F409" s="816" t="s">
        <v>13677</v>
      </c>
      <c r="G409" s="816"/>
      <c r="H409" s="816">
        <v>0.31327769999999999</v>
      </c>
      <c r="I409" s="816"/>
      <c r="J409" s="817">
        <v>0.1096</v>
      </c>
      <c r="K409" s="817"/>
      <c r="L409" s="817"/>
    </row>
    <row r="410" spans="1:12" ht="24" customHeight="1">
      <c r="A410" s="626" t="s">
        <v>12709</v>
      </c>
      <c r="B410" s="627" t="s">
        <v>13004</v>
      </c>
      <c r="C410" s="626" t="s">
        <v>8</v>
      </c>
      <c r="D410" s="626" t="s">
        <v>7388</v>
      </c>
      <c r="E410" s="628" t="s">
        <v>23</v>
      </c>
      <c r="F410" s="816" t="s">
        <v>13676</v>
      </c>
      <c r="G410" s="816"/>
      <c r="H410" s="816">
        <v>0.31327769999999999</v>
      </c>
      <c r="I410" s="816"/>
      <c r="J410" s="817">
        <v>0.68920000000000003</v>
      </c>
      <c r="K410" s="817"/>
      <c r="L410" s="817"/>
    </row>
    <row r="411" spans="1:12" ht="17.100000000000001" customHeight="1">
      <c r="A411" s="636"/>
      <c r="B411" s="636"/>
      <c r="C411" s="636"/>
      <c r="D411" s="636"/>
      <c r="E411" s="636"/>
      <c r="F411" s="636"/>
      <c r="G411" s="636"/>
      <c r="H411" s="636"/>
      <c r="I411" s="636"/>
      <c r="J411" s="636" t="s">
        <v>13675</v>
      </c>
      <c r="K411" s="636"/>
      <c r="L411" s="636" t="s">
        <v>14275</v>
      </c>
    </row>
    <row r="412" spans="1:12" ht="17.100000000000001" customHeight="1">
      <c r="A412" s="612" t="s">
        <v>13673</v>
      </c>
      <c r="B412" s="612"/>
      <c r="C412" s="612"/>
      <c r="D412" s="612"/>
      <c r="E412" s="612"/>
      <c r="F412" s="612"/>
      <c r="G412" s="612"/>
      <c r="H412" s="612"/>
      <c r="I412" s="612"/>
      <c r="J412" s="612"/>
      <c r="K412" s="612"/>
      <c r="L412" s="612"/>
    </row>
    <row r="413" spans="1:12" ht="17.100000000000001" customHeight="1">
      <c r="A413" s="636"/>
      <c r="B413" s="636"/>
      <c r="C413" s="636"/>
      <c r="D413" s="636"/>
      <c r="E413" s="636"/>
      <c r="F413" s="636"/>
      <c r="G413" s="636"/>
      <c r="H413" s="636"/>
      <c r="I413" s="636"/>
      <c r="J413" s="636" t="s">
        <v>13672</v>
      </c>
      <c r="K413" s="636"/>
      <c r="L413" s="636" t="s">
        <v>14914</v>
      </c>
    </row>
    <row r="414" spans="1:12" ht="17.100000000000001" customHeight="1">
      <c r="A414" s="636"/>
      <c r="B414" s="636"/>
      <c r="C414" s="636"/>
      <c r="D414" s="636"/>
      <c r="E414" s="636"/>
      <c r="F414" s="636"/>
      <c r="G414" s="636"/>
      <c r="H414" s="636"/>
      <c r="I414" s="636"/>
      <c r="J414" s="636" t="s">
        <v>13671</v>
      </c>
      <c r="K414" s="636" t="s">
        <v>14461</v>
      </c>
      <c r="L414" s="636" t="s">
        <v>14915</v>
      </c>
    </row>
    <row r="415" spans="1:12" ht="17.100000000000001" customHeight="1">
      <c r="A415" s="636"/>
      <c r="B415" s="636"/>
      <c r="C415" s="636"/>
      <c r="D415" s="636"/>
      <c r="E415" s="636"/>
      <c r="F415" s="636"/>
      <c r="G415" s="636"/>
      <c r="H415" s="636"/>
      <c r="I415" s="636"/>
      <c r="J415" s="636" t="s">
        <v>13670</v>
      </c>
      <c r="K415" s="636"/>
      <c r="L415" s="636" t="s">
        <v>14916</v>
      </c>
    </row>
    <row r="416" spans="1:12" ht="17.100000000000001" customHeight="1">
      <c r="A416" s="636"/>
      <c r="B416" s="636"/>
      <c r="C416" s="636"/>
      <c r="D416" s="636"/>
      <c r="E416" s="636"/>
      <c r="F416" s="636"/>
      <c r="G416" s="636"/>
      <c r="H416" s="636"/>
      <c r="I416" s="636"/>
      <c r="J416" s="636" t="s">
        <v>13669</v>
      </c>
      <c r="K416" s="636" t="s">
        <v>13667</v>
      </c>
      <c r="L416" s="636" t="s">
        <v>14917</v>
      </c>
    </row>
    <row r="417" spans="1:12" ht="17.100000000000001" customHeight="1">
      <c r="A417" s="636"/>
      <c r="B417" s="636"/>
      <c r="C417" s="636"/>
      <c r="D417" s="636"/>
      <c r="E417" s="636"/>
      <c r="F417" s="636"/>
      <c r="G417" s="636"/>
      <c r="H417" s="636"/>
      <c r="I417" s="636"/>
      <c r="J417" s="636" t="s">
        <v>13668</v>
      </c>
      <c r="K417" s="636"/>
      <c r="L417" s="636" t="s">
        <v>14918</v>
      </c>
    </row>
    <row r="418" spans="1:12" ht="30" customHeight="1">
      <c r="A418" s="637"/>
      <c r="B418" s="637"/>
      <c r="C418" s="637"/>
      <c r="D418" s="637"/>
      <c r="E418" s="637"/>
      <c r="F418" s="637"/>
      <c r="G418" s="637"/>
      <c r="H418" s="637"/>
      <c r="I418" s="637"/>
      <c r="J418" s="637"/>
      <c r="K418" s="637"/>
      <c r="L418" s="637"/>
    </row>
    <row r="419" spans="1:12" ht="36" customHeight="1">
      <c r="A419" s="616" t="s">
        <v>14274</v>
      </c>
      <c r="B419" s="617" t="s">
        <v>13645</v>
      </c>
      <c r="C419" s="616" t="s">
        <v>8</v>
      </c>
      <c r="D419" s="616" t="s">
        <v>4651</v>
      </c>
      <c r="E419" s="618" t="s">
        <v>35</v>
      </c>
      <c r="F419" s="617"/>
      <c r="G419" s="617"/>
      <c r="H419" s="617"/>
      <c r="I419" s="617"/>
      <c r="J419" s="617"/>
      <c r="K419" s="617"/>
      <c r="L419" s="617"/>
    </row>
    <row r="420" spans="1:12" ht="14.25" customHeight="1">
      <c r="A420" s="802" t="s">
        <v>12711</v>
      </c>
      <c r="B420" s="802"/>
      <c r="C420" s="802"/>
      <c r="D420" s="802"/>
      <c r="E420" s="802"/>
      <c r="F420" s="802"/>
      <c r="G420" s="802"/>
      <c r="H420" s="802"/>
      <c r="I420" s="612"/>
      <c r="J420" s="612"/>
      <c r="K420" s="612"/>
      <c r="L420" s="612"/>
    </row>
    <row r="421" spans="1:12" ht="17.100000000000001" customHeight="1">
      <c r="A421" s="612" t="s">
        <v>13679</v>
      </c>
      <c r="B421" s="636" t="s">
        <v>12698</v>
      </c>
      <c r="C421" s="612" t="s">
        <v>12699</v>
      </c>
      <c r="D421" s="612" t="s">
        <v>12700</v>
      </c>
      <c r="E421" s="637" t="s">
        <v>12702</v>
      </c>
      <c r="F421" s="801" t="s">
        <v>12704</v>
      </c>
      <c r="G421" s="801"/>
      <c r="H421" s="801" t="s">
        <v>13678</v>
      </c>
      <c r="I421" s="801"/>
      <c r="J421" s="801" t="s">
        <v>12705</v>
      </c>
      <c r="K421" s="801"/>
      <c r="L421" s="801"/>
    </row>
    <row r="422" spans="1:12" ht="24" customHeight="1">
      <c r="A422" s="626" t="s">
        <v>12709</v>
      </c>
      <c r="B422" s="627" t="s">
        <v>13048</v>
      </c>
      <c r="C422" s="626" t="s">
        <v>8</v>
      </c>
      <c r="D422" s="626" t="s">
        <v>9233</v>
      </c>
      <c r="E422" s="628" t="s">
        <v>23</v>
      </c>
      <c r="F422" s="816" t="s">
        <v>13690</v>
      </c>
      <c r="G422" s="816"/>
      <c r="H422" s="816">
        <v>4.9824821000000004</v>
      </c>
      <c r="I422" s="816"/>
      <c r="J422" s="817">
        <v>5.0820999999999996</v>
      </c>
      <c r="K422" s="817"/>
      <c r="L422" s="817"/>
    </row>
    <row r="423" spans="1:12" ht="24" customHeight="1">
      <c r="A423" s="626" t="s">
        <v>12709</v>
      </c>
      <c r="B423" s="627" t="s">
        <v>13047</v>
      </c>
      <c r="C423" s="626" t="s">
        <v>8</v>
      </c>
      <c r="D423" s="626" t="s">
        <v>9380</v>
      </c>
      <c r="E423" s="628" t="s">
        <v>23</v>
      </c>
      <c r="F423" s="816" t="s">
        <v>13689</v>
      </c>
      <c r="G423" s="816"/>
      <c r="H423" s="816">
        <v>4.9824821000000004</v>
      </c>
      <c r="I423" s="816"/>
      <c r="J423" s="817">
        <v>1.8933</v>
      </c>
      <c r="K423" s="817"/>
      <c r="L423" s="817"/>
    </row>
    <row r="424" spans="1:12" ht="24" customHeight="1">
      <c r="A424" s="626" t="s">
        <v>12709</v>
      </c>
      <c r="B424" s="627" t="s">
        <v>13032</v>
      </c>
      <c r="C424" s="626" t="s">
        <v>8</v>
      </c>
      <c r="D424" s="626" t="s">
        <v>9217</v>
      </c>
      <c r="E424" s="628" t="s">
        <v>23</v>
      </c>
      <c r="F424" s="816" t="s">
        <v>13741</v>
      </c>
      <c r="G424" s="816"/>
      <c r="H424" s="816">
        <v>2.5368978000000002</v>
      </c>
      <c r="I424" s="816"/>
      <c r="J424" s="817">
        <v>2.7397999999999998</v>
      </c>
      <c r="K424" s="817"/>
      <c r="L424" s="817"/>
    </row>
    <row r="425" spans="1:12" ht="24" customHeight="1">
      <c r="A425" s="626" t="s">
        <v>12709</v>
      </c>
      <c r="B425" s="627" t="s">
        <v>13031</v>
      </c>
      <c r="C425" s="626" t="s">
        <v>8</v>
      </c>
      <c r="D425" s="626" t="s">
        <v>9364</v>
      </c>
      <c r="E425" s="628" t="s">
        <v>23</v>
      </c>
      <c r="F425" s="816" t="s">
        <v>13740</v>
      </c>
      <c r="G425" s="816"/>
      <c r="H425" s="816">
        <v>2.5368978000000002</v>
      </c>
      <c r="I425" s="816"/>
      <c r="J425" s="817">
        <v>0.86250000000000004</v>
      </c>
      <c r="K425" s="817"/>
      <c r="L425" s="817"/>
    </row>
    <row r="426" spans="1:12" ht="17.100000000000001" customHeight="1">
      <c r="A426" s="636"/>
      <c r="B426" s="636"/>
      <c r="C426" s="636"/>
      <c r="D426" s="636"/>
      <c r="E426" s="636"/>
      <c r="F426" s="636"/>
      <c r="G426" s="636"/>
      <c r="H426" s="636"/>
      <c r="I426" s="636"/>
      <c r="J426" s="636" t="s">
        <v>13675</v>
      </c>
      <c r="K426" s="636"/>
      <c r="L426" s="636" t="s">
        <v>14273</v>
      </c>
    </row>
    <row r="427" spans="1:12" ht="14.25" customHeight="1">
      <c r="A427" s="802" t="s">
        <v>12710</v>
      </c>
      <c r="B427" s="802"/>
      <c r="C427" s="802"/>
      <c r="D427" s="802"/>
      <c r="E427" s="802"/>
      <c r="F427" s="802"/>
      <c r="G427" s="802"/>
      <c r="H427" s="802"/>
      <c r="I427" s="612"/>
      <c r="J427" s="612"/>
      <c r="K427" s="612"/>
      <c r="L427" s="612"/>
    </row>
    <row r="428" spans="1:12" ht="17.100000000000001" customHeight="1">
      <c r="A428" s="612" t="s">
        <v>13679</v>
      </c>
      <c r="B428" s="636" t="s">
        <v>12698</v>
      </c>
      <c r="C428" s="612" t="s">
        <v>12699</v>
      </c>
      <c r="D428" s="612" t="s">
        <v>12700</v>
      </c>
      <c r="E428" s="637" t="s">
        <v>12702</v>
      </c>
      <c r="F428" s="801" t="s">
        <v>12704</v>
      </c>
      <c r="G428" s="801"/>
      <c r="H428" s="801" t="s">
        <v>13678</v>
      </c>
      <c r="I428" s="801"/>
      <c r="J428" s="801" t="s">
        <v>12705</v>
      </c>
      <c r="K428" s="801"/>
      <c r="L428" s="801"/>
    </row>
    <row r="429" spans="1:12" ht="24" customHeight="1">
      <c r="A429" s="626" t="s">
        <v>12709</v>
      </c>
      <c r="B429" s="627" t="s">
        <v>13046</v>
      </c>
      <c r="C429" s="626" t="s">
        <v>8</v>
      </c>
      <c r="D429" s="626" t="s">
        <v>11281</v>
      </c>
      <c r="E429" s="628" t="s">
        <v>23</v>
      </c>
      <c r="F429" s="816" t="s">
        <v>13731</v>
      </c>
      <c r="G429" s="816"/>
      <c r="H429" s="816">
        <v>5.0577717</v>
      </c>
      <c r="I429" s="816"/>
      <c r="J429" s="817">
        <v>25.9969</v>
      </c>
      <c r="K429" s="817"/>
      <c r="L429" s="817"/>
    </row>
    <row r="430" spans="1:12" ht="24" customHeight="1">
      <c r="A430" s="626" t="s">
        <v>12709</v>
      </c>
      <c r="B430" s="627" t="s">
        <v>13030</v>
      </c>
      <c r="C430" s="626" t="s">
        <v>8</v>
      </c>
      <c r="D430" s="626" t="s">
        <v>11729</v>
      </c>
      <c r="E430" s="628" t="s">
        <v>23</v>
      </c>
      <c r="F430" s="816" t="s">
        <v>14513</v>
      </c>
      <c r="G430" s="816"/>
      <c r="H430" s="816">
        <v>2.5582267999999999</v>
      </c>
      <c r="I430" s="816"/>
      <c r="J430" s="817">
        <v>19.289000000000001</v>
      </c>
      <c r="K430" s="817"/>
      <c r="L430" s="817"/>
    </row>
    <row r="431" spans="1:12" ht="17.100000000000001" customHeight="1">
      <c r="A431" s="636"/>
      <c r="B431" s="636"/>
      <c r="C431" s="636"/>
      <c r="D431" s="636"/>
      <c r="E431" s="636"/>
      <c r="F431" s="636"/>
      <c r="G431" s="636"/>
      <c r="H431" s="636"/>
      <c r="I431" s="636"/>
      <c r="J431" s="636" t="s">
        <v>13675</v>
      </c>
      <c r="K431" s="636"/>
      <c r="L431" s="636" t="s">
        <v>14788</v>
      </c>
    </row>
    <row r="432" spans="1:12">
      <c r="A432" s="802" t="s">
        <v>12720</v>
      </c>
      <c r="B432" s="802"/>
      <c r="C432" s="802"/>
      <c r="D432" s="802"/>
      <c r="E432" s="802"/>
      <c r="F432" s="802"/>
      <c r="G432" s="802"/>
      <c r="H432" s="802"/>
      <c r="I432" s="612"/>
      <c r="J432" s="612"/>
      <c r="K432" s="612"/>
      <c r="L432" s="612"/>
    </row>
    <row r="433" spans="1:12" ht="17.100000000000001" customHeight="1">
      <c r="A433" s="612" t="s">
        <v>13679</v>
      </c>
      <c r="B433" s="636" t="s">
        <v>12698</v>
      </c>
      <c r="C433" s="612" t="s">
        <v>12699</v>
      </c>
      <c r="D433" s="612" t="s">
        <v>12700</v>
      </c>
      <c r="E433" s="637" t="s">
        <v>12702</v>
      </c>
      <c r="F433" s="801" t="s">
        <v>12704</v>
      </c>
      <c r="G433" s="801"/>
      <c r="H433" s="801" t="s">
        <v>13678</v>
      </c>
      <c r="I433" s="801"/>
      <c r="J433" s="801" t="s">
        <v>12705</v>
      </c>
      <c r="K433" s="801"/>
      <c r="L433" s="801"/>
    </row>
    <row r="434" spans="1:12" ht="36" customHeight="1">
      <c r="A434" s="626" t="s">
        <v>12709</v>
      </c>
      <c r="B434" s="627" t="s">
        <v>13325</v>
      </c>
      <c r="C434" s="626" t="s">
        <v>8</v>
      </c>
      <c r="D434" s="626" t="s">
        <v>7456</v>
      </c>
      <c r="E434" s="628" t="s">
        <v>35</v>
      </c>
      <c r="F434" s="816" t="s">
        <v>14787</v>
      </c>
      <c r="G434" s="816"/>
      <c r="H434" s="816">
        <v>4.7169999999999997E-4</v>
      </c>
      <c r="I434" s="816"/>
      <c r="J434" s="817">
        <v>2.0146999999999999</v>
      </c>
      <c r="K434" s="817"/>
      <c r="L434" s="817"/>
    </row>
    <row r="435" spans="1:12" ht="24" customHeight="1">
      <c r="A435" s="626" t="s">
        <v>12709</v>
      </c>
      <c r="B435" s="627" t="s">
        <v>13323</v>
      </c>
      <c r="C435" s="626" t="s">
        <v>8</v>
      </c>
      <c r="D435" s="626" t="s">
        <v>7251</v>
      </c>
      <c r="E435" s="628" t="s">
        <v>20</v>
      </c>
      <c r="F435" s="816" t="s">
        <v>14272</v>
      </c>
      <c r="G435" s="816"/>
      <c r="H435" s="816">
        <v>0.4712575</v>
      </c>
      <c r="I435" s="816"/>
      <c r="J435" s="817">
        <v>30.895600000000002</v>
      </c>
      <c r="K435" s="817"/>
      <c r="L435" s="817"/>
    </row>
    <row r="436" spans="1:12" ht="24" customHeight="1">
      <c r="A436" s="626" t="s">
        <v>12709</v>
      </c>
      <c r="B436" s="627" t="s">
        <v>13322</v>
      </c>
      <c r="C436" s="626" t="s">
        <v>8</v>
      </c>
      <c r="D436" s="626" t="s">
        <v>10588</v>
      </c>
      <c r="E436" s="628" t="s">
        <v>12730</v>
      </c>
      <c r="F436" s="816" t="s">
        <v>14271</v>
      </c>
      <c r="G436" s="816"/>
      <c r="H436" s="816">
        <v>0.47689340000000002</v>
      </c>
      <c r="I436" s="816"/>
      <c r="J436" s="817">
        <v>6.8482000000000003</v>
      </c>
      <c r="K436" s="817"/>
      <c r="L436" s="817"/>
    </row>
    <row r="437" spans="1:12" ht="17.100000000000001" customHeight="1">
      <c r="A437" s="636"/>
      <c r="B437" s="636"/>
      <c r="C437" s="636"/>
      <c r="D437" s="636"/>
      <c r="E437" s="636"/>
      <c r="F437" s="636"/>
      <c r="G437" s="636"/>
      <c r="H437" s="636"/>
      <c r="I437" s="636"/>
      <c r="J437" s="636" t="s">
        <v>13675</v>
      </c>
      <c r="K437" s="636"/>
      <c r="L437" s="636" t="s">
        <v>14786</v>
      </c>
    </row>
    <row r="438" spans="1:12">
      <c r="A438" s="802" t="s">
        <v>12722</v>
      </c>
      <c r="B438" s="802"/>
      <c r="C438" s="802"/>
      <c r="D438" s="802"/>
      <c r="E438" s="802"/>
      <c r="F438" s="802"/>
      <c r="G438" s="802"/>
      <c r="H438" s="802"/>
      <c r="I438" s="612"/>
      <c r="J438" s="612"/>
      <c r="K438" s="612"/>
      <c r="L438" s="612"/>
    </row>
    <row r="439" spans="1:12" ht="17.100000000000001" customHeight="1">
      <c r="A439" s="612" t="s">
        <v>13679</v>
      </c>
      <c r="B439" s="636" t="s">
        <v>12698</v>
      </c>
      <c r="C439" s="612" t="s">
        <v>12699</v>
      </c>
      <c r="D439" s="612" t="s">
        <v>12700</v>
      </c>
      <c r="E439" s="637" t="s">
        <v>12702</v>
      </c>
      <c r="F439" s="801" t="s">
        <v>12704</v>
      </c>
      <c r="G439" s="801"/>
      <c r="H439" s="801" t="s">
        <v>13678</v>
      </c>
      <c r="I439" s="801"/>
      <c r="J439" s="801" t="s">
        <v>12705</v>
      </c>
      <c r="K439" s="801"/>
      <c r="L439" s="801"/>
    </row>
    <row r="440" spans="1:12" ht="24" customHeight="1">
      <c r="A440" s="626" t="s">
        <v>12709</v>
      </c>
      <c r="B440" s="627" t="s">
        <v>12998</v>
      </c>
      <c r="C440" s="626" t="s">
        <v>8</v>
      </c>
      <c r="D440" s="626" t="s">
        <v>11861</v>
      </c>
      <c r="E440" s="628" t="s">
        <v>23</v>
      </c>
      <c r="F440" s="816" t="s">
        <v>13683</v>
      </c>
      <c r="G440" s="816"/>
      <c r="H440" s="816">
        <v>7.5193798999999997</v>
      </c>
      <c r="I440" s="816"/>
      <c r="J440" s="817">
        <v>5.3388</v>
      </c>
      <c r="K440" s="817"/>
      <c r="L440" s="817"/>
    </row>
    <row r="441" spans="1:12" ht="17.100000000000001" customHeight="1">
      <c r="A441" s="636"/>
      <c r="B441" s="636"/>
      <c r="C441" s="636"/>
      <c r="D441" s="636"/>
      <c r="E441" s="636"/>
      <c r="F441" s="636"/>
      <c r="G441" s="636"/>
      <c r="H441" s="636"/>
      <c r="I441" s="636"/>
      <c r="J441" s="636" t="s">
        <v>13675</v>
      </c>
      <c r="K441" s="636"/>
      <c r="L441" s="636" t="s">
        <v>14270</v>
      </c>
    </row>
    <row r="442" spans="1:12">
      <c r="A442" s="802" t="s">
        <v>12713</v>
      </c>
      <c r="B442" s="802"/>
      <c r="C442" s="802"/>
      <c r="D442" s="802"/>
      <c r="E442" s="802"/>
      <c r="F442" s="802"/>
      <c r="G442" s="802"/>
      <c r="H442" s="802"/>
      <c r="I442" s="612"/>
      <c r="J442" s="612"/>
      <c r="K442" s="612"/>
      <c r="L442" s="612"/>
    </row>
    <row r="443" spans="1:12" ht="17.100000000000001" customHeight="1">
      <c r="A443" s="612" t="s">
        <v>13679</v>
      </c>
      <c r="B443" s="636" t="s">
        <v>12698</v>
      </c>
      <c r="C443" s="612" t="s">
        <v>12699</v>
      </c>
      <c r="D443" s="612" t="s">
        <v>12700</v>
      </c>
      <c r="E443" s="637" t="s">
        <v>12702</v>
      </c>
      <c r="F443" s="801" t="s">
        <v>12704</v>
      </c>
      <c r="G443" s="801"/>
      <c r="H443" s="801" t="s">
        <v>13678</v>
      </c>
      <c r="I443" s="801"/>
      <c r="J443" s="801" t="s">
        <v>12705</v>
      </c>
      <c r="K443" s="801"/>
      <c r="L443" s="801"/>
    </row>
    <row r="444" spans="1:12" ht="24" customHeight="1">
      <c r="A444" s="626" t="s">
        <v>12709</v>
      </c>
      <c r="B444" s="627" t="s">
        <v>12999</v>
      </c>
      <c r="C444" s="626" t="s">
        <v>8</v>
      </c>
      <c r="D444" s="626" t="s">
        <v>11251</v>
      </c>
      <c r="E444" s="628" t="s">
        <v>23</v>
      </c>
      <c r="F444" s="816" t="s">
        <v>13681</v>
      </c>
      <c r="G444" s="816"/>
      <c r="H444" s="816">
        <v>7.5193798999999997</v>
      </c>
      <c r="I444" s="816"/>
      <c r="J444" s="817">
        <v>0.52639999999999998</v>
      </c>
      <c r="K444" s="817"/>
      <c r="L444" s="817"/>
    </row>
    <row r="445" spans="1:12" ht="17.100000000000001" customHeight="1">
      <c r="A445" s="636"/>
      <c r="B445" s="636"/>
      <c r="C445" s="636"/>
      <c r="D445" s="636"/>
      <c r="E445" s="636"/>
      <c r="F445" s="636"/>
      <c r="G445" s="636"/>
      <c r="H445" s="636"/>
      <c r="I445" s="636"/>
      <c r="J445" s="636" t="s">
        <v>13675</v>
      </c>
      <c r="K445" s="636"/>
      <c r="L445" s="636" t="s">
        <v>13803</v>
      </c>
    </row>
    <row r="446" spans="1:12">
      <c r="A446" s="802" t="s">
        <v>12712</v>
      </c>
      <c r="B446" s="802"/>
      <c r="C446" s="802"/>
      <c r="D446" s="802"/>
      <c r="E446" s="802"/>
      <c r="F446" s="802"/>
      <c r="G446" s="802"/>
      <c r="H446" s="802"/>
      <c r="I446" s="612"/>
      <c r="J446" s="612"/>
      <c r="K446" s="612"/>
      <c r="L446" s="612"/>
    </row>
    <row r="447" spans="1:12" ht="17.100000000000001" customHeight="1">
      <c r="A447" s="612" t="s">
        <v>13679</v>
      </c>
      <c r="B447" s="636" t="s">
        <v>12698</v>
      </c>
      <c r="C447" s="612" t="s">
        <v>12699</v>
      </c>
      <c r="D447" s="612" t="s">
        <v>12700</v>
      </c>
      <c r="E447" s="637" t="s">
        <v>12702</v>
      </c>
      <c r="F447" s="801" t="s">
        <v>12704</v>
      </c>
      <c r="G447" s="801"/>
      <c r="H447" s="801" t="s">
        <v>13678</v>
      </c>
      <c r="I447" s="801"/>
      <c r="J447" s="801" t="s">
        <v>12705</v>
      </c>
      <c r="K447" s="801"/>
      <c r="L447" s="801"/>
    </row>
    <row r="448" spans="1:12" ht="24" customHeight="1">
      <c r="A448" s="626" t="s">
        <v>12709</v>
      </c>
      <c r="B448" s="627" t="s">
        <v>13002</v>
      </c>
      <c r="C448" s="626" t="s">
        <v>8</v>
      </c>
      <c r="D448" s="626" t="s">
        <v>9306</v>
      </c>
      <c r="E448" s="628" t="s">
        <v>23</v>
      </c>
      <c r="F448" s="816" t="s">
        <v>13677</v>
      </c>
      <c r="G448" s="816"/>
      <c r="H448" s="816">
        <v>7.5193798999999997</v>
      </c>
      <c r="I448" s="816"/>
      <c r="J448" s="817">
        <v>2.6318000000000001</v>
      </c>
      <c r="K448" s="817"/>
      <c r="L448" s="817"/>
    </row>
    <row r="449" spans="1:12" ht="24" customHeight="1">
      <c r="A449" s="626" t="s">
        <v>12709</v>
      </c>
      <c r="B449" s="627" t="s">
        <v>13004</v>
      </c>
      <c r="C449" s="626" t="s">
        <v>8</v>
      </c>
      <c r="D449" s="626" t="s">
        <v>7388</v>
      </c>
      <c r="E449" s="628" t="s">
        <v>23</v>
      </c>
      <c r="F449" s="816" t="s">
        <v>13676</v>
      </c>
      <c r="G449" s="816"/>
      <c r="H449" s="816">
        <v>7.5193798999999997</v>
      </c>
      <c r="I449" s="816"/>
      <c r="J449" s="817">
        <v>16.5426</v>
      </c>
      <c r="K449" s="817"/>
      <c r="L449" s="817"/>
    </row>
    <row r="450" spans="1:12" ht="17.100000000000001" customHeight="1">
      <c r="A450" s="636"/>
      <c r="B450" s="636"/>
      <c r="C450" s="636"/>
      <c r="D450" s="636"/>
      <c r="E450" s="636"/>
      <c r="F450" s="636"/>
      <c r="G450" s="636"/>
      <c r="H450" s="636"/>
      <c r="I450" s="636"/>
      <c r="J450" s="636" t="s">
        <v>13675</v>
      </c>
      <c r="K450" s="636"/>
      <c r="L450" s="636" t="s">
        <v>14785</v>
      </c>
    </row>
    <row r="451" spans="1:12" ht="17.100000000000001" customHeight="1">
      <c r="A451" s="612" t="s">
        <v>13673</v>
      </c>
      <c r="B451" s="612"/>
      <c r="C451" s="612"/>
      <c r="D451" s="612"/>
      <c r="E451" s="612"/>
      <c r="F451" s="612"/>
      <c r="G451" s="612"/>
      <c r="H451" s="612"/>
      <c r="I451" s="612"/>
      <c r="J451" s="612"/>
      <c r="K451" s="612"/>
      <c r="L451" s="612"/>
    </row>
    <row r="452" spans="1:12" ht="17.100000000000001" customHeight="1">
      <c r="A452" s="636"/>
      <c r="B452" s="636"/>
      <c r="C452" s="636"/>
      <c r="D452" s="636"/>
      <c r="E452" s="636"/>
      <c r="F452" s="636"/>
      <c r="G452" s="636"/>
      <c r="H452" s="636"/>
      <c r="I452" s="636"/>
      <c r="J452" s="636" t="s">
        <v>13672</v>
      </c>
      <c r="K452" s="636"/>
      <c r="L452" s="636" t="s">
        <v>14919</v>
      </c>
    </row>
    <row r="453" spans="1:12" ht="17.100000000000001" customHeight="1">
      <c r="A453" s="636"/>
      <c r="B453" s="636"/>
      <c r="C453" s="636"/>
      <c r="D453" s="636"/>
      <c r="E453" s="636"/>
      <c r="F453" s="636"/>
      <c r="G453" s="636"/>
      <c r="H453" s="636"/>
      <c r="I453" s="636"/>
      <c r="J453" s="636" t="s">
        <v>13671</v>
      </c>
      <c r="K453" s="636" t="s">
        <v>14461</v>
      </c>
      <c r="L453" s="636" t="s">
        <v>14920</v>
      </c>
    </row>
    <row r="454" spans="1:12" ht="17.100000000000001" customHeight="1">
      <c r="A454" s="636"/>
      <c r="B454" s="636"/>
      <c r="C454" s="636"/>
      <c r="D454" s="636"/>
      <c r="E454" s="636"/>
      <c r="F454" s="636"/>
      <c r="G454" s="636"/>
      <c r="H454" s="636"/>
      <c r="I454" s="636"/>
      <c r="J454" s="636" t="s">
        <v>13670</v>
      </c>
      <c r="K454" s="636"/>
      <c r="L454" s="636" t="s">
        <v>14921</v>
      </c>
    </row>
    <row r="455" spans="1:12" ht="17.100000000000001" customHeight="1">
      <c r="A455" s="636"/>
      <c r="B455" s="636"/>
      <c r="C455" s="636"/>
      <c r="D455" s="636"/>
      <c r="E455" s="636"/>
      <c r="F455" s="636"/>
      <c r="G455" s="636"/>
      <c r="H455" s="636"/>
      <c r="I455" s="636"/>
      <c r="J455" s="636" t="s">
        <v>13669</v>
      </c>
      <c r="K455" s="636" t="s">
        <v>13667</v>
      </c>
      <c r="L455" s="636" t="s">
        <v>14922</v>
      </c>
    </row>
    <row r="456" spans="1:12" ht="17.100000000000001" customHeight="1">
      <c r="A456" s="636"/>
      <c r="B456" s="636"/>
      <c r="C456" s="636"/>
      <c r="D456" s="636"/>
      <c r="E456" s="636"/>
      <c r="F456" s="636"/>
      <c r="G456" s="636"/>
      <c r="H456" s="636"/>
      <c r="I456" s="636"/>
      <c r="J456" s="636" t="s">
        <v>13668</v>
      </c>
      <c r="K456" s="636"/>
      <c r="L456" s="636" t="s">
        <v>14923</v>
      </c>
    </row>
    <row r="457" spans="1:12" ht="30" customHeight="1">
      <c r="A457" s="637"/>
      <c r="B457" s="637"/>
      <c r="C457" s="637"/>
      <c r="D457" s="637"/>
      <c r="E457" s="637"/>
      <c r="F457" s="637"/>
      <c r="G457" s="637"/>
      <c r="H457" s="637"/>
      <c r="I457" s="637"/>
      <c r="J457" s="637"/>
      <c r="K457" s="637"/>
      <c r="L457" s="637"/>
    </row>
    <row r="458" spans="1:12" ht="36" customHeight="1">
      <c r="A458" s="616" t="s">
        <v>14269</v>
      </c>
      <c r="B458" s="617" t="s">
        <v>13644</v>
      </c>
      <c r="C458" s="616" t="s">
        <v>8</v>
      </c>
      <c r="D458" s="616" t="s">
        <v>4647</v>
      </c>
      <c r="E458" s="618" t="s">
        <v>35</v>
      </c>
      <c r="F458" s="617"/>
      <c r="G458" s="617"/>
      <c r="H458" s="617"/>
      <c r="I458" s="617"/>
      <c r="J458" s="617"/>
      <c r="K458" s="617"/>
      <c r="L458" s="617"/>
    </row>
    <row r="459" spans="1:12" ht="14.25" customHeight="1">
      <c r="A459" s="802" t="s">
        <v>12711</v>
      </c>
      <c r="B459" s="802"/>
      <c r="C459" s="802"/>
      <c r="D459" s="802"/>
      <c r="E459" s="802"/>
      <c r="F459" s="802"/>
      <c r="G459" s="802"/>
      <c r="H459" s="802"/>
      <c r="I459" s="612"/>
      <c r="J459" s="612"/>
      <c r="K459" s="612"/>
      <c r="L459" s="612"/>
    </row>
    <row r="460" spans="1:12" ht="17.100000000000001" customHeight="1">
      <c r="A460" s="612" t="s">
        <v>13679</v>
      </c>
      <c r="B460" s="636" t="s">
        <v>12698</v>
      </c>
      <c r="C460" s="612" t="s">
        <v>12699</v>
      </c>
      <c r="D460" s="612" t="s">
        <v>12700</v>
      </c>
      <c r="E460" s="637" t="s">
        <v>12702</v>
      </c>
      <c r="F460" s="801" t="s">
        <v>12704</v>
      </c>
      <c r="G460" s="801"/>
      <c r="H460" s="801" t="s">
        <v>13678</v>
      </c>
      <c r="I460" s="801"/>
      <c r="J460" s="801" t="s">
        <v>12705</v>
      </c>
      <c r="K460" s="801"/>
      <c r="L460" s="801"/>
    </row>
    <row r="461" spans="1:12" ht="24" customHeight="1">
      <c r="A461" s="626" t="s">
        <v>12709</v>
      </c>
      <c r="B461" s="627" t="s">
        <v>13048</v>
      </c>
      <c r="C461" s="626" t="s">
        <v>8</v>
      </c>
      <c r="D461" s="626" t="s">
        <v>9233</v>
      </c>
      <c r="E461" s="628" t="s">
        <v>23</v>
      </c>
      <c r="F461" s="816" t="s">
        <v>13690</v>
      </c>
      <c r="G461" s="816"/>
      <c r="H461" s="816">
        <v>5.2269677000000003</v>
      </c>
      <c r="I461" s="816"/>
      <c r="J461" s="817">
        <v>5.3315000000000001</v>
      </c>
      <c r="K461" s="817"/>
      <c r="L461" s="817"/>
    </row>
    <row r="462" spans="1:12" ht="24" customHeight="1">
      <c r="A462" s="626" t="s">
        <v>12709</v>
      </c>
      <c r="B462" s="627" t="s">
        <v>13047</v>
      </c>
      <c r="C462" s="626" t="s">
        <v>8</v>
      </c>
      <c r="D462" s="626" t="s">
        <v>9380</v>
      </c>
      <c r="E462" s="628" t="s">
        <v>23</v>
      </c>
      <c r="F462" s="816" t="s">
        <v>13689</v>
      </c>
      <c r="G462" s="816"/>
      <c r="H462" s="816">
        <v>5.2269677000000003</v>
      </c>
      <c r="I462" s="816"/>
      <c r="J462" s="817">
        <v>1.9862</v>
      </c>
      <c r="K462" s="817"/>
      <c r="L462" s="817"/>
    </row>
    <row r="463" spans="1:12" ht="24" customHeight="1">
      <c r="A463" s="626" t="s">
        <v>12709</v>
      </c>
      <c r="B463" s="627" t="s">
        <v>13032</v>
      </c>
      <c r="C463" s="626" t="s">
        <v>8</v>
      </c>
      <c r="D463" s="626" t="s">
        <v>9217</v>
      </c>
      <c r="E463" s="628" t="s">
        <v>23</v>
      </c>
      <c r="F463" s="816" t="s">
        <v>13741</v>
      </c>
      <c r="G463" s="816"/>
      <c r="H463" s="816">
        <v>2.6614125</v>
      </c>
      <c r="I463" s="816"/>
      <c r="J463" s="817">
        <v>2.8742999999999999</v>
      </c>
      <c r="K463" s="817"/>
      <c r="L463" s="817"/>
    </row>
    <row r="464" spans="1:12" ht="24" customHeight="1">
      <c r="A464" s="626" t="s">
        <v>12709</v>
      </c>
      <c r="B464" s="627" t="s">
        <v>13031</v>
      </c>
      <c r="C464" s="626" t="s">
        <v>8</v>
      </c>
      <c r="D464" s="626" t="s">
        <v>9364</v>
      </c>
      <c r="E464" s="628" t="s">
        <v>23</v>
      </c>
      <c r="F464" s="816" t="s">
        <v>13740</v>
      </c>
      <c r="G464" s="816"/>
      <c r="H464" s="816">
        <v>2.6614125</v>
      </c>
      <c r="I464" s="816"/>
      <c r="J464" s="817">
        <v>0.90490000000000004</v>
      </c>
      <c r="K464" s="817"/>
      <c r="L464" s="817"/>
    </row>
    <row r="465" spans="1:12" ht="17.100000000000001" customHeight="1">
      <c r="A465" s="636"/>
      <c r="B465" s="636"/>
      <c r="C465" s="636"/>
      <c r="D465" s="636"/>
      <c r="E465" s="636"/>
      <c r="F465" s="636"/>
      <c r="G465" s="636"/>
      <c r="H465" s="636"/>
      <c r="I465" s="636"/>
      <c r="J465" s="636" t="s">
        <v>13675</v>
      </c>
      <c r="K465" s="636"/>
      <c r="L465" s="636" t="s">
        <v>14268</v>
      </c>
    </row>
    <row r="466" spans="1:12" ht="14.25" customHeight="1">
      <c r="A466" s="802" t="s">
        <v>12710</v>
      </c>
      <c r="B466" s="802"/>
      <c r="C466" s="802"/>
      <c r="D466" s="802"/>
      <c r="E466" s="802"/>
      <c r="F466" s="802"/>
      <c r="G466" s="802"/>
      <c r="H466" s="802"/>
      <c r="I466" s="612"/>
      <c r="J466" s="612"/>
      <c r="K466" s="612"/>
      <c r="L466" s="612"/>
    </row>
    <row r="467" spans="1:12" ht="17.100000000000001" customHeight="1">
      <c r="A467" s="612" t="s">
        <v>13679</v>
      </c>
      <c r="B467" s="636" t="s">
        <v>12698</v>
      </c>
      <c r="C467" s="612" t="s">
        <v>12699</v>
      </c>
      <c r="D467" s="612" t="s">
        <v>12700</v>
      </c>
      <c r="E467" s="637" t="s">
        <v>12702</v>
      </c>
      <c r="F467" s="801" t="s">
        <v>12704</v>
      </c>
      <c r="G467" s="801"/>
      <c r="H467" s="801" t="s">
        <v>13678</v>
      </c>
      <c r="I467" s="801"/>
      <c r="J467" s="801" t="s">
        <v>12705</v>
      </c>
      <c r="K467" s="801"/>
      <c r="L467" s="801"/>
    </row>
    <row r="468" spans="1:12" ht="24" customHeight="1">
      <c r="A468" s="626" t="s">
        <v>12709</v>
      </c>
      <c r="B468" s="627" t="s">
        <v>13046</v>
      </c>
      <c r="C468" s="626" t="s">
        <v>8</v>
      </c>
      <c r="D468" s="626" t="s">
        <v>11281</v>
      </c>
      <c r="E468" s="628" t="s">
        <v>23</v>
      </c>
      <c r="F468" s="816" t="s">
        <v>13731</v>
      </c>
      <c r="G468" s="816"/>
      <c r="H468" s="816">
        <v>5.3034790000000003</v>
      </c>
      <c r="I468" s="816"/>
      <c r="J468" s="817">
        <v>27.259899999999998</v>
      </c>
      <c r="K468" s="817"/>
      <c r="L468" s="817"/>
    </row>
    <row r="469" spans="1:12" ht="24" customHeight="1">
      <c r="A469" s="626" t="s">
        <v>12709</v>
      </c>
      <c r="B469" s="627" t="s">
        <v>13030</v>
      </c>
      <c r="C469" s="626" t="s">
        <v>8</v>
      </c>
      <c r="D469" s="626" t="s">
        <v>11729</v>
      </c>
      <c r="E469" s="628" t="s">
        <v>23</v>
      </c>
      <c r="F469" s="816" t="s">
        <v>14513</v>
      </c>
      <c r="G469" s="816"/>
      <c r="H469" s="816">
        <v>2.6825375</v>
      </c>
      <c r="I469" s="816"/>
      <c r="J469" s="817">
        <v>20.226299999999998</v>
      </c>
      <c r="K469" s="817"/>
      <c r="L469" s="817"/>
    </row>
    <row r="470" spans="1:12" ht="17.100000000000001" customHeight="1">
      <c r="A470" s="636"/>
      <c r="B470" s="636"/>
      <c r="C470" s="636"/>
      <c r="D470" s="636"/>
      <c r="E470" s="636"/>
      <c r="F470" s="636"/>
      <c r="G470" s="636"/>
      <c r="H470" s="636"/>
      <c r="I470" s="636"/>
      <c r="J470" s="636" t="s">
        <v>13675</v>
      </c>
      <c r="K470" s="636"/>
      <c r="L470" s="636" t="s">
        <v>13985</v>
      </c>
    </row>
    <row r="471" spans="1:12">
      <c r="A471" s="802" t="s">
        <v>12722</v>
      </c>
      <c r="B471" s="802"/>
      <c r="C471" s="802"/>
      <c r="D471" s="802"/>
      <c r="E471" s="802"/>
      <c r="F471" s="802"/>
      <c r="G471" s="802"/>
      <c r="H471" s="802"/>
      <c r="I471" s="612"/>
      <c r="J471" s="612"/>
      <c r="K471" s="612"/>
      <c r="L471" s="612"/>
    </row>
    <row r="472" spans="1:12" ht="17.100000000000001" customHeight="1">
      <c r="A472" s="612" t="s">
        <v>13679</v>
      </c>
      <c r="B472" s="636" t="s">
        <v>12698</v>
      </c>
      <c r="C472" s="612" t="s">
        <v>12699</v>
      </c>
      <c r="D472" s="612" t="s">
        <v>12700</v>
      </c>
      <c r="E472" s="637" t="s">
        <v>12702</v>
      </c>
      <c r="F472" s="801" t="s">
        <v>12704</v>
      </c>
      <c r="G472" s="801"/>
      <c r="H472" s="801" t="s">
        <v>13678</v>
      </c>
      <c r="I472" s="801"/>
      <c r="J472" s="801" t="s">
        <v>12705</v>
      </c>
      <c r="K472" s="801"/>
      <c r="L472" s="801"/>
    </row>
    <row r="473" spans="1:12" ht="24" customHeight="1">
      <c r="A473" s="626" t="s">
        <v>12709</v>
      </c>
      <c r="B473" s="627" t="s">
        <v>12998</v>
      </c>
      <c r="C473" s="626" t="s">
        <v>8</v>
      </c>
      <c r="D473" s="626" t="s">
        <v>11861</v>
      </c>
      <c r="E473" s="628" t="s">
        <v>23</v>
      </c>
      <c r="F473" s="816" t="s">
        <v>13683</v>
      </c>
      <c r="G473" s="816"/>
      <c r="H473" s="816">
        <v>7.8883802000000003</v>
      </c>
      <c r="I473" s="816"/>
      <c r="J473" s="817">
        <v>5.6006999999999998</v>
      </c>
      <c r="K473" s="817"/>
      <c r="L473" s="817"/>
    </row>
    <row r="474" spans="1:12" ht="17.100000000000001" customHeight="1">
      <c r="A474" s="636"/>
      <c r="B474" s="636"/>
      <c r="C474" s="636"/>
      <c r="D474" s="636"/>
      <c r="E474" s="636"/>
      <c r="F474" s="636"/>
      <c r="G474" s="636"/>
      <c r="H474" s="636"/>
      <c r="I474" s="636"/>
      <c r="J474" s="636" t="s">
        <v>13675</v>
      </c>
      <c r="K474" s="636"/>
      <c r="L474" s="636" t="s">
        <v>14267</v>
      </c>
    </row>
    <row r="475" spans="1:12">
      <c r="A475" s="802" t="s">
        <v>12713</v>
      </c>
      <c r="B475" s="802"/>
      <c r="C475" s="802"/>
      <c r="D475" s="802"/>
      <c r="E475" s="802"/>
      <c r="F475" s="802"/>
      <c r="G475" s="802"/>
      <c r="H475" s="802"/>
      <c r="I475" s="612"/>
      <c r="J475" s="612"/>
      <c r="K475" s="612"/>
      <c r="L475" s="612"/>
    </row>
    <row r="476" spans="1:12" ht="17.100000000000001" customHeight="1">
      <c r="A476" s="612" t="s">
        <v>13679</v>
      </c>
      <c r="B476" s="636" t="s">
        <v>12698</v>
      </c>
      <c r="C476" s="612" t="s">
        <v>12699</v>
      </c>
      <c r="D476" s="612" t="s">
        <v>12700</v>
      </c>
      <c r="E476" s="637" t="s">
        <v>12702</v>
      </c>
      <c r="F476" s="801" t="s">
        <v>12704</v>
      </c>
      <c r="G476" s="801"/>
      <c r="H476" s="801" t="s">
        <v>13678</v>
      </c>
      <c r="I476" s="801"/>
      <c r="J476" s="801" t="s">
        <v>12705</v>
      </c>
      <c r="K476" s="801"/>
      <c r="L476" s="801"/>
    </row>
    <row r="477" spans="1:12" ht="24" customHeight="1">
      <c r="A477" s="626" t="s">
        <v>12709</v>
      </c>
      <c r="B477" s="627" t="s">
        <v>12999</v>
      </c>
      <c r="C477" s="626" t="s">
        <v>8</v>
      </c>
      <c r="D477" s="626" t="s">
        <v>11251</v>
      </c>
      <c r="E477" s="628" t="s">
        <v>23</v>
      </c>
      <c r="F477" s="816" t="s">
        <v>13681</v>
      </c>
      <c r="G477" s="816"/>
      <c r="H477" s="816">
        <v>7.8883802000000003</v>
      </c>
      <c r="I477" s="816"/>
      <c r="J477" s="817">
        <v>0.55220000000000002</v>
      </c>
      <c r="K477" s="817"/>
      <c r="L477" s="817"/>
    </row>
    <row r="478" spans="1:12" ht="17.100000000000001" customHeight="1">
      <c r="A478" s="636"/>
      <c r="B478" s="636"/>
      <c r="C478" s="636"/>
      <c r="D478" s="636"/>
      <c r="E478" s="636"/>
      <c r="F478" s="636"/>
      <c r="G478" s="636"/>
      <c r="H478" s="636"/>
      <c r="I478" s="636"/>
      <c r="J478" s="636" t="s">
        <v>13675</v>
      </c>
      <c r="K478" s="636"/>
      <c r="L478" s="636" t="s">
        <v>13781</v>
      </c>
    </row>
    <row r="479" spans="1:12">
      <c r="A479" s="802" t="s">
        <v>12712</v>
      </c>
      <c r="B479" s="802"/>
      <c r="C479" s="802"/>
      <c r="D479" s="802"/>
      <c r="E479" s="802"/>
      <c r="F479" s="802"/>
      <c r="G479" s="802"/>
      <c r="H479" s="802"/>
      <c r="I479" s="612"/>
      <c r="J479" s="612"/>
      <c r="K479" s="612"/>
      <c r="L479" s="612"/>
    </row>
    <row r="480" spans="1:12" ht="17.100000000000001" customHeight="1">
      <c r="A480" s="612" t="s">
        <v>13679</v>
      </c>
      <c r="B480" s="636" t="s">
        <v>12698</v>
      </c>
      <c r="C480" s="612" t="s">
        <v>12699</v>
      </c>
      <c r="D480" s="612" t="s">
        <v>12700</v>
      </c>
      <c r="E480" s="637" t="s">
        <v>12702</v>
      </c>
      <c r="F480" s="801" t="s">
        <v>12704</v>
      </c>
      <c r="G480" s="801"/>
      <c r="H480" s="801" t="s">
        <v>13678</v>
      </c>
      <c r="I480" s="801"/>
      <c r="J480" s="801" t="s">
        <v>12705</v>
      </c>
      <c r="K480" s="801"/>
      <c r="L480" s="801"/>
    </row>
    <row r="481" spans="1:12" ht="24" customHeight="1">
      <c r="A481" s="626" t="s">
        <v>12709</v>
      </c>
      <c r="B481" s="627" t="s">
        <v>13002</v>
      </c>
      <c r="C481" s="626" t="s">
        <v>8</v>
      </c>
      <c r="D481" s="626" t="s">
        <v>9306</v>
      </c>
      <c r="E481" s="628" t="s">
        <v>23</v>
      </c>
      <c r="F481" s="816" t="s">
        <v>13677</v>
      </c>
      <c r="G481" s="816"/>
      <c r="H481" s="816">
        <v>7.8883802000000003</v>
      </c>
      <c r="I481" s="816"/>
      <c r="J481" s="817">
        <v>2.7608999999999999</v>
      </c>
      <c r="K481" s="817"/>
      <c r="L481" s="817"/>
    </row>
    <row r="482" spans="1:12" ht="24" customHeight="1">
      <c r="A482" s="626" t="s">
        <v>12709</v>
      </c>
      <c r="B482" s="627" t="s">
        <v>13004</v>
      </c>
      <c r="C482" s="626" t="s">
        <v>8</v>
      </c>
      <c r="D482" s="626" t="s">
        <v>7388</v>
      </c>
      <c r="E482" s="628" t="s">
        <v>23</v>
      </c>
      <c r="F482" s="816" t="s">
        <v>13676</v>
      </c>
      <c r="G482" s="816"/>
      <c r="H482" s="816">
        <v>7.8883802000000003</v>
      </c>
      <c r="I482" s="816"/>
      <c r="J482" s="817">
        <v>17.354399999999998</v>
      </c>
      <c r="K482" s="817"/>
      <c r="L482" s="817"/>
    </row>
    <row r="483" spans="1:12" ht="17.100000000000001" customHeight="1">
      <c r="A483" s="636"/>
      <c r="B483" s="636"/>
      <c r="C483" s="636"/>
      <c r="D483" s="636"/>
      <c r="E483" s="636"/>
      <c r="F483" s="636"/>
      <c r="G483" s="636"/>
      <c r="H483" s="636"/>
      <c r="I483" s="636"/>
      <c r="J483" s="636" t="s">
        <v>13675</v>
      </c>
      <c r="K483" s="636"/>
      <c r="L483" s="636" t="s">
        <v>14266</v>
      </c>
    </row>
    <row r="484" spans="1:12" ht="17.100000000000001" customHeight="1">
      <c r="A484" s="612" t="s">
        <v>13673</v>
      </c>
      <c r="B484" s="612"/>
      <c r="C484" s="612"/>
      <c r="D484" s="612"/>
      <c r="E484" s="612"/>
      <c r="F484" s="612"/>
      <c r="G484" s="612"/>
      <c r="H484" s="612"/>
      <c r="I484" s="612"/>
      <c r="J484" s="612"/>
      <c r="K484" s="612"/>
      <c r="L484" s="612"/>
    </row>
    <row r="485" spans="1:12" ht="17.100000000000001" customHeight="1">
      <c r="A485" s="636"/>
      <c r="B485" s="636"/>
      <c r="C485" s="636"/>
      <c r="D485" s="636"/>
      <c r="E485" s="636"/>
      <c r="F485" s="636"/>
      <c r="G485" s="636"/>
      <c r="H485" s="636"/>
      <c r="I485" s="636"/>
      <c r="J485" s="636" t="s">
        <v>13672</v>
      </c>
      <c r="K485" s="636"/>
      <c r="L485" s="636" t="s">
        <v>14924</v>
      </c>
    </row>
    <row r="486" spans="1:12" ht="17.100000000000001" customHeight="1">
      <c r="A486" s="636"/>
      <c r="B486" s="636"/>
      <c r="C486" s="636"/>
      <c r="D486" s="636"/>
      <c r="E486" s="636"/>
      <c r="F486" s="636"/>
      <c r="G486" s="636"/>
      <c r="H486" s="636"/>
      <c r="I486" s="636"/>
      <c r="J486" s="636" t="s">
        <v>13671</v>
      </c>
      <c r="K486" s="636" t="s">
        <v>14461</v>
      </c>
      <c r="L486" s="636" t="s">
        <v>14925</v>
      </c>
    </row>
    <row r="487" spans="1:12" ht="17.100000000000001" customHeight="1">
      <c r="A487" s="636"/>
      <c r="B487" s="636"/>
      <c r="C487" s="636"/>
      <c r="D487" s="636"/>
      <c r="E487" s="636"/>
      <c r="F487" s="636"/>
      <c r="G487" s="636"/>
      <c r="H487" s="636"/>
      <c r="I487" s="636"/>
      <c r="J487" s="636" t="s">
        <v>13670</v>
      </c>
      <c r="K487" s="636"/>
      <c r="L487" s="636" t="s">
        <v>14926</v>
      </c>
    </row>
    <row r="488" spans="1:12" ht="17.100000000000001" customHeight="1">
      <c r="A488" s="636"/>
      <c r="B488" s="636"/>
      <c r="C488" s="636"/>
      <c r="D488" s="636"/>
      <c r="E488" s="636"/>
      <c r="F488" s="636"/>
      <c r="G488" s="636"/>
      <c r="H488" s="636"/>
      <c r="I488" s="636"/>
      <c r="J488" s="636" t="s">
        <v>13669</v>
      </c>
      <c r="K488" s="636" t="s">
        <v>13667</v>
      </c>
      <c r="L488" s="636" t="s">
        <v>14927</v>
      </c>
    </row>
    <row r="489" spans="1:12" ht="17.100000000000001" customHeight="1">
      <c r="A489" s="636"/>
      <c r="B489" s="636"/>
      <c r="C489" s="636"/>
      <c r="D489" s="636"/>
      <c r="E489" s="636"/>
      <c r="F489" s="636"/>
      <c r="G489" s="636"/>
      <c r="H489" s="636"/>
      <c r="I489" s="636"/>
      <c r="J489" s="636" t="s">
        <v>13668</v>
      </c>
      <c r="K489" s="636"/>
      <c r="L489" s="636" t="s">
        <v>14928</v>
      </c>
    </row>
    <row r="490" spans="1:12" ht="30" customHeight="1">
      <c r="A490" s="637"/>
      <c r="B490" s="637"/>
      <c r="C490" s="637"/>
      <c r="D490" s="637"/>
      <c r="E490" s="637"/>
      <c r="F490" s="637"/>
      <c r="G490" s="637"/>
      <c r="H490" s="637"/>
      <c r="I490" s="637"/>
      <c r="J490" s="637"/>
      <c r="K490" s="637"/>
      <c r="L490" s="637"/>
    </row>
    <row r="491" spans="1:12" ht="24" customHeight="1">
      <c r="A491" s="616" t="s">
        <v>14265</v>
      </c>
      <c r="B491" s="617" t="s">
        <v>13643</v>
      </c>
      <c r="C491" s="616" t="s">
        <v>8</v>
      </c>
      <c r="D491" s="616" t="s">
        <v>4629</v>
      </c>
      <c r="E491" s="618" t="s">
        <v>12725</v>
      </c>
      <c r="F491" s="617"/>
      <c r="G491" s="617"/>
      <c r="H491" s="617"/>
      <c r="I491" s="617"/>
      <c r="J491" s="617"/>
      <c r="K491" s="617"/>
      <c r="L491" s="617"/>
    </row>
    <row r="492" spans="1:12" ht="14.25" customHeight="1">
      <c r="A492" s="802" t="s">
        <v>12711</v>
      </c>
      <c r="B492" s="802"/>
      <c r="C492" s="802"/>
      <c r="D492" s="802"/>
      <c r="E492" s="802"/>
      <c r="F492" s="802"/>
      <c r="G492" s="802"/>
      <c r="H492" s="802"/>
      <c r="I492" s="612"/>
      <c r="J492" s="612"/>
      <c r="K492" s="612"/>
      <c r="L492" s="612"/>
    </row>
    <row r="493" spans="1:12" ht="17.100000000000001" customHeight="1">
      <c r="A493" s="612" t="s">
        <v>13679</v>
      </c>
      <c r="B493" s="636" t="s">
        <v>12698</v>
      </c>
      <c r="C493" s="612" t="s">
        <v>12699</v>
      </c>
      <c r="D493" s="612" t="s">
        <v>12700</v>
      </c>
      <c r="E493" s="637" t="s">
        <v>12702</v>
      </c>
      <c r="F493" s="801" t="s">
        <v>12704</v>
      </c>
      <c r="G493" s="801"/>
      <c r="H493" s="801" t="s">
        <v>13678</v>
      </c>
      <c r="I493" s="801"/>
      <c r="J493" s="801" t="s">
        <v>12705</v>
      </c>
      <c r="K493" s="801"/>
      <c r="L493" s="801"/>
    </row>
    <row r="494" spans="1:12" ht="24" customHeight="1">
      <c r="A494" s="626" t="s">
        <v>12709</v>
      </c>
      <c r="B494" s="627" t="s">
        <v>13052</v>
      </c>
      <c r="C494" s="626" t="s">
        <v>8</v>
      </c>
      <c r="D494" s="626" t="s">
        <v>9229</v>
      </c>
      <c r="E494" s="628" t="s">
        <v>23</v>
      </c>
      <c r="F494" s="816" t="s">
        <v>13692</v>
      </c>
      <c r="G494" s="816"/>
      <c r="H494" s="816">
        <v>0.25495960000000001</v>
      </c>
      <c r="I494" s="816"/>
      <c r="J494" s="817">
        <v>0.24479999999999999</v>
      </c>
      <c r="K494" s="817"/>
      <c r="L494" s="817"/>
    </row>
    <row r="495" spans="1:12" ht="24" customHeight="1">
      <c r="A495" s="626" t="s">
        <v>12709</v>
      </c>
      <c r="B495" s="627" t="s">
        <v>13051</v>
      </c>
      <c r="C495" s="626" t="s">
        <v>8</v>
      </c>
      <c r="D495" s="626" t="s">
        <v>9376</v>
      </c>
      <c r="E495" s="628" t="s">
        <v>23</v>
      </c>
      <c r="F495" s="816" t="s">
        <v>13691</v>
      </c>
      <c r="G495" s="816"/>
      <c r="H495" s="816">
        <v>0.25495960000000001</v>
      </c>
      <c r="I495" s="816"/>
      <c r="J495" s="817">
        <v>0.1275</v>
      </c>
      <c r="K495" s="817"/>
      <c r="L495" s="817"/>
    </row>
    <row r="496" spans="1:12" ht="24" customHeight="1">
      <c r="A496" s="626" t="s">
        <v>12709</v>
      </c>
      <c r="B496" s="627" t="s">
        <v>13048</v>
      </c>
      <c r="C496" s="626" t="s">
        <v>8</v>
      </c>
      <c r="D496" s="626" t="s">
        <v>9233</v>
      </c>
      <c r="E496" s="628" t="s">
        <v>23</v>
      </c>
      <c r="F496" s="816" t="s">
        <v>13690</v>
      </c>
      <c r="G496" s="816"/>
      <c r="H496" s="816">
        <v>0.71854070000000003</v>
      </c>
      <c r="I496" s="816"/>
      <c r="J496" s="817">
        <v>0.7329</v>
      </c>
      <c r="K496" s="817"/>
      <c r="L496" s="817"/>
    </row>
    <row r="497" spans="1:12" ht="24" customHeight="1">
      <c r="A497" s="626" t="s">
        <v>12709</v>
      </c>
      <c r="B497" s="627" t="s">
        <v>13047</v>
      </c>
      <c r="C497" s="626" t="s">
        <v>8</v>
      </c>
      <c r="D497" s="626" t="s">
        <v>9380</v>
      </c>
      <c r="E497" s="628" t="s">
        <v>23</v>
      </c>
      <c r="F497" s="816" t="s">
        <v>13689</v>
      </c>
      <c r="G497" s="816"/>
      <c r="H497" s="816">
        <v>0.71854070000000003</v>
      </c>
      <c r="I497" s="816"/>
      <c r="J497" s="817">
        <v>0.27300000000000002</v>
      </c>
      <c r="K497" s="817"/>
      <c r="L497" s="817"/>
    </row>
    <row r="498" spans="1:12" ht="17.100000000000001" customHeight="1">
      <c r="A498" s="636"/>
      <c r="B498" s="636"/>
      <c r="C498" s="636"/>
      <c r="D498" s="636"/>
      <c r="E498" s="636"/>
      <c r="F498" s="636"/>
      <c r="G498" s="636"/>
      <c r="H498" s="636"/>
      <c r="I498" s="636"/>
      <c r="J498" s="636" t="s">
        <v>13675</v>
      </c>
      <c r="K498" s="636"/>
      <c r="L498" s="636" t="s">
        <v>13851</v>
      </c>
    </row>
    <row r="499" spans="1:12" ht="14.25" customHeight="1">
      <c r="A499" s="802" t="s">
        <v>12710</v>
      </c>
      <c r="B499" s="802"/>
      <c r="C499" s="802"/>
      <c r="D499" s="802"/>
      <c r="E499" s="802"/>
      <c r="F499" s="802"/>
      <c r="G499" s="802"/>
      <c r="H499" s="802"/>
      <c r="I499" s="612"/>
      <c r="J499" s="612"/>
      <c r="K499" s="612"/>
      <c r="L499" s="612"/>
    </row>
    <row r="500" spans="1:12" ht="17.100000000000001" customHeight="1">
      <c r="A500" s="612" t="s">
        <v>13679</v>
      </c>
      <c r="B500" s="636" t="s">
        <v>12698</v>
      </c>
      <c r="C500" s="612" t="s">
        <v>12699</v>
      </c>
      <c r="D500" s="612" t="s">
        <v>12700</v>
      </c>
      <c r="E500" s="637" t="s">
        <v>12702</v>
      </c>
      <c r="F500" s="801" t="s">
        <v>12704</v>
      </c>
      <c r="G500" s="801"/>
      <c r="H500" s="801" t="s">
        <v>13678</v>
      </c>
      <c r="I500" s="801"/>
      <c r="J500" s="801" t="s">
        <v>12705</v>
      </c>
      <c r="K500" s="801"/>
      <c r="L500" s="801"/>
    </row>
    <row r="501" spans="1:12" ht="24" customHeight="1">
      <c r="A501" s="626" t="s">
        <v>12709</v>
      </c>
      <c r="B501" s="627" t="s">
        <v>13216</v>
      </c>
      <c r="C501" s="626" t="s">
        <v>8</v>
      </c>
      <c r="D501" s="626" t="s">
        <v>7609</v>
      </c>
      <c r="E501" s="628" t="s">
        <v>23</v>
      </c>
      <c r="F501" s="816" t="s">
        <v>14470</v>
      </c>
      <c r="G501" s="816"/>
      <c r="H501" s="816">
        <v>0.2574651</v>
      </c>
      <c r="I501" s="816"/>
      <c r="J501" s="817">
        <v>1.7790999999999999</v>
      </c>
      <c r="K501" s="817"/>
      <c r="L501" s="817"/>
    </row>
    <row r="502" spans="1:12" ht="24" customHeight="1">
      <c r="A502" s="626" t="s">
        <v>12709</v>
      </c>
      <c r="B502" s="627" t="s">
        <v>13046</v>
      </c>
      <c r="C502" s="626" t="s">
        <v>8</v>
      </c>
      <c r="D502" s="626" t="s">
        <v>11281</v>
      </c>
      <c r="E502" s="628" t="s">
        <v>23</v>
      </c>
      <c r="F502" s="816" t="s">
        <v>13731</v>
      </c>
      <c r="G502" s="816"/>
      <c r="H502" s="816">
        <v>0.72876220000000003</v>
      </c>
      <c r="I502" s="816"/>
      <c r="J502" s="817">
        <v>3.7458</v>
      </c>
      <c r="K502" s="817"/>
      <c r="L502" s="817"/>
    </row>
    <row r="503" spans="1:12" ht="17.100000000000001" customHeight="1">
      <c r="A503" s="636"/>
      <c r="B503" s="636"/>
      <c r="C503" s="636"/>
      <c r="D503" s="636"/>
      <c r="E503" s="636"/>
      <c r="F503" s="636"/>
      <c r="G503" s="636"/>
      <c r="H503" s="636"/>
      <c r="I503" s="636"/>
      <c r="J503" s="636" t="s">
        <v>13675</v>
      </c>
      <c r="K503" s="636"/>
      <c r="L503" s="636" t="s">
        <v>14035</v>
      </c>
    </row>
    <row r="504" spans="1:12">
      <c r="A504" s="802" t="s">
        <v>12722</v>
      </c>
      <c r="B504" s="802"/>
      <c r="C504" s="802"/>
      <c r="D504" s="802"/>
      <c r="E504" s="802"/>
      <c r="F504" s="802"/>
      <c r="G504" s="802"/>
      <c r="H504" s="802"/>
      <c r="I504" s="612"/>
      <c r="J504" s="612"/>
      <c r="K504" s="612"/>
      <c r="L504" s="612"/>
    </row>
    <row r="505" spans="1:12" ht="17.100000000000001" customHeight="1">
      <c r="A505" s="612" t="s">
        <v>13679</v>
      </c>
      <c r="B505" s="636" t="s">
        <v>12698</v>
      </c>
      <c r="C505" s="612" t="s">
        <v>12699</v>
      </c>
      <c r="D505" s="612" t="s">
        <v>12700</v>
      </c>
      <c r="E505" s="637" t="s">
        <v>12702</v>
      </c>
      <c r="F505" s="801" t="s">
        <v>12704</v>
      </c>
      <c r="G505" s="801"/>
      <c r="H505" s="801" t="s">
        <v>13678</v>
      </c>
      <c r="I505" s="801"/>
      <c r="J505" s="801" t="s">
        <v>12705</v>
      </c>
      <c r="K505" s="801"/>
      <c r="L505" s="801"/>
    </row>
    <row r="506" spans="1:12" ht="24" customHeight="1">
      <c r="A506" s="626" t="s">
        <v>12709</v>
      </c>
      <c r="B506" s="627" t="s">
        <v>12998</v>
      </c>
      <c r="C506" s="626" t="s">
        <v>8</v>
      </c>
      <c r="D506" s="626" t="s">
        <v>11861</v>
      </c>
      <c r="E506" s="628" t="s">
        <v>23</v>
      </c>
      <c r="F506" s="816" t="s">
        <v>13683</v>
      </c>
      <c r="G506" s="816"/>
      <c r="H506" s="816">
        <v>0.97350029999999999</v>
      </c>
      <c r="I506" s="816"/>
      <c r="J506" s="817">
        <v>0.69120000000000004</v>
      </c>
      <c r="K506" s="817"/>
      <c r="L506" s="817"/>
    </row>
    <row r="507" spans="1:12" ht="17.100000000000001" customHeight="1">
      <c r="A507" s="636"/>
      <c r="B507" s="636"/>
      <c r="C507" s="636"/>
      <c r="D507" s="636"/>
      <c r="E507" s="636"/>
      <c r="F507" s="636"/>
      <c r="G507" s="636"/>
      <c r="H507" s="636"/>
      <c r="I507" s="636"/>
      <c r="J507" s="636" t="s">
        <v>13675</v>
      </c>
      <c r="K507" s="636"/>
      <c r="L507" s="636" t="s">
        <v>13963</v>
      </c>
    </row>
    <row r="508" spans="1:12">
      <c r="A508" s="802" t="s">
        <v>12713</v>
      </c>
      <c r="B508" s="802"/>
      <c r="C508" s="802"/>
      <c r="D508" s="802"/>
      <c r="E508" s="802"/>
      <c r="F508" s="802"/>
      <c r="G508" s="802"/>
      <c r="H508" s="802"/>
      <c r="I508" s="612"/>
      <c r="J508" s="612"/>
      <c r="K508" s="612"/>
      <c r="L508" s="612"/>
    </row>
    <row r="509" spans="1:12" ht="17.100000000000001" customHeight="1">
      <c r="A509" s="612" t="s">
        <v>13679</v>
      </c>
      <c r="B509" s="636" t="s">
        <v>12698</v>
      </c>
      <c r="C509" s="612" t="s">
        <v>12699</v>
      </c>
      <c r="D509" s="612" t="s">
        <v>12700</v>
      </c>
      <c r="E509" s="637" t="s">
        <v>12702</v>
      </c>
      <c r="F509" s="801" t="s">
        <v>12704</v>
      </c>
      <c r="G509" s="801"/>
      <c r="H509" s="801" t="s">
        <v>13678</v>
      </c>
      <c r="I509" s="801"/>
      <c r="J509" s="801" t="s">
        <v>12705</v>
      </c>
      <c r="K509" s="801"/>
      <c r="L509" s="801"/>
    </row>
    <row r="510" spans="1:12" ht="24" customHeight="1">
      <c r="A510" s="626" t="s">
        <v>12709</v>
      </c>
      <c r="B510" s="627" t="s">
        <v>12999</v>
      </c>
      <c r="C510" s="626" t="s">
        <v>8</v>
      </c>
      <c r="D510" s="626" t="s">
        <v>11251</v>
      </c>
      <c r="E510" s="628" t="s">
        <v>23</v>
      </c>
      <c r="F510" s="816" t="s">
        <v>13681</v>
      </c>
      <c r="G510" s="816"/>
      <c r="H510" s="816">
        <v>0.97350029999999999</v>
      </c>
      <c r="I510" s="816"/>
      <c r="J510" s="817">
        <v>6.8099999999999994E-2</v>
      </c>
      <c r="K510" s="817"/>
      <c r="L510" s="817"/>
    </row>
    <row r="511" spans="1:12" ht="17.100000000000001" customHeight="1">
      <c r="A511" s="636"/>
      <c r="B511" s="636"/>
      <c r="C511" s="636"/>
      <c r="D511" s="636"/>
      <c r="E511" s="636"/>
      <c r="F511" s="636"/>
      <c r="G511" s="636"/>
      <c r="H511" s="636"/>
      <c r="I511" s="636"/>
      <c r="J511" s="636" t="s">
        <v>13675</v>
      </c>
      <c r="K511" s="636"/>
      <c r="L511" s="636" t="s">
        <v>13681</v>
      </c>
    </row>
    <row r="512" spans="1:12">
      <c r="A512" s="802" t="s">
        <v>12712</v>
      </c>
      <c r="B512" s="802"/>
      <c r="C512" s="802"/>
      <c r="D512" s="802"/>
      <c r="E512" s="802"/>
      <c r="F512" s="802"/>
      <c r="G512" s="802"/>
      <c r="H512" s="802"/>
      <c r="I512" s="612"/>
      <c r="J512" s="612"/>
      <c r="K512" s="612"/>
      <c r="L512" s="612"/>
    </row>
    <row r="513" spans="1:12" ht="17.100000000000001" customHeight="1">
      <c r="A513" s="612" t="s">
        <v>13679</v>
      </c>
      <c r="B513" s="636" t="s">
        <v>12698</v>
      </c>
      <c r="C513" s="612" t="s">
        <v>12699</v>
      </c>
      <c r="D513" s="612" t="s">
        <v>12700</v>
      </c>
      <c r="E513" s="637" t="s">
        <v>12702</v>
      </c>
      <c r="F513" s="801" t="s">
        <v>12704</v>
      </c>
      <c r="G513" s="801"/>
      <c r="H513" s="801" t="s">
        <v>13678</v>
      </c>
      <c r="I513" s="801"/>
      <c r="J513" s="801" t="s">
        <v>12705</v>
      </c>
      <c r="K513" s="801"/>
      <c r="L513" s="801"/>
    </row>
    <row r="514" spans="1:12" ht="24" customHeight="1">
      <c r="A514" s="626" t="s">
        <v>12709</v>
      </c>
      <c r="B514" s="627" t="s">
        <v>13002</v>
      </c>
      <c r="C514" s="626" t="s">
        <v>8</v>
      </c>
      <c r="D514" s="626" t="s">
        <v>9306</v>
      </c>
      <c r="E514" s="628" t="s">
        <v>23</v>
      </c>
      <c r="F514" s="816" t="s">
        <v>13677</v>
      </c>
      <c r="G514" s="816"/>
      <c r="H514" s="816">
        <v>0.97350029999999999</v>
      </c>
      <c r="I514" s="816"/>
      <c r="J514" s="817">
        <v>0.3407</v>
      </c>
      <c r="K514" s="817"/>
      <c r="L514" s="817"/>
    </row>
    <row r="515" spans="1:12" ht="24" customHeight="1">
      <c r="A515" s="626" t="s">
        <v>12709</v>
      </c>
      <c r="B515" s="627" t="s">
        <v>13004</v>
      </c>
      <c r="C515" s="626" t="s">
        <v>8</v>
      </c>
      <c r="D515" s="626" t="s">
        <v>7388</v>
      </c>
      <c r="E515" s="628" t="s">
        <v>23</v>
      </c>
      <c r="F515" s="816" t="s">
        <v>13676</v>
      </c>
      <c r="G515" s="816"/>
      <c r="H515" s="816">
        <v>0.97350029999999999</v>
      </c>
      <c r="I515" s="816"/>
      <c r="J515" s="817">
        <v>2.1417000000000002</v>
      </c>
      <c r="K515" s="817"/>
      <c r="L515" s="817"/>
    </row>
    <row r="516" spans="1:12" ht="17.100000000000001" customHeight="1">
      <c r="A516" s="636"/>
      <c r="B516" s="636"/>
      <c r="C516" s="636"/>
      <c r="D516" s="636"/>
      <c r="E516" s="636"/>
      <c r="F516" s="636"/>
      <c r="G516" s="636"/>
      <c r="H516" s="636"/>
      <c r="I516" s="636"/>
      <c r="J516" s="636" t="s">
        <v>13675</v>
      </c>
      <c r="K516" s="636"/>
      <c r="L516" s="636" t="s">
        <v>14264</v>
      </c>
    </row>
    <row r="517" spans="1:12" ht="17.100000000000001" customHeight="1">
      <c r="A517" s="612" t="s">
        <v>13673</v>
      </c>
      <c r="B517" s="612"/>
      <c r="C517" s="612"/>
      <c r="D517" s="612"/>
      <c r="E517" s="612"/>
      <c r="F517" s="612"/>
      <c r="G517" s="612"/>
      <c r="H517" s="612"/>
      <c r="I517" s="612"/>
      <c r="J517" s="612"/>
      <c r="K517" s="612"/>
      <c r="L517" s="612"/>
    </row>
    <row r="518" spans="1:12" ht="17.100000000000001" customHeight="1">
      <c r="A518" s="636"/>
      <c r="B518" s="636"/>
      <c r="C518" s="636"/>
      <c r="D518" s="636"/>
      <c r="E518" s="636"/>
      <c r="F518" s="636"/>
      <c r="G518" s="636"/>
      <c r="H518" s="636"/>
      <c r="I518" s="636"/>
      <c r="J518" s="636" t="s">
        <v>13672</v>
      </c>
      <c r="K518" s="636"/>
      <c r="L518" s="636" t="s">
        <v>14929</v>
      </c>
    </row>
    <row r="519" spans="1:12" ht="17.100000000000001" customHeight="1">
      <c r="A519" s="636"/>
      <c r="B519" s="636"/>
      <c r="C519" s="636"/>
      <c r="D519" s="636"/>
      <c r="E519" s="636"/>
      <c r="F519" s="636"/>
      <c r="G519" s="636"/>
      <c r="H519" s="636"/>
      <c r="I519" s="636"/>
      <c r="J519" s="636" t="s">
        <v>13671</v>
      </c>
      <c r="K519" s="636" t="s">
        <v>14461</v>
      </c>
      <c r="L519" s="636" t="s">
        <v>14930</v>
      </c>
    </row>
    <row r="520" spans="1:12" ht="17.100000000000001" customHeight="1">
      <c r="A520" s="636"/>
      <c r="B520" s="636"/>
      <c r="C520" s="636"/>
      <c r="D520" s="636"/>
      <c r="E520" s="636"/>
      <c r="F520" s="636"/>
      <c r="G520" s="636"/>
      <c r="H520" s="636"/>
      <c r="I520" s="636"/>
      <c r="J520" s="636" t="s">
        <v>13670</v>
      </c>
      <c r="K520" s="636"/>
      <c r="L520" s="636" t="s">
        <v>14931</v>
      </c>
    </row>
    <row r="521" spans="1:12" ht="17.100000000000001" customHeight="1">
      <c r="A521" s="636"/>
      <c r="B521" s="636"/>
      <c r="C521" s="636"/>
      <c r="D521" s="636"/>
      <c r="E521" s="636"/>
      <c r="F521" s="636"/>
      <c r="G521" s="636"/>
      <c r="H521" s="636"/>
      <c r="I521" s="636"/>
      <c r="J521" s="636" t="s">
        <v>13669</v>
      </c>
      <c r="K521" s="636" t="s">
        <v>13667</v>
      </c>
      <c r="L521" s="636" t="s">
        <v>14932</v>
      </c>
    </row>
    <row r="522" spans="1:12" ht="17.100000000000001" customHeight="1">
      <c r="A522" s="636"/>
      <c r="B522" s="636"/>
      <c r="C522" s="636"/>
      <c r="D522" s="636"/>
      <c r="E522" s="636"/>
      <c r="F522" s="636"/>
      <c r="G522" s="636"/>
      <c r="H522" s="636"/>
      <c r="I522" s="636"/>
      <c r="J522" s="636" t="s">
        <v>13668</v>
      </c>
      <c r="K522" s="636"/>
      <c r="L522" s="636" t="s">
        <v>14933</v>
      </c>
    </row>
    <row r="523" spans="1:12" ht="30" customHeight="1">
      <c r="A523" s="637"/>
      <c r="B523" s="637"/>
      <c r="C523" s="637"/>
      <c r="D523" s="637"/>
      <c r="E523" s="637"/>
      <c r="F523" s="637"/>
      <c r="G523" s="637"/>
      <c r="H523" s="637"/>
      <c r="I523" s="637"/>
      <c r="J523" s="637"/>
      <c r="K523" s="637"/>
      <c r="L523" s="637"/>
    </row>
    <row r="524" spans="1:12" ht="24" customHeight="1">
      <c r="A524" s="616" t="s">
        <v>14263</v>
      </c>
      <c r="B524" s="617" t="s">
        <v>13642</v>
      </c>
      <c r="C524" s="616" t="s">
        <v>8</v>
      </c>
      <c r="D524" s="616" t="s">
        <v>4641</v>
      </c>
      <c r="E524" s="618" t="s">
        <v>12725</v>
      </c>
      <c r="F524" s="617"/>
      <c r="G524" s="617"/>
      <c r="H524" s="617"/>
      <c r="I524" s="617"/>
      <c r="J524" s="617"/>
      <c r="K524" s="617"/>
      <c r="L524" s="617"/>
    </row>
    <row r="525" spans="1:12" ht="14.25" customHeight="1">
      <c r="A525" s="802" t="s">
        <v>12711</v>
      </c>
      <c r="B525" s="802"/>
      <c r="C525" s="802"/>
      <c r="D525" s="802"/>
      <c r="E525" s="802"/>
      <c r="F525" s="802"/>
      <c r="G525" s="802"/>
      <c r="H525" s="802"/>
      <c r="I525" s="612"/>
      <c r="J525" s="612"/>
      <c r="K525" s="612"/>
      <c r="L525" s="612"/>
    </row>
    <row r="526" spans="1:12" ht="17.100000000000001" customHeight="1">
      <c r="A526" s="612" t="s">
        <v>13679</v>
      </c>
      <c r="B526" s="636" t="s">
        <v>12698</v>
      </c>
      <c r="C526" s="612" t="s">
        <v>12699</v>
      </c>
      <c r="D526" s="612" t="s">
        <v>12700</v>
      </c>
      <c r="E526" s="637" t="s">
        <v>12702</v>
      </c>
      <c r="F526" s="801" t="s">
        <v>12704</v>
      </c>
      <c r="G526" s="801"/>
      <c r="H526" s="801" t="s">
        <v>13678</v>
      </c>
      <c r="I526" s="801"/>
      <c r="J526" s="801" t="s">
        <v>12705</v>
      </c>
      <c r="K526" s="801"/>
      <c r="L526" s="801"/>
    </row>
    <row r="527" spans="1:12" ht="24" customHeight="1">
      <c r="A527" s="626" t="s">
        <v>12709</v>
      </c>
      <c r="B527" s="627" t="s">
        <v>13052</v>
      </c>
      <c r="C527" s="626" t="s">
        <v>8</v>
      </c>
      <c r="D527" s="626" t="s">
        <v>9229</v>
      </c>
      <c r="E527" s="628" t="s">
        <v>23</v>
      </c>
      <c r="F527" s="816" t="s">
        <v>13692</v>
      </c>
      <c r="G527" s="816"/>
      <c r="H527" s="816">
        <v>0.3636392</v>
      </c>
      <c r="I527" s="816"/>
      <c r="J527" s="817">
        <v>0.34910000000000002</v>
      </c>
      <c r="K527" s="817"/>
      <c r="L527" s="817"/>
    </row>
    <row r="528" spans="1:12" ht="24" customHeight="1">
      <c r="A528" s="626" t="s">
        <v>12709</v>
      </c>
      <c r="B528" s="627" t="s">
        <v>13051</v>
      </c>
      <c r="C528" s="626" t="s">
        <v>8</v>
      </c>
      <c r="D528" s="626" t="s">
        <v>9376</v>
      </c>
      <c r="E528" s="628" t="s">
        <v>23</v>
      </c>
      <c r="F528" s="816" t="s">
        <v>13691</v>
      </c>
      <c r="G528" s="816"/>
      <c r="H528" s="816">
        <v>0.3636392</v>
      </c>
      <c r="I528" s="816"/>
      <c r="J528" s="817">
        <v>0.18179999999999999</v>
      </c>
      <c r="K528" s="817"/>
      <c r="L528" s="817"/>
    </row>
    <row r="529" spans="1:12" ht="24" customHeight="1">
      <c r="A529" s="626" t="s">
        <v>12709</v>
      </c>
      <c r="B529" s="627" t="s">
        <v>13048</v>
      </c>
      <c r="C529" s="626" t="s">
        <v>8</v>
      </c>
      <c r="D529" s="626" t="s">
        <v>9233</v>
      </c>
      <c r="E529" s="628" t="s">
        <v>23</v>
      </c>
      <c r="F529" s="816" t="s">
        <v>13690</v>
      </c>
      <c r="G529" s="816"/>
      <c r="H529" s="816">
        <v>0.71430199999999999</v>
      </c>
      <c r="I529" s="816"/>
      <c r="J529" s="817">
        <v>0.72860000000000003</v>
      </c>
      <c r="K529" s="817"/>
      <c r="L529" s="817"/>
    </row>
    <row r="530" spans="1:12" ht="24" customHeight="1">
      <c r="A530" s="626" t="s">
        <v>12709</v>
      </c>
      <c r="B530" s="627" t="s">
        <v>13047</v>
      </c>
      <c r="C530" s="626" t="s">
        <v>8</v>
      </c>
      <c r="D530" s="626" t="s">
        <v>9380</v>
      </c>
      <c r="E530" s="628" t="s">
        <v>23</v>
      </c>
      <c r="F530" s="816" t="s">
        <v>13689</v>
      </c>
      <c r="G530" s="816"/>
      <c r="H530" s="816">
        <v>0.71430199999999999</v>
      </c>
      <c r="I530" s="816"/>
      <c r="J530" s="817">
        <v>0.27139999999999997</v>
      </c>
      <c r="K530" s="817"/>
      <c r="L530" s="817"/>
    </row>
    <row r="531" spans="1:12" ht="17.100000000000001" customHeight="1">
      <c r="A531" s="636"/>
      <c r="B531" s="636"/>
      <c r="C531" s="636"/>
      <c r="D531" s="636"/>
      <c r="E531" s="636"/>
      <c r="F531" s="636"/>
      <c r="G531" s="636"/>
      <c r="H531" s="636"/>
      <c r="I531" s="636"/>
      <c r="J531" s="636" t="s">
        <v>13675</v>
      </c>
      <c r="K531" s="636"/>
      <c r="L531" s="636" t="s">
        <v>13715</v>
      </c>
    </row>
    <row r="532" spans="1:12" ht="14.25" customHeight="1">
      <c r="A532" s="802" t="s">
        <v>12710</v>
      </c>
      <c r="B532" s="802"/>
      <c r="C532" s="802"/>
      <c r="D532" s="802"/>
      <c r="E532" s="802"/>
      <c r="F532" s="802"/>
      <c r="G532" s="802"/>
      <c r="H532" s="802"/>
      <c r="I532" s="612"/>
      <c r="J532" s="612"/>
      <c r="K532" s="612"/>
      <c r="L532" s="612"/>
    </row>
    <row r="533" spans="1:12" ht="17.100000000000001" customHeight="1">
      <c r="A533" s="612" t="s">
        <v>13679</v>
      </c>
      <c r="B533" s="636" t="s">
        <v>12698</v>
      </c>
      <c r="C533" s="612" t="s">
        <v>12699</v>
      </c>
      <c r="D533" s="612" t="s">
        <v>12700</v>
      </c>
      <c r="E533" s="637" t="s">
        <v>12702</v>
      </c>
      <c r="F533" s="801" t="s">
        <v>12704</v>
      </c>
      <c r="G533" s="801"/>
      <c r="H533" s="801" t="s">
        <v>13678</v>
      </c>
      <c r="I533" s="801"/>
      <c r="J533" s="801" t="s">
        <v>12705</v>
      </c>
      <c r="K533" s="801"/>
      <c r="L533" s="801"/>
    </row>
    <row r="534" spans="1:12" ht="24" customHeight="1">
      <c r="A534" s="626" t="s">
        <v>12709</v>
      </c>
      <c r="B534" s="627" t="s">
        <v>13099</v>
      </c>
      <c r="C534" s="626" t="s">
        <v>8</v>
      </c>
      <c r="D534" s="626" t="s">
        <v>10726</v>
      </c>
      <c r="E534" s="628" t="s">
        <v>23</v>
      </c>
      <c r="F534" s="816" t="s">
        <v>14470</v>
      </c>
      <c r="G534" s="816"/>
      <c r="H534" s="816">
        <v>0.36905450000000001</v>
      </c>
      <c r="I534" s="816"/>
      <c r="J534" s="817">
        <v>2.5501999999999998</v>
      </c>
      <c r="K534" s="817"/>
      <c r="L534" s="817"/>
    </row>
    <row r="535" spans="1:12" ht="24" customHeight="1">
      <c r="A535" s="626" t="s">
        <v>12709</v>
      </c>
      <c r="B535" s="627" t="s">
        <v>13046</v>
      </c>
      <c r="C535" s="626" t="s">
        <v>8</v>
      </c>
      <c r="D535" s="626" t="s">
        <v>11281</v>
      </c>
      <c r="E535" s="628" t="s">
        <v>23</v>
      </c>
      <c r="F535" s="816" t="s">
        <v>13731</v>
      </c>
      <c r="G535" s="816"/>
      <c r="H535" s="816">
        <v>0.72493929999999995</v>
      </c>
      <c r="I535" s="816"/>
      <c r="J535" s="817">
        <v>3.7262</v>
      </c>
      <c r="K535" s="817"/>
      <c r="L535" s="817"/>
    </row>
    <row r="536" spans="1:12" ht="17.100000000000001" customHeight="1">
      <c r="A536" s="636"/>
      <c r="B536" s="636"/>
      <c r="C536" s="636"/>
      <c r="D536" s="636"/>
      <c r="E536" s="636"/>
      <c r="F536" s="636"/>
      <c r="G536" s="636"/>
      <c r="H536" s="636"/>
      <c r="I536" s="636"/>
      <c r="J536" s="636" t="s">
        <v>13675</v>
      </c>
      <c r="K536" s="636"/>
      <c r="L536" s="636" t="s">
        <v>14784</v>
      </c>
    </row>
    <row r="537" spans="1:12">
      <c r="A537" s="802" t="s">
        <v>12720</v>
      </c>
      <c r="B537" s="802"/>
      <c r="C537" s="802"/>
      <c r="D537" s="802"/>
      <c r="E537" s="802"/>
      <c r="F537" s="802"/>
      <c r="G537" s="802"/>
      <c r="H537" s="802"/>
      <c r="I537" s="612"/>
      <c r="J537" s="612"/>
      <c r="K537" s="612"/>
      <c r="L537" s="612"/>
    </row>
    <row r="538" spans="1:12" ht="17.100000000000001" customHeight="1">
      <c r="A538" s="612" t="s">
        <v>13679</v>
      </c>
      <c r="B538" s="636" t="s">
        <v>12698</v>
      </c>
      <c r="C538" s="612" t="s">
        <v>12699</v>
      </c>
      <c r="D538" s="612" t="s">
        <v>12700</v>
      </c>
      <c r="E538" s="637" t="s">
        <v>12702</v>
      </c>
      <c r="F538" s="801" t="s">
        <v>12704</v>
      </c>
      <c r="G538" s="801"/>
      <c r="H538" s="801" t="s">
        <v>13678</v>
      </c>
      <c r="I538" s="801"/>
      <c r="J538" s="801" t="s">
        <v>12705</v>
      </c>
      <c r="K538" s="801"/>
      <c r="L538" s="801"/>
    </row>
    <row r="539" spans="1:12" ht="24" customHeight="1">
      <c r="A539" s="626" t="s">
        <v>12709</v>
      </c>
      <c r="B539" s="627" t="s">
        <v>14458</v>
      </c>
      <c r="C539" s="626" t="s">
        <v>8</v>
      </c>
      <c r="D539" s="626" t="s">
        <v>7925</v>
      </c>
      <c r="E539" s="628" t="s">
        <v>20</v>
      </c>
      <c r="F539" s="816" t="s">
        <v>14783</v>
      </c>
      <c r="G539" s="816"/>
      <c r="H539" s="816">
        <v>9.8400000000000001E-2</v>
      </c>
      <c r="I539" s="816"/>
      <c r="J539" s="817">
        <v>4.2300000000000004</v>
      </c>
      <c r="K539" s="817"/>
      <c r="L539" s="817"/>
    </row>
    <row r="540" spans="1:12" ht="17.100000000000001" customHeight="1">
      <c r="A540" s="636"/>
      <c r="B540" s="636"/>
      <c r="C540" s="636"/>
      <c r="D540" s="636"/>
      <c r="E540" s="636"/>
      <c r="F540" s="636"/>
      <c r="G540" s="636"/>
      <c r="H540" s="636"/>
      <c r="I540" s="636"/>
      <c r="J540" s="636" t="s">
        <v>13675</v>
      </c>
      <c r="K540" s="636"/>
      <c r="L540" s="636" t="s">
        <v>14583</v>
      </c>
    </row>
    <row r="541" spans="1:12">
      <c r="A541" s="802" t="s">
        <v>12722</v>
      </c>
      <c r="B541" s="802"/>
      <c r="C541" s="802"/>
      <c r="D541" s="802"/>
      <c r="E541" s="802"/>
      <c r="F541" s="802"/>
      <c r="G541" s="802"/>
      <c r="H541" s="802"/>
      <c r="I541" s="612"/>
      <c r="J541" s="612"/>
      <c r="K541" s="612"/>
      <c r="L541" s="612"/>
    </row>
    <row r="542" spans="1:12" ht="17.100000000000001" customHeight="1">
      <c r="A542" s="612" t="s">
        <v>13679</v>
      </c>
      <c r="B542" s="636" t="s">
        <v>12698</v>
      </c>
      <c r="C542" s="612" t="s">
        <v>12699</v>
      </c>
      <c r="D542" s="612" t="s">
        <v>12700</v>
      </c>
      <c r="E542" s="637" t="s">
        <v>12702</v>
      </c>
      <c r="F542" s="801" t="s">
        <v>12704</v>
      </c>
      <c r="G542" s="801"/>
      <c r="H542" s="801" t="s">
        <v>13678</v>
      </c>
      <c r="I542" s="801"/>
      <c r="J542" s="801" t="s">
        <v>12705</v>
      </c>
      <c r="K542" s="801"/>
      <c r="L542" s="801"/>
    </row>
    <row r="543" spans="1:12" ht="24" customHeight="1">
      <c r="A543" s="626" t="s">
        <v>12709</v>
      </c>
      <c r="B543" s="627" t="s">
        <v>12998</v>
      </c>
      <c r="C543" s="626" t="s">
        <v>8</v>
      </c>
      <c r="D543" s="626" t="s">
        <v>11861</v>
      </c>
      <c r="E543" s="628" t="s">
        <v>23</v>
      </c>
      <c r="F543" s="816" t="s">
        <v>13683</v>
      </c>
      <c r="G543" s="816"/>
      <c r="H543" s="816">
        <v>1.0779413</v>
      </c>
      <c r="I543" s="816"/>
      <c r="J543" s="817">
        <v>0.76529999999999998</v>
      </c>
      <c r="K543" s="817"/>
      <c r="L543" s="817"/>
    </row>
    <row r="544" spans="1:12" ht="17.100000000000001" customHeight="1">
      <c r="A544" s="636"/>
      <c r="B544" s="636"/>
      <c r="C544" s="636"/>
      <c r="D544" s="636"/>
      <c r="E544" s="636"/>
      <c r="F544" s="636"/>
      <c r="G544" s="636"/>
      <c r="H544" s="636"/>
      <c r="I544" s="636"/>
      <c r="J544" s="636" t="s">
        <v>13675</v>
      </c>
      <c r="K544" s="636"/>
      <c r="L544" s="636" t="s">
        <v>14782</v>
      </c>
    </row>
    <row r="545" spans="1:12">
      <c r="A545" s="802" t="s">
        <v>12713</v>
      </c>
      <c r="B545" s="802"/>
      <c r="C545" s="802"/>
      <c r="D545" s="802"/>
      <c r="E545" s="802"/>
      <c r="F545" s="802"/>
      <c r="G545" s="802"/>
      <c r="H545" s="802"/>
      <c r="I545" s="612"/>
      <c r="J545" s="612"/>
      <c r="K545" s="612"/>
      <c r="L545" s="612"/>
    </row>
    <row r="546" spans="1:12" ht="17.100000000000001" customHeight="1">
      <c r="A546" s="612" t="s">
        <v>13679</v>
      </c>
      <c r="B546" s="636" t="s">
        <v>12698</v>
      </c>
      <c r="C546" s="612" t="s">
        <v>12699</v>
      </c>
      <c r="D546" s="612" t="s">
        <v>12700</v>
      </c>
      <c r="E546" s="637" t="s">
        <v>12702</v>
      </c>
      <c r="F546" s="801" t="s">
        <v>12704</v>
      </c>
      <c r="G546" s="801"/>
      <c r="H546" s="801" t="s">
        <v>13678</v>
      </c>
      <c r="I546" s="801"/>
      <c r="J546" s="801" t="s">
        <v>12705</v>
      </c>
      <c r="K546" s="801"/>
      <c r="L546" s="801"/>
    </row>
    <row r="547" spans="1:12" ht="24" customHeight="1">
      <c r="A547" s="626" t="s">
        <v>12709</v>
      </c>
      <c r="B547" s="627" t="s">
        <v>12999</v>
      </c>
      <c r="C547" s="626" t="s">
        <v>8</v>
      </c>
      <c r="D547" s="626" t="s">
        <v>11251</v>
      </c>
      <c r="E547" s="628" t="s">
        <v>23</v>
      </c>
      <c r="F547" s="816" t="s">
        <v>13681</v>
      </c>
      <c r="G547" s="816"/>
      <c r="H547" s="816">
        <v>1.0779413</v>
      </c>
      <c r="I547" s="816"/>
      <c r="J547" s="817">
        <v>7.5499999999999998E-2</v>
      </c>
      <c r="K547" s="817"/>
      <c r="L547" s="817"/>
    </row>
    <row r="548" spans="1:12" ht="17.100000000000001" customHeight="1">
      <c r="A548" s="636"/>
      <c r="B548" s="636"/>
      <c r="C548" s="636"/>
      <c r="D548" s="636"/>
      <c r="E548" s="636"/>
      <c r="F548" s="636"/>
      <c r="G548" s="636"/>
      <c r="H548" s="636"/>
      <c r="I548" s="636"/>
      <c r="J548" s="636" t="s">
        <v>13675</v>
      </c>
      <c r="K548" s="636"/>
      <c r="L548" s="636" t="s">
        <v>13892</v>
      </c>
    </row>
    <row r="549" spans="1:12">
      <c r="A549" s="802" t="s">
        <v>12712</v>
      </c>
      <c r="B549" s="802"/>
      <c r="C549" s="802"/>
      <c r="D549" s="802"/>
      <c r="E549" s="802"/>
      <c r="F549" s="802"/>
      <c r="G549" s="802"/>
      <c r="H549" s="802"/>
      <c r="I549" s="612"/>
      <c r="J549" s="612"/>
      <c r="K549" s="612"/>
      <c r="L549" s="612"/>
    </row>
    <row r="550" spans="1:12" ht="17.100000000000001" customHeight="1">
      <c r="A550" s="612" t="s">
        <v>13679</v>
      </c>
      <c r="B550" s="636" t="s">
        <v>12698</v>
      </c>
      <c r="C550" s="612" t="s">
        <v>12699</v>
      </c>
      <c r="D550" s="612" t="s">
        <v>12700</v>
      </c>
      <c r="E550" s="637" t="s">
        <v>12702</v>
      </c>
      <c r="F550" s="801" t="s">
        <v>12704</v>
      </c>
      <c r="G550" s="801"/>
      <c r="H550" s="801" t="s">
        <v>13678</v>
      </c>
      <c r="I550" s="801"/>
      <c r="J550" s="801" t="s">
        <v>12705</v>
      </c>
      <c r="K550" s="801"/>
      <c r="L550" s="801"/>
    </row>
    <row r="551" spans="1:12" ht="24" customHeight="1">
      <c r="A551" s="626" t="s">
        <v>12709</v>
      </c>
      <c r="B551" s="627" t="s">
        <v>13002</v>
      </c>
      <c r="C551" s="626" t="s">
        <v>8</v>
      </c>
      <c r="D551" s="626" t="s">
        <v>9306</v>
      </c>
      <c r="E551" s="628" t="s">
        <v>23</v>
      </c>
      <c r="F551" s="816" t="s">
        <v>13677</v>
      </c>
      <c r="G551" s="816"/>
      <c r="H551" s="816">
        <v>1.0779413</v>
      </c>
      <c r="I551" s="816"/>
      <c r="J551" s="817">
        <v>0.37730000000000002</v>
      </c>
      <c r="K551" s="817"/>
      <c r="L551" s="817"/>
    </row>
    <row r="552" spans="1:12" ht="24" customHeight="1">
      <c r="A552" s="626" t="s">
        <v>12709</v>
      </c>
      <c r="B552" s="627" t="s">
        <v>13004</v>
      </c>
      <c r="C552" s="626" t="s">
        <v>8</v>
      </c>
      <c r="D552" s="626" t="s">
        <v>7388</v>
      </c>
      <c r="E552" s="628" t="s">
        <v>23</v>
      </c>
      <c r="F552" s="816" t="s">
        <v>13676</v>
      </c>
      <c r="G552" s="816"/>
      <c r="H552" s="816">
        <v>1.0779413</v>
      </c>
      <c r="I552" s="816"/>
      <c r="J552" s="817">
        <v>2.3715000000000002</v>
      </c>
      <c r="K552" s="817"/>
      <c r="L552" s="817"/>
    </row>
    <row r="553" spans="1:12" ht="17.100000000000001" customHeight="1">
      <c r="A553" s="636"/>
      <c r="B553" s="636"/>
      <c r="C553" s="636"/>
      <c r="D553" s="636"/>
      <c r="E553" s="636"/>
      <c r="F553" s="636"/>
      <c r="G553" s="636"/>
      <c r="H553" s="636"/>
      <c r="I553" s="636"/>
      <c r="J553" s="636" t="s">
        <v>13675</v>
      </c>
      <c r="K553" s="636"/>
      <c r="L553" s="636" t="s">
        <v>13804</v>
      </c>
    </row>
    <row r="554" spans="1:12" ht="17.100000000000001" customHeight="1">
      <c r="A554" s="612" t="s">
        <v>13673</v>
      </c>
      <c r="B554" s="612"/>
      <c r="C554" s="612"/>
      <c r="D554" s="612"/>
      <c r="E554" s="612"/>
      <c r="F554" s="612"/>
      <c r="G554" s="612"/>
      <c r="H554" s="612"/>
      <c r="I554" s="612"/>
      <c r="J554" s="612"/>
      <c r="K554" s="612"/>
      <c r="L554" s="612"/>
    </row>
    <row r="555" spans="1:12" ht="17.100000000000001" customHeight="1">
      <c r="A555" s="636"/>
      <c r="B555" s="636"/>
      <c r="C555" s="636"/>
      <c r="D555" s="636"/>
      <c r="E555" s="636"/>
      <c r="F555" s="636"/>
      <c r="G555" s="636"/>
      <c r="H555" s="636"/>
      <c r="I555" s="636"/>
      <c r="J555" s="636" t="s">
        <v>13672</v>
      </c>
      <c r="K555" s="636"/>
      <c r="L555" s="636" t="s">
        <v>14934</v>
      </c>
    </row>
    <row r="556" spans="1:12" ht="17.100000000000001" customHeight="1">
      <c r="A556" s="636"/>
      <c r="B556" s="636"/>
      <c r="C556" s="636"/>
      <c r="D556" s="636"/>
      <c r="E556" s="636"/>
      <c r="F556" s="636"/>
      <c r="G556" s="636"/>
      <c r="H556" s="636"/>
      <c r="I556" s="636"/>
      <c r="J556" s="636" t="s">
        <v>13671</v>
      </c>
      <c r="K556" s="636" t="s">
        <v>14461</v>
      </c>
      <c r="L556" s="636" t="s">
        <v>14935</v>
      </c>
    </row>
    <row r="557" spans="1:12" ht="17.100000000000001" customHeight="1">
      <c r="A557" s="636"/>
      <c r="B557" s="636"/>
      <c r="C557" s="636"/>
      <c r="D557" s="636"/>
      <c r="E557" s="636"/>
      <c r="F557" s="636"/>
      <c r="G557" s="636"/>
      <c r="H557" s="636"/>
      <c r="I557" s="636"/>
      <c r="J557" s="636" t="s">
        <v>13670</v>
      </c>
      <c r="K557" s="636"/>
      <c r="L557" s="636" t="s">
        <v>14936</v>
      </c>
    </row>
    <row r="558" spans="1:12" ht="17.100000000000001" customHeight="1">
      <c r="A558" s="636"/>
      <c r="B558" s="636"/>
      <c r="C558" s="636"/>
      <c r="D558" s="636"/>
      <c r="E558" s="636"/>
      <c r="F558" s="636"/>
      <c r="G558" s="636"/>
      <c r="H558" s="636"/>
      <c r="I558" s="636"/>
      <c r="J558" s="636" t="s">
        <v>13669</v>
      </c>
      <c r="K558" s="636" t="s">
        <v>13667</v>
      </c>
      <c r="L558" s="636" t="s">
        <v>14937</v>
      </c>
    </row>
    <row r="559" spans="1:12" ht="17.100000000000001" customHeight="1">
      <c r="A559" s="636"/>
      <c r="B559" s="636"/>
      <c r="C559" s="636"/>
      <c r="D559" s="636"/>
      <c r="E559" s="636"/>
      <c r="F559" s="636"/>
      <c r="G559" s="636"/>
      <c r="H559" s="636"/>
      <c r="I559" s="636"/>
      <c r="J559" s="636" t="s">
        <v>13668</v>
      </c>
      <c r="K559" s="636"/>
      <c r="L559" s="636" t="s">
        <v>14938</v>
      </c>
    </row>
    <row r="560" spans="1:12" ht="30" customHeight="1">
      <c r="A560" s="637"/>
      <c r="B560" s="637"/>
      <c r="C560" s="637"/>
      <c r="D560" s="637"/>
      <c r="E560" s="637"/>
      <c r="F560" s="637"/>
      <c r="G560" s="637"/>
      <c r="H560" s="637"/>
      <c r="I560" s="637"/>
      <c r="J560" s="637"/>
      <c r="K560" s="637"/>
      <c r="L560" s="637"/>
    </row>
    <row r="561" spans="1:12" ht="24" customHeight="1">
      <c r="A561" s="616" t="s">
        <v>14262</v>
      </c>
      <c r="B561" s="617" t="s">
        <v>13641</v>
      </c>
      <c r="C561" s="616" t="s">
        <v>8</v>
      </c>
      <c r="D561" s="616" t="s">
        <v>4640</v>
      </c>
      <c r="E561" s="618" t="s">
        <v>12725</v>
      </c>
      <c r="F561" s="617"/>
      <c r="G561" s="617"/>
      <c r="H561" s="617"/>
      <c r="I561" s="617"/>
      <c r="J561" s="617"/>
      <c r="K561" s="617"/>
      <c r="L561" s="617"/>
    </row>
    <row r="562" spans="1:12" ht="14.25" customHeight="1">
      <c r="A562" s="802" t="s">
        <v>12711</v>
      </c>
      <c r="B562" s="802"/>
      <c r="C562" s="802"/>
      <c r="D562" s="802"/>
      <c r="E562" s="802"/>
      <c r="F562" s="802"/>
      <c r="G562" s="802"/>
      <c r="H562" s="802"/>
      <c r="I562" s="612"/>
      <c r="J562" s="612"/>
      <c r="K562" s="612"/>
      <c r="L562" s="612"/>
    </row>
    <row r="563" spans="1:12" ht="17.100000000000001" customHeight="1">
      <c r="A563" s="612" t="s">
        <v>13679</v>
      </c>
      <c r="B563" s="636" t="s">
        <v>12698</v>
      </c>
      <c r="C563" s="612" t="s">
        <v>12699</v>
      </c>
      <c r="D563" s="612" t="s">
        <v>12700</v>
      </c>
      <c r="E563" s="637" t="s">
        <v>12702</v>
      </c>
      <c r="F563" s="801" t="s">
        <v>12704</v>
      </c>
      <c r="G563" s="801"/>
      <c r="H563" s="801" t="s">
        <v>13678</v>
      </c>
      <c r="I563" s="801"/>
      <c r="J563" s="801" t="s">
        <v>12705</v>
      </c>
      <c r="K563" s="801"/>
      <c r="L563" s="801"/>
    </row>
    <row r="564" spans="1:12" ht="24" customHeight="1">
      <c r="A564" s="626" t="s">
        <v>12709</v>
      </c>
      <c r="B564" s="627" t="s">
        <v>13052</v>
      </c>
      <c r="C564" s="626" t="s">
        <v>8</v>
      </c>
      <c r="D564" s="626" t="s">
        <v>9229</v>
      </c>
      <c r="E564" s="628" t="s">
        <v>23</v>
      </c>
      <c r="F564" s="816" t="s">
        <v>13692</v>
      </c>
      <c r="G564" s="816"/>
      <c r="H564" s="816">
        <v>0.13126499999999999</v>
      </c>
      <c r="I564" s="816"/>
      <c r="J564" s="817">
        <v>0.126</v>
      </c>
      <c r="K564" s="817"/>
      <c r="L564" s="817"/>
    </row>
    <row r="565" spans="1:12" ht="24" customHeight="1">
      <c r="A565" s="626" t="s">
        <v>12709</v>
      </c>
      <c r="B565" s="627" t="s">
        <v>13051</v>
      </c>
      <c r="C565" s="626" t="s">
        <v>8</v>
      </c>
      <c r="D565" s="626" t="s">
        <v>9376</v>
      </c>
      <c r="E565" s="628" t="s">
        <v>23</v>
      </c>
      <c r="F565" s="816" t="s">
        <v>13691</v>
      </c>
      <c r="G565" s="816"/>
      <c r="H565" s="816">
        <v>0.13126499999999999</v>
      </c>
      <c r="I565" s="816"/>
      <c r="J565" s="817">
        <v>6.5600000000000006E-2</v>
      </c>
      <c r="K565" s="817"/>
      <c r="L565" s="817"/>
    </row>
    <row r="566" spans="1:12" ht="24" customHeight="1">
      <c r="A566" s="626" t="s">
        <v>12709</v>
      </c>
      <c r="B566" s="627" t="s">
        <v>13048</v>
      </c>
      <c r="C566" s="626" t="s">
        <v>8</v>
      </c>
      <c r="D566" s="626" t="s">
        <v>9233</v>
      </c>
      <c r="E566" s="628" t="s">
        <v>23</v>
      </c>
      <c r="F566" s="816" t="s">
        <v>13690</v>
      </c>
      <c r="G566" s="816"/>
      <c r="H566" s="816">
        <v>0.25773869999999999</v>
      </c>
      <c r="I566" s="816"/>
      <c r="J566" s="817">
        <v>0.26290000000000002</v>
      </c>
      <c r="K566" s="817"/>
      <c r="L566" s="817"/>
    </row>
    <row r="567" spans="1:12" ht="24" customHeight="1">
      <c r="A567" s="626" t="s">
        <v>12709</v>
      </c>
      <c r="B567" s="627" t="s">
        <v>13047</v>
      </c>
      <c r="C567" s="626" t="s">
        <v>8</v>
      </c>
      <c r="D567" s="626" t="s">
        <v>9380</v>
      </c>
      <c r="E567" s="628" t="s">
        <v>23</v>
      </c>
      <c r="F567" s="816" t="s">
        <v>13689</v>
      </c>
      <c r="G567" s="816"/>
      <c r="H567" s="816">
        <v>0.25773869999999999</v>
      </c>
      <c r="I567" s="816"/>
      <c r="J567" s="817">
        <v>9.7900000000000001E-2</v>
      </c>
      <c r="K567" s="817"/>
      <c r="L567" s="817"/>
    </row>
    <row r="568" spans="1:12" ht="17.100000000000001" customHeight="1">
      <c r="A568" s="636"/>
      <c r="B568" s="636"/>
      <c r="C568" s="636"/>
      <c r="D568" s="636"/>
      <c r="E568" s="636"/>
      <c r="F568" s="636"/>
      <c r="G568" s="636"/>
      <c r="H568" s="636"/>
      <c r="I568" s="636"/>
      <c r="J568" s="636" t="s">
        <v>13675</v>
      </c>
      <c r="K568" s="636"/>
      <c r="L568" s="636" t="s">
        <v>13781</v>
      </c>
    </row>
    <row r="569" spans="1:12" ht="14.25" customHeight="1">
      <c r="A569" s="802" t="s">
        <v>12710</v>
      </c>
      <c r="B569" s="802"/>
      <c r="C569" s="802"/>
      <c r="D569" s="802"/>
      <c r="E569" s="802"/>
      <c r="F569" s="802"/>
      <c r="G569" s="802"/>
      <c r="H569" s="802"/>
      <c r="I569" s="612"/>
      <c r="J569" s="612"/>
      <c r="K569" s="612"/>
      <c r="L569" s="612"/>
    </row>
    <row r="570" spans="1:12" ht="17.100000000000001" customHeight="1">
      <c r="A570" s="612" t="s">
        <v>13679</v>
      </c>
      <c r="B570" s="636" t="s">
        <v>12698</v>
      </c>
      <c r="C570" s="612" t="s">
        <v>12699</v>
      </c>
      <c r="D570" s="612" t="s">
        <v>12700</v>
      </c>
      <c r="E570" s="637" t="s">
        <v>12702</v>
      </c>
      <c r="F570" s="801" t="s">
        <v>12704</v>
      </c>
      <c r="G570" s="801"/>
      <c r="H570" s="801" t="s">
        <v>13678</v>
      </c>
      <c r="I570" s="801"/>
      <c r="J570" s="801" t="s">
        <v>12705</v>
      </c>
      <c r="K570" s="801"/>
      <c r="L570" s="801"/>
    </row>
    <row r="571" spans="1:12" ht="24" customHeight="1">
      <c r="A571" s="626" t="s">
        <v>12709</v>
      </c>
      <c r="B571" s="627" t="s">
        <v>13099</v>
      </c>
      <c r="C571" s="626" t="s">
        <v>8</v>
      </c>
      <c r="D571" s="626" t="s">
        <v>10726</v>
      </c>
      <c r="E571" s="628" t="s">
        <v>23</v>
      </c>
      <c r="F571" s="816" t="s">
        <v>14470</v>
      </c>
      <c r="G571" s="816"/>
      <c r="H571" s="816">
        <v>0.1329051</v>
      </c>
      <c r="I571" s="816"/>
      <c r="J571" s="817">
        <v>0.91839999999999999</v>
      </c>
      <c r="K571" s="817"/>
      <c r="L571" s="817"/>
    </row>
    <row r="572" spans="1:12" ht="24" customHeight="1">
      <c r="A572" s="626" t="s">
        <v>12709</v>
      </c>
      <c r="B572" s="627" t="s">
        <v>13046</v>
      </c>
      <c r="C572" s="626" t="s">
        <v>8</v>
      </c>
      <c r="D572" s="626" t="s">
        <v>11281</v>
      </c>
      <c r="E572" s="628" t="s">
        <v>23</v>
      </c>
      <c r="F572" s="816" t="s">
        <v>13731</v>
      </c>
      <c r="G572" s="816"/>
      <c r="H572" s="816">
        <v>0.260959</v>
      </c>
      <c r="I572" s="816"/>
      <c r="J572" s="817">
        <v>1.3412999999999999</v>
      </c>
      <c r="K572" s="817"/>
      <c r="L572" s="817"/>
    </row>
    <row r="573" spans="1:12" ht="17.100000000000001" customHeight="1">
      <c r="A573" s="636"/>
      <c r="B573" s="636"/>
      <c r="C573" s="636"/>
      <c r="D573" s="636"/>
      <c r="E573" s="636"/>
      <c r="F573" s="636"/>
      <c r="G573" s="636"/>
      <c r="H573" s="636"/>
      <c r="I573" s="636"/>
      <c r="J573" s="636" t="s">
        <v>13675</v>
      </c>
      <c r="K573" s="636"/>
      <c r="L573" s="636" t="s">
        <v>14198</v>
      </c>
    </row>
    <row r="574" spans="1:12">
      <c r="A574" s="802" t="s">
        <v>12722</v>
      </c>
      <c r="B574" s="802"/>
      <c r="C574" s="802"/>
      <c r="D574" s="802"/>
      <c r="E574" s="802"/>
      <c r="F574" s="802"/>
      <c r="G574" s="802"/>
      <c r="H574" s="802"/>
      <c r="I574" s="612"/>
      <c r="J574" s="612"/>
      <c r="K574" s="612"/>
      <c r="L574" s="612"/>
    </row>
    <row r="575" spans="1:12" ht="17.100000000000001" customHeight="1">
      <c r="A575" s="612" t="s">
        <v>13679</v>
      </c>
      <c r="B575" s="636" t="s">
        <v>12698</v>
      </c>
      <c r="C575" s="612" t="s">
        <v>12699</v>
      </c>
      <c r="D575" s="612" t="s">
        <v>12700</v>
      </c>
      <c r="E575" s="637" t="s">
        <v>12702</v>
      </c>
      <c r="F575" s="801" t="s">
        <v>12704</v>
      </c>
      <c r="G575" s="801"/>
      <c r="H575" s="801" t="s">
        <v>13678</v>
      </c>
      <c r="I575" s="801"/>
      <c r="J575" s="801" t="s">
        <v>12705</v>
      </c>
      <c r="K575" s="801"/>
      <c r="L575" s="801"/>
    </row>
    <row r="576" spans="1:12" ht="24" customHeight="1">
      <c r="A576" s="626" t="s">
        <v>12709</v>
      </c>
      <c r="B576" s="627" t="s">
        <v>12998</v>
      </c>
      <c r="C576" s="626" t="s">
        <v>8</v>
      </c>
      <c r="D576" s="626" t="s">
        <v>11861</v>
      </c>
      <c r="E576" s="628" t="s">
        <v>23</v>
      </c>
      <c r="F576" s="816" t="s">
        <v>13683</v>
      </c>
      <c r="G576" s="816"/>
      <c r="H576" s="816">
        <v>0.38900370000000001</v>
      </c>
      <c r="I576" s="816"/>
      <c r="J576" s="817">
        <v>0.2762</v>
      </c>
      <c r="K576" s="817"/>
      <c r="L576" s="817"/>
    </row>
    <row r="577" spans="1:12" ht="17.100000000000001" customHeight="1">
      <c r="A577" s="636"/>
      <c r="B577" s="636"/>
      <c r="C577" s="636"/>
      <c r="D577" s="636"/>
      <c r="E577" s="636"/>
      <c r="F577" s="636"/>
      <c r="G577" s="636"/>
      <c r="H577" s="636"/>
      <c r="I577" s="636"/>
      <c r="J577" s="636" t="s">
        <v>13675</v>
      </c>
      <c r="K577" s="636"/>
      <c r="L577" s="636" t="s">
        <v>13762</v>
      </c>
    </row>
    <row r="578" spans="1:12">
      <c r="A578" s="802" t="s">
        <v>12713</v>
      </c>
      <c r="B578" s="802"/>
      <c r="C578" s="802"/>
      <c r="D578" s="802"/>
      <c r="E578" s="802"/>
      <c r="F578" s="802"/>
      <c r="G578" s="802"/>
      <c r="H578" s="802"/>
      <c r="I578" s="612"/>
      <c r="J578" s="612"/>
      <c r="K578" s="612"/>
      <c r="L578" s="612"/>
    </row>
    <row r="579" spans="1:12" ht="17.100000000000001" customHeight="1">
      <c r="A579" s="612" t="s">
        <v>13679</v>
      </c>
      <c r="B579" s="636" t="s">
        <v>12698</v>
      </c>
      <c r="C579" s="612" t="s">
        <v>12699</v>
      </c>
      <c r="D579" s="612" t="s">
        <v>12700</v>
      </c>
      <c r="E579" s="637" t="s">
        <v>12702</v>
      </c>
      <c r="F579" s="801" t="s">
        <v>12704</v>
      </c>
      <c r="G579" s="801"/>
      <c r="H579" s="801" t="s">
        <v>13678</v>
      </c>
      <c r="I579" s="801"/>
      <c r="J579" s="801" t="s">
        <v>12705</v>
      </c>
      <c r="K579" s="801"/>
      <c r="L579" s="801"/>
    </row>
    <row r="580" spans="1:12" ht="24" customHeight="1">
      <c r="A580" s="626" t="s">
        <v>12709</v>
      </c>
      <c r="B580" s="627" t="s">
        <v>12999</v>
      </c>
      <c r="C580" s="626" t="s">
        <v>8</v>
      </c>
      <c r="D580" s="626" t="s">
        <v>11251</v>
      </c>
      <c r="E580" s="628" t="s">
        <v>23</v>
      </c>
      <c r="F580" s="816" t="s">
        <v>13681</v>
      </c>
      <c r="G580" s="816"/>
      <c r="H580" s="816">
        <v>0.38900370000000001</v>
      </c>
      <c r="I580" s="816"/>
      <c r="J580" s="817">
        <v>2.7199999999999998E-2</v>
      </c>
      <c r="K580" s="817"/>
      <c r="L580" s="817"/>
    </row>
    <row r="581" spans="1:12" ht="17.100000000000001" customHeight="1">
      <c r="A581" s="636"/>
      <c r="B581" s="636"/>
      <c r="C581" s="636"/>
      <c r="D581" s="636"/>
      <c r="E581" s="636"/>
      <c r="F581" s="636"/>
      <c r="G581" s="636"/>
      <c r="H581" s="636"/>
      <c r="I581" s="636"/>
      <c r="J581" s="636" t="s">
        <v>13675</v>
      </c>
      <c r="K581" s="636"/>
      <c r="L581" s="636" t="s">
        <v>13726</v>
      </c>
    </row>
    <row r="582" spans="1:12">
      <c r="A582" s="802" t="s">
        <v>12712</v>
      </c>
      <c r="B582" s="802"/>
      <c r="C582" s="802"/>
      <c r="D582" s="802"/>
      <c r="E582" s="802"/>
      <c r="F582" s="802"/>
      <c r="G582" s="802"/>
      <c r="H582" s="802"/>
      <c r="I582" s="612"/>
      <c r="J582" s="612"/>
      <c r="K582" s="612"/>
      <c r="L582" s="612"/>
    </row>
    <row r="583" spans="1:12" ht="17.100000000000001" customHeight="1">
      <c r="A583" s="612" t="s">
        <v>13679</v>
      </c>
      <c r="B583" s="636" t="s">
        <v>12698</v>
      </c>
      <c r="C583" s="612" t="s">
        <v>12699</v>
      </c>
      <c r="D583" s="612" t="s">
        <v>12700</v>
      </c>
      <c r="E583" s="637" t="s">
        <v>12702</v>
      </c>
      <c r="F583" s="801" t="s">
        <v>12704</v>
      </c>
      <c r="G583" s="801"/>
      <c r="H583" s="801" t="s">
        <v>13678</v>
      </c>
      <c r="I583" s="801"/>
      <c r="J583" s="801" t="s">
        <v>12705</v>
      </c>
      <c r="K583" s="801"/>
      <c r="L583" s="801"/>
    </row>
    <row r="584" spans="1:12" ht="24" customHeight="1">
      <c r="A584" s="626" t="s">
        <v>12709</v>
      </c>
      <c r="B584" s="627" t="s">
        <v>13002</v>
      </c>
      <c r="C584" s="626" t="s">
        <v>8</v>
      </c>
      <c r="D584" s="626" t="s">
        <v>9306</v>
      </c>
      <c r="E584" s="628" t="s">
        <v>23</v>
      </c>
      <c r="F584" s="816" t="s">
        <v>13677</v>
      </c>
      <c r="G584" s="816"/>
      <c r="H584" s="816">
        <v>0.38900370000000001</v>
      </c>
      <c r="I584" s="816"/>
      <c r="J584" s="817">
        <v>0.13619999999999999</v>
      </c>
      <c r="K584" s="817"/>
      <c r="L584" s="817"/>
    </row>
    <row r="585" spans="1:12" ht="24" customHeight="1">
      <c r="A585" s="626" t="s">
        <v>12709</v>
      </c>
      <c r="B585" s="627" t="s">
        <v>13004</v>
      </c>
      <c r="C585" s="626" t="s">
        <v>8</v>
      </c>
      <c r="D585" s="626" t="s">
        <v>7388</v>
      </c>
      <c r="E585" s="628" t="s">
        <v>23</v>
      </c>
      <c r="F585" s="816" t="s">
        <v>13676</v>
      </c>
      <c r="G585" s="816"/>
      <c r="H585" s="816">
        <v>0.38900370000000001</v>
      </c>
      <c r="I585" s="816"/>
      <c r="J585" s="817">
        <v>0.85580000000000001</v>
      </c>
      <c r="K585" s="817"/>
      <c r="L585" s="817"/>
    </row>
    <row r="586" spans="1:12" ht="17.100000000000001" customHeight="1">
      <c r="A586" s="636"/>
      <c r="B586" s="636"/>
      <c r="C586" s="636"/>
      <c r="D586" s="636"/>
      <c r="E586" s="636"/>
      <c r="F586" s="636"/>
      <c r="G586" s="636"/>
      <c r="H586" s="636"/>
      <c r="I586" s="636"/>
      <c r="J586" s="636" t="s">
        <v>13675</v>
      </c>
      <c r="K586" s="636"/>
      <c r="L586" s="636" t="s">
        <v>13870</v>
      </c>
    </row>
    <row r="587" spans="1:12" ht="17.100000000000001" customHeight="1">
      <c r="A587" s="612" t="s">
        <v>13673</v>
      </c>
      <c r="B587" s="612"/>
      <c r="C587" s="612"/>
      <c r="D587" s="612"/>
      <c r="E587" s="612"/>
      <c r="F587" s="612"/>
      <c r="G587" s="612"/>
      <c r="H587" s="612"/>
      <c r="I587" s="612"/>
      <c r="J587" s="612"/>
      <c r="K587" s="612"/>
      <c r="L587" s="612"/>
    </row>
    <row r="588" spans="1:12" ht="17.100000000000001" customHeight="1">
      <c r="A588" s="636"/>
      <c r="B588" s="636"/>
      <c r="C588" s="636"/>
      <c r="D588" s="636"/>
      <c r="E588" s="636"/>
      <c r="F588" s="636"/>
      <c r="G588" s="636"/>
      <c r="H588" s="636"/>
      <c r="I588" s="636"/>
      <c r="J588" s="636" t="s">
        <v>13672</v>
      </c>
      <c r="K588" s="636"/>
      <c r="L588" s="636" t="s">
        <v>14939</v>
      </c>
    </row>
    <row r="589" spans="1:12" ht="17.100000000000001" customHeight="1">
      <c r="A589" s="636"/>
      <c r="B589" s="636"/>
      <c r="C589" s="636"/>
      <c r="D589" s="636"/>
      <c r="E589" s="636"/>
      <c r="F589" s="636"/>
      <c r="G589" s="636"/>
      <c r="H589" s="636"/>
      <c r="I589" s="636"/>
      <c r="J589" s="636" t="s">
        <v>13671</v>
      </c>
      <c r="K589" s="636" t="s">
        <v>14461</v>
      </c>
      <c r="L589" s="636" t="s">
        <v>14940</v>
      </c>
    </row>
    <row r="590" spans="1:12" ht="17.100000000000001" customHeight="1">
      <c r="A590" s="636"/>
      <c r="B590" s="636"/>
      <c r="C590" s="636"/>
      <c r="D590" s="636"/>
      <c r="E590" s="636"/>
      <c r="F590" s="636"/>
      <c r="G590" s="636"/>
      <c r="H590" s="636"/>
      <c r="I590" s="636"/>
      <c r="J590" s="636" t="s">
        <v>13670</v>
      </c>
      <c r="K590" s="636"/>
      <c r="L590" s="636" t="s">
        <v>14941</v>
      </c>
    </row>
    <row r="591" spans="1:12" ht="17.100000000000001" customHeight="1">
      <c r="A591" s="636"/>
      <c r="B591" s="636"/>
      <c r="C591" s="636"/>
      <c r="D591" s="636"/>
      <c r="E591" s="636"/>
      <c r="F591" s="636"/>
      <c r="G591" s="636"/>
      <c r="H591" s="636"/>
      <c r="I591" s="636"/>
      <c r="J591" s="636" t="s">
        <v>13669</v>
      </c>
      <c r="K591" s="636" t="s">
        <v>13667</v>
      </c>
      <c r="L591" s="636" t="s">
        <v>14942</v>
      </c>
    </row>
    <row r="592" spans="1:12" ht="17.100000000000001" customHeight="1">
      <c r="A592" s="636"/>
      <c r="B592" s="636"/>
      <c r="C592" s="636"/>
      <c r="D592" s="636"/>
      <c r="E592" s="636"/>
      <c r="F592" s="636"/>
      <c r="G592" s="636"/>
      <c r="H592" s="636"/>
      <c r="I592" s="636"/>
      <c r="J592" s="636" t="s">
        <v>13668</v>
      </c>
      <c r="K592" s="636"/>
      <c r="L592" s="636" t="s">
        <v>14943</v>
      </c>
    </row>
    <row r="593" spans="1:12" ht="30" customHeight="1">
      <c r="A593" s="637"/>
      <c r="B593" s="637"/>
      <c r="C593" s="637"/>
      <c r="D593" s="637"/>
      <c r="E593" s="637"/>
      <c r="F593" s="637"/>
      <c r="G593" s="637"/>
      <c r="H593" s="637"/>
      <c r="I593" s="637"/>
      <c r="J593" s="637"/>
      <c r="K593" s="637"/>
      <c r="L593" s="637"/>
    </row>
    <row r="594" spans="1:12" ht="24" customHeight="1">
      <c r="A594" s="616" t="s">
        <v>14260</v>
      </c>
      <c r="B594" s="617" t="s">
        <v>13640</v>
      </c>
      <c r="C594" s="616" t="s">
        <v>8</v>
      </c>
      <c r="D594" s="616" t="s">
        <v>4619</v>
      </c>
      <c r="E594" s="618" t="s">
        <v>12730</v>
      </c>
      <c r="F594" s="617"/>
      <c r="G594" s="617"/>
      <c r="H594" s="617"/>
      <c r="I594" s="617"/>
      <c r="J594" s="617"/>
      <c r="K594" s="617"/>
      <c r="L594" s="617"/>
    </row>
    <row r="595" spans="1:12" ht="14.25" customHeight="1">
      <c r="A595" s="802" t="s">
        <v>12711</v>
      </c>
      <c r="B595" s="802"/>
      <c r="C595" s="802"/>
      <c r="D595" s="802"/>
      <c r="E595" s="802"/>
      <c r="F595" s="802"/>
      <c r="G595" s="802"/>
      <c r="H595" s="802"/>
      <c r="I595" s="612"/>
      <c r="J595" s="612"/>
      <c r="K595" s="612"/>
      <c r="L595" s="612"/>
    </row>
    <row r="596" spans="1:12" ht="17.100000000000001" customHeight="1">
      <c r="A596" s="612" t="s">
        <v>13679</v>
      </c>
      <c r="B596" s="636" t="s">
        <v>12698</v>
      </c>
      <c r="C596" s="612" t="s">
        <v>12699</v>
      </c>
      <c r="D596" s="612" t="s">
        <v>12700</v>
      </c>
      <c r="E596" s="637" t="s">
        <v>12702</v>
      </c>
      <c r="F596" s="801" t="s">
        <v>12704</v>
      </c>
      <c r="G596" s="801"/>
      <c r="H596" s="801" t="s">
        <v>13678</v>
      </c>
      <c r="I596" s="801"/>
      <c r="J596" s="801" t="s">
        <v>12705</v>
      </c>
      <c r="K596" s="801"/>
      <c r="L596" s="801"/>
    </row>
    <row r="597" spans="1:12" ht="24" customHeight="1">
      <c r="A597" s="626" t="s">
        <v>12709</v>
      </c>
      <c r="B597" s="627" t="s">
        <v>13052</v>
      </c>
      <c r="C597" s="626" t="s">
        <v>8</v>
      </c>
      <c r="D597" s="626" t="s">
        <v>9229</v>
      </c>
      <c r="E597" s="628" t="s">
        <v>23</v>
      </c>
      <c r="F597" s="816" t="s">
        <v>13692</v>
      </c>
      <c r="G597" s="816"/>
      <c r="H597" s="816">
        <v>0.224748</v>
      </c>
      <c r="I597" s="816"/>
      <c r="J597" s="817">
        <v>0.21579999999999999</v>
      </c>
      <c r="K597" s="817"/>
      <c r="L597" s="817"/>
    </row>
    <row r="598" spans="1:12" ht="24" customHeight="1">
      <c r="A598" s="626" t="s">
        <v>12709</v>
      </c>
      <c r="B598" s="627" t="s">
        <v>13051</v>
      </c>
      <c r="C598" s="626" t="s">
        <v>8</v>
      </c>
      <c r="D598" s="626" t="s">
        <v>9376</v>
      </c>
      <c r="E598" s="628" t="s">
        <v>23</v>
      </c>
      <c r="F598" s="816" t="s">
        <v>13691</v>
      </c>
      <c r="G598" s="816"/>
      <c r="H598" s="816">
        <v>0.224748</v>
      </c>
      <c r="I598" s="816"/>
      <c r="J598" s="817">
        <v>0.1124</v>
      </c>
      <c r="K598" s="817"/>
      <c r="L598" s="817"/>
    </row>
    <row r="599" spans="1:12" ht="24" customHeight="1">
      <c r="A599" s="626" t="s">
        <v>12709</v>
      </c>
      <c r="B599" s="627" t="s">
        <v>13048</v>
      </c>
      <c r="C599" s="626" t="s">
        <v>8</v>
      </c>
      <c r="D599" s="626" t="s">
        <v>9233</v>
      </c>
      <c r="E599" s="628" t="s">
        <v>23</v>
      </c>
      <c r="F599" s="816" t="s">
        <v>13690</v>
      </c>
      <c r="G599" s="816"/>
      <c r="H599" s="816">
        <v>2.3221957999999998</v>
      </c>
      <c r="I599" s="816"/>
      <c r="J599" s="817">
        <v>2.3685999999999998</v>
      </c>
      <c r="K599" s="817"/>
      <c r="L599" s="817"/>
    </row>
    <row r="600" spans="1:12" ht="24" customHeight="1">
      <c r="A600" s="626" t="s">
        <v>12709</v>
      </c>
      <c r="B600" s="627" t="s">
        <v>13047</v>
      </c>
      <c r="C600" s="626" t="s">
        <v>8</v>
      </c>
      <c r="D600" s="626" t="s">
        <v>9380</v>
      </c>
      <c r="E600" s="628" t="s">
        <v>23</v>
      </c>
      <c r="F600" s="816" t="s">
        <v>13689</v>
      </c>
      <c r="G600" s="816"/>
      <c r="H600" s="816">
        <v>2.3221957999999998</v>
      </c>
      <c r="I600" s="816"/>
      <c r="J600" s="817">
        <v>0.88239999999999996</v>
      </c>
      <c r="K600" s="817"/>
      <c r="L600" s="817"/>
    </row>
    <row r="601" spans="1:12" ht="17.100000000000001" customHeight="1">
      <c r="A601" s="636"/>
      <c r="B601" s="636"/>
      <c r="C601" s="636"/>
      <c r="D601" s="636"/>
      <c r="E601" s="636"/>
      <c r="F601" s="636"/>
      <c r="G601" s="636"/>
      <c r="H601" s="636"/>
      <c r="I601" s="636"/>
      <c r="J601" s="636" t="s">
        <v>13675</v>
      </c>
      <c r="K601" s="636"/>
      <c r="L601" s="636" t="s">
        <v>13942</v>
      </c>
    </row>
    <row r="602" spans="1:12" ht="14.25" customHeight="1">
      <c r="A602" s="802" t="s">
        <v>12710</v>
      </c>
      <c r="B602" s="802"/>
      <c r="C602" s="802"/>
      <c r="D602" s="802"/>
      <c r="E602" s="802"/>
      <c r="F602" s="802"/>
      <c r="G602" s="802"/>
      <c r="H602" s="802"/>
      <c r="I602" s="612"/>
      <c r="J602" s="612"/>
      <c r="K602" s="612"/>
      <c r="L602" s="612"/>
    </row>
    <row r="603" spans="1:12" ht="17.100000000000001" customHeight="1">
      <c r="A603" s="612" t="s">
        <v>13679</v>
      </c>
      <c r="B603" s="636" t="s">
        <v>12698</v>
      </c>
      <c r="C603" s="612" t="s">
        <v>12699</v>
      </c>
      <c r="D603" s="612" t="s">
        <v>12700</v>
      </c>
      <c r="E603" s="637" t="s">
        <v>12702</v>
      </c>
      <c r="F603" s="801" t="s">
        <v>12704</v>
      </c>
      <c r="G603" s="801"/>
      <c r="H603" s="801" t="s">
        <v>13678</v>
      </c>
      <c r="I603" s="801"/>
      <c r="J603" s="801" t="s">
        <v>12705</v>
      </c>
      <c r="K603" s="801"/>
      <c r="L603" s="801"/>
    </row>
    <row r="604" spans="1:12" ht="24" customHeight="1">
      <c r="A604" s="626" t="s">
        <v>12709</v>
      </c>
      <c r="B604" s="627" t="s">
        <v>13099</v>
      </c>
      <c r="C604" s="626" t="s">
        <v>8</v>
      </c>
      <c r="D604" s="626" t="s">
        <v>10726</v>
      </c>
      <c r="E604" s="628" t="s">
        <v>23</v>
      </c>
      <c r="F604" s="816" t="s">
        <v>14470</v>
      </c>
      <c r="G604" s="816"/>
      <c r="H604" s="816">
        <v>0.2280614</v>
      </c>
      <c r="I604" s="816"/>
      <c r="J604" s="817">
        <v>1.5759000000000001</v>
      </c>
      <c r="K604" s="817"/>
      <c r="L604" s="817"/>
    </row>
    <row r="605" spans="1:12" ht="24" customHeight="1">
      <c r="A605" s="626" t="s">
        <v>12709</v>
      </c>
      <c r="B605" s="627" t="s">
        <v>13046</v>
      </c>
      <c r="C605" s="626" t="s">
        <v>8</v>
      </c>
      <c r="D605" s="626" t="s">
        <v>11281</v>
      </c>
      <c r="E605" s="628" t="s">
        <v>23</v>
      </c>
      <c r="F605" s="816" t="s">
        <v>13731</v>
      </c>
      <c r="G605" s="816"/>
      <c r="H605" s="816">
        <v>2.3564322</v>
      </c>
      <c r="I605" s="816"/>
      <c r="J605" s="817">
        <v>12.1121</v>
      </c>
      <c r="K605" s="817"/>
      <c r="L605" s="817"/>
    </row>
    <row r="606" spans="1:12" ht="17.100000000000001" customHeight="1">
      <c r="A606" s="636"/>
      <c r="B606" s="636"/>
      <c r="C606" s="636"/>
      <c r="D606" s="636"/>
      <c r="E606" s="636"/>
      <c r="F606" s="636"/>
      <c r="G606" s="636"/>
      <c r="H606" s="636"/>
      <c r="I606" s="636"/>
      <c r="J606" s="636" t="s">
        <v>13675</v>
      </c>
      <c r="K606" s="636"/>
      <c r="L606" s="636" t="s">
        <v>14601</v>
      </c>
    </row>
    <row r="607" spans="1:12">
      <c r="A607" s="802" t="s">
        <v>12722</v>
      </c>
      <c r="B607" s="802"/>
      <c r="C607" s="802"/>
      <c r="D607" s="802"/>
      <c r="E607" s="802"/>
      <c r="F607" s="802"/>
      <c r="G607" s="802"/>
      <c r="H607" s="802"/>
      <c r="I607" s="612"/>
      <c r="J607" s="612"/>
      <c r="K607" s="612"/>
      <c r="L607" s="612"/>
    </row>
    <row r="608" spans="1:12" ht="17.100000000000001" customHeight="1">
      <c r="A608" s="612" t="s">
        <v>13679</v>
      </c>
      <c r="B608" s="636" t="s">
        <v>12698</v>
      </c>
      <c r="C608" s="612" t="s">
        <v>12699</v>
      </c>
      <c r="D608" s="612" t="s">
        <v>12700</v>
      </c>
      <c r="E608" s="637" t="s">
        <v>12702</v>
      </c>
      <c r="F608" s="801" t="s">
        <v>12704</v>
      </c>
      <c r="G608" s="801"/>
      <c r="H608" s="801" t="s">
        <v>13678</v>
      </c>
      <c r="I608" s="801"/>
      <c r="J608" s="801" t="s">
        <v>12705</v>
      </c>
      <c r="K608" s="801"/>
      <c r="L608" s="801"/>
    </row>
    <row r="609" spans="1:12" ht="24" customHeight="1">
      <c r="A609" s="626" t="s">
        <v>12709</v>
      </c>
      <c r="B609" s="627" t="s">
        <v>12998</v>
      </c>
      <c r="C609" s="626" t="s">
        <v>8</v>
      </c>
      <c r="D609" s="626" t="s">
        <v>11861</v>
      </c>
      <c r="E609" s="628" t="s">
        <v>23</v>
      </c>
      <c r="F609" s="816" t="s">
        <v>13683</v>
      </c>
      <c r="G609" s="816"/>
      <c r="H609" s="816">
        <v>2.5469436999999999</v>
      </c>
      <c r="I609" s="816"/>
      <c r="J609" s="817">
        <v>1.8083</v>
      </c>
      <c r="K609" s="817"/>
      <c r="L609" s="817"/>
    </row>
    <row r="610" spans="1:12" ht="17.100000000000001" customHeight="1">
      <c r="A610" s="636"/>
      <c r="B610" s="636"/>
      <c r="C610" s="636"/>
      <c r="D610" s="636"/>
      <c r="E610" s="636"/>
      <c r="F610" s="636"/>
      <c r="G610" s="636"/>
      <c r="H610" s="636"/>
      <c r="I610" s="636"/>
      <c r="J610" s="636" t="s">
        <v>13675</v>
      </c>
      <c r="K610" s="636"/>
      <c r="L610" s="636" t="s">
        <v>13940</v>
      </c>
    </row>
    <row r="611" spans="1:12">
      <c r="A611" s="802" t="s">
        <v>12713</v>
      </c>
      <c r="B611" s="802"/>
      <c r="C611" s="802"/>
      <c r="D611" s="802"/>
      <c r="E611" s="802"/>
      <c r="F611" s="802"/>
      <c r="G611" s="802"/>
      <c r="H611" s="802"/>
      <c r="I611" s="612"/>
      <c r="J611" s="612"/>
      <c r="K611" s="612"/>
      <c r="L611" s="612"/>
    </row>
    <row r="612" spans="1:12" ht="17.100000000000001" customHeight="1">
      <c r="A612" s="612" t="s">
        <v>13679</v>
      </c>
      <c r="B612" s="636" t="s">
        <v>12698</v>
      </c>
      <c r="C612" s="612" t="s">
        <v>12699</v>
      </c>
      <c r="D612" s="612" t="s">
        <v>12700</v>
      </c>
      <c r="E612" s="637" t="s">
        <v>12702</v>
      </c>
      <c r="F612" s="801" t="s">
        <v>12704</v>
      </c>
      <c r="G612" s="801"/>
      <c r="H612" s="801" t="s">
        <v>13678</v>
      </c>
      <c r="I612" s="801"/>
      <c r="J612" s="801" t="s">
        <v>12705</v>
      </c>
      <c r="K612" s="801"/>
      <c r="L612" s="801"/>
    </row>
    <row r="613" spans="1:12" ht="24" customHeight="1">
      <c r="A613" s="626" t="s">
        <v>12709</v>
      </c>
      <c r="B613" s="627" t="s">
        <v>12999</v>
      </c>
      <c r="C613" s="626" t="s">
        <v>8</v>
      </c>
      <c r="D613" s="626" t="s">
        <v>11251</v>
      </c>
      <c r="E613" s="628" t="s">
        <v>23</v>
      </c>
      <c r="F613" s="816" t="s">
        <v>13681</v>
      </c>
      <c r="G613" s="816"/>
      <c r="H613" s="816">
        <v>2.5469436999999999</v>
      </c>
      <c r="I613" s="816"/>
      <c r="J613" s="817">
        <v>0.17829999999999999</v>
      </c>
      <c r="K613" s="817"/>
      <c r="L613" s="817"/>
    </row>
    <row r="614" spans="1:12" ht="17.100000000000001" customHeight="1">
      <c r="A614" s="636"/>
      <c r="B614" s="636"/>
      <c r="C614" s="636"/>
      <c r="D614" s="636"/>
      <c r="E614" s="636"/>
      <c r="F614" s="636"/>
      <c r="G614" s="636"/>
      <c r="H614" s="636"/>
      <c r="I614" s="636"/>
      <c r="J614" s="636" t="s">
        <v>13675</v>
      </c>
      <c r="K614" s="636"/>
      <c r="L614" s="636" t="s">
        <v>13682</v>
      </c>
    </row>
    <row r="615" spans="1:12">
      <c r="A615" s="802" t="s">
        <v>12712</v>
      </c>
      <c r="B615" s="802"/>
      <c r="C615" s="802"/>
      <c r="D615" s="802"/>
      <c r="E615" s="802"/>
      <c r="F615" s="802"/>
      <c r="G615" s="802"/>
      <c r="H615" s="802"/>
      <c r="I615" s="612"/>
      <c r="J615" s="612"/>
      <c r="K615" s="612"/>
      <c r="L615" s="612"/>
    </row>
    <row r="616" spans="1:12" ht="17.100000000000001" customHeight="1">
      <c r="A616" s="612" t="s">
        <v>13679</v>
      </c>
      <c r="B616" s="636" t="s">
        <v>12698</v>
      </c>
      <c r="C616" s="612" t="s">
        <v>12699</v>
      </c>
      <c r="D616" s="612" t="s">
        <v>12700</v>
      </c>
      <c r="E616" s="637" t="s">
        <v>12702</v>
      </c>
      <c r="F616" s="801" t="s">
        <v>12704</v>
      </c>
      <c r="G616" s="801"/>
      <c r="H616" s="801" t="s">
        <v>13678</v>
      </c>
      <c r="I616" s="801"/>
      <c r="J616" s="801" t="s">
        <v>12705</v>
      </c>
      <c r="K616" s="801"/>
      <c r="L616" s="801"/>
    </row>
    <row r="617" spans="1:12" ht="24" customHeight="1">
      <c r="A617" s="626" t="s">
        <v>12709</v>
      </c>
      <c r="B617" s="627" t="s">
        <v>13002</v>
      </c>
      <c r="C617" s="626" t="s">
        <v>8</v>
      </c>
      <c r="D617" s="626" t="s">
        <v>9306</v>
      </c>
      <c r="E617" s="628" t="s">
        <v>23</v>
      </c>
      <c r="F617" s="816" t="s">
        <v>13677</v>
      </c>
      <c r="G617" s="816"/>
      <c r="H617" s="816">
        <v>2.5469436999999999</v>
      </c>
      <c r="I617" s="816"/>
      <c r="J617" s="817">
        <v>0.89139999999999997</v>
      </c>
      <c r="K617" s="817"/>
      <c r="L617" s="817"/>
    </row>
    <row r="618" spans="1:12" ht="24" customHeight="1">
      <c r="A618" s="626" t="s">
        <v>12709</v>
      </c>
      <c r="B618" s="627" t="s">
        <v>13004</v>
      </c>
      <c r="C618" s="626" t="s">
        <v>8</v>
      </c>
      <c r="D618" s="626" t="s">
        <v>7388</v>
      </c>
      <c r="E618" s="628" t="s">
        <v>23</v>
      </c>
      <c r="F618" s="816" t="s">
        <v>13676</v>
      </c>
      <c r="G618" s="816"/>
      <c r="H618" s="816">
        <v>2.5469436999999999</v>
      </c>
      <c r="I618" s="816"/>
      <c r="J618" s="817">
        <v>5.6032999999999999</v>
      </c>
      <c r="K618" s="817"/>
      <c r="L618" s="817"/>
    </row>
    <row r="619" spans="1:12" ht="17.100000000000001" customHeight="1">
      <c r="A619" s="636"/>
      <c r="B619" s="636"/>
      <c r="C619" s="636"/>
      <c r="D619" s="636"/>
      <c r="E619" s="636"/>
      <c r="F619" s="636"/>
      <c r="G619" s="636"/>
      <c r="H619" s="636"/>
      <c r="I619" s="636"/>
      <c r="J619" s="636" t="s">
        <v>13675</v>
      </c>
      <c r="K619" s="636"/>
      <c r="L619" s="636" t="s">
        <v>14600</v>
      </c>
    </row>
    <row r="620" spans="1:12" ht="17.100000000000001" customHeight="1">
      <c r="A620" s="612" t="s">
        <v>13673</v>
      </c>
      <c r="B620" s="612"/>
      <c r="C620" s="612"/>
      <c r="D620" s="612"/>
      <c r="E620" s="612"/>
      <c r="F620" s="612"/>
      <c r="G620" s="612"/>
      <c r="H620" s="612"/>
      <c r="I620" s="612"/>
      <c r="J620" s="612"/>
      <c r="K620" s="612"/>
      <c r="L620" s="612"/>
    </row>
    <row r="621" spans="1:12" ht="17.100000000000001" customHeight="1">
      <c r="A621" s="636"/>
      <c r="B621" s="636"/>
      <c r="C621" s="636"/>
      <c r="D621" s="636"/>
      <c r="E621" s="636"/>
      <c r="F621" s="636"/>
      <c r="G621" s="636"/>
      <c r="H621" s="636"/>
      <c r="I621" s="636"/>
      <c r="J621" s="636" t="s">
        <v>13672</v>
      </c>
      <c r="K621" s="636"/>
      <c r="L621" s="636" t="s">
        <v>14944</v>
      </c>
    </row>
    <row r="622" spans="1:12" ht="17.100000000000001" customHeight="1">
      <c r="A622" s="636"/>
      <c r="B622" s="636"/>
      <c r="C622" s="636"/>
      <c r="D622" s="636"/>
      <c r="E622" s="636"/>
      <c r="F622" s="636"/>
      <c r="G622" s="636"/>
      <c r="H622" s="636"/>
      <c r="I622" s="636"/>
      <c r="J622" s="636" t="s">
        <v>13671</v>
      </c>
      <c r="K622" s="636" t="s">
        <v>14461</v>
      </c>
      <c r="L622" s="636" t="s">
        <v>14945</v>
      </c>
    </row>
    <row r="623" spans="1:12" ht="17.100000000000001" customHeight="1">
      <c r="A623" s="636"/>
      <c r="B623" s="636"/>
      <c r="C623" s="636"/>
      <c r="D623" s="636"/>
      <c r="E623" s="636"/>
      <c r="F623" s="636"/>
      <c r="G623" s="636"/>
      <c r="H623" s="636"/>
      <c r="I623" s="636"/>
      <c r="J623" s="636" t="s">
        <v>13670</v>
      </c>
      <c r="K623" s="636"/>
      <c r="L623" s="636" t="s">
        <v>14946</v>
      </c>
    </row>
    <row r="624" spans="1:12" ht="17.100000000000001" customHeight="1">
      <c r="A624" s="636"/>
      <c r="B624" s="636"/>
      <c r="C624" s="636"/>
      <c r="D624" s="636"/>
      <c r="E624" s="636"/>
      <c r="F624" s="636"/>
      <c r="G624" s="636"/>
      <c r="H624" s="636"/>
      <c r="I624" s="636"/>
      <c r="J624" s="636" t="s">
        <v>13669</v>
      </c>
      <c r="K624" s="636" t="s">
        <v>13667</v>
      </c>
      <c r="L624" s="636" t="s">
        <v>14947</v>
      </c>
    </row>
    <row r="625" spans="1:12" ht="17.100000000000001" customHeight="1">
      <c r="A625" s="636"/>
      <c r="B625" s="636"/>
      <c r="C625" s="636"/>
      <c r="D625" s="636"/>
      <c r="E625" s="636"/>
      <c r="F625" s="636"/>
      <c r="G625" s="636"/>
      <c r="H625" s="636"/>
      <c r="I625" s="636"/>
      <c r="J625" s="636" t="s">
        <v>13668</v>
      </c>
      <c r="K625" s="636"/>
      <c r="L625" s="636" t="s">
        <v>14948</v>
      </c>
    </row>
    <row r="626" spans="1:12" ht="30" customHeight="1">
      <c r="A626" s="637"/>
      <c r="B626" s="637"/>
      <c r="C626" s="637"/>
      <c r="D626" s="637"/>
      <c r="E626" s="637"/>
      <c r="F626" s="637"/>
      <c r="G626" s="637"/>
      <c r="H626" s="637"/>
      <c r="I626" s="637"/>
      <c r="J626" s="637"/>
      <c r="K626" s="637"/>
      <c r="L626" s="637"/>
    </row>
    <row r="627" spans="1:12" ht="36" customHeight="1">
      <c r="A627" s="616" t="s">
        <v>14259</v>
      </c>
      <c r="B627" s="617" t="s">
        <v>13639</v>
      </c>
      <c r="C627" s="616" t="s">
        <v>8</v>
      </c>
      <c r="D627" s="616" t="s">
        <v>4622</v>
      </c>
      <c r="E627" s="618" t="s">
        <v>12730</v>
      </c>
      <c r="F627" s="617"/>
      <c r="G627" s="617"/>
      <c r="H627" s="617"/>
      <c r="I627" s="617"/>
      <c r="J627" s="617"/>
      <c r="K627" s="617"/>
      <c r="L627" s="617"/>
    </row>
    <row r="628" spans="1:12" ht="14.25" customHeight="1">
      <c r="A628" s="802" t="s">
        <v>12711</v>
      </c>
      <c r="B628" s="802"/>
      <c r="C628" s="802"/>
      <c r="D628" s="802"/>
      <c r="E628" s="802"/>
      <c r="F628" s="802"/>
      <c r="G628" s="802"/>
      <c r="H628" s="802"/>
      <c r="I628" s="612"/>
      <c r="J628" s="612"/>
      <c r="K628" s="612"/>
      <c r="L628" s="612"/>
    </row>
    <row r="629" spans="1:12" ht="17.100000000000001" customHeight="1">
      <c r="A629" s="612" t="s">
        <v>13679</v>
      </c>
      <c r="B629" s="636" t="s">
        <v>12698</v>
      </c>
      <c r="C629" s="612" t="s">
        <v>12699</v>
      </c>
      <c r="D629" s="612" t="s">
        <v>12700</v>
      </c>
      <c r="E629" s="637" t="s">
        <v>12702</v>
      </c>
      <c r="F629" s="801" t="s">
        <v>12704</v>
      </c>
      <c r="G629" s="801"/>
      <c r="H629" s="801" t="s">
        <v>13678</v>
      </c>
      <c r="I629" s="801"/>
      <c r="J629" s="801" t="s">
        <v>12705</v>
      </c>
      <c r="K629" s="801"/>
      <c r="L629" s="801"/>
    </row>
    <row r="630" spans="1:12" ht="36" customHeight="1">
      <c r="A630" s="626" t="s">
        <v>12709</v>
      </c>
      <c r="B630" s="627" t="s">
        <v>13078</v>
      </c>
      <c r="C630" s="626" t="s">
        <v>8</v>
      </c>
      <c r="D630" s="626" t="s">
        <v>10590</v>
      </c>
      <c r="E630" s="628" t="s">
        <v>35</v>
      </c>
      <c r="F630" s="816" t="s">
        <v>14249</v>
      </c>
      <c r="G630" s="816"/>
      <c r="H630" s="816">
        <v>4.0899999999999998E-5</v>
      </c>
      <c r="I630" s="816"/>
      <c r="J630" s="817">
        <v>15.7448</v>
      </c>
      <c r="K630" s="817"/>
      <c r="L630" s="817"/>
    </row>
    <row r="631" spans="1:12" ht="24" customHeight="1">
      <c r="A631" s="626" t="s">
        <v>12709</v>
      </c>
      <c r="B631" s="627" t="s">
        <v>13003</v>
      </c>
      <c r="C631" s="626" t="s">
        <v>8</v>
      </c>
      <c r="D631" s="626" t="s">
        <v>9227</v>
      </c>
      <c r="E631" s="628" t="s">
        <v>23</v>
      </c>
      <c r="F631" s="816" t="s">
        <v>13732</v>
      </c>
      <c r="G631" s="816"/>
      <c r="H631" s="816">
        <v>0.37919330000000001</v>
      </c>
      <c r="I631" s="816"/>
      <c r="J631" s="817">
        <v>0.25030000000000002</v>
      </c>
      <c r="K631" s="817"/>
      <c r="L631" s="817"/>
    </row>
    <row r="632" spans="1:12" ht="24" customHeight="1">
      <c r="A632" s="626" t="s">
        <v>12709</v>
      </c>
      <c r="B632" s="627" t="s">
        <v>13001</v>
      </c>
      <c r="C632" s="626" t="s">
        <v>8</v>
      </c>
      <c r="D632" s="626" t="s">
        <v>9374</v>
      </c>
      <c r="E632" s="628" t="s">
        <v>23</v>
      </c>
      <c r="F632" s="816" t="s">
        <v>13728</v>
      </c>
      <c r="G632" s="816"/>
      <c r="H632" s="816">
        <v>0.37919330000000001</v>
      </c>
      <c r="I632" s="816"/>
      <c r="J632" s="817">
        <v>3.8E-3</v>
      </c>
      <c r="K632" s="817"/>
      <c r="L632" s="817"/>
    </row>
    <row r="633" spans="1:12" ht="17.100000000000001" customHeight="1">
      <c r="A633" s="636"/>
      <c r="B633" s="636"/>
      <c r="C633" s="636"/>
      <c r="D633" s="636"/>
      <c r="E633" s="636"/>
      <c r="F633" s="636"/>
      <c r="G633" s="636"/>
      <c r="H633" s="636"/>
      <c r="I633" s="636"/>
      <c r="J633" s="636" t="s">
        <v>13675</v>
      </c>
      <c r="K633" s="636"/>
      <c r="L633" s="636" t="s">
        <v>14258</v>
      </c>
    </row>
    <row r="634" spans="1:12" ht="14.25" customHeight="1">
      <c r="A634" s="802" t="s">
        <v>12710</v>
      </c>
      <c r="B634" s="802"/>
      <c r="C634" s="802"/>
      <c r="D634" s="802"/>
      <c r="E634" s="802"/>
      <c r="F634" s="802"/>
      <c r="G634" s="802"/>
      <c r="H634" s="802"/>
      <c r="I634" s="612"/>
      <c r="J634" s="612"/>
      <c r="K634" s="612"/>
      <c r="L634" s="612"/>
    </row>
    <row r="635" spans="1:12" ht="17.100000000000001" customHeight="1">
      <c r="A635" s="612" t="s">
        <v>13679</v>
      </c>
      <c r="B635" s="636" t="s">
        <v>12698</v>
      </c>
      <c r="C635" s="612" t="s">
        <v>12699</v>
      </c>
      <c r="D635" s="612" t="s">
        <v>12700</v>
      </c>
      <c r="E635" s="637" t="s">
        <v>12702</v>
      </c>
      <c r="F635" s="801" t="s">
        <v>12704</v>
      </c>
      <c r="G635" s="801"/>
      <c r="H635" s="801" t="s">
        <v>13678</v>
      </c>
      <c r="I635" s="801"/>
      <c r="J635" s="801" t="s">
        <v>12705</v>
      </c>
      <c r="K635" s="801"/>
      <c r="L635" s="801"/>
    </row>
    <row r="636" spans="1:12" ht="24" customHeight="1">
      <c r="A636" s="626" t="s">
        <v>12709</v>
      </c>
      <c r="B636" s="627" t="s">
        <v>13101</v>
      </c>
      <c r="C636" s="626" t="s">
        <v>8</v>
      </c>
      <c r="D636" s="626" t="s">
        <v>10578</v>
      </c>
      <c r="E636" s="628" t="s">
        <v>23</v>
      </c>
      <c r="F636" s="816" t="s">
        <v>14200</v>
      </c>
      <c r="G636" s="816"/>
      <c r="H636" s="816">
        <v>0.37988040000000001</v>
      </c>
      <c r="I636" s="816"/>
      <c r="J636" s="817">
        <v>2.1082999999999998</v>
      </c>
      <c r="K636" s="817"/>
      <c r="L636" s="817"/>
    </row>
    <row r="637" spans="1:12" ht="17.100000000000001" customHeight="1">
      <c r="A637" s="636"/>
      <c r="B637" s="636"/>
      <c r="C637" s="636"/>
      <c r="D637" s="636"/>
      <c r="E637" s="636"/>
      <c r="F637" s="636"/>
      <c r="G637" s="636"/>
      <c r="H637" s="636"/>
      <c r="I637" s="636"/>
      <c r="J637" s="636" t="s">
        <v>13675</v>
      </c>
      <c r="K637" s="636"/>
      <c r="L637" s="636" t="s">
        <v>13707</v>
      </c>
    </row>
    <row r="638" spans="1:12">
      <c r="A638" s="802" t="s">
        <v>12720</v>
      </c>
      <c r="B638" s="802"/>
      <c r="C638" s="802"/>
      <c r="D638" s="802"/>
      <c r="E638" s="802"/>
      <c r="F638" s="802"/>
      <c r="G638" s="802"/>
      <c r="H638" s="802"/>
      <c r="I638" s="612"/>
      <c r="J638" s="612"/>
      <c r="K638" s="612"/>
      <c r="L638" s="612"/>
    </row>
    <row r="639" spans="1:12" ht="17.100000000000001" customHeight="1">
      <c r="A639" s="612" t="s">
        <v>13679</v>
      </c>
      <c r="B639" s="636" t="s">
        <v>12698</v>
      </c>
      <c r="C639" s="612" t="s">
        <v>12699</v>
      </c>
      <c r="D639" s="612" t="s">
        <v>12700</v>
      </c>
      <c r="E639" s="637" t="s">
        <v>12702</v>
      </c>
      <c r="F639" s="801" t="s">
        <v>12704</v>
      </c>
      <c r="G639" s="801"/>
      <c r="H639" s="801" t="s">
        <v>13678</v>
      </c>
      <c r="I639" s="801"/>
      <c r="J639" s="801" t="s">
        <v>12705</v>
      </c>
      <c r="K639" s="801"/>
      <c r="L639" s="801"/>
    </row>
    <row r="640" spans="1:12" ht="24" customHeight="1">
      <c r="A640" s="626" t="s">
        <v>12709</v>
      </c>
      <c r="B640" s="627" t="s">
        <v>13007</v>
      </c>
      <c r="C640" s="626" t="s">
        <v>8</v>
      </c>
      <c r="D640" s="626" t="s">
        <v>10549</v>
      </c>
      <c r="E640" s="628" t="s">
        <v>58</v>
      </c>
      <c r="F640" s="816" t="s">
        <v>14172</v>
      </c>
      <c r="G640" s="816"/>
      <c r="H640" s="816">
        <v>3.2070517999999999</v>
      </c>
      <c r="I640" s="816"/>
      <c r="J640" s="817">
        <v>10.3908</v>
      </c>
      <c r="K640" s="817"/>
      <c r="L640" s="817"/>
    </row>
    <row r="641" spans="1:12" ht="17.100000000000001" customHeight="1">
      <c r="A641" s="636"/>
      <c r="B641" s="636"/>
      <c r="C641" s="636"/>
      <c r="D641" s="636"/>
      <c r="E641" s="636"/>
      <c r="F641" s="636"/>
      <c r="G641" s="636"/>
      <c r="H641" s="636"/>
      <c r="I641" s="636"/>
      <c r="J641" s="636" t="s">
        <v>13675</v>
      </c>
      <c r="K641" s="636"/>
      <c r="L641" s="636" t="s">
        <v>14592</v>
      </c>
    </row>
    <row r="642" spans="1:12">
      <c r="A642" s="802" t="s">
        <v>12722</v>
      </c>
      <c r="B642" s="802"/>
      <c r="C642" s="802"/>
      <c r="D642" s="802"/>
      <c r="E642" s="802"/>
      <c r="F642" s="802"/>
      <c r="G642" s="802"/>
      <c r="H642" s="802"/>
      <c r="I642" s="612"/>
      <c r="J642" s="612"/>
      <c r="K642" s="612"/>
      <c r="L642" s="612"/>
    </row>
    <row r="643" spans="1:12" ht="17.100000000000001" customHeight="1">
      <c r="A643" s="612" t="s">
        <v>13679</v>
      </c>
      <c r="B643" s="636" t="s">
        <v>12698</v>
      </c>
      <c r="C643" s="612" t="s">
        <v>12699</v>
      </c>
      <c r="D643" s="612" t="s">
        <v>12700</v>
      </c>
      <c r="E643" s="637" t="s">
        <v>12702</v>
      </c>
      <c r="F643" s="801" t="s">
        <v>12704</v>
      </c>
      <c r="G643" s="801"/>
      <c r="H643" s="801" t="s">
        <v>13678</v>
      </c>
      <c r="I643" s="801"/>
      <c r="J643" s="801" t="s">
        <v>12705</v>
      </c>
      <c r="K643" s="801"/>
      <c r="L643" s="801"/>
    </row>
    <row r="644" spans="1:12" ht="24" customHeight="1">
      <c r="A644" s="626" t="s">
        <v>12709</v>
      </c>
      <c r="B644" s="627" t="s">
        <v>12998</v>
      </c>
      <c r="C644" s="626" t="s">
        <v>8</v>
      </c>
      <c r="D644" s="626" t="s">
        <v>11861</v>
      </c>
      <c r="E644" s="628" t="s">
        <v>23</v>
      </c>
      <c r="F644" s="816" t="s">
        <v>13683</v>
      </c>
      <c r="G644" s="816"/>
      <c r="H644" s="816">
        <v>0.37919330000000001</v>
      </c>
      <c r="I644" s="816"/>
      <c r="J644" s="817">
        <v>0.26919999999999999</v>
      </c>
      <c r="K644" s="817"/>
      <c r="L644" s="817"/>
    </row>
    <row r="645" spans="1:12" ht="17.100000000000001" customHeight="1">
      <c r="A645" s="636"/>
      <c r="B645" s="636"/>
      <c r="C645" s="636"/>
      <c r="D645" s="636"/>
      <c r="E645" s="636"/>
      <c r="F645" s="636"/>
      <c r="G645" s="636"/>
      <c r="H645" s="636"/>
      <c r="I645" s="636"/>
      <c r="J645" s="636" t="s">
        <v>13675</v>
      </c>
      <c r="K645" s="636"/>
      <c r="L645" s="636" t="s">
        <v>13809</v>
      </c>
    </row>
    <row r="646" spans="1:12">
      <c r="A646" s="802" t="s">
        <v>12713</v>
      </c>
      <c r="B646" s="802"/>
      <c r="C646" s="802"/>
      <c r="D646" s="802"/>
      <c r="E646" s="802"/>
      <c r="F646" s="802"/>
      <c r="G646" s="802"/>
      <c r="H646" s="802"/>
      <c r="I646" s="612"/>
      <c r="J646" s="612"/>
      <c r="K646" s="612"/>
      <c r="L646" s="612"/>
    </row>
    <row r="647" spans="1:12" ht="17.100000000000001" customHeight="1">
      <c r="A647" s="612" t="s">
        <v>13679</v>
      </c>
      <c r="B647" s="636" t="s">
        <v>12698</v>
      </c>
      <c r="C647" s="612" t="s">
        <v>12699</v>
      </c>
      <c r="D647" s="612" t="s">
        <v>12700</v>
      </c>
      <c r="E647" s="637" t="s">
        <v>12702</v>
      </c>
      <c r="F647" s="801" t="s">
        <v>12704</v>
      </c>
      <c r="G647" s="801"/>
      <c r="H647" s="801" t="s">
        <v>13678</v>
      </c>
      <c r="I647" s="801"/>
      <c r="J647" s="801" t="s">
        <v>12705</v>
      </c>
      <c r="K647" s="801"/>
      <c r="L647" s="801"/>
    </row>
    <row r="648" spans="1:12" ht="24" customHeight="1">
      <c r="A648" s="626" t="s">
        <v>12709</v>
      </c>
      <c r="B648" s="627" t="s">
        <v>12999</v>
      </c>
      <c r="C648" s="626" t="s">
        <v>8</v>
      </c>
      <c r="D648" s="626" t="s">
        <v>11251</v>
      </c>
      <c r="E648" s="628" t="s">
        <v>23</v>
      </c>
      <c r="F648" s="816" t="s">
        <v>13681</v>
      </c>
      <c r="G648" s="816"/>
      <c r="H648" s="816">
        <v>0.37919330000000001</v>
      </c>
      <c r="I648" s="816"/>
      <c r="J648" s="817">
        <v>2.6499999999999999E-2</v>
      </c>
      <c r="K648" s="817"/>
      <c r="L648" s="817"/>
    </row>
    <row r="649" spans="1:12" ht="17.100000000000001" customHeight="1">
      <c r="A649" s="636"/>
      <c r="B649" s="636"/>
      <c r="C649" s="636"/>
      <c r="D649" s="636"/>
      <c r="E649" s="636"/>
      <c r="F649" s="636"/>
      <c r="G649" s="636"/>
      <c r="H649" s="636"/>
      <c r="I649" s="636"/>
      <c r="J649" s="636" t="s">
        <v>13675</v>
      </c>
      <c r="K649" s="636"/>
      <c r="L649" s="636" t="s">
        <v>13726</v>
      </c>
    </row>
    <row r="650" spans="1:12">
      <c r="A650" s="802" t="s">
        <v>12712</v>
      </c>
      <c r="B650" s="802"/>
      <c r="C650" s="802"/>
      <c r="D650" s="802"/>
      <c r="E650" s="802"/>
      <c r="F650" s="802"/>
      <c r="G650" s="802"/>
      <c r="H650" s="802"/>
      <c r="I650" s="612"/>
      <c r="J650" s="612"/>
      <c r="K650" s="612"/>
      <c r="L650" s="612"/>
    </row>
    <row r="651" spans="1:12" ht="17.100000000000001" customHeight="1">
      <c r="A651" s="612" t="s">
        <v>13679</v>
      </c>
      <c r="B651" s="636" t="s">
        <v>12698</v>
      </c>
      <c r="C651" s="612" t="s">
        <v>12699</v>
      </c>
      <c r="D651" s="612" t="s">
        <v>12700</v>
      </c>
      <c r="E651" s="637" t="s">
        <v>12702</v>
      </c>
      <c r="F651" s="801" t="s">
        <v>12704</v>
      </c>
      <c r="G651" s="801"/>
      <c r="H651" s="801" t="s">
        <v>13678</v>
      </c>
      <c r="I651" s="801"/>
      <c r="J651" s="801" t="s">
        <v>12705</v>
      </c>
      <c r="K651" s="801"/>
      <c r="L651" s="801"/>
    </row>
    <row r="652" spans="1:12" ht="24" customHeight="1">
      <c r="A652" s="626" t="s">
        <v>12709</v>
      </c>
      <c r="B652" s="627" t="s">
        <v>13002</v>
      </c>
      <c r="C652" s="626" t="s">
        <v>8</v>
      </c>
      <c r="D652" s="626" t="s">
        <v>9306</v>
      </c>
      <c r="E652" s="628" t="s">
        <v>23</v>
      </c>
      <c r="F652" s="816" t="s">
        <v>13677</v>
      </c>
      <c r="G652" s="816"/>
      <c r="H652" s="816">
        <v>0.37919330000000001</v>
      </c>
      <c r="I652" s="816"/>
      <c r="J652" s="817">
        <v>0.13270000000000001</v>
      </c>
      <c r="K652" s="817"/>
      <c r="L652" s="817"/>
    </row>
    <row r="653" spans="1:12" ht="24" customHeight="1">
      <c r="A653" s="626" t="s">
        <v>12709</v>
      </c>
      <c r="B653" s="627" t="s">
        <v>13004</v>
      </c>
      <c r="C653" s="626" t="s">
        <v>8</v>
      </c>
      <c r="D653" s="626" t="s">
        <v>7388</v>
      </c>
      <c r="E653" s="628" t="s">
        <v>23</v>
      </c>
      <c r="F653" s="816" t="s">
        <v>13676</v>
      </c>
      <c r="G653" s="816"/>
      <c r="H653" s="816">
        <v>0.37919330000000001</v>
      </c>
      <c r="I653" s="816"/>
      <c r="J653" s="817">
        <v>0.83420000000000005</v>
      </c>
      <c r="K653" s="817"/>
      <c r="L653" s="817"/>
    </row>
    <row r="654" spans="1:12" ht="17.100000000000001" customHeight="1">
      <c r="A654" s="636"/>
      <c r="B654" s="636"/>
      <c r="C654" s="636"/>
      <c r="D654" s="636"/>
      <c r="E654" s="636"/>
      <c r="F654" s="636"/>
      <c r="G654" s="636"/>
      <c r="H654" s="636"/>
      <c r="I654" s="636"/>
      <c r="J654" s="636" t="s">
        <v>13675</v>
      </c>
      <c r="K654" s="636"/>
      <c r="L654" s="636" t="s">
        <v>14256</v>
      </c>
    </row>
    <row r="655" spans="1:12" ht="17.100000000000001" customHeight="1">
      <c r="A655" s="612" t="s">
        <v>13673</v>
      </c>
      <c r="B655" s="612"/>
      <c r="C655" s="612"/>
      <c r="D655" s="612"/>
      <c r="E655" s="612"/>
      <c r="F655" s="612"/>
      <c r="G655" s="612"/>
      <c r="H655" s="612"/>
      <c r="I655" s="612"/>
      <c r="J655" s="612"/>
      <c r="K655" s="612"/>
      <c r="L655" s="612"/>
    </row>
    <row r="656" spans="1:12" ht="17.100000000000001" customHeight="1">
      <c r="A656" s="636"/>
      <c r="B656" s="636"/>
      <c r="C656" s="636"/>
      <c r="D656" s="636"/>
      <c r="E656" s="636"/>
      <c r="F656" s="636"/>
      <c r="G656" s="636"/>
      <c r="H656" s="636"/>
      <c r="I656" s="636"/>
      <c r="J656" s="636" t="s">
        <v>13672</v>
      </c>
      <c r="K656" s="636"/>
      <c r="L656" s="636" t="s">
        <v>14949</v>
      </c>
    </row>
    <row r="657" spans="1:12" ht="17.100000000000001" customHeight="1">
      <c r="A657" s="636"/>
      <c r="B657" s="636"/>
      <c r="C657" s="636"/>
      <c r="D657" s="636"/>
      <c r="E657" s="636"/>
      <c r="F657" s="636"/>
      <c r="G657" s="636"/>
      <c r="H657" s="636"/>
      <c r="I657" s="636"/>
      <c r="J657" s="636" t="s">
        <v>13671</v>
      </c>
      <c r="K657" s="636" t="s">
        <v>14461</v>
      </c>
      <c r="L657" s="636" t="s">
        <v>14950</v>
      </c>
    </row>
    <row r="658" spans="1:12" ht="17.100000000000001" customHeight="1">
      <c r="A658" s="636"/>
      <c r="B658" s="636"/>
      <c r="C658" s="636"/>
      <c r="D658" s="636"/>
      <c r="E658" s="636"/>
      <c r="F658" s="636"/>
      <c r="G658" s="636"/>
      <c r="H658" s="636"/>
      <c r="I658" s="636"/>
      <c r="J658" s="636" t="s">
        <v>13670</v>
      </c>
      <c r="K658" s="636"/>
      <c r="L658" s="636" t="s">
        <v>14951</v>
      </c>
    </row>
    <row r="659" spans="1:12" ht="17.100000000000001" customHeight="1">
      <c r="A659" s="636"/>
      <c r="B659" s="636"/>
      <c r="C659" s="636"/>
      <c r="D659" s="636"/>
      <c r="E659" s="636"/>
      <c r="F659" s="636"/>
      <c r="G659" s="636"/>
      <c r="H659" s="636"/>
      <c r="I659" s="636"/>
      <c r="J659" s="636" t="s">
        <v>13669</v>
      </c>
      <c r="K659" s="636" t="s">
        <v>13667</v>
      </c>
      <c r="L659" s="636" t="s">
        <v>14952</v>
      </c>
    </row>
    <row r="660" spans="1:12" ht="17.100000000000001" customHeight="1">
      <c r="A660" s="636"/>
      <c r="B660" s="636"/>
      <c r="C660" s="636"/>
      <c r="D660" s="636"/>
      <c r="E660" s="636"/>
      <c r="F660" s="636"/>
      <c r="G660" s="636"/>
      <c r="H660" s="636"/>
      <c r="I660" s="636"/>
      <c r="J660" s="636" t="s">
        <v>13668</v>
      </c>
      <c r="K660" s="636"/>
      <c r="L660" s="636" t="s">
        <v>14953</v>
      </c>
    </row>
    <row r="661" spans="1:12" ht="30" customHeight="1">
      <c r="A661" s="637"/>
      <c r="B661" s="637"/>
      <c r="C661" s="637"/>
      <c r="D661" s="637"/>
      <c r="E661" s="637"/>
      <c r="F661" s="637"/>
      <c r="G661" s="637"/>
      <c r="H661" s="637"/>
      <c r="I661" s="637"/>
      <c r="J661" s="637"/>
      <c r="K661" s="637"/>
      <c r="L661" s="637"/>
    </row>
    <row r="662" spans="1:12" ht="36" customHeight="1">
      <c r="A662" s="616" t="s">
        <v>14255</v>
      </c>
      <c r="B662" s="617" t="s">
        <v>13638</v>
      </c>
      <c r="C662" s="616" t="s">
        <v>8</v>
      </c>
      <c r="D662" s="616" t="s">
        <v>5096</v>
      </c>
      <c r="E662" s="618" t="s">
        <v>35</v>
      </c>
      <c r="F662" s="617"/>
      <c r="G662" s="617"/>
      <c r="H662" s="617"/>
      <c r="I662" s="617"/>
      <c r="J662" s="617"/>
      <c r="K662" s="617"/>
      <c r="L662" s="617"/>
    </row>
    <row r="663" spans="1:12" ht="14.25" customHeight="1">
      <c r="A663" s="802" t="s">
        <v>12711</v>
      </c>
      <c r="B663" s="802"/>
      <c r="C663" s="802"/>
      <c r="D663" s="802"/>
      <c r="E663" s="802"/>
      <c r="F663" s="802"/>
      <c r="G663" s="802"/>
      <c r="H663" s="802"/>
      <c r="I663" s="612"/>
      <c r="J663" s="612"/>
      <c r="K663" s="612"/>
      <c r="L663" s="612"/>
    </row>
    <row r="664" spans="1:12" ht="17.100000000000001" customHeight="1">
      <c r="A664" s="612" t="s">
        <v>13679</v>
      </c>
      <c r="B664" s="636" t="s">
        <v>12698</v>
      </c>
      <c r="C664" s="612" t="s">
        <v>12699</v>
      </c>
      <c r="D664" s="612" t="s">
        <v>12700</v>
      </c>
      <c r="E664" s="637" t="s">
        <v>12702</v>
      </c>
      <c r="F664" s="801" t="s">
        <v>12704</v>
      </c>
      <c r="G664" s="801"/>
      <c r="H664" s="801" t="s">
        <v>13678</v>
      </c>
      <c r="I664" s="801"/>
      <c r="J664" s="801" t="s">
        <v>12705</v>
      </c>
      <c r="K664" s="801"/>
      <c r="L664" s="801"/>
    </row>
    <row r="665" spans="1:12" ht="60" customHeight="1">
      <c r="A665" s="626" t="s">
        <v>12709</v>
      </c>
      <c r="B665" s="627" t="s">
        <v>13072</v>
      </c>
      <c r="C665" s="626" t="s">
        <v>8</v>
      </c>
      <c r="D665" s="626" t="s">
        <v>11182</v>
      </c>
      <c r="E665" s="628" t="s">
        <v>35</v>
      </c>
      <c r="F665" s="816" t="s">
        <v>14254</v>
      </c>
      <c r="G665" s="816"/>
      <c r="H665" s="816">
        <v>1.7799999999999999E-5</v>
      </c>
      <c r="I665" s="816"/>
      <c r="J665" s="817">
        <v>3.8975</v>
      </c>
      <c r="K665" s="817"/>
      <c r="L665" s="817"/>
    </row>
    <row r="666" spans="1:12" ht="24" customHeight="1">
      <c r="A666" s="626" t="s">
        <v>12709</v>
      </c>
      <c r="B666" s="627" t="s">
        <v>13003</v>
      </c>
      <c r="C666" s="626" t="s">
        <v>8</v>
      </c>
      <c r="D666" s="626" t="s">
        <v>9227</v>
      </c>
      <c r="E666" s="628" t="s">
        <v>23</v>
      </c>
      <c r="F666" s="816" t="s">
        <v>13732</v>
      </c>
      <c r="G666" s="816"/>
      <c r="H666" s="816">
        <v>0.67752219999999996</v>
      </c>
      <c r="I666" s="816"/>
      <c r="J666" s="817">
        <v>0.44719999999999999</v>
      </c>
      <c r="K666" s="817"/>
      <c r="L666" s="817"/>
    </row>
    <row r="667" spans="1:12" ht="24" customHeight="1">
      <c r="A667" s="626" t="s">
        <v>12709</v>
      </c>
      <c r="B667" s="627" t="s">
        <v>13001</v>
      </c>
      <c r="C667" s="626" t="s">
        <v>8</v>
      </c>
      <c r="D667" s="626" t="s">
        <v>9374</v>
      </c>
      <c r="E667" s="628" t="s">
        <v>23</v>
      </c>
      <c r="F667" s="816" t="s">
        <v>13728</v>
      </c>
      <c r="G667" s="816"/>
      <c r="H667" s="816">
        <v>0.67752219999999996</v>
      </c>
      <c r="I667" s="816"/>
      <c r="J667" s="817">
        <v>6.7999999999999996E-3</v>
      </c>
      <c r="K667" s="817"/>
      <c r="L667" s="817"/>
    </row>
    <row r="668" spans="1:12" ht="60" customHeight="1">
      <c r="A668" s="626" t="s">
        <v>12709</v>
      </c>
      <c r="B668" s="627" t="s">
        <v>13064</v>
      </c>
      <c r="C668" s="626" t="s">
        <v>8</v>
      </c>
      <c r="D668" s="626" t="s">
        <v>11184</v>
      </c>
      <c r="E668" s="628" t="s">
        <v>35</v>
      </c>
      <c r="F668" s="816" t="s">
        <v>13801</v>
      </c>
      <c r="G668" s="816"/>
      <c r="H668" s="816">
        <v>3.4600000000000001E-5</v>
      </c>
      <c r="I668" s="816"/>
      <c r="J668" s="817">
        <v>8.5181000000000004</v>
      </c>
      <c r="K668" s="817"/>
      <c r="L668" s="817"/>
    </row>
    <row r="669" spans="1:12" ht="24" customHeight="1">
      <c r="A669" s="626" t="s">
        <v>12709</v>
      </c>
      <c r="B669" s="627" t="s">
        <v>13048</v>
      </c>
      <c r="C669" s="626" t="s">
        <v>8</v>
      </c>
      <c r="D669" s="626" t="s">
        <v>9233</v>
      </c>
      <c r="E669" s="628" t="s">
        <v>23</v>
      </c>
      <c r="F669" s="816" t="s">
        <v>13690</v>
      </c>
      <c r="G669" s="816"/>
      <c r="H669" s="816">
        <v>0.67762219999999995</v>
      </c>
      <c r="I669" s="816"/>
      <c r="J669" s="817">
        <v>0.69120000000000004</v>
      </c>
      <c r="K669" s="817"/>
      <c r="L669" s="817"/>
    </row>
    <row r="670" spans="1:12" ht="24" customHeight="1">
      <c r="A670" s="626" t="s">
        <v>12709</v>
      </c>
      <c r="B670" s="627" t="s">
        <v>13047</v>
      </c>
      <c r="C670" s="626" t="s">
        <v>8</v>
      </c>
      <c r="D670" s="626" t="s">
        <v>9380</v>
      </c>
      <c r="E670" s="628" t="s">
        <v>23</v>
      </c>
      <c r="F670" s="816" t="s">
        <v>13689</v>
      </c>
      <c r="G670" s="816"/>
      <c r="H670" s="816">
        <v>0.67762219999999995</v>
      </c>
      <c r="I670" s="816"/>
      <c r="J670" s="817">
        <v>0.25750000000000001</v>
      </c>
      <c r="K670" s="817"/>
      <c r="L670" s="817"/>
    </row>
    <row r="671" spans="1:12" ht="24" customHeight="1">
      <c r="A671" s="626" t="s">
        <v>12709</v>
      </c>
      <c r="B671" s="627" t="s">
        <v>13052</v>
      </c>
      <c r="C671" s="626" t="s">
        <v>8</v>
      </c>
      <c r="D671" s="626" t="s">
        <v>9229</v>
      </c>
      <c r="E671" s="628" t="s">
        <v>23</v>
      </c>
      <c r="F671" s="816" t="s">
        <v>13692</v>
      </c>
      <c r="G671" s="816"/>
      <c r="H671" s="816">
        <v>0.67762219999999995</v>
      </c>
      <c r="I671" s="816"/>
      <c r="J671" s="817">
        <v>0.65049999999999997</v>
      </c>
      <c r="K671" s="817"/>
      <c r="L671" s="817"/>
    </row>
    <row r="672" spans="1:12" ht="24" customHeight="1">
      <c r="A672" s="626" t="s">
        <v>12709</v>
      </c>
      <c r="B672" s="627" t="s">
        <v>13051</v>
      </c>
      <c r="C672" s="626" t="s">
        <v>8</v>
      </c>
      <c r="D672" s="626" t="s">
        <v>9376</v>
      </c>
      <c r="E672" s="628" t="s">
        <v>23</v>
      </c>
      <c r="F672" s="816" t="s">
        <v>13691</v>
      </c>
      <c r="G672" s="816"/>
      <c r="H672" s="816">
        <v>0.67762219999999995</v>
      </c>
      <c r="I672" s="816"/>
      <c r="J672" s="817">
        <v>0.33879999999999999</v>
      </c>
      <c r="K672" s="817"/>
      <c r="L672" s="817"/>
    </row>
    <row r="673" spans="1:12" ht="17.100000000000001" customHeight="1">
      <c r="A673" s="636"/>
      <c r="B673" s="636"/>
      <c r="C673" s="636"/>
      <c r="D673" s="636"/>
      <c r="E673" s="636"/>
      <c r="F673" s="636"/>
      <c r="G673" s="636"/>
      <c r="H673" s="636"/>
      <c r="I673" s="636"/>
      <c r="J673" s="636" t="s">
        <v>13675</v>
      </c>
      <c r="K673" s="636"/>
      <c r="L673" s="636" t="s">
        <v>14253</v>
      </c>
    </row>
    <row r="674" spans="1:12" ht="14.25" customHeight="1">
      <c r="A674" s="802" t="s">
        <v>12710</v>
      </c>
      <c r="B674" s="802"/>
      <c r="C674" s="802"/>
      <c r="D674" s="802"/>
      <c r="E674" s="802"/>
      <c r="F674" s="802"/>
      <c r="G674" s="802"/>
      <c r="H674" s="802"/>
      <c r="I674" s="612"/>
      <c r="J674" s="612"/>
      <c r="K674" s="612"/>
      <c r="L674" s="612"/>
    </row>
    <row r="675" spans="1:12" ht="17.100000000000001" customHeight="1">
      <c r="A675" s="612" t="s">
        <v>13679</v>
      </c>
      <c r="B675" s="636" t="s">
        <v>12698</v>
      </c>
      <c r="C675" s="612" t="s">
        <v>12699</v>
      </c>
      <c r="D675" s="612" t="s">
        <v>12700</v>
      </c>
      <c r="E675" s="637" t="s">
        <v>12702</v>
      </c>
      <c r="F675" s="801" t="s">
        <v>12704</v>
      </c>
      <c r="G675" s="801"/>
      <c r="H675" s="801" t="s">
        <v>13678</v>
      </c>
      <c r="I675" s="801"/>
      <c r="J675" s="801" t="s">
        <v>12705</v>
      </c>
      <c r="K675" s="801"/>
      <c r="L675" s="801"/>
    </row>
    <row r="676" spans="1:12" ht="24" customHeight="1">
      <c r="A676" s="626" t="s">
        <v>12709</v>
      </c>
      <c r="B676" s="627" t="s">
        <v>13114</v>
      </c>
      <c r="C676" s="626" t="s">
        <v>8</v>
      </c>
      <c r="D676" s="626" t="s">
        <v>10562</v>
      </c>
      <c r="E676" s="628" t="s">
        <v>23</v>
      </c>
      <c r="F676" s="816" t="s">
        <v>14524</v>
      </c>
      <c r="G676" s="816"/>
      <c r="H676" s="816">
        <v>0.68236680000000005</v>
      </c>
      <c r="I676" s="816"/>
      <c r="J676" s="817">
        <v>4.5582000000000003</v>
      </c>
      <c r="K676" s="817"/>
      <c r="L676" s="817"/>
    </row>
    <row r="677" spans="1:12" ht="24" customHeight="1">
      <c r="A677" s="626" t="s">
        <v>12709</v>
      </c>
      <c r="B677" s="627" t="s">
        <v>13046</v>
      </c>
      <c r="C677" s="626" t="s">
        <v>8</v>
      </c>
      <c r="D677" s="626" t="s">
        <v>11281</v>
      </c>
      <c r="E677" s="628" t="s">
        <v>23</v>
      </c>
      <c r="F677" s="816" t="s">
        <v>13731</v>
      </c>
      <c r="G677" s="816"/>
      <c r="H677" s="816">
        <v>0.68700419999999995</v>
      </c>
      <c r="I677" s="816"/>
      <c r="J677" s="817">
        <v>3.5312000000000001</v>
      </c>
      <c r="K677" s="817"/>
      <c r="L677" s="817"/>
    </row>
    <row r="678" spans="1:12" ht="24" customHeight="1">
      <c r="A678" s="626" t="s">
        <v>12709</v>
      </c>
      <c r="B678" s="627" t="s">
        <v>13158</v>
      </c>
      <c r="C678" s="626" t="s">
        <v>8</v>
      </c>
      <c r="D678" s="626" t="s">
        <v>9691</v>
      </c>
      <c r="E678" s="628" t="s">
        <v>23</v>
      </c>
      <c r="F678" s="816" t="s">
        <v>14524</v>
      </c>
      <c r="G678" s="816"/>
      <c r="H678" s="816">
        <v>0.67948810000000004</v>
      </c>
      <c r="I678" s="816"/>
      <c r="J678" s="817">
        <v>4.5389999999999997</v>
      </c>
      <c r="K678" s="817"/>
      <c r="L678" s="817"/>
    </row>
    <row r="679" spans="1:12" ht="17.100000000000001" customHeight="1">
      <c r="A679" s="636"/>
      <c r="B679" s="636"/>
      <c r="C679" s="636"/>
      <c r="D679" s="636"/>
      <c r="E679" s="636"/>
      <c r="F679" s="636"/>
      <c r="G679" s="636"/>
      <c r="H679" s="636"/>
      <c r="I679" s="636"/>
      <c r="J679" s="636" t="s">
        <v>13675</v>
      </c>
      <c r="K679" s="636"/>
      <c r="L679" s="636" t="s">
        <v>14781</v>
      </c>
    </row>
    <row r="680" spans="1:12">
      <c r="A680" s="802" t="s">
        <v>12720</v>
      </c>
      <c r="B680" s="802"/>
      <c r="C680" s="802"/>
      <c r="D680" s="802"/>
      <c r="E680" s="802"/>
      <c r="F680" s="802"/>
      <c r="G680" s="802"/>
      <c r="H680" s="802"/>
      <c r="I680" s="612"/>
      <c r="J680" s="612"/>
      <c r="K680" s="612"/>
      <c r="L680" s="612"/>
    </row>
    <row r="681" spans="1:12" ht="17.100000000000001" customHeight="1">
      <c r="A681" s="612" t="s">
        <v>13679</v>
      </c>
      <c r="B681" s="636" t="s">
        <v>12698</v>
      </c>
      <c r="C681" s="612" t="s">
        <v>12699</v>
      </c>
      <c r="D681" s="612" t="s">
        <v>12700</v>
      </c>
      <c r="E681" s="637" t="s">
        <v>12702</v>
      </c>
      <c r="F681" s="801" t="s">
        <v>12704</v>
      </c>
      <c r="G681" s="801"/>
      <c r="H681" s="801" t="s">
        <v>13678</v>
      </c>
      <c r="I681" s="801"/>
      <c r="J681" s="801" t="s">
        <v>12705</v>
      </c>
      <c r="K681" s="801"/>
      <c r="L681" s="801"/>
    </row>
    <row r="682" spans="1:12" ht="24" customHeight="1">
      <c r="A682" s="626" t="s">
        <v>12709</v>
      </c>
      <c r="B682" s="627" t="s">
        <v>13007</v>
      </c>
      <c r="C682" s="626" t="s">
        <v>8</v>
      </c>
      <c r="D682" s="626" t="s">
        <v>10549</v>
      </c>
      <c r="E682" s="628" t="s">
        <v>58</v>
      </c>
      <c r="F682" s="816" t="s">
        <v>14172</v>
      </c>
      <c r="G682" s="816"/>
      <c r="H682" s="816">
        <v>1.0977798999999999</v>
      </c>
      <c r="I682" s="816"/>
      <c r="J682" s="817">
        <v>3.5568</v>
      </c>
      <c r="K682" s="817"/>
      <c r="L682" s="817"/>
    </row>
    <row r="683" spans="1:12" ht="17.100000000000001" customHeight="1">
      <c r="A683" s="636"/>
      <c r="B683" s="636"/>
      <c r="C683" s="636"/>
      <c r="D683" s="636"/>
      <c r="E683" s="636"/>
      <c r="F683" s="636"/>
      <c r="G683" s="636"/>
      <c r="H683" s="636"/>
      <c r="I683" s="636"/>
      <c r="J683" s="636" t="s">
        <v>13675</v>
      </c>
      <c r="K683" s="636"/>
      <c r="L683" s="636" t="s">
        <v>14780</v>
      </c>
    </row>
    <row r="684" spans="1:12">
      <c r="A684" s="802" t="s">
        <v>12722</v>
      </c>
      <c r="B684" s="802"/>
      <c r="C684" s="802"/>
      <c r="D684" s="802"/>
      <c r="E684" s="802"/>
      <c r="F684" s="802"/>
      <c r="G684" s="802"/>
      <c r="H684" s="802"/>
      <c r="I684" s="612"/>
      <c r="J684" s="612"/>
      <c r="K684" s="612"/>
      <c r="L684" s="612"/>
    </row>
    <row r="685" spans="1:12" ht="17.100000000000001" customHeight="1">
      <c r="A685" s="612" t="s">
        <v>13679</v>
      </c>
      <c r="B685" s="636" t="s">
        <v>12698</v>
      </c>
      <c r="C685" s="612" t="s">
        <v>12699</v>
      </c>
      <c r="D685" s="612" t="s">
        <v>12700</v>
      </c>
      <c r="E685" s="637" t="s">
        <v>12702</v>
      </c>
      <c r="F685" s="801" t="s">
        <v>12704</v>
      </c>
      <c r="G685" s="801"/>
      <c r="H685" s="801" t="s">
        <v>13678</v>
      </c>
      <c r="I685" s="801"/>
      <c r="J685" s="801" t="s">
        <v>12705</v>
      </c>
      <c r="K685" s="801"/>
      <c r="L685" s="801"/>
    </row>
    <row r="686" spans="1:12" ht="24" customHeight="1">
      <c r="A686" s="626" t="s">
        <v>12709</v>
      </c>
      <c r="B686" s="627" t="s">
        <v>12998</v>
      </c>
      <c r="C686" s="626" t="s">
        <v>8</v>
      </c>
      <c r="D686" s="626" t="s">
        <v>11861</v>
      </c>
      <c r="E686" s="628" t="s">
        <v>23</v>
      </c>
      <c r="F686" s="816" t="s">
        <v>13683</v>
      </c>
      <c r="G686" s="816"/>
      <c r="H686" s="816">
        <v>2.0327665000000001</v>
      </c>
      <c r="I686" s="816"/>
      <c r="J686" s="817">
        <v>1.4433</v>
      </c>
      <c r="K686" s="817"/>
      <c r="L686" s="817"/>
    </row>
    <row r="687" spans="1:12" ht="17.100000000000001" customHeight="1">
      <c r="A687" s="636"/>
      <c r="B687" s="636"/>
      <c r="C687" s="636"/>
      <c r="D687" s="636"/>
      <c r="E687" s="636"/>
      <c r="F687" s="636"/>
      <c r="G687" s="636"/>
      <c r="H687" s="636"/>
      <c r="I687" s="636"/>
      <c r="J687" s="636" t="s">
        <v>13675</v>
      </c>
      <c r="K687" s="636"/>
      <c r="L687" s="636" t="s">
        <v>14147</v>
      </c>
    </row>
    <row r="688" spans="1:12">
      <c r="A688" s="802" t="s">
        <v>12713</v>
      </c>
      <c r="B688" s="802"/>
      <c r="C688" s="802"/>
      <c r="D688" s="802"/>
      <c r="E688" s="802"/>
      <c r="F688" s="802"/>
      <c r="G688" s="802"/>
      <c r="H688" s="802"/>
      <c r="I688" s="612"/>
      <c r="J688" s="612"/>
      <c r="K688" s="612"/>
      <c r="L688" s="612"/>
    </row>
    <row r="689" spans="1:12" ht="17.100000000000001" customHeight="1">
      <c r="A689" s="612" t="s">
        <v>13679</v>
      </c>
      <c r="B689" s="636" t="s">
        <v>12698</v>
      </c>
      <c r="C689" s="612" t="s">
        <v>12699</v>
      </c>
      <c r="D689" s="612" t="s">
        <v>12700</v>
      </c>
      <c r="E689" s="637" t="s">
        <v>12702</v>
      </c>
      <c r="F689" s="801" t="s">
        <v>12704</v>
      </c>
      <c r="G689" s="801"/>
      <c r="H689" s="801" t="s">
        <v>13678</v>
      </c>
      <c r="I689" s="801"/>
      <c r="J689" s="801" t="s">
        <v>12705</v>
      </c>
      <c r="K689" s="801"/>
      <c r="L689" s="801"/>
    </row>
    <row r="690" spans="1:12" ht="24" customHeight="1">
      <c r="A690" s="626" t="s">
        <v>12709</v>
      </c>
      <c r="B690" s="627" t="s">
        <v>12999</v>
      </c>
      <c r="C690" s="626" t="s">
        <v>8</v>
      </c>
      <c r="D690" s="626" t="s">
        <v>11251</v>
      </c>
      <c r="E690" s="628" t="s">
        <v>23</v>
      </c>
      <c r="F690" s="816" t="s">
        <v>13681</v>
      </c>
      <c r="G690" s="816"/>
      <c r="H690" s="816">
        <v>2.0327665000000001</v>
      </c>
      <c r="I690" s="816"/>
      <c r="J690" s="817">
        <v>0.14230000000000001</v>
      </c>
      <c r="K690" s="817"/>
      <c r="L690" s="817"/>
    </row>
    <row r="691" spans="1:12" ht="17.100000000000001" customHeight="1">
      <c r="A691" s="636"/>
      <c r="B691" s="636"/>
      <c r="C691" s="636"/>
      <c r="D691" s="636"/>
      <c r="E691" s="636"/>
      <c r="F691" s="636"/>
      <c r="G691" s="636"/>
      <c r="H691" s="636"/>
      <c r="I691" s="636"/>
      <c r="J691" s="636" t="s">
        <v>13675</v>
      </c>
      <c r="K691" s="636"/>
      <c r="L691" s="636" t="s">
        <v>13880</v>
      </c>
    </row>
    <row r="692" spans="1:12">
      <c r="A692" s="802" t="s">
        <v>12712</v>
      </c>
      <c r="B692" s="802"/>
      <c r="C692" s="802"/>
      <c r="D692" s="802"/>
      <c r="E692" s="802"/>
      <c r="F692" s="802"/>
      <c r="G692" s="802"/>
      <c r="H692" s="802"/>
      <c r="I692" s="612"/>
      <c r="J692" s="612"/>
      <c r="K692" s="612"/>
      <c r="L692" s="612"/>
    </row>
    <row r="693" spans="1:12" ht="17.100000000000001" customHeight="1">
      <c r="A693" s="612" t="s">
        <v>13679</v>
      </c>
      <c r="B693" s="636" t="s">
        <v>12698</v>
      </c>
      <c r="C693" s="612" t="s">
        <v>12699</v>
      </c>
      <c r="D693" s="612" t="s">
        <v>12700</v>
      </c>
      <c r="E693" s="637" t="s">
        <v>12702</v>
      </c>
      <c r="F693" s="801" t="s">
        <v>12704</v>
      </c>
      <c r="G693" s="801"/>
      <c r="H693" s="801" t="s">
        <v>13678</v>
      </c>
      <c r="I693" s="801"/>
      <c r="J693" s="801" t="s">
        <v>12705</v>
      </c>
      <c r="K693" s="801"/>
      <c r="L693" s="801"/>
    </row>
    <row r="694" spans="1:12" ht="24" customHeight="1">
      <c r="A694" s="626" t="s">
        <v>12709</v>
      </c>
      <c r="B694" s="627" t="s">
        <v>13002</v>
      </c>
      <c r="C694" s="626" t="s">
        <v>8</v>
      </c>
      <c r="D694" s="626" t="s">
        <v>9306</v>
      </c>
      <c r="E694" s="628" t="s">
        <v>23</v>
      </c>
      <c r="F694" s="816" t="s">
        <v>13677</v>
      </c>
      <c r="G694" s="816"/>
      <c r="H694" s="816">
        <v>2.0327665000000001</v>
      </c>
      <c r="I694" s="816"/>
      <c r="J694" s="817">
        <v>0.71150000000000002</v>
      </c>
      <c r="K694" s="817"/>
      <c r="L694" s="817"/>
    </row>
    <row r="695" spans="1:12" ht="24" customHeight="1">
      <c r="A695" s="626" t="s">
        <v>12709</v>
      </c>
      <c r="B695" s="627" t="s">
        <v>13004</v>
      </c>
      <c r="C695" s="626" t="s">
        <v>8</v>
      </c>
      <c r="D695" s="626" t="s">
        <v>7388</v>
      </c>
      <c r="E695" s="628" t="s">
        <v>23</v>
      </c>
      <c r="F695" s="816" t="s">
        <v>13676</v>
      </c>
      <c r="G695" s="816"/>
      <c r="H695" s="816">
        <v>2.0327665000000001</v>
      </c>
      <c r="I695" s="816"/>
      <c r="J695" s="817">
        <v>4.4721000000000002</v>
      </c>
      <c r="K695" s="817"/>
      <c r="L695" s="817"/>
    </row>
    <row r="696" spans="1:12" ht="17.100000000000001" customHeight="1">
      <c r="A696" s="636"/>
      <c r="B696" s="636"/>
      <c r="C696" s="636"/>
      <c r="D696" s="636"/>
      <c r="E696" s="636"/>
      <c r="F696" s="636"/>
      <c r="G696" s="636"/>
      <c r="H696" s="636"/>
      <c r="I696" s="636"/>
      <c r="J696" s="636" t="s">
        <v>13675</v>
      </c>
      <c r="K696" s="636"/>
      <c r="L696" s="636" t="s">
        <v>14252</v>
      </c>
    </row>
    <row r="697" spans="1:12" ht="17.100000000000001" customHeight="1">
      <c r="A697" s="612" t="s">
        <v>13673</v>
      </c>
      <c r="B697" s="612"/>
      <c r="C697" s="612"/>
      <c r="D697" s="612"/>
      <c r="E697" s="612"/>
      <c r="F697" s="612"/>
      <c r="G697" s="612"/>
      <c r="H697" s="612"/>
      <c r="I697" s="612"/>
      <c r="J697" s="612"/>
      <c r="K697" s="612"/>
      <c r="L697" s="612"/>
    </row>
    <row r="698" spans="1:12" ht="17.100000000000001" customHeight="1">
      <c r="A698" s="636"/>
      <c r="B698" s="636"/>
      <c r="C698" s="636"/>
      <c r="D698" s="636"/>
      <c r="E698" s="636"/>
      <c r="F698" s="636"/>
      <c r="G698" s="636"/>
      <c r="H698" s="636"/>
      <c r="I698" s="636"/>
      <c r="J698" s="636" t="s">
        <v>13672</v>
      </c>
      <c r="K698" s="636"/>
      <c r="L698" s="636" t="s">
        <v>14954</v>
      </c>
    </row>
    <row r="699" spans="1:12" ht="17.100000000000001" customHeight="1">
      <c r="A699" s="636"/>
      <c r="B699" s="636"/>
      <c r="C699" s="636"/>
      <c r="D699" s="636"/>
      <c r="E699" s="636"/>
      <c r="F699" s="636"/>
      <c r="G699" s="636"/>
      <c r="H699" s="636"/>
      <c r="I699" s="636"/>
      <c r="J699" s="636" t="s">
        <v>13671</v>
      </c>
      <c r="K699" s="636" t="s">
        <v>14461</v>
      </c>
      <c r="L699" s="636" t="s">
        <v>14955</v>
      </c>
    </row>
    <row r="700" spans="1:12" ht="17.100000000000001" customHeight="1">
      <c r="A700" s="636"/>
      <c r="B700" s="636"/>
      <c r="C700" s="636"/>
      <c r="D700" s="636"/>
      <c r="E700" s="636"/>
      <c r="F700" s="636"/>
      <c r="G700" s="636"/>
      <c r="H700" s="636"/>
      <c r="I700" s="636"/>
      <c r="J700" s="636" t="s">
        <v>13670</v>
      </c>
      <c r="K700" s="636"/>
      <c r="L700" s="636" t="s">
        <v>14956</v>
      </c>
    </row>
    <row r="701" spans="1:12" ht="17.100000000000001" customHeight="1">
      <c r="A701" s="636"/>
      <c r="B701" s="636"/>
      <c r="C701" s="636"/>
      <c r="D701" s="636"/>
      <c r="E701" s="636"/>
      <c r="F701" s="636"/>
      <c r="G701" s="636"/>
      <c r="H701" s="636"/>
      <c r="I701" s="636"/>
      <c r="J701" s="636" t="s">
        <v>13669</v>
      </c>
      <c r="K701" s="636" t="s">
        <v>13667</v>
      </c>
      <c r="L701" s="636" t="s">
        <v>14957</v>
      </c>
    </row>
    <row r="702" spans="1:12" ht="17.100000000000001" customHeight="1">
      <c r="A702" s="636"/>
      <c r="B702" s="636"/>
      <c r="C702" s="636"/>
      <c r="D702" s="636"/>
      <c r="E702" s="636"/>
      <c r="F702" s="636"/>
      <c r="G702" s="636"/>
      <c r="H702" s="636"/>
      <c r="I702" s="636"/>
      <c r="J702" s="636" t="s">
        <v>13668</v>
      </c>
      <c r="K702" s="636"/>
      <c r="L702" s="636" t="s">
        <v>14958</v>
      </c>
    </row>
    <row r="703" spans="1:12" ht="30" customHeight="1">
      <c r="A703" s="637"/>
      <c r="B703" s="637"/>
      <c r="C703" s="637"/>
      <c r="D703" s="637"/>
      <c r="E703" s="637"/>
      <c r="F703" s="637"/>
      <c r="G703" s="637"/>
      <c r="H703" s="637"/>
      <c r="I703" s="637"/>
      <c r="J703" s="637"/>
      <c r="K703" s="637"/>
      <c r="L703" s="637"/>
    </row>
    <row r="704" spans="1:12" ht="24" customHeight="1">
      <c r="A704" s="616" t="s">
        <v>14251</v>
      </c>
      <c r="B704" s="617" t="s">
        <v>13637</v>
      </c>
      <c r="C704" s="616" t="s">
        <v>8</v>
      </c>
      <c r="D704" s="616" t="s">
        <v>38</v>
      </c>
      <c r="E704" s="618" t="s">
        <v>12730</v>
      </c>
      <c r="F704" s="617"/>
      <c r="G704" s="617"/>
      <c r="H704" s="617"/>
      <c r="I704" s="617"/>
      <c r="J704" s="617"/>
      <c r="K704" s="617"/>
      <c r="L704" s="617"/>
    </row>
    <row r="705" spans="1:12" ht="14.25" customHeight="1">
      <c r="A705" s="802" t="s">
        <v>12711</v>
      </c>
      <c r="B705" s="802"/>
      <c r="C705" s="802"/>
      <c r="D705" s="802"/>
      <c r="E705" s="802"/>
      <c r="F705" s="802"/>
      <c r="G705" s="802"/>
      <c r="H705" s="802"/>
      <c r="I705" s="612"/>
      <c r="J705" s="612"/>
      <c r="K705" s="612"/>
      <c r="L705" s="612"/>
    </row>
    <row r="706" spans="1:12" ht="17.100000000000001" customHeight="1">
      <c r="A706" s="612" t="s">
        <v>13679</v>
      </c>
      <c r="B706" s="636" t="s">
        <v>12698</v>
      </c>
      <c r="C706" s="612" t="s">
        <v>12699</v>
      </c>
      <c r="D706" s="612" t="s">
        <v>12700</v>
      </c>
      <c r="E706" s="637" t="s">
        <v>12702</v>
      </c>
      <c r="F706" s="801" t="s">
        <v>12704</v>
      </c>
      <c r="G706" s="801"/>
      <c r="H706" s="801" t="s">
        <v>13678</v>
      </c>
      <c r="I706" s="801"/>
      <c r="J706" s="801" t="s">
        <v>12705</v>
      </c>
      <c r="K706" s="801"/>
      <c r="L706" s="801"/>
    </row>
    <row r="707" spans="1:12" ht="48" customHeight="1">
      <c r="A707" s="626" t="s">
        <v>12709</v>
      </c>
      <c r="B707" s="627" t="s">
        <v>13280</v>
      </c>
      <c r="C707" s="626" t="s">
        <v>8</v>
      </c>
      <c r="D707" s="626" t="s">
        <v>8193</v>
      </c>
      <c r="E707" s="628" t="s">
        <v>35</v>
      </c>
      <c r="F707" s="816" t="s">
        <v>14491</v>
      </c>
      <c r="G707" s="816"/>
      <c r="H707" s="816">
        <v>1.26E-5</v>
      </c>
      <c r="I707" s="816"/>
      <c r="J707" s="817">
        <v>3.6513</v>
      </c>
      <c r="K707" s="817"/>
      <c r="L707" s="817"/>
    </row>
    <row r="708" spans="1:12" ht="24" customHeight="1">
      <c r="A708" s="626" t="s">
        <v>12709</v>
      </c>
      <c r="B708" s="627" t="s">
        <v>13003</v>
      </c>
      <c r="C708" s="626" t="s">
        <v>8</v>
      </c>
      <c r="D708" s="626" t="s">
        <v>9227</v>
      </c>
      <c r="E708" s="628" t="s">
        <v>23</v>
      </c>
      <c r="F708" s="816" t="s">
        <v>13732</v>
      </c>
      <c r="G708" s="816"/>
      <c r="H708" s="816">
        <v>0.2493167</v>
      </c>
      <c r="I708" s="816"/>
      <c r="J708" s="817">
        <v>0.16450000000000001</v>
      </c>
      <c r="K708" s="817"/>
      <c r="L708" s="817"/>
    </row>
    <row r="709" spans="1:12" ht="24" customHeight="1">
      <c r="A709" s="626" t="s">
        <v>12709</v>
      </c>
      <c r="B709" s="627" t="s">
        <v>13001</v>
      </c>
      <c r="C709" s="626" t="s">
        <v>8</v>
      </c>
      <c r="D709" s="626" t="s">
        <v>9374</v>
      </c>
      <c r="E709" s="628" t="s">
        <v>23</v>
      </c>
      <c r="F709" s="816" t="s">
        <v>13728</v>
      </c>
      <c r="G709" s="816"/>
      <c r="H709" s="816">
        <v>0.2493167</v>
      </c>
      <c r="I709" s="816"/>
      <c r="J709" s="817">
        <v>2.5000000000000001E-3</v>
      </c>
      <c r="K709" s="817"/>
      <c r="L709" s="817"/>
    </row>
    <row r="710" spans="1:12" ht="24" customHeight="1">
      <c r="A710" s="626" t="s">
        <v>12709</v>
      </c>
      <c r="B710" s="627" t="s">
        <v>13048</v>
      </c>
      <c r="C710" s="626" t="s">
        <v>8</v>
      </c>
      <c r="D710" s="626" t="s">
        <v>9233</v>
      </c>
      <c r="E710" s="628" t="s">
        <v>23</v>
      </c>
      <c r="F710" s="816" t="s">
        <v>13690</v>
      </c>
      <c r="G710" s="816"/>
      <c r="H710" s="816">
        <v>0.69808680000000001</v>
      </c>
      <c r="I710" s="816"/>
      <c r="J710" s="817">
        <v>0.71199999999999997</v>
      </c>
      <c r="K710" s="817"/>
      <c r="L710" s="817"/>
    </row>
    <row r="711" spans="1:12" ht="24" customHeight="1">
      <c r="A711" s="626" t="s">
        <v>12709</v>
      </c>
      <c r="B711" s="627" t="s">
        <v>13047</v>
      </c>
      <c r="C711" s="626" t="s">
        <v>8</v>
      </c>
      <c r="D711" s="626" t="s">
        <v>9380</v>
      </c>
      <c r="E711" s="628" t="s">
        <v>23</v>
      </c>
      <c r="F711" s="816" t="s">
        <v>13689</v>
      </c>
      <c r="G711" s="816"/>
      <c r="H711" s="816">
        <v>0.69808680000000001</v>
      </c>
      <c r="I711" s="816"/>
      <c r="J711" s="817">
        <v>0.26529999999999998</v>
      </c>
      <c r="K711" s="817"/>
      <c r="L711" s="817"/>
    </row>
    <row r="712" spans="1:12" ht="17.100000000000001" customHeight="1">
      <c r="A712" s="636"/>
      <c r="B712" s="636"/>
      <c r="C712" s="636"/>
      <c r="D712" s="636"/>
      <c r="E712" s="636"/>
      <c r="F712" s="636"/>
      <c r="G712" s="636"/>
      <c r="H712" s="636"/>
      <c r="I712" s="636"/>
      <c r="J712" s="636" t="s">
        <v>13675</v>
      </c>
      <c r="K712" s="636"/>
      <c r="L712" s="636" t="s">
        <v>13949</v>
      </c>
    </row>
    <row r="713" spans="1:12" ht="14.25" customHeight="1">
      <c r="A713" s="802" t="s">
        <v>12710</v>
      </c>
      <c r="B713" s="802"/>
      <c r="C713" s="802"/>
      <c r="D713" s="802"/>
      <c r="E713" s="802"/>
      <c r="F713" s="802"/>
      <c r="G713" s="802"/>
      <c r="H713" s="802"/>
      <c r="I713" s="612"/>
      <c r="J713" s="612"/>
      <c r="K713" s="612"/>
      <c r="L713" s="612"/>
    </row>
    <row r="714" spans="1:12" ht="17.100000000000001" customHeight="1">
      <c r="A714" s="612" t="s">
        <v>13679</v>
      </c>
      <c r="B714" s="636" t="s">
        <v>12698</v>
      </c>
      <c r="C714" s="612" t="s">
        <v>12699</v>
      </c>
      <c r="D714" s="612" t="s">
        <v>12700</v>
      </c>
      <c r="E714" s="637" t="s">
        <v>12702</v>
      </c>
      <c r="F714" s="801" t="s">
        <v>12704</v>
      </c>
      <c r="G714" s="801"/>
      <c r="H714" s="801" t="s">
        <v>13678</v>
      </c>
      <c r="I714" s="801"/>
      <c r="J714" s="801" t="s">
        <v>12705</v>
      </c>
      <c r="K714" s="801"/>
      <c r="L714" s="801"/>
    </row>
    <row r="715" spans="1:12" ht="24" customHeight="1">
      <c r="A715" s="626" t="s">
        <v>12709</v>
      </c>
      <c r="B715" s="627" t="s">
        <v>13129</v>
      </c>
      <c r="C715" s="626" t="s">
        <v>8</v>
      </c>
      <c r="D715" s="626" t="s">
        <v>10467</v>
      </c>
      <c r="E715" s="628" t="s">
        <v>23</v>
      </c>
      <c r="F715" s="816" t="s">
        <v>14252</v>
      </c>
      <c r="G715" s="816"/>
      <c r="H715" s="816">
        <v>0.25041940000000001</v>
      </c>
      <c r="I715" s="816"/>
      <c r="J715" s="817">
        <v>1.2971999999999999</v>
      </c>
      <c r="K715" s="817"/>
      <c r="L715" s="817"/>
    </row>
    <row r="716" spans="1:12" ht="24" customHeight="1">
      <c r="A716" s="626" t="s">
        <v>12709</v>
      </c>
      <c r="B716" s="627" t="s">
        <v>13046</v>
      </c>
      <c r="C716" s="626" t="s">
        <v>8</v>
      </c>
      <c r="D716" s="626" t="s">
        <v>11281</v>
      </c>
      <c r="E716" s="628" t="s">
        <v>23</v>
      </c>
      <c r="F716" s="816" t="s">
        <v>13731</v>
      </c>
      <c r="G716" s="816"/>
      <c r="H716" s="816">
        <v>0.70893030000000001</v>
      </c>
      <c r="I716" s="816"/>
      <c r="J716" s="817">
        <v>3.6438999999999999</v>
      </c>
      <c r="K716" s="817"/>
      <c r="L716" s="817"/>
    </row>
    <row r="717" spans="1:12" ht="17.100000000000001" customHeight="1">
      <c r="A717" s="636"/>
      <c r="B717" s="636"/>
      <c r="C717" s="636"/>
      <c r="D717" s="636"/>
      <c r="E717" s="636"/>
      <c r="F717" s="636"/>
      <c r="G717" s="636"/>
      <c r="H717" s="636"/>
      <c r="I717" s="636"/>
      <c r="J717" s="636" t="s">
        <v>13675</v>
      </c>
      <c r="K717" s="636"/>
      <c r="L717" s="636" t="s">
        <v>14490</v>
      </c>
    </row>
    <row r="718" spans="1:12">
      <c r="A718" s="802" t="s">
        <v>12720</v>
      </c>
      <c r="B718" s="802"/>
      <c r="C718" s="802"/>
      <c r="D718" s="802"/>
      <c r="E718" s="802"/>
      <c r="F718" s="802"/>
      <c r="G718" s="802"/>
      <c r="H718" s="802"/>
      <c r="I718" s="612"/>
      <c r="J718" s="612"/>
      <c r="K718" s="612"/>
      <c r="L718" s="612"/>
    </row>
    <row r="719" spans="1:12" ht="17.100000000000001" customHeight="1">
      <c r="A719" s="612" t="s">
        <v>13679</v>
      </c>
      <c r="B719" s="636" t="s">
        <v>12698</v>
      </c>
      <c r="C719" s="612" t="s">
        <v>12699</v>
      </c>
      <c r="D719" s="612" t="s">
        <v>12700</v>
      </c>
      <c r="E719" s="637" t="s">
        <v>12702</v>
      </c>
      <c r="F719" s="801" t="s">
        <v>12704</v>
      </c>
      <c r="G719" s="801"/>
      <c r="H719" s="801" t="s">
        <v>13678</v>
      </c>
      <c r="I719" s="801"/>
      <c r="J719" s="801" t="s">
        <v>12705</v>
      </c>
      <c r="K719" s="801"/>
      <c r="L719" s="801"/>
    </row>
    <row r="720" spans="1:12" ht="24" customHeight="1">
      <c r="A720" s="626" t="s">
        <v>12709</v>
      </c>
      <c r="B720" s="627" t="s">
        <v>13281</v>
      </c>
      <c r="C720" s="626" t="s">
        <v>8</v>
      </c>
      <c r="D720" s="626" t="s">
        <v>8070</v>
      </c>
      <c r="E720" s="628" t="s">
        <v>35</v>
      </c>
      <c r="F720" s="816" t="s">
        <v>13730</v>
      </c>
      <c r="G720" s="816"/>
      <c r="H720" s="816">
        <v>1.26E-5</v>
      </c>
      <c r="I720" s="816"/>
      <c r="J720" s="817">
        <v>0.42749999999999999</v>
      </c>
      <c r="K720" s="817"/>
      <c r="L720" s="817"/>
    </row>
    <row r="721" spans="1:12" ht="17.100000000000001" customHeight="1">
      <c r="A721" s="636"/>
      <c r="B721" s="636"/>
      <c r="C721" s="636"/>
      <c r="D721" s="636"/>
      <c r="E721" s="636"/>
      <c r="F721" s="636"/>
      <c r="G721" s="636"/>
      <c r="H721" s="636"/>
      <c r="I721" s="636"/>
      <c r="J721" s="636" t="s">
        <v>13675</v>
      </c>
      <c r="K721" s="636"/>
      <c r="L721" s="636" t="s">
        <v>13717</v>
      </c>
    </row>
    <row r="722" spans="1:12">
      <c r="A722" s="802" t="s">
        <v>12722</v>
      </c>
      <c r="B722" s="802"/>
      <c r="C722" s="802"/>
      <c r="D722" s="802"/>
      <c r="E722" s="802"/>
      <c r="F722" s="802"/>
      <c r="G722" s="802"/>
      <c r="H722" s="802"/>
      <c r="I722" s="612"/>
      <c r="J722" s="612"/>
      <c r="K722" s="612"/>
      <c r="L722" s="612"/>
    </row>
    <row r="723" spans="1:12" ht="17.100000000000001" customHeight="1">
      <c r="A723" s="612" t="s">
        <v>13679</v>
      </c>
      <c r="B723" s="636" t="s">
        <v>12698</v>
      </c>
      <c r="C723" s="612" t="s">
        <v>12699</v>
      </c>
      <c r="D723" s="612" t="s">
        <v>12700</v>
      </c>
      <c r="E723" s="637" t="s">
        <v>12702</v>
      </c>
      <c r="F723" s="801" t="s">
        <v>12704</v>
      </c>
      <c r="G723" s="801"/>
      <c r="H723" s="801" t="s">
        <v>13678</v>
      </c>
      <c r="I723" s="801"/>
      <c r="J723" s="801" t="s">
        <v>12705</v>
      </c>
      <c r="K723" s="801"/>
      <c r="L723" s="801"/>
    </row>
    <row r="724" spans="1:12" ht="24" customHeight="1">
      <c r="A724" s="626" t="s">
        <v>12709</v>
      </c>
      <c r="B724" s="627" t="s">
        <v>12998</v>
      </c>
      <c r="C724" s="626" t="s">
        <v>8</v>
      </c>
      <c r="D724" s="626" t="s">
        <v>11861</v>
      </c>
      <c r="E724" s="628" t="s">
        <v>23</v>
      </c>
      <c r="F724" s="816" t="s">
        <v>13683</v>
      </c>
      <c r="G724" s="816"/>
      <c r="H724" s="816">
        <v>0.94740360000000001</v>
      </c>
      <c r="I724" s="816"/>
      <c r="J724" s="817">
        <v>0.67269999999999996</v>
      </c>
      <c r="K724" s="817"/>
      <c r="L724" s="817"/>
    </row>
    <row r="725" spans="1:12" ht="17.100000000000001" customHeight="1">
      <c r="A725" s="636"/>
      <c r="B725" s="636"/>
      <c r="C725" s="636"/>
      <c r="D725" s="636"/>
      <c r="E725" s="636"/>
      <c r="F725" s="636"/>
      <c r="G725" s="636"/>
      <c r="H725" s="636"/>
      <c r="I725" s="636"/>
      <c r="J725" s="636" t="s">
        <v>13675</v>
      </c>
      <c r="K725" s="636"/>
      <c r="L725" s="636" t="s">
        <v>13735</v>
      </c>
    </row>
    <row r="726" spans="1:12">
      <c r="A726" s="802" t="s">
        <v>12713</v>
      </c>
      <c r="B726" s="802"/>
      <c r="C726" s="802"/>
      <c r="D726" s="802"/>
      <c r="E726" s="802"/>
      <c r="F726" s="802"/>
      <c r="G726" s="802"/>
      <c r="H726" s="802"/>
      <c r="I726" s="612"/>
      <c r="J726" s="612"/>
      <c r="K726" s="612"/>
      <c r="L726" s="612"/>
    </row>
    <row r="727" spans="1:12" ht="17.100000000000001" customHeight="1">
      <c r="A727" s="612" t="s">
        <v>13679</v>
      </c>
      <c r="B727" s="636" t="s">
        <v>12698</v>
      </c>
      <c r="C727" s="612" t="s">
        <v>12699</v>
      </c>
      <c r="D727" s="612" t="s">
        <v>12700</v>
      </c>
      <c r="E727" s="637" t="s">
        <v>12702</v>
      </c>
      <c r="F727" s="801" t="s">
        <v>12704</v>
      </c>
      <c r="G727" s="801"/>
      <c r="H727" s="801" t="s">
        <v>13678</v>
      </c>
      <c r="I727" s="801"/>
      <c r="J727" s="801" t="s">
        <v>12705</v>
      </c>
      <c r="K727" s="801"/>
      <c r="L727" s="801"/>
    </row>
    <row r="728" spans="1:12" ht="24" customHeight="1">
      <c r="A728" s="626" t="s">
        <v>12709</v>
      </c>
      <c r="B728" s="627" t="s">
        <v>12999</v>
      </c>
      <c r="C728" s="626" t="s">
        <v>8</v>
      </c>
      <c r="D728" s="626" t="s">
        <v>11251</v>
      </c>
      <c r="E728" s="628" t="s">
        <v>23</v>
      </c>
      <c r="F728" s="816" t="s">
        <v>13681</v>
      </c>
      <c r="G728" s="816"/>
      <c r="H728" s="816">
        <v>0.94740360000000001</v>
      </c>
      <c r="I728" s="816"/>
      <c r="J728" s="817">
        <v>6.6299999999999998E-2</v>
      </c>
      <c r="K728" s="817"/>
      <c r="L728" s="817"/>
    </row>
    <row r="729" spans="1:12" ht="17.100000000000001" customHeight="1">
      <c r="A729" s="636"/>
      <c r="B729" s="636"/>
      <c r="C729" s="636"/>
      <c r="D729" s="636"/>
      <c r="E729" s="636"/>
      <c r="F729" s="636"/>
      <c r="G729" s="636"/>
      <c r="H729" s="636"/>
      <c r="I729" s="636"/>
      <c r="J729" s="636" t="s">
        <v>13675</v>
      </c>
      <c r="K729" s="636"/>
      <c r="L729" s="636" t="s">
        <v>13681</v>
      </c>
    </row>
    <row r="730" spans="1:12">
      <c r="A730" s="802" t="s">
        <v>12712</v>
      </c>
      <c r="B730" s="802"/>
      <c r="C730" s="802"/>
      <c r="D730" s="802"/>
      <c r="E730" s="802"/>
      <c r="F730" s="802"/>
      <c r="G730" s="802"/>
      <c r="H730" s="802"/>
      <c r="I730" s="612"/>
      <c r="J730" s="612"/>
      <c r="K730" s="612"/>
      <c r="L730" s="612"/>
    </row>
    <row r="731" spans="1:12" ht="17.100000000000001" customHeight="1">
      <c r="A731" s="612" t="s">
        <v>13679</v>
      </c>
      <c r="B731" s="636" t="s">
        <v>12698</v>
      </c>
      <c r="C731" s="612" t="s">
        <v>12699</v>
      </c>
      <c r="D731" s="612" t="s">
        <v>12700</v>
      </c>
      <c r="E731" s="637" t="s">
        <v>12702</v>
      </c>
      <c r="F731" s="801" t="s">
        <v>12704</v>
      </c>
      <c r="G731" s="801"/>
      <c r="H731" s="801" t="s">
        <v>13678</v>
      </c>
      <c r="I731" s="801"/>
      <c r="J731" s="801" t="s">
        <v>12705</v>
      </c>
      <c r="K731" s="801"/>
      <c r="L731" s="801"/>
    </row>
    <row r="732" spans="1:12" ht="24" customHeight="1">
      <c r="A732" s="626" t="s">
        <v>12709</v>
      </c>
      <c r="B732" s="627" t="s">
        <v>13002</v>
      </c>
      <c r="C732" s="626" t="s">
        <v>8</v>
      </c>
      <c r="D732" s="626" t="s">
        <v>9306</v>
      </c>
      <c r="E732" s="628" t="s">
        <v>23</v>
      </c>
      <c r="F732" s="816" t="s">
        <v>13677</v>
      </c>
      <c r="G732" s="816"/>
      <c r="H732" s="816">
        <v>0.94740360000000001</v>
      </c>
      <c r="I732" s="816"/>
      <c r="J732" s="817">
        <v>0.33160000000000001</v>
      </c>
      <c r="K732" s="817"/>
      <c r="L732" s="817"/>
    </row>
    <row r="733" spans="1:12" ht="24" customHeight="1">
      <c r="A733" s="626" t="s">
        <v>12709</v>
      </c>
      <c r="B733" s="627" t="s">
        <v>13004</v>
      </c>
      <c r="C733" s="626" t="s">
        <v>8</v>
      </c>
      <c r="D733" s="626" t="s">
        <v>7388</v>
      </c>
      <c r="E733" s="628" t="s">
        <v>23</v>
      </c>
      <c r="F733" s="816" t="s">
        <v>13676</v>
      </c>
      <c r="G733" s="816"/>
      <c r="H733" s="816">
        <v>0.94740360000000001</v>
      </c>
      <c r="I733" s="816"/>
      <c r="J733" s="817">
        <v>2.0842999999999998</v>
      </c>
      <c r="K733" s="817"/>
      <c r="L733" s="817"/>
    </row>
    <row r="734" spans="1:12" ht="17.100000000000001" customHeight="1">
      <c r="A734" s="636"/>
      <c r="B734" s="636"/>
      <c r="C734" s="636"/>
      <c r="D734" s="636"/>
      <c r="E734" s="636"/>
      <c r="F734" s="636"/>
      <c r="G734" s="636"/>
      <c r="H734" s="636"/>
      <c r="I734" s="636"/>
      <c r="J734" s="636" t="s">
        <v>13675</v>
      </c>
      <c r="K734" s="636"/>
      <c r="L734" s="636" t="s">
        <v>13734</v>
      </c>
    </row>
    <row r="735" spans="1:12" ht="17.100000000000001" customHeight="1">
      <c r="A735" s="612" t="s">
        <v>13673</v>
      </c>
      <c r="B735" s="612"/>
      <c r="C735" s="612"/>
      <c r="D735" s="612"/>
      <c r="E735" s="612"/>
      <c r="F735" s="612"/>
      <c r="G735" s="612"/>
      <c r="H735" s="612"/>
      <c r="I735" s="612"/>
      <c r="J735" s="612"/>
      <c r="K735" s="612"/>
      <c r="L735" s="612"/>
    </row>
    <row r="736" spans="1:12" ht="17.100000000000001" customHeight="1">
      <c r="A736" s="636"/>
      <c r="B736" s="636"/>
      <c r="C736" s="636"/>
      <c r="D736" s="636"/>
      <c r="E736" s="636"/>
      <c r="F736" s="636"/>
      <c r="G736" s="636"/>
      <c r="H736" s="636"/>
      <c r="I736" s="636"/>
      <c r="J736" s="636" t="s">
        <v>13672</v>
      </c>
      <c r="K736" s="636"/>
      <c r="L736" s="636" t="s">
        <v>14959</v>
      </c>
    </row>
    <row r="737" spans="1:12" ht="17.100000000000001" customHeight="1">
      <c r="A737" s="636"/>
      <c r="B737" s="636"/>
      <c r="C737" s="636"/>
      <c r="D737" s="636"/>
      <c r="E737" s="636"/>
      <c r="F737" s="636"/>
      <c r="G737" s="636"/>
      <c r="H737" s="636"/>
      <c r="I737" s="636"/>
      <c r="J737" s="636" t="s">
        <v>13671</v>
      </c>
      <c r="K737" s="636" t="s">
        <v>14461</v>
      </c>
      <c r="L737" s="636" t="s">
        <v>14960</v>
      </c>
    </row>
    <row r="738" spans="1:12" ht="17.100000000000001" customHeight="1">
      <c r="A738" s="636"/>
      <c r="B738" s="636"/>
      <c r="C738" s="636"/>
      <c r="D738" s="636"/>
      <c r="E738" s="636"/>
      <c r="F738" s="636"/>
      <c r="G738" s="636"/>
      <c r="H738" s="636"/>
      <c r="I738" s="636"/>
      <c r="J738" s="636" t="s">
        <v>13670</v>
      </c>
      <c r="K738" s="636"/>
      <c r="L738" s="636" t="s">
        <v>14961</v>
      </c>
    </row>
    <row r="739" spans="1:12" ht="17.100000000000001" customHeight="1">
      <c r="A739" s="636"/>
      <c r="B739" s="636"/>
      <c r="C739" s="636"/>
      <c r="D739" s="636"/>
      <c r="E739" s="636"/>
      <c r="F739" s="636"/>
      <c r="G739" s="636"/>
      <c r="H739" s="636"/>
      <c r="I739" s="636"/>
      <c r="J739" s="636" t="s">
        <v>13669</v>
      </c>
      <c r="K739" s="636" t="s">
        <v>13667</v>
      </c>
      <c r="L739" s="636" t="s">
        <v>14962</v>
      </c>
    </row>
    <row r="740" spans="1:12" ht="17.100000000000001" customHeight="1">
      <c r="A740" s="636"/>
      <c r="B740" s="636"/>
      <c r="C740" s="636"/>
      <c r="D740" s="636"/>
      <c r="E740" s="636"/>
      <c r="F740" s="636"/>
      <c r="G740" s="636"/>
      <c r="H740" s="636"/>
      <c r="I740" s="636"/>
      <c r="J740" s="636" t="s">
        <v>13668</v>
      </c>
      <c r="K740" s="636"/>
      <c r="L740" s="636" t="s">
        <v>14963</v>
      </c>
    </row>
    <row r="741" spans="1:12" ht="30" customHeight="1">
      <c r="A741" s="637"/>
      <c r="B741" s="637"/>
      <c r="C741" s="637"/>
      <c r="D741" s="637"/>
      <c r="E741" s="637"/>
      <c r="F741" s="637"/>
      <c r="G741" s="637"/>
      <c r="H741" s="637"/>
      <c r="I741" s="637"/>
      <c r="J741" s="637"/>
      <c r="K741" s="637"/>
      <c r="L741" s="637"/>
    </row>
    <row r="742" spans="1:12" ht="36" customHeight="1">
      <c r="A742" s="616" t="s">
        <v>14250</v>
      </c>
      <c r="B742" s="617" t="s">
        <v>13655</v>
      </c>
      <c r="C742" s="616" t="s">
        <v>8</v>
      </c>
      <c r="D742" s="616" t="s">
        <v>4680</v>
      </c>
      <c r="E742" s="618" t="s">
        <v>144</v>
      </c>
      <c r="F742" s="617"/>
      <c r="G742" s="617"/>
      <c r="H742" s="617"/>
      <c r="I742" s="617"/>
      <c r="J742" s="617"/>
      <c r="K742" s="617"/>
      <c r="L742" s="617"/>
    </row>
    <row r="743" spans="1:12" ht="14.25" customHeight="1">
      <c r="A743" s="802" t="s">
        <v>12711</v>
      </c>
      <c r="B743" s="802"/>
      <c r="C743" s="802"/>
      <c r="D743" s="802"/>
      <c r="E743" s="802"/>
      <c r="F743" s="802"/>
      <c r="G743" s="802"/>
      <c r="H743" s="802"/>
      <c r="I743" s="612"/>
      <c r="J743" s="612"/>
      <c r="K743" s="612"/>
      <c r="L743" s="612"/>
    </row>
    <row r="744" spans="1:12" ht="17.100000000000001" customHeight="1">
      <c r="A744" s="612" t="s">
        <v>13679</v>
      </c>
      <c r="B744" s="636" t="s">
        <v>12698</v>
      </c>
      <c r="C744" s="612" t="s">
        <v>12699</v>
      </c>
      <c r="D744" s="612" t="s">
        <v>12700</v>
      </c>
      <c r="E744" s="637" t="s">
        <v>12702</v>
      </c>
      <c r="F744" s="801" t="s">
        <v>12704</v>
      </c>
      <c r="G744" s="801"/>
      <c r="H744" s="801" t="s">
        <v>13678</v>
      </c>
      <c r="I744" s="801"/>
      <c r="J744" s="801" t="s">
        <v>12705</v>
      </c>
      <c r="K744" s="801"/>
      <c r="L744" s="801"/>
    </row>
    <row r="745" spans="1:12" ht="48" customHeight="1">
      <c r="A745" s="626" t="s">
        <v>12709</v>
      </c>
      <c r="B745" s="627" t="s">
        <v>13289</v>
      </c>
      <c r="C745" s="626" t="s">
        <v>8</v>
      </c>
      <c r="D745" s="626" t="s">
        <v>8192</v>
      </c>
      <c r="E745" s="628" t="s">
        <v>35</v>
      </c>
      <c r="F745" s="816" t="s">
        <v>14489</v>
      </c>
      <c r="G745" s="816"/>
      <c r="H745" s="816">
        <v>1.3999999999999999E-6</v>
      </c>
      <c r="I745" s="816"/>
      <c r="J745" s="817">
        <v>0.38529999999999998</v>
      </c>
      <c r="K745" s="817"/>
      <c r="L745" s="817"/>
    </row>
    <row r="746" spans="1:12" ht="24" customHeight="1">
      <c r="A746" s="626" t="s">
        <v>12709</v>
      </c>
      <c r="B746" s="627" t="s">
        <v>13003</v>
      </c>
      <c r="C746" s="626" t="s">
        <v>8</v>
      </c>
      <c r="D746" s="626" t="s">
        <v>9227</v>
      </c>
      <c r="E746" s="628" t="s">
        <v>23</v>
      </c>
      <c r="F746" s="816" t="s">
        <v>13732</v>
      </c>
      <c r="G746" s="816"/>
      <c r="H746" s="816">
        <v>1.3021899999999999E-2</v>
      </c>
      <c r="I746" s="816"/>
      <c r="J746" s="817">
        <v>8.6E-3</v>
      </c>
      <c r="K746" s="817"/>
      <c r="L746" s="817"/>
    </row>
    <row r="747" spans="1:12" ht="24" customHeight="1">
      <c r="A747" s="626" t="s">
        <v>12709</v>
      </c>
      <c r="B747" s="627" t="s">
        <v>13001</v>
      </c>
      <c r="C747" s="626" t="s">
        <v>8</v>
      </c>
      <c r="D747" s="626" t="s">
        <v>9374</v>
      </c>
      <c r="E747" s="628" t="s">
        <v>23</v>
      </c>
      <c r="F747" s="816" t="s">
        <v>13728</v>
      </c>
      <c r="G747" s="816"/>
      <c r="H747" s="816">
        <v>1.3021899999999999E-2</v>
      </c>
      <c r="I747" s="816"/>
      <c r="J747" s="817">
        <v>1E-4</v>
      </c>
      <c r="K747" s="817"/>
      <c r="L747" s="817"/>
    </row>
    <row r="748" spans="1:12" ht="17.100000000000001" customHeight="1">
      <c r="A748" s="636"/>
      <c r="B748" s="636"/>
      <c r="C748" s="636"/>
      <c r="D748" s="636"/>
      <c r="E748" s="636"/>
      <c r="F748" s="636"/>
      <c r="G748" s="636"/>
      <c r="H748" s="636"/>
      <c r="I748" s="636"/>
      <c r="J748" s="636" t="s">
        <v>13675</v>
      </c>
      <c r="K748" s="636"/>
      <c r="L748" s="636" t="s">
        <v>13784</v>
      </c>
    </row>
    <row r="749" spans="1:12" ht="14.25" customHeight="1">
      <c r="A749" s="802" t="s">
        <v>12710</v>
      </c>
      <c r="B749" s="802"/>
      <c r="C749" s="802"/>
      <c r="D749" s="802"/>
      <c r="E749" s="802"/>
      <c r="F749" s="802"/>
      <c r="G749" s="802"/>
      <c r="H749" s="802"/>
      <c r="I749" s="612"/>
      <c r="J749" s="612"/>
      <c r="K749" s="612"/>
      <c r="L749" s="612"/>
    </row>
    <row r="750" spans="1:12" ht="17.100000000000001" customHeight="1">
      <c r="A750" s="612" t="s">
        <v>13679</v>
      </c>
      <c r="B750" s="636" t="s">
        <v>12698</v>
      </c>
      <c r="C750" s="612" t="s">
        <v>12699</v>
      </c>
      <c r="D750" s="612" t="s">
        <v>12700</v>
      </c>
      <c r="E750" s="637" t="s">
        <v>12702</v>
      </c>
      <c r="F750" s="801" t="s">
        <v>12704</v>
      </c>
      <c r="G750" s="801"/>
      <c r="H750" s="801" t="s">
        <v>13678</v>
      </c>
      <c r="I750" s="801"/>
      <c r="J750" s="801" t="s">
        <v>12705</v>
      </c>
      <c r="K750" s="801"/>
      <c r="L750" s="801"/>
    </row>
    <row r="751" spans="1:12" ht="24" customHeight="1">
      <c r="A751" s="626" t="s">
        <v>12709</v>
      </c>
      <c r="B751" s="627" t="s">
        <v>13129</v>
      </c>
      <c r="C751" s="626" t="s">
        <v>8</v>
      </c>
      <c r="D751" s="626" t="s">
        <v>10467</v>
      </c>
      <c r="E751" s="628" t="s">
        <v>23</v>
      </c>
      <c r="F751" s="816" t="s">
        <v>14252</v>
      </c>
      <c r="G751" s="816"/>
      <c r="H751" s="816">
        <v>1.25235E-2</v>
      </c>
      <c r="I751" s="816"/>
      <c r="J751" s="817">
        <v>6.4899999999999999E-2</v>
      </c>
      <c r="K751" s="817"/>
      <c r="L751" s="817"/>
    </row>
    <row r="752" spans="1:12" ht="17.100000000000001" customHeight="1">
      <c r="A752" s="636"/>
      <c r="B752" s="636"/>
      <c r="C752" s="636"/>
      <c r="D752" s="636"/>
      <c r="E752" s="636"/>
      <c r="F752" s="636"/>
      <c r="G752" s="636"/>
      <c r="H752" s="636"/>
      <c r="I752" s="636"/>
      <c r="J752" s="636" t="s">
        <v>13675</v>
      </c>
      <c r="K752" s="636"/>
      <c r="L752" s="636" t="s">
        <v>13708</v>
      </c>
    </row>
    <row r="753" spans="1:12">
      <c r="A753" s="802" t="s">
        <v>12720</v>
      </c>
      <c r="B753" s="802"/>
      <c r="C753" s="802"/>
      <c r="D753" s="802"/>
      <c r="E753" s="802"/>
      <c r="F753" s="802"/>
      <c r="G753" s="802"/>
      <c r="H753" s="802"/>
      <c r="I753" s="612"/>
      <c r="J753" s="612"/>
      <c r="K753" s="612"/>
      <c r="L753" s="612"/>
    </row>
    <row r="754" spans="1:12" ht="17.100000000000001" customHeight="1">
      <c r="A754" s="612" t="s">
        <v>13679</v>
      </c>
      <c r="B754" s="636" t="s">
        <v>12698</v>
      </c>
      <c r="C754" s="612" t="s">
        <v>12699</v>
      </c>
      <c r="D754" s="612" t="s">
        <v>12700</v>
      </c>
      <c r="E754" s="637" t="s">
        <v>12702</v>
      </c>
      <c r="F754" s="801" t="s">
        <v>12704</v>
      </c>
      <c r="G754" s="801"/>
      <c r="H754" s="801" t="s">
        <v>13678</v>
      </c>
      <c r="I754" s="801"/>
      <c r="J754" s="801" t="s">
        <v>12705</v>
      </c>
      <c r="K754" s="801"/>
      <c r="L754" s="801"/>
    </row>
    <row r="755" spans="1:12" ht="24" customHeight="1">
      <c r="A755" s="626" t="s">
        <v>12709</v>
      </c>
      <c r="B755" s="627" t="s">
        <v>13281</v>
      </c>
      <c r="C755" s="626" t="s">
        <v>8</v>
      </c>
      <c r="D755" s="626" t="s">
        <v>8070</v>
      </c>
      <c r="E755" s="628" t="s">
        <v>35</v>
      </c>
      <c r="F755" s="816" t="s">
        <v>13730</v>
      </c>
      <c r="G755" s="816"/>
      <c r="H755" s="816">
        <v>1.3999999999999999E-6</v>
      </c>
      <c r="I755" s="816"/>
      <c r="J755" s="817">
        <v>4.7500000000000001E-2</v>
      </c>
      <c r="K755" s="817"/>
      <c r="L755" s="817"/>
    </row>
    <row r="756" spans="1:12" ht="24" customHeight="1">
      <c r="A756" s="626" t="s">
        <v>12709</v>
      </c>
      <c r="B756" s="627" t="s">
        <v>13007</v>
      </c>
      <c r="C756" s="626" t="s">
        <v>8</v>
      </c>
      <c r="D756" s="626" t="s">
        <v>10549</v>
      </c>
      <c r="E756" s="628" t="s">
        <v>58</v>
      </c>
      <c r="F756" s="816" t="s">
        <v>14172</v>
      </c>
      <c r="G756" s="816"/>
      <c r="H756" s="816">
        <v>0.14194129999999999</v>
      </c>
      <c r="I756" s="816"/>
      <c r="J756" s="817">
        <v>0.45989999999999998</v>
      </c>
      <c r="K756" s="817"/>
      <c r="L756" s="817"/>
    </row>
    <row r="757" spans="1:12" ht="17.100000000000001" customHeight="1">
      <c r="A757" s="636"/>
      <c r="B757" s="636"/>
      <c r="C757" s="636"/>
      <c r="D757" s="636"/>
      <c r="E757" s="636"/>
      <c r="F757" s="636"/>
      <c r="G757" s="636"/>
      <c r="H757" s="636"/>
      <c r="I757" s="636"/>
      <c r="J757" s="636" t="s">
        <v>13675</v>
      </c>
      <c r="K757" s="636"/>
      <c r="L757" s="636" t="s">
        <v>13746</v>
      </c>
    </row>
    <row r="758" spans="1:12">
      <c r="A758" s="802" t="s">
        <v>12722</v>
      </c>
      <c r="B758" s="802"/>
      <c r="C758" s="802"/>
      <c r="D758" s="802"/>
      <c r="E758" s="802"/>
      <c r="F758" s="802"/>
      <c r="G758" s="802"/>
      <c r="H758" s="802"/>
      <c r="I758" s="612"/>
      <c r="J758" s="612"/>
      <c r="K758" s="612"/>
      <c r="L758" s="612"/>
    </row>
    <row r="759" spans="1:12" ht="17.100000000000001" customHeight="1">
      <c r="A759" s="612" t="s">
        <v>13679</v>
      </c>
      <c r="B759" s="636" t="s">
        <v>12698</v>
      </c>
      <c r="C759" s="612" t="s">
        <v>12699</v>
      </c>
      <c r="D759" s="612" t="s">
        <v>12700</v>
      </c>
      <c r="E759" s="637" t="s">
        <v>12702</v>
      </c>
      <c r="F759" s="801" t="s">
        <v>12704</v>
      </c>
      <c r="G759" s="801"/>
      <c r="H759" s="801" t="s">
        <v>13678</v>
      </c>
      <c r="I759" s="801"/>
      <c r="J759" s="801" t="s">
        <v>12705</v>
      </c>
      <c r="K759" s="801"/>
      <c r="L759" s="801"/>
    </row>
    <row r="760" spans="1:12" ht="24" customHeight="1">
      <c r="A760" s="626" t="s">
        <v>12709</v>
      </c>
      <c r="B760" s="627" t="s">
        <v>12998</v>
      </c>
      <c r="C760" s="626" t="s">
        <v>8</v>
      </c>
      <c r="D760" s="626" t="s">
        <v>11861</v>
      </c>
      <c r="E760" s="628" t="s">
        <v>23</v>
      </c>
      <c r="F760" s="816" t="s">
        <v>13683</v>
      </c>
      <c r="G760" s="816"/>
      <c r="H760" s="816">
        <v>1.3021899999999999E-2</v>
      </c>
      <c r="I760" s="816"/>
      <c r="J760" s="817">
        <v>9.1999999999999998E-3</v>
      </c>
      <c r="K760" s="817"/>
      <c r="L760" s="817"/>
    </row>
    <row r="761" spans="1:12" ht="17.100000000000001" customHeight="1">
      <c r="A761" s="636"/>
      <c r="B761" s="636"/>
      <c r="C761" s="636"/>
      <c r="D761" s="636"/>
      <c r="E761" s="636"/>
      <c r="F761" s="636"/>
      <c r="G761" s="636"/>
      <c r="H761" s="636"/>
      <c r="I761" s="636"/>
      <c r="J761" s="636" t="s">
        <v>13675</v>
      </c>
      <c r="K761" s="636"/>
      <c r="L761" s="636" t="s">
        <v>13728</v>
      </c>
    </row>
    <row r="762" spans="1:12">
      <c r="A762" s="802" t="s">
        <v>12713</v>
      </c>
      <c r="B762" s="802"/>
      <c r="C762" s="802"/>
      <c r="D762" s="802"/>
      <c r="E762" s="802"/>
      <c r="F762" s="802"/>
      <c r="G762" s="802"/>
      <c r="H762" s="802"/>
      <c r="I762" s="612"/>
      <c r="J762" s="612"/>
      <c r="K762" s="612"/>
      <c r="L762" s="612"/>
    </row>
    <row r="763" spans="1:12" ht="17.100000000000001" customHeight="1">
      <c r="A763" s="612" t="s">
        <v>13679</v>
      </c>
      <c r="B763" s="636" t="s">
        <v>12698</v>
      </c>
      <c r="C763" s="612" t="s">
        <v>12699</v>
      </c>
      <c r="D763" s="612" t="s">
        <v>12700</v>
      </c>
      <c r="E763" s="637" t="s">
        <v>12702</v>
      </c>
      <c r="F763" s="801" t="s">
        <v>12704</v>
      </c>
      <c r="G763" s="801"/>
      <c r="H763" s="801" t="s">
        <v>13678</v>
      </c>
      <c r="I763" s="801"/>
      <c r="J763" s="801" t="s">
        <v>12705</v>
      </c>
      <c r="K763" s="801"/>
      <c r="L763" s="801"/>
    </row>
    <row r="764" spans="1:12" ht="24" customHeight="1">
      <c r="A764" s="626" t="s">
        <v>12709</v>
      </c>
      <c r="B764" s="627" t="s">
        <v>12999</v>
      </c>
      <c r="C764" s="626" t="s">
        <v>8</v>
      </c>
      <c r="D764" s="626" t="s">
        <v>11251</v>
      </c>
      <c r="E764" s="628" t="s">
        <v>23</v>
      </c>
      <c r="F764" s="816" t="s">
        <v>13681</v>
      </c>
      <c r="G764" s="816"/>
      <c r="H764" s="816">
        <v>1.3021899999999999E-2</v>
      </c>
      <c r="I764" s="816"/>
      <c r="J764" s="817">
        <v>8.9999999999999998E-4</v>
      </c>
      <c r="K764" s="817"/>
      <c r="L764" s="817"/>
    </row>
    <row r="765" spans="1:12" ht="17.100000000000001" customHeight="1">
      <c r="A765" s="636"/>
      <c r="B765" s="636"/>
      <c r="C765" s="636"/>
      <c r="D765" s="636"/>
      <c r="E765" s="636"/>
      <c r="F765" s="636"/>
      <c r="G765" s="636"/>
      <c r="H765" s="636"/>
      <c r="I765" s="636"/>
      <c r="J765" s="636" t="s">
        <v>13675</v>
      </c>
      <c r="K765" s="636"/>
      <c r="L765" s="636" t="s">
        <v>13727</v>
      </c>
    </row>
    <row r="766" spans="1:12">
      <c r="A766" s="802" t="s">
        <v>12712</v>
      </c>
      <c r="B766" s="802"/>
      <c r="C766" s="802"/>
      <c r="D766" s="802"/>
      <c r="E766" s="802"/>
      <c r="F766" s="802"/>
      <c r="G766" s="802"/>
      <c r="H766" s="802"/>
      <c r="I766" s="612"/>
      <c r="J766" s="612"/>
      <c r="K766" s="612"/>
      <c r="L766" s="612"/>
    </row>
    <row r="767" spans="1:12" ht="17.100000000000001" customHeight="1">
      <c r="A767" s="612" t="s">
        <v>13679</v>
      </c>
      <c r="B767" s="636" t="s">
        <v>12698</v>
      </c>
      <c r="C767" s="612" t="s">
        <v>12699</v>
      </c>
      <c r="D767" s="612" t="s">
        <v>12700</v>
      </c>
      <c r="E767" s="637" t="s">
        <v>12702</v>
      </c>
      <c r="F767" s="801" t="s">
        <v>12704</v>
      </c>
      <c r="G767" s="801"/>
      <c r="H767" s="801" t="s">
        <v>13678</v>
      </c>
      <c r="I767" s="801"/>
      <c r="J767" s="801" t="s">
        <v>12705</v>
      </c>
      <c r="K767" s="801"/>
      <c r="L767" s="801"/>
    </row>
    <row r="768" spans="1:12" ht="24" customHeight="1">
      <c r="A768" s="626" t="s">
        <v>12709</v>
      </c>
      <c r="B768" s="627" t="s">
        <v>13002</v>
      </c>
      <c r="C768" s="626" t="s">
        <v>8</v>
      </c>
      <c r="D768" s="626" t="s">
        <v>9306</v>
      </c>
      <c r="E768" s="628" t="s">
        <v>23</v>
      </c>
      <c r="F768" s="816" t="s">
        <v>13677</v>
      </c>
      <c r="G768" s="816"/>
      <c r="H768" s="816">
        <v>1.3021899999999999E-2</v>
      </c>
      <c r="I768" s="816"/>
      <c r="J768" s="817">
        <v>4.5999999999999999E-3</v>
      </c>
      <c r="K768" s="817"/>
      <c r="L768" s="817"/>
    </row>
    <row r="769" spans="1:12" ht="24" customHeight="1">
      <c r="A769" s="626" t="s">
        <v>12709</v>
      </c>
      <c r="B769" s="627" t="s">
        <v>13004</v>
      </c>
      <c r="C769" s="626" t="s">
        <v>8</v>
      </c>
      <c r="D769" s="626" t="s">
        <v>7388</v>
      </c>
      <c r="E769" s="628" t="s">
        <v>23</v>
      </c>
      <c r="F769" s="816" t="s">
        <v>13676</v>
      </c>
      <c r="G769" s="816"/>
      <c r="H769" s="816">
        <v>1.3021899999999999E-2</v>
      </c>
      <c r="I769" s="816"/>
      <c r="J769" s="817">
        <v>2.86E-2</v>
      </c>
      <c r="K769" s="817"/>
      <c r="L769" s="817"/>
    </row>
    <row r="770" spans="1:12" ht="17.100000000000001" customHeight="1">
      <c r="A770" s="636"/>
      <c r="B770" s="636"/>
      <c r="C770" s="636"/>
      <c r="D770" s="636"/>
      <c r="E770" s="636"/>
      <c r="F770" s="636"/>
      <c r="G770" s="636"/>
      <c r="H770" s="636"/>
      <c r="I770" s="636"/>
      <c r="J770" s="636" t="s">
        <v>13675</v>
      </c>
      <c r="K770" s="636"/>
      <c r="L770" s="636" t="s">
        <v>13726</v>
      </c>
    </row>
    <row r="771" spans="1:12" ht="17.100000000000001" customHeight="1">
      <c r="A771" s="612" t="s">
        <v>13673</v>
      </c>
      <c r="B771" s="612"/>
      <c r="C771" s="612"/>
      <c r="D771" s="612"/>
      <c r="E771" s="612"/>
      <c r="F771" s="612"/>
      <c r="G771" s="612"/>
      <c r="H771" s="612"/>
      <c r="I771" s="612"/>
      <c r="J771" s="612"/>
      <c r="K771" s="612"/>
      <c r="L771" s="612"/>
    </row>
    <row r="772" spans="1:12" ht="17.100000000000001" customHeight="1">
      <c r="A772" s="636"/>
      <c r="B772" s="636"/>
      <c r="C772" s="636"/>
      <c r="D772" s="636"/>
      <c r="E772" s="636"/>
      <c r="F772" s="636"/>
      <c r="G772" s="636"/>
      <c r="H772" s="636"/>
      <c r="I772" s="636"/>
      <c r="J772" s="636" t="s">
        <v>13672</v>
      </c>
      <c r="K772" s="636"/>
      <c r="L772" s="636" t="s">
        <v>14886</v>
      </c>
    </row>
    <row r="773" spans="1:12" ht="17.100000000000001" customHeight="1">
      <c r="A773" s="636"/>
      <c r="B773" s="636"/>
      <c r="C773" s="636"/>
      <c r="D773" s="636"/>
      <c r="E773" s="636"/>
      <c r="F773" s="636"/>
      <c r="G773" s="636"/>
      <c r="H773" s="636"/>
      <c r="I773" s="636"/>
      <c r="J773" s="636" t="s">
        <v>13671</v>
      </c>
      <c r="K773" s="636" t="s">
        <v>14461</v>
      </c>
      <c r="L773" s="636" t="s">
        <v>14879</v>
      </c>
    </row>
    <row r="774" spans="1:12" ht="17.100000000000001" customHeight="1">
      <c r="A774" s="636"/>
      <c r="B774" s="636"/>
      <c r="C774" s="636"/>
      <c r="D774" s="636"/>
      <c r="E774" s="636"/>
      <c r="F774" s="636"/>
      <c r="G774" s="636"/>
      <c r="H774" s="636"/>
      <c r="I774" s="636"/>
      <c r="J774" s="636" t="s">
        <v>13670</v>
      </c>
      <c r="K774" s="636"/>
      <c r="L774" s="636" t="s">
        <v>14887</v>
      </c>
    </row>
    <row r="775" spans="1:12" ht="17.100000000000001" customHeight="1">
      <c r="A775" s="636"/>
      <c r="B775" s="636"/>
      <c r="C775" s="636"/>
      <c r="D775" s="636"/>
      <c r="E775" s="636"/>
      <c r="F775" s="636"/>
      <c r="G775" s="636"/>
      <c r="H775" s="636"/>
      <c r="I775" s="636"/>
      <c r="J775" s="636" t="s">
        <v>13669</v>
      </c>
      <c r="K775" s="636" t="s">
        <v>13667</v>
      </c>
      <c r="L775" s="636" t="s">
        <v>14888</v>
      </c>
    </row>
    <row r="776" spans="1:12" ht="17.100000000000001" customHeight="1">
      <c r="A776" s="636"/>
      <c r="B776" s="636"/>
      <c r="C776" s="636"/>
      <c r="D776" s="636"/>
      <c r="E776" s="636"/>
      <c r="F776" s="636"/>
      <c r="G776" s="636"/>
      <c r="H776" s="636"/>
      <c r="I776" s="636"/>
      <c r="J776" s="636" t="s">
        <v>13668</v>
      </c>
      <c r="K776" s="636"/>
      <c r="L776" s="636" t="s">
        <v>14889</v>
      </c>
    </row>
    <row r="777" spans="1:12" ht="30" customHeight="1">
      <c r="A777" s="637"/>
      <c r="B777" s="637"/>
      <c r="C777" s="637"/>
      <c r="D777" s="637"/>
      <c r="E777" s="637"/>
      <c r="F777" s="637"/>
      <c r="G777" s="637"/>
      <c r="H777" s="637"/>
      <c r="I777" s="637"/>
      <c r="J777" s="637"/>
      <c r="K777" s="637"/>
      <c r="L777" s="637"/>
    </row>
    <row r="778" spans="1:12" ht="48" customHeight="1">
      <c r="A778" s="616" t="s">
        <v>14964</v>
      </c>
      <c r="B778" s="617" t="s">
        <v>14832</v>
      </c>
      <c r="C778" s="616" t="s">
        <v>8</v>
      </c>
      <c r="D778" s="616" t="s">
        <v>3360</v>
      </c>
      <c r="E778" s="618" t="s">
        <v>12730</v>
      </c>
      <c r="F778" s="617"/>
      <c r="G778" s="617"/>
      <c r="H778" s="617"/>
      <c r="I778" s="617"/>
      <c r="J778" s="617"/>
      <c r="K778" s="617"/>
      <c r="L778" s="617"/>
    </row>
    <row r="779" spans="1:12" ht="14.25" customHeight="1">
      <c r="A779" s="802" t="s">
        <v>12711</v>
      </c>
      <c r="B779" s="802"/>
      <c r="C779" s="802"/>
      <c r="D779" s="802"/>
      <c r="E779" s="802"/>
      <c r="F779" s="802"/>
      <c r="G779" s="802"/>
      <c r="H779" s="802"/>
      <c r="I779" s="612"/>
      <c r="J779" s="612"/>
      <c r="K779" s="612"/>
      <c r="L779" s="612"/>
    </row>
    <row r="780" spans="1:12" ht="17.100000000000001" customHeight="1">
      <c r="A780" s="612" t="s">
        <v>13679</v>
      </c>
      <c r="B780" s="636" t="s">
        <v>12698</v>
      </c>
      <c r="C780" s="612" t="s">
        <v>12699</v>
      </c>
      <c r="D780" s="612" t="s">
        <v>12700</v>
      </c>
      <c r="E780" s="637" t="s">
        <v>12702</v>
      </c>
      <c r="F780" s="801" t="s">
        <v>12704</v>
      </c>
      <c r="G780" s="801"/>
      <c r="H780" s="801" t="s">
        <v>13678</v>
      </c>
      <c r="I780" s="801"/>
      <c r="J780" s="801" t="s">
        <v>12705</v>
      </c>
      <c r="K780" s="801"/>
      <c r="L780" s="801"/>
    </row>
    <row r="781" spans="1:12" ht="48" customHeight="1">
      <c r="A781" s="626" t="s">
        <v>12709</v>
      </c>
      <c r="B781" s="627" t="s">
        <v>13274</v>
      </c>
      <c r="C781" s="626" t="s">
        <v>8</v>
      </c>
      <c r="D781" s="626" t="s">
        <v>8201</v>
      </c>
      <c r="E781" s="628" t="s">
        <v>35</v>
      </c>
      <c r="F781" s="816" t="s">
        <v>14721</v>
      </c>
      <c r="G781" s="816"/>
      <c r="H781" s="816">
        <v>6.9999999999999997E-7</v>
      </c>
      <c r="I781" s="816"/>
      <c r="J781" s="817">
        <v>0.2243</v>
      </c>
      <c r="K781" s="817"/>
      <c r="L781" s="817"/>
    </row>
    <row r="782" spans="1:12" ht="24" customHeight="1">
      <c r="A782" s="626" t="s">
        <v>12709</v>
      </c>
      <c r="B782" s="627" t="s">
        <v>13003</v>
      </c>
      <c r="C782" s="626" t="s">
        <v>8</v>
      </c>
      <c r="D782" s="626" t="s">
        <v>9227</v>
      </c>
      <c r="E782" s="628" t="s">
        <v>23</v>
      </c>
      <c r="F782" s="816" t="s">
        <v>13732</v>
      </c>
      <c r="G782" s="816"/>
      <c r="H782" s="816">
        <v>0.53689819999999999</v>
      </c>
      <c r="I782" s="816"/>
      <c r="J782" s="817">
        <v>0.35439999999999999</v>
      </c>
      <c r="K782" s="817"/>
      <c r="L782" s="817"/>
    </row>
    <row r="783" spans="1:12" ht="24" customHeight="1">
      <c r="A783" s="626" t="s">
        <v>12709</v>
      </c>
      <c r="B783" s="627" t="s">
        <v>13001</v>
      </c>
      <c r="C783" s="626" t="s">
        <v>8</v>
      </c>
      <c r="D783" s="626" t="s">
        <v>9374</v>
      </c>
      <c r="E783" s="628" t="s">
        <v>23</v>
      </c>
      <c r="F783" s="816" t="s">
        <v>13728</v>
      </c>
      <c r="G783" s="816"/>
      <c r="H783" s="816">
        <v>0.53689819999999999</v>
      </c>
      <c r="I783" s="816"/>
      <c r="J783" s="817">
        <v>5.4000000000000003E-3</v>
      </c>
      <c r="K783" s="817"/>
      <c r="L783" s="817"/>
    </row>
    <row r="784" spans="1:12" ht="36" customHeight="1">
      <c r="A784" s="626" t="s">
        <v>12709</v>
      </c>
      <c r="B784" s="627" t="s">
        <v>13268</v>
      </c>
      <c r="C784" s="626" t="s">
        <v>8</v>
      </c>
      <c r="D784" s="626" t="s">
        <v>8451</v>
      </c>
      <c r="E784" s="628" t="s">
        <v>35</v>
      </c>
      <c r="F784" s="816" t="s">
        <v>14506</v>
      </c>
      <c r="G784" s="816"/>
      <c r="H784" s="816">
        <v>5.0300000000000003E-5</v>
      </c>
      <c r="I784" s="816"/>
      <c r="J784" s="817">
        <v>0.54879999999999995</v>
      </c>
      <c r="K784" s="817"/>
      <c r="L784" s="817"/>
    </row>
    <row r="785" spans="1:12" ht="24" customHeight="1">
      <c r="A785" s="626" t="s">
        <v>12709</v>
      </c>
      <c r="B785" s="627" t="s">
        <v>13048</v>
      </c>
      <c r="C785" s="626" t="s">
        <v>8</v>
      </c>
      <c r="D785" s="626" t="s">
        <v>9233</v>
      </c>
      <c r="E785" s="628" t="s">
        <v>23</v>
      </c>
      <c r="F785" s="816" t="s">
        <v>13690</v>
      </c>
      <c r="G785" s="816"/>
      <c r="H785" s="816">
        <v>0.65887510000000005</v>
      </c>
      <c r="I785" s="816"/>
      <c r="J785" s="817">
        <v>0.67210000000000003</v>
      </c>
      <c r="K785" s="817"/>
      <c r="L785" s="817"/>
    </row>
    <row r="786" spans="1:12" ht="24" customHeight="1">
      <c r="A786" s="626" t="s">
        <v>12709</v>
      </c>
      <c r="B786" s="627" t="s">
        <v>13047</v>
      </c>
      <c r="C786" s="626" t="s">
        <v>8</v>
      </c>
      <c r="D786" s="626" t="s">
        <v>9380</v>
      </c>
      <c r="E786" s="628" t="s">
        <v>23</v>
      </c>
      <c r="F786" s="816" t="s">
        <v>13689</v>
      </c>
      <c r="G786" s="816"/>
      <c r="H786" s="816">
        <v>0.65887510000000005</v>
      </c>
      <c r="I786" s="816"/>
      <c r="J786" s="817">
        <v>0.25040000000000001</v>
      </c>
      <c r="K786" s="817"/>
      <c r="L786" s="817"/>
    </row>
    <row r="787" spans="1:12" ht="17.100000000000001" customHeight="1">
      <c r="A787" s="636"/>
      <c r="B787" s="636"/>
      <c r="C787" s="636"/>
      <c r="D787" s="636"/>
      <c r="E787" s="636"/>
      <c r="F787" s="636"/>
      <c r="G787" s="636"/>
      <c r="H787" s="636"/>
      <c r="I787" s="636"/>
      <c r="J787" s="636" t="s">
        <v>13675</v>
      </c>
      <c r="K787" s="636"/>
      <c r="L787" s="636" t="s">
        <v>14095</v>
      </c>
    </row>
    <row r="788" spans="1:12" ht="14.25" customHeight="1">
      <c r="A788" s="802" t="s">
        <v>12710</v>
      </c>
      <c r="B788" s="802"/>
      <c r="C788" s="802"/>
      <c r="D788" s="802"/>
      <c r="E788" s="802"/>
      <c r="F788" s="802"/>
      <c r="G788" s="802"/>
      <c r="H788" s="802"/>
      <c r="I788" s="612"/>
      <c r="J788" s="612"/>
      <c r="K788" s="612"/>
      <c r="L788" s="612"/>
    </row>
    <row r="789" spans="1:12" ht="17.100000000000001" customHeight="1">
      <c r="A789" s="612" t="s">
        <v>13679</v>
      </c>
      <c r="B789" s="636" t="s">
        <v>12698</v>
      </c>
      <c r="C789" s="612" t="s">
        <v>12699</v>
      </c>
      <c r="D789" s="612" t="s">
        <v>12700</v>
      </c>
      <c r="E789" s="637" t="s">
        <v>12702</v>
      </c>
      <c r="F789" s="801" t="s">
        <v>12704</v>
      </c>
      <c r="G789" s="801"/>
      <c r="H789" s="801" t="s">
        <v>13678</v>
      </c>
      <c r="I789" s="801"/>
      <c r="J789" s="801" t="s">
        <v>12705</v>
      </c>
      <c r="K789" s="801"/>
      <c r="L789" s="801"/>
    </row>
    <row r="790" spans="1:12" ht="24" customHeight="1">
      <c r="A790" s="626" t="s">
        <v>12709</v>
      </c>
      <c r="B790" s="627" t="s">
        <v>13126</v>
      </c>
      <c r="C790" s="626" t="s">
        <v>8</v>
      </c>
      <c r="D790" s="626" t="s">
        <v>10465</v>
      </c>
      <c r="E790" s="628" t="s">
        <v>23</v>
      </c>
      <c r="F790" s="816" t="s">
        <v>14604</v>
      </c>
      <c r="G790" s="816"/>
      <c r="H790" s="816">
        <v>9.0238999999999996E-3</v>
      </c>
      <c r="I790" s="816"/>
      <c r="J790" s="817">
        <v>4.9500000000000002E-2</v>
      </c>
      <c r="K790" s="817"/>
      <c r="L790" s="817"/>
    </row>
    <row r="791" spans="1:12" ht="24" customHeight="1">
      <c r="A791" s="626" t="s">
        <v>12709</v>
      </c>
      <c r="B791" s="627" t="s">
        <v>13103</v>
      </c>
      <c r="C791" s="626" t="s">
        <v>8</v>
      </c>
      <c r="D791" s="626" t="s">
        <v>10570</v>
      </c>
      <c r="E791" s="628" t="s">
        <v>23</v>
      </c>
      <c r="F791" s="816" t="s">
        <v>14289</v>
      </c>
      <c r="G791" s="816"/>
      <c r="H791" s="816">
        <v>0.53172540000000001</v>
      </c>
      <c r="I791" s="816"/>
      <c r="J791" s="817">
        <v>2.7065000000000001</v>
      </c>
      <c r="K791" s="817"/>
      <c r="L791" s="817"/>
    </row>
    <row r="792" spans="1:12" ht="24" customHeight="1">
      <c r="A792" s="626" t="s">
        <v>12709</v>
      </c>
      <c r="B792" s="627" t="s">
        <v>13046</v>
      </c>
      <c r="C792" s="626" t="s">
        <v>8</v>
      </c>
      <c r="D792" s="626" t="s">
        <v>11281</v>
      </c>
      <c r="E792" s="628" t="s">
        <v>23</v>
      </c>
      <c r="F792" s="816" t="s">
        <v>13731</v>
      </c>
      <c r="G792" s="816"/>
      <c r="H792" s="816">
        <v>0.66806129999999997</v>
      </c>
      <c r="I792" s="816"/>
      <c r="J792" s="817">
        <v>3.4338000000000002</v>
      </c>
      <c r="K792" s="817"/>
      <c r="L792" s="817"/>
    </row>
    <row r="793" spans="1:12" ht="17.100000000000001" customHeight="1">
      <c r="A793" s="636"/>
      <c r="B793" s="636"/>
      <c r="C793" s="636"/>
      <c r="D793" s="636"/>
      <c r="E793" s="636"/>
      <c r="F793" s="636"/>
      <c r="G793" s="636"/>
      <c r="H793" s="636"/>
      <c r="I793" s="636"/>
      <c r="J793" s="636" t="s">
        <v>13675</v>
      </c>
      <c r="K793" s="636"/>
      <c r="L793" s="636" t="s">
        <v>14189</v>
      </c>
    </row>
    <row r="794" spans="1:12">
      <c r="A794" s="802" t="s">
        <v>12720</v>
      </c>
      <c r="B794" s="802"/>
      <c r="C794" s="802"/>
      <c r="D794" s="802"/>
      <c r="E794" s="802"/>
      <c r="F794" s="802"/>
      <c r="G794" s="802"/>
      <c r="H794" s="802"/>
      <c r="I794" s="612"/>
      <c r="J794" s="612"/>
      <c r="K794" s="612"/>
      <c r="L794" s="612"/>
    </row>
    <row r="795" spans="1:12" ht="17.100000000000001" customHeight="1">
      <c r="A795" s="612" t="s">
        <v>13679</v>
      </c>
      <c r="B795" s="636" t="s">
        <v>12698</v>
      </c>
      <c r="C795" s="612" t="s">
        <v>12699</v>
      </c>
      <c r="D795" s="612" t="s">
        <v>12700</v>
      </c>
      <c r="E795" s="637" t="s">
        <v>12702</v>
      </c>
      <c r="F795" s="801" t="s">
        <v>12704</v>
      </c>
      <c r="G795" s="801"/>
      <c r="H795" s="801" t="s">
        <v>13678</v>
      </c>
      <c r="I795" s="801"/>
      <c r="J795" s="801" t="s">
        <v>12705</v>
      </c>
      <c r="K795" s="801"/>
      <c r="L795" s="801"/>
    </row>
    <row r="796" spans="1:12" ht="24" customHeight="1">
      <c r="A796" s="626" t="s">
        <v>12709</v>
      </c>
      <c r="B796" s="627" t="s">
        <v>14833</v>
      </c>
      <c r="C796" s="626" t="s">
        <v>8</v>
      </c>
      <c r="D796" s="626" t="s">
        <v>7547</v>
      </c>
      <c r="E796" s="628" t="s">
        <v>12730</v>
      </c>
      <c r="F796" s="816" t="s">
        <v>14965</v>
      </c>
      <c r="G796" s="816"/>
      <c r="H796" s="816">
        <v>1.25</v>
      </c>
      <c r="I796" s="816"/>
      <c r="J796" s="817">
        <v>11.55</v>
      </c>
      <c r="K796" s="817"/>
      <c r="L796" s="817"/>
    </row>
    <row r="797" spans="1:12" ht="24" customHeight="1">
      <c r="A797" s="626" t="s">
        <v>12709</v>
      </c>
      <c r="B797" s="627" t="s">
        <v>13273</v>
      </c>
      <c r="C797" s="626" t="s">
        <v>8</v>
      </c>
      <c r="D797" s="626" t="s">
        <v>11409</v>
      </c>
      <c r="E797" s="628" t="s">
        <v>35</v>
      </c>
      <c r="F797" s="816" t="s">
        <v>14720</v>
      </c>
      <c r="G797" s="816"/>
      <c r="H797" s="816">
        <v>6.9999999999999997E-7</v>
      </c>
      <c r="I797" s="816"/>
      <c r="J797" s="817">
        <v>3.85E-2</v>
      </c>
      <c r="K797" s="817"/>
      <c r="L797" s="817"/>
    </row>
    <row r="798" spans="1:12" ht="17.100000000000001" customHeight="1">
      <c r="A798" s="626" t="s">
        <v>12709</v>
      </c>
      <c r="B798" s="627" t="s">
        <v>13007</v>
      </c>
      <c r="C798" s="626" t="s">
        <v>8</v>
      </c>
      <c r="D798" s="626" t="s">
        <v>10549</v>
      </c>
      <c r="E798" s="628" t="s">
        <v>58</v>
      </c>
      <c r="F798" s="816" t="s">
        <v>14172</v>
      </c>
      <c r="G798" s="816"/>
      <c r="H798" s="816">
        <v>0.19292339999999999</v>
      </c>
      <c r="I798" s="816"/>
      <c r="J798" s="817">
        <v>0.62509999999999999</v>
      </c>
      <c r="K798" s="817"/>
      <c r="L798" s="817"/>
    </row>
    <row r="799" spans="1:12" ht="25.5">
      <c r="A799" s="626" t="s">
        <v>12709</v>
      </c>
      <c r="B799" s="627" t="s">
        <v>13266</v>
      </c>
      <c r="C799" s="626" t="s">
        <v>8</v>
      </c>
      <c r="D799" s="626" t="s">
        <v>9514</v>
      </c>
      <c r="E799" s="628" t="s">
        <v>58</v>
      </c>
      <c r="F799" s="816" t="s">
        <v>14009</v>
      </c>
      <c r="G799" s="816"/>
      <c r="H799" s="816">
        <v>0.28216649999999999</v>
      </c>
      <c r="I799" s="816"/>
      <c r="J799" s="817">
        <v>1.0609</v>
      </c>
      <c r="K799" s="817"/>
      <c r="L799" s="817"/>
    </row>
    <row r="800" spans="1:12" ht="17.100000000000001" customHeight="1">
      <c r="A800" s="636"/>
      <c r="B800" s="636"/>
      <c r="C800" s="636"/>
      <c r="D800" s="636"/>
      <c r="E800" s="636"/>
      <c r="F800" s="636"/>
      <c r="G800" s="636"/>
      <c r="H800" s="636"/>
      <c r="I800" s="636"/>
      <c r="J800" s="636" t="s">
        <v>13675</v>
      </c>
      <c r="K800" s="636"/>
      <c r="L800" s="636" t="s">
        <v>14966</v>
      </c>
    </row>
    <row r="801" spans="1:12" ht="24" customHeight="1">
      <c r="A801" s="802" t="s">
        <v>12722</v>
      </c>
      <c r="B801" s="802"/>
      <c r="C801" s="802"/>
      <c r="D801" s="802"/>
      <c r="E801" s="802"/>
      <c r="F801" s="802"/>
      <c r="G801" s="802"/>
      <c r="H801" s="802"/>
      <c r="I801" s="612"/>
      <c r="J801" s="612"/>
      <c r="K801" s="612"/>
      <c r="L801" s="612"/>
    </row>
    <row r="802" spans="1:12" ht="17.100000000000001" customHeight="1">
      <c r="A802" s="612" t="s">
        <v>13679</v>
      </c>
      <c r="B802" s="636" t="s">
        <v>12698</v>
      </c>
      <c r="C802" s="612" t="s">
        <v>12699</v>
      </c>
      <c r="D802" s="612" t="s">
        <v>12700</v>
      </c>
      <c r="E802" s="637" t="s">
        <v>12702</v>
      </c>
      <c r="F802" s="801" t="s">
        <v>12704</v>
      </c>
      <c r="G802" s="801"/>
      <c r="H802" s="801" t="s">
        <v>13678</v>
      </c>
      <c r="I802" s="801"/>
      <c r="J802" s="801" t="s">
        <v>12705</v>
      </c>
      <c r="K802" s="801"/>
      <c r="L802" s="801"/>
    </row>
    <row r="803" spans="1:12" ht="25.5">
      <c r="A803" s="626" t="s">
        <v>12709</v>
      </c>
      <c r="B803" s="627" t="s">
        <v>12998</v>
      </c>
      <c r="C803" s="626" t="s">
        <v>8</v>
      </c>
      <c r="D803" s="626" t="s">
        <v>11861</v>
      </c>
      <c r="E803" s="628" t="s">
        <v>23</v>
      </c>
      <c r="F803" s="816" t="s">
        <v>13683</v>
      </c>
      <c r="G803" s="816"/>
      <c r="H803" s="816">
        <v>1.1957732000000001</v>
      </c>
      <c r="I803" s="816"/>
      <c r="J803" s="817">
        <v>0.84899999999999998</v>
      </c>
      <c r="K803" s="817"/>
      <c r="L803" s="817"/>
    </row>
    <row r="804" spans="1:12" ht="17.100000000000001" customHeight="1">
      <c r="A804" s="636"/>
      <c r="B804" s="636"/>
      <c r="C804" s="636"/>
      <c r="D804" s="636"/>
      <c r="E804" s="636"/>
      <c r="F804" s="636"/>
      <c r="G804" s="636"/>
      <c r="H804" s="636"/>
      <c r="I804" s="636"/>
      <c r="J804" s="636" t="s">
        <v>13675</v>
      </c>
      <c r="K804" s="636"/>
      <c r="L804" s="636" t="s">
        <v>13906</v>
      </c>
    </row>
    <row r="805" spans="1:12" ht="24" customHeight="1">
      <c r="A805" s="802" t="s">
        <v>12713</v>
      </c>
      <c r="B805" s="802"/>
      <c r="C805" s="802"/>
      <c r="D805" s="802"/>
      <c r="E805" s="802"/>
      <c r="F805" s="802"/>
      <c r="G805" s="802"/>
      <c r="H805" s="802"/>
      <c r="I805" s="612"/>
      <c r="J805" s="612"/>
      <c r="K805" s="612"/>
      <c r="L805" s="612"/>
    </row>
    <row r="806" spans="1:12" ht="17.100000000000001" customHeight="1">
      <c r="A806" s="612" t="s">
        <v>13679</v>
      </c>
      <c r="B806" s="636" t="s">
        <v>12698</v>
      </c>
      <c r="C806" s="612" t="s">
        <v>12699</v>
      </c>
      <c r="D806" s="612" t="s">
        <v>12700</v>
      </c>
      <c r="E806" s="637" t="s">
        <v>12702</v>
      </c>
      <c r="F806" s="801" t="s">
        <v>12704</v>
      </c>
      <c r="G806" s="801"/>
      <c r="H806" s="801" t="s">
        <v>13678</v>
      </c>
      <c r="I806" s="801"/>
      <c r="J806" s="801" t="s">
        <v>12705</v>
      </c>
      <c r="K806" s="801"/>
      <c r="L806" s="801"/>
    </row>
    <row r="807" spans="1:12" ht="25.5">
      <c r="A807" s="626" t="s">
        <v>12709</v>
      </c>
      <c r="B807" s="627" t="s">
        <v>12999</v>
      </c>
      <c r="C807" s="626" t="s">
        <v>8</v>
      </c>
      <c r="D807" s="626" t="s">
        <v>11251</v>
      </c>
      <c r="E807" s="628" t="s">
        <v>23</v>
      </c>
      <c r="F807" s="816" t="s">
        <v>13681</v>
      </c>
      <c r="G807" s="816"/>
      <c r="H807" s="816">
        <v>1.1957732000000001</v>
      </c>
      <c r="I807" s="816"/>
      <c r="J807" s="817">
        <v>8.3699999999999997E-2</v>
      </c>
      <c r="K807" s="817"/>
      <c r="L807" s="817"/>
    </row>
    <row r="808" spans="1:12" ht="17.100000000000001" customHeight="1">
      <c r="A808" s="636"/>
      <c r="B808" s="636"/>
      <c r="C808" s="636"/>
      <c r="D808" s="636"/>
      <c r="E808" s="636"/>
      <c r="F808" s="636"/>
      <c r="G808" s="636"/>
      <c r="H808" s="636"/>
      <c r="I808" s="636"/>
      <c r="J808" s="636" t="s">
        <v>13675</v>
      </c>
      <c r="K808" s="636"/>
      <c r="L808" s="636" t="s">
        <v>13892</v>
      </c>
    </row>
    <row r="809" spans="1:12" ht="24" customHeight="1">
      <c r="A809" s="802" t="s">
        <v>12712</v>
      </c>
      <c r="B809" s="802"/>
      <c r="C809" s="802"/>
      <c r="D809" s="802"/>
      <c r="E809" s="802"/>
      <c r="F809" s="802"/>
      <c r="G809" s="802"/>
      <c r="H809" s="802"/>
      <c r="I809" s="612"/>
      <c r="J809" s="612"/>
      <c r="K809" s="612"/>
      <c r="L809" s="612"/>
    </row>
    <row r="810" spans="1:12" ht="24" customHeight="1">
      <c r="A810" s="612" t="s">
        <v>13679</v>
      </c>
      <c r="B810" s="636" t="s">
        <v>12698</v>
      </c>
      <c r="C810" s="612" t="s">
        <v>12699</v>
      </c>
      <c r="D810" s="612" t="s">
        <v>12700</v>
      </c>
      <c r="E810" s="637" t="s">
        <v>12702</v>
      </c>
      <c r="F810" s="801" t="s">
        <v>12704</v>
      </c>
      <c r="G810" s="801"/>
      <c r="H810" s="801" t="s">
        <v>13678</v>
      </c>
      <c r="I810" s="801"/>
      <c r="J810" s="801" t="s">
        <v>12705</v>
      </c>
      <c r="K810" s="801"/>
      <c r="L810" s="801"/>
    </row>
    <row r="811" spans="1:12" ht="17.100000000000001" customHeight="1">
      <c r="A811" s="626" t="s">
        <v>12709</v>
      </c>
      <c r="B811" s="627" t="s">
        <v>13002</v>
      </c>
      <c r="C811" s="626" t="s">
        <v>8</v>
      </c>
      <c r="D811" s="626" t="s">
        <v>9306</v>
      </c>
      <c r="E811" s="628" t="s">
        <v>23</v>
      </c>
      <c r="F811" s="816" t="s">
        <v>13677</v>
      </c>
      <c r="G811" s="816"/>
      <c r="H811" s="816">
        <v>1.1957732000000001</v>
      </c>
      <c r="I811" s="816"/>
      <c r="J811" s="817">
        <v>0.41849999999999998</v>
      </c>
      <c r="K811" s="817"/>
      <c r="L811" s="817"/>
    </row>
    <row r="812" spans="1:12" ht="17.100000000000001" customHeight="1">
      <c r="A812" s="626" t="s">
        <v>12709</v>
      </c>
      <c r="B812" s="627" t="s">
        <v>13004</v>
      </c>
      <c r="C812" s="626" t="s">
        <v>8</v>
      </c>
      <c r="D812" s="626" t="s">
        <v>7388</v>
      </c>
      <c r="E812" s="628" t="s">
        <v>23</v>
      </c>
      <c r="F812" s="816" t="s">
        <v>13676</v>
      </c>
      <c r="G812" s="816"/>
      <c r="H812" s="816">
        <v>1.1957732000000001</v>
      </c>
      <c r="I812" s="816"/>
      <c r="J812" s="817">
        <v>2.6307</v>
      </c>
      <c r="K812" s="817"/>
      <c r="L812" s="817"/>
    </row>
    <row r="813" spans="1:12" ht="17.100000000000001" customHeight="1">
      <c r="A813" s="636"/>
      <c r="B813" s="636"/>
      <c r="C813" s="636"/>
      <c r="D813" s="636"/>
      <c r="E813" s="636"/>
      <c r="F813" s="636"/>
      <c r="G813" s="636"/>
      <c r="H813" s="636"/>
      <c r="I813" s="636"/>
      <c r="J813" s="636" t="s">
        <v>13675</v>
      </c>
      <c r="K813" s="636"/>
      <c r="L813" s="636" t="s">
        <v>14719</v>
      </c>
    </row>
    <row r="814" spans="1:12" ht="17.100000000000001" customHeight="1">
      <c r="A814" s="612" t="s">
        <v>13673</v>
      </c>
      <c r="B814" s="612"/>
      <c r="C814" s="612"/>
      <c r="D814" s="612"/>
      <c r="E814" s="612"/>
      <c r="F814" s="612"/>
      <c r="G814" s="612"/>
      <c r="H814" s="612"/>
      <c r="I814" s="612"/>
      <c r="J814" s="612"/>
      <c r="K814" s="612"/>
      <c r="L814" s="612"/>
    </row>
    <row r="815" spans="1:12" ht="17.100000000000001" customHeight="1">
      <c r="A815" s="636"/>
      <c r="B815" s="636"/>
      <c r="C815" s="636"/>
      <c r="D815" s="636"/>
      <c r="E815" s="636"/>
      <c r="F815" s="636"/>
      <c r="G815" s="636"/>
      <c r="H815" s="636"/>
      <c r="I815" s="636"/>
      <c r="J815" s="636" t="s">
        <v>13672</v>
      </c>
      <c r="K815" s="636"/>
      <c r="L815" s="636" t="s">
        <v>14967</v>
      </c>
    </row>
    <row r="816" spans="1:12" ht="17.100000000000001" customHeight="1">
      <c r="A816" s="636"/>
      <c r="B816" s="636"/>
      <c r="C816" s="636"/>
      <c r="D816" s="636"/>
      <c r="E816" s="636"/>
      <c r="F816" s="636"/>
      <c r="G816" s="636"/>
      <c r="H816" s="636"/>
      <c r="I816" s="636"/>
      <c r="J816" s="636" t="s">
        <v>13671</v>
      </c>
      <c r="K816" s="636" t="s">
        <v>14461</v>
      </c>
      <c r="L816" s="636" t="s">
        <v>14968</v>
      </c>
    </row>
    <row r="817" spans="1:12" ht="17.100000000000001" customHeight="1">
      <c r="A817" s="636"/>
      <c r="B817" s="636"/>
      <c r="C817" s="636"/>
      <c r="D817" s="636"/>
      <c r="E817" s="636"/>
      <c r="F817" s="636"/>
      <c r="G817" s="636"/>
      <c r="H817" s="636"/>
      <c r="I817" s="636"/>
      <c r="J817" s="636" t="s">
        <v>13670</v>
      </c>
      <c r="K817" s="636"/>
      <c r="L817" s="636" t="s">
        <v>14969</v>
      </c>
    </row>
    <row r="818" spans="1:12" ht="30" customHeight="1">
      <c r="A818" s="636"/>
      <c r="B818" s="636"/>
      <c r="C818" s="636"/>
      <c r="D818" s="636"/>
      <c r="E818" s="636"/>
      <c r="F818" s="636"/>
      <c r="G818" s="636"/>
      <c r="H818" s="636"/>
      <c r="I818" s="636"/>
      <c r="J818" s="636" t="s">
        <v>13669</v>
      </c>
      <c r="K818" s="636" t="s">
        <v>13667</v>
      </c>
      <c r="L818" s="636" t="s">
        <v>14970</v>
      </c>
    </row>
    <row r="819" spans="1:12" ht="24" customHeight="1">
      <c r="A819" s="636"/>
      <c r="B819" s="636"/>
      <c r="C819" s="636"/>
      <c r="D819" s="636"/>
      <c r="E819" s="636"/>
      <c r="F819" s="636"/>
      <c r="G819" s="636"/>
      <c r="H819" s="636"/>
      <c r="I819" s="636"/>
      <c r="J819" s="636" t="s">
        <v>13668</v>
      </c>
      <c r="K819" s="636"/>
      <c r="L819" s="636" t="s">
        <v>14971</v>
      </c>
    </row>
    <row r="820" spans="1:12" ht="14.25" customHeight="1">
      <c r="A820" s="637"/>
      <c r="B820" s="637"/>
      <c r="C820" s="637"/>
      <c r="D820" s="637"/>
      <c r="E820" s="637"/>
      <c r="F820" s="637"/>
      <c r="G820" s="637"/>
      <c r="H820" s="637"/>
      <c r="I820" s="637"/>
      <c r="J820" s="637"/>
      <c r="K820" s="637"/>
      <c r="L820" s="637"/>
    </row>
    <row r="821" spans="1:12" ht="17.100000000000001" customHeight="1">
      <c r="A821" s="616" t="s">
        <v>14972</v>
      </c>
      <c r="B821" s="617" t="s">
        <v>12751</v>
      </c>
      <c r="C821" s="616" t="s">
        <v>8</v>
      </c>
      <c r="D821" s="616" t="s">
        <v>4371</v>
      </c>
      <c r="E821" s="618" t="s">
        <v>12730</v>
      </c>
      <c r="F821" s="617"/>
      <c r="G821" s="617"/>
      <c r="H821" s="617"/>
      <c r="I821" s="617"/>
      <c r="J821" s="617"/>
      <c r="K821" s="617"/>
      <c r="L821" s="617"/>
    </row>
    <row r="822" spans="1:12" ht="24" customHeight="1">
      <c r="A822" s="802" t="s">
        <v>12711</v>
      </c>
      <c r="B822" s="802"/>
      <c r="C822" s="802"/>
      <c r="D822" s="802"/>
      <c r="E822" s="802"/>
      <c r="F822" s="802"/>
      <c r="G822" s="802"/>
      <c r="H822" s="802"/>
      <c r="I822" s="612"/>
      <c r="J822" s="612"/>
      <c r="K822" s="612"/>
      <c r="L822" s="612"/>
    </row>
    <row r="823" spans="1:12" ht="24" customHeight="1">
      <c r="A823" s="612" t="s">
        <v>13679</v>
      </c>
      <c r="B823" s="636" t="s">
        <v>12698</v>
      </c>
      <c r="C823" s="612" t="s">
        <v>12699</v>
      </c>
      <c r="D823" s="612" t="s">
        <v>12700</v>
      </c>
      <c r="E823" s="637" t="s">
        <v>12702</v>
      </c>
      <c r="F823" s="801" t="s">
        <v>12704</v>
      </c>
      <c r="G823" s="801"/>
      <c r="H823" s="801" t="s">
        <v>13678</v>
      </c>
      <c r="I823" s="801"/>
      <c r="J823" s="801" t="s">
        <v>12705</v>
      </c>
      <c r="K823" s="801"/>
      <c r="L823" s="801"/>
    </row>
    <row r="824" spans="1:12" ht="24" customHeight="1">
      <c r="A824" s="626" t="s">
        <v>12709</v>
      </c>
      <c r="B824" s="627" t="s">
        <v>13280</v>
      </c>
      <c r="C824" s="626" t="s">
        <v>8</v>
      </c>
      <c r="D824" s="626" t="s">
        <v>8193</v>
      </c>
      <c r="E824" s="628" t="s">
        <v>35</v>
      </c>
      <c r="F824" s="816" t="s">
        <v>14491</v>
      </c>
      <c r="G824" s="816"/>
      <c r="H824" s="816">
        <v>2.9999999999999999E-7</v>
      </c>
      <c r="I824" s="816"/>
      <c r="J824" s="817">
        <v>8.6900000000000005E-2</v>
      </c>
      <c r="K824" s="817"/>
      <c r="L824" s="817"/>
    </row>
    <row r="825" spans="1:12" ht="24" customHeight="1">
      <c r="A825" s="626" t="s">
        <v>12709</v>
      </c>
      <c r="B825" s="627" t="s">
        <v>13003</v>
      </c>
      <c r="C825" s="626" t="s">
        <v>8</v>
      </c>
      <c r="D825" s="626" t="s">
        <v>9227</v>
      </c>
      <c r="E825" s="628" t="s">
        <v>23</v>
      </c>
      <c r="F825" s="816" t="s">
        <v>13732</v>
      </c>
      <c r="G825" s="816"/>
      <c r="H825" s="816">
        <v>1.09806E-2</v>
      </c>
      <c r="I825" s="816"/>
      <c r="J825" s="817">
        <v>7.1999999999999998E-3</v>
      </c>
      <c r="K825" s="817"/>
      <c r="L825" s="817"/>
    </row>
    <row r="826" spans="1:12" ht="17.100000000000001" customHeight="1">
      <c r="A826" s="626" t="s">
        <v>12709</v>
      </c>
      <c r="B826" s="627" t="s">
        <v>13001</v>
      </c>
      <c r="C826" s="626" t="s">
        <v>8</v>
      </c>
      <c r="D826" s="626" t="s">
        <v>9374</v>
      </c>
      <c r="E826" s="628" t="s">
        <v>23</v>
      </c>
      <c r="F826" s="816" t="s">
        <v>13728</v>
      </c>
      <c r="G826" s="816"/>
      <c r="H826" s="816">
        <v>1.09806E-2</v>
      </c>
      <c r="I826" s="816"/>
      <c r="J826" s="817">
        <v>1E-4</v>
      </c>
      <c r="K826" s="817"/>
      <c r="L826" s="817"/>
    </row>
    <row r="827" spans="1:12" ht="14.25" customHeight="1">
      <c r="A827" s="626" t="s">
        <v>12709</v>
      </c>
      <c r="B827" s="627" t="s">
        <v>13078</v>
      </c>
      <c r="C827" s="626" t="s">
        <v>8</v>
      </c>
      <c r="D827" s="626" t="s">
        <v>10590</v>
      </c>
      <c r="E827" s="628" t="s">
        <v>35</v>
      </c>
      <c r="F827" s="816" t="s">
        <v>14249</v>
      </c>
      <c r="G827" s="816"/>
      <c r="H827" s="816">
        <v>1.1000000000000001E-6</v>
      </c>
      <c r="I827" s="816"/>
      <c r="J827" s="817">
        <v>0.42349999999999999</v>
      </c>
      <c r="K827" s="817"/>
      <c r="L827" s="817"/>
    </row>
    <row r="828" spans="1:12" ht="17.100000000000001" customHeight="1">
      <c r="A828" s="626" t="s">
        <v>12709</v>
      </c>
      <c r="B828" s="627" t="s">
        <v>13048</v>
      </c>
      <c r="C828" s="626" t="s">
        <v>8</v>
      </c>
      <c r="D828" s="626" t="s">
        <v>9233</v>
      </c>
      <c r="E828" s="628" t="s">
        <v>23</v>
      </c>
      <c r="F828" s="816" t="s">
        <v>13690</v>
      </c>
      <c r="G828" s="816"/>
      <c r="H828" s="816">
        <v>7.9859000000000006E-3</v>
      </c>
      <c r="I828" s="816"/>
      <c r="J828" s="817">
        <v>8.0999999999999996E-3</v>
      </c>
      <c r="K828" s="817"/>
      <c r="L828" s="817"/>
    </row>
    <row r="829" spans="1:12" ht="24" customHeight="1">
      <c r="A829" s="626" t="s">
        <v>12709</v>
      </c>
      <c r="B829" s="627" t="s">
        <v>13047</v>
      </c>
      <c r="C829" s="626" t="s">
        <v>8</v>
      </c>
      <c r="D829" s="626" t="s">
        <v>9380</v>
      </c>
      <c r="E829" s="628" t="s">
        <v>23</v>
      </c>
      <c r="F829" s="816" t="s">
        <v>13689</v>
      </c>
      <c r="G829" s="816"/>
      <c r="H829" s="816">
        <v>7.9859000000000006E-3</v>
      </c>
      <c r="I829" s="816"/>
      <c r="J829" s="817">
        <v>3.0000000000000001E-3</v>
      </c>
      <c r="K829" s="817"/>
      <c r="L829" s="817"/>
    </row>
    <row r="830" spans="1:12" ht="24" customHeight="1">
      <c r="A830" s="636"/>
      <c r="B830" s="636"/>
      <c r="C830" s="636"/>
      <c r="D830" s="636"/>
      <c r="E830" s="636"/>
      <c r="F830" s="636"/>
      <c r="G830" s="636"/>
      <c r="H830" s="636"/>
      <c r="I830" s="636"/>
      <c r="J830" s="636" t="s">
        <v>13675</v>
      </c>
      <c r="K830" s="636"/>
      <c r="L830" s="636" t="s">
        <v>13803</v>
      </c>
    </row>
    <row r="831" spans="1:12" ht="17.100000000000001" customHeight="1">
      <c r="A831" s="802" t="s">
        <v>12710</v>
      </c>
      <c r="B831" s="802"/>
      <c r="C831" s="802"/>
      <c r="D831" s="802"/>
      <c r="E831" s="802"/>
      <c r="F831" s="802"/>
      <c r="G831" s="802"/>
      <c r="H831" s="802"/>
      <c r="I831" s="612"/>
      <c r="J831" s="612"/>
      <c r="K831" s="612"/>
      <c r="L831" s="612"/>
    </row>
    <row r="832" spans="1:12">
      <c r="A832" s="612" t="s">
        <v>13679</v>
      </c>
      <c r="B832" s="636" t="s">
        <v>12698</v>
      </c>
      <c r="C832" s="612" t="s">
        <v>12699</v>
      </c>
      <c r="D832" s="612" t="s">
        <v>12700</v>
      </c>
      <c r="E832" s="637" t="s">
        <v>12702</v>
      </c>
      <c r="F832" s="801" t="s">
        <v>12704</v>
      </c>
      <c r="G832" s="801"/>
      <c r="H832" s="801" t="s">
        <v>13678</v>
      </c>
      <c r="I832" s="801"/>
      <c r="J832" s="801" t="s">
        <v>12705</v>
      </c>
      <c r="K832" s="801"/>
      <c r="L832" s="801"/>
    </row>
    <row r="833" spans="1:12" ht="17.100000000000001" customHeight="1">
      <c r="A833" s="626" t="s">
        <v>12709</v>
      </c>
      <c r="B833" s="627" t="s">
        <v>13129</v>
      </c>
      <c r="C833" s="626" t="s">
        <v>8</v>
      </c>
      <c r="D833" s="626" t="s">
        <v>10467</v>
      </c>
      <c r="E833" s="628" t="s">
        <v>23</v>
      </c>
      <c r="F833" s="816" t="s">
        <v>14252</v>
      </c>
      <c r="G833" s="816"/>
      <c r="H833" s="816">
        <v>2.7133000000000001E-3</v>
      </c>
      <c r="I833" s="816"/>
      <c r="J833" s="817">
        <v>1.41E-2</v>
      </c>
      <c r="K833" s="817"/>
      <c r="L833" s="817"/>
    </row>
    <row r="834" spans="1:12" ht="24" customHeight="1">
      <c r="A834" s="626" t="s">
        <v>12709</v>
      </c>
      <c r="B834" s="627" t="s">
        <v>13101</v>
      </c>
      <c r="C834" s="626" t="s">
        <v>8</v>
      </c>
      <c r="D834" s="626" t="s">
        <v>10578</v>
      </c>
      <c r="E834" s="628" t="s">
        <v>23</v>
      </c>
      <c r="F834" s="816" t="s">
        <v>14200</v>
      </c>
      <c r="G834" s="816"/>
      <c r="H834" s="816">
        <v>7.2513999999999999E-3</v>
      </c>
      <c r="I834" s="816"/>
      <c r="J834" s="817">
        <v>4.02E-2</v>
      </c>
      <c r="K834" s="817"/>
      <c r="L834" s="817"/>
    </row>
    <row r="835" spans="1:12" ht="17.100000000000001" customHeight="1">
      <c r="A835" s="626" t="s">
        <v>12709</v>
      </c>
      <c r="B835" s="627" t="s">
        <v>13046</v>
      </c>
      <c r="C835" s="626" t="s">
        <v>8</v>
      </c>
      <c r="D835" s="626" t="s">
        <v>11281</v>
      </c>
      <c r="E835" s="628" t="s">
        <v>23</v>
      </c>
      <c r="F835" s="816" t="s">
        <v>13731</v>
      </c>
      <c r="G835" s="816"/>
      <c r="H835" s="816">
        <v>7.3155E-3</v>
      </c>
      <c r="I835" s="816"/>
      <c r="J835" s="817">
        <v>3.7600000000000001E-2</v>
      </c>
      <c r="K835" s="817"/>
      <c r="L835" s="817"/>
    </row>
    <row r="836" spans="1:12">
      <c r="A836" s="636"/>
      <c r="B836" s="636"/>
      <c r="C836" s="636"/>
      <c r="D836" s="636"/>
      <c r="E836" s="636"/>
      <c r="F836" s="636"/>
      <c r="G836" s="636"/>
      <c r="H836" s="636"/>
      <c r="I836" s="636"/>
      <c r="J836" s="636" t="s">
        <v>13675</v>
      </c>
      <c r="K836" s="636"/>
      <c r="L836" s="636" t="s">
        <v>13815</v>
      </c>
    </row>
    <row r="837" spans="1:12" ht="17.100000000000001" customHeight="1">
      <c r="A837" s="802" t="s">
        <v>12720</v>
      </c>
      <c r="B837" s="802"/>
      <c r="C837" s="802"/>
      <c r="D837" s="802"/>
      <c r="E837" s="802"/>
      <c r="F837" s="802"/>
      <c r="G837" s="802"/>
      <c r="H837" s="802"/>
      <c r="I837" s="612"/>
      <c r="J837" s="612"/>
      <c r="K837" s="612"/>
      <c r="L837" s="612"/>
    </row>
    <row r="838" spans="1:12" ht="24" customHeight="1">
      <c r="A838" s="612" t="s">
        <v>13679</v>
      </c>
      <c r="B838" s="636" t="s">
        <v>12698</v>
      </c>
      <c r="C838" s="612" t="s">
        <v>12699</v>
      </c>
      <c r="D838" s="612" t="s">
        <v>12700</v>
      </c>
      <c r="E838" s="637" t="s">
        <v>12702</v>
      </c>
      <c r="F838" s="801" t="s">
        <v>12704</v>
      </c>
      <c r="G838" s="801"/>
      <c r="H838" s="801" t="s">
        <v>13678</v>
      </c>
      <c r="I838" s="801"/>
      <c r="J838" s="801" t="s">
        <v>12705</v>
      </c>
      <c r="K838" s="801"/>
      <c r="L838" s="801"/>
    </row>
    <row r="839" spans="1:12" ht="17.100000000000001" customHeight="1">
      <c r="A839" s="626" t="s">
        <v>12709</v>
      </c>
      <c r="B839" s="627" t="s">
        <v>13281</v>
      </c>
      <c r="C839" s="626" t="s">
        <v>8</v>
      </c>
      <c r="D839" s="626" t="s">
        <v>8070</v>
      </c>
      <c r="E839" s="628" t="s">
        <v>35</v>
      </c>
      <c r="F839" s="816" t="s">
        <v>13730</v>
      </c>
      <c r="G839" s="816"/>
      <c r="H839" s="816">
        <v>2.9999999999999999E-7</v>
      </c>
      <c r="I839" s="816"/>
      <c r="J839" s="817">
        <v>1.0200000000000001E-2</v>
      </c>
      <c r="K839" s="817"/>
      <c r="L839" s="817"/>
    </row>
    <row r="840" spans="1:12" ht="25.5">
      <c r="A840" s="626" t="s">
        <v>12709</v>
      </c>
      <c r="B840" s="627" t="s">
        <v>13007</v>
      </c>
      <c r="C840" s="626" t="s">
        <v>8</v>
      </c>
      <c r="D840" s="626" t="s">
        <v>10549</v>
      </c>
      <c r="E840" s="628" t="s">
        <v>58</v>
      </c>
      <c r="F840" s="816" t="s">
        <v>14172</v>
      </c>
      <c r="G840" s="816"/>
      <c r="H840" s="816">
        <v>0.15747220000000001</v>
      </c>
      <c r="I840" s="816"/>
      <c r="J840" s="817">
        <v>0.51019999999999999</v>
      </c>
      <c r="K840" s="817"/>
      <c r="L840" s="817"/>
    </row>
    <row r="841" spans="1:12" ht="17.100000000000001" customHeight="1">
      <c r="A841" s="636"/>
      <c r="B841" s="636"/>
      <c r="C841" s="636"/>
      <c r="D841" s="636"/>
      <c r="E841" s="636"/>
      <c r="F841" s="636"/>
      <c r="G841" s="636"/>
      <c r="H841" s="636"/>
      <c r="I841" s="636"/>
      <c r="J841" s="636" t="s">
        <v>13675</v>
      </c>
      <c r="K841" s="636"/>
      <c r="L841" s="636" t="s">
        <v>13896</v>
      </c>
    </row>
    <row r="842" spans="1:12" ht="24" customHeight="1">
      <c r="A842" s="802" t="s">
        <v>12722</v>
      </c>
      <c r="B842" s="802"/>
      <c r="C842" s="802"/>
      <c r="D842" s="802"/>
      <c r="E842" s="802"/>
      <c r="F842" s="802"/>
      <c r="G842" s="802"/>
      <c r="H842" s="802"/>
      <c r="I842" s="612"/>
      <c r="J842" s="612"/>
      <c r="K842" s="612"/>
      <c r="L842" s="612"/>
    </row>
    <row r="843" spans="1:12" ht="24" customHeight="1">
      <c r="A843" s="612" t="s">
        <v>13679</v>
      </c>
      <c r="B843" s="636" t="s">
        <v>12698</v>
      </c>
      <c r="C843" s="612" t="s">
        <v>12699</v>
      </c>
      <c r="D843" s="612" t="s">
        <v>12700</v>
      </c>
      <c r="E843" s="637" t="s">
        <v>12702</v>
      </c>
      <c r="F843" s="801" t="s">
        <v>12704</v>
      </c>
      <c r="G843" s="801"/>
      <c r="H843" s="801" t="s">
        <v>13678</v>
      </c>
      <c r="I843" s="801"/>
      <c r="J843" s="801" t="s">
        <v>12705</v>
      </c>
      <c r="K843" s="801"/>
      <c r="L843" s="801"/>
    </row>
    <row r="844" spans="1:12" ht="17.100000000000001" customHeight="1">
      <c r="A844" s="626" t="s">
        <v>12709</v>
      </c>
      <c r="B844" s="627" t="s">
        <v>12998</v>
      </c>
      <c r="C844" s="626" t="s">
        <v>8</v>
      </c>
      <c r="D844" s="626" t="s">
        <v>11861</v>
      </c>
      <c r="E844" s="628" t="s">
        <v>23</v>
      </c>
      <c r="F844" s="816" t="s">
        <v>13683</v>
      </c>
      <c r="G844" s="816"/>
      <c r="H844" s="816">
        <v>1.8966500000000001E-2</v>
      </c>
      <c r="I844" s="816"/>
      <c r="J844" s="817">
        <v>1.35E-2</v>
      </c>
      <c r="K844" s="817"/>
      <c r="L844" s="817"/>
    </row>
    <row r="845" spans="1:12" ht="17.100000000000001" customHeight="1">
      <c r="A845" s="636"/>
      <c r="B845" s="636"/>
      <c r="C845" s="636"/>
      <c r="D845" s="636"/>
      <c r="E845" s="636"/>
      <c r="F845" s="636"/>
      <c r="G845" s="636"/>
      <c r="H845" s="636"/>
      <c r="I845" s="636"/>
      <c r="J845" s="636" t="s">
        <v>13675</v>
      </c>
      <c r="K845" s="636"/>
      <c r="L845" s="636" t="s">
        <v>13728</v>
      </c>
    </row>
    <row r="846" spans="1:12" ht="17.100000000000001" customHeight="1">
      <c r="A846" s="802" t="s">
        <v>12713</v>
      </c>
      <c r="B846" s="802"/>
      <c r="C846" s="802"/>
      <c r="D846" s="802"/>
      <c r="E846" s="802"/>
      <c r="F846" s="802"/>
      <c r="G846" s="802"/>
      <c r="H846" s="802"/>
      <c r="I846" s="612"/>
      <c r="J846" s="612"/>
      <c r="K846" s="612"/>
      <c r="L846" s="612"/>
    </row>
    <row r="847" spans="1:12" ht="17.100000000000001" customHeight="1">
      <c r="A847" s="612" t="s">
        <v>13679</v>
      </c>
      <c r="B847" s="636" t="s">
        <v>12698</v>
      </c>
      <c r="C847" s="612" t="s">
        <v>12699</v>
      </c>
      <c r="D847" s="612" t="s">
        <v>12700</v>
      </c>
      <c r="E847" s="637" t="s">
        <v>12702</v>
      </c>
      <c r="F847" s="801" t="s">
        <v>12704</v>
      </c>
      <c r="G847" s="801"/>
      <c r="H847" s="801" t="s">
        <v>13678</v>
      </c>
      <c r="I847" s="801"/>
      <c r="J847" s="801" t="s">
        <v>12705</v>
      </c>
      <c r="K847" s="801"/>
      <c r="L847" s="801"/>
    </row>
    <row r="848" spans="1:12" ht="17.100000000000001" customHeight="1">
      <c r="A848" s="626" t="s">
        <v>12709</v>
      </c>
      <c r="B848" s="627" t="s">
        <v>12999</v>
      </c>
      <c r="C848" s="626" t="s">
        <v>8</v>
      </c>
      <c r="D848" s="626" t="s">
        <v>11251</v>
      </c>
      <c r="E848" s="628" t="s">
        <v>23</v>
      </c>
      <c r="F848" s="816" t="s">
        <v>13681</v>
      </c>
      <c r="G848" s="816"/>
      <c r="H848" s="816">
        <v>1.8966500000000001E-2</v>
      </c>
      <c r="I848" s="816"/>
      <c r="J848" s="817">
        <v>1.2999999999999999E-3</v>
      </c>
      <c r="K848" s="817"/>
      <c r="L848" s="817"/>
    </row>
    <row r="849" spans="1:12" ht="17.100000000000001" customHeight="1">
      <c r="A849" s="636"/>
      <c r="B849" s="636"/>
      <c r="C849" s="636"/>
      <c r="D849" s="636"/>
      <c r="E849" s="636"/>
      <c r="F849" s="636"/>
      <c r="G849" s="636"/>
      <c r="H849" s="636"/>
      <c r="I849" s="636"/>
      <c r="J849" s="636" t="s">
        <v>13675</v>
      </c>
      <c r="K849" s="636"/>
      <c r="L849" s="636" t="s">
        <v>13727</v>
      </c>
    </row>
    <row r="850" spans="1:12" ht="17.100000000000001" customHeight="1">
      <c r="A850" s="802" t="s">
        <v>12712</v>
      </c>
      <c r="B850" s="802"/>
      <c r="C850" s="802"/>
      <c r="D850" s="802"/>
      <c r="E850" s="802"/>
      <c r="F850" s="802"/>
      <c r="G850" s="802"/>
      <c r="H850" s="802"/>
      <c r="I850" s="612"/>
      <c r="J850" s="612"/>
      <c r="K850" s="612"/>
      <c r="L850" s="612"/>
    </row>
    <row r="851" spans="1:12" ht="30" customHeight="1">
      <c r="A851" s="612" t="s">
        <v>13679</v>
      </c>
      <c r="B851" s="636" t="s">
        <v>12698</v>
      </c>
      <c r="C851" s="612" t="s">
        <v>12699</v>
      </c>
      <c r="D851" s="612" t="s">
        <v>12700</v>
      </c>
      <c r="E851" s="637" t="s">
        <v>12702</v>
      </c>
      <c r="F851" s="801" t="s">
        <v>12704</v>
      </c>
      <c r="G851" s="801"/>
      <c r="H851" s="801" t="s">
        <v>13678</v>
      </c>
      <c r="I851" s="801"/>
      <c r="J851" s="801" t="s">
        <v>12705</v>
      </c>
      <c r="K851" s="801"/>
      <c r="L851" s="801"/>
    </row>
    <row r="852" spans="1:12" ht="36" customHeight="1">
      <c r="A852" s="626" t="s">
        <v>12709</v>
      </c>
      <c r="B852" s="627" t="s">
        <v>13002</v>
      </c>
      <c r="C852" s="626" t="s">
        <v>8</v>
      </c>
      <c r="D852" s="626" t="s">
        <v>9306</v>
      </c>
      <c r="E852" s="628" t="s">
        <v>23</v>
      </c>
      <c r="F852" s="816" t="s">
        <v>13677</v>
      </c>
      <c r="G852" s="816"/>
      <c r="H852" s="816">
        <v>1.8966500000000001E-2</v>
      </c>
      <c r="I852" s="816"/>
      <c r="J852" s="817">
        <v>6.6E-3</v>
      </c>
      <c r="K852" s="817"/>
      <c r="L852" s="817"/>
    </row>
    <row r="853" spans="1:12" ht="14.25" customHeight="1">
      <c r="A853" s="626" t="s">
        <v>12709</v>
      </c>
      <c r="B853" s="627" t="s">
        <v>13004</v>
      </c>
      <c r="C853" s="626" t="s">
        <v>8</v>
      </c>
      <c r="D853" s="626" t="s">
        <v>7388</v>
      </c>
      <c r="E853" s="628" t="s">
        <v>23</v>
      </c>
      <c r="F853" s="816" t="s">
        <v>13676</v>
      </c>
      <c r="G853" s="816"/>
      <c r="H853" s="816">
        <v>1.8966500000000001E-2</v>
      </c>
      <c r="I853" s="816"/>
      <c r="J853" s="817">
        <v>4.1700000000000001E-2</v>
      </c>
      <c r="K853" s="817"/>
      <c r="L853" s="817"/>
    </row>
    <row r="854" spans="1:12" ht="17.100000000000001" customHeight="1">
      <c r="A854" s="636"/>
      <c r="B854" s="636"/>
      <c r="C854" s="636"/>
      <c r="D854" s="636"/>
      <c r="E854" s="636"/>
      <c r="F854" s="636"/>
      <c r="G854" s="636"/>
      <c r="H854" s="636"/>
      <c r="I854" s="636"/>
      <c r="J854" s="636" t="s">
        <v>13675</v>
      </c>
      <c r="K854" s="636"/>
      <c r="L854" s="636" t="s">
        <v>13767</v>
      </c>
    </row>
    <row r="855" spans="1:12" ht="36" customHeight="1">
      <c r="A855" s="612" t="s">
        <v>13673</v>
      </c>
      <c r="B855" s="612"/>
      <c r="C855" s="612"/>
      <c r="D855" s="612"/>
      <c r="E855" s="612"/>
      <c r="F855" s="612"/>
      <c r="G855" s="612"/>
      <c r="H855" s="612"/>
      <c r="I855" s="612"/>
      <c r="J855" s="612"/>
      <c r="K855" s="612"/>
      <c r="L855" s="612"/>
    </row>
    <row r="856" spans="1:12" ht="24" customHeight="1">
      <c r="A856" s="636"/>
      <c r="B856" s="636"/>
      <c r="C856" s="636"/>
      <c r="D856" s="636"/>
      <c r="E856" s="636"/>
      <c r="F856" s="636"/>
      <c r="G856" s="636"/>
      <c r="H856" s="636"/>
      <c r="I856" s="636"/>
      <c r="J856" s="636" t="s">
        <v>13672</v>
      </c>
      <c r="K856" s="636"/>
      <c r="L856" s="636" t="s">
        <v>14973</v>
      </c>
    </row>
    <row r="857" spans="1:12" ht="24" customHeight="1">
      <c r="A857" s="636"/>
      <c r="B857" s="636"/>
      <c r="C857" s="636"/>
      <c r="D857" s="636"/>
      <c r="E857" s="636"/>
      <c r="F857" s="636"/>
      <c r="G857" s="636"/>
      <c r="H857" s="636"/>
      <c r="I857" s="636"/>
      <c r="J857" s="636" t="s">
        <v>13671</v>
      </c>
      <c r="K857" s="636" t="s">
        <v>14461</v>
      </c>
      <c r="L857" s="636" t="s">
        <v>14974</v>
      </c>
    </row>
    <row r="858" spans="1:12" ht="24" customHeight="1">
      <c r="A858" s="636"/>
      <c r="B858" s="636"/>
      <c r="C858" s="636"/>
      <c r="D858" s="636"/>
      <c r="E858" s="636"/>
      <c r="F858" s="636"/>
      <c r="G858" s="636"/>
      <c r="H858" s="636"/>
      <c r="I858" s="636"/>
      <c r="J858" s="636" t="s">
        <v>13670</v>
      </c>
      <c r="K858" s="636"/>
      <c r="L858" s="636" t="s">
        <v>14975</v>
      </c>
    </row>
    <row r="859" spans="1:12" ht="24" customHeight="1">
      <c r="A859" s="636"/>
      <c r="B859" s="636"/>
      <c r="C859" s="636"/>
      <c r="D859" s="636"/>
      <c r="E859" s="636"/>
      <c r="F859" s="636"/>
      <c r="G859" s="636"/>
      <c r="H859" s="636"/>
      <c r="I859" s="636"/>
      <c r="J859" s="636" t="s">
        <v>13669</v>
      </c>
      <c r="K859" s="636" t="s">
        <v>13667</v>
      </c>
      <c r="L859" s="636" t="s">
        <v>14976</v>
      </c>
    </row>
    <row r="860" spans="1:12" ht="24" customHeight="1">
      <c r="A860" s="636"/>
      <c r="B860" s="636"/>
      <c r="C860" s="636"/>
      <c r="D860" s="636"/>
      <c r="E860" s="636"/>
      <c r="F860" s="636"/>
      <c r="G860" s="636"/>
      <c r="H860" s="636"/>
      <c r="I860" s="636"/>
      <c r="J860" s="636" t="s">
        <v>13668</v>
      </c>
      <c r="K860" s="636"/>
      <c r="L860" s="636" t="s">
        <v>14977</v>
      </c>
    </row>
    <row r="861" spans="1:12" ht="24" customHeight="1">
      <c r="A861" s="637"/>
      <c r="B861" s="637"/>
      <c r="C861" s="637"/>
      <c r="D861" s="637"/>
      <c r="E861" s="637"/>
      <c r="F861" s="637"/>
      <c r="G861" s="637"/>
      <c r="H861" s="637"/>
      <c r="I861" s="637"/>
      <c r="J861" s="637"/>
      <c r="K861" s="637"/>
      <c r="L861" s="637"/>
    </row>
    <row r="862" spans="1:12" ht="17.100000000000001" customHeight="1">
      <c r="A862" s="616" t="s">
        <v>14248</v>
      </c>
      <c r="B862" s="617" t="s">
        <v>13636</v>
      </c>
      <c r="C862" s="616" t="s">
        <v>8</v>
      </c>
      <c r="D862" s="616" t="s">
        <v>3989</v>
      </c>
      <c r="E862" s="618" t="s">
        <v>12730</v>
      </c>
      <c r="F862" s="617"/>
      <c r="G862" s="617"/>
      <c r="H862" s="617"/>
      <c r="I862" s="617"/>
      <c r="J862" s="617"/>
      <c r="K862" s="617"/>
      <c r="L862" s="617"/>
    </row>
    <row r="863" spans="1:12" ht="14.25" customHeight="1">
      <c r="A863" s="802" t="s">
        <v>12711</v>
      </c>
      <c r="B863" s="802"/>
      <c r="C863" s="802"/>
      <c r="D863" s="802"/>
      <c r="E863" s="802"/>
      <c r="F863" s="802"/>
      <c r="G863" s="802"/>
      <c r="H863" s="802"/>
      <c r="I863" s="612"/>
      <c r="J863" s="612"/>
      <c r="K863" s="612"/>
      <c r="L863" s="612"/>
    </row>
    <row r="864" spans="1:12" ht="17.100000000000001" customHeight="1">
      <c r="A864" s="612" t="s">
        <v>13679</v>
      </c>
      <c r="B864" s="636" t="s">
        <v>12698</v>
      </c>
      <c r="C864" s="612" t="s">
        <v>12699</v>
      </c>
      <c r="D864" s="612" t="s">
        <v>12700</v>
      </c>
      <c r="E864" s="637" t="s">
        <v>12702</v>
      </c>
      <c r="F864" s="801" t="s">
        <v>12704</v>
      </c>
      <c r="G864" s="801"/>
      <c r="H864" s="801" t="s">
        <v>13678</v>
      </c>
      <c r="I864" s="801"/>
      <c r="J864" s="801" t="s">
        <v>12705</v>
      </c>
      <c r="K864" s="801"/>
      <c r="L864" s="801"/>
    </row>
    <row r="865" spans="1:12" ht="24" customHeight="1">
      <c r="A865" s="626" t="s">
        <v>12709</v>
      </c>
      <c r="B865" s="627" t="s">
        <v>13052</v>
      </c>
      <c r="C865" s="626" t="s">
        <v>8</v>
      </c>
      <c r="D865" s="626" t="s">
        <v>9229</v>
      </c>
      <c r="E865" s="628" t="s">
        <v>23</v>
      </c>
      <c r="F865" s="816" t="s">
        <v>13692</v>
      </c>
      <c r="G865" s="816"/>
      <c r="H865" s="816">
        <v>1.1882641</v>
      </c>
      <c r="I865" s="816"/>
      <c r="J865" s="817">
        <v>1.1407</v>
      </c>
      <c r="K865" s="817"/>
      <c r="L865" s="817"/>
    </row>
    <row r="866" spans="1:12" ht="24" customHeight="1">
      <c r="A866" s="626" t="s">
        <v>12709</v>
      </c>
      <c r="B866" s="627" t="s">
        <v>13051</v>
      </c>
      <c r="C866" s="626" t="s">
        <v>8</v>
      </c>
      <c r="D866" s="626" t="s">
        <v>9376</v>
      </c>
      <c r="E866" s="628" t="s">
        <v>23</v>
      </c>
      <c r="F866" s="816" t="s">
        <v>13691</v>
      </c>
      <c r="G866" s="816"/>
      <c r="H866" s="816">
        <v>1.1882641</v>
      </c>
      <c r="I866" s="816"/>
      <c r="J866" s="817">
        <v>0.59409999999999996</v>
      </c>
      <c r="K866" s="817"/>
      <c r="L866" s="817"/>
    </row>
    <row r="867" spans="1:12" ht="24" customHeight="1">
      <c r="A867" s="626" t="s">
        <v>12709</v>
      </c>
      <c r="B867" s="627" t="s">
        <v>13048</v>
      </c>
      <c r="C867" s="626" t="s">
        <v>8</v>
      </c>
      <c r="D867" s="626" t="s">
        <v>9233</v>
      </c>
      <c r="E867" s="628" t="s">
        <v>23</v>
      </c>
      <c r="F867" s="816" t="s">
        <v>13690</v>
      </c>
      <c r="G867" s="816"/>
      <c r="H867" s="816">
        <v>3.0511105000000001</v>
      </c>
      <c r="I867" s="816"/>
      <c r="J867" s="817">
        <v>3.1120999999999999</v>
      </c>
      <c r="K867" s="817"/>
      <c r="L867" s="817"/>
    </row>
    <row r="868" spans="1:12" ht="17.100000000000001" customHeight="1">
      <c r="A868" s="626" t="s">
        <v>12709</v>
      </c>
      <c r="B868" s="627" t="s">
        <v>13047</v>
      </c>
      <c r="C868" s="626" t="s">
        <v>8</v>
      </c>
      <c r="D868" s="626" t="s">
        <v>9380</v>
      </c>
      <c r="E868" s="628" t="s">
        <v>23</v>
      </c>
      <c r="F868" s="816" t="s">
        <v>13689</v>
      </c>
      <c r="G868" s="816"/>
      <c r="H868" s="816">
        <v>3.0511105000000001</v>
      </c>
      <c r="I868" s="816"/>
      <c r="J868" s="817">
        <v>1.1594</v>
      </c>
      <c r="K868" s="817"/>
      <c r="L868" s="817"/>
    </row>
    <row r="869" spans="1:12">
      <c r="A869" s="636"/>
      <c r="B869" s="636"/>
      <c r="C869" s="636"/>
      <c r="D869" s="636"/>
      <c r="E869" s="636"/>
      <c r="F869" s="636"/>
      <c r="G869" s="636"/>
      <c r="H869" s="636"/>
      <c r="I869" s="636"/>
      <c r="J869" s="636" t="s">
        <v>13675</v>
      </c>
      <c r="K869" s="636"/>
      <c r="L869" s="636" t="s">
        <v>14140</v>
      </c>
    </row>
    <row r="870" spans="1:12" ht="17.100000000000001" customHeight="1">
      <c r="A870" s="802" t="s">
        <v>12710</v>
      </c>
      <c r="B870" s="802"/>
      <c r="C870" s="802"/>
      <c r="D870" s="802"/>
      <c r="E870" s="802"/>
      <c r="F870" s="802"/>
      <c r="G870" s="802"/>
      <c r="H870" s="802"/>
      <c r="I870" s="612"/>
      <c r="J870" s="612"/>
      <c r="K870" s="612"/>
      <c r="L870" s="612"/>
    </row>
    <row r="871" spans="1:12" ht="24" customHeight="1">
      <c r="A871" s="612" t="s">
        <v>13679</v>
      </c>
      <c r="B871" s="636" t="s">
        <v>12698</v>
      </c>
      <c r="C871" s="612" t="s">
        <v>12699</v>
      </c>
      <c r="D871" s="612" t="s">
        <v>12700</v>
      </c>
      <c r="E871" s="637" t="s">
        <v>12702</v>
      </c>
      <c r="F871" s="801" t="s">
        <v>12704</v>
      </c>
      <c r="G871" s="801"/>
      <c r="H871" s="801" t="s">
        <v>13678</v>
      </c>
      <c r="I871" s="801"/>
      <c r="J871" s="801" t="s">
        <v>12705</v>
      </c>
      <c r="K871" s="801"/>
      <c r="L871" s="801"/>
    </row>
    <row r="872" spans="1:12" ht="24" customHeight="1">
      <c r="A872" s="626" t="s">
        <v>12709</v>
      </c>
      <c r="B872" s="627" t="s">
        <v>13099</v>
      </c>
      <c r="C872" s="626" t="s">
        <v>8</v>
      </c>
      <c r="D872" s="626" t="s">
        <v>10726</v>
      </c>
      <c r="E872" s="628" t="s">
        <v>23</v>
      </c>
      <c r="F872" s="816" t="s">
        <v>14470</v>
      </c>
      <c r="G872" s="816"/>
      <c r="H872" s="816">
        <v>1.2057821</v>
      </c>
      <c r="I872" s="816"/>
      <c r="J872" s="817">
        <v>8.3320000000000007</v>
      </c>
      <c r="K872" s="817"/>
      <c r="L872" s="817"/>
    </row>
    <row r="873" spans="1:12" ht="24" customHeight="1">
      <c r="A873" s="626" t="s">
        <v>12709</v>
      </c>
      <c r="B873" s="627" t="s">
        <v>13046</v>
      </c>
      <c r="C873" s="626" t="s">
        <v>8</v>
      </c>
      <c r="D873" s="626" t="s">
        <v>11281</v>
      </c>
      <c r="E873" s="628" t="s">
        <v>23</v>
      </c>
      <c r="F873" s="816" t="s">
        <v>13731</v>
      </c>
      <c r="G873" s="816"/>
      <c r="H873" s="816">
        <v>3.0960915</v>
      </c>
      <c r="I873" s="816"/>
      <c r="J873" s="817">
        <v>15.9139</v>
      </c>
      <c r="K873" s="817"/>
      <c r="L873" s="817"/>
    </row>
    <row r="874" spans="1:12" ht="24" customHeight="1">
      <c r="A874" s="636"/>
      <c r="B874" s="636"/>
      <c r="C874" s="636"/>
      <c r="D874" s="636"/>
      <c r="E874" s="636"/>
      <c r="F874" s="636"/>
      <c r="G874" s="636"/>
      <c r="H874" s="636"/>
      <c r="I874" s="636"/>
      <c r="J874" s="636" t="s">
        <v>13675</v>
      </c>
      <c r="K874" s="636"/>
      <c r="L874" s="636" t="s">
        <v>14726</v>
      </c>
    </row>
    <row r="875" spans="1:12" ht="17.100000000000001" customHeight="1">
      <c r="A875" s="802" t="s">
        <v>12722</v>
      </c>
      <c r="B875" s="802"/>
      <c r="C875" s="802"/>
      <c r="D875" s="802"/>
      <c r="E875" s="802"/>
      <c r="F875" s="802"/>
      <c r="G875" s="802"/>
      <c r="H875" s="802"/>
      <c r="I875" s="612"/>
      <c r="J875" s="612"/>
      <c r="K875" s="612"/>
      <c r="L875" s="612"/>
    </row>
    <row r="876" spans="1:12">
      <c r="A876" s="612" t="s">
        <v>13679</v>
      </c>
      <c r="B876" s="636" t="s">
        <v>12698</v>
      </c>
      <c r="C876" s="612" t="s">
        <v>12699</v>
      </c>
      <c r="D876" s="612" t="s">
        <v>12700</v>
      </c>
      <c r="E876" s="637" t="s">
        <v>12702</v>
      </c>
      <c r="F876" s="801" t="s">
        <v>12704</v>
      </c>
      <c r="G876" s="801"/>
      <c r="H876" s="801" t="s">
        <v>13678</v>
      </c>
      <c r="I876" s="801"/>
      <c r="J876" s="801" t="s">
        <v>12705</v>
      </c>
      <c r="K876" s="801"/>
      <c r="L876" s="801"/>
    </row>
    <row r="877" spans="1:12" ht="17.100000000000001" customHeight="1">
      <c r="A877" s="626" t="s">
        <v>12709</v>
      </c>
      <c r="B877" s="627" t="s">
        <v>12998</v>
      </c>
      <c r="C877" s="626" t="s">
        <v>8</v>
      </c>
      <c r="D877" s="626" t="s">
        <v>11861</v>
      </c>
      <c r="E877" s="628" t="s">
        <v>23</v>
      </c>
      <c r="F877" s="816" t="s">
        <v>13683</v>
      </c>
      <c r="G877" s="816"/>
      <c r="H877" s="816">
        <v>4.2393745999999997</v>
      </c>
      <c r="I877" s="816"/>
      <c r="J877" s="817">
        <v>3.01</v>
      </c>
      <c r="K877" s="817"/>
      <c r="L877" s="817"/>
    </row>
    <row r="878" spans="1:12" ht="24" customHeight="1">
      <c r="A878" s="636"/>
      <c r="B878" s="636"/>
      <c r="C878" s="636"/>
      <c r="D878" s="636"/>
      <c r="E878" s="636"/>
      <c r="F878" s="636"/>
      <c r="G878" s="636"/>
      <c r="H878" s="636"/>
      <c r="I878" s="636"/>
      <c r="J878" s="636" t="s">
        <v>13675</v>
      </c>
      <c r="K878" s="636"/>
      <c r="L878" s="636" t="s">
        <v>13759</v>
      </c>
    </row>
    <row r="879" spans="1:12" ht="17.100000000000001" customHeight="1">
      <c r="A879" s="802" t="s">
        <v>12713</v>
      </c>
      <c r="B879" s="802"/>
      <c r="C879" s="802"/>
      <c r="D879" s="802"/>
      <c r="E879" s="802"/>
      <c r="F879" s="802"/>
      <c r="G879" s="802"/>
      <c r="H879" s="802"/>
      <c r="I879" s="612"/>
      <c r="J879" s="612"/>
      <c r="K879" s="612"/>
      <c r="L879" s="612"/>
    </row>
    <row r="880" spans="1:12">
      <c r="A880" s="612" t="s">
        <v>13679</v>
      </c>
      <c r="B880" s="636" t="s">
        <v>12698</v>
      </c>
      <c r="C880" s="612" t="s">
        <v>12699</v>
      </c>
      <c r="D880" s="612" t="s">
        <v>12700</v>
      </c>
      <c r="E880" s="637" t="s">
        <v>12702</v>
      </c>
      <c r="F880" s="801" t="s">
        <v>12704</v>
      </c>
      <c r="G880" s="801"/>
      <c r="H880" s="801" t="s">
        <v>13678</v>
      </c>
      <c r="I880" s="801"/>
      <c r="J880" s="801" t="s">
        <v>12705</v>
      </c>
      <c r="K880" s="801"/>
      <c r="L880" s="801"/>
    </row>
    <row r="881" spans="1:12" ht="17.100000000000001" customHeight="1">
      <c r="A881" s="626" t="s">
        <v>12709</v>
      </c>
      <c r="B881" s="627" t="s">
        <v>12999</v>
      </c>
      <c r="C881" s="626" t="s">
        <v>8</v>
      </c>
      <c r="D881" s="626" t="s">
        <v>11251</v>
      </c>
      <c r="E881" s="628" t="s">
        <v>23</v>
      </c>
      <c r="F881" s="816" t="s">
        <v>13681</v>
      </c>
      <c r="G881" s="816"/>
      <c r="H881" s="816">
        <v>4.2393745999999997</v>
      </c>
      <c r="I881" s="816"/>
      <c r="J881" s="817">
        <v>0.29680000000000001</v>
      </c>
      <c r="K881" s="817"/>
      <c r="L881" s="817"/>
    </row>
    <row r="882" spans="1:12" ht="24" customHeight="1">
      <c r="A882" s="636"/>
      <c r="B882" s="636"/>
      <c r="C882" s="636"/>
      <c r="D882" s="636"/>
      <c r="E882" s="636"/>
      <c r="F882" s="636"/>
      <c r="G882" s="636"/>
      <c r="H882" s="636"/>
      <c r="I882" s="636"/>
      <c r="J882" s="636" t="s">
        <v>13675</v>
      </c>
      <c r="K882" s="636"/>
      <c r="L882" s="636" t="s">
        <v>13758</v>
      </c>
    </row>
    <row r="883" spans="1:12" ht="17.100000000000001" customHeight="1">
      <c r="A883" s="802" t="s">
        <v>12712</v>
      </c>
      <c r="B883" s="802"/>
      <c r="C883" s="802"/>
      <c r="D883" s="802"/>
      <c r="E883" s="802"/>
      <c r="F883" s="802"/>
      <c r="G883" s="802"/>
      <c r="H883" s="802"/>
      <c r="I883" s="612"/>
      <c r="J883" s="612"/>
      <c r="K883" s="612"/>
      <c r="L883" s="612"/>
    </row>
    <row r="884" spans="1:12">
      <c r="A884" s="612" t="s">
        <v>13679</v>
      </c>
      <c r="B884" s="636" t="s">
        <v>12698</v>
      </c>
      <c r="C884" s="612" t="s">
        <v>12699</v>
      </c>
      <c r="D884" s="612" t="s">
        <v>12700</v>
      </c>
      <c r="E884" s="637" t="s">
        <v>12702</v>
      </c>
      <c r="F884" s="801" t="s">
        <v>12704</v>
      </c>
      <c r="G884" s="801"/>
      <c r="H884" s="801" t="s">
        <v>13678</v>
      </c>
      <c r="I884" s="801"/>
      <c r="J884" s="801" t="s">
        <v>12705</v>
      </c>
      <c r="K884" s="801"/>
      <c r="L884" s="801"/>
    </row>
    <row r="885" spans="1:12" ht="17.100000000000001" customHeight="1">
      <c r="A885" s="626" t="s">
        <v>12709</v>
      </c>
      <c r="B885" s="627" t="s">
        <v>13002</v>
      </c>
      <c r="C885" s="626" t="s">
        <v>8</v>
      </c>
      <c r="D885" s="626" t="s">
        <v>9306</v>
      </c>
      <c r="E885" s="628" t="s">
        <v>23</v>
      </c>
      <c r="F885" s="816" t="s">
        <v>13677</v>
      </c>
      <c r="G885" s="816"/>
      <c r="H885" s="816">
        <v>4.2393745999999997</v>
      </c>
      <c r="I885" s="816"/>
      <c r="J885" s="817">
        <v>1.4838</v>
      </c>
      <c r="K885" s="817"/>
      <c r="L885" s="817"/>
    </row>
    <row r="886" spans="1:12" ht="24" customHeight="1">
      <c r="A886" s="626" t="s">
        <v>12709</v>
      </c>
      <c r="B886" s="627" t="s">
        <v>13004</v>
      </c>
      <c r="C886" s="626" t="s">
        <v>8</v>
      </c>
      <c r="D886" s="626" t="s">
        <v>7388</v>
      </c>
      <c r="E886" s="628" t="s">
        <v>23</v>
      </c>
      <c r="F886" s="816" t="s">
        <v>13676</v>
      </c>
      <c r="G886" s="816"/>
      <c r="H886" s="816">
        <v>4.2393745999999997</v>
      </c>
      <c r="I886" s="816"/>
      <c r="J886" s="817">
        <v>9.3265999999999991</v>
      </c>
      <c r="K886" s="817"/>
      <c r="L886" s="817"/>
    </row>
    <row r="887" spans="1:12" ht="24" customHeight="1">
      <c r="A887" s="636"/>
      <c r="B887" s="636"/>
      <c r="C887" s="636"/>
      <c r="D887" s="636"/>
      <c r="E887" s="636"/>
      <c r="F887" s="636"/>
      <c r="G887" s="636"/>
      <c r="H887" s="636"/>
      <c r="I887" s="636"/>
      <c r="J887" s="636" t="s">
        <v>13675</v>
      </c>
      <c r="K887" s="636"/>
      <c r="L887" s="636" t="s">
        <v>13757</v>
      </c>
    </row>
    <row r="888" spans="1:12" ht="17.100000000000001" customHeight="1">
      <c r="A888" s="612" t="s">
        <v>13673</v>
      </c>
      <c r="B888" s="612"/>
      <c r="C888" s="612"/>
      <c r="D888" s="612"/>
      <c r="E888" s="612"/>
      <c r="F888" s="612"/>
      <c r="G888" s="612"/>
      <c r="H888" s="612"/>
      <c r="I888" s="612"/>
      <c r="J888" s="612"/>
      <c r="K888" s="612"/>
      <c r="L888" s="612"/>
    </row>
    <row r="889" spans="1:12" ht="17.100000000000001" customHeight="1">
      <c r="A889" s="636"/>
      <c r="B889" s="636"/>
      <c r="C889" s="636"/>
      <c r="D889" s="636"/>
      <c r="E889" s="636"/>
      <c r="F889" s="636"/>
      <c r="G889" s="636"/>
      <c r="H889" s="636"/>
      <c r="I889" s="636"/>
      <c r="J889" s="636" t="s">
        <v>13672</v>
      </c>
      <c r="K889" s="636"/>
      <c r="L889" s="636" t="s">
        <v>14978</v>
      </c>
    </row>
    <row r="890" spans="1:12" ht="17.100000000000001" customHeight="1">
      <c r="A890" s="636"/>
      <c r="B890" s="636"/>
      <c r="C890" s="636"/>
      <c r="D890" s="636"/>
      <c r="E890" s="636"/>
      <c r="F890" s="636"/>
      <c r="G890" s="636"/>
      <c r="H890" s="636"/>
      <c r="I890" s="636"/>
      <c r="J890" s="636" t="s">
        <v>13671</v>
      </c>
      <c r="K890" s="636" t="s">
        <v>14461</v>
      </c>
      <c r="L890" s="636" t="s">
        <v>14979</v>
      </c>
    </row>
    <row r="891" spans="1:12" ht="17.100000000000001" customHeight="1">
      <c r="A891" s="636"/>
      <c r="B891" s="636"/>
      <c r="C891" s="636"/>
      <c r="D891" s="636"/>
      <c r="E891" s="636"/>
      <c r="F891" s="636"/>
      <c r="G891" s="636"/>
      <c r="H891" s="636"/>
      <c r="I891" s="636"/>
      <c r="J891" s="636" t="s">
        <v>13670</v>
      </c>
      <c r="K891" s="636"/>
      <c r="L891" s="636" t="s">
        <v>14980</v>
      </c>
    </row>
    <row r="892" spans="1:12" ht="17.100000000000001" customHeight="1">
      <c r="A892" s="636"/>
      <c r="B892" s="636"/>
      <c r="C892" s="636"/>
      <c r="D892" s="636"/>
      <c r="E892" s="636"/>
      <c r="F892" s="636"/>
      <c r="G892" s="636"/>
      <c r="H892" s="636"/>
      <c r="I892" s="636"/>
      <c r="J892" s="636" t="s">
        <v>13669</v>
      </c>
      <c r="K892" s="636" t="s">
        <v>13667</v>
      </c>
      <c r="L892" s="636" t="s">
        <v>14873</v>
      </c>
    </row>
    <row r="893" spans="1:12" ht="17.100000000000001" customHeight="1">
      <c r="A893" s="636"/>
      <c r="B893" s="636"/>
      <c r="C893" s="636"/>
      <c r="D893" s="636"/>
      <c r="E893" s="636"/>
      <c r="F893" s="636"/>
      <c r="G893" s="636"/>
      <c r="H893" s="636"/>
      <c r="I893" s="636"/>
      <c r="J893" s="636" t="s">
        <v>13668</v>
      </c>
      <c r="K893" s="636"/>
      <c r="L893" s="636" t="s">
        <v>14981</v>
      </c>
    </row>
    <row r="894" spans="1:12" ht="17.100000000000001" customHeight="1">
      <c r="A894" s="637"/>
      <c r="B894" s="637"/>
      <c r="C894" s="637"/>
      <c r="D894" s="637"/>
      <c r="E894" s="637"/>
      <c r="F894" s="637"/>
      <c r="G894" s="637"/>
      <c r="H894" s="637"/>
      <c r="I894" s="637"/>
      <c r="J894" s="637"/>
      <c r="K894" s="637"/>
      <c r="L894" s="637"/>
    </row>
    <row r="895" spans="1:12" ht="30" customHeight="1">
      <c r="A895" s="616" t="s">
        <v>14247</v>
      </c>
      <c r="B895" s="617" t="s">
        <v>13635</v>
      </c>
      <c r="C895" s="616" t="s">
        <v>8</v>
      </c>
      <c r="D895" s="616" t="s">
        <v>4022</v>
      </c>
      <c r="E895" s="618" t="s">
        <v>12725</v>
      </c>
      <c r="F895" s="617"/>
      <c r="G895" s="617"/>
      <c r="H895" s="617"/>
      <c r="I895" s="617"/>
      <c r="J895" s="617"/>
      <c r="K895" s="617"/>
      <c r="L895" s="617"/>
    </row>
    <row r="896" spans="1:12" ht="36" customHeight="1">
      <c r="A896" s="802" t="s">
        <v>12711</v>
      </c>
      <c r="B896" s="802"/>
      <c r="C896" s="802"/>
      <c r="D896" s="802"/>
      <c r="E896" s="802"/>
      <c r="F896" s="802"/>
      <c r="G896" s="802"/>
      <c r="H896" s="802"/>
      <c r="I896" s="612"/>
      <c r="J896" s="612"/>
      <c r="K896" s="612"/>
      <c r="L896" s="612"/>
    </row>
    <row r="897" spans="1:12" ht="14.25" customHeight="1">
      <c r="A897" s="612" t="s">
        <v>13679</v>
      </c>
      <c r="B897" s="636" t="s">
        <v>12698</v>
      </c>
      <c r="C897" s="612" t="s">
        <v>12699</v>
      </c>
      <c r="D897" s="612" t="s">
        <v>12700</v>
      </c>
      <c r="E897" s="637" t="s">
        <v>12702</v>
      </c>
      <c r="F897" s="801" t="s">
        <v>12704</v>
      </c>
      <c r="G897" s="801"/>
      <c r="H897" s="801" t="s">
        <v>13678</v>
      </c>
      <c r="I897" s="801"/>
      <c r="J897" s="801" t="s">
        <v>12705</v>
      </c>
      <c r="K897" s="801"/>
      <c r="L897" s="801"/>
    </row>
    <row r="898" spans="1:12" ht="17.100000000000001" customHeight="1">
      <c r="A898" s="626" t="s">
        <v>12709</v>
      </c>
      <c r="B898" s="627" t="s">
        <v>13297</v>
      </c>
      <c r="C898" s="626" t="s">
        <v>8</v>
      </c>
      <c r="D898" s="626" t="s">
        <v>7681</v>
      </c>
      <c r="E898" s="628" t="s">
        <v>35</v>
      </c>
      <c r="F898" s="816" t="s">
        <v>14527</v>
      </c>
      <c r="G898" s="816"/>
      <c r="H898" s="816">
        <v>4.6999999999999999E-6</v>
      </c>
      <c r="I898" s="816"/>
      <c r="J898" s="817">
        <v>6.9199999999999998E-2</v>
      </c>
      <c r="K898" s="817"/>
      <c r="L898" s="817"/>
    </row>
    <row r="899" spans="1:12" ht="36" customHeight="1">
      <c r="A899" s="626" t="s">
        <v>12709</v>
      </c>
      <c r="B899" s="627" t="s">
        <v>13048</v>
      </c>
      <c r="C899" s="626" t="s">
        <v>8</v>
      </c>
      <c r="D899" s="626" t="s">
        <v>9233</v>
      </c>
      <c r="E899" s="628" t="s">
        <v>23</v>
      </c>
      <c r="F899" s="816" t="s">
        <v>13690</v>
      </c>
      <c r="G899" s="816"/>
      <c r="H899" s="816">
        <v>0.1220914</v>
      </c>
      <c r="I899" s="816"/>
      <c r="J899" s="817">
        <v>0.1245</v>
      </c>
      <c r="K899" s="817"/>
      <c r="L899" s="817"/>
    </row>
    <row r="900" spans="1:12" ht="24" customHeight="1">
      <c r="A900" s="626" t="s">
        <v>12709</v>
      </c>
      <c r="B900" s="627" t="s">
        <v>13047</v>
      </c>
      <c r="C900" s="626" t="s">
        <v>8</v>
      </c>
      <c r="D900" s="626" t="s">
        <v>9380</v>
      </c>
      <c r="E900" s="628" t="s">
        <v>23</v>
      </c>
      <c r="F900" s="816" t="s">
        <v>13689</v>
      </c>
      <c r="G900" s="816"/>
      <c r="H900" s="816">
        <v>0.1220914</v>
      </c>
      <c r="I900" s="816"/>
      <c r="J900" s="817">
        <v>4.6399999999999997E-2</v>
      </c>
      <c r="K900" s="817"/>
      <c r="L900" s="817"/>
    </row>
    <row r="901" spans="1:12" ht="24" customHeight="1">
      <c r="A901" s="626" t="s">
        <v>12709</v>
      </c>
      <c r="B901" s="627" t="s">
        <v>13003</v>
      </c>
      <c r="C901" s="626" t="s">
        <v>8</v>
      </c>
      <c r="D901" s="626" t="s">
        <v>9227</v>
      </c>
      <c r="E901" s="628" t="s">
        <v>23</v>
      </c>
      <c r="F901" s="816" t="s">
        <v>13732</v>
      </c>
      <c r="G901" s="816"/>
      <c r="H901" s="816">
        <v>4.4999400000000002E-2</v>
      </c>
      <c r="I901" s="816"/>
      <c r="J901" s="817">
        <v>2.9700000000000001E-2</v>
      </c>
      <c r="K901" s="817"/>
      <c r="L901" s="817"/>
    </row>
    <row r="902" spans="1:12" ht="24" customHeight="1">
      <c r="A902" s="626" t="s">
        <v>12709</v>
      </c>
      <c r="B902" s="627" t="s">
        <v>13001</v>
      </c>
      <c r="C902" s="626" t="s">
        <v>8</v>
      </c>
      <c r="D902" s="626" t="s">
        <v>9374</v>
      </c>
      <c r="E902" s="628" t="s">
        <v>23</v>
      </c>
      <c r="F902" s="816" t="s">
        <v>13728</v>
      </c>
      <c r="G902" s="816"/>
      <c r="H902" s="816">
        <v>4.4999400000000002E-2</v>
      </c>
      <c r="I902" s="816"/>
      <c r="J902" s="817">
        <v>4.0000000000000002E-4</v>
      </c>
      <c r="K902" s="817"/>
      <c r="L902" s="817"/>
    </row>
    <row r="903" spans="1:12" ht="24" customHeight="1">
      <c r="A903" s="626" t="s">
        <v>12709</v>
      </c>
      <c r="B903" s="627" t="s">
        <v>13052</v>
      </c>
      <c r="C903" s="626" t="s">
        <v>8</v>
      </c>
      <c r="D903" s="626" t="s">
        <v>9229</v>
      </c>
      <c r="E903" s="628" t="s">
        <v>23</v>
      </c>
      <c r="F903" s="816" t="s">
        <v>13692</v>
      </c>
      <c r="G903" s="816"/>
      <c r="H903" s="816">
        <v>0.1859382</v>
      </c>
      <c r="I903" s="816"/>
      <c r="J903" s="817">
        <v>0.17849999999999999</v>
      </c>
      <c r="K903" s="817"/>
      <c r="L903" s="817"/>
    </row>
    <row r="904" spans="1:12" ht="17.100000000000001" customHeight="1">
      <c r="A904" s="626" t="s">
        <v>12709</v>
      </c>
      <c r="B904" s="627" t="s">
        <v>13051</v>
      </c>
      <c r="C904" s="626" t="s">
        <v>8</v>
      </c>
      <c r="D904" s="626" t="s">
        <v>9376</v>
      </c>
      <c r="E904" s="628" t="s">
        <v>23</v>
      </c>
      <c r="F904" s="816" t="s">
        <v>13691</v>
      </c>
      <c r="G904" s="816"/>
      <c r="H904" s="816">
        <v>0.1859382</v>
      </c>
      <c r="I904" s="816"/>
      <c r="J904" s="817">
        <v>9.2999999999999999E-2</v>
      </c>
      <c r="K904" s="817"/>
      <c r="L904" s="817"/>
    </row>
    <row r="905" spans="1:12" ht="14.25" customHeight="1">
      <c r="A905" s="636"/>
      <c r="B905" s="636"/>
      <c r="C905" s="636"/>
      <c r="D905" s="636"/>
      <c r="E905" s="636"/>
      <c r="F905" s="636"/>
      <c r="G905" s="636"/>
      <c r="H905" s="636"/>
      <c r="I905" s="636"/>
      <c r="J905" s="636" t="s">
        <v>13675</v>
      </c>
      <c r="K905" s="636"/>
      <c r="L905" s="636" t="s">
        <v>13872</v>
      </c>
    </row>
    <row r="906" spans="1:12" ht="17.100000000000001" customHeight="1">
      <c r="A906" s="802" t="s">
        <v>12710</v>
      </c>
      <c r="B906" s="802"/>
      <c r="C906" s="802"/>
      <c r="D906" s="802"/>
      <c r="E906" s="802"/>
      <c r="F906" s="802"/>
      <c r="G906" s="802"/>
      <c r="H906" s="802"/>
      <c r="I906" s="612"/>
      <c r="J906" s="612"/>
      <c r="K906" s="612"/>
      <c r="L906" s="612"/>
    </row>
    <row r="907" spans="1:12" ht="24" customHeight="1">
      <c r="A907" s="612" t="s">
        <v>13679</v>
      </c>
      <c r="B907" s="636" t="s">
        <v>12698</v>
      </c>
      <c r="C907" s="612" t="s">
        <v>12699</v>
      </c>
      <c r="D907" s="612" t="s">
        <v>12700</v>
      </c>
      <c r="E907" s="637" t="s">
        <v>12702</v>
      </c>
      <c r="F907" s="801" t="s">
        <v>12704</v>
      </c>
      <c r="G907" s="801"/>
      <c r="H907" s="801" t="s">
        <v>13678</v>
      </c>
      <c r="I907" s="801"/>
      <c r="J907" s="801" t="s">
        <v>12705</v>
      </c>
      <c r="K907" s="801"/>
      <c r="L907" s="801"/>
    </row>
    <row r="908" spans="1:12" ht="24" customHeight="1">
      <c r="A908" s="626" t="s">
        <v>12709</v>
      </c>
      <c r="B908" s="627" t="s">
        <v>13046</v>
      </c>
      <c r="C908" s="626" t="s">
        <v>8</v>
      </c>
      <c r="D908" s="626" t="s">
        <v>11281</v>
      </c>
      <c r="E908" s="628" t="s">
        <v>23</v>
      </c>
      <c r="F908" s="816" t="s">
        <v>13731</v>
      </c>
      <c r="G908" s="816"/>
      <c r="H908" s="816">
        <v>0.1232996</v>
      </c>
      <c r="I908" s="816"/>
      <c r="J908" s="817">
        <v>0.63380000000000003</v>
      </c>
      <c r="K908" s="817"/>
      <c r="L908" s="817"/>
    </row>
    <row r="909" spans="1:12" ht="17.100000000000001" customHeight="1">
      <c r="A909" s="626" t="s">
        <v>12709</v>
      </c>
      <c r="B909" s="627" t="s">
        <v>13116</v>
      </c>
      <c r="C909" s="626" t="s">
        <v>8</v>
      </c>
      <c r="D909" s="626" t="s">
        <v>10556</v>
      </c>
      <c r="E909" s="628" t="s">
        <v>23</v>
      </c>
      <c r="F909" s="816" t="s">
        <v>13770</v>
      </c>
      <c r="G909" s="816"/>
      <c r="H909" s="816">
        <v>4.5046099999999999E-2</v>
      </c>
      <c r="I909" s="816"/>
      <c r="J909" s="817">
        <v>0.21490000000000001</v>
      </c>
      <c r="K909" s="817"/>
      <c r="L909" s="817"/>
    </row>
    <row r="910" spans="1:12" ht="25.5">
      <c r="A910" s="626" t="s">
        <v>12709</v>
      </c>
      <c r="B910" s="627" t="s">
        <v>13099</v>
      </c>
      <c r="C910" s="626" t="s">
        <v>8</v>
      </c>
      <c r="D910" s="626" t="s">
        <v>10726</v>
      </c>
      <c r="E910" s="628" t="s">
        <v>23</v>
      </c>
      <c r="F910" s="816" t="s">
        <v>14470</v>
      </c>
      <c r="G910" s="816"/>
      <c r="H910" s="816">
        <v>0.18777830000000001</v>
      </c>
      <c r="I910" s="816"/>
      <c r="J910" s="817">
        <v>1.2975000000000001</v>
      </c>
      <c r="K910" s="817"/>
      <c r="L910" s="817"/>
    </row>
    <row r="911" spans="1:12" ht="17.100000000000001" customHeight="1">
      <c r="A911" s="636"/>
      <c r="B911" s="636"/>
      <c r="C911" s="636"/>
      <c r="D911" s="636"/>
      <c r="E911" s="636"/>
      <c r="F911" s="636"/>
      <c r="G911" s="636"/>
      <c r="H911" s="636"/>
      <c r="I911" s="636"/>
      <c r="J911" s="636" t="s">
        <v>13675</v>
      </c>
      <c r="K911" s="636"/>
      <c r="L911" s="636" t="s">
        <v>13971</v>
      </c>
    </row>
    <row r="912" spans="1:12" ht="24" customHeight="1">
      <c r="A912" s="802" t="s">
        <v>12720</v>
      </c>
      <c r="B912" s="802"/>
      <c r="C912" s="802"/>
      <c r="D912" s="802"/>
      <c r="E912" s="802"/>
      <c r="F912" s="802"/>
      <c r="G912" s="802"/>
      <c r="H912" s="802"/>
      <c r="I912" s="612"/>
      <c r="J912" s="612"/>
      <c r="K912" s="612"/>
      <c r="L912" s="612"/>
    </row>
    <row r="913" spans="1:12" ht="24" customHeight="1">
      <c r="A913" s="612" t="s">
        <v>13679</v>
      </c>
      <c r="B913" s="636" t="s">
        <v>12698</v>
      </c>
      <c r="C913" s="612" t="s">
        <v>12699</v>
      </c>
      <c r="D913" s="612" t="s">
        <v>12700</v>
      </c>
      <c r="E913" s="637" t="s">
        <v>12702</v>
      </c>
      <c r="F913" s="801" t="s">
        <v>12704</v>
      </c>
      <c r="G913" s="801"/>
      <c r="H913" s="801" t="s">
        <v>13678</v>
      </c>
      <c r="I913" s="801"/>
      <c r="J913" s="801" t="s">
        <v>12705</v>
      </c>
      <c r="K913" s="801"/>
      <c r="L913" s="801"/>
    </row>
    <row r="914" spans="1:12" ht="24" customHeight="1">
      <c r="A914" s="626" t="s">
        <v>12709</v>
      </c>
      <c r="B914" s="627" t="s">
        <v>13250</v>
      </c>
      <c r="C914" s="626" t="s">
        <v>8</v>
      </c>
      <c r="D914" s="626" t="s">
        <v>7526</v>
      </c>
      <c r="E914" s="628" t="s">
        <v>12730</v>
      </c>
      <c r="F914" s="816" t="s">
        <v>13747</v>
      </c>
      <c r="G914" s="816"/>
      <c r="H914" s="816">
        <v>2.8150000000000001E-2</v>
      </c>
      <c r="I914" s="816"/>
      <c r="J914" s="817">
        <v>1.7594000000000001</v>
      </c>
      <c r="K914" s="817"/>
      <c r="L914" s="817"/>
    </row>
    <row r="915" spans="1:12" ht="24" customHeight="1">
      <c r="A915" s="626" t="s">
        <v>12709</v>
      </c>
      <c r="B915" s="627" t="s">
        <v>13249</v>
      </c>
      <c r="C915" s="626" t="s">
        <v>8</v>
      </c>
      <c r="D915" s="626" t="s">
        <v>8420</v>
      </c>
      <c r="E915" s="628" t="s">
        <v>20</v>
      </c>
      <c r="F915" s="816" t="s">
        <v>13700</v>
      </c>
      <c r="G915" s="816"/>
      <c r="H915" s="816">
        <v>7.2219012999999999</v>
      </c>
      <c r="I915" s="816"/>
      <c r="J915" s="817">
        <v>3.5387</v>
      </c>
      <c r="K915" s="817"/>
      <c r="L915" s="817"/>
    </row>
    <row r="916" spans="1:12" ht="17.100000000000001" customHeight="1">
      <c r="A916" s="626" t="s">
        <v>12709</v>
      </c>
      <c r="B916" s="627" t="s">
        <v>13248</v>
      </c>
      <c r="C916" s="626" t="s">
        <v>8</v>
      </c>
      <c r="D916" s="626" t="s">
        <v>10712</v>
      </c>
      <c r="E916" s="628" t="s">
        <v>12730</v>
      </c>
      <c r="F916" s="816" t="s">
        <v>13745</v>
      </c>
      <c r="G916" s="816"/>
      <c r="H916" s="816">
        <v>1.9691500000000001E-2</v>
      </c>
      <c r="I916" s="816"/>
      <c r="J916" s="817">
        <v>1.5752999999999999</v>
      </c>
      <c r="K916" s="817"/>
      <c r="L916" s="817"/>
    </row>
    <row r="917" spans="1:12" ht="25.5">
      <c r="A917" s="626" t="s">
        <v>12709</v>
      </c>
      <c r="B917" s="627" t="s">
        <v>12987</v>
      </c>
      <c r="C917" s="626" t="s">
        <v>8</v>
      </c>
      <c r="D917" s="626" t="s">
        <v>9192</v>
      </c>
      <c r="E917" s="628" t="s">
        <v>12923</v>
      </c>
      <c r="F917" s="816" t="s">
        <v>13999</v>
      </c>
      <c r="G917" s="816"/>
      <c r="H917" s="816">
        <v>5.8363900000000003E-2</v>
      </c>
      <c r="I917" s="816"/>
      <c r="J917" s="817">
        <v>4.7300000000000002E-2</v>
      </c>
      <c r="K917" s="817"/>
      <c r="L917" s="817"/>
    </row>
    <row r="918" spans="1:12" ht="17.100000000000001" customHeight="1">
      <c r="A918" s="636"/>
      <c r="B918" s="636"/>
      <c r="C918" s="636"/>
      <c r="D918" s="636"/>
      <c r="E918" s="636"/>
      <c r="F918" s="636"/>
      <c r="G918" s="636"/>
      <c r="H918" s="636"/>
      <c r="I918" s="636"/>
      <c r="J918" s="636" t="s">
        <v>13675</v>
      </c>
      <c r="K918" s="636"/>
      <c r="L918" s="636" t="s">
        <v>14724</v>
      </c>
    </row>
    <row r="919" spans="1:12" ht="24" customHeight="1">
      <c r="A919" s="802" t="s">
        <v>12722</v>
      </c>
      <c r="B919" s="802"/>
      <c r="C919" s="802"/>
      <c r="D919" s="802"/>
      <c r="E919" s="802"/>
      <c r="F919" s="802"/>
      <c r="G919" s="802"/>
      <c r="H919" s="802"/>
      <c r="I919" s="612"/>
      <c r="J919" s="612"/>
      <c r="K919" s="612"/>
      <c r="L919" s="612"/>
    </row>
    <row r="920" spans="1:12" ht="17.100000000000001" customHeight="1">
      <c r="A920" s="612" t="s">
        <v>13679</v>
      </c>
      <c r="B920" s="636" t="s">
        <v>12698</v>
      </c>
      <c r="C920" s="612" t="s">
        <v>12699</v>
      </c>
      <c r="D920" s="612" t="s">
        <v>12700</v>
      </c>
      <c r="E920" s="637" t="s">
        <v>12702</v>
      </c>
      <c r="F920" s="801" t="s">
        <v>12704</v>
      </c>
      <c r="G920" s="801"/>
      <c r="H920" s="801" t="s">
        <v>13678</v>
      </c>
      <c r="I920" s="801"/>
      <c r="J920" s="801" t="s">
        <v>12705</v>
      </c>
      <c r="K920" s="801"/>
      <c r="L920" s="801"/>
    </row>
    <row r="921" spans="1:12" ht="25.5">
      <c r="A921" s="626" t="s">
        <v>12709</v>
      </c>
      <c r="B921" s="627" t="s">
        <v>12998</v>
      </c>
      <c r="C921" s="626" t="s">
        <v>8</v>
      </c>
      <c r="D921" s="626" t="s">
        <v>11861</v>
      </c>
      <c r="E921" s="628" t="s">
        <v>23</v>
      </c>
      <c r="F921" s="816" t="s">
        <v>13683</v>
      </c>
      <c r="G921" s="816"/>
      <c r="H921" s="816">
        <v>0.35302899999999998</v>
      </c>
      <c r="I921" s="816"/>
      <c r="J921" s="817">
        <v>0.25069999999999998</v>
      </c>
      <c r="K921" s="817"/>
      <c r="L921" s="817"/>
    </row>
    <row r="922" spans="1:12" ht="17.100000000000001" customHeight="1">
      <c r="A922" s="636"/>
      <c r="B922" s="636"/>
      <c r="C922" s="636"/>
      <c r="D922" s="636"/>
      <c r="E922" s="636"/>
      <c r="F922" s="636"/>
      <c r="G922" s="636"/>
      <c r="H922" s="636"/>
      <c r="I922" s="636"/>
      <c r="J922" s="636" t="s">
        <v>13675</v>
      </c>
      <c r="K922" s="636"/>
      <c r="L922" s="636" t="s">
        <v>13915</v>
      </c>
    </row>
    <row r="923" spans="1:12" ht="24" customHeight="1">
      <c r="A923" s="802" t="s">
        <v>12713</v>
      </c>
      <c r="B923" s="802"/>
      <c r="C923" s="802"/>
      <c r="D923" s="802"/>
      <c r="E923" s="802"/>
      <c r="F923" s="802"/>
      <c r="G923" s="802"/>
      <c r="H923" s="802"/>
      <c r="I923" s="612"/>
      <c r="J923" s="612"/>
      <c r="K923" s="612"/>
      <c r="L923" s="612"/>
    </row>
    <row r="924" spans="1:12" ht="17.100000000000001" customHeight="1">
      <c r="A924" s="612" t="s">
        <v>13679</v>
      </c>
      <c r="B924" s="636" t="s">
        <v>12698</v>
      </c>
      <c r="C924" s="612" t="s">
        <v>12699</v>
      </c>
      <c r="D924" s="612" t="s">
        <v>12700</v>
      </c>
      <c r="E924" s="637" t="s">
        <v>12702</v>
      </c>
      <c r="F924" s="801" t="s">
        <v>12704</v>
      </c>
      <c r="G924" s="801"/>
      <c r="H924" s="801" t="s">
        <v>13678</v>
      </c>
      <c r="I924" s="801"/>
      <c r="J924" s="801" t="s">
        <v>12705</v>
      </c>
      <c r="K924" s="801"/>
      <c r="L924" s="801"/>
    </row>
    <row r="925" spans="1:12" ht="25.5">
      <c r="A925" s="626" t="s">
        <v>12709</v>
      </c>
      <c r="B925" s="627" t="s">
        <v>12999</v>
      </c>
      <c r="C925" s="626" t="s">
        <v>8</v>
      </c>
      <c r="D925" s="626" t="s">
        <v>11251</v>
      </c>
      <c r="E925" s="628" t="s">
        <v>23</v>
      </c>
      <c r="F925" s="816" t="s">
        <v>13681</v>
      </c>
      <c r="G925" s="816"/>
      <c r="H925" s="816">
        <v>0.35302899999999998</v>
      </c>
      <c r="I925" s="816"/>
      <c r="J925" s="817">
        <v>2.47E-2</v>
      </c>
      <c r="K925" s="817"/>
      <c r="L925" s="817"/>
    </row>
    <row r="926" spans="1:12" ht="17.100000000000001" customHeight="1">
      <c r="A926" s="636"/>
      <c r="B926" s="636"/>
      <c r="C926" s="636"/>
      <c r="D926" s="636"/>
      <c r="E926" s="636"/>
      <c r="F926" s="636"/>
      <c r="G926" s="636"/>
      <c r="H926" s="636"/>
      <c r="I926" s="636"/>
      <c r="J926" s="636" t="s">
        <v>13675</v>
      </c>
      <c r="K926" s="636"/>
      <c r="L926" s="636" t="s">
        <v>13680</v>
      </c>
    </row>
    <row r="927" spans="1:12" ht="24" customHeight="1">
      <c r="A927" s="802" t="s">
        <v>12712</v>
      </c>
      <c r="B927" s="802"/>
      <c r="C927" s="802"/>
      <c r="D927" s="802"/>
      <c r="E927" s="802"/>
      <c r="F927" s="802"/>
      <c r="G927" s="802"/>
      <c r="H927" s="802"/>
      <c r="I927" s="612"/>
      <c r="J927" s="612"/>
      <c r="K927" s="612"/>
      <c r="L927" s="612"/>
    </row>
    <row r="928" spans="1:12" ht="24" customHeight="1">
      <c r="A928" s="612" t="s">
        <v>13679</v>
      </c>
      <c r="B928" s="636" t="s">
        <v>12698</v>
      </c>
      <c r="C928" s="612" t="s">
        <v>12699</v>
      </c>
      <c r="D928" s="612" t="s">
        <v>12700</v>
      </c>
      <c r="E928" s="637" t="s">
        <v>12702</v>
      </c>
      <c r="F928" s="801" t="s">
        <v>12704</v>
      </c>
      <c r="G928" s="801"/>
      <c r="H928" s="801" t="s">
        <v>13678</v>
      </c>
      <c r="I928" s="801"/>
      <c r="J928" s="801" t="s">
        <v>12705</v>
      </c>
      <c r="K928" s="801"/>
      <c r="L928" s="801"/>
    </row>
    <row r="929" spans="1:12" ht="17.100000000000001" customHeight="1">
      <c r="A929" s="626" t="s">
        <v>12709</v>
      </c>
      <c r="B929" s="627" t="s">
        <v>13002</v>
      </c>
      <c r="C929" s="626" t="s">
        <v>8</v>
      </c>
      <c r="D929" s="626" t="s">
        <v>9306</v>
      </c>
      <c r="E929" s="628" t="s">
        <v>23</v>
      </c>
      <c r="F929" s="816" t="s">
        <v>13677</v>
      </c>
      <c r="G929" s="816"/>
      <c r="H929" s="816">
        <v>0.35302899999999998</v>
      </c>
      <c r="I929" s="816"/>
      <c r="J929" s="817">
        <v>0.1236</v>
      </c>
      <c r="K929" s="817"/>
      <c r="L929" s="817"/>
    </row>
    <row r="930" spans="1:12" ht="17.100000000000001" customHeight="1">
      <c r="A930" s="626" t="s">
        <v>12709</v>
      </c>
      <c r="B930" s="627" t="s">
        <v>13004</v>
      </c>
      <c r="C930" s="626" t="s">
        <v>8</v>
      </c>
      <c r="D930" s="626" t="s">
        <v>7388</v>
      </c>
      <c r="E930" s="628" t="s">
        <v>23</v>
      </c>
      <c r="F930" s="816" t="s">
        <v>13676</v>
      </c>
      <c r="G930" s="816"/>
      <c r="H930" s="816">
        <v>0.35302899999999998</v>
      </c>
      <c r="I930" s="816"/>
      <c r="J930" s="817">
        <v>0.77669999999999995</v>
      </c>
      <c r="K930" s="817"/>
      <c r="L930" s="817"/>
    </row>
    <row r="931" spans="1:12" ht="17.100000000000001" customHeight="1">
      <c r="A931" s="636"/>
      <c r="B931" s="636"/>
      <c r="C931" s="636"/>
      <c r="D931" s="636"/>
      <c r="E931" s="636"/>
      <c r="F931" s="636"/>
      <c r="G931" s="636"/>
      <c r="H931" s="636"/>
      <c r="I931" s="636"/>
      <c r="J931" s="636" t="s">
        <v>13675</v>
      </c>
      <c r="K931" s="636"/>
      <c r="L931" s="636" t="s">
        <v>13918</v>
      </c>
    </row>
    <row r="932" spans="1:12" ht="17.100000000000001" customHeight="1">
      <c r="A932" s="612" t="s">
        <v>13673</v>
      </c>
      <c r="B932" s="612"/>
      <c r="C932" s="612"/>
      <c r="D932" s="612"/>
      <c r="E932" s="612"/>
      <c r="F932" s="612"/>
      <c r="G932" s="612"/>
      <c r="H932" s="612"/>
      <c r="I932" s="612"/>
      <c r="J932" s="612"/>
      <c r="K932" s="612"/>
      <c r="L932" s="612"/>
    </row>
    <row r="933" spans="1:12" ht="17.100000000000001" customHeight="1">
      <c r="A933" s="636"/>
      <c r="B933" s="636"/>
      <c r="C933" s="636"/>
      <c r="D933" s="636"/>
      <c r="E933" s="636"/>
      <c r="F933" s="636"/>
      <c r="G933" s="636"/>
      <c r="H933" s="636"/>
      <c r="I933" s="636"/>
      <c r="J933" s="636" t="s">
        <v>13672</v>
      </c>
      <c r="K933" s="636"/>
      <c r="L933" s="636" t="s">
        <v>14982</v>
      </c>
    </row>
    <row r="934" spans="1:12" ht="17.100000000000001" customHeight="1">
      <c r="A934" s="636"/>
      <c r="B934" s="636"/>
      <c r="C934" s="636"/>
      <c r="D934" s="636"/>
      <c r="E934" s="636"/>
      <c r="F934" s="636"/>
      <c r="G934" s="636"/>
      <c r="H934" s="636"/>
      <c r="I934" s="636"/>
      <c r="J934" s="636" t="s">
        <v>13671</v>
      </c>
      <c r="K934" s="636" t="s">
        <v>14461</v>
      </c>
      <c r="L934" s="636" t="s">
        <v>14983</v>
      </c>
    </row>
    <row r="935" spans="1:12" ht="17.100000000000001" customHeight="1">
      <c r="A935" s="636"/>
      <c r="B935" s="636"/>
      <c r="C935" s="636"/>
      <c r="D935" s="636"/>
      <c r="E935" s="636"/>
      <c r="F935" s="636"/>
      <c r="G935" s="636"/>
      <c r="H935" s="636"/>
      <c r="I935" s="636"/>
      <c r="J935" s="636" t="s">
        <v>13670</v>
      </c>
      <c r="K935" s="636"/>
      <c r="L935" s="636" t="s">
        <v>14984</v>
      </c>
    </row>
    <row r="936" spans="1:12" ht="30" customHeight="1">
      <c r="A936" s="636"/>
      <c r="B936" s="636"/>
      <c r="C936" s="636"/>
      <c r="D936" s="636"/>
      <c r="E936" s="636"/>
      <c r="F936" s="636"/>
      <c r="G936" s="636"/>
      <c r="H936" s="636"/>
      <c r="I936" s="636"/>
      <c r="J936" s="636" t="s">
        <v>13669</v>
      </c>
      <c r="K936" s="636" t="s">
        <v>13667</v>
      </c>
      <c r="L936" s="636" t="s">
        <v>14985</v>
      </c>
    </row>
    <row r="937" spans="1:12" ht="24" customHeight="1">
      <c r="A937" s="636"/>
      <c r="B937" s="636"/>
      <c r="C937" s="636"/>
      <c r="D937" s="636"/>
      <c r="E937" s="636"/>
      <c r="F937" s="636"/>
      <c r="G937" s="636"/>
      <c r="H937" s="636"/>
      <c r="I937" s="636"/>
      <c r="J937" s="636" t="s">
        <v>13668</v>
      </c>
      <c r="K937" s="636"/>
      <c r="L937" s="636" t="s">
        <v>14986</v>
      </c>
    </row>
    <row r="938" spans="1:12" ht="14.25" customHeight="1">
      <c r="A938" s="637"/>
      <c r="B938" s="637"/>
      <c r="C938" s="637"/>
      <c r="D938" s="637"/>
      <c r="E938" s="637"/>
      <c r="F938" s="637"/>
      <c r="G938" s="637"/>
      <c r="H938" s="637"/>
      <c r="I938" s="637"/>
      <c r="J938" s="637"/>
      <c r="K938" s="637"/>
      <c r="L938" s="637"/>
    </row>
    <row r="939" spans="1:12" ht="17.100000000000001" customHeight="1">
      <c r="A939" s="616" t="s">
        <v>14246</v>
      </c>
      <c r="B939" s="617" t="s">
        <v>13634</v>
      </c>
      <c r="C939" s="616" t="s">
        <v>8</v>
      </c>
      <c r="D939" s="616" t="s">
        <v>3543</v>
      </c>
      <c r="E939" s="618" t="s">
        <v>12730</v>
      </c>
      <c r="F939" s="617"/>
      <c r="G939" s="617"/>
      <c r="H939" s="617"/>
      <c r="I939" s="617"/>
      <c r="J939" s="617"/>
      <c r="K939" s="617"/>
      <c r="L939" s="617"/>
    </row>
    <row r="940" spans="1:12" ht="24" customHeight="1">
      <c r="A940" s="802" t="s">
        <v>12711</v>
      </c>
      <c r="B940" s="802"/>
      <c r="C940" s="802"/>
      <c r="D940" s="802"/>
      <c r="E940" s="802"/>
      <c r="F940" s="802"/>
      <c r="G940" s="802"/>
      <c r="H940" s="802"/>
      <c r="I940" s="612"/>
      <c r="J940" s="612"/>
      <c r="K940" s="612"/>
      <c r="L940" s="612"/>
    </row>
    <row r="941" spans="1:12" ht="24" customHeight="1">
      <c r="A941" s="612" t="s">
        <v>13679</v>
      </c>
      <c r="B941" s="636" t="s">
        <v>12698</v>
      </c>
      <c r="C941" s="612" t="s">
        <v>12699</v>
      </c>
      <c r="D941" s="612" t="s">
        <v>12700</v>
      </c>
      <c r="E941" s="637" t="s">
        <v>12702</v>
      </c>
      <c r="F941" s="801" t="s">
        <v>12704</v>
      </c>
      <c r="G941" s="801"/>
      <c r="H941" s="801" t="s">
        <v>13678</v>
      </c>
      <c r="I941" s="801"/>
      <c r="J941" s="801" t="s">
        <v>12705</v>
      </c>
      <c r="K941" s="801"/>
      <c r="L941" s="801"/>
    </row>
    <row r="942" spans="1:12" ht="24" customHeight="1">
      <c r="A942" s="626" t="s">
        <v>12709</v>
      </c>
      <c r="B942" s="627" t="s">
        <v>13302</v>
      </c>
      <c r="C942" s="626" t="s">
        <v>8</v>
      </c>
      <c r="D942" s="626" t="s">
        <v>7676</v>
      </c>
      <c r="E942" s="628" t="s">
        <v>35</v>
      </c>
      <c r="F942" s="816" t="s">
        <v>14526</v>
      </c>
      <c r="G942" s="816"/>
      <c r="H942" s="816">
        <v>1.493E-4</v>
      </c>
      <c r="I942" s="816"/>
      <c r="J942" s="817">
        <v>0.54069999999999996</v>
      </c>
      <c r="K942" s="817"/>
      <c r="L942" s="817"/>
    </row>
    <row r="943" spans="1:12" ht="24" customHeight="1">
      <c r="A943" s="626" t="s">
        <v>12709</v>
      </c>
      <c r="B943" s="627" t="s">
        <v>13048</v>
      </c>
      <c r="C943" s="626" t="s">
        <v>8</v>
      </c>
      <c r="D943" s="626" t="s">
        <v>9233</v>
      </c>
      <c r="E943" s="628" t="s">
        <v>23</v>
      </c>
      <c r="F943" s="816" t="s">
        <v>13690</v>
      </c>
      <c r="G943" s="816"/>
      <c r="H943" s="816">
        <v>2.3063959000000001</v>
      </c>
      <c r="I943" s="816"/>
      <c r="J943" s="817">
        <v>2.3525</v>
      </c>
      <c r="K943" s="817"/>
      <c r="L943" s="817"/>
    </row>
    <row r="944" spans="1:12" ht="24" customHeight="1">
      <c r="A944" s="626" t="s">
        <v>12709</v>
      </c>
      <c r="B944" s="627" t="s">
        <v>13047</v>
      </c>
      <c r="C944" s="626" t="s">
        <v>8</v>
      </c>
      <c r="D944" s="626" t="s">
        <v>9380</v>
      </c>
      <c r="E944" s="628" t="s">
        <v>23</v>
      </c>
      <c r="F944" s="816" t="s">
        <v>13689</v>
      </c>
      <c r="G944" s="816"/>
      <c r="H944" s="816">
        <v>2.3063959000000001</v>
      </c>
      <c r="I944" s="816"/>
      <c r="J944" s="817">
        <v>0.87639999999999996</v>
      </c>
      <c r="K944" s="817"/>
      <c r="L944" s="817"/>
    </row>
    <row r="945" spans="1:12" ht="24" customHeight="1">
      <c r="A945" s="626" t="s">
        <v>12709</v>
      </c>
      <c r="B945" s="627" t="s">
        <v>13003</v>
      </c>
      <c r="C945" s="626" t="s">
        <v>8</v>
      </c>
      <c r="D945" s="626" t="s">
        <v>9227</v>
      </c>
      <c r="E945" s="628" t="s">
        <v>23</v>
      </c>
      <c r="F945" s="816" t="s">
        <v>13732</v>
      </c>
      <c r="G945" s="816"/>
      <c r="H945" s="816">
        <v>1.4577221</v>
      </c>
      <c r="I945" s="816"/>
      <c r="J945" s="817">
        <v>0.96209999999999996</v>
      </c>
      <c r="K945" s="817"/>
      <c r="L945" s="817"/>
    </row>
    <row r="946" spans="1:12" ht="24" customHeight="1">
      <c r="A946" s="626" t="s">
        <v>12709</v>
      </c>
      <c r="B946" s="627" t="s">
        <v>13001</v>
      </c>
      <c r="C946" s="626" t="s">
        <v>8</v>
      </c>
      <c r="D946" s="626" t="s">
        <v>9374</v>
      </c>
      <c r="E946" s="628" t="s">
        <v>23</v>
      </c>
      <c r="F946" s="816" t="s">
        <v>13728</v>
      </c>
      <c r="G946" s="816"/>
      <c r="H946" s="816">
        <v>1.4577221</v>
      </c>
      <c r="I946" s="816"/>
      <c r="J946" s="817">
        <v>1.46E-2</v>
      </c>
      <c r="K946" s="817"/>
      <c r="L946" s="817"/>
    </row>
    <row r="947" spans="1:12" ht="17.100000000000001" customHeight="1">
      <c r="A947" s="636"/>
      <c r="B947" s="636"/>
      <c r="C947" s="636"/>
      <c r="D947" s="636"/>
      <c r="E947" s="636"/>
      <c r="F947" s="636"/>
      <c r="G947" s="636"/>
      <c r="H947" s="636"/>
      <c r="I947" s="636"/>
      <c r="J947" s="636" t="s">
        <v>13675</v>
      </c>
      <c r="K947" s="636"/>
      <c r="L947" s="636" t="s">
        <v>14575</v>
      </c>
    </row>
    <row r="948" spans="1:12" ht="14.25" customHeight="1">
      <c r="A948" s="802" t="s">
        <v>12710</v>
      </c>
      <c r="B948" s="802"/>
      <c r="C948" s="802"/>
      <c r="D948" s="802"/>
      <c r="E948" s="802"/>
      <c r="F948" s="802"/>
      <c r="G948" s="802"/>
      <c r="H948" s="802"/>
      <c r="I948" s="612"/>
      <c r="J948" s="612"/>
      <c r="K948" s="612"/>
      <c r="L948" s="612"/>
    </row>
    <row r="949" spans="1:12" ht="17.100000000000001" customHeight="1">
      <c r="A949" s="612" t="s">
        <v>13679</v>
      </c>
      <c r="B949" s="636" t="s">
        <v>12698</v>
      </c>
      <c r="C949" s="612" t="s">
        <v>12699</v>
      </c>
      <c r="D949" s="612" t="s">
        <v>12700</v>
      </c>
      <c r="E949" s="637" t="s">
        <v>12702</v>
      </c>
      <c r="F949" s="801" t="s">
        <v>12704</v>
      </c>
      <c r="G949" s="801"/>
      <c r="H949" s="801" t="s">
        <v>13678</v>
      </c>
      <c r="I949" s="801"/>
      <c r="J949" s="801" t="s">
        <v>12705</v>
      </c>
      <c r="K949" s="801"/>
      <c r="L949" s="801"/>
    </row>
    <row r="950" spans="1:12" ht="24" customHeight="1">
      <c r="A950" s="626" t="s">
        <v>12709</v>
      </c>
      <c r="B950" s="627" t="s">
        <v>13046</v>
      </c>
      <c r="C950" s="626" t="s">
        <v>8</v>
      </c>
      <c r="D950" s="626" t="s">
        <v>11281</v>
      </c>
      <c r="E950" s="628" t="s">
        <v>23</v>
      </c>
      <c r="F950" s="816" t="s">
        <v>13731</v>
      </c>
      <c r="G950" s="816"/>
      <c r="H950" s="816">
        <v>2.3424033</v>
      </c>
      <c r="I950" s="816"/>
      <c r="J950" s="817">
        <v>12.04</v>
      </c>
      <c r="K950" s="817"/>
      <c r="L950" s="817"/>
    </row>
    <row r="951" spans="1:12" ht="24" customHeight="1">
      <c r="A951" s="626" t="s">
        <v>12709</v>
      </c>
      <c r="B951" s="627" t="s">
        <v>13116</v>
      </c>
      <c r="C951" s="626" t="s">
        <v>8</v>
      </c>
      <c r="D951" s="626" t="s">
        <v>10556</v>
      </c>
      <c r="E951" s="628" t="s">
        <v>23</v>
      </c>
      <c r="F951" s="816" t="s">
        <v>13770</v>
      </c>
      <c r="G951" s="816"/>
      <c r="H951" s="816">
        <v>1.4674932999999999</v>
      </c>
      <c r="I951" s="816"/>
      <c r="J951" s="817">
        <v>6.9999000000000002</v>
      </c>
      <c r="K951" s="817"/>
      <c r="L951" s="817"/>
    </row>
    <row r="952" spans="1:12" ht="24" customHeight="1">
      <c r="A952" s="636"/>
      <c r="B952" s="636"/>
      <c r="C952" s="636"/>
      <c r="D952" s="636"/>
      <c r="E952" s="636"/>
      <c r="F952" s="636"/>
      <c r="G952" s="636"/>
      <c r="H952" s="636"/>
      <c r="I952" s="636"/>
      <c r="J952" s="636" t="s">
        <v>13675</v>
      </c>
      <c r="K952" s="636"/>
      <c r="L952" s="636" t="s">
        <v>14716</v>
      </c>
    </row>
    <row r="953" spans="1:12" ht="17.100000000000001" customHeight="1">
      <c r="A953" s="802" t="s">
        <v>12720</v>
      </c>
      <c r="B953" s="802"/>
      <c r="C953" s="802"/>
      <c r="D953" s="802"/>
      <c r="E953" s="802"/>
      <c r="F953" s="802"/>
      <c r="G953" s="802"/>
      <c r="H953" s="802"/>
      <c r="I953" s="612"/>
      <c r="J953" s="612"/>
      <c r="K953" s="612"/>
      <c r="L953" s="612"/>
    </row>
    <row r="954" spans="1:12">
      <c r="A954" s="612" t="s">
        <v>13679</v>
      </c>
      <c r="B954" s="636" t="s">
        <v>12698</v>
      </c>
      <c r="C954" s="612" t="s">
        <v>12699</v>
      </c>
      <c r="D954" s="612" t="s">
        <v>12700</v>
      </c>
      <c r="E954" s="637" t="s">
        <v>12702</v>
      </c>
      <c r="F954" s="801" t="s">
        <v>12704</v>
      </c>
      <c r="G954" s="801"/>
      <c r="H954" s="801" t="s">
        <v>13678</v>
      </c>
      <c r="I954" s="801"/>
      <c r="J954" s="801" t="s">
        <v>12705</v>
      </c>
      <c r="K954" s="801"/>
      <c r="L954" s="801"/>
    </row>
    <row r="955" spans="1:12" ht="17.100000000000001" customHeight="1">
      <c r="A955" s="626" t="s">
        <v>12709</v>
      </c>
      <c r="B955" s="627" t="s">
        <v>13250</v>
      </c>
      <c r="C955" s="626" t="s">
        <v>8</v>
      </c>
      <c r="D955" s="626" t="s">
        <v>7526</v>
      </c>
      <c r="E955" s="628" t="s">
        <v>12730</v>
      </c>
      <c r="F955" s="816" t="s">
        <v>13747</v>
      </c>
      <c r="G955" s="816"/>
      <c r="H955" s="816">
        <v>0.72299999999999998</v>
      </c>
      <c r="I955" s="816"/>
      <c r="J955" s="817">
        <v>45.18</v>
      </c>
      <c r="K955" s="817"/>
      <c r="L955" s="817"/>
    </row>
    <row r="956" spans="1:12" ht="24" customHeight="1">
      <c r="A956" s="626" t="s">
        <v>12709</v>
      </c>
      <c r="B956" s="627" t="s">
        <v>13249</v>
      </c>
      <c r="C956" s="626" t="s">
        <v>8</v>
      </c>
      <c r="D956" s="626" t="s">
        <v>8420</v>
      </c>
      <c r="E956" s="628" t="s">
        <v>20</v>
      </c>
      <c r="F956" s="816" t="s">
        <v>13700</v>
      </c>
      <c r="G956" s="816"/>
      <c r="H956" s="816">
        <v>362.66</v>
      </c>
      <c r="I956" s="816"/>
      <c r="J956" s="817">
        <v>177.7</v>
      </c>
      <c r="K956" s="817"/>
      <c r="L956" s="817"/>
    </row>
    <row r="957" spans="1:12" ht="17.100000000000001" customHeight="1">
      <c r="A957" s="626" t="s">
        <v>12709</v>
      </c>
      <c r="B957" s="627" t="s">
        <v>13248</v>
      </c>
      <c r="C957" s="626" t="s">
        <v>8</v>
      </c>
      <c r="D957" s="626" t="s">
        <v>10712</v>
      </c>
      <c r="E957" s="628" t="s">
        <v>12730</v>
      </c>
      <c r="F957" s="816" t="s">
        <v>13745</v>
      </c>
      <c r="G957" s="816"/>
      <c r="H957" s="816">
        <v>0.59299999999999997</v>
      </c>
      <c r="I957" s="816"/>
      <c r="J957" s="817">
        <v>47.44</v>
      </c>
      <c r="K957" s="817"/>
      <c r="L957" s="817"/>
    </row>
    <row r="958" spans="1:12" ht="25.5">
      <c r="A958" s="626" t="s">
        <v>12709</v>
      </c>
      <c r="B958" s="627" t="s">
        <v>12987</v>
      </c>
      <c r="C958" s="626" t="s">
        <v>8</v>
      </c>
      <c r="D958" s="626" t="s">
        <v>9192</v>
      </c>
      <c r="E958" s="628" t="s">
        <v>12923</v>
      </c>
      <c r="F958" s="816" t="s">
        <v>13999</v>
      </c>
      <c r="G958" s="816"/>
      <c r="H958" s="816">
        <v>0.93603729999999996</v>
      </c>
      <c r="I958" s="816"/>
      <c r="J958" s="817">
        <v>0.75819999999999999</v>
      </c>
      <c r="K958" s="817"/>
      <c r="L958" s="817"/>
    </row>
    <row r="959" spans="1:12" ht="17.100000000000001" customHeight="1">
      <c r="A959" s="636"/>
      <c r="B959" s="636"/>
      <c r="C959" s="636"/>
      <c r="D959" s="636"/>
      <c r="E959" s="636"/>
      <c r="F959" s="636"/>
      <c r="G959" s="636"/>
      <c r="H959" s="636"/>
      <c r="I959" s="636"/>
      <c r="J959" s="636" t="s">
        <v>13675</v>
      </c>
      <c r="K959" s="636"/>
      <c r="L959" s="636" t="s">
        <v>14715</v>
      </c>
    </row>
    <row r="960" spans="1:12" ht="24" customHeight="1">
      <c r="A960" s="802" t="s">
        <v>12722</v>
      </c>
      <c r="B960" s="802"/>
      <c r="C960" s="802"/>
      <c r="D960" s="802"/>
      <c r="E960" s="802"/>
      <c r="F960" s="802"/>
      <c r="G960" s="802"/>
      <c r="H960" s="802"/>
      <c r="I960" s="612"/>
      <c r="J960" s="612"/>
      <c r="K960" s="612"/>
      <c r="L960" s="612"/>
    </row>
    <row r="961" spans="1:12" ht="17.100000000000001" customHeight="1">
      <c r="A961" s="612" t="s">
        <v>13679</v>
      </c>
      <c r="B961" s="636" t="s">
        <v>12698</v>
      </c>
      <c r="C961" s="612" t="s">
        <v>12699</v>
      </c>
      <c r="D961" s="612" t="s">
        <v>12700</v>
      </c>
      <c r="E961" s="637" t="s">
        <v>12702</v>
      </c>
      <c r="F961" s="801" t="s">
        <v>12704</v>
      </c>
      <c r="G961" s="801"/>
      <c r="H961" s="801" t="s">
        <v>13678</v>
      </c>
      <c r="I961" s="801"/>
      <c r="J961" s="801" t="s">
        <v>12705</v>
      </c>
      <c r="K961" s="801"/>
      <c r="L961" s="801"/>
    </row>
    <row r="962" spans="1:12" ht="25.5">
      <c r="A962" s="626" t="s">
        <v>12709</v>
      </c>
      <c r="B962" s="627" t="s">
        <v>12998</v>
      </c>
      <c r="C962" s="626" t="s">
        <v>8</v>
      </c>
      <c r="D962" s="626" t="s">
        <v>11861</v>
      </c>
      <c r="E962" s="628" t="s">
        <v>23</v>
      </c>
      <c r="F962" s="816" t="s">
        <v>13683</v>
      </c>
      <c r="G962" s="816"/>
      <c r="H962" s="816">
        <v>3.7641179999999999</v>
      </c>
      <c r="I962" s="816"/>
      <c r="J962" s="817">
        <v>2.6724999999999999</v>
      </c>
      <c r="K962" s="817"/>
      <c r="L962" s="817"/>
    </row>
    <row r="963" spans="1:12" ht="17.100000000000001" customHeight="1">
      <c r="A963" s="636"/>
      <c r="B963" s="636"/>
      <c r="C963" s="636"/>
      <c r="D963" s="636"/>
      <c r="E963" s="636"/>
      <c r="F963" s="636"/>
      <c r="G963" s="636"/>
      <c r="H963" s="636"/>
      <c r="I963" s="636"/>
      <c r="J963" s="636" t="s">
        <v>13675</v>
      </c>
      <c r="K963" s="636"/>
      <c r="L963" s="636" t="s">
        <v>14110</v>
      </c>
    </row>
    <row r="964" spans="1:12" ht="24" customHeight="1">
      <c r="A964" s="802" t="s">
        <v>12713</v>
      </c>
      <c r="B964" s="802"/>
      <c r="C964" s="802"/>
      <c r="D964" s="802"/>
      <c r="E964" s="802"/>
      <c r="F964" s="802"/>
      <c r="G964" s="802"/>
      <c r="H964" s="802"/>
      <c r="I964" s="612"/>
      <c r="J964" s="612"/>
      <c r="K964" s="612"/>
      <c r="L964" s="612"/>
    </row>
    <row r="965" spans="1:12" ht="17.100000000000001" customHeight="1">
      <c r="A965" s="612" t="s">
        <v>13679</v>
      </c>
      <c r="B965" s="636" t="s">
        <v>12698</v>
      </c>
      <c r="C965" s="612" t="s">
        <v>12699</v>
      </c>
      <c r="D965" s="612" t="s">
        <v>12700</v>
      </c>
      <c r="E965" s="637" t="s">
        <v>12702</v>
      </c>
      <c r="F965" s="801" t="s">
        <v>12704</v>
      </c>
      <c r="G965" s="801"/>
      <c r="H965" s="801" t="s">
        <v>13678</v>
      </c>
      <c r="I965" s="801"/>
      <c r="J965" s="801" t="s">
        <v>12705</v>
      </c>
      <c r="K965" s="801"/>
      <c r="L965" s="801"/>
    </row>
    <row r="966" spans="1:12" ht="25.5">
      <c r="A966" s="626" t="s">
        <v>12709</v>
      </c>
      <c r="B966" s="627" t="s">
        <v>12999</v>
      </c>
      <c r="C966" s="626" t="s">
        <v>8</v>
      </c>
      <c r="D966" s="626" t="s">
        <v>11251</v>
      </c>
      <c r="E966" s="628" t="s">
        <v>23</v>
      </c>
      <c r="F966" s="816" t="s">
        <v>13681</v>
      </c>
      <c r="G966" s="816"/>
      <c r="H966" s="816">
        <v>3.7641179999999999</v>
      </c>
      <c r="I966" s="816"/>
      <c r="J966" s="817">
        <v>0.26350000000000001</v>
      </c>
      <c r="K966" s="817"/>
      <c r="L966" s="817"/>
    </row>
    <row r="967" spans="1:12" ht="17.100000000000001" customHeight="1">
      <c r="A967" s="636"/>
      <c r="B967" s="636"/>
      <c r="C967" s="636"/>
      <c r="D967" s="636"/>
      <c r="E967" s="636"/>
      <c r="F967" s="636"/>
      <c r="G967" s="636"/>
      <c r="H967" s="636"/>
      <c r="I967" s="636"/>
      <c r="J967" s="636" t="s">
        <v>13675</v>
      </c>
      <c r="K967" s="636"/>
      <c r="L967" s="636" t="s">
        <v>13869</v>
      </c>
    </row>
    <row r="968" spans="1:12" ht="24" customHeight="1">
      <c r="A968" s="802" t="s">
        <v>12712</v>
      </c>
      <c r="B968" s="802"/>
      <c r="C968" s="802"/>
      <c r="D968" s="802"/>
      <c r="E968" s="802"/>
      <c r="F968" s="802"/>
      <c r="G968" s="802"/>
      <c r="H968" s="802"/>
      <c r="I968" s="612"/>
      <c r="J968" s="612"/>
      <c r="K968" s="612"/>
      <c r="L968" s="612"/>
    </row>
    <row r="969" spans="1:12" ht="24" customHeight="1">
      <c r="A969" s="612" t="s">
        <v>13679</v>
      </c>
      <c r="B969" s="636" t="s">
        <v>12698</v>
      </c>
      <c r="C969" s="612" t="s">
        <v>12699</v>
      </c>
      <c r="D969" s="612" t="s">
        <v>12700</v>
      </c>
      <c r="E969" s="637" t="s">
        <v>12702</v>
      </c>
      <c r="F969" s="801" t="s">
        <v>12704</v>
      </c>
      <c r="G969" s="801"/>
      <c r="H969" s="801" t="s">
        <v>13678</v>
      </c>
      <c r="I969" s="801"/>
      <c r="J969" s="801" t="s">
        <v>12705</v>
      </c>
      <c r="K969" s="801"/>
      <c r="L969" s="801"/>
    </row>
    <row r="970" spans="1:12" ht="17.100000000000001" customHeight="1">
      <c r="A970" s="626" t="s">
        <v>12709</v>
      </c>
      <c r="B970" s="627" t="s">
        <v>13002</v>
      </c>
      <c r="C970" s="626" t="s">
        <v>8</v>
      </c>
      <c r="D970" s="626" t="s">
        <v>9306</v>
      </c>
      <c r="E970" s="628" t="s">
        <v>23</v>
      </c>
      <c r="F970" s="816" t="s">
        <v>13677</v>
      </c>
      <c r="G970" s="816"/>
      <c r="H970" s="816">
        <v>3.7641179999999999</v>
      </c>
      <c r="I970" s="816"/>
      <c r="J970" s="817">
        <v>1.3173999999999999</v>
      </c>
      <c r="K970" s="817"/>
      <c r="L970" s="817"/>
    </row>
    <row r="971" spans="1:12" ht="17.100000000000001" customHeight="1">
      <c r="A971" s="626" t="s">
        <v>12709</v>
      </c>
      <c r="B971" s="627" t="s">
        <v>13004</v>
      </c>
      <c r="C971" s="626" t="s">
        <v>8</v>
      </c>
      <c r="D971" s="626" t="s">
        <v>7388</v>
      </c>
      <c r="E971" s="628" t="s">
        <v>23</v>
      </c>
      <c r="F971" s="816" t="s">
        <v>13676</v>
      </c>
      <c r="G971" s="816"/>
      <c r="H971" s="816">
        <v>3.7641179999999999</v>
      </c>
      <c r="I971" s="816"/>
      <c r="J971" s="817">
        <v>8.2811000000000003</v>
      </c>
      <c r="K971" s="817"/>
      <c r="L971" s="817"/>
    </row>
    <row r="972" spans="1:12" ht="17.100000000000001" customHeight="1">
      <c r="A972" s="636"/>
      <c r="B972" s="636"/>
      <c r="C972" s="636"/>
      <c r="D972" s="636"/>
      <c r="E972" s="636"/>
      <c r="F972" s="636"/>
      <c r="G972" s="636"/>
      <c r="H972" s="636"/>
      <c r="I972" s="636"/>
      <c r="J972" s="636" t="s">
        <v>13675</v>
      </c>
      <c r="K972" s="636"/>
      <c r="L972" s="636" t="s">
        <v>14109</v>
      </c>
    </row>
    <row r="973" spans="1:12" ht="17.100000000000001" customHeight="1">
      <c r="A973" s="612" t="s">
        <v>13673</v>
      </c>
      <c r="B973" s="612"/>
      <c r="C973" s="612"/>
      <c r="D973" s="612"/>
      <c r="E973" s="612"/>
      <c r="F973" s="612"/>
      <c r="G973" s="612"/>
      <c r="H973" s="612"/>
      <c r="I973" s="612"/>
      <c r="J973" s="612"/>
      <c r="K973" s="612"/>
      <c r="L973" s="612"/>
    </row>
    <row r="974" spans="1:12" ht="17.100000000000001" customHeight="1">
      <c r="A974" s="636"/>
      <c r="B974" s="636"/>
      <c r="C974" s="636"/>
      <c r="D974" s="636"/>
      <c r="E974" s="636"/>
      <c r="F974" s="636"/>
      <c r="G974" s="636"/>
      <c r="H974" s="636"/>
      <c r="I974" s="636"/>
      <c r="J974" s="636" t="s">
        <v>13672</v>
      </c>
      <c r="K974" s="636"/>
      <c r="L974" s="636" t="s">
        <v>14987</v>
      </c>
    </row>
    <row r="975" spans="1:12" ht="17.100000000000001" customHeight="1">
      <c r="A975" s="636"/>
      <c r="B975" s="636"/>
      <c r="C975" s="636"/>
      <c r="D975" s="636"/>
      <c r="E975" s="636"/>
      <c r="F975" s="636"/>
      <c r="G975" s="636"/>
      <c r="H975" s="636"/>
      <c r="I975" s="636"/>
      <c r="J975" s="636" t="s">
        <v>13671</v>
      </c>
      <c r="K975" s="636" t="s">
        <v>14461</v>
      </c>
      <c r="L975" s="636" t="s">
        <v>14988</v>
      </c>
    </row>
    <row r="976" spans="1:12" ht="17.100000000000001" customHeight="1">
      <c r="A976" s="636"/>
      <c r="B976" s="636"/>
      <c r="C976" s="636"/>
      <c r="D976" s="636"/>
      <c r="E976" s="636"/>
      <c r="F976" s="636"/>
      <c r="G976" s="636"/>
      <c r="H976" s="636"/>
      <c r="I976" s="636"/>
      <c r="J976" s="636" t="s">
        <v>13670</v>
      </c>
      <c r="K976" s="636"/>
      <c r="L976" s="636" t="s">
        <v>14989</v>
      </c>
    </row>
    <row r="977" spans="1:12" ht="30" customHeight="1">
      <c r="A977" s="636"/>
      <c r="B977" s="636"/>
      <c r="C977" s="636"/>
      <c r="D977" s="636"/>
      <c r="E977" s="636"/>
      <c r="F977" s="636"/>
      <c r="G977" s="636"/>
      <c r="H977" s="636"/>
      <c r="I977" s="636"/>
      <c r="J977" s="636" t="s">
        <v>13669</v>
      </c>
      <c r="K977" s="636" t="s">
        <v>13667</v>
      </c>
      <c r="L977" s="636" t="s">
        <v>14990</v>
      </c>
    </row>
    <row r="978" spans="1:12" ht="24" customHeight="1">
      <c r="A978" s="636"/>
      <c r="B978" s="636"/>
      <c r="C978" s="636"/>
      <c r="D978" s="636"/>
      <c r="E978" s="636"/>
      <c r="F978" s="636"/>
      <c r="G978" s="636"/>
      <c r="H978" s="636"/>
      <c r="I978" s="636"/>
      <c r="J978" s="636" t="s">
        <v>13668</v>
      </c>
      <c r="K978" s="636"/>
      <c r="L978" s="636" t="s">
        <v>14991</v>
      </c>
    </row>
    <row r="979" spans="1:12" ht="14.25" customHeight="1">
      <c r="A979" s="637"/>
      <c r="B979" s="637"/>
      <c r="C979" s="637"/>
      <c r="D979" s="637"/>
      <c r="E979" s="637"/>
      <c r="F979" s="637"/>
      <c r="G979" s="637"/>
      <c r="H979" s="637"/>
      <c r="I979" s="637"/>
      <c r="J979" s="637"/>
      <c r="K979" s="637"/>
      <c r="L979" s="637"/>
    </row>
    <row r="980" spans="1:12" ht="17.100000000000001" customHeight="1">
      <c r="A980" s="616" t="s">
        <v>14245</v>
      </c>
      <c r="B980" s="617" t="s">
        <v>13633</v>
      </c>
      <c r="C980" s="616" t="s">
        <v>8</v>
      </c>
      <c r="D980" s="616" t="s">
        <v>55</v>
      </c>
      <c r="E980" s="618" t="s">
        <v>12730</v>
      </c>
      <c r="F980" s="617"/>
      <c r="G980" s="617"/>
      <c r="H980" s="617"/>
      <c r="I980" s="617"/>
      <c r="J980" s="617"/>
      <c r="K980" s="617"/>
      <c r="L980" s="617"/>
    </row>
    <row r="981" spans="1:12" ht="24" customHeight="1">
      <c r="A981" s="802" t="s">
        <v>12711</v>
      </c>
      <c r="B981" s="802"/>
      <c r="C981" s="802"/>
      <c r="D981" s="802"/>
      <c r="E981" s="802"/>
      <c r="F981" s="802"/>
      <c r="G981" s="802"/>
      <c r="H981" s="802"/>
      <c r="I981" s="612"/>
      <c r="J981" s="612"/>
      <c r="K981" s="612"/>
      <c r="L981" s="612"/>
    </row>
    <row r="982" spans="1:12" ht="24" customHeight="1">
      <c r="A982" s="612" t="s">
        <v>13679</v>
      </c>
      <c r="B982" s="636" t="s">
        <v>12698</v>
      </c>
      <c r="C982" s="612" t="s">
        <v>12699</v>
      </c>
      <c r="D982" s="612" t="s">
        <v>12700</v>
      </c>
      <c r="E982" s="637" t="s">
        <v>12702</v>
      </c>
      <c r="F982" s="801" t="s">
        <v>12704</v>
      </c>
      <c r="G982" s="801"/>
      <c r="H982" s="801" t="s">
        <v>13678</v>
      </c>
      <c r="I982" s="801"/>
      <c r="J982" s="801" t="s">
        <v>12705</v>
      </c>
      <c r="K982" s="801"/>
      <c r="L982" s="801"/>
    </row>
    <row r="983" spans="1:12" ht="17.100000000000001" customHeight="1">
      <c r="A983" s="626" t="s">
        <v>12709</v>
      </c>
      <c r="B983" s="627" t="s">
        <v>12989</v>
      </c>
      <c r="C983" s="626" t="s">
        <v>8</v>
      </c>
      <c r="D983" s="626" t="s">
        <v>12342</v>
      </c>
      <c r="E983" s="628" t="s">
        <v>35</v>
      </c>
      <c r="F983" s="816" t="s">
        <v>14494</v>
      </c>
      <c r="G983" s="816"/>
      <c r="H983" s="816">
        <v>3.3110000000000002E-4</v>
      </c>
      <c r="I983" s="816"/>
      <c r="J983" s="817">
        <v>0.80200000000000005</v>
      </c>
      <c r="K983" s="817"/>
      <c r="L983" s="817"/>
    </row>
    <row r="984" spans="1:12" ht="14.25" customHeight="1">
      <c r="A984" s="626" t="s">
        <v>12709</v>
      </c>
      <c r="B984" s="627" t="s">
        <v>13032</v>
      </c>
      <c r="C984" s="626" t="s">
        <v>8</v>
      </c>
      <c r="D984" s="626" t="s">
        <v>9217</v>
      </c>
      <c r="E984" s="628" t="s">
        <v>23</v>
      </c>
      <c r="F984" s="816" t="s">
        <v>13741</v>
      </c>
      <c r="G984" s="816"/>
      <c r="H984" s="816">
        <v>1.8448028999999999</v>
      </c>
      <c r="I984" s="816"/>
      <c r="J984" s="817">
        <v>1.9923999999999999</v>
      </c>
      <c r="K984" s="817"/>
      <c r="L984" s="817"/>
    </row>
    <row r="985" spans="1:12" ht="17.100000000000001" customHeight="1">
      <c r="A985" s="626" t="s">
        <v>12709</v>
      </c>
      <c r="B985" s="627" t="s">
        <v>13031</v>
      </c>
      <c r="C985" s="626" t="s">
        <v>8</v>
      </c>
      <c r="D985" s="626" t="s">
        <v>9364</v>
      </c>
      <c r="E985" s="628" t="s">
        <v>23</v>
      </c>
      <c r="F985" s="816" t="s">
        <v>13740</v>
      </c>
      <c r="G985" s="816"/>
      <c r="H985" s="816">
        <v>1.8448028999999999</v>
      </c>
      <c r="I985" s="816"/>
      <c r="J985" s="817">
        <v>0.62719999999999998</v>
      </c>
      <c r="K985" s="817"/>
      <c r="L985" s="817"/>
    </row>
    <row r="986" spans="1:12" ht="24" customHeight="1">
      <c r="A986" s="626" t="s">
        <v>12709</v>
      </c>
      <c r="B986" s="627" t="s">
        <v>13052</v>
      </c>
      <c r="C986" s="626" t="s">
        <v>8</v>
      </c>
      <c r="D986" s="626" t="s">
        <v>9229</v>
      </c>
      <c r="E986" s="628" t="s">
        <v>23</v>
      </c>
      <c r="F986" s="816" t="s">
        <v>13692</v>
      </c>
      <c r="G986" s="816"/>
      <c r="H986" s="816">
        <v>1.8448028999999999</v>
      </c>
      <c r="I986" s="816"/>
      <c r="J986" s="817">
        <v>1.7709999999999999</v>
      </c>
      <c r="K986" s="817"/>
      <c r="L986" s="817"/>
    </row>
    <row r="987" spans="1:12" ht="24" customHeight="1">
      <c r="A987" s="626" t="s">
        <v>12709</v>
      </c>
      <c r="B987" s="627" t="s">
        <v>13051</v>
      </c>
      <c r="C987" s="626" t="s">
        <v>8</v>
      </c>
      <c r="D987" s="626" t="s">
        <v>9376</v>
      </c>
      <c r="E987" s="628" t="s">
        <v>23</v>
      </c>
      <c r="F987" s="816" t="s">
        <v>13691</v>
      </c>
      <c r="G987" s="816"/>
      <c r="H987" s="816">
        <v>1.8448028999999999</v>
      </c>
      <c r="I987" s="816"/>
      <c r="J987" s="817">
        <v>0.9224</v>
      </c>
      <c r="K987" s="817"/>
      <c r="L987" s="817"/>
    </row>
    <row r="988" spans="1:12" ht="17.100000000000001" customHeight="1">
      <c r="A988" s="626" t="s">
        <v>12709</v>
      </c>
      <c r="B988" s="627" t="s">
        <v>13048</v>
      </c>
      <c r="C988" s="626" t="s">
        <v>8</v>
      </c>
      <c r="D988" s="626" t="s">
        <v>9233</v>
      </c>
      <c r="E988" s="628" t="s">
        <v>23</v>
      </c>
      <c r="F988" s="816" t="s">
        <v>13690</v>
      </c>
      <c r="G988" s="816"/>
      <c r="H988" s="816">
        <v>5.5344085999999999</v>
      </c>
      <c r="I988" s="816"/>
      <c r="J988" s="817">
        <v>5.6451000000000002</v>
      </c>
      <c r="K988" s="817"/>
      <c r="L988" s="817"/>
    </row>
    <row r="989" spans="1:12" ht="25.5">
      <c r="A989" s="626" t="s">
        <v>12709</v>
      </c>
      <c r="B989" s="627" t="s">
        <v>13047</v>
      </c>
      <c r="C989" s="626" t="s">
        <v>8</v>
      </c>
      <c r="D989" s="626" t="s">
        <v>9380</v>
      </c>
      <c r="E989" s="628" t="s">
        <v>23</v>
      </c>
      <c r="F989" s="816" t="s">
        <v>13689</v>
      </c>
      <c r="G989" s="816"/>
      <c r="H989" s="816">
        <v>5.5344085999999999</v>
      </c>
      <c r="I989" s="816"/>
      <c r="J989" s="817">
        <v>2.1031</v>
      </c>
      <c r="K989" s="817"/>
      <c r="L989" s="817"/>
    </row>
    <row r="990" spans="1:12" ht="17.100000000000001" customHeight="1">
      <c r="A990" s="636"/>
      <c r="B990" s="636"/>
      <c r="C990" s="636"/>
      <c r="D990" s="636"/>
      <c r="E990" s="636"/>
      <c r="F990" s="636"/>
      <c r="G990" s="636"/>
      <c r="H990" s="636"/>
      <c r="I990" s="636"/>
      <c r="J990" s="636" t="s">
        <v>13675</v>
      </c>
      <c r="K990" s="636"/>
      <c r="L990" s="636" t="s">
        <v>14493</v>
      </c>
    </row>
    <row r="991" spans="1:12" ht="24" customHeight="1">
      <c r="A991" s="802" t="s">
        <v>12710</v>
      </c>
      <c r="B991" s="802"/>
      <c r="C991" s="802"/>
      <c r="D991" s="802"/>
      <c r="E991" s="802"/>
      <c r="F991" s="802"/>
      <c r="G991" s="802"/>
      <c r="H991" s="802"/>
      <c r="I991" s="612"/>
      <c r="J991" s="612"/>
      <c r="K991" s="612"/>
      <c r="L991" s="612"/>
    </row>
    <row r="992" spans="1:12" ht="36" customHeight="1">
      <c r="A992" s="612" t="s">
        <v>13679</v>
      </c>
      <c r="B992" s="636" t="s">
        <v>12698</v>
      </c>
      <c r="C992" s="612" t="s">
        <v>12699</v>
      </c>
      <c r="D992" s="612" t="s">
        <v>12700</v>
      </c>
      <c r="E992" s="637" t="s">
        <v>12702</v>
      </c>
      <c r="F992" s="801" t="s">
        <v>12704</v>
      </c>
      <c r="G992" s="801"/>
      <c r="H992" s="801" t="s">
        <v>13678</v>
      </c>
      <c r="I992" s="801"/>
      <c r="J992" s="801" t="s">
        <v>12705</v>
      </c>
      <c r="K992" s="801"/>
      <c r="L992" s="801"/>
    </row>
    <row r="993" spans="1:12" ht="24" customHeight="1">
      <c r="A993" s="626" t="s">
        <v>12709</v>
      </c>
      <c r="B993" s="627" t="s">
        <v>13212</v>
      </c>
      <c r="C993" s="626" t="s">
        <v>8</v>
      </c>
      <c r="D993" s="626" t="s">
        <v>8293</v>
      </c>
      <c r="E993" s="628" t="s">
        <v>23</v>
      </c>
      <c r="F993" s="816" t="s">
        <v>14470</v>
      </c>
      <c r="G993" s="816"/>
      <c r="H993" s="816">
        <v>1.8599138</v>
      </c>
      <c r="I993" s="816"/>
      <c r="J993" s="817">
        <v>12.852</v>
      </c>
      <c r="K993" s="817"/>
      <c r="L993" s="817"/>
    </row>
    <row r="994" spans="1:12" ht="17.100000000000001" customHeight="1">
      <c r="A994" s="626" t="s">
        <v>12709</v>
      </c>
      <c r="B994" s="627" t="s">
        <v>13099</v>
      </c>
      <c r="C994" s="626" t="s">
        <v>8</v>
      </c>
      <c r="D994" s="626" t="s">
        <v>10726</v>
      </c>
      <c r="E994" s="628" t="s">
        <v>23</v>
      </c>
      <c r="F994" s="816" t="s">
        <v>14470</v>
      </c>
      <c r="G994" s="816"/>
      <c r="H994" s="816">
        <v>1.8722776000000001</v>
      </c>
      <c r="I994" s="816"/>
      <c r="J994" s="817">
        <v>12.9374</v>
      </c>
      <c r="K994" s="817"/>
      <c r="L994" s="817"/>
    </row>
    <row r="995" spans="1:12" ht="25.5">
      <c r="A995" s="626" t="s">
        <v>12709</v>
      </c>
      <c r="B995" s="627" t="s">
        <v>13046</v>
      </c>
      <c r="C995" s="626" t="s">
        <v>8</v>
      </c>
      <c r="D995" s="626" t="s">
        <v>11281</v>
      </c>
      <c r="E995" s="628" t="s">
        <v>23</v>
      </c>
      <c r="F995" s="816" t="s">
        <v>13731</v>
      </c>
      <c r="G995" s="816"/>
      <c r="H995" s="816">
        <v>5.6168328000000001</v>
      </c>
      <c r="I995" s="816"/>
      <c r="J995" s="817">
        <v>28.8705</v>
      </c>
      <c r="K995" s="817"/>
      <c r="L995" s="817"/>
    </row>
    <row r="996" spans="1:12" ht="17.100000000000001" customHeight="1">
      <c r="A996" s="636"/>
      <c r="B996" s="636"/>
      <c r="C996" s="636"/>
      <c r="D996" s="636"/>
      <c r="E996" s="636"/>
      <c r="F996" s="636"/>
      <c r="G996" s="636"/>
      <c r="H996" s="636"/>
      <c r="I996" s="636"/>
      <c r="J996" s="636" t="s">
        <v>13675</v>
      </c>
      <c r="K996" s="636"/>
      <c r="L996" s="636" t="s">
        <v>14492</v>
      </c>
    </row>
    <row r="997" spans="1:12" ht="24" customHeight="1">
      <c r="A997" s="802" t="s">
        <v>12720</v>
      </c>
      <c r="B997" s="802"/>
      <c r="C997" s="802"/>
      <c r="D997" s="802"/>
      <c r="E997" s="802"/>
      <c r="F997" s="802"/>
      <c r="G997" s="802"/>
      <c r="H997" s="802"/>
      <c r="I997" s="612"/>
      <c r="J997" s="612"/>
      <c r="K997" s="612"/>
      <c r="L997" s="612"/>
    </row>
    <row r="998" spans="1:12" ht="17.100000000000001" customHeight="1">
      <c r="A998" s="612" t="s">
        <v>13679</v>
      </c>
      <c r="B998" s="636" t="s">
        <v>12698</v>
      </c>
      <c r="C998" s="612" t="s">
        <v>12699</v>
      </c>
      <c r="D998" s="612" t="s">
        <v>12700</v>
      </c>
      <c r="E998" s="637" t="s">
        <v>12702</v>
      </c>
      <c r="F998" s="801" t="s">
        <v>12704</v>
      </c>
      <c r="G998" s="801"/>
      <c r="H998" s="801" t="s">
        <v>13678</v>
      </c>
      <c r="I998" s="801"/>
      <c r="J998" s="801" t="s">
        <v>12705</v>
      </c>
      <c r="K998" s="801"/>
      <c r="L998" s="801"/>
    </row>
    <row r="999" spans="1:12" ht="25.5">
      <c r="A999" s="626" t="s">
        <v>12709</v>
      </c>
      <c r="B999" s="627" t="s">
        <v>12987</v>
      </c>
      <c r="C999" s="626" t="s">
        <v>8</v>
      </c>
      <c r="D999" s="626" t="s">
        <v>9192</v>
      </c>
      <c r="E999" s="628" t="s">
        <v>12923</v>
      </c>
      <c r="F999" s="816" t="s">
        <v>13999</v>
      </c>
      <c r="G999" s="816"/>
      <c r="H999" s="816">
        <v>0.83945530000000002</v>
      </c>
      <c r="I999" s="816"/>
      <c r="J999" s="817">
        <v>0.68</v>
      </c>
      <c r="K999" s="817"/>
      <c r="L999" s="817"/>
    </row>
    <row r="1000" spans="1:12" ht="17.100000000000001" customHeight="1">
      <c r="A1000" s="636"/>
      <c r="B1000" s="636"/>
      <c r="C1000" s="636"/>
      <c r="D1000" s="636"/>
      <c r="E1000" s="636"/>
      <c r="F1000" s="636"/>
      <c r="G1000" s="636"/>
      <c r="H1000" s="636"/>
      <c r="I1000" s="636"/>
      <c r="J1000" s="636" t="s">
        <v>13675</v>
      </c>
      <c r="K1000" s="636"/>
      <c r="L1000" s="636" t="s">
        <v>13827</v>
      </c>
    </row>
    <row r="1001" spans="1:12" ht="24" customHeight="1">
      <c r="A1001" s="802" t="s">
        <v>12722</v>
      </c>
      <c r="B1001" s="802"/>
      <c r="C1001" s="802"/>
      <c r="D1001" s="802"/>
      <c r="E1001" s="802"/>
      <c r="F1001" s="802"/>
      <c r="G1001" s="802"/>
      <c r="H1001" s="802"/>
      <c r="I1001" s="612"/>
      <c r="J1001" s="612"/>
      <c r="K1001" s="612"/>
      <c r="L1001" s="612"/>
    </row>
    <row r="1002" spans="1:12" ht="17.100000000000001" customHeight="1">
      <c r="A1002" s="612" t="s">
        <v>13679</v>
      </c>
      <c r="B1002" s="636" t="s">
        <v>12698</v>
      </c>
      <c r="C1002" s="612" t="s">
        <v>12699</v>
      </c>
      <c r="D1002" s="612" t="s">
        <v>12700</v>
      </c>
      <c r="E1002" s="637" t="s">
        <v>12702</v>
      </c>
      <c r="F1002" s="801" t="s">
        <v>12704</v>
      </c>
      <c r="G1002" s="801"/>
      <c r="H1002" s="801" t="s">
        <v>13678</v>
      </c>
      <c r="I1002" s="801"/>
      <c r="J1002" s="801" t="s">
        <v>12705</v>
      </c>
      <c r="K1002" s="801"/>
      <c r="L1002" s="801"/>
    </row>
    <row r="1003" spans="1:12" ht="25.5">
      <c r="A1003" s="626" t="s">
        <v>12709</v>
      </c>
      <c r="B1003" s="627" t="s">
        <v>12998</v>
      </c>
      <c r="C1003" s="626" t="s">
        <v>8</v>
      </c>
      <c r="D1003" s="626" t="s">
        <v>11861</v>
      </c>
      <c r="E1003" s="628" t="s">
        <v>23</v>
      </c>
      <c r="F1003" s="816" t="s">
        <v>13683</v>
      </c>
      <c r="G1003" s="816"/>
      <c r="H1003" s="816">
        <v>9.2240143000000003</v>
      </c>
      <c r="I1003" s="816"/>
      <c r="J1003" s="817">
        <v>6.5491000000000001</v>
      </c>
      <c r="K1003" s="817"/>
      <c r="L1003" s="817"/>
    </row>
    <row r="1004" spans="1:12" ht="17.100000000000001" customHeight="1">
      <c r="A1004" s="636"/>
      <c r="B1004" s="636"/>
      <c r="C1004" s="636"/>
      <c r="D1004" s="636"/>
      <c r="E1004" s="636"/>
      <c r="F1004" s="636"/>
      <c r="G1004" s="636"/>
      <c r="H1004" s="636"/>
      <c r="I1004" s="636"/>
      <c r="J1004" s="636" t="s">
        <v>13675</v>
      </c>
      <c r="K1004" s="636"/>
      <c r="L1004" s="636" t="s">
        <v>13739</v>
      </c>
    </row>
    <row r="1005" spans="1:12" ht="24" customHeight="1">
      <c r="A1005" s="802" t="s">
        <v>12713</v>
      </c>
      <c r="B1005" s="802"/>
      <c r="C1005" s="802"/>
      <c r="D1005" s="802"/>
      <c r="E1005" s="802"/>
      <c r="F1005" s="802"/>
      <c r="G1005" s="802"/>
      <c r="H1005" s="802"/>
      <c r="I1005" s="612"/>
      <c r="J1005" s="612"/>
      <c r="K1005" s="612"/>
      <c r="L1005" s="612"/>
    </row>
    <row r="1006" spans="1:12" ht="24" customHeight="1">
      <c r="A1006" s="612" t="s">
        <v>13679</v>
      </c>
      <c r="B1006" s="636" t="s">
        <v>12698</v>
      </c>
      <c r="C1006" s="612" t="s">
        <v>12699</v>
      </c>
      <c r="D1006" s="612" t="s">
        <v>12700</v>
      </c>
      <c r="E1006" s="637" t="s">
        <v>12702</v>
      </c>
      <c r="F1006" s="801" t="s">
        <v>12704</v>
      </c>
      <c r="G1006" s="801"/>
      <c r="H1006" s="801" t="s">
        <v>13678</v>
      </c>
      <c r="I1006" s="801"/>
      <c r="J1006" s="801" t="s">
        <v>12705</v>
      </c>
      <c r="K1006" s="801"/>
      <c r="L1006" s="801"/>
    </row>
    <row r="1007" spans="1:12" ht="17.100000000000001" customHeight="1">
      <c r="A1007" s="626" t="s">
        <v>12709</v>
      </c>
      <c r="B1007" s="627" t="s">
        <v>12999</v>
      </c>
      <c r="C1007" s="626" t="s">
        <v>8</v>
      </c>
      <c r="D1007" s="626" t="s">
        <v>11251</v>
      </c>
      <c r="E1007" s="628" t="s">
        <v>23</v>
      </c>
      <c r="F1007" s="816" t="s">
        <v>13681</v>
      </c>
      <c r="G1007" s="816"/>
      <c r="H1007" s="816">
        <v>9.2240143000000003</v>
      </c>
      <c r="I1007" s="816"/>
      <c r="J1007" s="817">
        <v>0.64570000000000005</v>
      </c>
      <c r="K1007" s="817"/>
      <c r="L1007" s="817"/>
    </row>
    <row r="1008" spans="1:12" ht="17.100000000000001" customHeight="1">
      <c r="A1008" s="636"/>
      <c r="B1008" s="636"/>
      <c r="C1008" s="636"/>
      <c r="D1008" s="636"/>
      <c r="E1008" s="636"/>
      <c r="F1008" s="636"/>
      <c r="G1008" s="636"/>
      <c r="H1008" s="636"/>
      <c r="I1008" s="636"/>
      <c r="J1008" s="636" t="s">
        <v>13675</v>
      </c>
      <c r="K1008" s="636"/>
      <c r="L1008" s="636" t="s">
        <v>13738</v>
      </c>
    </row>
    <row r="1009" spans="1:12" ht="17.100000000000001" customHeight="1">
      <c r="A1009" s="802" t="s">
        <v>12712</v>
      </c>
      <c r="B1009" s="802"/>
      <c r="C1009" s="802"/>
      <c r="D1009" s="802"/>
      <c r="E1009" s="802"/>
      <c r="F1009" s="802"/>
      <c r="G1009" s="802"/>
      <c r="H1009" s="802"/>
      <c r="I1009" s="612"/>
      <c r="J1009" s="612"/>
      <c r="K1009" s="612"/>
      <c r="L1009" s="612"/>
    </row>
    <row r="1010" spans="1:12" ht="17.100000000000001" customHeight="1">
      <c r="A1010" s="612" t="s">
        <v>13679</v>
      </c>
      <c r="B1010" s="636" t="s">
        <v>12698</v>
      </c>
      <c r="C1010" s="612" t="s">
        <v>12699</v>
      </c>
      <c r="D1010" s="612" t="s">
        <v>12700</v>
      </c>
      <c r="E1010" s="637" t="s">
        <v>12702</v>
      </c>
      <c r="F1010" s="801" t="s">
        <v>12704</v>
      </c>
      <c r="G1010" s="801"/>
      <c r="H1010" s="801" t="s">
        <v>13678</v>
      </c>
      <c r="I1010" s="801"/>
      <c r="J1010" s="801" t="s">
        <v>12705</v>
      </c>
      <c r="K1010" s="801"/>
      <c r="L1010" s="801"/>
    </row>
    <row r="1011" spans="1:12" ht="17.100000000000001" customHeight="1">
      <c r="A1011" s="626" t="s">
        <v>12709</v>
      </c>
      <c r="B1011" s="627" t="s">
        <v>13002</v>
      </c>
      <c r="C1011" s="626" t="s">
        <v>8</v>
      </c>
      <c r="D1011" s="626" t="s">
        <v>9306</v>
      </c>
      <c r="E1011" s="628" t="s">
        <v>23</v>
      </c>
      <c r="F1011" s="816" t="s">
        <v>13677</v>
      </c>
      <c r="G1011" s="816"/>
      <c r="H1011" s="816">
        <v>9.2240143000000003</v>
      </c>
      <c r="I1011" s="816"/>
      <c r="J1011" s="817">
        <v>3.2284000000000002</v>
      </c>
      <c r="K1011" s="817"/>
      <c r="L1011" s="817"/>
    </row>
    <row r="1012" spans="1:12" ht="17.100000000000001" customHeight="1">
      <c r="A1012" s="626" t="s">
        <v>12709</v>
      </c>
      <c r="B1012" s="627" t="s">
        <v>13004</v>
      </c>
      <c r="C1012" s="626" t="s">
        <v>8</v>
      </c>
      <c r="D1012" s="626" t="s">
        <v>7388</v>
      </c>
      <c r="E1012" s="628" t="s">
        <v>23</v>
      </c>
      <c r="F1012" s="816" t="s">
        <v>13676</v>
      </c>
      <c r="G1012" s="816"/>
      <c r="H1012" s="816">
        <v>9.2240143000000003</v>
      </c>
      <c r="I1012" s="816"/>
      <c r="J1012" s="817">
        <v>20.2928</v>
      </c>
      <c r="K1012" s="817"/>
      <c r="L1012" s="817"/>
    </row>
    <row r="1013" spans="1:12" ht="17.100000000000001" customHeight="1">
      <c r="A1013" s="636"/>
      <c r="B1013" s="636"/>
      <c r="C1013" s="636"/>
      <c r="D1013" s="636"/>
      <c r="E1013" s="636"/>
      <c r="F1013" s="636"/>
      <c r="G1013" s="636"/>
      <c r="H1013" s="636"/>
      <c r="I1013" s="636"/>
      <c r="J1013" s="636" t="s">
        <v>13675</v>
      </c>
      <c r="K1013" s="636"/>
      <c r="L1013" s="636" t="s">
        <v>13737</v>
      </c>
    </row>
    <row r="1014" spans="1:12" ht="30" customHeight="1">
      <c r="A1014" s="612" t="s">
        <v>13673</v>
      </c>
      <c r="B1014" s="612"/>
      <c r="C1014" s="612"/>
      <c r="D1014" s="612"/>
      <c r="E1014" s="612"/>
      <c r="F1014" s="612"/>
      <c r="G1014" s="612"/>
      <c r="H1014" s="612"/>
      <c r="I1014" s="612"/>
      <c r="J1014" s="612"/>
      <c r="K1014" s="612"/>
      <c r="L1014" s="612"/>
    </row>
    <row r="1015" spans="1:12" ht="24" customHeight="1">
      <c r="A1015" s="636"/>
      <c r="B1015" s="636"/>
      <c r="C1015" s="636"/>
      <c r="D1015" s="636"/>
      <c r="E1015" s="636"/>
      <c r="F1015" s="636"/>
      <c r="G1015" s="636"/>
      <c r="H1015" s="636"/>
      <c r="I1015" s="636"/>
      <c r="J1015" s="636" t="s">
        <v>13672</v>
      </c>
      <c r="K1015" s="636"/>
      <c r="L1015" s="636" t="s">
        <v>14992</v>
      </c>
    </row>
    <row r="1016" spans="1:12" ht="14.25" customHeight="1">
      <c r="A1016" s="636"/>
      <c r="B1016" s="636"/>
      <c r="C1016" s="636"/>
      <c r="D1016" s="636"/>
      <c r="E1016" s="636"/>
      <c r="F1016" s="636"/>
      <c r="G1016" s="636"/>
      <c r="H1016" s="636"/>
      <c r="I1016" s="636"/>
      <c r="J1016" s="636" t="s">
        <v>13671</v>
      </c>
      <c r="K1016" s="636" t="s">
        <v>14461</v>
      </c>
      <c r="L1016" s="636" t="s">
        <v>14993</v>
      </c>
    </row>
    <row r="1017" spans="1:12" ht="17.100000000000001" customHeight="1">
      <c r="A1017" s="636"/>
      <c r="B1017" s="636"/>
      <c r="C1017" s="636"/>
      <c r="D1017" s="636"/>
      <c r="E1017" s="636"/>
      <c r="F1017" s="636"/>
      <c r="G1017" s="636"/>
      <c r="H1017" s="636"/>
      <c r="I1017" s="636"/>
      <c r="J1017" s="636" t="s">
        <v>13670</v>
      </c>
      <c r="K1017" s="636"/>
      <c r="L1017" s="636" t="s">
        <v>14994</v>
      </c>
    </row>
    <row r="1018" spans="1:12" ht="24" customHeight="1">
      <c r="A1018" s="636"/>
      <c r="B1018" s="636"/>
      <c r="C1018" s="636"/>
      <c r="D1018" s="636"/>
      <c r="E1018" s="636"/>
      <c r="F1018" s="636"/>
      <c r="G1018" s="636"/>
      <c r="H1018" s="636"/>
      <c r="I1018" s="636"/>
      <c r="J1018" s="636" t="s">
        <v>13669</v>
      </c>
      <c r="K1018" s="636" t="s">
        <v>13667</v>
      </c>
      <c r="L1018" s="636" t="s">
        <v>14995</v>
      </c>
    </row>
    <row r="1019" spans="1:12" ht="24" customHeight="1">
      <c r="A1019" s="636"/>
      <c r="B1019" s="636"/>
      <c r="C1019" s="636"/>
      <c r="D1019" s="636"/>
      <c r="E1019" s="636"/>
      <c r="F1019" s="636"/>
      <c r="G1019" s="636"/>
      <c r="H1019" s="636"/>
      <c r="I1019" s="636"/>
      <c r="J1019" s="636" t="s">
        <v>13668</v>
      </c>
      <c r="K1019" s="636"/>
      <c r="L1019" s="636" t="s">
        <v>14996</v>
      </c>
    </row>
    <row r="1020" spans="1:12" ht="17.100000000000001" customHeight="1">
      <c r="A1020" s="637"/>
      <c r="B1020" s="637"/>
      <c r="C1020" s="637"/>
      <c r="D1020" s="637"/>
      <c r="E1020" s="637"/>
      <c r="F1020" s="637"/>
      <c r="G1020" s="637"/>
      <c r="H1020" s="637"/>
      <c r="I1020" s="637"/>
      <c r="J1020" s="637"/>
      <c r="K1020" s="637"/>
      <c r="L1020" s="637"/>
    </row>
    <row r="1021" spans="1:12" ht="14.25" customHeight="1">
      <c r="A1021" s="616" t="s">
        <v>14244</v>
      </c>
      <c r="B1021" s="617" t="s">
        <v>13632</v>
      </c>
      <c r="C1021" s="616" t="s">
        <v>8</v>
      </c>
      <c r="D1021" s="616" t="s">
        <v>4012</v>
      </c>
      <c r="E1021" s="618" t="s">
        <v>20</v>
      </c>
      <c r="F1021" s="617"/>
      <c r="G1021" s="617"/>
      <c r="H1021" s="617"/>
      <c r="I1021" s="617"/>
      <c r="J1021" s="617"/>
      <c r="K1021" s="617"/>
      <c r="L1021" s="617"/>
    </row>
    <row r="1022" spans="1:12" ht="17.100000000000001" customHeight="1">
      <c r="A1022" s="802" t="s">
        <v>12711</v>
      </c>
      <c r="B1022" s="802"/>
      <c r="C1022" s="802"/>
      <c r="D1022" s="802"/>
      <c r="E1022" s="802"/>
      <c r="F1022" s="802"/>
      <c r="G1022" s="802"/>
      <c r="H1022" s="802"/>
      <c r="I1022" s="612"/>
      <c r="J1022" s="612"/>
      <c r="K1022" s="612"/>
      <c r="L1022" s="612"/>
    </row>
    <row r="1023" spans="1:12" ht="24" customHeight="1">
      <c r="A1023" s="612" t="s">
        <v>13679</v>
      </c>
      <c r="B1023" s="636" t="s">
        <v>12698</v>
      </c>
      <c r="C1023" s="612" t="s">
        <v>12699</v>
      </c>
      <c r="D1023" s="612" t="s">
        <v>12700</v>
      </c>
      <c r="E1023" s="637" t="s">
        <v>12702</v>
      </c>
      <c r="F1023" s="801" t="s">
        <v>12704</v>
      </c>
      <c r="G1023" s="801"/>
      <c r="H1023" s="801" t="s">
        <v>13678</v>
      </c>
      <c r="I1023" s="801"/>
      <c r="J1023" s="801" t="s">
        <v>12705</v>
      </c>
      <c r="K1023" s="801"/>
      <c r="L1023" s="801"/>
    </row>
    <row r="1024" spans="1:12" ht="24" customHeight="1">
      <c r="A1024" s="626" t="s">
        <v>12709</v>
      </c>
      <c r="B1024" s="627" t="s">
        <v>13052</v>
      </c>
      <c r="C1024" s="626" t="s">
        <v>8</v>
      </c>
      <c r="D1024" s="626" t="s">
        <v>9229</v>
      </c>
      <c r="E1024" s="628" t="s">
        <v>23</v>
      </c>
      <c r="F1024" s="816" t="s">
        <v>13692</v>
      </c>
      <c r="G1024" s="816"/>
      <c r="H1024" s="816">
        <v>0.13184879999999999</v>
      </c>
      <c r="I1024" s="816"/>
      <c r="J1024" s="817">
        <v>0.12659999999999999</v>
      </c>
      <c r="K1024" s="817"/>
      <c r="L1024" s="817"/>
    </row>
    <row r="1025" spans="1:12" ht="17.100000000000001" customHeight="1">
      <c r="A1025" s="626" t="s">
        <v>12709</v>
      </c>
      <c r="B1025" s="627" t="s">
        <v>13051</v>
      </c>
      <c r="C1025" s="626" t="s">
        <v>8</v>
      </c>
      <c r="D1025" s="626" t="s">
        <v>9376</v>
      </c>
      <c r="E1025" s="628" t="s">
        <v>23</v>
      </c>
      <c r="F1025" s="816" t="s">
        <v>13691</v>
      </c>
      <c r="G1025" s="816"/>
      <c r="H1025" s="816">
        <v>0.13184879999999999</v>
      </c>
      <c r="I1025" s="816"/>
      <c r="J1025" s="817">
        <v>6.59E-2</v>
      </c>
      <c r="K1025" s="817"/>
      <c r="L1025" s="817"/>
    </row>
    <row r="1026" spans="1:12">
      <c r="A1026" s="636"/>
      <c r="B1026" s="636"/>
      <c r="C1026" s="636"/>
      <c r="D1026" s="636"/>
      <c r="E1026" s="636"/>
      <c r="F1026" s="636"/>
      <c r="G1026" s="636"/>
      <c r="H1026" s="636"/>
      <c r="I1026" s="636"/>
      <c r="J1026" s="636" t="s">
        <v>13675</v>
      </c>
      <c r="K1026" s="636"/>
      <c r="L1026" s="636" t="s">
        <v>13865</v>
      </c>
    </row>
    <row r="1027" spans="1:12" ht="17.100000000000001" customHeight="1">
      <c r="A1027" s="802" t="s">
        <v>12710</v>
      </c>
      <c r="B1027" s="802"/>
      <c r="C1027" s="802"/>
      <c r="D1027" s="802"/>
      <c r="E1027" s="802"/>
      <c r="F1027" s="802"/>
      <c r="G1027" s="802"/>
      <c r="H1027" s="802"/>
      <c r="I1027" s="612"/>
      <c r="J1027" s="612"/>
      <c r="K1027" s="612"/>
      <c r="L1027" s="612"/>
    </row>
    <row r="1028" spans="1:12" ht="24" customHeight="1">
      <c r="A1028" s="612" t="s">
        <v>13679</v>
      </c>
      <c r="B1028" s="636" t="s">
        <v>12698</v>
      </c>
      <c r="C1028" s="612" t="s">
        <v>12699</v>
      </c>
      <c r="D1028" s="612" t="s">
        <v>12700</v>
      </c>
      <c r="E1028" s="637" t="s">
        <v>12702</v>
      </c>
      <c r="F1028" s="801" t="s">
        <v>12704</v>
      </c>
      <c r="G1028" s="801"/>
      <c r="H1028" s="801" t="s">
        <v>13678</v>
      </c>
      <c r="I1028" s="801"/>
      <c r="J1028" s="801" t="s">
        <v>12705</v>
      </c>
      <c r="K1028" s="801"/>
      <c r="L1028" s="801"/>
    </row>
    <row r="1029" spans="1:12" ht="36" customHeight="1">
      <c r="A1029" s="626" t="s">
        <v>12709</v>
      </c>
      <c r="B1029" s="627" t="s">
        <v>13230</v>
      </c>
      <c r="C1029" s="626" t="s">
        <v>8</v>
      </c>
      <c r="D1029" s="626" t="s">
        <v>7362</v>
      </c>
      <c r="E1029" s="628" t="s">
        <v>23</v>
      </c>
      <c r="F1029" s="816" t="s">
        <v>14514</v>
      </c>
      <c r="G1029" s="816"/>
      <c r="H1029" s="816">
        <v>3.0772000000000001E-2</v>
      </c>
      <c r="I1029" s="816"/>
      <c r="J1029" s="817">
        <v>0.14799999999999999</v>
      </c>
      <c r="K1029" s="817"/>
      <c r="L1029" s="817"/>
    </row>
    <row r="1030" spans="1:12" ht="24" customHeight="1">
      <c r="A1030" s="626" t="s">
        <v>12709</v>
      </c>
      <c r="B1030" s="627" t="s">
        <v>13224</v>
      </c>
      <c r="C1030" s="626" t="s">
        <v>8</v>
      </c>
      <c r="D1030" s="626" t="s">
        <v>7556</v>
      </c>
      <c r="E1030" s="628" t="s">
        <v>23</v>
      </c>
      <c r="F1030" s="816" t="s">
        <v>14470</v>
      </c>
      <c r="G1030" s="816"/>
      <c r="H1030" s="816">
        <v>0.1014077</v>
      </c>
      <c r="I1030" s="816"/>
      <c r="J1030" s="817">
        <v>0.70069999999999999</v>
      </c>
      <c r="K1030" s="817"/>
      <c r="L1030" s="817"/>
    </row>
    <row r="1031" spans="1:12" ht="17.100000000000001" customHeight="1">
      <c r="A1031" s="636"/>
      <c r="B1031" s="636"/>
      <c r="C1031" s="636"/>
      <c r="D1031" s="636"/>
      <c r="E1031" s="636"/>
      <c r="F1031" s="636"/>
      <c r="G1031" s="636"/>
      <c r="H1031" s="636"/>
      <c r="I1031" s="636"/>
      <c r="J1031" s="636" t="s">
        <v>13675</v>
      </c>
      <c r="K1031" s="636"/>
      <c r="L1031" s="636" t="s">
        <v>13906</v>
      </c>
    </row>
    <row r="1032" spans="1:12">
      <c r="A1032" s="802" t="s">
        <v>12720</v>
      </c>
      <c r="B1032" s="802"/>
      <c r="C1032" s="802"/>
      <c r="D1032" s="802"/>
      <c r="E1032" s="802"/>
      <c r="F1032" s="802"/>
      <c r="G1032" s="802"/>
      <c r="H1032" s="802"/>
      <c r="I1032" s="612"/>
      <c r="J1032" s="612"/>
      <c r="K1032" s="612"/>
      <c r="L1032" s="612"/>
    </row>
    <row r="1033" spans="1:12" ht="17.100000000000001" customHeight="1">
      <c r="A1033" s="612" t="s">
        <v>13679</v>
      </c>
      <c r="B1033" s="636" t="s">
        <v>12698</v>
      </c>
      <c r="C1033" s="612" t="s">
        <v>12699</v>
      </c>
      <c r="D1033" s="612" t="s">
        <v>12700</v>
      </c>
      <c r="E1033" s="637" t="s">
        <v>12702</v>
      </c>
      <c r="F1033" s="801" t="s">
        <v>12704</v>
      </c>
      <c r="G1033" s="801"/>
      <c r="H1033" s="801" t="s">
        <v>13678</v>
      </c>
      <c r="I1033" s="801"/>
      <c r="J1033" s="801" t="s">
        <v>12705</v>
      </c>
      <c r="K1033" s="801"/>
      <c r="L1033" s="801"/>
    </row>
    <row r="1034" spans="1:12" ht="24" customHeight="1">
      <c r="A1034" s="626" t="s">
        <v>12709</v>
      </c>
      <c r="B1034" s="627" t="s">
        <v>13311</v>
      </c>
      <c r="C1034" s="626" t="s">
        <v>8</v>
      </c>
      <c r="D1034" s="626" t="s">
        <v>7522</v>
      </c>
      <c r="E1034" s="628" t="s">
        <v>20</v>
      </c>
      <c r="F1034" s="816" t="s">
        <v>14521</v>
      </c>
      <c r="G1034" s="816"/>
      <c r="H1034" s="816">
        <v>2.5000000000000001E-2</v>
      </c>
      <c r="I1034" s="816"/>
      <c r="J1034" s="817">
        <v>0.34</v>
      </c>
      <c r="K1034" s="817"/>
      <c r="L1034" s="817"/>
    </row>
    <row r="1035" spans="1:12" ht="17.100000000000001" customHeight="1">
      <c r="A1035" s="626" t="s">
        <v>12709</v>
      </c>
      <c r="B1035" s="627" t="s">
        <v>13310</v>
      </c>
      <c r="C1035" s="626" t="s">
        <v>8</v>
      </c>
      <c r="D1035" s="626" t="s">
        <v>9265</v>
      </c>
      <c r="E1035" s="628" t="s">
        <v>35</v>
      </c>
      <c r="F1035" s="816" t="s">
        <v>13875</v>
      </c>
      <c r="G1035" s="816"/>
      <c r="H1035" s="816">
        <v>0.46550000000000002</v>
      </c>
      <c r="I1035" s="816"/>
      <c r="J1035" s="817">
        <v>0.06</v>
      </c>
      <c r="K1035" s="817"/>
      <c r="L1035" s="817"/>
    </row>
    <row r="1036" spans="1:12" ht="25.5">
      <c r="A1036" s="626" t="s">
        <v>12709</v>
      </c>
      <c r="B1036" s="627" t="s">
        <v>13246</v>
      </c>
      <c r="C1036" s="626" t="s">
        <v>8</v>
      </c>
      <c r="D1036" s="626" t="s">
        <v>7260</v>
      </c>
      <c r="E1036" s="628" t="s">
        <v>20</v>
      </c>
      <c r="F1036" s="816" t="s">
        <v>14713</v>
      </c>
      <c r="G1036" s="816"/>
      <c r="H1036" s="816">
        <v>1.1062145999999999</v>
      </c>
      <c r="I1036" s="816"/>
      <c r="J1036" s="817">
        <v>5.6970000000000001</v>
      </c>
      <c r="K1036" s="817"/>
      <c r="L1036" s="817"/>
    </row>
    <row r="1037" spans="1:12" ht="17.100000000000001" customHeight="1">
      <c r="A1037" s="636"/>
      <c r="B1037" s="636"/>
      <c r="C1037" s="636"/>
      <c r="D1037" s="636"/>
      <c r="E1037" s="636"/>
      <c r="F1037" s="636"/>
      <c r="G1037" s="636"/>
      <c r="H1037" s="636"/>
      <c r="I1037" s="636"/>
      <c r="J1037" s="636" t="s">
        <v>13675</v>
      </c>
      <c r="K1037" s="636"/>
      <c r="L1037" s="636" t="s">
        <v>14722</v>
      </c>
    </row>
    <row r="1038" spans="1:12" ht="24" customHeight="1">
      <c r="A1038" s="802" t="s">
        <v>12722</v>
      </c>
      <c r="B1038" s="802"/>
      <c r="C1038" s="802"/>
      <c r="D1038" s="802"/>
      <c r="E1038" s="802"/>
      <c r="F1038" s="802"/>
      <c r="G1038" s="802"/>
      <c r="H1038" s="802"/>
      <c r="I1038" s="612"/>
      <c r="J1038" s="612"/>
      <c r="K1038" s="612"/>
      <c r="L1038" s="612"/>
    </row>
    <row r="1039" spans="1:12" ht="17.100000000000001" customHeight="1">
      <c r="A1039" s="612" t="s">
        <v>13679</v>
      </c>
      <c r="B1039" s="636" t="s">
        <v>12698</v>
      </c>
      <c r="C1039" s="612" t="s">
        <v>12699</v>
      </c>
      <c r="D1039" s="612" t="s">
        <v>12700</v>
      </c>
      <c r="E1039" s="637" t="s">
        <v>12702</v>
      </c>
      <c r="F1039" s="801" t="s">
        <v>12704</v>
      </c>
      <c r="G1039" s="801"/>
      <c r="H1039" s="801" t="s">
        <v>13678</v>
      </c>
      <c r="I1039" s="801"/>
      <c r="J1039" s="801" t="s">
        <v>12705</v>
      </c>
      <c r="K1039" s="801"/>
      <c r="L1039" s="801"/>
    </row>
    <row r="1040" spans="1:12" ht="25.5">
      <c r="A1040" s="626" t="s">
        <v>12709</v>
      </c>
      <c r="B1040" s="627" t="s">
        <v>12998</v>
      </c>
      <c r="C1040" s="626" t="s">
        <v>8</v>
      </c>
      <c r="D1040" s="626" t="s">
        <v>11861</v>
      </c>
      <c r="E1040" s="628" t="s">
        <v>23</v>
      </c>
      <c r="F1040" s="816" t="s">
        <v>13683</v>
      </c>
      <c r="G1040" s="816"/>
      <c r="H1040" s="816">
        <v>0.13184879999999999</v>
      </c>
      <c r="I1040" s="816"/>
      <c r="J1040" s="817">
        <v>9.3600000000000003E-2</v>
      </c>
      <c r="K1040" s="817"/>
      <c r="L1040" s="817"/>
    </row>
    <row r="1041" spans="1:12" ht="17.100000000000001" customHeight="1">
      <c r="A1041" s="636"/>
      <c r="B1041" s="636"/>
      <c r="C1041" s="636"/>
      <c r="D1041" s="636"/>
      <c r="E1041" s="636"/>
      <c r="F1041" s="636"/>
      <c r="G1041" s="636"/>
      <c r="H1041" s="636"/>
      <c r="I1041" s="636"/>
      <c r="J1041" s="636" t="s">
        <v>13675</v>
      </c>
      <c r="K1041" s="636"/>
      <c r="L1041" s="636" t="s">
        <v>13815</v>
      </c>
    </row>
    <row r="1042" spans="1:12" ht="24" customHeight="1">
      <c r="A1042" s="802" t="s">
        <v>12713</v>
      </c>
      <c r="B1042" s="802"/>
      <c r="C1042" s="802"/>
      <c r="D1042" s="802"/>
      <c r="E1042" s="802"/>
      <c r="F1042" s="802"/>
      <c r="G1042" s="802"/>
      <c r="H1042" s="802"/>
      <c r="I1042" s="612"/>
      <c r="J1042" s="612"/>
      <c r="K1042" s="612"/>
      <c r="L1042" s="612"/>
    </row>
    <row r="1043" spans="1:12" ht="24" customHeight="1">
      <c r="A1043" s="612" t="s">
        <v>13679</v>
      </c>
      <c r="B1043" s="636" t="s">
        <v>12698</v>
      </c>
      <c r="C1043" s="612" t="s">
        <v>12699</v>
      </c>
      <c r="D1043" s="612" t="s">
        <v>12700</v>
      </c>
      <c r="E1043" s="637" t="s">
        <v>12702</v>
      </c>
      <c r="F1043" s="801" t="s">
        <v>12704</v>
      </c>
      <c r="G1043" s="801"/>
      <c r="H1043" s="801" t="s">
        <v>13678</v>
      </c>
      <c r="I1043" s="801"/>
      <c r="J1043" s="801" t="s">
        <v>12705</v>
      </c>
      <c r="K1043" s="801"/>
      <c r="L1043" s="801"/>
    </row>
    <row r="1044" spans="1:12" ht="17.100000000000001" customHeight="1">
      <c r="A1044" s="626" t="s">
        <v>12709</v>
      </c>
      <c r="B1044" s="627" t="s">
        <v>12999</v>
      </c>
      <c r="C1044" s="626" t="s">
        <v>8</v>
      </c>
      <c r="D1044" s="626" t="s">
        <v>11251</v>
      </c>
      <c r="E1044" s="628" t="s">
        <v>23</v>
      </c>
      <c r="F1044" s="816" t="s">
        <v>13681</v>
      </c>
      <c r="G1044" s="816"/>
      <c r="H1044" s="816">
        <v>0.13184879999999999</v>
      </c>
      <c r="I1044" s="816"/>
      <c r="J1044" s="817">
        <v>9.1999999999999998E-3</v>
      </c>
      <c r="K1044" s="817"/>
      <c r="L1044" s="817"/>
    </row>
    <row r="1045" spans="1:12" ht="17.100000000000001" customHeight="1">
      <c r="A1045" s="636"/>
      <c r="B1045" s="636"/>
      <c r="C1045" s="636"/>
      <c r="D1045" s="636"/>
      <c r="E1045" s="636"/>
      <c r="F1045" s="636"/>
      <c r="G1045" s="636"/>
      <c r="H1045" s="636"/>
      <c r="I1045" s="636"/>
      <c r="J1045" s="636" t="s">
        <v>13675</v>
      </c>
      <c r="K1045" s="636"/>
      <c r="L1045" s="636" t="s">
        <v>13728</v>
      </c>
    </row>
    <row r="1046" spans="1:12" ht="17.100000000000001" customHeight="1">
      <c r="A1046" s="802" t="s">
        <v>12712</v>
      </c>
      <c r="B1046" s="802"/>
      <c r="C1046" s="802"/>
      <c r="D1046" s="802"/>
      <c r="E1046" s="802"/>
      <c r="F1046" s="802"/>
      <c r="G1046" s="802"/>
      <c r="H1046" s="802"/>
      <c r="I1046" s="612"/>
      <c r="J1046" s="612"/>
      <c r="K1046" s="612"/>
      <c r="L1046" s="612"/>
    </row>
    <row r="1047" spans="1:12" ht="17.100000000000001" customHeight="1">
      <c r="A1047" s="612" t="s">
        <v>13679</v>
      </c>
      <c r="B1047" s="636" t="s">
        <v>12698</v>
      </c>
      <c r="C1047" s="612" t="s">
        <v>12699</v>
      </c>
      <c r="D1047" s="612" t="s">
        <v>12700</v>
      </c>
      <c r="E1047" s="637" t="s">
        <v>12702</v>
      </c>
      <c r="F1047" s="801" t="s">
        <v>12704</v>
      </c>
      <c r="G1047" s="801"/>
      <c r="H1047" s="801" t="s">
        <v>13678</v>
      </c>
      <c r="I1047" s="801"/>
      <c r="J1047" s="801" t="s">
        <v>12705</v>
      </c>
      <c r="K1047" s="801"/>
      <c r="L1047" s="801"/>
    </row>
    <row r="1048" spans="1:12" ht="17.100000000000001" customHeight="1">
      <c r="A1048" s="626" t="s">
        <v>12709</v>
      </c>
      <c r="B1048" s="627" t="s">
        <v>13002</v>
      </c>
      <c r="C1048" s="626" t="s">
        <v>8</v>
      </c>
      <c r="D1048" s="626" t="s">
        <v>9306</v>
      </c>
      <c r="E1048" s="628" t="s">
        <v>23</v>
      </c>
      <c r="F1048" s="816" t="s">
        <v>13677</v>
      </c>
      <c r="G1048" s="816"/>
      <c r="H1048" s="816">
        <v>0.13184879999999999</v>
      </c>
      <c r="I1048" s="816"/>
      <c r="J1048" s="817">
        <v>4.6100000000000002E-2</v>
      </c>
      <c r="K1048" s="817"/>
      <c r="L1048" s="817"/>
    </row>
    <row r="1049" spans="1:12" ht="17.100000000000001" customHeight="1">
      <c r="A1049" s="626" t="s">
        <v>12709</v>
      </c>
      <c r="B1049" s="627" t="s">
        <v>13004</v>
      </c>
      <c r="C1049" s="626" t="s">
        <v>8</v>
      </c>
      <c r="D1049" s="626" t="s">
        <v>7388</v>
      </c>
      <c r="E1049" s="628" t="s">
        <v>23</v>
      </c>
      <c r="F1049" s="816" t="s">
        <v>13676</v>
      </c>
      <c r="G1049" s="816"/>
      <c r="H1049" s="816">
        <v>0.13184879999999999</v>
      </c>
      <c r="I1049" s="816"/>
      <c r="J1049" s="817">
        <v>0.29010000000000002</v>
      </c>
      <c r="K1049" s="817"/>
      <c r="L1049" s="817"/>
    </row>
    <row r="1050" spans="1:12" ht="17.100000000000001" customHeight="1">
      <c r="A1050" s="636"/>
      <c r="B1050" s="636"/>
      <c r="C1050" s="636"/>
      <c r="D1050" s="636"/>
      <c r="E1050" s="636"/>
      <c r="F1050" s="636"/>
      <c r="G1050" s="636"/>
      <c r="H1050" s="636"/>
      <c r="I1050" s="636"/>
      <c r="J1050" s="636" t="s">
        <v>13675</v>
      </c>
      <c r="K1050" s="636"/>
      <c r="L1050" s="636" t="s">
        <v>13740</v>
      </c>
    </row>
    <row r="1051" spans="1:12" ht="30" customHeight="1">
      <c r="A1051" s="612" t="s">
        <v>13673</v>
      </c>
      <c r="B1051" s="612"/>
      <c r="C1051" s="612"/>
      <c r="D1051" s="612"/>
      <c r="E1051" s="612"/>
      <c r="F1051" s="612"/>
      <c r="G1051" s="612"/>
      <c r="H1051" s="612"/>
      <c r="I1051" s="612"/>
      <c r="J1051" s="612"/>
      <c r="K1051" s="612"/>
      <c r="L1051" s="612"/>
    </row>
    <row r="1052" spans="1:12" ht="48" customHeight="1">
      <c r="A1052" s="636"/>
      <c r="B1052" s="636"/>
      <c r="C1052" s="636"/>
      <c r="D1052" s="636"/>
      <c r="E1052" s="636"/>
      <c r="F1052" s="636"/>
      <c r="G1052" s="636"/>
      <c r="H1052" s="636"/>
      <c r="I1052" s="636"/>
      <c r="J1052" s="636" t="s">
        <v>13672</v>
      </c>
      <c r="K1052" s="636"/>
      <c r="L1052" s="636" t="s">
        <v>14997</v>
      </c>
    </row>
    <row r="1053" spans="1:12" ht="14.25" customHeight="1">
      <c r="A1053" s="636"/>
      <c r="B1053" s="636"/>
      <c r="C1053" s="636"/>
      <c r="D1053" s="636"/>
      <c r="E1053" s="636"/>
      <c r="F1053" s="636"/>
      <c r="G1053" s="636"/>
      <c r="H1053" s="636"/>
      <c r="I1053" s="636"/>
      <c r="J1053" s="636" t="s">
        <v>13671</v>
      </c>
      <c r="K1053" s="636" t="s">
        <v>14461</v>
      </c>
      <c r="L1053" s="636" t="s">
        <v>14998</v>
      </c>
    </row>
    <row r="1054" spans="1:12" ht="17.100000000000001" customHeight="1">
      <c r="A1054" s="636"/>
      <c r="B1054" s="636"/>
      <c r="C1054" s="636"/>
      <c r="D1054" s="636"/>
      <c r="E1054" s="636"/>
      <c r="F1054" s="636"/>
      <c r="G1054" s="636"/>
      <c r="H1054" s="636"/>
      <c r="I1054" s="636"/>
      <c r="J1054" s="636" t="s">
        <v>13670</v>
      </c>
      <c r="K1054" s="636"/>
      <c r="L1054" s="636" t="s">
        <v>14999</v>
      </c>
    </row>
    <row r="1055" spans="1:12" ht="24" customHeight="1">
      <c r="A1055" s="636"/>
      <c r="B1055" s="636"/>
      <c r="C1055" s="636"/>
      <c r="D1055" s="636"/>
      <c r="E1055" s="636"/>
      <c r="F1055" s="636"/>
      <c r="G1055" s="636"/>
      <c r="H1055" s="636"/>
      <c r="I1055" s="636"/>
      <c r="J1055" s="636" t="s">
        <v>13669</v>
      </c>
      <c r="K1055" s="636" t="s">
        <v>13667</v>
      </c>
      <c r="L1055" s="636" t="s">
        <v>15000</v>
      </c>
    </row>
    <row r="1056" spans="1:12" ht="24" customHeight="1">
      <c r="A1056" s="636"/>
      <c r="B1056" s="636"/>
      <c r="C1056" s="636"/>
      <c r="D1056" s="636"/>
      <c r="E1056" s="636"/>
      <c r="F1056" s="636"/>
      <c r="G1056" s="636"/>
      <c r="H1056" s="636"/>
      <c r="I1056" s="636"/>
      <c r="J1056" s="636" t="s">
        <v>13668</v>
      </c>
      <c r="K1056" s="636"/>
      <c r="L1056" s="636" t="s">
        <v>15001</v>
      </c>
    </row>
    <row r="1057" spans="1:12" ht="17.100000000000001" customHeight="1">
      <c r="A1057" s="637"/>
      <c r="B1057" s="637"/>
      <c r="C1057" s="637"/>
      <c r="D1057" s="637"/>
      <c r="E1057" s="637"/>
      <c r="F1057" s="637"/>
      <c r="G1057" s="637"/>
      <c r="H1057" s="637"/>
      <c r="I1057" s="637"/>
      <c r="J1057" s="637"/>
      <c r="K1057" s="637"/>
      <c r="L1057" s="637"/>
    </row>
    <row r="1058" spans="1:12" ht="14.25" customHeight="1">
      <c r="A1058" s="616" t="s">
        <v>14243</v>
      </c>
      <c r="B1058" s="617" t="s">
        <v>13631</v>
      </c>
      <c r="C1058" s="616" t="s">
        <v>8</v>
      </c>
      <c r="D1058" s="616" t="s">
        <v>4013</v>
      </c>
      <c r="E1058" s="618" t="s">
        <v>20</v>
      </c>
      <c r="F1058" s="617"/>
      <c r="G1058" s="617"/>
      <c r="H1058" s="617"/>
      <c r="I1058" s="617"/>
      <c r="J1058" s="617"/>
      <c r="K1058" s="617"/>
      <c r="L1058" s="617"/>
    </row>
    <row r="1059" spans="1:12" ht="17.100000000000001" customHeight="1">
      <c r="A1059" s="802" t="s">
        <v>12711</v>
      </c>
      <c r="B1059" s="802"/>
      <c r="C1059" s="802"/>
      <c r="D1059" s="802"/>
      <c r="E1059" s="802"/>
      <c r="F1059" s="802"/>
      <c r="G1059" s="802"/>
      <c r="H1059" s="802"/>
      <c r="I1059" s="612"/>
      <c r="J1059" s="612"/>
      <c r="K1059" s="612"/>
      <c r="L1059" s="612"/>
    </row>
    <row r="1060" spans="1:12" ht="24" customHeight="1">
      <c r="A1060" s="612" t="s">
        <v>13679</v>
      </c>
      <c r="B1060" s="636" t="s">
        <v>12698</v>
      </c>
      <c r="C1060" s="612" t="s">
        <v>12699</v>
      </c>
      <c r="D1060" s="612" t="s">
        <v>12700</v>
      </c>
      <c r="E1060" s="637" t="s">
        <v>12702</v>
      </c>
      <c r="F1060" s="801" t="s">
        <v>12704</v>
      </c>
      <c r="G1060" s="801"/>
      <c r="H1060" s="801" t="s">
        <v>13678</v>
      </c>
      <c r="I1060" s="801"/>
      <c r="J1060" s="801" t="s">
        <v>12705</v>
      </c>
      <c r="K1060" s="801"/>
      <c r="L1060" s="801"/>
    </row>
    <row r="1061" spans="1:12" ht="24" customHeight="1">
      <c r="A1061" s="626" t="s">
        <v>12709</v>
      </c>
      <c r="B1061" s="627" t="s">
        <v>13052</v>
      </c>
      <c r="C1061" s="626" t="s">
        <v>8</v>
      </c>
      <c r="D1061" s="626" t="s">
        <v>9229</v>
      </c>
      <c r="E1061" s="628" t="s">
        <v>23</v>
      </c>
      <c r="F1061" s="816" t="s">
        <v>13692</v>
      </c>
      <c r="G1061" s="816"/>
      <c r="H1061" s="816">
        <v>9.7639100000000006E-2</v>
      </c>
      <c r="I1061" s="816"/>
      <c r="J1061" s="817">
        <v>9.3700000000000006E-2</v>
      </c>
      <c r="K1061" s="817"/>
      <c r="L1061" s="817"/>
    </row>
    <row r="1062" spans="1:12" ht="17.100000000000001" customHeight="1">
      <c r="A1062" s="626" t="s">
        <v>12709</v>
      </c>
      <c r="B1062" s="627" t="s">
        <v>13051</v>
      </c>
      <c r="C1062" s="626" t="s">
        <v>8</v>
      </c>
      <c r="D1062" s="626" t="s">
        <v>9376</v>
      </c>
      <c r="E1062" s="628" t="s">
        <v>23</v>
      </c>
      <c r="F1062" s="816" t="s">
        <v>13691</v>
      </c>
      <c r="G1062" s="816"/>
      <c r="H1062" s="816">
        <v>9.7639100000000006E-2</v>
      </c>
      <c r="I1062" s="816"/>
      <c r="J1062" s="817">
        <v>4.8800000000000003E-2</v>
      </c>
      <c r="K1062" s="817"/>
      <c r="L1062" s="817"/>
    </row>
    <row r="1063" spans="1:12">
      <c r="A1063" s="636"/>
      <c r="B1063" s="636"/>
      <c r="C1063" s="636"/>
      <c r="D1063" s="636"/>
      <c r="E1063" s="636"/>
      <c r="F1063" s="636"/>
      <c r="G1063" s="636"/>
      <c r="H1063" s="636"/>
      <c r="I1063" s="636"/>
      <c r="J1063" s="636" t="s">
        <v>13675</v>
      </c>
      <c r="K1063" s="636"/>
      <c r="L1063" s="636" t="s">
        <v>13880</v>
      </c>
    </row>
    <row r="1064" spans="1:12" ht="17.100000000000001" customHeight="1">
      <c r="A1064" s="802" t="s">
        <v>12710</v>
      </c>
      <c r="B1064" s="802"/>
      <c r="C1064" s="802"/>
      <c r="D1064" s="802"/>
      <c r="E1064" s="802"/>
      <c r="F1064" s="802"/>
      <c r="G1064" s="802"/>
      <c r="H1064" s="802"/>
      <c r="I1064" s="612"/>
      <c r="J1064" s="612"/>
      <c r="K1064" s="612"/>
      <c r="L1064" s="612"/>
    </row>
    <row r="1065" spans="1:12" ht="24" customHeight="1">
      <c r="A1065" s="612" t="s">
        <v>13679</v>
      </c>
      <c r="B1065" s="636" t="s">
        <v>12698</v>
      </c>
      <c r="C1065" s="612" t="s">
        <v>12699</v>
      </c>
      <c r="D1065" s="612" t="s">
        <v>12700</v>
      </c>
      <c r="E1065" s="637" t="s">
        <v>12702</v>
      </c>
      <c r="F1065" s="801" t="s">
        <v>12704</v>
      </c>
      <c r="G1065" s="801"/>
      <c r="H1065" s="801" t="s">
        <v>13678</v>
      </c>
      <c r="I1065" s="801"/>
      <c r="J1065" s="801" t="s">
        <v>12705</v>
      </c>
      <c r="K1065" s="801"/>
      <c r="L1065" s="801"/>
    </row>
    <row r="1066" spans="1:12" ht="36" customHeight="1">
      <c r="A1066" s="626" t="s">
        <v>12709</v>
      </c>
      <c r="B1066" s="627" t="s">
        <v>13230</v>
      </c>
      <c r="C1066" s="626" t="s">
        <v>8</v>
      </c>
      <c r="D1066" s="626" t="s">
        <v>7362</v>
      </c>
      <c r="E1066" s="628" t="s">
        <v>23</v>
      </c>
      <c r="F1066" s="816" t="s">
        <v>14514</v>
      </c>
      <c r="G1066" s="816"/>
      <c r="H1066" s="816">
        <v>2.2737E-2</v>
      </c>
      <c r="I1066" s="816"/>
      <c r="J1066" s="817">
        <v>0.1094</v>
      </c>
      <c r="K1066" s="817"/>
      <c r="L1066" s="817"/>
    </row>
    <row r="1067" spans="1:12" ht="24" customHeight="1">
      <c r="A1067" s="626" t="s">
        <v>12709</v>
      </c>
      <c r="B1067" s="627" t="s">
        <v>13224</v>
      </c>
      <c r="C1067" s="626" t="s">
        <v>8</v>
      </c>
      <c r="D1067" s="626" t="s">
        <v>7556</v>
      </c>
      <c r="E1067" s="628" t="s">
        <v>23</v>
      </c>
      <c r="F1067" s="816" t="s">
        <v>14470</v>
      </c>
      <c r="G1067" s="816"/>
      <c r="H1067" s="816">
        <v>7.4142399999999997E-2</v>
      </c>
      <c r="I1067" s="816"/>
      <c r="J1067" s="817">
        <v>0.51229999999999998</v>
      </c>
      <c r="K1067" s="817"/>
      <c r="L1067" s="817"/>
    </row>
    <row r="1068" spans="1:12" ht="17.100000000000001" customHeight="1">
      <c r="A1068" s="636"/>
      <c r="B1068" s="636"/>
      <c r="C1068" s="636"/>
      <c r="D1068" s="636"/>
      <c r="E1068" s="636"/>
      <c r="F1068" s="636"/>
      <c r="G1068" s="636"/>
      <c r="H1068" s="636"/>
      <c r="I1068" s="636"/>
      <c r="J1068" s="636" t="s">
        <v>13675</v>
      </c>
      <c r="K1068" s="636"/>
      <c r="L1068" s="636" t="s">
        <v>13729</v>
      </c>
    </row>
    <row r="1069" spans="1:12">
      <c r="A1069" s="802" t="s">
        <v>12720</v>
      </c>
      <c r="B1069" s="802"/>
      <c r="C1069" s="802"/>
      <c r="D1069" s="802"/>
      <c r="E1069" s="802"/>
      <c r="F1069" s="802"/>
      <c r="G1069" s="802"/>
      <c r="H1069" s="802"/>
      <c r="I1069" s="612"/>
      <c r="J1069" s="612"/>
      <c r="K1069" s="612"/>
      <c r="L1069" s="612"/>
    </row>
    <row r="1070" spans="1:12" ht="17.100000000000001" customHeight="1">
      <c r="A1070" s="612" t="s">
        <v>13679</v>
      </c>
      <c r="B1070" s="636" t="s">
        <v>12698</v>
      </c>
      <c r="C1070" s="612" t="s">
        <v>12699</v>
      </c>
      <c r="D1070" s="612" t="s">
        <v>12700</v>
      </c>
      <c r="E1070" s="637" t="s">
        <v>12702</v>
      </c>
      <c r="F1070" s="801" t="s">
        <v>12704</v>
      </c>
      <c r="G1070" s="801"/>
      <c r="H1070" s="801" t="s">
        <v>13678</v>
      </c>
      <c r="I1070" s="801"/>
      <c r="J1070" s="801" t="s">
        <v>12705</v>
      </c>
      <c r="K1070" s="801"/>
      <c r="L1070" s="801"/>
    </row>
    <row r="1071" spans="1:12" ht="24" customHeight="1">
      <c r="A1071" s="626" t="s">
        <v>12709</v>
      </c>
      <c r="B1071" s="627" t="s">
        <v>13311</v>
      </c>
      <c r="C1071" s="626" t="s">
        <v>8</v>
      </c>
      <c r="D1071" s="626" t="s">
        <v>7522</v>
      </c>
      <c r="E1071" s="628" t="s">
        <v>20</v>
      </c>
      <c r="F1071" s="816" t="s">
        <v>14521</v>
      </c>
      <c r="G1071" s="816"/>
      <c r="H1071" s="816">
        <v>2.5000000000000001E-2</v>
      </c>
      <c r="I1071" s="816"/>
      <c r="J1071" s="817">
        <v>0.34</v>
      </c>
      <c r="K1071" s="817"/>
      <c r="L1071" s="817"/>
    </row>
    <row r="1072" spans="1:12" ht="17.100000000000001" customHeight="1">
      <c r="A1072" s="626" t="s">
        <v>12709</v>
      </c>
      <c r="B1072" s="627" t="s">
        <v>13310</v>
      </c>
      <c r="C1072" s="626" t="s">
        <v>8</v>
      </c>
      <c r="D1072" s="626" t="s">
        <v>9265</v>
      </c>
      <c r="E1072" s="628" t="s">
        <v>35</v>
      </c>
      <c r="F1072" s="816" t="s">
        <v>13875</v>
      </c>
      <c r="G1072" s="816"/>
      <c r="H1072" s="816">
        <v>0.30599999999999999</v>
      </c>
      <c r="I1072" s="816"/>
      <c r="J1072" s="817">
        <v>0.03</v>
      </c>
      <c r="K1072" s="817"/>
      <c r="L1072" s="817"/>
    </row>
    <row r="1073" spans="1:12" ht="25.5">
      <c r="A1073" s="626" t="s">
        <v>12709</v>
      </c>
      <c r="B1073" s="627" t="s">
        <v>13244</v>
      </c>
      <c r="C1073" s="626" t="s">
        <v>8</v>
      </c>
      <c r="D1073" s="626" t="s">
        <v>7261</v>
      </c>
      <c r="E1073" s="628" t="s">
        <v>20</v>
      </c>
      <c r="F1073" s="816" t="s">
        <v>14776</v>
      </c>
      <c r="G1073" s="816"/>
      <c r="H1073" s="816">
        <v>1.1059125999999999</v>
      </c>
      <c r="I1073" s="816"/>
      <c r="J1073" s="817">
        <v>4.9324000000000003</v>
      </c>
      <c r="K1073" s="817"/>
      <c r="L1073" s="817"/>
    </row>
    <row r="1074" spans="1:12" ht="17.100000000000001" customHeight="1">
      <c r="A1074" s="636"/>
      <c r="B1074" s="636"/>
      <c r="C1074" s="636"/>
      <c r="D1074" s="636"/>
      <c r="E1074" s="636"/>
      <c r="F1074" s="636"/>
      <c r="G1074" s="636"/>
      <c r="H1074" s="636"/>
      <c r="I1074" s="636"/>
      <c r="J1074" s="636" t="s">
        <v>13675</v>
      </c>
      <c r="K1074" s="636"/>
      <c r="L1074" s="636" t="s">
        <v>14777</v>
      </c>
    </row>
    <row r="1075" spans="1:12" ht="24" customHeight="1">
      <c r="A1075" s="802" t="s">
        <v>12722</v>
      </c>
      <c r="B1075" s="802"/>
      <c r="C1075" s="802"/>
      <c r="D1075" s="802"/>
      <c r="E1075" s="802"/>
      <c r="F1075" s="802"/>
      <c r="G1075" s="802"/>
      <c r="H1075" s="802"/>
      <c r="I1075" s="612"/>
      <c r="J1075" s="612"/>
      <c r="K1075" s="612"/>
      <c r="L1075" s="612"/>
    </row>
    <row r="1076" spans="1:12" ht="17.100000000000001" customHeight="1">
      <c r="A1076" s="612" t="s">
        <v>13679</v>
      </c>
      <c r="B1076" s="636" t="s">
        <v>12698</v>
      </c>
      <c r="C1076" s="612" t="s">
        <v>12699</v>
      </c>
      <c r="D1076" s="612" t="s">
        <v>12700</v>
      </c>
      <c r="E1076" s="637" t="s">
        <v>12702</v>
      </c>
      <c r="F1076" s="801" t="s">
        <v>12704</v>
      </c>
      <c r="G1076" s="801"/>
      <c r="H1076" s="801" t="s">
        <v>13678</v>
      </c>
      <c r="I1076" s="801"/>
      <c r="J1076" s="801" t="s">
        <v>12705</v>
      </c>
      <c r="K1076" s="801"/>
      <c r="L1076" s="801"/>
    </row>
    <row r="1077" spans="1:12" ht="25.5">
      <c r="A1077" s="626" t="s">
        <v>12709</v>
      </c>
      <c r="B1077" s="627" t="s">
        <v>12998</v>
      </c>
      <c r="C1077" s="626" t="s">
        <v>8</v>
      </c>
      <c r="D1077" s="626" t="s">
        <v>11861</v>
      </c>
      <c r="E1077" s="628" t="s">
        <v>23</v>
      </c>
      <c r="F1077" s="816" t="s">
        <v>13683</v>
      </c>
      <c r="G1077" s="816"/>
      <c r="H1077" s="816">
        <v>9.7639100000000006E-2</v>
      </c>
      <c r="I1077" s="816"/>
      <c r="J1077" s="817">
        <v>6.93E-2</v>
      </c>
      <c r="K1077" s="817"/>
      <c r="L1077" s="817"/>
    </row>
    <row r="1078" spans="1:12" ht="17.100000000000001" customHeight="1">
      <c r="A1078" s="636"/>
      <c r="B1078" s="636"/>
      <c r="C1078" s="636"/>
      <c r="D1078" s="636"/>
      <c r="E1078" s="636"/>
      <c r="F1078" s="636"/>
      <c r="G1078" s="636"/>
      <c r="H1078" s="636"/>
      <c r="I1078" s="636"/>
      <c r="J1078" s="636" t="s">
        <v>13675</v>
      </c>
      <c r="K1078" s="636"/>
      <c r="L1078" s="636" t="s">
        <v>13681</v>
      </c>
    </row>
    <row r="1079" spans="1:12" ht="24" customHeight="1">
      <c r="A1079" s="802" t="s">
        <v>12713</v>
      </c>
      <c r="B1079" s="802"/>
      <c r="C1079" s="802"/>
      <c r="D1079" s="802"/>
      <c r="E1079" s="802"/>
      <c r="F1079" s="802"/>
      <c r="G1079" s="802"/>
      <c r="H1079" s="802"/>
      <c r="I1079" s="612"/>
      <c r="J1079" s="612"/>
      <c r="K1079" s="612"/>
      <c r="L1079" s="612"/>
    </row>
    <row r="1080" spans="1:12" ht="24" customHeight="1">
      <c r="A1080" s="612" t="s">
        <v>13679</v>
      </c>
      <c r="B1080" s="636" t="s">
        <v>12698</v>
      </c>
      <c r="C1080" s="612" t="s">
        <v>12699</v>
      </c>
      <c r="D1080" s="612" t="s">
        <v>12700</v>
      </c>
      <c r="E1080" s="637" t="s">
        <v>12702</v>
      </c>
      <c r="F1080" s="801" t="s">
        <v>12704</v>
      </c>
      <c r="G1080" s="801"/>
      <c r="H1080" s="801" t="s">
        <v>13678</v>
      </c>
      <c r="I1080" s="801"/>
      <c r="J1080" s="801" t="s">
        <v>12705</v>
      </c>
      <c r="K1080" s="801"/>
      <c r="L1080" s="801"/>
    </row>
    <row r="1081" spans="1:12" ht="17.100000000000001" customHeight="1">
      <c r="A1081" s="626" t="s">
        <v>12709</v>
      </c>
      <c r="B1081" s="627" t="s">
        <v>12999</v>
      </c>
      <c r="C1081" s="626" t="s">
        <v>8</v>
      </c>
      <c r="D1081" s="626" t="s">
        <v>11251</v>
      </c>
      <c r="E1081" s="628" t="s">
        <v>23</v>
      </c>
      <c r="F1081" s="816" t="s">
        <v>13681</v>
      </c>
      <c r="G1081" s="816"/>
      <c r="H1081" s="816">
        <v>9.7639100000000006E-2</v>
      </c>
      <c r="I1081" s="816"/>
      <c r="J1081" s="817">
        <v>6.7999999999999996E-3</v>
      </c>
      <c r="K1081" s="817"/>
      <c r="L1081" s="817"/>
    </row>
    <row r="1082" spans="1:12" ht="17.100000000000001" customHeight="1">
      <c r="A1082" s="636"/>
      <c r="B1082" s="636"/>
      <c r="C1082" s="636"/>
      <c r="D1082" s="636"/>
      <c r="E1082" s="636"/>
      <c r="F1082" s="636"/>
      <c r="G1082" s="636"/>
      <c r="H1082" s="636"/>
      <c r="I1082" s="636"/>
      <c r="J1082" s="636" t="s">
        <v>13675</v>
      </c>
      <c r="K1082" s="636"/>
      <c r="L1082" s="636" t="s">
        <v>13728</v>
      </c>
    </row>
    <row r="1083" spans="1:12" ht="17.100000000000001" customHeight="1">
      <c r="A1083" s="802" t="s">
        <v>12712</v>
      </c>
      <c r="B1083" s="802"/>
      <c r="C1083" s="802"/>
      <c r="D1083" s="802"/>
      <c r="E1083" s="802"/>
      <c r="F1083" s="802"/>
      <c r="G1083" s="802"/>
      <c r="H1083" s="802"/>
      <c r="I1083" s="612"/>
      <c r="J1083" s="612"/>
      <c r="K1083" s="612"/>
      <c r="L1083" s="612"/>
    </row>
    <row r="1084" spans="1:12" ht="17.100000000000001" customHeight="1">
      <c r="A1084" s="612" t="s">
        <v>13679</v>
      </c>
      <c r="B1084" s="636" t="s">
        <v>12698</v>
      </c>
      <c r="C1084" s="612" t="s">
        <v>12699</v>
      </c>
      <c r="D1084" s="612" t="s">
        <v>12700</v>
      </c>
      <c r="E1084" s="637" t="s">
        <v>12702</v>
      </c>
      <c r="F1084" s="801" t="s">
        <v>12704</v>
      </c>
      <c r="G1084" s="801"/>
      <c r="H1084" s="801" t="s">
        <v>13678</v>
      </c>
      <c r="I1084" s="801"/>
      <c r="J1084" s="801" t="s">
        <v>12705</v>
      </c>
      <c r="K1084" s="801"/>
      <c r="L1084" s="801"/>
    </row>
    <row r="1085" spans="1:12" ht="17.100000000000001" customHeight="1">
      <c r="A1085" s="626" t="s">
        <v>12709</v>
      </c>
      <c r="B1085" s="627" t="s">
        <v>13002</v>
      </c>
      <c r="C1085" s="626" t="s">
        <v>8</v>
      </c>
      <c r="D1085" s="626" t="s">
        <v>9306</v>
      </c>
      <c r="E1085" s="628" t="s">
        <v>23</v>
      </c>
      <c r="F1085" s="816" t="s">
        <v>13677</v>
      </c>
      <c r="G1085" s="816"/>
      <c r="H1085" s="816">
        <v>9.7639100000000006E-2</v>
      </c>
      <c r="I1085" s="816"/>
      <c r="J1085" s="817">
        <v>3.4200000000000001E-2</v>
      </c>
      <c r="K1085" s="817"/>
      <c r="L1085" s="817"/>
    </row>
    <row r="1086" spans="1:12" ht="17.100000000000001" customHeight="1">
      <c r="A1086" s="626" t="s">
        <v>12709</v>
      </c>
      <c r="B1086" s="627" t="s">
        <v>13004</v>
      </c>
      <c r="C1086" s="626" t="s">
        <v>8</v>
      </c>
      <c r="D1086" s="626" t="s">
        <v>7388</v>
      </c>
      <c r="E1086" s="628" t="s">
        <v>23</v>
      </c>
      <c r="F1086" s="816" t="s">
        <v>13676</v>
      </c>
      <c r="G1086" s="816"/>
      <c r="H1086" s="816">
        <v>9.7639100000000006E-2</v>
      </c>
      <c r="I1086" s="816"/>
      <c r="J1086" s="817">
        <v>0.21479999999999999</v>
      </c>
      <c r="K1086" s="817"/>
      <c r="L1086" s="817"/>
    </row>
    <row r="1087" spans="1:12" ht="17.100000000000001" customHeight="1">
      <c r="A1087" s="636"/>
      <c r="B1087" s="636"/>
      <c r="C1087" s="636"/>
      <c r="D1087" s="636"/>
      <c r="E1087" s="636"/>
      <c r="F1087" s="636"/>
      <c r="G1087" s="636"/>
      <c r="H1087" s="636"/>
      <c r="I1087" s="636"/>
      <c r="J1087" s="636" t="s">
        <v>13675</v>
      </c>
      <c r="K1087" s="636"/>
      <c r="L1087" s="636" t="s">
        <v>13915</v>
      </c>
    </row>
    <row r="1088" spans="1:12" ht="30" customHeight="1">
      <c r="A1088" s="612" t="s">
        <v>13673</v>
      </c>
      <c r="B1088" s="612"/>
      <c r="C1088" s="612"/>
      <c r="D1088" s="612"/>
      <c r="E1088" s="612"/>
      <c r="F1088" s="612"/>
      <c r="G1088" s="612"/>
      <c r="H1088" s="612"/>
      <c r="I1088" s="612"/>
      <c r="J1088" s="612"/>
      <c r="K1088" s="612"/>
      <c r="L1088" s="612"/>
    </row>
    <row r="1089" spans="1:12" ht="48" customHeight="1">
      <c r="A1089" s="636"/>
      <c r="B1089" s="636"/>
      <c r="C1089" s="636"/>
      <c r="D1089" s="636"/>
      <c r="E1089" s="636"/>
      <c r="F1089" s="636"/>
      <c r="G1089" s="636"/>
      <c r="H1089" s="636"/>
      <c r="I1089" s="636"/>
      <c r="J1089" s="636" t="s">
        <v>13672</v>
      </c>
      <c r="K1089" s="636"/>
      <c r="L1089" s="636" t="s">
        <v>15002</v>
      </c>
    </row>
    <row r="1090" spans="1:12" ht="14.25" customHeight="1">
      <c r="A1090" s="636"/>
      <c r="B1090" s="636"/>
      <c r="C1090" s="636"/>
      <c r="D1090" s="636"/>
      <c r="E1090" s="636"/>
      <c r="F1090" s="636"/>
      <c r="G1090" s="636"/>
      <c r="H1090" s="636"/>
      <c r="I1090" s="636"/>
      <c r="J1090" s="636" t="s">
        <v>13671</v>
      </c>
      <c r="K1090" s="636" t="s">
        <v>14461</v>
      </c>
      <c r="L1090" s="636" t="s">
        <v>15003</v>
      </c>
    </row>
    <row r="1091" spans="1:12" ht="17.100000000000001" customHeight="1">
      <c r="A1091" s="636"/>
      <c r="B1091" s="636"/>
      <c r="C1091" s="636"/>
      <c r="D1091" s="636"/>
      <c r="E1091" s="636"/>
      <c r="F1091" s="636"/>
      <c r="G1091" s="636"/>
      <c r="H1091" s="636"/>
      <c r="I1091" s="636"/>
      <c r="J1091" s="636" t="s">
        <v>13670</v>
      </c>
      <c r="K1091" s="636"/>
      <c r="L1091" s="636" t="s">
        <v>15004</v>
      </c>
    </row>
    <row r="1092" spans="1:12" ht="24" customHeight="1">
      <c r="A1092" s="636"/>
      <c r="B1092" s="636"/>
      <c r="C1092" s="636"/>
      <c r="D1092" s="636"/>
      <c r="E1092" s="636"/>
      <c r="F1092" s="636"/>
      <c r="G1092" s="636"/>
      <c r="H1092" s="636"/>
      <c r="I1092" s="636"/>
      <c r="J1092" s="636" t="s">
        <v>13669</v>
      </c>
      <c r="K1092" s="636" t="s">
        <v>13667</v>
      </c>
      <c r="L1092" s="636" t="s">
        <v>15005</v>
      </c>
    </row>
    <row r="1093" spans="1:12" ht="24" customHeight="1">
      <c r="A1093" s="636"/>
      <c r="B1093" s="636"/>
      <c r="C1093" s="636"/>
      <c r="D1093" s="636"/>
      <c r="E1093" s="636"/>
      <c r="F1093" s="636"/>
      <c r="G1093" s="636"/>
      <c r="H1093" s="636"/>
      <c r="I1093" s="636"/>
      <c r="J1093" s="636" t="s">
        <v>13668</v>
      </c>
      <c r="K1093" s="636"/>
      <c r="L1093" s="636" t="s">
        <v>14952</v>
      </c>
    </row>
    <row r="1094" spans="1:12" ht="17.100000000000001" customHeight="1">
      <c r="A1094" s="637"/>
      <c r="B1094" s="637"/>
      <c r="C1094" s="637"/>
      <c r="D1094" s="637"/>
      <c r="E1094" s="637"/>
      <c r="F1094" s="637"/>
      <c r="G1094" s="637"/>
      <c r="H1094" s="637"/>
      <c r="I1094" s="637"/>
      <c r="J1094" s="637"/>
      <c r="K1094" s="637"/>
      <c r="L1094" s="637"/>
    </row>
    <row r="1095" spans="1:12" ht="14.25" customHeight="1">
      <c r="A1095" s="616" t="s">
        <v>14242</v>
      </c>
      <c r="B1095" s="617" t="s">
        <v>13630</v>
      </c>
      <c r="C1095" s="616" t="s">
        <v>8</v>
      </c>
      <c r="D1095" s="616" t="s">
        <v>2964</v>
      </c>
      <c r="E1095" s="618" t="s">
        <v>20</v>
      </c>
      <c r="F1095" s="617"/>
      <c r="G1095" s="617"/>
      <c r="H1095" s="617"/>
      <c r="I1095" s="617"/>
      <c r="J1095" s="617"/>
      <c r="K1095" s="617"/>
      <c r="L1095" s="617"/>
    </row>
    <row r="1096" spans="1:12" ht="17.100000000000001" customHeight="1">
      <c r="A1096" s="802" t="s">
        <v>12711</v>
      </c>
      <c r="B1096" s="802"/>
      <c r="C1096" s="802"/>
      <c r="D1096" s="802"/>
      <c r="E1096" s="802"/>
      <c r="F1096" s="802"/>
      <c r="G1096" s="802"/>
      <c r="H1096" s="802"/>
      <c r="I1096" s="612"/>
      <c r="J1096" s="612"/>
      <c r="K1096" s="612"/>
      <c r="L1096" s="612"/>
    </row>
    <row r="1097" spans="1:12" ht="24" customHeight="1">
      <c r="A1097" s="612" t="s">
        <v>13679</v>
      </c>
      <c r="B1097" s="636" t="s">
        <v>12698</v>
      </c>
      <c r="C1097" s="612" t="s">
        <v>12699</v>
      </c>
      <c r="D1097" s="612" t="s">
        <v>12700</v>
      </c>
      <c r="E1097" s="637" t="s">
        <v>12702</v>
      </c>
      <c r="F1097" s="801" t="s">
        <v>12704</v>
      </c>
      <c r="G1097" s="801"/>
      <c r="H1097" s="801" t="s">
        <v>13678</v>
      </c>
      <c r="I1097" s="801"/>
      <c r="J1097" s="801" t="s">
        <v>12705</v>
      </c>
      <c r="K1097" s="801"/>
      <c r="L1097" s="801"/>
    </row>
    <row r="1098" spans="1:12" ht="24" customHeight="1">
      <c r="A1098" s="626" t="s">
        <v>12709</v>
      </c>
      <c r="B1098" s="627" t="s">
        <v>13052</v>
      </c>
      <c r="C1098" s="626" t="s">
        <v>8</v>
      </c>
      <c r="D1098" s="626" t="s">
        <v>9229</v>
      </c>
      <c r="E1098" s="628" t="s">
        <v>23</v>
      </c>
      <c r="F1098" s="816" t="s">
        <v>13692</v>
      </c>
      <c r="G1098" s="816"/>
      <c r="H1098" s="816">
        <v>0.12520290000000001</v>
      </c>
      <c r="I1098" s="816"/>
      <c r="J1098" s="817">
        <v>0.1202</v>
      </c>
      <c r="K1098" s="817"/>
      <c r="L1098" s="817"/>
    </row>
    <row r="1099" spans="1:12" ht="17.100000000000001" customHeight="1">
      <c r="A1099" s="626" t="s">
        <v>12709</v>
      </c>
      <c r="B1099" s="627" t="s">
        <v>13051</v>
      </c>
      <c r="C1099" s="626" t="s">
        <v>8</v>
      </c>
      <c r="D1099" s="626" t="s">
        <v>9376</v>
      </c>
      <c r="E1099" s="628" t="s">
        <v>23</v>
      </c>
      <c r="F1099" s="816" t="s">
        <v>13691</v>
      </c>
      <c r="G1099" s="816"/>
      <c r="H1099" s="816">
        <v>0.12520290000000001</v>
      </c>
      <c r="I1099" s="816"/>
      <c r="J1099" s="817">
        <v>6.2600000000000003E-2</v>
      </c>
      <c r="K1099" s="817"/>
      <c r="L1099" s="817"/>
    </row>
    <row r="1100" spans="1:12">
      <c r="A1100" s="636"/>
      <c r="B1100" s="636"/>
      <c r="C1100" s="636"/>
      <c r="D1100" s="636"/>
      <c r="E1100" s="636"/>
      <c r="F1100" s="636"/>
      <c r="G1100" s="636"/>
      <c r="H1100" s="636"/>
      <c r="I1100" s="636"/>
      <c r="J1100" s="636" t="s">
        <v>13675</v>
      </c>
      <c r="K1100" s="636"/>
      <c r="L1100" s="636" t="s">
        <v>13682</v>
      </c>
    </row>
    <row r="1101" spans="1:12" ht="17.100000000000001" customHeight="1">
      <c r="A1101" s="802" t="s">
        <v>12710</v>
      </c>
      <c r="B1101" s="802"/>
      <c r="C1101" s="802"/>
      <c r="D1101" s="802"/>
      <c r="E1101" s="802"/>
      <c r="F1101" s="802"/>
      <c r="G1101" s="802"/>
      <c r="H1101" s="802"/>
      <c r="I1101" s="612"/>
      <c r="J1101" s="612"/>
      <c r="K1101" s="612"/>
      <c r="L1101" s="612"/>
    </row>
    <row r="1102" spans="1:12" ht="24" customHeight="1">
      <c r="A1102" s="612" t="s">
        <v>13679</v>
      </c>
      <c r="B1102" s="636" t="s">
        <v>12698</v>
      </c>
      <c r="C1102" s="612" t="s">
        <v>12699</v>
      </c>
      <c r="D1102" s="612" t="s">
        <v>12700</v>
      </c>
      <c r="E1102" s="637" t="s">
        <v>12702</v>
      </c>
      <c r="F1102" s="801" t="s">
        <v>12704</v>
      </c>
      <c r="G1102" s="801"/>
      <c r="H1102" s="801" t="s">
        <v>13678</v>
      </c>
      <c r="I1102" s="801"/>
      <c r="J1102" s="801" t="s">
        <v>12705</v>
      </c>
      <c r="K1102" s="801"/>
      <c r="L1102" s="801"/>
    </row>
    <row r="1103" spans="1:12" ht="36" customHeight="1">
      <c r="A1103" s="626" t="s">
        <v>12709</v>
      </c>
      <c r="B1103" s="627" t="s">
        <v>13230</v>
      </c>
      <c r="C1103" s="626" t="s">
        <v>8</v>
      </c>
      <c r="D1103" s="626" t="s">
        <v>7362</v>
      </c>
      <c r="E1103" s="628" t="s">
        <v>23</v>
      </c>
      <c r="F1103" s="816" t="s">
        <v>14514</v>
      </c>
      <c r="G1103" s="816"/>
      <c r="H1103" s="816">
        <v>1.73256E-2</v>
      </c>
      <c r="I1103" s="816"/>
      <c r="J1103" s="817">
        <v>8.3299999999999999E-2</v>
      </c>
      <c r="K1103" s="817"/>
      <c r="L1103" s="817"/>
    </row>
    <row r="1104" spans="1:12" ht="24" customHeight="1">
      <c r="A1104" s="626" t="s">
        <v>12709</v>
      </c>
      <c r="B1104" s="627" t="s">
        <v>13224</v>
      </c>
      <c r="C1104" s="626" t="s">
        <v>8</v>
      </c>
      <c r="D1104" s="626" t="s">
        <v>7556</v>
      </c>
      <c r="E1104" s="628" t="s">
        <v>23</v>
      </c>
      <c r="F1104" s="816" t="s">
        <v>14470</v>
      </c>
      <c r="G1104" s="816"/>
      <c r="H1104" s="816">
        <v>0.1076382</v>
      </c>
      <c r="I1104" s="816"/>
      <c r="J1104" s="817">
        <v>0.74380000000000002</v>
      </c>
      <c r="K1104" s="817"/>
      <c r="L1104" s="817"/>
    </row>
    <row r="1105" spans="1:12" ht="17.100000000000001" customHeight="1">
      <c r="A1105" s="636"/>
      <c r="B1105" s="636"/>
      <c r="C1105" s="636"/>
      <c r="D1105" s="636"/>
      <c r="E1105" s="636"/>
      <c r="F1105" s="636"/>
      <c r="G1105" s="636"/>
      <c r="H1105" s="636"/>
      <c r="I1105" s="636"/>
      <c r="J1105" s="636" t="s">
        <v>13675</v>
      </c>
      <c r="K1105" s="636"/>
      <c r="L1105" s="636" t="s">
        <v>13705</v>
      </c>
    </row>
    <row r="1106" spans="1:12">
      <c r="A1106" s="802" t="s">
        <v>12720</v>
      </c>
      <c r="B1106" s="802"/>
      <c r="C1106" s="802"/>
      <c r="D1106" s="802"/>
      <c r="E1106" s="802"/>
      <c r="F1106" s="802"/>
      <c r="G1106" s="802"/>
      <c r="H1106" s="802"/>
      <c r="I1106" s="612"/>
      <c r="J1106" s="612"/>
      <c r="K1106" s="612"/>
      <c r="L1106" s="612"/>
    </row>
    <row r="1107" spans="1:12" ht="17.100000000000001" customHeight="1">
      <c r="A1107" s="612" t="s">
        <v>13679</v>
      </c>
      <c r="B1107" s="636" t="s">
        <v>12698</v>
      </c>
      <c r="C1107" s="612" t="s">
        <v>12699</v>
      </c>
      <c r="D1107" s="612" t="s">
        <v>12700</v>
      </c>
      <c r="E1107" s="637" t="s">
        <v>12702</v>
      </c>
      <c r="F1107" s="801" t="s">
        <v>12704</v>
      </c>
      <c r="G1107" s="801"/>
      <c r="H1107" s="801" t="s">
        <v>13678</v>
      </c>
      <c r="I1107" s="801"/>
      <c r="J1107" s="801" t="s">
        <v>12705</v>
      </c>
      <c r="K1107" s="801"/>
      <c r="L1107" s="801"/>
    </row>
    <row r="1108" spans="1:12" ht="24" customHeight="1">
      <c r="A1108" s="626" t="s">
        <v>12709</v>
      </c>
      <c r="B1108" s="627" t="s">
        <v>13311</v>
      </c>
      <c r="C1108" s="626" t="s">
        <v>8</v>
      </c>
      <c r="D1108" s="626" t="s">
        <v>7522</v>
      </c>
      <c r="E1108" s="628" t="s">
        <v>20</v>
      </c>
      <c r="F1108" s="816" t="s">
        <v>14521</v>
      </c>
      <c r="G1108" s="816"/>
      <c r="H1108" s="816">
        <v>2.5000000000000001E-2</v>
      </c>
      <c r="I1108" s="816"/>
      <c r="J1108" s="817">
        <v>0.34</v>
      </c>
      <c r="K1108" s="817"/>
      <c r="L1108" s="817"/>
    </row>
    <row r="1109" spans="1:12" ht="17.100000000000001" customHeight="1">
      <c r="A1109" s="626" t="s">
        <v>12709</v>
      </c>
      <c r="B1109" s="627" t="s">
        <v>13310</v>
      </c>
      <c r="C1109" s="626" t="s">
        <v>8</v>
      </c>
      <c r="D1109" s="626" t="s">
        <v>9265</v>
      </c>
      <c r="E1109" s="628" t="s">
        <v>35</v>
      </c>
      <c r="F1109" s="816" t="s">
        <v>13875</v>
      </c>
      <c r="G1109" s="816"/>
      <c r="H1109" s="816">
        <v>0.54300000000000004</v>
      </c>
      <c r="I1109" s="816"/>
      <c r="J1109" s="817">
        <v>7.0000000000000007E-2</v>
      </c>
      <c r="K1109" s="817"/>
      <c r="L1109" s="817"/>
    </row>
    <row r="1110" spans="1:12" ht="25.5">
      <c r="A1110" s="626" t="s">
        <v>12709</v>
      </c>
      <c r="B1110" s="627" t="s">
        <v>13246</v>
      </c>
      <c r="C1110" s="626" t="s">
        <v>8</v>
      </c>
      <c r="D1110" s="626" t="s">
        <v>7260</v>
      </c>
      <c r="E1110" s="628" t="s">
        <v>20</v>
      </c>
      <c r="F1110" s="816" t="s">
        <v>14713</v>
      </c>
      <c r="G1110" s="816"/>
      <c r="H1110" s="816">
        <v>1.1073723</v>
      </c>
      <c r="I1110" s="816"/>
      <c r="J1110" s="817">
        <v>5.7030000000000003</v>
      </c>
      <c r="K1110" s="817"/>
      <c r="L1110" s="817"/>
    </row>
    <row r="1111" spans="1:12" ht="17.100000000000001" customHeight="1">
      <c r="A1111" s="636"/>
      <c r="B1111" s="636"/>
      <c r="C1111" s="636"/>
      <c r="D1111" s="636"/>
      <c r="E1111" s="636"/>
      <c r="F1111" s="636"/>
      <c r="G1111" s="636"/>
      <c r="H1111" s="636"/>
      <c r="I1111" s="636"/>
      <c r="J1111" s="636" t="s">
        <v>13675</v>
      </c>
      <c r="K1111" s="636"/>
      <c r="L1111" s="636" t="s">
        <v>13831</v>
      </c>
    </row>
    <row r="1112" spans="1:12" ht="24" customHeight="1">
      <c r="A1112" s="802" t="s">
        <v>12722</v>
      </c>
      <c r="B1112" s="802"/>
      <c r="C1112" s="802"/>
      <c r="D1112" s="802"/>
      <c r="E1112" s="802"/>
      <c r="F1112" s="802"/>
      <c r="G1112" s="802"/>
      <c r="H1112" s="802"/>
      <c r="I1112" s="612"/>
      <c r="J1112" s="612"/>
      <c r="K1112" s="612"/>
      <c r="L1112" s="612"/>
    </row>
    <row r="1113" spans="1:12" ht="17.100000000000001" customHeight="1">
      <c r="A1113" s="612" t="s">
        <v>13679</v>
      </c>
      <c r="B1113" s="636" t="s">
        <v>12698</v>
      </c>
      <c r="C1113" s="612" t="s">
        <v>12699</v>
      </c>
      <c r="D1113" s="612" t="s">
        <v>12700</v>
      </c>
      <c r="E1113" s="637" t="s">
        <v>12702</v>
      </c>
      <c r="F1113" s="801" t="s">
        <v>12704</v>
      </c>
      <c r="G1113" s="801"/>
      <c r="H1113" s="801" t="s">
        <v>13678</v>
      </c>
      <c r="I1113" s="801"/>
      <c r="J1113" s="801" t="s">
        <v>12705</v>
      </c>
      <c r="K1113" s="801"/>
      <c r="L1113" s="801"/>
    </row>
    <row r="1114" spans="1:12" ht="25.5">
      <c r="A1114" s="626" t="s">
        <v>12709</v>
      </c>
      <c r="B1114" s="627" t="s">
        <v>12998</v>
      </c>
      <c r="C1114" s="626" t="s">
        <v>8</v>
      </c>
      <c r="D1114" s="626" t="s">
        <v>11861</v>
      </c>
      <c r="E1114" s="628" t="s">
        <v>23</v>
      </c>
      <c r="F1114" s="816" t="s">
        <v>13683</v>
      </c>
      <c r="G1114" s="816"/>
      <c r="H1114" s="816">
        <v>0.12520290000000001</v>
      </c>
      <c r="I1114" s="816"/>
      <c r="J1114" s="817">
        <v>8.8900000000000007E-2</v>
      </c>
      <c r="K1114" s="817"/>
      <c r="L1114" s="817"/>
    </row>
    <row r="1115" spans="1:12" ht="17.100000000000001" customHeight="1">
      <c r="A1115" s="636"/>
      <c r="B1115" s="636"/>
      <c r="C1115" s="636"/>
      <c r="D1115" s="636"/>
      <c r="E1115" s="636"/>
      <c r="F1115" s="636"/>
      <c r="G1115" s="636"/>
      <c r="H1115" s="636"/>
      <c r="I1115" s="636"/>
      <c r="J1115" s="636" t="s">
        <v>13675</v>
      </c>
      <c r="K1115" s="636"/>
      <c r="L1115" s="636" t="s">
        <v>13815</v>
      </c>
    </row>
    <row r="1116" spans="1:12" ht="24" customHeight="1">
      <c r="A1116" s="802" t="s">
        <v>12713</v>
      </c>
      <c r="B1116" s="802"/>
      <c r="C1116" s="802"/>
      <c r="D1116" s="802"/>
      <c r="E1116" s="802"/>
      <c r="F1116" s="802"/>
      <c r="G1116" s="802"/>
      <c r="H1116" s="802"/>
      <c r="I1116" s="612"/>
      <c r="J1116" s="612"/>
      <c r="K1116" s="612"/>
      <c r="L1116" s="612"/>
    </row>
    <row r="1117" spans="1:12" ht="24" customHeight="1">
      <c r="A1117" s="612" t="s">
        <v>13679</v>
      </c>
      <c r="B1117" s="636" t="s">
        <v>12698</v>
      </c>
      <c r="C1117" s="612" t="s">
        <v>12699</v>
      </c>
      <c r="D1117" s="612" t="s">
        <v>12700</v>
      </c>
      <c r="E1117" s="637" t="s">
        <v>12702</v>
      </c>
      <c r="F1117" s="801" t="s">
        <v>12704</v>
      </c>
      <c r="G1117" s="801"/>
      <c r="H1117" s="801" t="s">
        <v>13678</v>
      </c>
      <c r="I1117" s="801"/>
      <c r="J1117" s="801" t="s">
        <v>12705</v>
      </c>
      <c r="K1117" s="801"/>
      <c r="L1117" s="801"/>
    </row>
    <row r="1118" spans="1:12" ht="17.100000000000001" customHeight="1">
      <c r="A1118" s="626" t="s">
        <v>12709</v>
      </c>
      <c r="B1118" s="627" t="s">
        <v>12999</v>
      </c>
      <c r="C1118" s="626" t="s">
        <v>8</v>
      </c>
      <c r="D1118" s="626" t="s">
        <v>11251</v>
      </c>
      <c r="E1118" s="628" t="s">
        <v>23</v>
      </c>
      <c r="F1118" s="816" t="s">
        <v>13681</v>
      </c>
      <c r="G1118" s="816"/>
      <c r="H1118" s="816">
        <v>0.12520290000000001</v>
      </c>
      <c r="I1118" s="816"/>
      <c r="J1118" s="817">
        <v>8.8000000000000005E-3</v>
      </c>
      <c r="K1118" s="817"/>
      <c r="L1118" s="817"/>
    </row>
    <row r="1119" spans="1:12" ht="17.100000000000001" customHeight="1">
      <c r="A1119" s="636"/>
      <c r="B1119" s="636"/>
      <c r="C1119" s="636"/>
      <c r="D1119" s="636"/>
      <c r="E1119" s="636"/>
      <c r="F1119" s="636"/>
      <c r="G1119" s="636"/>
      <c r="H1119" s="636"/>
      <c r="I1119" s="636"/>
      <c r="J1119" s="636" t="s">
        <v>13675</v>
      </c>
      <c r="K1119" s="636"/>
      <c r="L1119" s="636" t="s">
        <v>13728</v>
      </c>
    </row>
    <row r="1120" spans="1:12" ht="17.100000000000001" customHeight="1">
      <c r="A1120" s="802" t="s">
        <v>12712</v>
      </c>
      <c r="B1120" s="802"/>
      <c r="C1120" s="802"/>
      <c r="D1120" s="802"/>
      <c r="E1120" s="802"/>
      <c r="F1120" s="802"/>
      <c r="G1120" s="802"/>
      <c r="H1120" s="802"/>
      <c r="I1120" s="612"/>
      <c r="J1120" s="612"/>
      <c r="K1120" s="612"/>
      <c r="L1120" s="612"/>
    </row>
    <row r="1121" spans="1:12" ht="17.100000000000001" customHeight="1">
      <c r="A1121" s="612" t="s">
        <v>13679</v>
      </c>
      <c r="B1121" s="636" t="s">
        <v>12698</v>
      </c>
      <c r="C1121" s="612" t="s">
        <v>12699</v>
      </c>
      <c r="D1121" s="612" t="s">
        <v>12700</v>
      </c>
      <c r="E1121" s="637" t="s">
        <v>12702</v>
      </c>
      <c r="F1121" s="801" t="s">
        <v>12704</v>
      </c>
      <c r="G1121" s="801"/>
      <c r="H1121" s="801" t="s">
        <v>13678</v>
      </c>
      <c r="I1121" s="801"/>
      <c r="J1121" s="801" t="s">
        <v>12705</v>
      </c>
      <c r="K1121" s="801"/>
      <c r="L1121" s="801"/>
    </row>
    <row r="1122" spans="1:12" ht="17.100000000000001" customHeight="1">
      <c r="A1122" s="626" t="s">
        <v>12709</v>
      </c>
      <c r="B1122" s="627" t="s">
        <v>13002</v>
      </c>
      <c r="C1122" s="626" t="s">
        <v>8</v>
      </c>
      <c r="D1122" s="626" t="s">
        <v>9306</v>
      </c>
      <c r="E1122" s="628" t="s">
        <v>23</v>
      </c>
      <c r="F1122" s="816" t="s">
        <v>13677</v>
      </c>
      <c r="G1122" s="816"/>
      <c r="H1122" s="816">
        <v>0.12520290000000001</v>
      </c>
      <c r="I1122" s="816"/>
      <c r="J1122" s="817">
        <v>4.3799999999999999E-2</v>
      </c>
      <c r="K1122" s="817"/>
      <c r="L1122" s="817"/>
    </row>
    <row r="1123" spans="1:12" ht="17.100000000000001" customHeight="1">
      <c r="A1123" s="626" t="s">
        <v>12709</v>
      </c>
      <c r="B1123" s="627" t="s">
        <v>13004</v>
      </c>
      <c r="C1123" s="626" t="s">
        <v>8</v>
      </c>
      <c r="D1123" s="626" t="s">
        <v>7388</v>
      </c>
      <c r="E1123" s="628" t="s">
        <v>23</v>
      </c>
      <c r="F1123" s="816" t="s">
        <v>13676</v>
      </c>
      <c r="G1123" s="816"/>
      <c r="H1123" s="816">
        <v>0.12520290000000001</v>
      </c>
      <c r="I1123" s="816"/>
      <c r="J1123" s="817">
        <v>0.27539999999999998</v>
      </c>
      <c r="K1123" s="817"/>
      <c r="L1123" s="817"/>
    </row>
    <row r="1124" spans="1:12" ht="17.100000000000001" customHeight="1">
      <c r="A1124" s="636"/>
      <c r="B1124" s="636"/>
      <c r="C1124" s="636"/>
      <c r="D1124" s="636"/>
      <c r="E1124" s="636"/>
      <c r="F1124" s="636"/>
      <c r="G1124" s="636"/>
      <c r="H1124" s="636"/>
      <c r="I1124" s="636"/>
      <c r="J1124" s="636" t="s">
        <v>13675</v>
      </c>
      <c r="K1124" s="636"/>
      <c r="L1124" s="636" t="s">
        <v>14026</v>
      </c>
    </row>
    <row r="1125" spans="1:12" ht="30" customHeight="1">
      <c r="A1125" s="612" t="s">
        <v>13673</v>
      </c>
      <c r="B1125" s="612"/>
      <c r="C1125" s="612"/>
      <c r="D1125" s="612"/>
      <c r="E1125" s="612"/>
      <c r="F1125" s="612"/>
      <c r="G1125" s="612"/>
      <c r="H1125" s="612"/>
      <c r="I1125" s="612"/>
      <c r="J1125" s="612"/>
      <c r="K1125" s="612"/>
      <c r="L1125" s="612"/>
    </row>
    <row r="1126" spans="1:12" ht="48" customHeight="1">
      <c r="A1126" s="636"/>
      <c r="B1126" s="636"/>
      <c r="C1126" s="636"/>
      <c r="D1126" s="636"/>
      <c r="E1126" s="636"/>
      <c r="F1126" s="636"/>
      <c r="G1126" s="636"/>
      <c r="H1126" s="636"/>
      <c r="I1126" s="636"/>
      <c r="J1126" s="636" t="s">
        <v>13672</v>
      </c>
      <c r="K1126" s="636"/>
      <c r="L1126" s="636" t="s">
        <v>15006</v>
      </c>
    </row>
    <row r="1127" spans="1:12" ht="14.25" customHeight="1">
      <c r="A1127" s="636"/>
      <c r="B1127" s="636"/>
      <c r="C1127" s="636"/>
      <c r="D1127" s="636"/>
      <c r="E1127" s="636"/>
      <c r="F1127" s="636"/>
      <c r="G1127" s="636"/>
      <c r="H1127" s="636"/>
      <c r="I1127" s="636"/>
      <c r="J1127" s="636" t="s">
        <v>13671</v>
      </c>
      <c r="K1127" s="636" t="s">
        <v>14461</v>
      </c>
      <c r="L1127" s="636" t="s">
        <v>15007</v>
      </c>
    </row>
    <row r="1128" spans="1:12" ht="17.100000000000001" customHeight="1">
      <c r="A1128" s="636"/>
      <c r="B1128" s="636"/>
      <c r="C1128" s="636"/>
      <c r="D1128" s="636"/>
      <c r="E1128" s="636"/>
      <c r="F1128" s="636"/>
      <c r="G1128" s="636"/>
      <c r="H1128" s="636"/>
      <c r="I1128" s="636"/>
      <c r="J1128" s="636" t="s">
        <v>13670</v>
      </c>
      <c r="K1128" s="636"/>
      <c r="L1128" s="636" t="s">
        <v>15008</v>
      </c>
    </row>
    <row r="1129" spans="1:12" ht="24" customHeight="1">
      <c r="A1129" s="636"/>
      <c r="B1129" s="636"/>
      <c r="C1129" s="636"/>
      <c r="D1129" s="636"/>
      <c r="E1129" s="636"/>
      <c r="F1129" s="636"/>
      <c r="G1129" s="636"/>
      <c r="H1129" s="636"/>
      <c r="I1129" s="636"/>
      <c r="J1129" s="636" t="s">
        <v>13669</v>
      </c>
      <c r="K1129" s="636" t="s">
        <v>13667</v>
      </c>
      <c r="L1129" s="636" t="s">
        <v>15009</v>
      </c>
    </row>
    <row r="1130" spans="1:12" ht="24" customHeight="1">
      <c r="A1130" s="636"/>
      <c r="B1130" s="636"/>
      <c r="C1130" s="636"/>
      <c r="D1130" s="636"/>
      <c r="E1130" s="636"/>
      <c r="F1130" s="636"/>
      <c r="G1130" s="636"/>
      <c r="H1130" s="636"/>
      <c r="I1130" s="636"/>
      <c r="J1130" s="636" t="s">
        <v>13668</v>
      </c>
      <c r="K1130" s="636"/>
      <c r="L1130" s="636" t="s">
        <v>15010</v>
      </c>
    </row>
    <row r="1131" spans="1:12" ht="17.100000000000001" customHeight="1">
      <c r="A1131" s="637"/>
      <c r="B1131" s="637"/>
      <c r="C1131" s="637"/>
      <c r="D1131" s="637"/>
      <c r="E1131" s="637"/>
      <c r="F1131" s="637"/>
      <c r="G1131" s="637"/>
      <c r="H1131" s="637"/>
      <c r="I1131" s="637"/>
      <c r="J1131" s="637"/>
      <c r="K1131" s="637"/>
      <c r="L1131" s="637"/>
    </row>
    <row r="1132" spans="1:12" ht="14.25" customHeight="1">
      <c r="A1132" s="616" t="s">
        <v>14241</v>
      </c>
      <c r="B1132" s="617" t="s">
        <v>13629</v>
      </c>
      <c r="C1132" s="616" t="s">
        <v>8</v>
      </c>
      <c r="D1132" s="616" t="s">
        <v>2965</v>
      </c>
      <c r="E1132" s="618" t="s">
        <v>20</v>
      </c>
      <c r="F1132" s="617"/>
      <c r="G1132" s="617"/>
      <c r="H1132" s="617"/>
      <c r="I1132" s="617"/>
      <c r="J1132" s="617"/>
      <c r="K1132" s="617"/>
      <c r="L1132" s="617"/>
    </row>
    <row r="1133" spans="1:12" ht="17.100000000000001" customHeight="1">
      <c r="A1133" s="802" t="s">
        <v>12711</v>
      </c>
      <c r="B1133" s="802"/>
      <c r="C1133" s="802"/>
      <c r="D1133" s="802"/>
      <c r="E1133" s="802"/>
      <c r="F1133" s="802"/>
      <c r="G1133" s="802"/>
      <c r="H1133" s="802"/>
      <c r="I1133" s="612"/>
      <c r="J1133" s="612"/>
      <c r="K1133" s="612"/>
      <c r="L1133" s="612"/>
    </row>
    <row r="1134" spans="1:12" ht="24" customHeight="1">
      <c r="A1134" s="612" t="s">
        <v>13679</v>
      </c>
      <c r="B1134" s="636" t="s">
        <v>12698</v>
      </c>
      <c r="C1134" s="612" t="s">
        <v>12699</v>
      </c>
      <c r="D1134" s="612" t="s">
        <v>12700</v>
      </c>
      <c r="E1134" s="637" t="s">
        <v>12702</v>
      </c>
      <c r="F1134" s="801" t="s">
        <v>12704</v>
      </c>
      <c r="G1134" s="801"/>
      <c r="H1134" s="801" t="s">
        <v>13678</v>
      </c>
      <c r="I1134" s="801"/>
      <c r="J1134" s="801" t="s">
        <v>12705</v>
      </c>
      <c r="K1134" s="801"/>
      <c r="L1134" s="801"/>
    </row>
    <row r="1135" spans="1:12" ht="24" customHeight="1">
      <c r="A1135" s="626" t="s">
        <v>12709</v>
      </c>
      <c r="B1135" s="627" t="s">
        <v>13052</v>
      </c>
      <c r="C1135" s="626" t="s">
        <v>8</v>
      </c>
      <c r="D1135" s="626" t="s">
        <v>9229</v>
      </c>
      <c r="E1135" s="628" t="s">
        <v>23</v>
      </c>
      <c r="F1135" s="816" t="s">
        <v>13692</v>
      </c>
      <c r="G1135" s="816"/>
      <c r="H1135" s="816">
        <v>8.8808700000000004E-2</v>
      </c>
      <c r="I1135" s="816"/>
      <c r="J1135" s="817">
        <v>8.5300000000000001E-2</v>
      </c>
      <c r="K1135" s="817"/>
      <c r="L1135" s="817"/>
    </row>
    <row r="1136" spans="1:12" ht="17.100000000000001" customHeight="1">
      <c r="A1136" s="626" t="s">
        <v>12709</v>
      </c>
      <c r="B1136" s="627" t="s">
        <v>13051</v>
      </c>
      <c r="C1136" s="626" t="s">
        <v>8</v>
      </c>
      <c r="D1136" s="626" t="s">
        <v>9376</v>
      </c>
      <c r="E1136" s="628" t="s">
        <v>23</v>
      </c>
      <c r="F1136" s="816" t="s">
        <v>13691</v>
      </c>
      <c r="G1136" s="816"/>
      <c r="H1136" s="816">
        <v>8.8808700000000004E-2</v>
      </c>
      <c r="I1136" s="816"/>
      <c r="J1136" s="817">
        <v>4.4400000000000002E-2</v>
      </c>
      <c r="K1136" s="817"/>
      <c r="L1136" s="817"/>
    </row>
    <row r="1137" spans="1:12">
      <c r="A1137" s="636"/>
      <c r="B1137" s="636"/>
      <c r="C1137" s="636"/>
      <c r="D1137" s="636"/>
      <c r="E1137" s="636"/>
      <c r="F1137" s="636"/>
      <c r="G1137" s="636"/>
      <c r="H1137" s="636"/>
      <c r="I1137" s="636"/>
      <c r="J1137" s="636" t="s">
        <v>13675</v>
      </c>
      <c r="K1137" s="636"/>
      <c r="L1137" s="636" t="s">
        <v>13875</v>
      </c>
    </row>
    <row r="1138" spans="1:12" ht="17.100000000000001" customHeight="1">
      <c r="A1138" s="802" t="s">
        <v>12710</v>
      </c>
      <c r="B1138" s="802"/>
      <c r="C1138" s="802"/>
      <c r="D1138" s="802"/>
      <c r="E1138" s="802"/>
      <c r="F1138" s="802"/>
      <c r="G1138" s="802"/>
      <c r="H1138" s="802"/>
      <c r="I1138" s="612"/>
      <c r="J1138" s="612"/>
      <c r="K1138" s="612"/>
      <c r="L1138" s="612"/>
    </row>
    <row r="1139" spans="1:12" ht="24" customHeight="1">
      <c r="A1139" s="612" t="s">
        <v>13679</v>
      </c>
      <c r="B1139" s="636" t="s">
        <v>12698</v>
      </c>
      <c r="C1139" s="612" t="s">
        <v>12699</v>
      </c>
      <c r="D1139" s="612" t="s">
        <v>12700</v>
      </c>
      <c r="E1139" s="637" t="s">
        <v>12702</v>
      </c>
      <c r="F1139" s="801" t="s">
        <v>12704</v>
      </c>
      <c r="G1139" s="801"/>
      <c r="H1139" s="801" t="s">
        <v>13678</v>
      </c>
      <c r="I1139" s="801"/>
      <c r="J1139" s="801" t="s">
        <v>12705</v>
      </c>
      <c r="K1139" s="801"/>
      <c r="L1139" s="801"/>
    </row>
    <row r="1140" spans="1:12" ht="36" customHeight="1">
      <c r="A1140" s="626" t="s">
        <v>12709</v>
      </c>
      <c r="B1140" s="627" t="s">
        <v>13230</v>
      </c>
      <c r="C1140" s="626" t="s">
        <v>8</v>
      </c>
      <c r="D1140" s="626" t="s">
        <v>7362</v>
      </c>
      <c r="E1140" s="628" t="s">
        <v>23</v>
      </c>
      <c r="F1140" s="816" t="s">
        <v>14514</v>
      </c>
      <c r="G1140" s="816"/>
      <c r="H1140" s="816">
        <v>1.22638E-2</v>
      </c>
      <c r="I1140" s="816"/>
      <c r="J1140" s="817">
        <v>5.8999999999999997E-2</v>
      </c>
      <c r="K1140" s="817"/>
      <c r="L1140" s="817"/>
    </row>
    <row r="1141" spans="1:12" ht="24" customHeight="1">
      <c r="A1141" s="626" t="s">
        <v>12709</v>
      </c>
      <c r="B1141" s="627" t="s">
        <v>13224</v>
      </c>
      <c r="C1141" s="626" t="s">
        <v>8</v>
      </c>
      <c r="D1141" s="626" t="s">
        <v>7556</v>
      </c>
      <c r="E1141" s="628" t="s">
        <v>23</v>
      </c>
      <c r="F1141" s="816" t="s">
        <v>14470</v>
      </c>
      <c r="G1141" s="816"/>
      <c r="H1141" s="816">
        <v>7.5956300000000004E-2</v>
      </c>
      <c r="I1141" s="816"/>
      <c r="J1141" s="817">
        <v>0.52490000000000003</v>
      </c>
      <c r="K1141" s="817"/>
      <c r="L1141" s="817"/>
    </row>
    <row r="1142" spans="1:12" ht="17.100000000000001" customHeight="1">
      <c r="A1142" s="636"/>
      <c r="B1142" s="636"/>
      <c r="C1142" s="636"/>
      <c r="D1142" s="636"/>
      <c r="E1142" s="636"/>
      <c r="F1142" s="636"/>
      <c r="G1142" s="636"/>
      <c r="H1142" s="636"/>
      <c r="I1142" s="636"/>
      <c r="J1142" s="636" t="s">
        <v>13675</v>
      </c>
      <c r="K1142" s="636"/>
      <c r="L1142" s="636" t="s">
        <v>13861</v>
      </c>
    </row>
    <row r="1143" spans="1:12">
      <c r="A1143" s="802" t="s">
        <v>12720</v>
      </c>
      <c r="B1143" s="802"/>
      <c r="C1143" s="802"/>
      <c r="D1143" s="802"/>
      <c r="E1143" s="802"/>
      <c r="F1143" s="802"/>
      <c r="G1143" s="802"/>
      <c r="H1143" s="802"/>
      <c r="I1143" s="612"/>
      <c r="J1143" s="612"/>
      <c r="K1143" s="612"/>
      <c r="L1143" s="612"/>
    </row>
    <row r="1144" spans="1:12" ht="17.100000000000001" customHeight="1">
      <c r="A1144" s="612" t="s">
        <v>13679</v>
      </c>
      <c r="B1144" s="636" t="s">
        <v>12698</v>
      </c>
      <c r="C1144" s="612" t="s">
        <v>12699</v>
      </c>
      <c r="D1144" s="612" t="s">
        <v>12700</v>
      </c>
      <c r="E1144" s="637" t="s">
        <v>12702</v>
      </c>
      <c r="F1144" s="801" t="s">
        <v>12704</v>
      </c>
      <c r="G1144" s="801"/>
      <c r="H1144" s="801" t="s">
        <v>13678</v>
      </c>
      <c r="I1144" s="801"/>
      <c r="J1144" s="801" t="s">
        <v>12705</v>
      </c>
      <c r="K1144" s="801"/>
      <c r="L1144" s="801"/>
    </row>
    <row r="1145" spans="1:12" ht="24" customHeight="1">
      <c r="A1145" s="626" t="s">
        <v>12709</v>
      </c>
      <c r="B1145" s="627" t="s">
        <v>13311</v>
      </c>
      <c r="C1145" s="626" t="s">
        <v>8</v>
      </c>
      <c r="D1145" s="626" t="s">
        <v>7522</v>
      </c>
      <c r="E1145" s="628" t="s">
        <v>20</v>
      </c>
      <c r="F1145" s="816" t="s">
        <v>14521</v>
      </c>
      <c r="G1145" s="816"/>
      <c r="H1145" s="816">
        <v>2.5000000000000001E-2</v>
      </c>
      <c r="I1145" s="816"/>
      <c r="J1145" s="817">
        <v>0.34</v>
      </c>
      <c r="K1145" s="817"/>
      <c r="L1145" s="817"/>
    </row>
    <row r="1146" spans="1:12" ht="17.100000000000001" customHeight="1">
      <c r="A1146" s="626" t="s">
        <v>12709</v>
      </c>
      <c r="B1146" s="627" t="s">
        <v>13310</v>
      </c>
      <c r="C1146" s="626" t="s">
        <v>8</v>
      </c>
      <c r="D1146" s="626" t="s">
        <v>9265</v>
      </c>
      <c r="E1146" s="628" t="s">
        <v>35</v>
      </c>
      <c r="F1146" s="816" t="s">
        <v>13875</v>
      </c>
      <c r="G1146" s="816"/>
      <c r="H1146" s="816">
        <v>0.36699999999999999</v>
      </c>
      <c r="I1146" s="816"/>
      <c r="J1146" s="817">
        <v>0.04</v>
      </c>
      <c r="K1146" s="817"/>
      <c r="L1146" s="817"/>
    </row>
    <row r="1147" spans="1:12" ht="25.5">
      <c r="A1147" s="626" t="s">
        <v>12709</v>
      </c>
      <c r="B1147" s="627" t="s">
        <v>13244</v>
      </c>
      <c r="C1147" s="626" t="s">
        <v>8</v>
      </c>
      <c r="D1147" s="626" t="s">
        <v>7261</v>
      </c>
      <c r="E1147" s="628" t="s">
        <v>20</v>
      </c>
      <c r="F1147" s="816" t="s">
        <v>14776</v>
      </c>
      <c r="G1147" s="816"/>
      <c r="H1147" s="816">
        <v>1.1051308</v>
      </c>
      <c r="I1147" s="816"/>
      <c r="J1147" s="817">
        <v>4.9288999999999996</v>
      </c>
      <c r="K1147" s="817"/>
      <c r="L1147" s="817"/>
    </row>
    <row r="1148" spans="1:12" ht="17.100000000000001" customHeight="1">
      <c r="A1148" s="636"/>
      <c r="B1148" s="636"/>
      <c r="C1148" s="636"/>
      <c r="D1148" s="636"/>
      <c r="E1148" s="636"/>
      <c r="F1148" s="636"/>
      <c r="G1148" s="636"/>
      <c r="H1148" s="636"/>
      <c r="I1148" s="636"/>
      <c r="J1148" s="636" t="s">
        <v>13675</v>
      </c>
      <c r="K1148" s="636"/>
      <c r="L1148" s="636" t="s">
        <v>14738</v>
      </c>
    </row>
    <row r="1149" spans="1:12" ht="24" customHeight="1">
      <c r="A1149" s="802" t="s">
        <v>12722</v>
      </c>
      <c r="B1149" s="802"/>
      <c r="C1149" s="802"/>
      <c r="D1149" s="802"/>
      <c r="E1149" s="802"/>
      <c r="F1149" s="802"/>
      <c r="G1149" s="802"/>
      <c r="H1149" s="802"/>
      <c r="I1149" s="612"/>
      <c r="J1149" s="612"/>
      <c r="K1149" s="612"/>
      <c r="L1149" s="612"/>
    </row>
    <row r="1150" spans="1:12" ht="17.100000000000001" customHeight="1">
      <c r="A1150" s="612" t="s">
        <v>13679</v>
      </c>
      <c r="B1150" s="636" t="s">
        <v>12698</v>
      </c>
      <c r="C1150" s="612" t="s">
        <v>12699</v>
      </c>
      <c r="D1150" s="612" t="s">
        <v>12700</v>
      </c>
      <c r="E1150" s="637" t="s">
        <v>12702</v>
      </c>
      <c r="F1150" s="801" t="s">
        <v>12704</v>
      </c>
      <c r="G1150" s="801"/>
      <c r="H1150" s="801" t="s">
        <v>13678</v>
      </c>
      <c r="I1150" s="801"/>
      <c r="J1150" s="801" t="s">
        <v>12705</v>
      </c>
      <c r="K1150" s="801"/>
      <c r="L1150" s="801"/>
    </row>
    <row r="1151" spans="1:12" ht="25.5">
      <c r="A1151" s="626" t="s">
        <v>12709</v>
      </c>
      <c r="B1151" s="627" t="s">
        <v>12998</v>
      </c>
      <c r="C1151" s="626" t="s">
        <v>8</v>
      </c>
      <c r="D1151" s="626" t="s">
        <v>11861</v>
      </c>
      <c r="E1151" s="628" t="s">
        <v>23</v>
      </c>
      <c r="F1151" s="816" t="s">
        <v>13683</v>
      </c>
      <c r="G1151" s="816"/>
      <c r="H1151" s="816">
        <v>8.8808700000000004E-2</v>
      </c>
      <c r="I1151" s="816"/>
      <c r="J1151" s="817">
        <v>6.3100000000000003E-2</v>
      </c>
      <c r="K1151" s="817"/>
      <c r="L1151" s="817"/>
    </row>
    <row r="1152" spans="1:12" ht="17.100000000000001" customHeight="1">
      <c r="A1152" s="636"/>
      <c r="B1152" s="636"/>
      <c r="C1152" s="636"/>
      <c r="D1152" s="636"/>
      <c r="E1152" s="636"/>
      <c r="F1152" s="636"/>
      <c r="G1152" s="636"/>
      <c r="H1152" s="636"/>
      <c r="I1152" s="636"/>
      <c r="J1152" s="636" t="s">
        <v>13675</v>
      </c>
      <c r="K1152" s="636"/>
      <c r="L1152" s="636" t="s">
        <v>13708</v>
      </c>
    </row>
    <row r="1153" spans="1:12" ht="24" customHeight="1">
      <c r="A1153" s="802" t="s">
        <v>12713</v>
      </c>
      <c r="B1153" s="802"/>
      <c r="C1153" s="802"/>
      <c r="D1153" s="802"/>
      <c r="E1153" s="802"/>
      <c r="F1153" s="802"/>
      <c r="G1153" s="802"/>
      <c r="H1153" s="802"/>
      <c r="I1153" s="612"/>
      <c r="J1153" s="612"/>
      <c r="K1153" s="612"/>
      <c r="L1153" s="612"/>
    </row>
    <row r="1154" spans="1:12" ht="24" customHeight="1">
      <c r="A1154" s="612" t="s">
        <v>13679</v>
      </c>
      <c r="B1154" s="636" t="s">
        <v>12698</v>
      </c>
      <c r="C1154" s="612" t="s">
        <v>12699</v>
      </c>
      <c r="D1154" s="612" t="s">
        <v>12700</v>
      </c>
      <c r="E1154" s="637" t="s">
        <v>12702</v>
      </c>
      <c r="F1154" s="801" t="s">
        <v>12704</v>
      </c>
      <c r="G1154" s="801"/>
      <c r="H1154" s="801" t="s">
        <v>13678</v>
      </c>
      <c r="I1154" s="801"/>
      <c r="J1154" s="801" t="s">
        <v>12705</v>
      </c>
      <c r="K1154" s="801"/>
      <c r="L1154" s="801"/>
    </row>
    <row r="1155" spans="1:12" ht="17.100000000000001" customHeight="1">
      <c r="A1155" s="626" t="s">
        <v>12709</v>
      </c>
      <c r="B1155" s="627" t="s">
        <v>12999</v>
      </c>
      <c r="C1155" s="626" t="s">
        <v>8</v>
      </c>
      <c r="D1155" s="626" t="s">
        <v>11251</v>
      </c>
      <c r="E1155" s="628" t="s">
        <v>23</v>
      </c>
      <c r="F1155" s="816" t="s">
        <v>13681</v>
      </c>
      <c r="G1155" s="816"/>
      <c r="H1155" s="816">
        <v>8.8808700000000004E-2</v>
      </c>
      <c r="I1155" s="816"/>
      <c r="J1155" s="817">
        <v>6.1999999999999998E-3</v>
      </c>
      <c r="K1155" s="817"/>
      <c r="L1155" s="817"/>
    </row>
    <row r="1156" spans="1:12" ht="17.100000000000001" customHeight="1">
      <c r="A1156" s="636"/>
      <c r="B1156" s="636"/>
      <c r="C1156" s="636"/>
      <c r="D1156" s="636"/>
      <c r="E1156" s="636"/>
      <c r="F1156" s="636"/>
      <c r="G1156" s="636"/>
      <c r="H1156" s="636"/>
      <c r="I1156" s="636"/>
      <c r="J1156" s="636" t="s">
        <v>13675</v>
      </c>
      <c r="K1156" s="636"/>
      <c r="L1156" s="636" t="s">
        <v>13728</v>
      </c>
    </row>
    <row r="1157" spans="1:12" ht="17.100000000000001" customHeight="1">
      <c r="A1157" s="802" t="s">
        <v>12712</v>
      </c>
      <c r="B1157" s="802"/>
      <c r="C1157" s="802"/>
      <c r="D1157" s="802"/>
      <c r="E1157" s="802"/>
      <c r="F1157" s="802"/>
      <c r="G1157" s="802"/>
      <c r="H1157" s="802"/>
      <c r="I1157" s="612"/>
      <c r="J1157" s="612"/>
      <c r="K1157" s="612"/>
      <c r="L1157" s="612"/>
    </row>
    <row r="1158" spans="1:12" ht="17.100000000000001" customHeight="1">
      <c r="A1158" s="612" t="s">
        <v>13679</v>
      </c>
      <c r="B1158" s="636" t="s">
        <v>12698</v>
      </c>
      <c r="C1158" s="612" t="s">
        <v>12699</v>
      </c>
      <c r="D1158" s="612" t="s">
        <v>12700</v>
      </c>
      <c r="E1158" s="637" t="s">
        <v>12702</v>
      </c>
      <c r="F1158" s="801" t="s">
        <v>12704</v>
      </c>
      <c r="G1158" s="801"/>
      <c r="H1158" s="801" t="s">
        <v>13678</v>
      </c>
      <c r="I1158" s="801"/>
      <c r="J1158" s="801" t="s">
        <v>12705</v>
      </c>
      <c r="K1158" s="801"/>
      <c r="L1158" s="801"/>
    </row>
    <row r="1159" spans="1:12" ht="17.100000000000001" customHeight="1">
      <c r="A1159" s="626" t="s">
        <v>12709</v>
      </c>
      <c r="B1159" s="627" t="s">
        <v>13002</v>
      </c>
      <c r="C1159" s="626" t="s">
        <v>8</v>
      </c>
      <c r="D1159" s="626" t="s">
        <v>9306</v>
      </c>
      <c r="E1159" s="628" t="s">
        <v>23</v>
      </c>
      <c r="F1159" s="816" t="s">
        <v>13677</v>
      </c>
      <c r="G1159" s="816"/>
      <c r="H1159" s="816">
        <v>8.8808700000000004E-2</v>
      </c>
      <c r="I1159" s="816"/>
      <c r="J1159" s="817">
        <v>3.1099999999999999E-2</v>
      </c>
      <c r="K1159" s="817"/>
      <c r="L1159" s="817"/>
    </row>
    <row r="1160" spans="1:12" ht="17.100000000000001" customHeight="1">
      <c r="A1160" s="626" t="s">
        <v>12709</v>
      </c>
      <c r="B1160" s="627" t="s">
        <v>13004</v>
      </c>
      <c r="C1160" s="626" t="s">
        <v>8</v>
      </c>
      <c r="D1160" s="626" t="s">
        <v>7388</v>
      </c>
      <c r="E1160" s="628" t="s">
        <v>23</v>
      </c>
      <c r="F1160" s="816" t="s">
        <v>13676</v>
      </c>
      <c r="G1160" s="816"/>
      <c r="H1160" s="816">
        <v>8.8808700000000004E-2</v>
      </c>
      <c r="I1160" s="816"/>
      <c r="J1160" s="817">
        <v>0.19539999999999999</v>
      </c>
      <c r="K1160" s="817"/>
      <c r="L1160" s="817"/>
    </row>
    <row r="1161" spans="1:12" ht="17.100000000000001" customHeight="1">
      <c r="A1161" s="636"/>
      <c r="B1161" s="636"/>
      <c r="C1161" s="636"/>
      <c r="D1161" s="636"/>
      <c r="E1161" s="636"/>
      <c r="F1161" s="636"/>
      <c r="G1161" s="636"/>
      <c r="H1161" s="636"/>
      <c r="I1161" s="636"/>
      <c r="J1161" s="636" t="s">
        <v>13675</v>
      </c>
      <c r="K1161" s="636"/>
      <c r="L1161" s="636" t="s">
        <v>13788</v>
      </c>
    </row>
    <row r="1162" spans="1:12" ht="30" customHeight="1">
      <c r="A1162" s="612" t="s">
        <v>13673</v>
      </c>
      <c r="B1162" s="612"/>
      <c r="C1162" s="612"/>
      <c r="D1162" s="612"/>
      <c r="E1162" s="612"/>
      <c r="F1162" s="612"/>
      <c r="G1162" s="612"/>
      <c r="H1162" s="612"/>
      <c r="I1162" s="612"/>
      <c r="J1162" s="612"/>
      <c r="K1162" s="612"/>
      <c r="L1162" s="612"/>
    </row>
    <row r="1163" spans="1:12" ht="36" customHeight="1">
      <c r="A1163" s="636"/>
      <c r="B1163" s="636"/>
      <c r="C1163" s="636"/>
      <c r="D1163" s="636"/>
      <c r="E1163" s="636"/>
      <c r="F1163" s="636"/>
      <c r="G1163" s="636"/>
      <c r="H1163" s="636"/>
      <c r="I1163" s="636"/>
      <c r="J1163" s="636" t="s">
        <v>13672</v>
      </c>
      <c r="K1163" s="636"/>
      <c r="L1163" s="636" t="s">
        <v>15011</v>
      </c>
    </row>
    <row r="1164" spans="1:12" ht="14.25" customHeight="1">
      <c r="A1164" s="636"/>
      <c r="B1164" s="636"/>
      <c r="C1164" s="636"/>
      <c r="D1164" s="636"/>
      <c r="E1164" s="636"/>
      <c r="F1164" s="636"/>
      <c r="G1164" s="636"/>
      <c r="H1164" s="636"/>
      <c r="I1164" s="636"/>
      <c r="J1164" s="636" t="s">
        <v>13671</v>
      </c>
      <c r="K1164" s="636" t="s">
        <v>14461</v>
      </c>
      <c r="L1164" s="636" t="s">
        <v>15012</v>
      </c>
    </row>
    <row r="1165" spans="1:12" ht="17.100000000000001" customHeight="1">
      <c r="A1165" s="636"/>
      <c r="B1165" s="636"/>
      <c r="C1165" s="636"/>
      <c r="D1165" s="636"/>
      <c r="E1165" s="636"/>
      <c r="F1165" s="636"/>
      <c r="G1165" s="636"/>
      <c r="H1165" s="636"/>
      <c r="I1165" s="636"/>
      <c r="J1165" s="636" t="s">
        <v>13670</v>
      </c>
      <c r="K1165" s="636"/>
      <c r="L1165" s="636" t="s">
        <v>15013</v>
      </c>
    </row>
    <row r="1166" spans="1:12" ht="24" customHeight="1">
      <c r="A1166" s="636"/>
      <c r="B1166" s="636"/>
      <c r="C1166" s="636"/>
      <c r="D1166" s="636"/>
      <c r="E1166" s="636"/>
      <c r="F1166" s="636"/>
      <c r="G1166" s="636"/>
      <c r="H1166" s="636"/>
      <c r="I1166" s="636"/>
      <c r="J1166" s="636" t="s">
        <v>13669</v>
      </c>
      <c r="K1166" s="636" t="s">
        <v>13667</v>
      </c>
      <c r="L1166" s="636" t="s">
        <v>15014</v>
      </c>
    </row>
    <row r="1167" spans="1:12" ht="24" customHeight="1">
      <c r="A1167" s="636"/>
      <c r="B1167" s="636"/>
      <c r="C1167" s="636"/>
      <c r="D1167" s="636"/>
      <c r="E1167" s="636"/>
      <c r="F1167" s="636"/>
      <c r="G1167" s="636"/>
      <c r="H1167" s="636"/>
      <c r="I1167" s="636"/>
      <c r="J1167" s="636" t="s">
        <v>13668</v>
      </c>
      <c r="K1167" s="636"/>
      <c r="L1167" s="636" t="s">
        <v>15015</v>
      </c>
    </row>
    <row r="1168" spans="1:12" ht="24" customHeight="1">
      <c r="A1168" s="637"/>
      <c r="B1168" s="637"/>
      <c r="C1168" s="637"/>
      <c r="D1168" s="637"/>
      <c r="E1168" s="637"/>
      <c r="F1168" s="637"/>
      <c r="G1168" s="637"/>
      <c r="H1168" s="637"/>
      <c r="I1168" s="637"/>
      <c r="J1168" s="637"/>
      <c r="K1168" s="637"/>
      <c r="L1168" s="637"/>
    </row>
    <row r="1169" spans="1:12" ht="24" customHeight="1">
      <c r="A1169" s="616" t="s">
        <v>14240</v>
      </c>
      <c r="B1169" s="617" t="s">
        <v>13628</v>
      </c>
      <c r="C1169" s="616" t="s">
        <v>8</v>
      </c>
      <c r="D1169" s="616" t="s">
        <v>2961</v>
      </c>
      <c r="E1169" s="618" t="s">
        <v>20</v>
      </c>
      <c r="F1169" s="617"/>
      <c r="G1169" s="617"/>
      <c r="H1169" s="617"/>
      <c r="I1169" s="617"/>
      <c r="J1169" s="617"/>
      <c r="K1169" s="617"/>
      <c r="L1169" s="617"/>
    </row>
    <row r="1170" spans="1:12" ht="17.100000000000001" customHeight="1">
      <c r="A1170" s="802" t="s">
        <v>12711</v>
      </c>
      <c r="B1170" s="802"/>
      <c r="C1170" s="802"/>
      <c r="D1170" s="802"/>
      <c r="E1170" s="802"/>
      <c r="F1170" s="802"/>
      <c r="G1170" s="802"/>
      <c r="H1170" s="802"/>
      <c r="I1170" s="612"/>
      <c r="J1170" s="612"/>
      <c r="K1170" s="612"/>
      <c r="L1170" s="612"/>
    </row>
    <row r="1171" spans="1:12" ht="14.25" customHeight="1">
      <c r="A1171" s="612" t="s">
        <v>13679</v>
      </c>
      <c r="B1171" s="636" t="s">
        <v>12698</v>
      </c>
      <c r="C1171" s="612" t="s">
        <v>12699</v>
      </c>
      <c r="D1171" s="612" t="s">
        <v>12700</v>
      </c>
      <c r="E1171" s="637" t="s">
        <v>12702</v>
      </c>
      <c r="F1171" s="801" t="s">
        <v>12704</v>
      </c>
      <c r="G1171" s="801"/>
      <c r="H1171" s="801" t="s">
        <v>13678</v>
      </c>
      <c r="I1171" s="801"/>
      <c r="J1171" s="801" t="s">
        <v>12705</v>
      </c>
      <c r="K1171" s="801"/>
      <c r="L1171" s="801"/>
    </row>
    <row r="1172" spans="1:12" ht="17.100000000000001" customHeight="1">
      <c r="A1172" s="626" t="s">
        <v>12709</v>
      </c>
      <c r="B1172" s="627" t="s">
        <v>13052</v>
      </c>
      <c r="C1172" s="626" t="s">
        <v>8</v>
      </c>
      <c r="D1172" s="626" t="s">
        <v>9229</v>
      </c>
      <c r="E1172" s="628" t="s">
        <v>23</v>
      </c>
      <c r="F1172" s="816" t="s">
        <v>13692</v>
      </c>
      <c r="G1172" s="816"/>
      <c r="H1172" s="816">
        <v>0.3475452</v>
      </c>
      <c r="I1172" s="816"/>
      <c r="J1172" s="817">
        <v>0.33360000000000001</v>
      </c>
      <c r="K1172" s="817"/>
      <c r="L1172" s="817"/>
    </row>
    <row r="1173" spans="1:12" ht="24" customHeight="1">
      <c r="A1173" s="626" t="s">
        <v>12709</v>
      </c>
      <c r="B1173" s="627" t="s">
        <v>13051</v>
      </c>
      <c r="C1173" s="626" t="s">
        <v>8</v>
      </c>
      <c r="D1173" s="626" t="s">
        <v>9376</v>
      </c>
      <c r="E1173" s="628" t="s">
        <v>23</v>
      </c>
      <c r="F1173" s="816" t="s">
        <v>13691</v>
      </c>
      <c r="G1173" s="816"/>
      <c r="H1173" s="816">
        <v>0.3475452</v>
      </c>
      <c r="I1173" s="816"/>
      <c r="J1173" s="817">
        <v>0.17380000000000001</v>
      </c>
      <c r="K1173" s="817"/>
      <c r="L1173" s="817"/>
    </row>
    <row r="1174" spans="1:12" ht="24" customHeight="1">
      <c r="A1174" s="636"/>
      <c r="B1174" s="636"/>
      <c r="C1174" s="636"/>
      <c r="D1174" s="636"/>
      <c r="E1174" s="636"/>
      <c r="F1174" s="636"/>
      <c r="G1174" s="636"/>
      <c r="H1174" s="636"/>
      <c r="I1174" s="636"/>
      <c r="J1174" s="636" t="s">
        <v>13675</v>
      </c>
      <c r="K1174" s="636"/>
      <c r="L1174" s="636" t="s">
        <v>13746</v>
      </c>
    </row>
    <row r="1175" spans="1:12" ht="24" customHeight="1">
      <c r="A1175" s="802" t="s">
        <v>12710</v>
      </c>
      <c r="B1175" s="802"/>
      <c r="C1175" s="802"/>
      <c r="D1175" s="802"/>
      <c r="E1175" s="802"/>
      <c r="F1175" s="802"/>
      <c r="G1175" s="802"/>
      <c r="H1175" s="802"/>
      <c r="I1175" s="612"/>
      <c r="J1175" s="612"/>
      <c r="K1175" s="612"/>
      <c r="L1175" s="612"/>
    </row>
    <row r="1176" spans="1:12" ht="17.100000000000001" customHeight="1">
      <c r="A1176" s="612" t="s">
        <v>13679</v>
      </c>
      <c r="B1176" s="636" t="s">
        <v>12698</v>
      </c>
      <c r="C1176" s="612" t="s">
        <v>12699</v>
      </c>
      <c r="D1176" s="612" t="s">
        <v>12700</v>
      </c>
      <c r="E1176" s="637" t="s">
        <v>12702</v>
      </c>
      <c r="F1176" s="801" t="s">
        <v>12704</v>
      </c>
      <c r="G1176" s="801"/>
      <c r="H1176" s="801" t="s">
        <v>13678</v>
      </c>
      <c r="I1176" s="801"/>
      <c r="J1176" s="801" t="s">
        <v>12705</v>
      </c>
      <c r="K1176" s="801"/>
      <c r="L1176" s="801"/>
    </row>
    <row r="1177" spans="1:12" ht="25.5">
      <c r="A1177" s="626" t="s">
        <v>12709</v>
      </c>
      <c r="B1177" s="627" t="s">
        <v>13230</v>
      </c>
      <c r="C1177" s="626" t="s">
        <v>8</v>
      </c>
      <c r="D1177" s="626" t="s">
        <v>7362</v>
      </c>
      <c r="E1177" s="628" t="s">
        <v>23</v>
      </c>
      <c r="F1177" s="816" t="s">
        <v>14514</v>
      </c>
      <c r="G1177" s="816"/>
      <c r="H1177" s="816">
        <v>4.76648E-2</v>
      </c>
      <c r="I1177" s="816"/>
      <c r="J1177" s="817">
        <v>0.2293</v>
      </c>
      <c r="K1177" s="817"/>
      <c r="L1177" s="817"/>
    </row>
    <row r="1178" spans="1:12" ht="17.100000000000001" customHeight="1">
      <c r="A1178" s="626" t="s">
        <v>12709</v>
      </c>
      <c r="B1178" s="627" t="s">
        <v>13224</v>
      </c>
      <c r="C1178" s="626" t="s">
        <v>8</v>
      </c>
      <c r="D1178" s="626" t="s">
        <v>7556</v>
      </c>
      <c r="E1178" s="628" t="s">
        <v>23</v>
      </c>
      <c r="F1178" s="816" t="s">
        <v>14470</v>
      </c>
      <c r="G1178" s="816"/>
      <c r="H1178" s="816">
        <v>0.30244599999999999</v>
      </c>
      <c r="I1178" s="816"/>
      <c r="J1178" s="817">
        <v>2.0899000000000001</v>
      </c>
      <c r="K1178" s="817"/>
      <c r="L1178" s="817"/>
    </row>
    <row r="1179" spans="1:12" ht="24" customHeight="1">
      <c r="A1179" s="636"/>
      <c r="B1179" s="636"/>
      <c r="C1179" s="636"/>
      <c r="D1179" s="636"/>
      <c r="E1179" s="636"/>
      <c r="F1179" s="636"/>
      <c r="G1179" s="636"/>
      <c r="H1179" s="636"/>
      <c r="I1179" s="636"/>
      <c r="J1179" s="636" t="s">
        <v>13675</v>
      </c>
      <c r="K1179" s="636"/>
      <c r="L1179" s="636" t="s">
        <v>14714</v>
      </c>
    </row>
    <row r="1180" spans="1:12" ht="24" customHeight="1">
      <c r="A1180" s="802" t="s">
        <v>12720</v>
      </c>
      <c r="B1180" s="802"/>
      <c r="C1180" s="802"/>
      <c r="D1180" s="802"/>
      <c r="E1180" s="802"/>
      <c r="F1180" s="802"/>
      <c r="G1180" s="802"/>
      <c r="H1180" s="802"/>
      <c r="I1180" s="612"/>
      <c r="J1180" s="612"/>
      <c r="K1180" s="612"/>
      <c r="L1180" s="612"/>
    </row>
    <row r="1181" spans="1:12" ht="24" customHeight="1">
      <c r="A1181" s="612" t="s">
        <v>13679</v>
      </c>
      <c r="B1181" s="636" t="s">
        <v>12698</v>
      </c>
      <c r="C1181" s="612" t="s">
        <v>12699</v>
      </c>
      <c r="D1181" s="612" t="s">
        <v>12700</v>
      </c>
      <c r="E1181" s="637" t="s">
        <v>12702</v>
      </c>
      <c r="F1181" s="801" t="s">
        <v>12704</v>
      </c>
      <c r="G1181" s="801"/>
      <c r="H1181" s="801" t="s">
        <v>13678</v>
      </c>
      <c r="I1181" s="801"/>
      <c r="J1181" s="801" t="s">
        <v>12705</v>
      </c>
      <c r="K1181" s="801"/>
      <c r="L1181" s="801"/>
    </row>
    <row r="1182" spans="1:12" ht="24" customHeight="1">
      <c r="A1182" s="626" t="s">
        <v>12709</v>
      </c>
      <c r="B1182" s="627" t="s">
        <v>13311</v>
      </c>
      <c r="C1182" s="626" t="s">
        <v>8</v>
      </c>
      <c r="D1182" s="626" t="s">
        <v>7522</v>
      </c>
      <c r="E1182" s="628" t="s">
        <v>20</v>
      </c>
      <c r="F1182" s="816" t="s">
        <v>14521</v>
      </c>
      <c r="G1182" s="816"/>
      <c r="H1182" s="816">
        <v>2.5000000000000001E-2</v>
      </c>
      <c r="I1182" s="816"/>
      <c r="J1182" s="817">
        <v>0.34</v>
      </c>
      <c r="K1182" s="817"/>
      <c r="L1182" s="817"/>
    </row>
    <row r="1183" spans="1:12" ht="24" customHeight="1">
      <c r="A1183" s="626" t="s">
        <v>12709</v>
      </c>
      <c r="B1183" s="627" t="s">
        <v>13310</v>
      </c>
      <c r="C1183" s="626" t="s">
        <v>8</v>
      </c>
      <c r="D1183" s="626" t="s">
        <v>9265</v>
      </c>
      <c r="E1183" s="628" t="s">
        <v>35</v>
      </c>
      <c r="F1183" s="816" t="s">
        <v>13875</v>
      </c>
      <c r="G1183" s="816"/>
      <c r="H1183" s="816">
        <v>1.19</v>
      </c>
      <c r="I1183" s="816"/>
      <c r="J1183" s="817">
        <v>0.15</v>
      </c>
      <c r="K1183" s="817"/>
      <c r="L1183" s="817"/>
    </row>
    <row r="1184" spans="1:12" ht="24" customHeight="1">
      <c r="A1184" s="626" t="s">
        <v>12709</v>
      </c>
      <c r="B1184" s="627" t="s">
        <v>13235</v>
      </c>
      <c r="C1184" s="626" t="s">
        <v>8</v>
      </c>
      <c r="D1184" s="626" t="s">
        <v>7268</v>
      </c>
      <c r="E1184" s="628" t="s">
        <v>20</v>
      </c>
      <c r="F1184" s="816" t="s">
        <v>14520</v>
      </c>
      <c r="G1184" s="816"/>
      <c r="H1184" s="816">
        <v>1.0658452</v>
      </c>
      <c r="I1184" s="816"/>
      <c r="J1184" s="817">
        <v>5.1906999999999996</v>
      </c>
      <c r="K1184" s="817"/>
      <c r="L1184" s="817"/>
    </row>
    <row r="1185" spans="1:12" ht="36" customHeight="1">
      <c r="A1185" s="636"/>
      <c r="B1185" s="636"/>
      <c r="C1185" s="636"/>
      <c r="D1185" s="636"/>
      <c r="E1185" s="636"/>
      <c r="F1185" s="636"/>
      <c r="G1185" s="636"/>
      <c r="H1185" s="636"/>
      <c r="I1185" s="636"/>
      <c r="J1185" s="636" t="s">
        <v>13675</v>
      </c>
      <c r="K1185" s="636"/>
      <c r="L1185" s="636" t="s">
        <v>14655</v>
      </c>
    </row>
    <row r="1186" spans="1:12" ht="24" customHeight="1">
      <c r="A1186" s="802" t="s">
        <v>12722</v>
      </c>
      <c r="B1186" s="802"/>
      <c r="C1186" s="802"/>
      <c r="D1186" s="802"/>
      <c r="E1186" s="802"/>
      <c r="F1186" s="802"/>
      <c r="G1186" s="802"/>
      <c r="H1186" s="802"/>
      <c r="I1186" s="612"/>
      <c r="J1186" s="612"/>
      <c r="K1186" s="612"/>
      <c r="L1186" s="612"/>
    </row>
    <row r="1187" spans="1:12" ht="17.100000000000001" customHeight="1">
      <c r="A1187" s="612" t="s">
        <v>13679</v>
      </c>
      <c r="B1187" s="636" t="s">
        <v>12698</v>
      </c>
      <c r="C1187" s="612" t="s">
        <v>12699</v>
      </c>
      <c r="D1187" s="612" t="s">
        <v>12700</v>
      </c>
      <c r="E1187" s="637" t="s">
        <v>12702</v>
      </c>
      <c r="F1187" s="801" t="s">
        <v>12704</v>
      </c>
      <c r="G1187" s="801"/>
      <c r="H1187" s="801" t="s">
        <v>13678</v>
      </c>
      <c r="I1187" s="801"/>
      <c r="J1187" s="801" t="s">
        <v>12705</v>
      </c>
      <c r="K1187" s="801"/>
      <c r="L1187" s="801"/>
    </row>
    <row r="1188" spans="1:12" ht="25.5">
      <c r="A1188" s="626" t="s">
        <v>12709</v>
      </c>
      <c r="B1188" s="627" t="s">
        <v>12998</v>
      </c>
      <c r="C1188" s="626" t="s">
        <v>8</v>
      </c>
      <c r="D1188" s="626" t="s">
        <v>11861</v>
      </c>
      <c r="E1188" s="628" t="s">
        <v>23</v>
      </c>
      <c r="F1188" s="816" t="s">
        <v>13683</v>
      </c>
      <c r="G1188" s="816"/>
      <c r="H1188" s="816">
        <v>0.3475452</v>
      </c>
      <c r="I1188" s="816"/>
      <c r="J1188" s="817">
        <v>0.24679999999999999</v>
      </c>
      <c r="K1188" s="817"/>
      <c r="L1188" s="817"/>
    </row>
    <row r="1189" spans="1:12" ht="17.100000000000001" customHeight="1">
      <c r="A1189" s="636"/>
      <c r="B1189" s="636"/>
      <c r="C1189" s="636"/>
      <c r="D1189" s="636"/>
      <c r="E1189" s="636"/>
      <c r="F1189" s="636"/>
      <c r="G1189" s="636"/>
      <c r="H1189" s="636"/>
      <c r="I1189" s="636"/>
      <c r="J1189" s="636" t="s">
        <v>13675</v>
      </c>
      <c r="K1189" s="636"/>
      <c r="L1189" s="636" t="s">
        <v>13915</v>
      </c>
    </row>
    <row r="1190" spans="1:12" ht="24" customHeight="1">
      <c r="A1190" s="802" t="s">
        <v>12713</v>
      </c>
      <c r="B1190" s="802"/>
      <c r="C1190" s="802"/>
      <c r="D1190" s="802"/>
      <c r="E1190" s="802"/>
      <c r="F1190" s="802"/>
      <c r="G1190" s="802"/>
      <c r="H1190" s="802"/>
      <c r="I1190" s="612"/>
      <c r="J1190" s="612"/>
      <c r="K1190" s="612"/>
      <c r="L1190" s="612"/>
    </row>
    <row r="1191" spans="1:12" ht="17.100000000000001" customHeight="1">
      <c r="A1191" s="612" t="s">
        <v>13679</v>
      </c>
      <c r="B1191" s="636" t="s">
        <v>12698</v>
      </c>
      <c r="C1191" s="612" t="s">
        <v>12699</v>
      </c>
      <c r="D1191" s="612" t="s">
        <v>12700</v>
      </c>
      <c r="E1191" s="637" t="s">
        <v>12702</v>
      </c>
      <c r="F1191" s="801" t="s">
        <v>12704</v>
      </c>
      <c r="G1191" s="801"/>
      <c r="H1191" s="801" t="s">
        <v>13678</v>
      </c>
      <c r="I1191" s="801"/>
      <c r="J1191" s="801" t="s">
        <v>12705</v>
      </c>
      <c r="K1191" s="801"/>
      <c r="L1191" s="801"/>
    </row>
    <row r="1192" spans="1:12" ht="25.5">
      <c r="A1192" s="626" t="s">
        <v>12709</v>
      </c>
      <c r="B1192" s="627" t="s">
        <v>12999</v>
      </c>
      <c r="C1192" s="626" t="s">
        <v>8</v>
      </c>
      <c r="D1192" s="626" t="s">
        <v>11251</v>
      </c>
      <c r="E1192" s="628" t="s">
        <v>23</v>
      </c>
      <c r="F1192" s="816" t="s">
        <v>13681</v>
      </c>
      <c r="G1192" s="816"/>
      <c r="H1192" s="816">
        <v>0.3475452</v>
      </c>
      <c r="I1192" s="816"/>
      <c r="J1192" s="817">
        <v>2.4299999999999999E-2</v>
      </c>
      <c r="K1192" s="817"/>
      <c r="L1192" s="817"/>
    </row>
    <row r="1193" spans="1:12" ht="17.100000000000001" customHeight="1">
      <c r="A1193" s="636"/>
      <c r="B1193" s="636"/>
      <c r="C1193" s="636"/>
      <c r="D1193" s="636"/>
      <c r="E1193" s="636"/>
      <c r="F1193" s="636"/>
      <c r="G1193" s="636"/>
      <c r="H1193" s="636"/>
      <c r="I1193" s="636"/>
      <c r="J1193" s="636" t="s">
        <v>13675</v>
      </c>
      <c r="K1193" s="636"/>
      <c r="L1193" s="636" t="s">
        <v>13680</v>
      </c>
    </row>
    <row r="1194" spans="1:12" ht="24" customHeight="1">
      <c r="A1194" s="802" t="s">
        <v>12712</v>
      </c>
      <c r="B1194" s="802"/>
      <c r="C1194" s="802"/>
      <c r="D1194" s="802"/>
      <c r="E1194" s="802"/>
      <c r="F1194" s="802"/>
      <c r="G1194" s="802"/>
      <c r="H1194" s="802"/>
      <c r="I1194" s="612"/>
      <c r="J1194" s="612"/>
      <c r="K1194" s="612"/>
      <c r="L1194" s="612"/>
    </row>
    <row r="1195" spans="1:12" ht="17.100000000000001" customHeight="1">
      <c r="A1195" s="612" t="s">
        <v>13679</v>
      </c>
      <c r="B1195" s="636" t="s">
        <v>12698</v>
      </c>
      <c r="C1195" s="612" t="s">
        <v>12699</v>
      </c>
      <c r="D1195" s="612" t="s">
        <v>12700</v>
      </c>
      <c r="E1195" s="637" t="s">
        <v>12702</v>
      </c>
      <c r="F1195" s="801" t="s">
        <v>12704</v>
      </c>
      <c r="G1195" s="801"/>
      <c r="H1195" s="801" t="s">
        <v>13678</v>
      </c>
      <c r="I1195" s="801"/>
      <c r="J1195" s="801" t="s">
        <v>12705</v>
      </c>
      <c r="K1195" s="801"/>
      <c r="L1195" s="801"/>
    </row>
    <row r="1196" spans="1:12" ht="25.5">
      <c r="A1196" s="626" t="s">
        <v>12709</v>
      </c>
      <c r="B1196" s="627" t="s">
        <v>13002</v>
      </c>
      <c r="C1196" s="626" t="s">
        <v>8</v>
      </c>
      <c r="D1196" s="626" t="s">
        <v>9306</v>
      </c>
      <c r="E1196" s="628" t="s">
        <v>23</v>
      </c>
      <c r="F1196" s="816" t="s">
        <v>13677</v>
      </c>
      <c r="G1196" s="816"/>
      <c r="H1196" s="816">
        <v>0.3475452</v>
      </c>
      <c r="I1196" s="816"/>
      <c r="J1196" s="817">
        <v>0.1216</v>
      </c>
      <c r="K1196" s="817"/>
      <c r="L1196" s="817"/>
    </row>
    <row r="1197" spans="1:12" ht="17.100000000000001" customHeight="1">
      <c r="A1197" s="626" t="s">
        <v>12709</v>
      </c>
      <c r="B1197" s="627" t="s">
        <v>13004</v>
      </c>
      <c r="C1197" s="626" t="s">
        <v>8</v>
      </c>
      <c r="D1197" s="626" t="s">
        <v>7388</v>
      </c>
      <c r="E1197" s="628" t="s">
        <v>23</v>
      </c>
      <c r="F1197" s="816" t="s">
        <v>13676</v>
      </c>
      <c r="G1197" s="816"/>
      <c r="H1197" s="816">
        <v>0.3475452</v>
      </c>
      <c r="I1197" s="816"/>
      <c r="J1197" s="817">
        <v>0.76459999999999995</v>
      </c>
      <c r="K1197" s="817"/>
      <c r="L1197" s="817"/>
    </row>
    <row r="1198" spans="1:12" ht="24" customHeight="1">
      <c r="A1198" s="636"/>
      <c r="B1198" s="636"/>
      <c r="C1198" s="636"/>
      <c r="D1198" s="636"/>
      <c r="E1198" s="636"/>
      <c r="F1198" s="636"/>
      <c r="G1198" s="636"/>
      <c r="H1198" s="636"/>
      <c r="I1198" s="636"/>
      <c r="J1198" s="636" t="s">
        <v>13675</v>
      </c>
      <c r="K1198" s="636"/>
      <c r="L1198" s="636" t="s">
        <v>13816</v>
      </c>
    </row>
    <row r="1199" spans="1:12" ht="24" customHeight="1">
      <c r="A1199" s="612" t="s">
        <v>13673</v>
      </c>
      <c r="B1199" s="612"/>
      <c r="C1199" s="612"/>
      <c r="D1199" s="612"/>
      <c r="E1199" s="612"/>
      <c r="F1199" s="612"/>
      <c r="G1199" s="612"/>
      <c r="H1199" s="612"/>
      <c r="I1199" s="612"/>
      <c r="J1199" s="612"/>
      <c r="K1199" s="612"/>
      <c r="L1199" s="612"/>
    </row>
    <row r="1200" spans="1:12" ht="17.100000000000001" customHeight="1">
      <c r="A1200" s="636"/>
      <c r="B1200" s="636"/>
      <c r="C1200" s="636"/>
      <c r="D1200" s="636"/>
      <c r="E1200" s="636"/>
      <c r="F1200" s="636"/>
      <c r="G1200" s="636"/>
      <c r="H1200" s="636"/>
      <c r="I1200" s="636"/>
      <c r="J1200" s="636" t="s">
        <v>13672</v>
      </c>
      <c r="K1200" s="636"/>
      <c r="L1200" s="636" t="s">
        <v>15016</v>
      </c>
    </row>
    <row r="1201" spans="1:12" ht="17.100000000000001" customHeight="1">
      <c r="A1201" s="636"/>
      <c r="B1201" s="636"/>
      <c r="C1201" s="636"/>
      <c r="D1201" s="636"/>
      <c r="E1201" s="636"/>
      <c r="F1201" s="636"/>
      <c r="G1201" s="636"/>
      <c r="H1201" s="636"/>
      <c r="I1201" s="636"/>
      <c r="J1201" s="636" t="s">
        <v>13671</v>
      </c>
      <c r="K1201" s="636" t="s">
        <v>14461</v>
      </c>
      <c r="L1201" s="636" t="s">
        <v>15017</v>
      </c>
    </row>
    <row r="1202" spans="1:12" ht="17.100000000000001" customHeight="1">
      <c r="A1202" s="636"/>
      <c r="B1202" s="636"/>
      <c r="C1202" s="636"/>
      <c r="D1202" s="636"/>
      <c r="E1202" s="636"/>
      <c r="F1202" s="636"/>
      <c r="G1202" s="636"/>
      <c r="H1202" s="636"/>
      <c r="I1202" s="636"/>
      <c r="J1202" s="636" t="s">
        <v>13670</v>
      </c>
      <c r="K1202" s="636"/>
      <c r="L1202" s="636" t="s">
        <v>15018</v>
      </c>
    </row>
    <row r="1203" spans="1:12" ht="17.100000000000001" customHeight="1">
      <c r="A1203" s="636"/>
      <c r="B1203" s="636"/>
      <c r="C1203" s="636"/>
      <c r="D1203" s="636"/>
      <c r="E1203" s="636"/>
      <c r="F1203" s="636"/>
      <c r="G1203" s="636"/>
      <c r="H1203" s="636"/>
      <c r="I1203" s="636"/>
      <c r="J1203" s="636" t="s">
        <v>13669</v>
      </c>
      <c r="K1203" s="636" t="s">
        <v>13667</v>
      </c>
      <c r="L1203" s="636" t="s">
        <v>15019</v>
      </c>
    </row>
    <row r="1204" spans="1:12" ht="17.100000000000001" customHeight="1">
      <c r="A1204" s="636"/>
      <c r="B1204" s="636"/>
      <c r="C1204" s="636"/>
      <c r="D1204" s="636"/>
      <c r="E1204" s="636"/>
      <c r="F1204" s="636"/>
      <c r="G1204" s="636"/>
      <c r="H1204" s="636"/>
      <c r="I1204" s="636"/>
      <c r="J1204" s="636" t="s">
        <v>13668</v>
      </c>
      <c r="K1204" s="636"/>
      <c r="L1204" s="636" t="s">
        <v>15020</v>
      </c>
    </row>
    <row r="1205" spans="1:12" ht="17.100000000000001" customHeight="1">
      <c r="A1205" s="637"/>
      <c r="B1205" s="637"/>
      <c r="C1205" s="637"/>
      <c r="D1205" s="637"/>
      <c r="E1205" s="637"/>
      <c r="F1205" s="637"/>
      <c r="G1205" s="637"/>
      <c r="H1205" s="637"/>
      <c r="I1205" s="637"/>
      <c r="J1205" s="637"/>
      <c r="K1205" s="637"/>
      <c r="L1205" s="637"/>
    </row>
    <row r="1206" spans="1:12" ht="17.100000000000001" customHeight="1">
      <c r="A1206" s="616" t="s">
        <v>14239</v>
      </c>
      <c r="B1206" s="617" t="s">
        <v>13627</v>
      </c>
      <c r="C1206" s="616" t="s">
        <v>8</v>
      </c>
      <c r="D1206" s="616" t="s">
        <v>4001</v>
      </c>
      <c r="E1206" s="618" t="s">
        <v>12725</v>
      </c>
      <c r="F1206" s="617"/>
      <c r="G1206" s="617"/>
      <c r="H1206" s="617"/>
      <c r="I1206" s="617"/>
      <c r="J1206" s="617"/>
      <c r="K1206" s="617"/>
      <c r="L1206" s="617"/>
    </row>
    <row r="1207" spans="1:12" ht="30" customHeight="1">
      <c r="A1207" s="802" t="s">
        <v>12711</v>
      </c>
      <c r="B1207" s="802"/>
      <c r="C1207" s="802"/>
      <c r="D1207" s="802"/>
      <c r="E1207" s="802"/>
      <c r="F1207" s="802"/>
      <c r="G1207" s="802"/>
      <c r="H1207" s="802"/>
      <c r="I1207" s="612"/>
      <c r="J1207" s="612"/>
      <c r="K1207" s="612"/>
      <c r="L1207" s="612"/>
    </row>
    <row r="1208" spans="1:12" ht="24" customHeight="1">
      <c r="A1208" s="612" t="s">
        <v>13679</v>
      </c>
      <c r="B1208" s="636" t="s">
        <v>12698</v>
      </c>
      <c r="C1208" s="612" t="s">
        <v>12699</v>
      </c>
      <c r="D1208" s="612" t="s">
        <v>12700</v>
      </c>
      <c r="E1208" s="637" t="s">
        <v>12702</v>
      </c>
      <c r="F1208" s="801" t="s">
        <v>12704</v>
      </c>
      <c r="G1208" s="801"/>
      <c r="H1208" s="801" t="s">
        <v>13678</v>
      </c>
      <c r="I1208" s="801"/>
      <c r="J1208" s="801" t="s">
        <v>12705</v>
      </c>
      <c r="K1208" s="801"/>
      <c r="L1208" s="801"/>
    </row>
    <row r="1209" spans="1:12" ht="14.25" customHeight="1">
      <c r="A1209" s="626" t="s">
        <v>12709</v>
      </c>
      <c r="B1209" s="627" t="s">
        <v>13003</v>
      </c>
      <c r="C1209" s="626" t="s">
        <v>8</v>
      </c>
      <c r="D1209" s="626" t="s">
        <v>9227</v>
      </c>
      <c r="E1209" s="628" t="s">
        <v>23</v>
      </c>
      <c r="F1209" s="816" t="s">
        <v>13732</v>
      </c>
      <c r="G1209" s="816"/>
      <c r="H1209" s="816">
        <v>0.1178781</v>
      </c>
      <c r="I1209" s="816"/>
      <c r="J1209" s="817">
        <v>7.7799999999999994E-2</v>
      </c>
      <c r="K1209" s="817"/>
      <c r="L1209" s="817"/>
    </row>
    <row r="1210" spans="1:12" ht="17.100000000000001" customHeight="1">
      <c r="A1210" s="626" t="s">
        <v>12709</v>
      </c>
      <c r="B1210" s="627" t="s">
        <v>13001</v>
      </c>
      <c r="C1210" s="626" t="s">
        <v>8</v>
      </c>
      <c r="D1210" s="626" t="s">
        <v>9374</v>
      </c>
      <c r="E1210" s="628" t="s">
        <v>23</v>
      </c>
      <c r="F1210" s="816" t="s">
        <v>13728</v>
      </c>
      <c r="G1210" s="816"/>
      <c r="H1210" s="816">
        <v>0.1178781</v>
      </c>
      <c r="I1210" s="816"/>
      <c r="J1210" s="817">
        <v>1.1999999999999999E-3</v>
      </c>
      <c r="K1210" s="817"/>
      <c r="L1210" s="817"/>
    </row>
    <row r="1211" spans="1:12" ht="24" customHeight="1">
      <c r="A1211" s="626" t="s">
        <v>12709</v>
      </c>
      <c r="B1211" s="627" t="s">
        <v>13032</v>
      </c>
      <c r="C1211" s="626" t="s">
        <v>8</v>
      </c>
      <c r="D1211" s="626" t="s">
        <v>9217</v>
      </c>
      <c r="E1211" s="628" t="s">
        <v>23</v>
      </c>
      <c r="F1211" s="816" t="s">
        <v>13741</v>
      </c>
      <c r="G1211" s="816"/>
      <c r="H1211" s="816">
        <v>3.8510162000000001</v>
      </c>
      <c r="I1211" s="816"/>
      <c r="J1211" s="817">
        <v>4.1590999999999996</v>
      </c>
      <c r="K1211" s="817"/>
      <c r="L1211" s="817"/>
    </row>
    <row r="1212" spans="1:12" ht="24" customHeight="1">
      <c r="A1212" s="626" t="s">
        <v>12709</v>
      </c>
      <c r="B1212" s="627" t="s">
        <v>13031</v>
      </c>
      <c r="C1212" s="626" t="s">
        <v>8</v>
      </c>
      <c r="D1212" s="626" t="s">
        <v>9364</v>
      </c>
      <c r="E1212" s="628" t="s">
        <v>23</v>
      </c>
      <c r="F1212" s="816" t="s">
        <v>13740</v>
      </c>
      <c r="G1212" s="816"/>
      <c r="H1212" s="816">
        <v>3.8510162000000001</v>
      </c>
      <c r="I1212" s="816"/>
      <c r="J1212" s="817">
        <v>1.3092999999999999</v>
      </c>
      <c r="K1212" s="817"/>
      <c r="L1212" s="817"/>
    </row>
    <row r="1213" spans="1:12" ht="24" customHeight="1">
      <c r="A1213" s="636"/>
      <c r="B1213" s="636"/>
      <c r="C1213" s="636"/>
      <c r="D1213" s="636"/>
      <c r="E1213" s="636"/>
      <c r="F1213" s="636"/>
      <c r="G1213" s="636"/>
      <c r="H1213" s="636"/>
      <c r="I1213" s="636"/>
      <c r="J1213" s="636" t="s">
        <v>13675</v>
      </c>
      <c r="K1213" s="636"/>
      <c r="L1213" s="636" t="s">
        <v>14200</v>
      </c>
    </row>
    <row r="1214" spans="1:12" ht="24" customHeight="1">
      <c r="A1214" s="802" t="s">
        <v>12710</v>
      </c>
      <c r="B1214" s="802"/>
      <c r="C1214" s="802"/>
      <c r="D1214" s="802"/>
      <c r="E1214" s="802"/>
      <c r="F1214" s="802"/>
      <c r="G1214" s="802"/>
      <c r="H1214" s="802"/>
      <c r="I1214" s="612"/>
      <c r="J1214" s="612"/>
      <c r="K1214" s="612"/>
      <c r="L1214" s="612"/>
    </row>
    <row r="1215" spans="1:12" ht="17.100000000000001" customHeight="1">
      <c r="A1215" s="612" t="s">
        <v>13679</v>
      </c>
      <c r="B1215" s="636" t="s">
        <v>12698</v>
      </c>
      <c r="C1215" s="612" t="s">
        <v>12699</v>
      </c>
      <c r="D1215" s="612" t="s">
        <v>12700</v>
      </c>
      <c r="E1215" s="637" t="s">
        <v>12702</v>
      </c>
      <c r="F1215" s="801" t="s">
        <v>12704</v>
      </c>
      <c r="G1215" s="801"/>
      <c r="H1215" s="801" t="s">
        <v>13678</v>
      </c>
      <c r="I1215" s="801"/>
      <c r="J1215" s="801" t="s">
        <v>12705</v>
      </c>
      <c r="K1215" s="801"/>
      <c r="L1215" s="801"/>
    </row>
    <row r="1216" spans="1:12" ht="14.25" customHeight="1">
      <c r="A1216" s="626" t="s">
        <v>12709</v>
      </c>
      <c r="B1216" s="627" t="s">
        <v>13103</v>
      </c>
      <c r="C1216" s="626" t="s">
        <v>8</v>
      </c>
      <c r="D1216" s="626" t="s">
        <v>10570</v>
      </c>
      <c r="E1216" s="628" t="s">
        <v>23</v>
      </c>
      <c r="F1216" s="816" t="s">
        <v>14289</v>
      </c>
      <c r="G1216" s="816"/>
      <c r="H1216" s="816">
        <v>0.118925</v>
      </c>
      <c r="I1216" s="816"/>
      <c r="J1216" s="817">
        <v>0.60529999999999995</v>
      </c>
      <c r="K1216" s="817"/>
      <c r="L1216" s="817"/>
    </row>
    <row r="1217" spans="1:12" ht="17.100000000000001" customHeight="1">
      <c r="A1217" s="626" t="s">
        <v>12709</v>
      </c>
      <c r="B1217" s="627" t="s">
        <v>13228</v>
      </c>
      <c r="C1217" s="626" t="s">
        <v>8</v>
      </c>
      <c r="D1217" s="626" t="s">
        <v>8289</v>
      </c>
      <c r="E1217" s="628" t="s">
        <v>23</v>
      </c>
      <c r="F1217" s="816" t="s">
        <v>14199</v>
      </c>
      <c r="G1217" s="816"/>
      <c r="H1217" s="816">
        <v>1.0970108999999999</v>
      </c>
      <c r="I1217" s="816"/>
      <c r="J1217" s="817">
        <v>5.9676999999999998</v>
      </c>
      <c r="K1217" s="817"/>
      <c r="L1217" s="817"/>
    </row>
    <row r="1218" spans="1:12" ht="24" customHeight="1">
      <c r="A1218" s="626" t="s">
        <v>12709</v>
      </c>
      <c r="B1218" s="627" t="s">
        <v>13212</v>
      </c>
      <c r="C1218" s="626" t="s">
        <v>8</v>
      </c>
      <c r="D1218" s="626" t="s">
        <v>8293</v>
      </c>
      <c r="E1218" s="628" t="s">
        <v>23</v>
      </c>
      <c r="F1218" s="816" t="s">
        <v>14470</v>
      </c>
      <c r="G1218" s="816"/>
      <c r="H1218" s="816">
        <v>2.7907065000000002</v>
      </c>
      <c r="I1218" s="816"/>
      <c r="J1218" s="817">
        <v>19.283799999999999</v>
      </c>
      <c r="K1218" s="817"/>
      <c r="L1218" s="817"/>
    </row>
    <row r="1219" spans="1:12" ht="24" customHeight="1">
      <c r="A1219" s="636"/>
      <c r="B1219" s="636"/>
      <c r="C1219" s="636"/>
      <c r="D1219" s="636"/>
      <c r="E1219" s="636"/>
      <c r="F1219" s="636"/>
      <c r="G1219" s="636"/>
      <c r="H1219" s="636"/>
      <c r="I1219" s="636"/>
      <c r="J1219" s="636" t="s">
        <v>13675</v>
      </c>
      <c r="K1219" s="636"/>
      <c r="L1219" s="636" t="s">
        <v>14779</v>
      </c>
    </row>
    <row r="1220" spans="1:12" ht="17.100000000000001" customHeight="1">
      <c r="A1220" s="802" t="s">
        <v>12720</v>
      </c>
      <c r="B1220" s="802"/>
      <c r="C1220" s="802"/>
      <c r="D1220" s="802"/>
      <c r="E1220" s="802"/>
      <c r="F1220" s="802"/>
      <c r="G1220" s="802"/>
      <c r="H1220" s="802"/>
      <c r="I1220" s="612"/>
      <c r="J1220" s="612"/>
      <c r="K1220" s="612"/>
      <c r="L1220" s="612"/>
    </row>
    <row r="1221" spans="1:12">
      <c r="A1221" s="612" t="s">
        <v>13679</v>
      </c>
      <c r="B1221" s="636" t="s">
        <v>12698</v>
      </c>
      <c r="C1221" s="612" t="s">
        <v>12699</v>
      </c>
      <c r="D1221" s="612" t="s">
        <v>12700</v>
      </c>
      <c r="E1221" s="637" t="s">
        <v>12702</v>
      </c>
      <c r="F1221" s="801" t="s">
        <v>12704</v>
      </c>
      <c r="G1221" s="801"/>
      <c r="H1221" s="801" t="s">
        <v>13678</v>
      </c>
      <c r="I1221" s="801"/>
      <c r="J1221" s="801" t="s">
        <v>12705</v>
      </c>
      <c r="K1221" s="801"/>
      <c r="L1221" s="801"/>
    </row>
    <row r="1222" spans="1:12" ht="17.100000000000001" customHeight="1">
      <c r="A1222" s="626" t="s">
        <v>12709</v>
      </c>
      <c r="B1222" s="627" t="s">
        <v>13093</v>
      </c>
      <c r="C1222" s="626" t="s">
        <v>8</v>
      </c>
      <c r="D1222" s="626" t="s">
        <v>8980</v>
      </c>
      <c r="E1222" s="628" t="s">
        <v>58</v>
      </c>
      <c r="F1222" s="816" t="s">
        <v>14502</v>
      </c>
      <c r="G1222" s="816"/>
      <c r="H1222" s="816">
        <v>1.7000000000000001E-2</v>
      </c>
      <c r="I1222" s="816"/>
      <c r="J1222" s="817">
        <v>0.08</v>
      </c>
      <c r="K1222" s="817"/>
      <c r="L1222" s="817"/>
    </row>
    <row r="1223" spans="1:12" ht="48" customHeight="1">
      <c r="A1223" s="626" t="s">
        <v>12709</v>
      </c>
      <c r="B1223" s="627" t="s">
        <v>13613</v>
      </c>
      <c r="C1223" s="626" t="s">
        <v>8</v>
      </c>
      <c r="D1223" s="626" t="s">
        <v>11000</v>
      </c>
      <c r="E1223" s="628" t="s">
        <v>20</v>
      </c>
      <c r="F1223" s="816" t="s">
        <v>13753</v>
      </c>
      <c r="G1223" s="816"/>
      <c r="H1223" s="816">
        <v>0.01</v>
      </c>
      <c r="I1223" s="816"/>
      <c r="J1223" s="817">
        <v>0.13</v>
      </c>
      <c r="K1223" s="817"/>
      <c r="L1223" s="817"/>
    </row>
    <row r="1224" spans="1:12" ht="17.100000000000001" customHeight="1">
      <c r="A1224" s="626" t="s">
        <v>12709</v>
      </c>
      <c r="B1224" s="627" t="s">
        <v>13626</v>
      </c>
      <c r="C1224" s="626" t="s">
        <v>8</v>
      </c>
      <c r="D1224" s="626" t="s">
        <v>11006</v>
      </c>
      <c r="E1224" s="628" t="s">
        <v>20</v>
      </c>
      <c r="F1224" s="816" t="s">
        <v>14238</v>
      </c>
      <c r="G1224" s="816"/>
      <c r="H1224" s="816">
        <v>1.6E-2</v>
      </c>
      <c r="I1224" s="816"/>
      <c r="J1224" s="817">
        <v>0.2</v>
      </c>
      <c r="K1224" s="817"/>
      <c r="L1224" s="817"/>
    </row>
    <row r="1225" spans="1:12" ht="25.5">
      <c r="A1225" s="626" t="s">
        <v>12709</v>
      </c>
      <c r="B1225" s="627" t="s">
        <v>13617</v>
      </c>
      <c r="C1225" s="626" t="s">
        <v>8</v>
      </c>
      <c r="D1225" s="626" t="s">
        <v>11010</v>
      </c>
      <c r="E1225" s="628" t="s">
        <v>20</v>
      </c>
      <c r="F1225" s="816" t="s">
        <v>13752</v>
      </c>
      <c r="G1225" s="816"/>
      <c r="H1225" s="816">
        <v>4.7E-2</v>
      </c>
      <c r="I1225" s="816"/>
      <c r="J1225" s="817">
        <v>0.53</v>
      </c>
      <c r="K1225" s="817"/>
      <c r="L1225" s="817"/>
    </row>
    <row r="1226" spans="1:12" ht="17.100000000000001" customHeight="1">
      <c r="A1226" s="626" t="s">
        <v>12709</v>
      </c>
      <c r="B1226" s="627" t="s">
        <v>13091</v>
      </c>
      <c r="C1226" s="626" t="s">
        <v>8</v>
      </c>
      <c r="D1226" s="626" t="s">
        <v>11248</v>
      </c>
      <c r="E1226" s="628" t="s">
        <v>17</v>
      </c>
      <c r="F1226" s="816" t="s">
        <v>14501</v>
      </c>
      <c r="G1226" s="816"/>
      <c r="H1226" s="816">
        <v>4.6120000000000001</v>
      </c>
      <c r="I1226" s="816"/>
      <c r="J1226" s="817">
        <v>9.2200000000000006</v>
      </c>
      <c r="K1226" s="817"/>
      <c r="L1226" s="817"/>
    </row>
    <row r="1227" spans="1:12" ht="24" customHeight="1">
      <c r="A1227" s="626" t="s">
        <v>12709</v>
      </c>
      <c r="B1227" s="627" t="s">
        <v>13189</v>
      </c>
      <c r="C1227" s="626" t="s">
        <v>8</v>
      </c>
      <c r="D1227" s="626" t="s">
        <v>11363</v>
      </c>
      <c r="E1227" s="628" t="s">
        <v>17</v>
      </c>
      <c r="F1227" s="816" t="s">
        <v>14500</v>
      </c>
      <c r="G1227" s="816"/>
      <c r="H1227" s="816">
        <v>1.278</v>
      </c>
      <c r="I1227" s="816"/>
      <c r="J1227" s="817">
        <v>11.16</v>
      </c>
      <c r="K1227" s="817"/>
      <c r="L1227" s="817"/>
    </row>
    <row r="1228" spans="1:12" ht="17.100000000000001" customHeight="1">
      <c r="A1228" s="626" t="s">
        <v>12709</v>
      </c>
      <c r="B1228" s="627" t="s">
        <v>13056</v>
      </c>
      <c r="C1228" s="626" t="s">
        <v>8</v>
      </c>
      <c r="D1228" s="626" t="s">
        <v>11277</v>
      </c>
      <c r="E1228" s="628" t="s">
        <v>35</v>
      </c>
      <c r="F1228" s="816" t="s">
        <v>14498</v>
      </c>
      <c r="G1228" s="816"/>
      <c r="H1228" s="816">
        <v>1.42E-5</v>
      </c>
      <c r="I1228" s="816"/>
      <c r="J1228" s="817">
        <v>1.77E-2</v>
      </c>
      <c r="K1228" s="817"/>
      <c r="L1228" s="817"/>
    </row>
    <row r="1229" spans="1:12" ht="25.5">
      <c r="A1229" s="626" t="s">
        <v>12709</v>
      </c>
      <c r="B1229" s="627" t="s">
        <v>12987</v>
      </c>
      <c r="C1229" s="626" t="s">
        <v>8</v>
      </c>
      <c r="D1229" s="626" t="s">
        <v>9192</v>
      </c>
      <c r="E1229" s="628" t="s">
        <v>12923</v>
      </c>
      <c r="F1229" s="816" t="s">
        <v>13999</v>
      </c>
      <c r="G1229" s="816"/>
      <c r="H1229" s="816">
        <v>0.25017119999999998</v>
      </c>
      <c r="I1229" s="816"/>
      <c r="J1229" s="817">
        <v>0.2026</v>
      </c>
      <c r="K1229" s="817"/>
      <c r="L1229" s="817"/>
    </row>
    <row r="1230" spans="1:12" ht="17.100000000000001" customHeight="1">
      <c r="A1230" s="636"/>
      <c r="B1230" s="636"/>
      <c r="C1230" s="636"/>
      <c r="D1230" s="636"/>
      <c r="E1230" s="636"/>
      <c r="F1230" s="636"/>
      <c r="G1230" s="636"/>
      <c r="H1230" s="636"/>
      <c r="I1230" s="636"/>
      <c r="J1230" s="636" t="s">
        <v>13675</v>
      </c>
      <c r="K1230" s="636"/>
      <c r="L1230" s="636" t="s">
        <v>14778</v>
      </c>
    </row>
    <row r="1231" spans="1:12" ht="24" customHeight="1">
      <c r="A1231" s="802" t="s">
        <v>12722</v>
      </c>
      <c r="B1231" s="802"/>
      <c r="C1231" s="802"/>
      <c r="D1231" s="802"/>
      <c r="E1231" s="802"/>
      <c r="F1231" s="802"/>
      <c r="G1231" s="802"/>
      <c r="H1231" s="802"/>
      <c r="I1231" s="612"/>
      <c r="J1231" s="612"/>
      <c r="K1231" s="612"/>
      <c r="L1231" s="612"/>
    </row>
    <row r="1232" spans="1:12" ht="17.100000000000001" customHeight="1">
      <c r="A1232" s="612" t="s">
        <v>13679</v>
      </c>
      <c r="B1232" s="636" t="s">
        <v>12698</v>
      </c>
      <c r="C1232" s="612" t="s">
        <v>12699</v>
      </c>
      <c r="D1232" s="612" t="s">
        <v>12700</v>
      </c>
      <c r="E1232" s="637" t="s">
        <v>12702</v>
      </c>
      <c r="F1232" s="801" t="s">
        <v>12704</v>
      </c>
      <c r="G1232" s="801"/>
      <c r="H1232" s="801" t="s">
        <v>13678</v>
      </c>
      <c r="I1232" s="801"/>
      <c r="J1232" s="801" t="s">
        <v>12705</v>
      </c>
      <c r="K1232" s="801"/>
      <c r="L1232" s="801"/>
    </row>
    <row r="1233" spans="1:12" ht="25.5">
      <c r="A1233" s="626" t="s">
        <v>12709</v>
      </c>
      <c r="B1233" s="627" t="s">
        <v>12998</v>
      </c>
      <c r="C1233" s="626" t="s">
        <v>8</v>
      </c>
      <c r="D1233" s="626" t="s">
        <v>11861</v>
      </c>
      <c r="E1233" s="628" t="s">
        <v>23</v>
      </c>
      <c r="F1233" s="816" t="s">
        <v>13683</v>
      </c>
      <c r="G1233" s="816"/>
      <c r="H1233" s="816">
        <v>3.9688943000000001</v>
      </c>
      <c r="I1233" s="816"/>
      <c r="J1233" s="817">
        <v>2.8178999999999998</v>
      </c>
      <c r="K1233" s="817"/>
      <c r="L1233" s="817"/>
    </row>
    <row r="1234" spans="1:12" ht="17.100000000000001" customHeight="1">
      <c r="A1234" s="636"/>
      <c r="B1234" s="636"/>
      <c r="C1234" s="636"/>
      <c r="D1234" s="636"/>
      <c r="E1234" s="636"/>
      <c r="F1234" s="636"/>
      <c r="G1234" s="636"/>
      <c r="H1234" s="636"/>
      <c r="I1234" s="636"/>
      <c r="J1234" s="636" t="s">
        <v>13675</v>
      </c>
      <c r="K1234" s="636"/>
      <c r="L1234" s="636" t="s">
        <v>14237</v>
      </c>
    </row>
    <row r="1235" spans="1:12" ht="24" customHeight="1">
      <c r="A1235" s="802" t="s">
        <v>12713</v>
      </c>
      <c r="B1235" s="802"/>
      <c r="C1235" s="802"/>
      <c r="D1235" s="802"/>
      <c r="E1235" s="802"/>
      <c r="F1235" s="802"/>
      <c r="G1235" s="802"/>
      <c r="H1235" s="802"/>
      <c r="I1235" s="612"/>
      <c r="J1235" s="612"/>
      <c r="K1235" s="612"/>
      <c r="L1235" s="612"/>
    </row>
    <row r="1236" spans="1:12" ht="24" customHeight="1">
      <c r="A1236" s="612" t="s">
        <v>13679</v>
      </c>
      <c r="B1236" s="636" t="s">
        <v>12698</v>
      </c>
      <c r="C1236" s="612" t="s">
        <v>12699</v>
      </c>
      <c r="D1236" s="612" t="s">
        <v>12700</v>
      </c>
      <c r="E1236" s="637" t="s">
        <v>12702</v>
      </c>
      <c r="F1236" s="801" t="s">
        <v>12704</v>
      </c>
      <c r="G1236" s="801"/>
      <c r="H1236" s="801" t="s">
        <v>13678</v>
      </c>
      <c r="I1236" s="801"/>
      <c r="J1236" s="801" t="s">
        <v>12705</v>
      </c>
      <c r="K1236" s="801"/>
      <c r="L1236" s="801"/>
    </row>
    <row r="1237" spans="1:12" ht="17.100000000000001" customHeight="1">
      <c r="A1237" s="626" t="s">
        <v>12709</v>
      </c>
      <c r="B1237" s="627" t="s">
        <v>12999</v>
      </c>
      <c r="C1237" s="626" t="s">
        <v>8</v>
      </c>
      <c r="D1237" s="626" t="s">
        <v>11251</v>
      </c>
      <c r="E1237" s="628" t="s">
        <v>23</v>
      </c>
      <c r="F1237" s="816" t="s">
        <v>13681</v>
      </c>
      <c r="G1237" s="816"/>
      <c r="H1237" s="816">
        <v>3.9688943000000001</v>
      </c>
      <c r="I1237" s="816"/>
      <c r="J1237" s="817">
        <v>0.27779999999999999</v>
      </c>
      <c r="K1237" s="817"/>
      <c r="L1237" s="817"/>
    </row>
    <row r="1238" spans="1:12" ht="17.100000000000001" customHeight="1">
      <c r="A1238" s="636"/>
      <c r="B1238" s="636"/>
      <c r="C1238" s="636"/>
      <c r="D1238" s="636"/>
      <c r="E1238" s="636"/>
      <c r="F1238" s="636"/>
      <c r="G1238" s="636"/>
      <c r="H1238" s="636"/>
      <c r="I1238" s="636"/>
      <c r="J1238" s="636" t="s">
        <v>13675</v>
      </c>
      <c r="K1238" s="636"/>
      <c r="L1238" s="636" t="s">
        <v>13762</v>
      </c>
    </row>
    <row r="1239" spans="1:12" ht="17.100000000000001" customHeight="1">
      <c r="A1239" s="802" t="s">
        <v>12712</v>
      </c>
      <c r="B1239" s="802"/>
      <c r="C1239" s="802"/>
      <c r="D1239" s="802"/>
      <c r="E1239" s="802"/>
      <c r="F1239" s="802"/>
      <c r="G1239" s="802"/>
      <c r="H1239" s="802"/>
      <c r="I1239" s="612"/>
      <c r="J1239" s="612"/>
      <c r="K1239" s="612"/>
      <c r="L1239" s="612"/>
    </row>
    <row r="1240" spans="1:12" ht="17.100000000000001" customHeight="1">
      <c r="A1240" s="612" t="s">
        <v>13679</v>
      </c>
      <c r="B1240" s="636" t="s">
        <v>12698</v>
      </c>
      <c r="C1240" s="612" t="s">
        <v>12699</v>
      </c>
      <c r="D1240" s="612" t="s">
        <v>12700</v>
      </c>
      <c r="E1240" s="637" t="s">
        <v>12702</v>
      </c>
      <c r="F1240" s="801" t="s">
        <v>12704</v>
      </c>
      <c r="G1240" s="801"/>
      <c r="H1240" s="801" t="s">
        <v>13678</v>
      </c>
      <c r="I1240" s="801"/>
      <c r="J1240" s="801" t="s">
        <v>12705</v>
      </c>
      <c r="K1240" s="801"/>
      <c r="L1240" s="801"/>
    </row>
    <row r="1241" spans="1:12" ht="17.100000000000001" customHeight="1">
      <c r="A1241" s="626" t="s">
        <v>12709</v>
      </c>
      <c r="B1241" s="627" t="s">
        <v>13002</v>
      </c>
      <c r="C1241" s="626" t="s">
        <v>8</v>
      </c>
      <c r="D1241" s="626" t="s">
        <v>9306</v>
      </c>
      <c r="E1241" s="628" t="s">
        <v>23</v>
      </c>
      <c r="F1241" s="816" t="s">
        <v>13677</v>
      </c>
      <c r="G1241" s="816"/>
      <c r="H1241" s="816">
        <v>3.9688943000000001</v>
      </c>
      <c r="I1241" s="816"/>
      <c r="J1241" s="817">
        <v>1.3891</v>
      </c>
      <c r="K1241" s="817"/>
      <c r="L1241" s="817"/>
    </row>
    <row r="1242" spans="1:12" ht="17.100000000000001" customHeight="1">
      <c r="A1242" s="626" t="s">
        <v>12709</v>
      </c>
      <c r="B1242" s="627" t="s">
        <v>13004</v>
      </c>
      <c r="C1242" s="626" t="s">
        <v>8</v>
      </c>
      <c r="D1242" s="626" t="s">
        <v>7388</v>
      </c>
      <c r="E1242" s="628" t="s">
        <v>23</v>
      </c>
      <c r="F1242" s="816" t="s">
        <v>13676</v>
      </c>
      <c r="G1242" s="816"/>
      <c r="H1242" s="816">
        <v>3.9688943000000001</v>
      </c>
      <c r="I1242" s="816"/>
      <c r="J1242" s="817">
        <v>8.7316000000000003</v>
      </c>
      <c r="K1242" s="817"/>
      <c r="L1242" s="817"/>
    </row>
    <row r="1243" spans="1:12" ht="17.100000000000001" customHeight="1">
      <c r="A1243" s="636"/>
      <c r="B1243" s="636"/>
      <c r="C1243" s="636"/>
      <c r="D1243" s="636"/>
      <c r="E1243" s="636"/>
      <c r="F1243" s="636"/>
      <c r="G1243" s="636"/>
      <c r="H1243" s="636"/>
      <c r="I1243" s="636"/>
      <c r="J1243" s="636" t="s">
        <v>13675</v>
      </c>
      <c r="K1243" s="636"/>
      <c r="L1243" s="636" t="s">
        <v>14236</v>
      </c>
    </row>
    <row r="1244" spans="1:12" ht="30" customHeight="1">
      <c r="A1244" s="612" t="s">
        <v>13673</v>
      </c>
      <c r="B1244" s="612"/>
      <c r="C1244" s="612"/>
      <c r="D1244" s="612"/>
      <c r="E1244" s="612"/>
      <c r="F1244" s="612"/>
      <c r="G1244" s="612"/>
      <c r="H1244" s="612"/>
      <c r="I1244" s="612"/>
      <c r="J1244" s="612"/>
      <c r="K1244" s="612"/>
      <c r="L1244" s="612"/>
    </row>
    <row r="1245" spans="1:12" ht="24" customHeight="1">
      <c r="A1245" s="636"/>
      <c r="B1245" s="636"/>
      <c r="C1245" s="636"/>
      <c r="D1245" s="636"/>
      <c r="E1245" s="636"/>
      <c r="F1245" s="636"/>
      <c r="G1245" s="636"/>
      <c r="H1245" s="636"/>
      <c r="I1245" s="636"/>
      <c r="J1245" s="636" t="s">
        <v>13672</v>
      </c>
      <c r="K1245" s="636"/>
      <c r="L1245" s="636" t="s">
        <v>15021</v>
      </c>
    </row>
    <row r="1246" spans="1:12" ht="14.25" customHeight="1">
      <c r="A1246" s="636"/>
      <c r="B1246" s="636"/>
      <c r="C1246" s="636"/>
      <c r="D1246" s="636"/>
      <c r="E1246" s="636"/>
      <c r="F1246" s="636"/>
      <c r="G1246" s="636"/>
      <c r="H1246" s="636"/>
      <c r="I1246" s="636"/>
      <c r="J1246" s="636" t="s">
        <v>13671</v>
      </c>
      <c r="K1246" s="636" t="s">
        <v>14461</v>
      </c>
      <c r="L1246" s="636" t="s">
        <v>15022</v>
      </c>
    </row>
    <row r="1247" spans="1:12" ht="17.100000000000001" customHeight="1">
      <c r="A1247" s="636"/>
      <c r="B1247" s="636"/>
      <c r="C1247" s="636"/>
      <c r="D1247" s="636"/>
      <c r="E1247" s="636"/>
      <c r="F1247" s="636"/>
      <c r="G1247" s="636"/>
      <c r="H1247" s="636"/>
      <c r="I1247" s="636"/>
      <c r="J1247" s="636" t="s">
        <v>13670</v>
      </c>
      <c r="K1247" s="636"/>
      <c r="L1247" s="636" t="s">
        <v>15023</v>
      </c>
    </row>
    <row r="1248" spans="1:12" ht="24" customHeight="1">
      <c r="A1248" s="636"/>
      <c r="B1248" s="636"/>
      <c r="C1248" s="636"/>
      <c r="D1248" s="636"/>
      <c r="E1248" s="636"/>
      <c r="F1248" s="636"/>
      <c r="G1248" s="636"/>
      <c r="H1248" s="636"/>
      <c r="I1248" s="636"/>
      <c r="J1248" s="636" t="s">
        <v>13669</v>
      </c>
      <c r="K1248" s="636" t="s">
        <v>13667</v>
      </c>
      <c r="L1248" s="636" t="s">
        <v>15024</v>
      </c>
    </row>
    <row r="1249" spans="1:12" ht="24" customHeight="1">
      <c r="A1249" s="636"/>
      <c r="B1249" s="636"/>
      <c r="C1249" s="636"/>
      <c r="D1249" s="636"/>
      <c r="E1249" s="636"/>
      <c r="F1249" s="636"/>
      <c r="G1249" s="636"/>
      <c r="H1249" s="636"/>
      <c r="I1249" s="636"/>
      <c r="J1249" s="636" t="s">
        <v>13668</v>
      </c>
      <c r="K1249" s="636"/>
      <c r="L1249" s="636" t="s">
        <v>15025</v>
      </c>
    </row>
    <row r="1250" spans="1:12" ht="24" customHeight="1">
      <c r="A1250" s="637"/>
      <c r="B1250" s="637"/>
      <c r="C1250" s="637"/>
      <c r="D1250" s="637"/>
      <c r="E1250" s="637"/>
      <c r="F1250" s="637"/>
      <c r="G1250" s="637"/>
      <c r="H1250" s="637"/>
      <c r="I1250" s="637"/>
      <c r="J1250" s="637"/>
      <c r="K1250" s="637"/>
      <c r="L1250" s="637"/>
    </row>
    <row r="1251" spans="1:12" ht="48" customHeight="1">
      <c r="A1251" s="616" t="s">
        <v>14235</v>
      </c>
      <c r="B1251" s="617" t="s">
        <v>13625</v>
      </c>
      <c r="C1251" s="616" t="s">
        <v>8</v>
      </c>
      <c r="D1251" s="616" t="s">
        <v>4874</v>
      </c>
      <c r="E1251" s="618" t="s">
        <v>12725</v>
      </c>
      <c r="F1251" s="617"/>
      <c r="G1251" s="617"/>
      <c r="H1251" s="617"/>
      <c r="I1251" s="617"/>
      <c r="J1251" s="617"/>
      <c r="K1251" s="617"/>
      <c r="L1251" s="617"/>
    </row>
    <row r="1252" spans="1:12" ht="24" customHeight="1">
      <c r="A1252" s="802" t="s">
        <v>12711</v>
      </c>
      <c r="B1252" s="802"/>
      <c r="C1252" s="802"/>
      <c r="D1252" s="802"/>
      <c r="E1252" s="802"/>
      <c r="F1252" s="802"/>
      <c r="G1252" s="802"/>
      <c r="H1252" s="802"/>
      <c r="I1252" s="612"/>
      <c r="J1252" s="612"/>
      <c r="K1252" s="612"/>
      <c r="L1252" s="612"/>
    </row>
    <row r="1253" spans="1:12" ht="24" customHeight="1">
      <c r="A1253" s="612" t="s">
        <v>13679</v>
      </c>
      <c r="B1253" s="636" t="s">
        <v>12698</v>
      </c>
      <c r="C1253" s="612" t="s">
        <v>12699</v>
      </c>
      <c r="D1253" s="612" t="s">
        <v>12700</v>
      </c>
      <c r="E1253" s="637" t="s">
        <v>12702</v>
      </c>
      <c r="F1253" s="801" t="s">
        <v>12704</v>
      </c>
      <c r="G1253" s="801"/>
      <c r="H1253" s="801" t="s">
        <v>13678</v>
      </c>
      <c r="I1253" s="801"/>
      <c r="J1253" s="801" t="s">
        <v>12705</v>
      </c>
      <c r="K1253" s="801"/>
      <c r="L1253" s="801"/>
    </row>
    <row r="1254" spans="1:12" ht="17.100000000000001" customHeight="1">
      <c r="A1254" s="626" t="s">
        <v>12709</v>
      </c>
      <c r="B1254" s="627" t="s">
        <v>13048</v>
      </c>
      <c r="C1254" s="626" t="s">
        <v>8</v>
      </c>
      <c r="D1254" s="626" t="s">
        <v>9233</v>
      </c>
      <c r="E1254" s="628" t="s">
        <v>23</v>
      </c>
      <c r="F1254" s="816" t="s">
        <v>13690</v>
      </c>
      <c r="G1254" s="816"/>
      <c r="H1254" s="816">
        <v>8.4681099999999995E-2</v>
      </c>
      <c r="I1254" s="816"/>
      <c r="J1254" s="817">
        <v>8.6400000000000005E-2</v>
      </c>
      <c r="K1254" s="817"/>
      <c r="L1254" s="817"/>
    </row>
    <row r="1255" spans="1:12" ht="14.25" customHeight="1">
      <c r="A1255" s="626" t="s">
        <v>12709</v>
      </c>
      <c r="B1255" s="627" t="s">
        <v>13047</v>
      </c>
      <c r="C1255" s="626" t="s">
        <v>8</v>
      </c>
      <c r="D1255" s="626" t="s">
        <v>9380</v>
      </c>
      <c r="E1255" s="628" t="s">
        <v>23</v>
      </c>
      <c r="F1255" s="816" t="s">
        <v>13689</v>
      </c>
      <c r="G1255" s="816"/>
      <c r="H1255" s="816">
        <v>8.4681099999999995E-2</v>
      </c>
      <c r="I1255" s="816"/>
      <c r="J1255" s="817">
        <v>3.2199999999999999E-2</v>
      </c>
      <c r="K1255" s="817"/>
      <c r="L1255" s="817"/>
    </row>
    <row r="1256" spans="1:12" ht="17.100000000000001" customHeight="1">
      <c r="A1256" s="626" t="s">
        <v>12709</v>
      </c>
      <c r="B1256" s="627" t="s">
        <v>13052</v>
      </c>
      <c r="C1256" s="626" t="s">
        <v>8</v>
      </c>
      <c r="D1256" s="626" t="s">
        <v>9229</v>
      </c>
      <c r="E1256" s="628" t="s">
        <v>23</v>
      </c>
      <c r="F1256" s="816" t="s">
        <v>13692</v>
      </c>
      <c r="G1256" s="816"/>
      <c r="H1256" s="816">
        <v>0.42041699999999999</v>
      </c>
      <c r="I1256" s="816"/>
      <c r="J1256" s="817">
        <v>0.40360000000000001</v>
      </c>
      <c r="K1256" s="817"/>
      <c r="L1256" s="817"/>
    </row>
    <row r="1257" spans="1:12" ht="24" customHeight="1">
      <c r="A1257" s="626" t="s">
        <v>12709</v>
      </c>
      <c r="B1257" s="627" t="s">
        <v>13051</v>
      </c>
      <c r="C1257" s="626" t="s">
        <v>8</v>
      </c>
      <c r="D1257" s="626" t="s">
        <v>9376</v>
      </c>
      <c r="E1257" s="628" t="s">
        <v>23</v>
      </c>
      <c r="F1257" s="816" t="s">
        <v>13691</v>
      </c>
      <c r="G1257" s="816"/>
      <c r="H1257" s="816">
        <v>0.42041699999999999</v>
      </c>
      <c r="I1257" s="816"/>
      <c r="J1257" s="817">
        <v>0.2102</v>
      </c>
      <c r="K1257" s="817"/>
      <c r="L1257" s="817"/>
    </row>
    <row r="1258" spans="1:12" ht="24" customHeight="1">
      <c r="A1258" s="636"/>
      <c r="B1258" s="636"/>
      <c r="C1258" s="636"/>
      <c r="D1258" s="636"/>
      <c r="E1258" s="636"/>
      <c r="F1258" s="636"/>
      <c r="G1258" s="636"/>
      <c r="H1258" s="636"/>
      <c r="I1258" s="636"/>
      <c r="J1258" s="636" t="s">
        <v>13675</v>
      </c>
      <c r="K1258" s="636"/>
      <c r="L1258" s="636" t="s">
        <v>13820</v>
      </c>
    </row>
    <row r="1259" spans="1:12" ht="24" customHeight="1">
      <c r="A1259" s="802" t="s">
        <v>12710</v>
      </c>
      <c r="B1259" s="802"/>
      <c r="C1259" s="802"/>
      <c r="D1259" s="802"/>
      <c r="E1259" s="802"/>
      <c r="F1259" s="802"/>
      <c r="G1259" s="802"/>
      <c r="H1259" s="802"/>
      <c r="I1259" s="612"/>
      <c r="J1259" s="612"/>
      <c r="K1259" s="612"/>
      <c r="L1259" s="612"/>
    </row>
    <row r="1260" spans="1:12" ht="17.100000000000001" customHeight="1">
      <c r="A1260" s="612" t="s">
        <v>13679</v>
      </c>
      <c r="B1260" s="636" t="s">
        <v>12698</v>
      </c>
      <c r="C1260" s="612" t="s">
        <v>12699</v>
      </c>
      <c r="D1260" s="612" t="s">
        <v>12700</v>
      </c>
      <c r="E1260" s="637" t="s">
        <v>12702</v>
      </c>
      <c r="F1260" s="801" t="s">
        <v>12704</v>
      </c>
      <c r="G1260" s="801"/>
      <c r="H1260" s="801" t="s">
        <v>13678</v>
      </c>
      <c r="I1260" s="801"/>
      <c r="J1260" s="801" t="s">
        <v>12705</v>
      </c>
      <c r="K1260" s="801"/>
      <c r="L1260" s="801"/>
    </row>
    <row r="1261" spans="1:12" ht="25.5">
      <c r="A1261" s="626" t="s">
        <v>12709</v>
      </c>
      <c r="B1261" s="627" t="s">
        <v>13226</v>
      </c>
      <c r="C1261" s="626" t="s">
        <v>8</v>
      </c>
      <c r="D1261" s="626" t="s">
        <v>7374</v>
      </c>
      <c r="E1261" s="628" t="s">
        <v>23</v>
      </c>
      <c r="F1261" s="816" t="s">
        <v>14702</v>
      </c>
      <c r="G1261" s="816"/>
      <c r="H1261" s="816">
        <v>8.5489499999999996E-2</v>
      </c>
      <c r="I1261" s="816"/>
      <c r="J1261" s="817">
        <v>0.57020000000000004</v>
      </c>
      <c r="K1261" s="817"/>
      <c r="L1261" s="817"/>
    </row>
    <row r="1262" spans="1:12" ht="17.100000000000001" customHeight="1">
      <c r="A1262" s="626" t="s">
        <v>12709</v>
      </c>
      <c r="B1262" s="627" t="s">
        <v>13170</v>
      </c>
      <c r="C1262" s="626" t="s">
        <v>8</v>
      </c>
      <c r="D1262" s="626" t="s">
        <v>9625</v>
      </c>
      <c r="E1262" s="628" t="s">
        <v>23</v>
      </c>
      <c r="F1262" s="816" t="s">
        <v>14574</v>
      </c>
      <c r="G1262" s="816"/>
      <c r="H1262" s="816">
        <v>0.42725160000000001</v>
      </c>
      <c r="I1262" s="816"/>
      <c r="J1262" s="817">
        <v>3.1274999999999999</v>
      </c>
      <c r="K1262" s="817"/>
      <c r="L1262" s="817"/>
    </row>
    <row r="1263" spans="1:12" ht="24" customHeight="1">
      <c r="A1263" s="636"/>
      <c r="B1263" s="636"/>
      <c r="C1263" s="636"/>
      <c r="D1263" s="636"/>
      <c r="E1263" s="636"/>
      <c r="F1263" s="636"/>
      <c r="G1263" s="636"/>
      <c r="H1263" s="636"/>
      <c r="I1263" s="636"/>
      <c r="J1263" s="636" t="s">
        <v>13675</v>
      </c>
      <c r="K1263" s="636"/>
      <c r="L1263" s="636" t="s">
        <v>13719</v>
      </c>
    </row>
    <row r="1264" spans="1:12" ht="48" customHeight="1">
      <c r="A1264" s="802" t="s">
        <v>12720</v>
      </c>
      <c r="B1264" s="802"/>
      <c r="C1264" s="802"/>
      <c r="D1264" s="802"/>
      <c r="E1264" s="802"/>
      <c r="F1264" s="802"/>
      <c r="G1264" s="802"/>
      <c r="H1264" s="802"/>
      <c r="I1264" s="612"/>
      <c r="J1264" s="612"/>
      <c r="K1264" s="612"/>
      <c r="L1264" s="612"/>
    </row>
    <row r="1265" spans="1:12" ht="24" customHeight="1">
      <c r="A1265" s="612" t="s">
        <v>13679</v>
      </c>
      <c r="B1265" s="636" t="s">
        <v>12698</v>
      </c>
      <c r="C1265" s="612" t="s">
        <v>12699</v>
      </c>
      <c r="D1265" s="612" t="s">
        <v>12700</v>
      </c>
      <c r="E1265" s="637" t="s">
        <v>12702</v>
      </c>
      <c r="F1265" s="801" t="s">
        <v>12704</v>
      </c>
      <c r="G1265" s="801"/>
      <c r="H1265" s="801" t="s">
        <v>13678</v>
      </c>
      <c r="I1265" s="801"/>
      <c r="J1265" s="801" t="s">
        <v>12705</v>
      </c>
      <c r="K1265" s="801"/>
      <c r="L1265" s="801"/>
    </row>
    <row r="1266" spans="1:12" ht="17.100000000000001" customHeight="1">
      <c r="A1266" s="626" t="s">
        <v>12709</v>
      </c>
      <c r="B1266" s="627" t="s">
        <v>13624</v>
      </c>
      <c r="C1266" s="626" t="s">
        <v>8</v>
      </c>
      <c r="D1266" s="626" t="s">
        <v>10338</v>
      </c>
      <c r="E1266" s="628" t="s">
        <v>20</v>
      </c>
      <c r="F1266" s="816" t="s">
        <v>14718</v>
      </c>
      <c r="G1266" s="816"/>
      <c r="H1266" s="816">
        <v>1.5</v>
      </c>
      <c r="I1266" s="816"/>
      <c r="J1266" s="817">
        <v>14.35</v>
      </c>
      <c r="K1266" s="817"/>
      <c r="L1266" s="817"/>
    </row>
    <row r="1267" spans="1:12">
      <c r="A1267" s="636"/>
      <c r="B1267" s="636"/>
      <c r="C1267" s="636"/>
      <c r="D1267" s="636"/>
      <c r="E1267" s="636"/>
      <c r="F1267" s="636"/>
      <c r="G1267" s="636"/>
      <c r="H1267" s="636"/>
      <c r="I1267" s="636"/>
      <c r="J1267" s="636" t="s">
        <v>13675</v>
      </c>
      <c r="K1267" s="636"/>
      <c r="L1267" s="636" t="s">
        <v>13960</v>
      </c>
    </row>
    <row r="1268" spans="1:12" ht="17.100000000000001" customHeight="1">
      <c r="A1268" s="802" t="s">
        <v>12722</v>
      </c>
      <c r="B1268" s="802"/>
      <c r="C1268" s="802"/>
      <c r="D1268" s="802"/>
      <c r="E1268" s="802"/>
      <c r="F1268" s="802"/>
      <c r="G1268" s="802"/>
      <c r="H1268" s="802"/>
      <c r="I1268" s="612"/>
      <c r="J1268" s="612"/>
      <c r="K1268" s="612"/>
      <c r="L1268" s="612"/>
    </row>
    <row r="1269" spans="1:12" ht="24" customHeight="1">
      <c r="A1269" s="612" t="s">
        <v>13679</v>
      </c>
      <c r="B1269" s="636" t="s">
        <v>12698</v>
      </c>
      <c r="C1269" s="612" t="s">
        <v>12699</v>
      </c>
      <c r="D1269" s="612" t="s">
        <v>12700</v>
      </c>
      <c r="E1269" s="637" t="s">
        <v>12702</v>
      </c>
      <c r="F1269" s="801" t="s">
        <v>12704</v>
      </c>
      <c r="G1269" s="801"/>
      <c r="H1269" s="801" t="s">
        <v>13678</v>
      </c>
      <c r="I1269" s="801"/>
      <c r="J1269" s="801" t="s">
        <v>12705</v>
      </c>
      <c r="K1269" s="801"/>
      <c r="L1269" s="801"/>
    </row>
    <row r="1270" spans="1:12" ht="17.100000000000001" customHeight="1">
      <c r="A1270" s="626" t="s">
        <v>12709</v>
      </c>
      <c r="B1270" s="627" t="s">
        <v>12998</v>
      </c>
      <c r="C1270" s="626" t="s">
        <v>8</v>
      </c>
      <c r="D1270" s="626" t="s">
        <v>11861</v>
      </c>
      <c r="E1270" s="628" t="s">
        <v>23</v>
      </c>
      <c r="F1270" s="816" t="s">
        <v>13683</v>
      </c>
      <c r="G1270" s="816"/>
      <c r="H1270" s="816">
        <v>0.50509809999999999</v>
      </c>
      <c r="I1270" s="816"/>
      <c r="J1270" s="817">
        <v>0.35859999999999997</v>
      </c>
      <c r="K1270" s="817"/>
      <c r="L1270" s="817"/>
    </row>
    <row r="1271" spans="1:12">
      <c r="A1271" s="636"/>
      <c r="B1271" s="636"/>
      <c r="C1271" s="636"/>
      <c r="D1271" s="636"/>
      <c r="E1271" s="636"/>
      <c r="F1271" s="636"/>
      <c r="G1271" s="636"/>
      <c r="H1271" s="636"/>
      <c r="I1271" s="636"/>
      <c r="J1271" s="636" t="s">
        <v>13675</v>
      </c>
      <c r="K1271" s="636"/>
      <c r="L1271" s="636" t="s">
        <v>13688</v>
      </c>
    </row>
    <row r="1272" spans="1:12" ht="17.100000000000001" customHeight="1">
      <c r="A1272" s="802" t="s">
        <v>12713</v>
      </c>
      <c r="B1272" s="802"/>
      <c r="C1272" s="802"/>
      <c r="D1272" s="802"/>
      <c r="E1272" s="802"/>
      <c r="F1272" s="802"/>
      <c r="G1272" s="802"/>
      <c r="H1272" s="802"/>
      <c r="I1272" s="612"/>
      <c r="J1272" s="612"/>
      <c r="K1272" s="612"/>
      <c r="L1272" s="612"/>
    </row>
    <row r="1273" spans="1:12" ht="24" customHeight="1">
      <c r="A1273" s="612" t="s">
        <v>13679</v>
      </c>
      <c r="B1273" s="636" t="s">
        <v>12698</v>
      </c>
      <c r="C1273" s="612" t="s">
        <v>12699</v>
      </c>
      <c r="D1273" s="612" t="s">
        <v>12700</v>
      </c>
      <c r="E1273" s="637" t="s">
        <v>12702</v>
      </c>
      <c r="F1273" s="801" t="s">
        <v>12704</v>
      </c>
      <c r="G1273" s="801"/>
      <c r="H1273" s="801" t="s">
        <v>13678</v>
      </c>
      <c r="I1273" s="801"/>
      <c r="J1273" s="801" t="s">
        <v>12705</v>
      </c>
      <c r="K1273" s="801"/>
      <c r="L1273" s="801"/>
    </row>
    <row r="1274" spans="1:12" ht="17.100000000000001" customHeight="1">
      <c r="A1274" s="626" t="s">
        <v>12709</v>
      </c>
      <c r="B1274" s="627" t="s">
        <v>12999</v>
      </c>
      <c r="C1274" s="626" t="s">
        <v>8</v>
      </c>
      <c r="D1274" s="626" t="s">
        <v>11251</v>
      </c>
      <c r="E1274" s="628" t="s">
        <v>23</v>
      </c>
      <c r="F1274" s="816" t="s">
        <v>13681</v>
      </c>
      <c r="G1274" s="816"/>
      <c r="H1274" s="816">
        <v>0.50509809999999999</v>
      </c>
      <c r="I1274" s="816"/>
      <c r="J1274" s="817">
        <v>3.5400000000000001E-2</v>
      </c>
      <c r="K1274" s="817"/>
      <c r="L1274" s="817"/>
    </row>
    <row r="1275" spans="1:12">
      <c r="A1275" s="636"/>
      <c r="B1275" s="636"/>
      <c r="C1275" s="636"/>
      <c r="D1275" s="636"/>
      <c r="E1275" s="636"/>
      <c r="F1275" s="636"/>
      <c r="G1275" s="636"/>
      <c r="H1275" s="636"/>
      <c r="I1275" s="636"/>
      <c r="J1275" s="636" t="s">
        <v>13675</v>
      </c>
      <c r="K1275" s="636"/>
      <c r="L1275" s="636" t="s">
        <v>13716</v>
      </c>
    </row>
    <row r="1276" spans="1:12" ht="17.100000000000001" customHeight="1">
      <c r="A1276" s="802" t="s">
        <v>12712</v>
      </c>
      <c r="B1276" s="802"/>
      <c r="C1276" s="802"/>
      <c r="D1276" s="802"/>
      <c r="E1276" s="802"/>
      <c r="F1276" s="802"/>
      <c r="G1276" s="802"/>
      <c r="H1276" s="802"/>
      <c r="I1276" s="612"/>
      <c r="J1276" s="612"/>
      <c r="K1276" s="612"/>
      <c r="L1276" s="612"/>
    </row>
    <row r="1277" spans="1:12" ht="24" customHeight="1">
      <c r="A1277" s="612" t="s">
        <v>13679</v>
      </c>
      <c r="B1277" s="636" t="s">
        <v>12698</v>
      </c>
      <c r="C1277" s="612" t="s">
        <v>12699</v>
      </c>
      <c r="D1277" s="612" t="s">
        <v>12700</v>
      </c>
      <c r="E1277" s="637" t="s">
        <v>12702</v>
      </c>
      <c r="F1277" s="801" t="s">
        <v>12704</v>
      </c>
      <c r="G1277" s="801"/>
      <c r="H1277" s="801" t="s">
        <v>13678</v>
      </c>
      <c r="I1277" s="801"/>
      <c r="J1277" s="801" t="s">
        <v>12705</v>
      </c>
      <c r="K1277" s="801"/>
      <c r="L1277" s="801"/>
    </row>
    <row r="1278" spans="1:12" ht="24" customHeight="1">
      <c r="A1278" s="626" t="s">
        <v>12709</v>
      </c>
      <c r="B1278" s="627" t="s">
        <v>13002</v>
      </c>
      <c r="C1278" s="626" t="s">
        <v>8</v>
      </c>
      <c r="D1278" s="626" t="s">
        <v>9306</v>
      </c>
      <c r="E1278" s="628" t="s">
        <v>23</v>
      </c>
      <c r="F1278" s="816" t="s">
        <v>13677</v>
      </c>
      <c r="G1278" s="816"/>
      <c r="H1278" s="816">
        <v>0.50509809999999999</v>
      </c>
      <c r="I1278" s="816"/>
      <c r="J1278" s="817">
        <v>0.17680000000000001</v>
      </c>
      <c r="K1278" s="817"/>
      <c r="L1278" s="817"/>
    </row>
    <row r="1279" spans="1:12" ht="17.100000000000001" customHeight="1">
      <c r="A1279" s="626" t="s">
        <v>12709</v>
      </c>
      <c r="B1279" s="627" t="s">
        <v>13004</v>
      </c>
      <c r="C1279" s="626" t="s">
        <v>8</v>
      </c>
      <c r="D1279" s="626" t="s">
        <v>7388</v>
      </c>
      <c r="E1279" s="628" t="s">
        <v>23</v>
      </c>
      <c r="F1279" s="816" t="s">
        <v>13676</v>
      </c>
      <c r="G1279" s="816"/>
      <c r="H1279" s="816">
        <v>0.50509809999999999</v>
      </c>
      <c r="I1279" s="816"/>
      <c r="J1279" s="817">
        <v>1.1112</v>
      </c>
      <c r="K1279" s="817"/>
      <c r="L1279" s="817"/>
    </row>
    <row r="1280" spans="1:12" ht="17.100000000000001" customHeight="1">
      <c r="A1280" s="636"/>
      <c r="B1280" s="636"/>
      <c r="C1280" s="636"/>
      <c r="D1280" s="636"/>
      <c r="E1280" s="636"/>
      <c r="F1280" s="636"/>
      <c r="G1280" s="636"/>
      <c r="H1280" s="636"/>
      <c r="I1280" s="636"/>
      <c r="J1280" s="636" t="s">
        <v>13675</v>
      </c>
      <c r="K1280" s="636"/>
      <c r="L1280" s="636" t="s">
        <v>13912</v>
      </c>
    </row>
    <row r="1281" spans="1:12" ht="17.100000000000001" customHeight="1">
      <c r="A1281" s="612" t="s">
        <v>13673</v>
      </c>
      <c r="B1281" s="612"/>
      <c r="C1281" s="612"/>
      <c r="D1281" s="612"/>
      <c r="E1281" s="612"/>
      <c r="F1281" s="612"/>
      <c r="G1281" s="612"/>
      <c r="H1281" s="612"/>
      <c r="I1281" s="612"/>
      <c r="J1281" s="612"/>
      <c r="K1281" s="612"/>
      <c r="L1281" s="612"/>
    </row>
    <row r="1282" spans="1:12" ht="17.100000000000001" customHeight="1">
      <c r="A1282" s="636"/>
      <c r="B1282" s="636"/>
      <c r="C1282" s="636"/>
      <c r="D1282" s="636"/>
      <c r="E1282" s="636"/>
      <c r="F1282" s="636"/>
      <c r="G1282" s="636"/>
      <c r="H1282" s="636"/>
      <c r="I1282" s="636"/>
      <c r="J1282" s="636" t="s">
        <v>13672</v>
      </c>
      <c r="K1282" s="636"/>
      <c r="L1282" s="636" t="s">
        <v>15026</v>
      </c>
    </row>
    <row r="1283" spans="1:12" ht="17.100000000000001" customHeight="1">
      <c r="A1283" s="636"/>
      <c r="B1283" s="636"/>
      <c r="C1283" s="636"/>
      <c r="D1283" s="636"/>
      <c r="E1283" s="636"/>
      <c r="F1283" s="636"/>
      <c r="G1283" s="636"/>
      <c r="H1283" s="636"/>
      <c r="I1283" s="636"/>
      <c r="J1283" s="636" t="s">
        <v>13671</v>
      </c>
      <c r="K1283" s="636" t="s">
        <v>14461</v>
      </c>
      <c r="L1283" s="636" t="s">
        <v>15027</v>
      </c>
    </row>
    <row r="1284" spans="1:12" ht="17.100000000000001" customHeight="1">
      <c r="A1284" s="636"/>
      <c r="B1284" s="636"/>
      <c r="C1284" s="636"/>
      <c r="D1284" s="636"/>
      <c r="E1284" s="636"/>
      <c r="F1284" s="636"/>
      <c r="G1284" s="636"/>
      <c r="H1284" s="636"/>
      <c r="I1284" s="636"/>
      <c r="J1284" s="636" t="s">
        <v>13670</v>
      </c>
      <c r="K1284" s="636"/>
      <c r="L1284" s="636" t="s">
        <v>15028</v>
      </c>
    </row>
    <row r="1285" spans="1:12" ht="17.100000000000001" customHeight="1">
      <c r="A1285" s="636"/>
      <c r="B1285" s="636"/>
      <c r="C1285" s="636"/>
      <c r="D1285" s="636"/>
      <c r="E1285" s="636"/>
      <c r="F1285" s="636"/>
      <c r="G1285" s="636"/>
      <c r="H1285" s="636"/>
      <c r="I1285" s="636"/>
      <c r="J1285" s="636" t="s">
        <v>13669</v>
      </c>
      <c r="K1285" s="636" t="s">
        <v>13667</v>
      </c>
      <c r="L1285" s="636" t="s">
        <v>15029</v>
      </c>
    </row>
    <row r="1286" spans="1:12" ht="30" customHeight="1">
      <c r="A1286" s="636"/>
      <c r="B1286" s="636"/>
      <c r="C1286" s="636"/>
      <c r="D1286" s="636"/>
      <c r="E1286" s="636"/>
      <c r="F1286" s="636"/>
      <c r="G1286" s="636"/>
      <c r="H1286" s="636"/>
      <c r="I1286" s="636"/>
      <c r="J1286" s="636" t="s">
        <v>13668</v>
      </c>
      <c r="K1286" s="636"/>
      <c r="L1286" s="636" t="s">
        <v>15030</v>
      </c>
    </row>
    <row r="1287" spans="1:12" ht="24" customHeight="1">
      <c r="A1287" s="637"/>
      <c r="B1287" s="637"/>
      <c r="C1287" s="637"/>
      <c r="D1287" s="637"/>
      <c r="E1287" s="637"/>
      <c r="F1287" s="637"/>
      <c r="G1287" s="637"/>
      <c r="H1287" s="637"/>
      <c r="I1287" s="637"/>
      <c r="J1287" s="637"/>
      <c r="K1287" s="637"/>
      <c r="L1287" s="637"/>
    </row>
    <row r="1288" spans="1:12" ht="14.25" customHeight="1">
      <c r="A1288" s="616" t="s">
        <v>14234</v>
      </c>
      <c r="B1288" s="617" t="s">
        <v>13623</v>
      </c>
      <c r="C1288" s="616" t="s">
        <v>8</v>
      </c>
      <c r="D1288" s="616" t="s">
        <v>681</v>
      </c>
      <c r="E1288" s="618" t="s">
        <v>12730</v>
      </c>
      <c r="F1288" s="617"/>
      <c r="G1288" s="617"/>
      <c r="H1288" s="617"/>
      <c r="I1288" s="617"/>
      <c r="J1288" s="617"/>
      <c r="K1288" s="617"/>
      <c r="L1288" s="617"/>
    </row>
    <row r="1289" spans="1:12" ht="17.100000000000001" customHeight="1">
      <c r="A1289" s="802" t="s">
        <v>12711</v>
      </c>
      <c r="B1289" s="802"/>
      <c r="C1289" s="802"/>
      <c r="D1289" s="802"/>
      <c r="E1289" s="802"/>
      <c r="F1289" s="802"/>
      <c r="G1289" s="802"/>
      <c r="H1289" s="802"/>
      <c r="I1289" s="612"/>
      <c r="J1289" s="612"/>
      <c r="K1289" s="612"/>
      <c r="L1289" s="612"/>
    </row>
    <row r="1290" spans="1:12" ht="48" customHeight="1">
      <c r="A1290" s="612" t="s">
        <v>13679</v>
      </c>
      <c r="B1290" s="636" t="s">
        <v>12698</v>
      </c>
      <c r="C1290" s="612" t="s">
        <v>12699</v>
      </c>
      <c r="D1290" s="612" t="s">
        <v>12700</v>
      </c>
      <c r="E1290" s="637" t="s">
        <v>12702</v>
      </c>
      <c r="F1290" s="801" t="s">
        <v>12704</v>
      </c>
      <c r="G1290" s="801"/>
      <c r="H1290" s="801" t="s">
        <v>13678</v>
      </c>
      <c r="I1290" s="801"/>
      <c r="J1290" s="801" t="s">
        <v>12705</v>
      </c>
      <c r="K1290" s="801"/>
      <c r="L1290" s="801"/>
    </row>
    <row r="1291" spans="1:12" ht="24" customHeight="1">
      <c r="A1291" s="626" t="s">
        <v>12709</v>
      </c>
      <c r="B1291" s="627" t="s">
        <v>13268</v>
      </c>
      <c r="C1291" s="626" t="s">
        <v>8</v>
      </c>
      <c r="D1291" s="626" t="s">
        <v>8451</v>
      </c>
      <c r="E1291" s="628" t="s">
        <v>35</v>
      </c>
      <c r="F1291" s="816" t="s">
        <v>14506</v>
      </c>
      <c r="G1291" s="816"/>
      <c r="H1291" s="816">
        <v>5.0300000000000003E-5</v>
      </c>
      <c r="I1291" s="816"/>
      <c r="J1291" s="817">
        <v>0.54879999999999995</v>
      </c>
      <c r="K1291" s="817"/>
      <c r="L1291" s="817"/>
    </row>
    <row r="1292" spans="1:12" ht="24" customHeight="1">
      <c r="A1292" s="626" t="s">
        <v>12709</v>
      </c>
      <c r="B1292" s="627" t="s">
        <v>13003</v>
      </c>
      <c r="C1292" s="626" t="s">
        <v>8</v>
      </c>
      <c r="D1292" s="626" t="s">
        <v>9227</v>
      </c>
      <c r="E1292" s="628" t="s">
        <v>23</v>
      </c>
      <c r="F1292" s="816" t="s">
        <v>13732</v>
      </c>
      <c r="G1292" s="816"/>
      <c r="H1292" s="816">
        <v>0.53689819999999999</v>
      </c>
      <c r="I1292" s="816"/>
      <c r="J1292" s="817">
        <v>0.35439999999999999</v>
      </c>
      <c r="K1292" s="817"/>
      <c r="L1292" s="817"/>
    </row>
    <row r="1293" spans="1:12" ht="24" customHeight="1">
      <c r="A1293" s="626" t="s">
        <v>12709</v>
      </c>
      <c r="B1293" s="627" t="s">
        <v>13001</v>
      </c>
      <c r="C1293" s="626" t="s">
        <v>8</v>
      </c>
      <c r="D1293" s="626" t="s">
        <v>9374</v>
      </c>
      <c r="E1293" s="628" t="s">
        <v>23</v>
      </c>
      <c r="F1293" s="816" t="s">
        <v>13728</v>
      </c>
      <c r="G1293" s="816"/>
      <c r="H1293" s="816">
        <v>0.53689819999999999</v>
      </c>
      <c r="I1293" s="816"/>
      <c r="J1293" s="817">
        <v>5.4000000000000003E-3</v>
      </c>
      <c r="K1293" s="817"/>
      <c r="L1293" s="817"/>
    </row>
    <row r="1294" spans="1:12" ht="24" customHeight="1">
      <c r="A1294" s="626" t="s">
        <v>12709</v>
      </c>
      <c r="B1294" s="627" t="s">
        <v>13274</v>
      </c>
      <c r="C1294" s="626" t="s">
        <v>8</v>
      </c>
      <c r="D1294" s="626" t="s">
        <v>8201</v>
      </c>
      <c r="E1294" s="628" t="s">
        <v>35</v>
      </c>
      <c r="F1294" s="816" t="s">
        <v>14721</v>
      </c>
      <c r="G1294" s="816"/>
      <c r="H1294" s="816">
        <v>6.9999999999999997E-7</v>
      </c>
      <c r="I1294" s="816"/>
      <c r="J1294" s="817">
        <v>0.2243</v>
      </c>
      <c r="K1294" s="817"/>
      <c r="L1294" s="817"/>
    </row>
    <row r="1295" spans="1:12" ht="17.100000000000001" customHeight="1">
      <c r="A1295" s="626" t="s">
        <v>12709</v>
      </c>
      <c r="B1295" s="627" t="s">
        <v>13048</v>
      </c>
      <c r="C1295" s="626" t="s">
        <v>8</v>
      </c>
      <c r="D1295" s="626" t="s">
        <v>9233</v>
      </c>
      <c r="E1295" s="628" t="s">
        <v>23</v>
      </c>
      <c r="F1295" s="816" t="s">
        <v>13690</v>
      </c>
      <c r="G1295" s="816"/>
      <c r="H1295" s="816">
        <v>0.65887510000000005</v>
      </c>
      <c r="I1295" s="816"/>
      <c r="J1295" s="817">
        <v>0.67210000000000003</v>
      </c>
      <c r="K1295" s="817"/>
      <c r="L1295" s="817"/>
    </row>
    <row r="1296" spans="1:12" ht="14.25" customHeight="1">
      <c r="A1296" s="626" t="s">
        <v>12709</v>
      </c>
      <c r="B1296" s="627" t="s">
        <v>13047</v>
      </c>
      <c r="C1296" s="626" t="s">
        <v>8</v>
      </c>
      <c r="D1296" s="626" t="s">
        <v>9380</v>
      </c>
      <c r="E1296" s="628" t="s">
        <v>23</v>
      </c>
      <c r="F1296" s="816" t="s">
        <v>13689</v>
      </c>
      <c r="G1296" s="816"/>
      <c r="H1296" s="816">
        <v>0.65887510000000005</v>
      </c>
      <c r="I1296" s="816"/>
      <c r="J1296" s="817">
        <v>0.25040000000000001</v>
      </c>
      <c r="K1296" s="817"/>
      <c r="L1296" s="817"/>
    </row>
    <row r="1297" spans="1:12" ht="17.100000000000001" customHeight="1">
      <c r="A1297" s="636"/>
      <c r="B1297" s="636"/>
      <c r="C1297" s="636"/>
      <c r="D1297" s="636"/>
      <c r="E1297" s="636"/>
      <c r="F1297" s="636"/>
      <c r="G1297" s="636"/>
      <c r="H1297" s="636"/>
      <c r="I1297" s="636"/>
      <c r="J1297" s="636" t="s">
        <v>13675</v>
      </c>
      <c r="K1297" s="636"/>
      <c r="L1297" s="636" t="s">
        <v>14095</v>
      </c>
    </row>
    <row r="1298" spans="1:12" ht="24" customHeight="1">
      <c r="A1298" s="802" t="s">
        <v>12710</v>
      </c>
      <c r="B1298" s="802"/>
      <c r="C1298" s="802"/>
      <c r="D1298" s="802"/>
      <c r="E1298" s="802"/>
      <c r="F1298" s="802"/>
      <c r="G1298" s="802"/>
      <c r="H1298" s="802"/>
      <c r="I1298" s="612"/>
      <c r="J1298" s="612"/>
      <c r="K1298" s="612"/>
      <c r="L1298" s="612"/>
    </row>
    <row r="1299" spans="1:12" ht="24" customHeight="1">
      <c r="A1299" s="612" t="s">
        <v>13679</v>
      </c>
      <c r="B1299" s="636" t="s">
        <v>12698</v>
      </c>
      <c r="C1299" s="612" t="s">
        <v>12699</v>
      </c>
      <c r="D1299" s="612" t="s">
        <v>12700</v>
      </c>
      <c r="E1299" s="637" t="s">
        <v>12702</v>
      </c>
      <c r="F1299" s="801" t="s">
        <v>12704</v>
      </c>
      <c r="G1299" s="801"/>
      <c r="H1299" s="801" t="s">
        <v>13678</v>
      </c>
      <c r="I1299" s="801"/>
      <c r="J1299" s="801" t="s">
        <v>12705</v>
      </c>
      <c r="K1299" s="801"/>
      <c r="L1299" s="801"/>
    </row>
    <row r="1300" spans="1:12" ht="17.100000000000001" customHeight="1">
      <c r="A1300" s="626" t="s">
        <v>12709</v>
      </c>
      <c r="B1300" s="627" t="s">
        <v>13103</v>
      </c>
      <c r="C1300" s="626" t="s">
        <v>8</v>
      </c>
      <c r="D1300" s="626" t="s">
        <v>10570</v>
      </c>
      <c r="E1300" s="628" t="s">
        <v>23</v>
      </c>
      <c r="F1300" s="816" t="s">
        <v>14289</v>
      </c>
      <c r="G1300" s="816"/>
      <c r="H1300" s="816">
        <v>0.53126099999999998</v>
      </c>
      <c r="I1300" s="816"/>
      <c r="J1300" s="817">
        <v>2.7040999999999999</v>
      </c>
      <c r="K1300" s="817"/>
      <c r="L1300" s="817"/>
    </row>
    <row r="1301" spans="1:12" ht="25.5">
      <c r="A1301" s="626" t="s">
        <v>12709</v>
      </c>
      <c r="B1301" s="627" t="s">
        <v>13126</v>
      </c>
      <c r="C1301" s="626" t="s">
        <v>8</v>
      </c>
      <c r="D1301" s="626" t="s">
        <v>10465</v>
      </c>
      <c r="E1301" s="628" t="s">
        <v>23</v>
      </c>
      <c r="F1301" s="816" t="s">
        <v>14604</v>
      </c>
      <c r="G1301" s="816"/>
      <c r="H1301" s="816">
        <v>9.0161000000000008E-3</v>
      </c>
      <c r="I1301" s="816"/>
      <c r="J1301" s="817">
        <v>4.9500000000000002E-2</v>
      </c>
      <c r="K1301" s="817"/>
      <c r="L1301" s="817"/>
    </row>
    <row r="1302" spans="1:12" ht="17.100000000000001" customHeight="1">
      <c r="A1302" s="626" t="s">
        <v>12709</v>
      </c>
      <c r="B1302" s="627" t="s">
        <v>13046</v>
      </c>
      <c r="C1302" s="626" t="s">
        <v>8</v>
      </c>
      <c r="D1302" s="626" t="s">
        <v>11281</v>
      </c>
      <c r="E1302" s="628" t="s">
        <v>23</v>
      </c>
      <c r="F1302" s="816" t="s">
        <v>13731</v>
      </c>
      <c r="G1302" s="816"/>
      <c r="H1302" s="816">
        <v>0.66747780000000001</v>
      </c>
      <c r="I1302" s="816"/>
      <c r="J1302" s="817">
        <v>3.4308000000000001</v>
      </c>
      <c r="K1302" s="817"/>
      <c r="L1302" s="817"/>
    </row>
    <row r="1303" spans="1:12" ht="24" customHeight="1">
      <c r="A1303" s="636"/>
      <c r="B1303" s="636"/>
      <c r="C1303" s="636"/>
      <c r="D1303" s="636"/>
      <c r="E1303" s="636"/>
      <c r="F1303" s="636"/>
      <c r="G1303" s="636"/>
      <c r="H1303" s="636"/>
      <c r="I1303" s="636"/>
      <c r="J1303" s="636" t="s">
        <v>13675</v>
      </c>
      <c r="K1303" s="636"/>
      <c r="L1303" s="636" t="s">
        <v>14203</v>
      </c>
    </row>
    <row r="1304" spans="1:12" ht="17.100000000000001" customHeight="1">
      <c r="A1304" s="802" t="s">
        <v>12720</v>
      </c>
      <c r="B1304" s="802"/>
      <c r="C1304" s="802"/>
      <c r="D1304" s="802"/>
      <c r="E1304" s="802"/>
      <c r="F1304" s="802"/>
      <c r="G1304" s="802"/>
      <c r="H1304" s="802"/>
      <c r="I1304" s="612"/>
      <c r="J1304" s="612"/>
      <c r="K1304" s="612"/>
      <c r="L1304" s="612"/>
    </row>
    <row r="1305" spans="1:12">
      <c r="A1305" s="612" t="s">
        <v>13679</v>
      </c>
      <c r="B1305" s="636" t="s">
        <v>12698</v>
      </c>
      <c r="C1305" s="612" t="s">
        <v>12699</v>
      </c>
      <c r="D1305" s="612" t="s">
        <v>12700</v>
      </c>
      <c r="E1305" s="637" t="s">
        <v>12702</v>
      </c>
      <c r="F1305" s="801" t="s">
        <v>12704</v>
      </c>
      <c r="G1305" s="801"/>
      <c r="H1305" s="801" t="s">
        <v>13678</v>
      </c>
      <c r="I1305" s="801"/>
      <c r="J1305" s="801" t="s">
        <v>12705</v>
      </c>
      <c r="K1305" s="801"/>
      <c r="L1305" s="801"/>
    </row>
    <row r="1306" spans="1:12" ht="17.100000000000001" customHeight="1">
      <c r="A1306" s="626" t="s">
        <v>12709</v>
      </c>
      <c r="B1306" s="627" t="s">
        <v>13266</v>
      </c>
      <c r="C1306" s="626" t="s">
        <v>8</v>
      </c>
      <c r="D1306" s="626" t="s">
        <v>9514</v>
      </c>
      <c r="E1306" s="628" t="s">
        <v>58</v>
      </c>
      <c r="F1306" s="816" t="s">
        <v>14009</v>
      </c>
      <c r="G1306" s="816"/>
      <c r="H1306" s="816">
        <v>0.28216649999999999</v>
      </c>
      <c r="I1306" s="816"/>
      <c r="J1306" s="817">
        <v>1.0609</v>
      </c>
      <c r="K1306" s="817"/>
      <c r="L1306" s="817"/>
    </row>
    <row r="1307" spans="1:12" ht="24" customHeight="1">
      <c r="A1307" s="626" t="s">
        <v>12709</v>
      </c>
      <c r="B1307" s="627" t="s">
        <v>13273</v>
      </c>
      <c r="C1307" s="626" t="s">
        <v>8</v>
      </c>
      <c r="D1307" s="626" t="s">
        <v>11409</v>
      </c>
      <c r="E1307" s="628" t="s">
        <v>35</v>
      </c>
      <c r="F1307" s="816" t="s">
        <v>14720</v>
      </c>
      <c r="G1307" s="816"/>
      <c r="H1307" s="816">
        <v>6.9999999999999997E-7</v>
      </c>
      <c r="I1307" s="816"/>
      <c r="J1307" s="817">
        <v>3.85E-2</v>
      </c>
      <c r="K1307" s="817"/>
      <c r="L1307" s="817"/>
    </row>
    <row r="1308" spans="1:12" ht="17.100000000000001" customHeight="1">
      <c r="A1308" s="626" t="s">
        <v>12709</v>
      </c>
      <c r="B1308" s="627" t="s">
        <v>13007</v>
      </c>
      <c r="C1308" s="626" t="s">
        <v>8</v>
      </c>
      <c r="D1308" s="626" t="s">
        <v>10549</v>
      </c>
      <c r="E1308" s="628" t="s">
        <v>58</v>
      </c>
      <c r="F1308" s="816" t="s">
        <v>14172</v>
      </c>
      <c r="G1308" s="816"/>
      <c r="H1308" s="816">
        <v>0.19292339999999999</v>
      </c>
      <c r="I1308" s="816"/>
      <c r="J1308" s="817">
        <v>0.62509999999999999</v>
      </c>
      <c r="K1308" s="817"/>
      <c r="L1308" s="817"/>
    </row>
    <row r="1309" spans="1:12">
      <c r="A1309" s="636"/>
      <c r="B1309" s="636"/>
      <c r="C1309" s="636"/>
      <c r="D1309" s="636"/>
      <c r="E1309" s="636"/>
      <c r="F1309" s="636"/>
      <c r="G1309" s="636"/>
      <c r="H1309" s="636"/>
      <c r="I1309" s="636"/>
      <c r="J1309" s="636" t="s">
        <v>13675</v>
      </c>
      <c r="K1309" s="636"/>
      <c r="L1309" s="636" t="s">
        <v>13766</v>
      </c>
    </row>
    <row r="1310" spans="1:12" ht="17.100000000000001" customHeight="1">
      <c r="A1310" s="802" t="s">
        <v>12722</v>
      </c>
      <c r="B1310" s="802"/>
      <c r="C1310" s="802"/>
      <c r="D1310" s="802"/>
      <c r="E1310" s="802"/>
      <c r="F1310" s="802"/>
      <c r="G1310" s="802"/>
      <c r="H1310" s="802"/>
      <c r="I1310" s="612"/>
      <c r="J1310" s="612"/>
      <c r="K1310" s="612"/>
      <c r="L1310" s="612"/>
    </row>
    <row r="1311" spans="1:12" ht="24" customHeight="1">
      <c r="A1311" s="612" t="s">
        <v>13679</v>
      </c>
      <c r="B1311" s="636" t="s">
        <v>12698</v>
      </c>
      <c r="C1311" s="612" t="s">
        <v>12699</v>
      </c>
      <c r="D1311" s="612" t="s">
        <v>12700</v>
      </c>
      <c r="E1311" s="637" t="s">
        <v>12702</v>
      </c>
      <c r="F1311" s="801" t="s">
        <v>12704</v>
      </c>
      <c r="G1311" s="801"/>
      <c r="H1311" s="801" t="s">
        <v>13678</v>
      </c>
      <c r="I1311" s="801"/>
      <c r="J1311" s="801" t="s">
        <v>12705</v>
      </c>
      <c r="K1311" s="801"/>
      <c r="L1311" s="801"/>
    </row>
    <row r="1312" spans="1:12" ht="17.100000000000001" customHeight="1">
      <c r="A1312" s="626" t="s">
        <v>12709</v>
      </c>
      <c r="B1312" s="627" t="s">
        <v>12998</v>
      </c>
      <c r="C1312" s="626" t="s">
        <v>8</v>
      </c>
      <c r="D1312" s="626" t="s">
        <v>11861</v>
      </c>
      <c r="E1312" s="628" t="s">
        <v>23</v>
      </c>
      <c r="F1312" s="816" t="s">
        <v>13683</v>
      </c>
      <c r="G1312" s="816"/>
      <c r="H1312" s="816">
        <v>1.1957732000000001</v>
      </c>
      <c r="I1312" s="816"/>
      <c r="J1312" s="817">
        <v>0.84899999999999998</v>
      </c>
      <c r="K1312" s="817"/>
      <c r="L1312" s="817"/>
    </row>
    <row r="1313" spans="1:12">
      <c r="A1313" s="636"/>
      <c r="B1313" s="636"/>
      <c r="C1313" s="636"/>
      <c r="D1313" s="636"/>
      <c r="E1313" s="636"/>
      <c r="F1313" s="636"/>
      <c r="G1313" s="636"/>
      <c r="H1313" s="636"/>
      <c r="I1313" s="636"/>
      <c r="J1313" s="636" t="s">
        <v>13675</v>
      </c>
      <c r="K1313" s="636"/>
      <c r="L1313" s="636" t="s">
        <v>13906</v>
      </c>
    </row>
    <row r="1314" spans="1:12" ht="17.100000000000001" customHeight="1">
      <c r="A1314" s="802" t="s">
        <v>12713</v>
      </c>
      <c r="B1314" s="802"/>
      <c r="C1314" s="802"/>
      <c r="D1314" s="802"/>
      <c r="E1314" s="802"/>
      <c r="F1314" s="802"/>
      <c r="G1314" s="802"/>
      <c r="H1314" s="802"/>
      <c r="I1314" s="612"/>
      <c r="J1314" s="612"/>
      <c r="K1314" s="612"/>
      <c r="L1314" s="612"/>
    </row>
    <row r="1315" spans="1:12" ht="24" customHeight="1">
      <c r="A1315" s="612" t="s">
        <v>13679</v>
      </c>
      <c r="B1315" s="636" t="s">
        <v>12698</v>
      </c>
      <c r="C1315" s="612" t="s">
        <v>12699</v>
      </c>
      <c r="D1315" s="612" t="s">
        <v>12700</v>
      </c>
      <c r="E1315" s="637" t="s">
        <v>12702</v>
      </c>
      <c r="F1315" s="801" t="s">
        <v>12704</v>
      </c>
      <c r="G1315" s="801"/>
      <c r="H1315" s="801" t="s">
        <v>13678</v>
      </c>
      <c r="I1315" s="801"/>
      <c r="J1315" s="801" t="s">
        <v>12705</v>
      </c>
      <c r="K1315" s="801"/>
      <c r="L1315" s="801"/>
    </row>
    <row r="1316" spans="1:12" ht="24" customHeight="1">
      <c r="A1316" s="626" t="s">
        <v>12709</v>
      </c>
      <c r="B1316" s="627" t="s">
        <v>12999</v>
      </c>
      <c r="C1316" s="626" t="s">
        <v>8</v>
      </c>
      <c r="D1316" s="626" t="s">
        <v>11251</v>
      </c>
      <c r="E1316" s="628" t="s">
        <v>23</v>
      </c>
      <c r="F1316" s="816" t="s">
        <v>13681</v>
      </c>
      <c r="G1316" s="816"/>
      <c r="H1316" s="816">
        <v>1.1957732000000001</v>
      </c>
      <c r="I1316" s="816"/>
      <c r="J1316" s="817">
        <v>8.3699999999999997E-2</v>
      </c>
      <c r="K1316" s="817"/>
      <c r="L1316" s="817"/>
    </row>
    <row r="1317" spans="1:12" ht="17.100000000000001" customHeight="1">
      <c r="A1317" s="636"/>
      <c r="B1317" s="636"/>
      <c r="C1317" s="636"/>
      <c r="D1317" s="636"/>
      <c r="E1317" s="636"/>
      <c r="F1317" s="636"/>
      <c r="G1317" s="636"/>
      <c r="H1317" s="636"/>
      <c r="I1317" s="636"/>
      <c r="J1317" s="636" t="s">
        <v>13675</v>
      </c>
      <c r="K1317" s="636"/>
      <c r="L1317" s="636" t="s">
        <v>13892</v>
      </c>
    </row>
    <row r="1318" spans="1:12" ht="17.100000000000001" customHeight="1">
      <c r="A1318" s="802" t="s">
        <v>12712</v>
      </c>
      <c r="B1318" s="802"/>
      <c r="C1318" s="802"/>
      <c r="D1318" s="802"/>
      <c r="E1318" s="802"/>
      <c r="F1318" s="802"/>
      <c r="G1318" s="802"/>
      <c r="H1318" s="802"/>
      <c r="I1318" s="612"/>
      <c r="J1318" s="612"/>
      <c r="K1318" s="612"/>
      <c r="L1318" s="612"/>
    </row>
    <row r="1319" spans="1:12" ht="17.100000000000001" customHeight="1">
      <c r="A1319" s="612" t="s">
        <v>13679</v>
      </c>
      <c r="B1319" s="636" t="s">
        <v>12698</v>
      </c>
      <c r="C1319" s="612" t="s">
        <v>12699</v>
      </c>
      <c r="D1319" s="612" t="s">
        <v>12700</v>
      </c>
      <c r="E1319" s="637" t="s">
        <v>12702</v>
      </c>
      <c r="F1319" s="801" t="s">
        <v>12704</v>
      </c>
      <c r="G1319" s="801"/>
      <c r="H1319" s="801" t="s">
        <v>13678</v>
      </c>
      <c r="I1319" s="801"/>
      <c r="J1319" s="801" t="s">
        <v>12705</v>
      </c>
      <c r="K1319" s="801"/>
      <c r="L1319" s="801"/>
    </row>
    <row r="1320" spans="1:12" ht="17.100000000000001" customHeight="1">
      <c r="A1320" s="626" t="s">
        <v>12709</v>
      </c>
      <c r="B1320" s="627" t="s">
        <v>13002</v>
      </c>
      <c r="C1320" s="626" t="s">
        <v>8</v>
      </c>
      <c r="D1320" s="626" t="s">
        <v>9306</v>
      </c>
      <c r="E1320" s="628" t="s">
        <v>23</v>
      </c>
      <c r="F1320" s="816" t="s">
        <v>13677</v>
      </c>
      <c r="G1320" s="816"/>
      <c r="H1320" s="816">
        <v>1.1957732000000001</v>
      </c>
      <c r="I1320" s="816"/>
      <c r="J1320" s="817">
        <v>0.41849999999999998</v>
      </c>
      <c r="K1320" s="817"/>
      <c r="L1320" s="817"/>
    </row>
    <row r="1321" spans="1:12" ht="17.100000000000001" customHeight="1">
      <c r="A1321" s="626" t="s">
        <v>12709</v>
      </c>
      <c r="B1321" s="627" t="s">
        <v>13004</v>
      </c>
      <c r="C1321" s="626" t="s">
        <v>8</v>
      </c>
      <c r="D1321" s="626" t="s">
        <v>7388</v>
      </c>
      <c r="E1321" s="628" t="s">
        <v>23</v>
      </c>
      <c r="F1321" s="816" t="s">
        <v>13676</v>
      </c>
      <c r="G1321" s="816"/>
      <c r="H1321" s="816">
        <v>1.1957732000000001</v>
      </c>
      <c r="I1321" s="816"/>
      <c r="J1321" s="817">
        <v>2.6307</v>
      </c>
      <c r="K1321" s="817"/>
      <c r="L1321" s="817"/>
    </row>
    <row r="1322" spans="1:12" ht="17.100000000000001" customHeight="1">
      <c r="A1322" s="636"/>
      <c r="B1322" s="636"/>
      <c r="C1322" s="636"/>
      <c r="D1322" s="636"/>
      <c r="E1322" s="636"/>
      <c r="F1322" s="636"/>
      <c r="G1322" s="636"/>
      <c r="H1322" s="636"/>
      <c r="I1322" s="636"/>
      <c r="J1322" s="636" t="s">
        <v>13675</v>
      </c>
      <c r="K1322" s="636"/>
      <c r="L1322" s="636" t="s">
        <v>14719</v>
      </c>
    </row>
    <row r="1323" spans="1:12" ht="17.100000000000001" customHeight="1">
      <c r="A1323" s="612" t="s">
        <v>13673</v>
      </c>
      <c r="B1323" s="612"/>
      <c r="C1323" s="612"/>
      <c r="D1323" s="612"/>
      <c r="E1323" s="612"/>
      <c r="F1323" s="612"/>
      <c r="G1323" s="612"/>
      <c r="H1323" s="612"/>
      <c r="I1323" s="612"/>
      <c r="J1323" s="612"/>
      <c r="K1323" s="612"/>
      <c r="L1323" s="612"/>
    </row>
    <row r="1324" spans="1:12" ht="30" customHeight="1">
      <c r="A1324" s="636"/>
      <c r="B1324" s="636"/>
      <c r="C1324" s="636"/>
      <c r="D1324" s="636"/>
      <c r="E1324" s="636"/>
      <c r="F1324" s="636"/>
      <c r="G1324" s="636"/>
      <c r="H1324" s="636"/>
      <c r="I1324" s="636"/>
      <c r="J1324" s="636" t="s">
        <v>13672</v>
      </c>
      <c r="K1324" s="636"/>
      <c r="L1324" s="636" t="s">
        <v>15031</v>
      </c>
    </row>
    <row r="1325" spans="1:12" ht="36" customHeight="1">
      <c r="A1325" s="636"/>
      <c r="B1325" s="636"/>
      <c r="C1325" s="636"/>
      <c r="D1325" s="636"/>
      <c r="E1325" s="636"/>
      <c r="F1325" s="636"/>
      <c r="G1325" s="636"/>
      <c r="H1325" s="636"/>
      <c r="I1325" s="636"/>
      <c r="J1325" s="636" t="s">
        <v>13671</v>
      </c>
      <c r="K1325" s="636" t="s">
        <v>14461</v>
      </c>
      <c r="L1325" s="636" t="s">
        <v>14968</v>
      </c>
    </row>
    <row r="1326" spans="1:12" ht="14.25" customHeight="1">
      <c r="A1326" s="636"/>
      <c r="B1326" s="636"/>
      <c r="C1326" s="636"/>
      <c r="D1326" s="636"/>
      <c r="E1326" s="636"/>
      <c r="F1326" s="636"/>
      <c r="G1326" s="636"/>
      <c r="H1326" s="636"/>
      <c r="I1326" s="636"/>
      <c r="J1326" s="636" t="s">
        <v>13670</v>
      </c>
      <c r="K1326" s="636"/>
      <c r="L1326" s="636" t="s">
        <v>15032</v>
      </c>
    </row>
    <row r="1327" spans="1:12" ht="17.100000000000001" customHeight="1">
      <c r="A1327" s="636"/>
      <c r="B1327" s="636"/>
      <c r="C1327" s="636"/>
      <c r="D1327" s="636"/>
      <c r="E1327" s="636"/>
      <c r="F1327" s="636"/>
      <c r="G1327" s="636"/>
      <c r="H1327" s="636"/>
      <c r="I1327" s="636"/>
      <c r="J1327" s="636" t="s">
        <v>13669</v>
      </c>
      <c r="K1327" s="636" t="s">
        <v>13667</v>
      </c>
      <c r="L1327" s="636" t="s">
        <v>15033</v>
      </c>
    </row>
    <row r="1328" spans="1:12" ht="48" customHeight="1">
      <c r="A1328" s="636"/>
      <c r="B1328" s="636"/>
      <c r="C1328" s="636"/>
      <c r="D1328" s="636"/>
      <c r="E1328" s="636"/>
      <c r="F1328" s="636"/>
      <c r="G1328" s="636"/>
      <c r="H1328" s="636"/>
      <c r="I1328" s="636"/>
      <c r="J1328" s="636" t="s">
        <v>13668</v>
      </c>
      <c r="K1328" s="636"/>
      <c r="L1328" s="636" t="s">
        <v>15034</v>
      </c>
    </row>
    <row r="1329" spans="1:12" ht="24" customHeight="1">
      <c r="A1329" s="637"/>
      <c r="B1329" s="637"/>
      <c r="C1329" s="637"/>
      <c r="D1329" s="637"/>
      <c r="E1329" s="637"/>
      <c r="F1329" s="637"/>
      <c r="G1329" s="637"/>
      <c r="H1329" s="637"/>
      <c r="I1329" s="637"/>
      <c r="J1329" s="637"/>
      <c r="K1329" s="637"/>
      <c r="L1329" s="637"/>
    </row>
    <row r="1330" spans="1:12" ht="24" customHeight="1">
      <c r="A1330" s="616" t="s">
        <v>14233</v>
      </c>
      <c r="B1330" s="617" t="s">
        <v>13637</v>
      </c>
      <c r="C1330" s="616" t="s">
        <v>8</v>
      </c>
      <c r="D1330" s="616" t="s">
        <v>38</v>
      </c>
      <c r="E1330" s="618" t="s">
        <v>12730</v>
      </c>
      <c r="F1330" s="617"/>
      <c r="G1330" s="617"/>
      <c r="H1330" s="617"/>
      <c r="I1330" s="617"/>
      <c r="J1330" s="617"/>
      <c r="K1330" s="617"/>
      <c r="L1330" s="617"/>
    </row>
    <row r="1331" spans="1:12" ht="17.100000000000001" customHeight="1">
      <c r="A1331" s="802" t="s">
        <v>12711</v>
      </c>
      <c r="B1331" s="802"/>
      <c r="C1331" s="802"/>
      <c r="D1331" s="802"/>
      <c r="E1331" s="802"/>
      <c r="F1331" s="802"/>
      <c r="G1331" s="802"/>
      <c r="H1331" s="802"/>
      <c r="I1331" s="612"/>
      <c r="J1331" s="612"/>
      <c r="K1331" s="612"/>
      <c r="L1331" s="612"/>
    </row>
    <row r="1332" spans="1:12" ht="14.25" customHeight="1">
      <c r="A1332" s="612" t="s">
        <v>13679</v>
      </c>
      <c r="B1332" s="636" t="s">
        <v>12698</v>
      </c>
      <c r="C1332" s="612" t="s">
        <v>12699</v>
      </c>
      <c r="D1332" s="612" t="s">
        <v>12700</v>
      </c>
      <c r="E1332" s="637" t="s">
        <v>12702</v>
      </c>
      <c r="F1332" s="801" t="s">
        <v>12704</v>
      </c>
      <c r="G1332" s="801"/>
      <c r="H1332" s="801" t="s">
        <v>13678</v>
      </c>
      <c r="I1332" s="801"/>
      <c r="J1332" s="801" t="s">
        <v>12705</v>
      </c>
      <c r="K1332" s="801"/>
      <c r="L1332" s="801"/>
    </row>
    <row r="1333" spans="1:12" ht="17.100000000000001" customHeight="1">
      <c r="A1333" s="626" t="s">
        <v>12709</v>
      </c>
      <c r="B1333" s="627" t="s">
        <v>13280</v>
      </c>
      <c r="C1333" s="626" t="s">
        <v>8</v>
      </c>
      <c r="D1333" s="626" t="s">
        <v>8193</v>
      </c>
      <c r="E1333" s="628" t="s">
        <v>35</v>
      </c>
      <c r="F1333" s="816" t="s">
        <v>14491</v>
      </c>
      <c r="G1333" s="816"/>
      <c r="H1333" s="816">
        <v>1.26E-5</v>
      </c>
      <c r="I1333" s="816"/>
      <c r="J1333" s="817">
        <v>3.6513</v>
      </c>
      <c r="K1333" s="817"/>
      <c r="L1333" s="817"/>
    </row>
    <row r="1334" spans="1:12" ht="24" customHeight="1">
      <c r="A1334" s="626" t="s">
        <v>12709</v>
      </c>
      <c r="B1334" s="627" t="s">
        <v>13003</v>
      </c>
      <c r="C1334" s="626" t="s">
        <v>8</v>
      </c>
      <c r="D1334" s="626" t="s">
        <v>9227</v>
      </c>
      <c r="E1334" s="628" t="s">
        <v>23</v>
      </c>
      <c r="F1334" s="816" t="s">
        <v>13732</v>
      </c>
      <c r="G1334" s="816"/>
      <c r="H1334" s="816">
        <v>0.2493167</v>
      </c>
      <c r="I1334" s="816"/>
      <c r="J1334" s="817">
        <v>0.16450000000000001</v>
      </c>
      <c r="K1334" s="817"/>
      <c r="L1334" s="817"/>
    </row>
    <row r="1335" spans="1:12" ht="17.100000000000001" customHeight="1">
      <c r="A1335" s="626" t="s">
        <v>12709</v>
      </c>
      <c r="B1335" s="627" t="s">
        <v>13001</v>
      </c>
      <c r="C1335" s="626" t="s">
        <v>8</v>
      </c>
      <c r="D1335" s="626" t="s">
        <v>9374</v>
      </c>
      <c r="E1335" s="628" t="s">
        <v>23</v>
      </c>
      <c r="F1335" s="816" t="s">
        <v>13728</v>
      </c>
      <c r="G1335" s="816"/>
      <c r="H1335" s="816">
        <v>0.2493167</v>
      </c>
      <c r="I1335" s="816"/>
      <c r="J1335" s="817">
        <v>2.5000000000000001E-3</v>
      </c>
      <c r="K1335" s="817"/>
      <c r="L1335" s="817"/>
    </row>
    <row r="1336" spans="1:12" ht="25.5">
      <c r="A1336" s="626" t="s">
        <v>12709</v>
      </c>
      <c r="B1336" s="627" t="s">
        <v>13048</v>
      </c>
      <c r="C1336" s="626" t="s">
        <v>8</v>
      </c>
      <c r="D1336" s="626" t="s">
        <v>9233</v>
      </c>
      <c r="E1336" s="628" t="s">
        <v>23</v>
      </c>
      <c r="F1336" s="816" t="s">
        <v>13690</v>
      </c>
      <c r="G1336" s="816"/>
      <c r="H1336" s="816">
        <v>0.69808680000000001</v>
      </c>
      <c r="I1336" s="816"/>
      <c r="J1336" s="817">
        <v>0.71199999999999997</v>
      </c>
      <c r="K1336" s="817"/>
      <c r="L1336" s="817"/>
    </row>
    <row r="1337" spans="1:12" ht="17.100000000000001" customHeight="1">
      <c r="A1337" s="626" t="s">
        <v>12709</v>
      </c>
      <c r="B1337" s="627" t="s">
        <v>13047</v>
      </c>
      <c r="C1337" s="626" t="s">
        <v>8</v>
      </c>
      <c r="D1337" s="626" t="s">
        <v>9380</v>
      </c>
      <c r="E1337" s="628" t="s">
        <v>23</v>
      </c>
      <c r="F1337" s="816" t="s">
        <v>13689</v>
      </c>
      <c r="G1337" s="816"/>
      <c r="H1337" s="816">
        <v>0.69808680000000001</v>
      </c>
      <c r="I1337" s="816"/>
      <c r="J1337" s="817">
        <v>0.26529999999999998</v>
      </c>
      <c r="K1337" s="817"/>
      <c r="L1337" s="817"/>
    </row>
    <row r="1338" spans="1:12" ht="24" customHeight="1">
      <c r="A1338" s="636"/>
      <c r="B1338" s="636"/>
      <c r="C1338" s="636"/>
      <c r="D1338" s="636"/>
      <c r="E1338" s="636"/>
      <c r="F1338" s="636"/>
      <c r="G1338" s="636"/>
      <c r="H1338" s="636"/>
      <c r="I1338" s="636"/>
      <c r="J1338" s="636" t="s">
        <v>13675</v>
      </c>
      <c r="K1338" s="636"/>
      <c r="L1338" s="636" t="s">
        <v>13949</v>
      </c>
    </row>
    <row r="1339" spans="1:12" ht="24" customHeight="1">
      <c r="A1339" s="802" t="s">
        <v>12710</v>
      </c>
      <c r="B1339" s="802"/>
      <c r="C1339" s="802"/>
      <c r="D1339" s="802"/>
      <c r="E1339" s="802"/>
      <c r="F1339" s="802"/>
      <c r="G1339" s="802"/>
      <c r="H1339" s="802"/>
      <c r="I1339" s="612"/>
      <c r="J1339" s="612"/>
      <c r="K1339" s="612"/>
      <c r="L1339" s="612"/>
    </row>
    <row r="1340" spans="1:12" ht="17.100000000000001" customHeight="1">
      <c r="A1340" s="612" t="s">
        <v>13679</v>
      </c>
      <c r="B1340" s="636" t="s">
        <v>12698</v>
      </c>
      <c r="C1340" s="612" t="s">
        <v>12699</v>
      </c>
      <c r="D1340" s="612" t="s">
        <v>12700</v>
      </c>
      <c r="E1340" s="637" t="s">
        <v>12702</v>
      </c>
      <c r="F1340" s="801" t="s">
        <v>12704</v>
      </c>
      <c r="G1340" s="801"/>
      <c r="H1340" s="801" t="s">
        <v>13678</v>
      </c>
      <c r="I1340" s="801"/>
      <c r="J1340" s="801" t="s">
        <v>12705</v>
      </c>
      <c r="K1340" s="801"/>
      <c r="L1340" s="801"/>
    </row>
    <row r="1341" spans="1:12" ht="25.5">
      <c r="A1341" s="626" t="s">
        <v>12709</v>
      </c>
      <c r="B1341" s="627" t="s">
        <v>13129</v>
      </c>
      <c r="C1341" s="626" t="s">
        <v>8</v>
      </c>
      <c r="D1341" s="626" t="s">
        <v>10467</v>
      </c>
      <c r="E1341" s="628" t="s">
        <v>23</v>
      </c>
      <c r="F1341" s="816" t="s">
        <v>14252</v>
      </c>
      <c r="G1341" s="816"/>
      <c r="H1341" s="816">
        <v>0.25041940000000001</v>
      </c>
      <c r="I1341" s="816"/>
      <c r="J1341" s="817">
        <v>1.2971999999999999</v>
      </c>
      <c r="K1341" s="817"/>
      <c r="L1341" s="817"/>
    </row>
    <row r="1342" spans="1:12" ht="17.100000000000001" customHeight="1">
      <c r="A1342" s="626" t="s">
        <v>12709</v>
      </c>
      <c r="B1342" s="627" t="s">
        <v>13046</v>
      </c>
      <c r="C1342" s="626" t="s">
        <v>8</v>
      </c>
      <c r="D1342" s="626" t="s">
        <v>11281</v>
      </c>
      <c r="E1342" s="628" t="s">
        <v>23</v>
      </c>
      <c r="F1342" s="816" t="s">
        <v>13731</v>
      </c>
      <c r="G1342" s="816"/>
      <c r="H1342" s="816">
        <v>0.70893030000000001</v>
      </c>
      <c r="I1342" s="816"/>
      <c r="J1342" s="817">
        <v>3.6438999999999999</v>
      </c>
      <c r="K1342" s="817"/>
      <c r="L1342" s="817"/>
    </row>
    <row r="1343" spans="1:12" ht="24" customHeight="1">
      <c r="A1343" s="636"/>
      <c r="B1343" s="636"/>
      <c r="C1343" s="636"/>
      <c r="D1343" s="636"/>
      <c r="E1343" s="636"/>
      <c r="F1343" s="636"/>
      <c r="G1343" s="636"/>
      <c r="H1343" s="636"/>
      <c r="I1343" s="636"/>
      <c r="J1343" s="636" t="s">
        <v>13675</v>
      </c>
      <c r="K1343" s="636"/>
      <c r="L1343" s="636" t="s">
        <v>14490</v>
      </c>
    </row>
    <row r="1344" spans="1:12" ht="17.100000000000001" customHeight="1">
      <c r="A1344" s="802" t="s">
        <v>12720</v>
      </c>
      <c r="B1344" s="802"/>
      <c r="C1344" s="802"/>
      <c r="D1344" s="802"/>
      <c r="E1344" s="802"/>
      <c r="F1344" s="802"/>
      <c r="G1344" s="802"/>
      <c r="H1344" s="802"/>
      <c r="I1344" s="612"/>
      <c r="J1344" s="612"/>
      <c r="K1344" s="612"/>
      <c r="L1344" s="612"/>
    </row>
    <row r="1345" spans="1:12">
      <c r="A1345" s="612" t="s">
        <v>13679</v>
      </c>
      <c r="B1345" s="636" t="s">
        <v>12698</v>
      </c>
      <c r="C1345" s="612" t="s">
        <v>12699</v>
      </c>
      <c r="D1345" s="612" t="s">
        <v>12700</v>
      </c>
      <c r="E1345" s="637" t="s">
        <v>12702</v>
      </c>
      <c r="F1345" s="801" t="s">
        <v>12704</v>
      </c>
      <c r="G1345" s="801"/>
      <c r="H1345" s="801" t="s">
        <v>13678</v>
      </c>
      <c r="I1345" s="801"/>
      <c r="J1345" s="801" t="s">
        <v>12705</v>
      </c>
      <c r="K1345" s="801"/>
      <c r="L1345" s="801"/>
    </row>
    <row r="1346" spans="1:12" ht="17.100000000000001" customHeight="1">
      <c r="A1346" s="626" t="s">
        <v>12709</v>
      </c>
      <c r="B1346" s="627" t="s">
        <v>13281</v>
      </c>
      <c r="C1346" s="626" t="s">
        <v>8</v>
      </c>
      <c r="D1346" s="626" t="s">
        <v>8070</v>
      </c>
      <c r="E1346" s="628" t="s">
        <v>35</v>
      </c>
      <c r="F1346" s="816" t="s">
        <v>13730</v>
      </c>
      <c r="G1346" s="816"/>
      <c r="H1346" s="816">
        <v>1.26E-5</v>
      </c>
      <c r="I1346" s="816"/>
      <c r="J1346" s="817">
        <v>0.42749999999999999</v>
      </c>
      <c r="K1346" s="817"/>
      <c r="L1346" s="817"/>
    </row>
    <row r="1347" spans="1:12" ht="24" customHeight="1">
      <c r="A1347" s="636"/>
      <c r="B1347" s="636"/>
      <c r="C1347" s="636"/>
      <c r="D1347" s="636"/>
      <c r="E1347" s="636"/>
      <c r="F1347" s="636"/>
      <c r="G1347" s="636"/>
      <c r="H1347" s="636"/>
      <c r="I1347" s="636"/>
      <c r="J1347" s="636" t="s">
        <v>13675</v>
      </c>
      <c r="K1347" s="636"/>
      <c r="L1347" s="636" t="s">
        <v>13717</v>
      </c>
    </row>
    <row r="1348" spans="1:12" ht="17.100000000000001" customHeight="1">
      <c r="A1348" s="802" t="s">
        <v>12722</v>
      </c>
      <c r="B1348" s="802"/>
      <c r="C1348" s="802"/>
      <c r="D1348" s="802"/>
      <c r="E1348" s="802"/>
      <c r="F1348" s="802"/>
      <c r="G1348" s="802"/>
      <c r="H1348" s="802"/>
      <c r="I1348" s="612"/>
      <c r="J1348" s="612"/>
      <c r="K1348" s="612"/>
      <c r="L1348" s="612"/>
    </row>
    <row r="1349" spans="1:12">
      <c r="A1349" s="612" t="s">
        <v>13679</v>
      </c>
      <c r="B1349" s="636" t="s">
        <v>12698</v>
      </c>
      <c r="C1349" s="612" t="s">
        <v>12699</v>
      </c>
      <c r="D1349" s="612" t="s">
        <v>12700</v>
      </c>
      <c r="E1349" s="637" t="s">
        <v>12702</v>
      </c>
      <c r="F1349" s="801" t="s">
        <v>12704</v>
      </c>
      <c r="G1349" s="801"/>
      <c r="H1349" s="801" t="s">
        <v>13678</v>
      </c>
      <c r="I1349" s="801"/>
      <c r="J1349" s="801" t="s">
        <v>12705</v>
      </c>
      <c r="K1349" s="801"/>
      <c r="L1349" s="801"/>
    </row>
    <row r="1350" spans="1:12" ht="17.100000000000001" customHeight="1">
      <c r="A1350" s="626" t="s">
        <v>12709</v>
      </c>
      <c r="B1350" s="627" t="s">
        <v>12998</v>
      </c>
      <c r="C1350" s="626" t="s">
        <v>8</v>
      </c>
      <c r="D1350" s="626" t="s">
        <v>11861</v>
      </c>
      <c r="E1350" s="628" t="s">
        <v>23</v>
      </c>
      <c r="F1350" s="816" t="s">
        <v>13683</v>
      </c>
      <c r="G1350" s="816"/>
      <c r="H1350" s="816">
        <v>0.94740360000000001</v>
      </c>
      <c r="I1350" s="816"/>
      <c r="J1350" s="817">
        <v>0.67269999999999996</v>
      </c>
      <c r="K1350" s="817"/>
      <c r="L1350" s="817"/>
    </row>
    <row r="1351" spans="1:12" ht="24" customHeight="1">
      <c r="A1351" s="636"/>
      <c r="B1351" s="636"/>
      <c r="C1351" s="636"/>
      <c r="D1351" s="636"/>
      <c r="E1351" s="636"/>
      <c r="F1351" s="636"/>
      <c r="G1351" s="636"/>
      <c r="H1351" s="636"/>
      <c r="I1351" s="636"/>
      <c r="J1351" s="636" t="s">
        <v>13675</v>
      </c>
      <c r="K1351" s="636"/>
      <c r="L1351" s="636" t="s">
        <v>13735</v>
      </c>
    </row>
    <row r="1352" spans="1:12" ht="24" customHeight="1">
      <c r="A1352" s="802" t="s">
        <v>12713</v>
      </c>
      <c r="B1352" s="802"/>
      <c r="C1352" s="802"/>
      <c r="D1352" s="802"/>
      <c r="E1352" s="802"/>
      <c r="F1352" s="802"/>
      <c r="G1352" s="802"/>
      <c r="H1352" s="802"/>
      <c r="I1352" s="612"/>
      <c r="J1352" s="612"/>
      <c r="K1352" s="612"/>
      <c r="L1352" s="612"/>
    </row>
    <row r="1353" spans="1:12" ht="17.100000000000001" customHeight="1">
      <c r="A1353" s="612" t="s">
        <v>13679</v>
      </c>
      <c r="B1353" s="636" t="s">
        <v>12698</v>
      </c>
      <c r="C1353" s="612" t="s">
        <v>12699</v>
      </c>
      <c r="D1353" s="612" t="s">
        <v>12700</v>
      </c>
      <c r="E1353" s="637" t="s">
        <v>12702</v>
      </c>
      <c r="F1353" s="801" t="s">
        <v>12704</v>
      </c>
      <c r="G1353" s="801"/>
      <c r="H1353" s="801" t="s">
        <v>13678</v>
      </c>
      <c r="I1353" s="801"/>
      <c r="J1353" s="801" t="s">
        <v>12705</v>
      </c>
      <c r="K1353" s="801"/>
      <c r="L1353" s="801"/>
    </row>
    <row r="1354" spans="1:12" ht="17.100000000000001" customHeight="1">
      <c r="A1354" s="626" t="s">
        <v>12709</v>
      </c>
      <c r="B1354" s="627" t="s">
        <v>12999</v>
      </c>
      <c r="C1354" s="626" t="s">
        <v>8</v>
      </c>
      <c r="D1354" s="626" t="s">
        <v>11251</v>
      </c>
      <c r="E1354" s="628" t="s">
        <v>23</v>
      </c>
      <c r="F1354" s="816" t="s">
        <v>13681</v>
      </c>
      <c r="G1354" s="816"/>
      <c r="H1354" s="816">
        <v>0.94740360000000001</v>
      </c>
      <c r="I1354" s="816"/>
      <c r="J1354" s="817">
        <v>6.6299999999999998E-2</v>
      </c>
      <c r="K1354" s="817"/>
      <c r="L1354" s="817"/>
    </row>
    <row r="1355" spans="1:12" ht="17.100000000000001" customHeight="1">
      <c r="A1355" s="636"/>
      <c r="B1355" s="636"/>
      <c r="C1355" s="636"/>
      <c r="D1355" s="636"/>
      <c r="E1355" s="636"/>
      <c r="F1355" s="636"/>
      <c r="G1355" s="636"/>
      <c r="H1355" s="636"/>
      <c r="I1355" s="636"/>
      <c r="J1355" s="636" t="s">
        <v>13675</v>
      </c>
      <c r="K1355" s="636"/>
      <c r="L1355" s="636" t="s">
        <v>13681</v>
      </c>
    </row>
    <row r="1356" spans="1:12" ht="17.100000000000001" customHeight="1">
      <c r="A1356" s="802" t="s">
        <v>12712</v>
      </c>
      <c r="B1356" s="802"/>
      <c r="C1356" s="802"/>
      <c r="D1356" s="802"/>
      <c r="E1356" s="802"/>
      <c r="F1356" s="802"/>
      <c r="G1356" s="802"/>
      <c r="H1356" s="802"/>
      <c r="I1356" s="612"/>
      <c r="J1356" s="612"/>
      <c r="K1356" s="612"/>
      <c r="L1356" s="612"/>
    </row>
    <row r="1357" spans="1:12" ht="17.100000000000001" customHeight="1">
      <c r="A1357" s="612" t="s">
        <v>13679</v>
      </c>
      <c r="B1357" s="636" t="s">
        <v>12698</v>
      </c>
      <c r="C1357" s="612" t="s">
        <v>12699</v>
      </c>
      <c r="D1357" s="612" t="s">
        <v>12700</v>
      </c>
      <c r="E1357" s="637" t="s">
        <v>12702</v>
      </c>
      <c r="F1357" s="801" t="s">
        <v>12704</v>
      </c>
      <c r="G1357" s="801"/>
      <c r="H1357" s="801" t="s">
        <v>13678</v>
      </c>
      <c r="I1357" s="801"/>
      <c r="J1357" s="801" t="s">
        <v>12705</v>
      </c>
      <c r="K1357" s="801"/>
      <c r="L1357" s="801"/>
    </row>
    <row r="1358" spans="1:12" ht="17.100000000000001" customHeight="1">
      <c r="A1358" s="626" t="s">
        <v>12709</v>
      </c>
      <c r="B1358" s="627" t="s">
        <v>13002</v>
      </c>
      <c r="C1358" s="626" t="s">
        <v>8</v>
      </c>
      <c r="D1358" s="626" t="s">
        <v>9306</v>
      </c>
      <c r="E1358" s="628" t="s">
        <v>23</v>
      </c>
      <c r="F1358" s="816" t="s">
        <v>13677</v>
      </c>
      <c r="G1358" s="816"/>
      <c r="H1358" s="816">
        <v>0.94740360000000001</v>
      </c>
      <c r="I1358" s="816"/>
      <c r="J1358" s="817">
        <v>0.33160000000000001</v>
      </c>
      <c r="K1358" s="817"/>
      <c r="L1358" s="817"/>
    </row>
    <row r="1359" spans="1:12" ht="17.100000000000001" customHeight="1">
      <c r="A1359" s="626" t="s">
        <v>12709</v>
      </c>
      <c r="B1359" s="627" t="s">
        <v>13004</v>
      </c>
      <c r="C1359" s="626" t="s">
        <v>8</v>
      </c>
      <c r="D1359" s="626" t="s">
        <v>7388</v>
      </c>
      <c r="E1359" s="628" t="s">
        <v>23</v>
      </c>
      <c r="F1359" s="816" t="s">
        <v>13676</v>
      </c>
      <c r="G1359" s="816"/>
      <c r="H1359" s="816">
        <v>0.94740360000000001</v>
      </c>
      <c r="I1359" s="816"/>
      <c r="J1359" s="817">
        <v>2.0842999999999998</v>
      </c>
      <c r="K1359" s="817"/>
      <c r="L1359" s="817"/>
    </row>
    <row r="1360" spans="1:12" ht="30" customHeight="1">
      <c r="A1360" s="636"/>
      <c r="B1360" s="636"/>
      <c r="C1360" s="636"/>
      <c r="D1360" s="636"/>
      <c r="E1360" s="636"/>
      <c r="F1360" s="636"/>
      <c r="G1360" s="636"/>
      <c r="H1360" s="636"/>
      <c r="I1360" s="636"/>
      <c r="J1360" s="636" t="s">
        <v>13675</v>
      </c>
      <c r="K1360" s="636"/>
      <c r="L1360" s="636" t="s">
        <v>13734</v>
      </c>
    </row>
    <row r="1361" spans="1:12" ht="24" customHeight="1">
      <c r="A1361" s="612" t="s">
        <v>13673</v>
      </c>
      <c r="B1361" s="612"/>
      <c r="C1361" s="612"/>
      <c r="D1361" s="612"/>
      <c r="E1361" s="612"/>
      <c r="F1361" s="612"/>
      <c r="G1361" s="612"/>
      <c r="H1361" s="612"/>
      <c r="I1361" s="612"/>
      <c r="J1361" s="612"/>
      <c r="K1361" s="612"/>
      <c r="L1361" s="612"/>
    </row>
    <row r="1362" spans="1:12" ht="14.25" customHeight="1">
      <c r="A1362" s="636"/>
      <c r="B1362" s="636"/>
      <c r="C1362" s="636"/>
      <c r="D1362" s="636"/>
      <c r="E1362" s="636"/>
      <c r="F1362" s="636"/>
      <c r="G1362" s="636"/>
      <c r="H1362" s="636"/>
      <c r="I1362" s="636"/>
      <c r="J1362" s="636" t="s">
        <v>13672</v>
      </c>
      <c r="K1362" s="636"/>
      <c r="L1362" s="636" t="s">
        <v>14959</v>
      </c>
    </row>
    <row r="1363" spans="1:12" ht="17.100000000000001" customHeight="1">
      <c r="A1363" s="636"/>
      <c r="B1363" s="636"/>
      <c r="C1363" s="636"/>
      <c r="D1363" s="636"/>
      <c r="E1363" s="636"/>
      <c r="F1363" s="636"/>
      <c r="G1363" s="636"/>
      <c r="H1363" s="636"/>
      <c r="I1363" s="636"/>
      <c r="J1363" s="636" t="s">
        <v>13671</v>
      </c>
      <c r="K1363" s="636" t="s">
        <v>14461</v>
      </c>
      <c r="L1363" s="636" t="s">
        <v>14960</v>
      </c>
    </row>
    <row r="1364" spans="1:12" ht="24" customHeight="1">
      <c r="A1364" s="636"/>
      <c r="B1364" s="636"/>
      <c r="C1364" s="636"/>
      <c r="D1364" s="636"/>
      <c r="E1364" s="636"/>
      <c r="F1364" s="636"/>
      <c r="G1364" s="636"/>
      <c r="H1364" s="636"/>
      <c r="I1364" s="636"/>
      <c r="J1364" s="636" t="s">
        <v>13670</v>
      </c>
      <c r="K1364" s="636"/>
      <c r="L1364" s="636" t="s">
        <v>14961</v>
      </c>
    </row>
    <row r="1365" spans="1:12" ht="24" customHeight="1">
      <c r="A1365" s="636"/>
      <c r="B1365" s="636"/>
      <c r="C1365" s="636"/>
      <c r="D1365" s="636"/>
      <c r="E1365" s="636"/>
      <c r="F1365" s="636"/>
      <c r="G1365" s="636"/>
      <c r="H1365" s="636"/>
      <c r="I1365" s="636"/>
      <c r="J1365" s="636" t="s">
        <v>13669</v>
      </c>
      <c r="K1365" s="636" t="s">
        <v>13667</v>
      </c>
      <c r="L1365" s="636" t="s">
        <v>14962</v>
      </c>
    </row>
    <row r="1366" spans="1:12" ht="24" customHeight="1">
      <c r="A1366" s="636"/>
      <c r="B1366" s="636"/>
      <c r="C1366" s="636"/>
      <c r="D1366" s="636"/>
      <c r="E1366" s="636"/>
      <c r="F1366" s="636"/>
      <c r="G1366" s="636"/>
      <c r="H1366" s="636"/>
      <c r="I1366" s="636"/>
      <c r="J1366" s="636" t="s">
        <v>13668</v>
      </c>
      <c r="K1366" s="636"/>
      <c r="L1366" s="636" t="s">
        <v>14963</v>
      </c>
    </row>
    <row r="1367" spans="1:12" ht="24" customHeight="1">
      <c r="A1367" s="637"/>
      <c r="B1367" s="637"/>
      <c r="C1367" s="637"/>
      <c r="D1367" s="637"/>
      <c r="E1367" s="637"/>
      <c r="F1367" s="637"/>
      <c r="G1367" s="637"/>
      <c r="H1367" s="637"/>
      <c r="I1367" s="637"/>
      <c r="J1367" s="637"/>
      <c r="K1367" s="637"/>
      <c r="L1367" s="637"/>
    </row>
    <row r="1368" spans="1:12" ht="17.100000000000001" customHeight="1">
      <c r="A1368" s="616" t="s">
        <v>14232</v>
      </c>
      <c r="B1368" s="617" t="s">
        <v>13622</v>
      </c>
      <c r="C1368" s="616" t="s">
        <v>8</v>
      </c>
      <c r="D1368" s="616" t="s">
        <v>4682</v>
      </c>
      <c r="E1368" s="618" t="s">
        <v>140</v>
      </c>
      <c r="F1368" s="617"/>
      <c r="G1368" s="617"/>
      <c r="H1368" s="617"/>
      <c r="I1368" s="617"/>
      <c r="J1368" s="617"/>
      <c r="K1368" s="617"/>
      <c r="L1368" s="617"/>
    </row>
    <row r="1369" spans="1:12" ht="14.25" customHeight="1">
      <c r="A1369" s="802" t="s">
        <v>12711</v>
      </c>
      <c r="B1369" s="802"/>
      <c r="C1369" s="802"/>
      <c r="D1369" s="802"/>
      <c r="E1369" s="802"/>
      <c r="F1369" s="802"/>
      <c r="G1369" s="802"/>
      <c r="H1369" s="802"/>
      <c r="I1369" s="612"/>
      <c r="J1369" s="612"/>
      <c r="K1369" s="612"/>
      <c r="L1369" s="612"/>
    </row>
    <row r="1370" spans="1:12" ht="17.100000000000001" customHeight="1">
      <c r="A1370" s="612" t="s">
        <v>13679</v>
      </c>
      <c r="B1370" s="636" t="s">
        <v>12698</v>
      </c>
      <c r="C1370" s="612" t="s">
        <v>12699</v>
      </c>
      <c r="D1370" s="612" t="s">
        <v>12700</v>
      </c>
      <c r="E1370" s="637" t="s">
        <v>12702</v>
      </c>
      <c r="F1370" s="801" t="s">
        <v>12704</v>
      </c>
      <c r="G1370" s="801"/>
      <c r="H1370" s="801" t="s">
        <v>13678</v>
      </c>
      <c r="I1370" s="801"/>
      <c r="J1370" s="801" t="s">
        <v>12705</v>
      </c>
      <c r="K1370" s="801"/>
      <c r="L1370" s="801"/>
    </row>
    <row r="1371" spans="1:12" ht="24" customHeight="1">
      <c r="A1371" s="626" t="s">
        <v>12709</v>
      </c>
      <c r="B1371" s="627" t="s">
        <v>13289</v>
      </c>
      <c r="C1371" s="626" t="s">
        <v>8</v>
      </c>
      <c r="D1371" s="626" t="s">
        <v>8192</v>
      </c>
      <c r="E1371" s="628" t="s">
        <v>35</v>
      </c>
      <c r="F1371" s="816" t="s">
        <v>14489</v>
      </c>
      <c r="G1371" s="816"/>
      <c r="H1371" s="816">
        <v>1.3E-6</v>
      </c>
      <c r="I1371" s="816"/>
      <c r="J1371" s="817">
        <v>0.35770000000000002</v>
      </c>
      <c r="K1371" s="817"/>
      <c r="L1371" s="817"/>
    </row>
    <row r="1372" spans="1:12" ht="24" customHeight="1">
      <c r="A1372" s="626" t="s">
        <v>12709</v>
      </c>
      <c r="B1372" s="627" t="s">
        <v>13003</v>
      </c>
      <c r="C1372" s="626" t="s">
        <v>8</v>
      </c>
      <c r="D1372" s="626" t="s">
        <v>9227</v>
      </c>
      <c r="E1372" s="628" t="s">
        <v>23</v>
      </c>
      <c r="F1372" s="816" t="s">
        <v>13732</v>
      </c>
      <c r="G1372" s="816"/>
      <c r="H1372" s="816">
        <v>1.2175099999999999E-2</v>
      </c>
      <c r="I1372" s="816"/>
      <c r="J1372" s="817">
        <v>8.0000000000000002E-3</v>
      </c>
      <c r="K1372" s="817"/>
      <c r="L1372" s="817"/>
    </row>
    <row r="1373" spans="1:12" ht="17.100000000000001" customHeight="1">
      <c r="A1373" s="626" t="s">
        <v>12709</v>
      </c>
      <c r="B1373" s="627" t="s">
        <v>13001</v>
      </c>
      <c r="C1373" s="626" t="s">
        <v>8</v>
      </c>
      <c r="D1373" s="626" t="s">
        <v>9374</v>
      </c>
      <c r="E1373" s="628" t="s">
        <v>23</v>
      </c>
      <c r="F1373" s="816" t="s">
        <v>13728</v>
      </c>
      <c r="G1373" s="816"/>
      <c r="H1373" s="816">
        <v>1.2175099999999999E-2</v>
      </c>
      <c r="I1373" s="816"/>
      <c r="J1373" s="817">
        <v>1E-4</v>
      </c>
      <c r="K1373" s="817"/>
      <c r="L1373" s="817"/>
    </row>
    <row r="1374" spans="1:12">
      <c r="A1374" s="636"/>
      <c r="B1374" s="636"/>
      <c r="C1374" s="636"/>
      <c r="D1374" s="636"/>
      <c r="E1374" s="636"/>
      <c r="F1374" s="636"/>
      <c r="G1374" s="636"/>
      <c r="H1374" s="636"/>
      <c r="I1374" s="636"/>
      <c r="J1374" s="636" t="s">
        <v>13675</v>
      </c>
      <c r="K1374" s="636"/>
      <c r="L1374" s="636" t="s">
        <v>13798</v>
      </c>
    </row>
    <row r="1375" spans="1:12" ht="17.100000000000001" customHeight="1">
      <c r="A1375" s="802" t="s">
        <v>12710</v>
      </c>
      <c r="B1375" s="802"/>
      <c r="C1375" s="802"/>
      <c r="D1375" s="802"/>
      <c r="E1375" s="802"/>
      <c r="F1375" s="802"/>
      <c r="G1375" s="802"/>
      <c r="H1375" s="802"/>
      <c r="I1375" s="612"/>
      <c r="J1375" s="612"/>
      <c r="K1375" s="612"/>
      <c r="L1375" s="612"/>
    </row>
    <row r="1376" spans="1:12" ht="24" customHeight="1">
      <c r="A1376" s="612" t="s">
        <v>13679</v>
      </c>
      <c r="B1376" s="636" t="s">
        <v>12698</v>
      </c>
      <c r="C1376" s="612" t="s">
        <v>12699</v>
      </c>
      <c r="D1376" s="612" t="s">
        <v>12700</v>
      </c>
      <c r="E1376" s="637" t="s">
        <v>12702</v>
      </c>
      <c r="F1376" s="801" t="s">
        <v>12704</v>
      </c>
      <c r="G1376" s="801"/>
      <c r="H1376" s="801" t="s">
        <v>13678</v>
      </c>
      <c r="I1376" s="801"/>
      <c r="J1376" s="801" t="s">
        <v>12705</v>
      </c>
      <c r="K1376" s="801"/>
      <c r="L1376" s="801"/>
    </row>
    <row r="1377" spans="1:12" ht="17.100000000000001" customHeight="1">
      <c r="A1377" s="626" t="s">
        <v>12709</v>
      </c>
      <c r="B1377" s="627" t="s">
        <v>13129</v>
      </c>
      <c r="C1377" s="626" t="s">
        <v>8</v>
      </c>
      <c r="D1377" s="626" t="s">
        <v>10467</v>
      </c>
      <c r="E1377" s="628" t="s">
        <v>23</v>
      </c>
      <c r="F1377" s="816" t="s">
        <v>14252</v>
      </c>
      <c r="G1377" s="816"/>
      <c r="H1377" s="816">
        <v>1.1479899999999999E-2</v>
      </c>
      <c r="I1377" s="816"/>
      <c r="J1377" s="817">
        <v>5.9499999999999997E-2</v>
      </c>
      <c r="K1377" s="817"/>
      <c r="L1377" s="817"/>
    </row>
    <row r="1378" spans="1:12">
      <c r="A1378" s="636"/>
      <c r="B1378" s="636"/>
      <c r="C1378" s="636"/>
      <c r="D1378" s="636"/>
      <c r="E1378" s="636"/>
      <c r="F1378" s="636"/>
      <c r="G1378" s="636"/>
      <c r="H1378" s="636"/>
      <c r="I1378" s="636"/>
      <c r="J1378" s="636" t="s">
        <v>13675</v>
      </c>
      <c r="K1378" s="636"/>
      <c r="L1378" s="636" t="s">
        <v>13708</v>
      </c>
    </row>
    <row r="1379" spans="1:12" ht="17.100000000000001" customHeight="1">
      <c r="A1379" s="802" t="s">
        <v>12720</v>
      </c>
      <c r="B1379" s="802"/>
      <c r="C1379" s="802"/>
      <c r="D1379" s="802"/>
      <c r="E1379" s="802"/>
      <c r="F1379" s="802"/>
      <c r="G1379" s="802"/>
      <c r="H1379" s="802"/>
      <c r="I1379" s="612"/>
      <c r="J1379" s="612"/>
      <c r="K1379" s="612"/>
      <c r="L1379" s="612"/>
    </row>
    <row r="1380" spans="1:12" ht="24" customHeight="1">
      <c r="A1380" s="612" t="s">
        <v>13679</v>
      </c>
      <c r="B1380" s="636" t="s">
        <v>12698</v>
      </c>
      <c r="C1380" s="612" t="s">
        <v>12699</v>
      </c>
      <c r="D1380" s="612" t="s">
        <v>12700</v>
      </c>
      <c r="E1380" s="637" t="s">
        <v>12702</v>
      </c>
      <c r="F1380" s="801" t="s">
        <v>12704</v>
      </c>
      <c r="G1380" s="801"/>
      <c r="H1380" s="801" t="s">
        <v>13678</v>
      </c>
      <c r="I1380" s="801"/>
      <c r="J1380" s="801" t="s">
        <v>12705</v>
      </c>
      <c r="K1380" s="801"/>
      <c r="L1380" s="801"/>
    </row>
    <row r="1381" spans="1:12" ht="17.100000000000001" customHeight="1">
      <c r="A1381" s="626" t="s">
        <v>12709</v>
      </c>
      <c r="B1381" s="627" t="s">
        <v>13281</v>
      </c>
      <c r="C1381" s="626" t="s">
        <v>8</v>
      </c>
      <c r="D1381" s="626" t="s">
        <v>8070</v>
      </c>
      <c r="E1381" s="628" t="s">
        <v>35</v>
      </c>
      <c r="F1381" s="816" t="s">
        <v>13730</v>
      </c>
      <c r="G1381" s="816"/>
      <c r="H1381" s="816">
        <v>1.3E-6</v>
      </c>
      <c r="I1381" s="816"/>
      <c r="J1381" s="817">
        <v>4.41E-2</v>
      </c>
      <c r="K1381" s="817"/>
      <c r="L1381" s="817"/>
    </row>
    <row r="1382" spans="1:12" ht="25.5">
      <c r="A1382" s="626" t="s">
        <v>12709</v>
      </c>
      <c r="B1382" s="627" t="s">
        <v>13007</v>
      </c>
      <c r="C1382" s="626" t="s">
        <v>8</v>
      </c>
      <c r="D1382" s="626" t="s">
        <v>10549</v>
      </c>
      <c r="E1382" s="628" t="s">
        <v>58</v>
      </c>
      <c r="F1382" s="816" t="s">
        <v>14172</v>
      </c>
      <c r="G1382" s="816"/>
      <c r="H1382" s="816">
        <v>0.13260540000000001</v>
      </c>
      <c r="I1382" s="816"/>
      <c r="J1382" s="817">
        <v>0.42959999999999998</v>
      </c>
      <c r="K1382" s="817"/>
      <c r="L1382" s="817"/>
    </row>
    <row r="1383" spans="1:12" ht="17.100000000000001" customHeight="1">
      <c r="A1383" s="636"/>
      <c r="B1383" s="636"/>
      <c r="C1383" s="636"/>
      <c r="D1383" s="636"/>
      <c r="E1383" s="636"/>
      <c r="F1383" s="636"/>
      <c r="G1383" s="636"/>
      <c r="H1383" s="636"/>
      <c r="I1383" s="636"/>
      <c r="J1383" s="636" t="s">
        <v>13675</v>
      </c>
      <c r="K1383" s="636"/>
      <c r="L1383" s="636" t="s">
        <v>14717</v>
      </c>
    </row>
    <row r="1384" spans="1:12" ht="24" customHeight="1">
      <c r="A1384" s="802" t="s">
        <v>12722</v>
      </c>
      <c r="B1384" s="802"/>
      <c r="C1384" s="802"/>
      <c r="D1384" s="802"/>
      <c r="E1384" s="802"/>
      <c r="F1384" s="802"/>
      <c r="G1384" s="802"/>
      <c r="H1384" s="802"/>
      <c r="I1384" s="612"/>
      <c r="J1384" s="612"/>
      <c r="K1384" s="612"/>
      <c r="L1384" s="612"/>
    </row>
    <row r="1385" spans="1:12" ht="24" customHeight="1">
      <c r="A1385" s="612" t="s">
        <v>13679</v>
      </c>
      <c r="B1385" s="636" t="s">
        <v>12698</v>
      </c>
      <c r="C1385" s="612" t="s">
        <v>12699</v>
      </c>
      <c r="D1385" s="612" t="s">
        <v>12700</v>
      </c>
      <c r="E1385" s="637" t="s">
        <v>12702</v>
      </c>
      <c r="F1385" s="801" t="s">
        <v>12704</v>
      </c>
      <c r="G1385" s="801"/>
      <c r="H1385" s="801" t="s">
        <v>13678</v>
      </c>
      <c r="I1385" s="801"/>
      <c r="J1385" s="801" t="s">
        <v>12705</v>
      </c>
      <c r="K1385" s="801"/>
      <c r="L1385" s="801"/>
    </row>
    <row r="1386" spans="1:12" ht="17.100000000000001" customHeight="1">
      <c r="A1386" s="626" t="s">
        <v>12709</v>
      </c>
      <c r="B1386" s="627" t="s">
        <v>12998</v>
      </c>
      <c r="C1386" s="626" t="s">
        <v>8</v>
      </c>
      <c r="D1386" s="626" t="s">
        <v>11861</v>
      </c>
      <c r="E1386" s="628" t="s">
        <v>23</v>
      </c>
      <c r="F1386" s="816" t="s">
        <v>13683</v>
      </c>
      <c r="G1386" s="816"/>
      <c r="H1386" s="816">
        <v>1.2175099999999999E-2</v>
      </c>
      <c r="I1386" s="816"/>
      <c r="J1386" s="817">
        <v>8.6E-3</v>
      </c>
      <c r="K1386" s="817"/>
      <c r="L1386" s="817"/>
    </row>
    <row r="1387" spans="1:12" ht="17.100000000000001" customHeight="1">
      <c r="A1387" s="636"/>
      <c r="B1387" s="636"/>
      <c r="C1387" s="636"/>
      <c r="D1387" s="636"/>
      <c r="E1387" s="636"/>
      <c r="F1387" s="636"/>
      <c r="G1387" s="636"/>
      <c r="H1387" s="636"/>
      <c r="I1387" s="636"/>
      <c r="J1387" s="636" t="s">
        <v>13675</v>
      </c>
      <c r="K1387" s="636"/>
      <c r="L1387" s="636" t="s">
        <v>13728</v>
      </c>
    </row>
    <row r="1388" spans="1:12" ht="17.100000000000001" customHeight="1">
      <c r="A1388" s="802" t="s">
        <v>12713</v>
      </c>
      <c r="B1388" s="802"/>
      <c r="C1388" s="802"/>
      <c r="D1388" s="802"/>
      <c r="E1388" s="802"/>
      <c r="F1388" s="802"/>
      <c r="G1388" s="802"/>
      <c r="H1388" s="802"/>
      <c r="I1388" s="612"/>
      <c r="J1388" s="612"/>
      <c r="K1388" s="612"/>
      <c r="L1388" s="612"/>
    </row>
    <row r="1389" spans="1:12" ht="17.100000000000001" customHeight="1">
      <c r="A1389" s="612" t="s">
        <v>13679</v>
      </c>
      <c r="B1389" s="636" t="s">
        <v>12698</v>
      </c>
      <c r="C1389" s="612" t="s">
        <v>12699</v>
      </c>
      <c r="D1389" s="612" t="s">
        <v>12700</v>
      </c>
      <c r="E1389" s="637" t="s">
        <v>12702</v>
      </c>
      <c r="F1389" s="801" t="s">
        <v>12704</v>
      </c>
      <c r="G1389" s="801"/>
      <c r="H1389" s="801" t="s">
        <v>13678</v>
      </c>
      <c r="I1389" s="801"/>
      <c r="J1389" s="801" t="s">
        <v>12705</v>
      </c>
      <c r="K1389" s="801"/>
      <c r="L1389" s="801"/>
    </row>
    <row r="1390" spans="1:12" ht="17.100000000000001" customHeight="1">
      <c r="A1390" s="626" t="s">
        <v>12709</v>
      </c>
      <c r="B1390" s="627" t="s">
        <v>12999</v>
      </c>
      <c r="C1390" s="626" t="s">
        <v>8</v>
      </c>
      <c r="D1390" s="626" t="s">
        <v>11251</v>
      </c>
      <c r="E1390" s="628" t="s">
        <v>23</v>
      </c>
      <c r="F1390" s="816" t="s">
        <v>13681</v>
      </c>
      <c r="G1390" s="816"/>
      <c r="H1390" s="816">
        <v>1.2175099999999999E-2</v>
      </c>
      <c r="I1390" s="816"/>
      <c r="J1390" s="817">
        <v>8.9999999999999998E-4</v>
      </c>
      <c r="K1390" s="817"/>
      <c r="L1390" s="817"/>
    </row>
    <row r="1391" spans="1:12" ht="17.100000000000001" customHeight="1">
      <c r="A1391" s="636"/>
      <c r="B1391" s="636"/>
      <c r="C1391" s="636"/>
      <c r="D1391" s="636"/>
      <c r="E1391" s="636"/>
      <c r="F1391" s="636"/>
      <c r="G1391" s="636"/>
      <c r="H1391" s="636"/>
      <c r="I1391" s="636"/>
      <c r="J1391" s="636" t="s">
        <v>13675</v>
      </c>
      <c r="K1391" s="636"/>
      <c r="L1391" s="636" t="s">
        <v>13727</v>
      </c>
    </row>
    <row r="1392" spans="1:12" ht="17.100000000000001" customHeight="1">
      <c r="A1392" s="802" t="s">
        <v>12712</v>
      </c>
      <c r="B1392" s="802"/>
      <c r="C1392" s="802"/>
      <c r="D1392" s="802"/>
      <c r="E1392" s="802"/>
      <c r="F1392" s="802"/>
      <c r="G1392" s="802"/>
      <c r="H1392" s="802"/>
      <c r="I1392" s="612"/>
      <c r="J1392" s="612"/>
      <c r="K1392" s="612"/>
      <c r="L1392" s="612"/>
    </row>
    <row r="1393" spans="1:12" ht="30" customHeight="1">
      <c r="A1393" s="612" t="s">
        <v>13679</v>
      </c>
      <c r="B1393" s="636" t="s">
        <v>12698</v>
      </c>
      <c r="C1393" s="612" t="s">
        <v>12699</v>
      </c>
      <c r="D1393" s="612" t="s">
        <v>12700</v>
      </c>
      <c r="E1393" s="637" t="s">
        <v>12702</v>
      </c>
      <c r="F1393" s="801" t="s">
        <v>12704</v>
      </c>
      <c r="G1393" s="801"/>
      <c r="H1393" s="801" t="s">
        <v>13678</v>
      </c>
      <c r="I1393" s="801"/>
      <c r="J1393" s="801" t="s">
        <v>12705</v>
      </c>
      <c r="K1393" s="801"/>
      <c r="L1393" s="801"/>
    </row>
    <row r="1394" spans="1:12" ht="36" customHeight="1">
      <c r="A1394" s="626" t="s">
        <v>12709</v>
      </c>
      <c r="B1394" s="627" t="s">
        <v>13002</v>
      </c>
      <c r="C1394" s="626" t="s">
        <v>8</v>
      </c>
      <c r="D1394" s="626" t="s">
        <v>9306</v>
      </c>
      <c r="E1394" s="628" t="s">
        <v>23</v>
      </c>
      <c r="F1394" s="816" t="s">
        <v>13677</v>
      </c>
      <c r="G1394" s="816"/>
      <c r="H1394" s="816">
        <v>1.2175099999999999E-2</v>
      </c>
      <c r="I1394" s="816"/>
      <c r="J1394" s="817">
        <v>4.3E-3</v>
      </c>
      <c r="K1394" s="817"/>
      <c r="L1394" s="817"/>
    </row>
    <row r="1395" spans="1:12" ht="14.25" customHeight="1">
      <c r="A1395" s="626" t="s">
        <v>12709</v>
      </c>
      <c r="B1395" s="627" t="s">
        <v>13004</v>
      </c>
      <c r="C1395" s="626" t="s">
        <v>8</v>
      </c>
      <c r="D1395" s="626" t="s">
        <v>7388</v>
      </c>
      <c r="E1395" s="628" t="s">
        <v>23</v>
      </c>
      <c r="F1395" s="816" t="s">
        <v>13676</v>
      </c>
      <c r="G1395" s="816"/>
      <c r="H1395" s="816">
        <v>1.2175099999999999E-2</v>
      </c>
      <c r="I1395" s="816"/>
      <c r="J1395" s="817">
        <v>2.6800000000000001E-2</v>
      </c>
      <c r="K1395" s="817"/>
      <c r="L1395" s="817"/>
    </row>
    <row r="1396" spans="1:12" ht="17.100000000000001" customHeight="1">
      <c r="A1396" s="636"/>
      <c r="B1396" s="636"/>
      <c r="C1396" s="636"/>
      <c r="D1396" s="636"/>
      <c r="E1396" s="636"/>
      <c r="F1396" s="636"/>
      <c r="G1396" s="636"/>
      <c r="H1396" s="636"/>
      <c r="I1396" s="636"/>
      <c r="J1396" s="636" t="s">
        <v>13675</v>
      </c>
      <c r="K1396" s="636"/>
      <c r="L1396" s="636" t="s">
        <v>13726</v>
      </c>
    </row>
    <row r="1397" spans="1:12" ht="36" customHeight="1">
      <c r="A1397" s="612" t="s">
        <v>13673</v>
      </c>
      <c r="B1397" s="612"/>
      <c r="C1397" s="612"/>
      <c r="D1397" s="612"/>
      <c r="E1397" s="612"/>
      <c r="F1397" s="612"/>
      <c r="G1397" s="612"/>
      <c r="H1397" s="612"/>
      <c r="I1397" s="612"/>
      <c r="J1397" s="612"/>
      <c r="K1397" s="612"/>
      <c r="L1397" s="612"/>
    </row>
    <row r="1398" spans="1:12" ht="24" customHeight="1">
      <c r="A1398" s="636"/>
      <c r="B1398" s="636"/>
      <c r="C1398" s="636"/>
      <c r="D1398" s="636"/>
      <c r="E1398" s="636"/>
      <c r="F1398" s="636"/>
      <c r="G1398" s="636"/>
      <c r="H1398" s="636"/>
      <c r="I1398" s="636"/>
      <c r="J1398" s="636" t="s">
        <v>13672</v>
      </c>
      <c r="K1398" s="636"/>
      <c r="L1398" s="636" t="s">
        <v>15035</v>
      </c>
    </row>
    <row r="1399" spans="1:12" ht="24" customHeight="1">
      <c r="A1399" s="636"/>
      <c r="B1399" s="636"/>
      <c r="C1399" s="636"/>
      <c r="D1399" s="636"/>
      <c r="E1399" s="636"/>
      <c r="F1399" s="636"/>
      <c r="G1399" s="636"/>
      <c r="H1399" s="636"/>
      <c r="I1399" s="636"/>
      <c r="J1399" s="636" t="s">
        <v>13671</v>
      </c>
      <c r="K1399" s="636" t="s">
        <v>14461</v>
      </c>
      <c r="L1399" s="636" t="s">
        <v>15036</v>
      </c>
    </row>
    <row r="1400" spans="1:12" ht="24" customHeight="1">
      <c r="A1400" s="636"/>
      <c r="B1400" s="636"/>
      <c r="C1400" s="636"/>
      <c r="D1400" s="636"/>
      <c r="E1400" s="636"/>
      <c r="F1400" s="636"/>
      <c r="G1400" s="636"/>
      <c r="H1400" s="636"/>
      <c r="I1400" s="636"/>
      <c r="J1400" s="636" t="s">
        <v>13670</v>
      </c>
      <c r="K1400" s="636"/>
      <c r="L1400" s="636" t="s">
        <v>15037</v>
      </c>
    </row>
    <row r="1401" spans="1:12" ht="24" customHeight="1">
      <c r="A1401" s="636"/>
      <c r="B1401" s="636"/>
      <c r="C1401" s="636"/>
      <c r="D1401" s="636"/>
      <c r="E1401" s="636"/>
      <c r="F1401" s="636"/>
      <c r="G1401" s="636"/>
      <c r="H1401" s="636"/>
      <c r="I1401" s="636"/>
      <c r="J1401" s="636" t="s">
        <v>13669</v>
      </c>
      <c r="K1401" s="636" t="s">
        <v>13667</v>
      </c>
      <c r="L1401" s="636" t="s">
        <v>14880</v>
      </c>
    </row>
    <row r="1402" spans="1:12" ht="24" customHeight="1">
      <c r="A1402" s="636"/>
      <c r="B1402" s="636"/>
      <c r="C1402" s="636"/>
      <c r="D1402" s="636"/>
      <c r="E1402" s="636"/>
      <c r="F1402" s="636"/>
      <c r="G1402" s="636"/>
      <c r="H1402" s="636"/>
      <c r="I1402" s="636"/>
      <c r="J1402" s="636" t="s">
        <v>13668</v>
      </c>
      <c r="K1402" s="636"/>
      <c r="L1402" s="636" t="s">
        <v>15038</v>
      </c>
    </row>
    <row r="1403" spans="1:12" ht="24" customHeight="1">
      <c r="A1403" s="637"/>
      <c r="B1403" s="637"/>
      <c r="C1403" s="637"/>
      <c r="D1403" s="637"/>
      <c r="E1403" s="637"/>
      <c r="F1403" s="637"/>
      <c r="G1403" s="637"/>
      <c r="H1403" s="637"/>
      <c r="I1403" s="637"/>
      <c r="J1403" s="637"/>
      <c r="K1403" s="637"/>
      <c r="L1403" s="637"/>
    </row>
    <row r="1404" spans="1:12" ht="17.100000000000001" customHeight="1">
      <c r="A1404" s="616" t="s">
        <v>14231</v>
      </c>
      <c r="B1404" s="617" t="s">
        <v>13621</v>
      </c>
      <c r="C1404" s="616" t="s">
        <v>8</v>
      </c>
      <c r="D1404" s="616" t="s">
        <v>3993</v>
      </c>
      <c r="E1404" s="618" t="s">
        <v>12730</v>
      </c>
      <c r="F1404" s="617"/>
      <c r="G1404" s="617"/>
      <c r="H1404" s="617"/>
      <c r="I1404" s="617"/>
      <c r="J1404" s="617"/>
      <c r="K1404" s="617"/>
      <c r="L1404" s="617"/>
    </row>
    <row r="1405" spans="1:12" ht="14.25" customHeight="1">
      <c r="A1405" s="802" t="s">
        <v>12711</v>
      </c>
      <c r="B1405" s="802"/>
      <c r="C1405" s="802"/>
      <c r="D1405" s="802"/>
      <c r="E1405" s="802"/>
      <c r="F1405" s="802"/>
      <c r="G1405" s="802"/>
      <c r="H1405" s="802"/>
      <c r="I1405" s="612"/>
      <c r="J1405" s="612"/>
      <c r="K1405" s="612"/>
      <c r="L1405" s="612"/>
    </row>
    <row r="1406" spans="1:12" ht="17.100000000000001" customHeight="1">
      <c r="A1406" s="612" t="s">
        <v>13679</v>
      </c>
      <c r="B1406" s="636" t="s">
        <v>12698</v>
      </c>
      <c r="C1406" s="612" t="s">
        <v>12699</v>
      </c>
      <c r="D1406" s="612" t="s">
        <v>12700</v>
      </c>
      <c r="E1406" s="637" t="s">
        <v>12702</v>
      </c>
      <c r="F1406" s="801" t="s">
        <v>12704</v>
      </c>
      <c r="G1406" s="801"/>
      <c r="H1406" s="801" t="s">
        <v>13678</v>
      </c>
      <c r="I1406" s="801"/>
      <c r="J1406" s="801" t="s">
        <v>12705</v>
      </c>
      <c r="K1406" s="801"/>
      <c r="L1406" s="801"/>
    </row>
    <row r="1407" spans="1:12" ht="24" customHeight="1">
      <c r="A1407" s="626" t="s">
        <v>12709</v>
      </c>
      <c r="B1407" s="627" t="s">
        <v>13052</v>
      </c>
      <c r="C1407" s="626" t="s">
        <v>8</v>
      </c>
      <c r="D1407" s="626" t="s">
        <v>9229</v>
      </c>
      <c r="E1407" s="628" t="s">
        <v>23</v>
      </c>
      <c r="F1407" s="816" t="s">
        <v>13692</v>
      </c>
      <c r="G1407" s="816"/>
      <c r="H1407" s="816">
        <v>1.4582215000000001</v>
      </c>
      <c r="I1407" s="816"/>
      <c r="J1407" s="817">
        <v>1.3998999999999999</v>
      </c>
      <c r="K1407" s="817"/>
      <c r="L1407" s="817"/>
    </row>
    <row r="1408" spans="1:12" ht="24" customHeight="1">
      <c r="A1408" s="626" t="s">
        <v>12709</v>
      </c>
      <c r="B1408" s="627" t="s">
        <v>13051</v>
      </c>
      <c r="C1408" s="626" t="s">
        <v>8</v>
      </c>
      <c r="D1408" s="626" t="s">
        <v>9376</v>
      </c>
      <c r="E1408" s="628" t="s">
        <v>23</v>
      </c>
      <c r="F1408" s="816" t="s">
        <v>13691</v>
      </c>
      <c r="G1408" s="816"/>
      <c r="H1408" s="816">
        <v>1.4582215000000001</v>
      </c>
      <c r="I1408" s="816"/>
      <c r="J1408" s="817">
        <v>0.72909999999999997</v>
      </c>
      <c r="K1408" s="817"/>
      <c r="L1408" s="817"/>
    </row>
    <row r="1409" spans="1:12" ht="24" customHeight="1">
      <c r="A1409" s="626" t="s">
        <v>12709</v>
      </c>
      <c r="B1409" s="627" t="s">
        <v>13048</v>
      </c>
      <c r="C1409" s="626" t="s">
        <v>8</v>
      </c>
      <c r="D1409" s="626" t="s">
        <v>9233</v>
      </c>
      <c r="E1409" s="628" t="s">
        <v>23</v>
      </c>
      <c r="F1409" s="816" t="s">
        <v>13690</v>
      </c>
      <c r="G1409" s="816"/>
      <c r="H1409" s="816">
        <v>4.1357920000000004</v>
      </c>
      <c r="I1409" s="816"/>
      <c r="J1409" s="817">
        <v>4.2184999999999997</v>
      </c>
      <c r="K1409" s="817"/>
      <c r="L1409" s="817"/>
    </row>
    <row r="1410" spans="1:12" ht="17.100000000000001" customHeight="1">
      <c r="A1410" s="626" t="s">
        <v>12709</v>
      </c>
      <c r="B1410" s="627" t="s">
        <v>13047</v>
      </c>
      <c r="C1410" s="626" t="s">
        <v>8</v>
      </c>
      <c r="D1410" s="626" t="s">
        <v>9380</v>
      </c>
      <c r="E1410" s="628" t="s">
        <v>23</v>
      </c>
      <c r="F1410" s="816" t="s">
        <v>13689</v>
      </c>
      <c r="G1410" s="816"/>
      <c r="H1410" s="816">
        <v>4.1357920000000004</v>
      </c>
      <c r="I1410" s="816"/>
      <c r="J1410" s="817">
        <v>1.5716000000000001</v>
      </c>
      <c r="K1410" s="817"/>
      <c r="L1410" s="817"/>
    </row>
    <row r="1411" spans="1:12">
      <c r="A1411" s="636"/>
      <c r="B1411" s="636"/>
      <c r="C1411" s="636"/>
      <c r="D1411" s="636"/>
      <c r="E1411" s="636"/>
      <c r="F1411" s="636"/>
      <c r="G1411" s="636"/>
      <c r="H1411" s="636"/>
      <c r="I1411" s="636"/>
      <c r="J1411" s="636" t="s">
        <v>13675</v>
      </c>
      <c r="K1411" s="636"/>
      <c r="L1411" s="636" t="s">
        <v>14127</v>
      </c>
    </row>
    <row r="1412" spans="1:12" ht="17.100000000000001" customHeight="1">
      <c r="A1412" s="802" t="s">
        <v>12710</v>
      </c>
      <c r="B1412" s="802"/>
      <c r="C1412" s="802"/>
      <c r="D1412" s="802"/>
      <c r="E1412" s="802"/>
      <c r="F1412" s="802"/>
      <c r="G1412" s="802"/>
      <c r="H1412" s="802"/>
      <c r="I1412" s="612"/>
      <c r="J1412" s="612"/>
      <c r="K1412" s="612"/>
      <c r="L1412" s="612"/>
    </row>
    <row r="1413" spans="1:12" ht="24" customHeight="1">
      <c r="A1413" s="612" t="s">
        <v>13679</v>
      </c>
      <c r="B1413" s="636" t="s">
        <v>12698</v>
      </c>
      <c r="C1413" s="612" t="s">
        <v>12699</v>
      </c>
      <c r="D1413" s="612" t="s">
        <v>12700</v>
      </c>
      <c r="E1413" s="637" t="s">
        <v>12702</v>
      </c>
      <c r="F1413" s="801" t="s">
        <v>12704</v>
      </c>
      <c r="G1413" s="801"/>
      <c r="H1413" s="801" t="s">
        <v>13678</v>
      </c>
      <c r="I1413" s="801"/>
      <c r="J1413" s="801" t="s">
        <v>12705</v>
      </c>
      <c r="K1413" s="801"/>
      <c r="L1413" s="801"/>
    </row>
    <row r="1414" spans="1:12" ht="24" customHeight="1">
      <c r="A1414" s="626" t="s">
        <v>12709</v>
      </c>
      <c r="B1414" s="627" t="s">
        <v>13099</v>
      </c>
      <c r="C1414" s="626" t="s">
        <v>8</v>
      </c>
      <c r="D1414" s="626" t="s">
        <v>10726</v>
      </c>
      <c r="E1414" s="628" t="s">
        <v>23</v>
      </c>
      <c r="F1414" s="816" t="s">
        <v>14470</v>
      </c>
      <c r="G1414" s="816"/>
      <c r="H1414" s="816">
        <v>1.4795517</v>
      </c>
      <c r="I1414" s="816"/>
      <c r="J1414" s="817">
        <v>10.223699999999999</v>
      </c>
      <c r="K1414" s="817"/>
      <c r="L1414" s="817"/>
    </row>
    <row r="1415" spans="1:12" ht="24" customHeight="1">
      <c r="A1415" s="626" t="s">
        <v>12709</v>
      </c>
      <c r="B1415" s="627" t="s">
        <v>13046</v>
      </c>
      <c r="C1415" s="626" t="s">
        <v>8</v>
      </c>
      <c r="D1415" s="626" t="s">
        <v>11281</v>
      </c>
      <c r="E1415" s="628" t="s">
        <v>23</v>
      </c>
      <c r="F1415" s="816" t="s">
        <v>13731</v>
      </c>
      <c r="G1415" s="816"/>
      <c r="H1415" s="816">
        <v>4.1962885999999999</v>
      </c>
      <c r="I1415" s="816"/>
      <c r="J1415" s="817">
        <v>21.568899999999999</v>
      </c>
      <c r="K1415" s="817"/>
      <c r="L1415" s="817"/>
    </row>
    <row r="1416" spans="1:12" ht="24" customHeight="1">
      <c r="A1416" s="636"/>
      <c r="B1416" s="636"/>
      <c r="C1416" s="636"/>
      <c r="D1416" s="636"/>
      <c r="E1416" s="636"/>
      <c r="F1416" s="636"/>
      <c r="G1416" s="636"/>
      <c r="H1416" s="636"/>
      <c r="I1416" s="636"/>
      <c r="J1416" s="636" t="s">
        <v>13675</v>
      </c>
      <c r="K1416" s="636"/>
      <c r="L1416" s="636" t="s">
        <v>14725</v>
      </c>
    </row>
    <row r="1417" spans="1:12" ht="17.100000000000001" customHeight="1">
      <c r="A1417" s="802" t="s">
        <v>12722</v>
      </c>
      <c r="B1417" s="802"/>
      <c r="C1417" s="802"/>
      <c r="D1417" s="802"/>
      <c r="E1417" s="802"/>
      <c r="F1417" s="802"/>
      <c r="G1417" s="802"/>
      <c r="H1417" s="802"/>
      <c r="I1417" s="612"/>
      <c r="J1417" s="612"/>
      <c r="K1417" s="612"/>
      <c r="L1417" s="612"/>
    </row>
    <row r="1418" spans="1:12">
      <c r="A1418" s="612" t="s">
        <v>13679</v>
      </c>
      <c r="B1418" s="636" t="s">
        <v>12698</v>
      </c>
      <c r="C1418" s="612" t="s">
        <v>12699</v>
      </c>
      <c r="D1418" s="612" t="s">
        <v>12700</v>
      </c>
      <c r="E1418" s="637" t="s">
        <v>12702</v>
      </c>
      <c r="F1418" s="801" t="s">
        <v>12704</v>
      </c>
      <c r="G1418" s="801"/>
      <c r="H1418" s="801" t="s">
        <v>13678</v>
      </c>
      <c r="I1418" s="801"/>
      <c r="J1418" s="801" t="s">
        <v>12705</v>
      </c>
      <c r="K1418" s="801"/>
      <c r="L1418" s="801"/>
    </row>
    <row r="1419" spans="1:12" ht="17.100000000000001" customHeight="1">
      <c r="A1419" s="626" t="s">
        <v>12709</v>
      </c>
      <c r="B1419" s="627" t="s">
        <v>12998</v>
      </c>
      <c r="C1419" s="626" t="s">
        <v>8</v>
      </c>
      <c r="D1419" s="626" t="s">
        <v>11861</v>
      </c>
      <c r="E1419" s="628" t="s">
        <v>23</v>
      </c>
      <c r="F1419" s="816" t="s">
        <v>13683</v>
      </c>
      <c r="G1419" s="816"/>
      <c r="H1419" s="816">
        <v>5.5940133999999997</v>
      </c>
      <c r="I1419" s="816"/>
      <c r="J1419" s="817">
        <v>3.9716999999999998</v>
      </c>
      <c r="K1419" s="817"/>
      <c r="L1419" s="817"/>
    </row>
    <row r="1420" spans="1:12" ht="24" customHeight="1">
      <c r="A1420" s="636"/>
      <c r="B1420" s="636"/>
      <c r="C1420" s="636"/>
      <c r="D1420" s="636"/>
      <c r="E1420" s="636"/>
      <c r="F1420" s="636"/>
      <c r="G1420" s="636"/>
      <c r="H1420" s="636"/>
      <c r="I1420" s="636"/>
      <c r="J1420" s="636" t="s">
        <v>13675</v>
      </c>
      <c r="K1420" s="636"/>
      <c r="L1420" s="636" t="s">
        <v>14126</v>
      </c>
    </row>
    <row r="1421" spans="1:12" ht="17.100000000000001" customHeight="1">
      <c r="A1421" s="802" t="s">
        <v>12713</v>
      </c>
      <c r="B1421" s="802"/>
      <c r="C1421" s="802"/>
      <c r="D1421" s="802"/>
      <c r="E1421" s="802"/>
      <c r="F1421" s="802"/>
      <c r="G1421" s="802"/>
      <c r="H1421" s="802"/>
      <c r="I1421" s="612"/>
      <c r="J1421" s="612"/>
      <c r="K1421" s="612"/>
      <c r="L1421" s="612"/>
    </row>
    <row r="1422" spans="1:12">
      <c r="A1422" s="612" t="s">
        <v>13679</v>
      </c>
      <c r="B1422" s="636" t="s">
        <v>12698</v>
      </c>
      <c r="C1422" s="612" t="s">
        <v>12699</v>
      </c>
      <c r="D1422" s="612" t="s">
        <v>12700</v>
      </c>
      <c r="E1422" s="637" t="s">
        <v>12702</v>
      </c>
      <c r="F1422" s="801" t="s">
        <v>12704</v>
      </c>
      <c r="G1422" s="801"/>
      <c r="H1422" s="801" t="s">
        <v>13678</v>
      </c>
      <c r="I1422" s="801"/>
      <c r="J1422" s="801" t="s">
        <v>12705</v>
      </c>
      <c r="K1422" s="801"/>
      <c r="L1422" s="801"/>
    </row>
    <row r="1423" spans="1:12" ht="17.100000000000001" customHeight="1">
      <c r="A1423" s="626" t="s">
        <v>12709</v>
      </c>
      <c r="B1423" s="627" t="s">
        <v>12999</v>
      </c>
      <c r="C1423" s="626" t="s">
        <v>8</v>
      </c>
      <c r="D1423" s="626" t="s">
        <v>11251</v>
      </c>
      <c r="E1423" s="628" t="s">
        <v>23</v>
      </c>
      <c r="F1423" s="816" t="s">
        <v>13681</v>
      </c>
      <c r="G1423" s="816"/>
      <c r="H1423" s="816">
        <v>5.5940133999999997</v>
      </c>
      <c r="I1423" s="816"/>
      <c r="J1423" s="817">
        <v>0.3916</v>
      </c>
      <c r="K1423" s="817"/>
      <c r="L1423" s="817"/>
    </row>
    <row r="1424" spans="1:12" ht="24" customHeight="1">
      <c r="A1424" s="636"/>
      <c r="B1424" s="636"/>
      <c r="C1424" s="636"/>
      <c r="D1424" s="636"/>
      <c r="E1424" s="636"/>
      <c r="F1424" s="636"/>
      <c r="G1424" s="636"/>
      <c r="H1424" s="636"/>
      <c r="I1424" s="636"/>
      <c r="J1424" s="636" t="s">
        <v>13675</v>
      </c>
      <c r="K1424" s="636"/>
      <c r="L1424" s="636" t="s">
        <v>13784</v>
      </c>
    </row>
    <row r="1425" spans="1:12" ht="17.100000000000001" customHeight="1">
      <c r="A1425" s="802" t="s">
        <v>12712</v>
      </c>
      <c r="B1425" s="802"/>
      <c r="C1425" s="802"/>
      <c r="D1425" s="802"/>
      <c r="E1425" s="802"/>
      <c r="F1425" s="802"/>
      <c r="G1425" s="802"/>
      <c r="H1425" s="802"/>
      <c r="I1425" s="612"/>
      <c r="J1425" s="612"/>
      <c r="K1425" s="612"/>
      <c r="L1425" s="612"/>
    </row>
    <row r="1426" spans="1:12">
      <c r="A1426" s="612" t="s">
        <v>13679</v>
      </c>
      <c r="B1426" s="636" t="s">
        <v>12698</v>
      </c>
      <c r="C1426" s="612" t="s">
        <v>12699</v>
      </c>
      <c r="D1426" s="612" t="s">
        <v>12700</v>
      </c>
      <c r="E1426" s="637" t="s">
        <v>12702</v>
      </c>
      <c r="F1426" s="801" t="s">
        <v>12704</v>
      </c>
      <c r="G1426" s="801"/>
      <c r="H1426" s="801" t="s">
        <v>13678</v>
      </c>
      <c r="I1426" s="801"/>
      <c r="J1426" s="801" t="s">
        <v>12705</v>
      </c>
      <c r="K1426" s="801"/>
      <c r="L1426" s="801"/>
    </row>
    <row r="1427" spans="1:12" ht="17.100000000000001" customHeight="1">
      <c r="A1427" s="626" t="s">
        <v>12709</v>
      </c>
      <c r="B1427" s="627" t="s">
        <v>13002</v>
      </c>
      <c r="C1427" s="626" t="s">
        <v>8</v>
      </c>
      <c r="D1427" s="626" t="s">
        <v>9306</v>
      </c>
      <c r="E1427" s="628" t="s">
        <v>23</v>
      </c>
      <c r="F1427" s="816" t="s">
        <v>13677</v>
      </c>
      <c r="G1427" s="816"/>
      <c r="H1427" s="816">
        <v>5.5940133999999997</v>
      </c>
      <c r="I1427" s="816"/>
      <c r="J1427" s="817">
        <v>1.9579</v>
      </c>
      <c r="K1427" s="817"/>
      <c r="L1427" s="817"/>
    </row>
    <row r="1428" spans="1:12" ht="24" customHeight="1">
      <c r="A1428" s="626" t="s">
        <v>12709</v>
      </c>
      <c r="B1428" s="627" t="s">
        <v>13004</v>
      </c>
      <c r="C1428" s="626" t="s">
        <v>8</v>
      </c>
      <c r="D1428" s="626" t="s">
        <v>7388</v>
      </c>
      <c r="E1428" s="628" t="s">
        <v>23</v>
      </c>
      <c r="F1428" s="816" t="s">
        <v>13676</v>
      </c>
      <c r="G1428" s="816"/>
      <c r="H1428" s="816">
        <v>5.5940133999999997</v>
      </c>
      <c r="I1428" s="816"/>
      <c r="J1428" s="817">
        <v>12.306800000000001</v>
      </c>
      <c r="K1428" s="817"/>
      <c r="L1428" s="817"/>
    </row>
    <row r="1429" spans="1:12" ht="24" customHeight="1">
      <c r="A1429" s="636"/>
      <c r="B1429" s="636"/>
      <c r="C1429" s="636"/>
      <c r="D1429" s="636"/>
      <c r="E1429" s="636"/>
      <c r="F1429" s="636"/>
      <c r="G1429" s="636"/>
      <c r="H1429" s="636"/>
      <c r="I1429" s="636"/>
      <c r="J1429" s="636" t="s">
        <v>13675</v>
      </c>
      <c r="K1429" s="636"/>
      <c r="L1429" s="636" t="s">
        <v>14296</v>
      </c>
    </row>
    <row r="1430" spans="1:12" ht="17.100000000000001" customHeight="1">
      <c r="A1430" s="612" t="s">
        <v>13673</v>
      </c>
      <c r="B1430" s="612"/>
      <c r="C1430" s="612"/>
      <c r="D1430" s="612"/>
      <c r="E1430" s="612"/>
      <c r="F1430" s="612"/>
      <c r="G1430" s="612"/>
      <c r="H1430" s="612"/>
      <c r="I1430" s="612"/>
      <c r="J1430" s="612"/>
      <c r="K1430" s="612"/>
      <c r="L1430" s="612"/>
    </row>
    <row r="1431" spans="1:12" ht="17.100000000000001" customHeight="1">
      <c r="A1431" s="636"/>
      <c r="B1431" s="636"/>
      <c r="C1431" s="636"/>
      <c r="D1431" s="636"/>
      <c r="E1431" s="636"/>
      <c r="F1431" s="636"/>
      <c r="G1431" s="636"/>
      <c r="H1431" s="636"/>
      <c r="I1431" s="636"/>
      <c r="J1431" s="636" t="s">
        <v>13672</v>
      </c>
      <c r="K1431" s="636"/>
      <c r="L1431" s="636" t="s">
        <v>15039</v>
      </c>
    </row>
    <row r="1432" spans="1:12" ht="17.100000000000001" customHeight="1">
      <c r="A1432" s="636"/>
      <c r="B1432" s="636"/>
      <c r="C1432" s="636"/>
      <c r="D1432" s="636"/>
      <c r="E1432" s="636"/>
      <c r="F1432" s="636"/>
      <c r="G1432" s="636"/>
      <c r="H1432" s="636"/>
      <c r="I1432" s="636"/>
      <c r="J1432" s="636" t="s">
        <v>13671</v>
      </c>
      <c r="K1432" s="636" t="s">
        <v>14461</v>
      </c>
      <c r="L1432" s="636" t="s">
        <v>15040</v>
      </c>
    </row>
    <row r="1433" spans="1:12" ht="17.100000000000001" customHeight="1">
      <c r="A1433" s="636"/>
      <c r="B1433" s="636"/>
      <c r="C1433" s="636"/>
      <c r="D1433" s="636"/>
      <c r="E1433" s="636"/>
      <c r="F1433" s="636"/>
      <c r="G1433" s="636"/>
      <c r="H1433" s="636"/>
      <c r="I1433" s="636"/>
      <c r="J1433" s="636" t="s">
        <v>13670</v>
      </c>
      <c r="K1433" s="636"/>
      <c r="L1433" s="636" t="s">
        <v>15041</v>
      </c>
    </row>
    <row r="1434" spans="1:12" ht="17.100000000000001" customHeight="1">
      <c r="A1434" s="636"/>
      <c r="B1434" s="636"/>
      <c r="C1434" s="636"/>
      <c r="D1434" s="636"/>
      <c r="E1434" s="636"/>
      <c r="F1434" s="636"/>
      <c r="G1434" s="636"/>
      <c r="H1434" s="636"/>
      <c r="I1434" s="636"/>
      <c r="J1434" s="636" t="s">
        <v>13669</v>
      </c>
      <c r="K1434" s="636" t="s">
        <v>13667</v>
      </c>
      <c r="L1434" s="636" t="s">
        <v>15042</v>
      </c>
    </row>
    <row r="1435" spans="1:12" ht="17.100000000000001" customHeight="1">
      <c r="A1435" s="636"/>
      <c r="B1435" s="636"/>
      <c r="C1435" s="636"/>
      <c r="D1435" s="636"/>
      <c r="E1435" s="636"/>
      <c r="F1435" s="636"/>
      <c r="G1435" s="636"/>
      <c r="H1435" s="636"/>
      <c r="I1435" s="636"/>
      <c r="J1435" s="636" t="s">
        <v>13668</v>
      </c>
      <c r="K1435" s="636"/>
      <c r="L1435" s="636" t="s">
        <v>15043</v>
      </c>
    </row>
    <row r="1436" spans="1:12" ht="17.100000000000001" customHeight="1">
      <c r="A1436" s="637"/>
      <c r="B1436" s="637"/>
      <c r="C1436" s="637"/>
      <c r="D1436" s="637"/>
      <c r="E1436" s="637"/>
      <c r="F1436" s="637"/>
      <c r="G1436" s="637"/>
      <c r="H1436" s="637"/>
      <c r="I1436" s="637"/>
      <c r="J1436" s="637"/>
      <c r="K1436" s="637"/>
      <c r="L1436" s="637"/>
    </row>
    <row r="1437" spans="1:12" ht="30" customHeight="1">
      <c r="A1437" s="616" t="s">
        <v>14230</v>
      </c>
      <c r="B1437" s="617" t="s">
        <v>13635</v>
      </c>
      <c r="C1437" s="616" t="s">
        <v>8</v>
      </c>
      <c r="D1437" s="616" t="s">
        <v>4022</v>
      </c>
      <c r="E1437" s="618" t="s">
        <v>12725</v>
      </c>
      <c r="F1437" s="617"/>
      <c r="G1437" s="617"/>
      <c r="H1437" s="617"/>
      <c r="I1437" s="617"/>
      <c r="J1437" s="617"/>
      <c r="K1437" s="617"/>
      <c r="L1437" s="617"/>
    </row>
    <row r="1438" spans="1:12" ht="36" customHeight="1">
      <c r="A1438" s="802" t="s">
        <v>12711</v>
      </c>
      <c r="B1438" s="802"/>
      <c r="C1438" s="802"/>
      <c r="D1438" s="802"/>
      <c r="E1438" s="802"/>
      <c r="F1438" s="802"/>
      <c r="G1438" s="802"/>
      <c r="H1438" s="802"/>
      <c r="I1438" s="612"/>
      <c r="J1438" s="612"/>
      <c r="K1438" s="612"/>
      <c r="L1438" s="612"/>
    </row>
    <row r="1439" spans="1:12" ht="14.25" customHeight="1">
      <c r="A1439" s="612" t="s">
        <v>13679</v>
      </c>
      <c r="B1439" s="636" t="s">
        <v>12698</v>
      </c>
      <c r="C1439" s="612" t="s">
        <v>12699</v>
      </c>
      <c r="D1439" s="612" t="s">
        <v>12700</v>
      </c>
      <c r="E1439" s="637" t="s">
        <v>12702</v>
      </c>
      <c r="F1439" s="801" t="s">
        <v>12704</v>
      </c>
      <c r="G1439" s="801"/>
      <c r="H1439" s="801" t="s">
        <v>13678</v>
      </c>
      <c r="I1439" s="801"/>
      <c r="J1439" s="801" t="s">
        <v>12705</v>
      </c>
      <c r="K1439" s="801"/>
      <c r="L1439" s="801"/>
    </row>
    <row r="1440" spans="1:12" ht="17.100000000000001" customHeight="1">
      <c r="A1440" s="626" t="s">
        <v>12709</v>
      </c>
      <c r="B1440" s="627" t="s">
        <v>13297</v>
      </c>
      <c r="C1440" s="626" t="s">
        <v>8</v>
      </c>
      <c r="D1440" s="626" t="s">
        <v>7681</v>
      </c>
      <c r="E1440" s="628" t="s">
        <v>35</v>
      </c>
      <c r="F1440" s="816" t="s">
        <v>14527</v>
      </c>
      <c r="G1440" s="816"/>
      <c r="H1440" s="816">
        <v>4.6999999999999999E-6</v>
      </c>
      <c r="I1440" s="816"/>
      <c r="J1440" s="817">
        <v>6.9199999999999998E-2</v>
      </c>
      <c r="K1440" s="817"/>
      <c r="L1440" s="817"/>
    </row>
    <row r="1441" spans="1:12" ht="36" customHeight="1">
      <c r="A1441" s="626" t="s">
        <v>12709</v>
      </c>
      <c r="B1441" s="627" t="s">
        <v>13048</v>
      </c>
      <c r="C1441" s="626" t="s">
        <v>8</v>
      </c>
      <c r="D1441" s="626" t="s">
        <v>9233</v>
      </c>
      <c r="E1441" s="628" t="s">
        <v>23</v>
      </c>
      <c r="F1441" s="816" t="s">
        <v>13690</v>
      </c>
      <c r="G1441" s="816"/>
      <c r="H1441" s="816">
        <v>0.1220914</v>
      </c>
      <c r="I1441" s="816"/>
      <c r="J1441" s="817">
        <v>0.1245</v>
      </c>
      <c r="K1441" s="817"/>
      <c r="L1441" s="817"/>
    </row>
    <row r="1442" spans="1:12" ht="24" customHeight="1">
      <c r="A1442" s="626" t="s">
        <v>12709</v>
      </c>
      <c r="B1442" s="627" t="s">
        <v>13047</v>
      </c>
      <c r="C1442" s="626" t="s">
        <v>8</v>
      </c>
      <c r="D1442" s="626" t="s">
        <v>9380</v>
      </c>
      <c r="E1442" s="628" t="s">
        <v>23</v>
      </c>
      <c r="F1442" s="816" t="s">
        <v>13689</v>
      </c>
      <c r="G1442" s="816"/>
      <c r="H1442" s="816">
        <v>0.1220914</v>
      </c>
      <c r="I1442" s="816"/>
      <c r="J1442" s="817">
        <v>4.6399999999999997E-2</v>
      </c>
      <c r="K1442" s="817"/>
      <c r="L1442" s="817"/>
    </row>
    <row r="1443" spans="1:12" ht="24" customHeight="1">
      <c r="A1443" s="626" t="s">
        <v>12709</v>
      </c>
      <c r="B1443" s="627" t="s">
        <v>13003</v>
      </c>
      <c r="C1443" s="626" t="s">
        <v>8</v>
      </c>
      <c r="D1443" s="626" t="s">
        <v>9227</v>
      </c>
      <c r="E1443" s="628" t="s">
        <v>23</v>
      </c>
      <c r="F1443" s="816" t="s">
        <v>13732</v>
      </c>
      <c r="G1443" s="816"/>
      <c r="H1443" s="816">
        <v>4.4999400000000002E-2</v>
      </c>
      <c r="I1443" s="816"/>
      <c r="J1443" s="817">
        <v>2.9700000000000001E-2</v>
      </c>
      <c r="K1443" s="817"/>
      <c r="L1443" s="817"/>
    </row>
    <row r="1444" spans="1:12" ht="24" customHeight="1">
      <c r="A1444" s="626" t="s">
        <v>12709</v>
      </c>
      <c r="B1444" s="627" t="s">
        <v>13001</v>
      </c>
      <c r="C1444" s="626" t="s">
        <v>8</v>
      </c>
      <c r="D1444" s="626" t="s">
        <v>9374</v>
      </c>
      <c r="E1444" s="628" t="s">
        <v>23</v>
      </c>
      <c r="F1444" s="816" t="s">
        <v>13728</v>
      </c>
      <c r="G1444" s="816"/>
      <c r="H1444" s="816">
        <v>4.4999400000000002E-2</v>
      </c>
      <c r="I1444" s="816"/>
      <c r="J1444" s="817">
        <v>4.0000000000000002E-4</v>
      </c>
      <c r="K1444" s="817"/>
      <c r="L1444" s="817"/>
    </row>
    <row r="1445" spans="1:12" ht="24" customHeight="1">
      <c r="A1445" s="626" t="s">
        <v>12709</v>
      </c>
      <c r="B1445" s="627" t="s">
        <v>13052</v>
      </c>
      <c r="C1445" s="626" t="s">
        <v>8</v>
      </c>
      <c r="D1445" s="626" t="s">
        <v>9229</v>
      </c>
      <c r="E1445" s="628" t="s">
        <v>23</v>
      </c>
      <c r="F1445" s="816" t="s">
        <v>13692</v>
      </c>
      <c r="G1445" s="816"/>
      <c r="H1445" s="816">
        <v>0.1859382</v>
      </c>
      <c r="I1445" s="816"/>
      <c r="J1445" s="817">
        <v>0.17849999999999999</v>
      </c>
      <c r="K1445" s="817"/>
      <c r="L1445" s="817"/>
    </row>
    <row r="1446" spans="1:12" ht="17.100000000000001" customHeight="1">
      <c r="A1446" s="626" t="s">
        <v>12709</v>
      </c>
      <c r="B1446" s="627" t="s">
        <v>13051</v>
      </c>
      <c r="C1446" s="626" t="s">
        <v>8</v>
      </c>
      <c r="D1446" s="626" t="s">
        <v>9376</v>
      </c>
      <c r="E1446" s="628" t="s">
        <v>23</v>
      </c>
      <c r="F1446" s="816" t="s">
        <v>13691</v>
      </c>
      <c r="G1446" s="816"/>
      <c r="H1446" s="816">
        <v>0.1859382</v>
      </c>
      <c r="I1446" s="816"/>
      <c r="J1446" s="817">
        <v>9.2999999999999999E-2</v>
      </c>
      <c r="K1446" s="817"/>
      <c r="L1446" s="817"/>
    </row>
    <row r="1447" spans="1:12" ht="14.25" customHeight="1">
      <c r="A1447" s="636"/>
      <c r="B1447" s="636"/>
      <c r="C1447" s="636"/>
      <c r="D1447" s="636"/>
      <c r="E1447" s="636"/>
      <c r="F1447" s="636"/>
      <c r="G1447" s="636"/>
      <c r="H1447" s="636"/>
      <c r="I1447" s="636"/>
      <c r="J1447" s="636" t="s">
        <v>13675</v>
      </c>
      <c r="K1447" s="636"/>
      <c r="L1447" s="636" t="s">
        <v>13872</v>
      </c>
    </row>
    <row r="1448" spans="1:12" ht="17.100000000000001" customHeight="1">
      <c r="A1448" s="802" t="s">
        <v>12710</v>
      </c>
      <c r="B1448" s="802"/>
      <c r="C1448" s="802"/>
      <c r="D1448" s="802"/>
      <c r="E1448" s="802"/>
      <c r="F1448" s="802"/>
      <c r="G1448" s="802"/>
      <c r="H1448" s="802"/>
      <c r="I1448" s="612"/>
      <c r="J1448" s="612"/>
      <c r="K1448" s="612"/>
      <c r="L1448" s="612"/>
    </row>
    <row r="1449" spans="1:12" ht="24" customHeight="1">
      <c r="A1449" s="612" t="s">
        <v>13679</v>
      </c>
      <c r="B1449" s="636" t="s">
        <v>12698</v>
      </c>
      <c r="C1449" s="612" t="s">
        <v>12699</v>
      </c>
      <c r="D1449" s="612" t="s">
        <v>12700</v>
      </c>
      <c r="E1449" s="637" t="s">
        <v>12702</v>
      </c>
      <c r="F1449" s="801" t="s">
        <v>12704</v>
      </c>
      <c r="G1449" s="801"/>
      <c r="H1449" s="801" t="s">
        <v>13678</v>
      </c>
      <c r="I1449" s="801"/>
      <c r="J1449" s="801" t="s">
        <v>12705</v>
      </c>
      <c r="K1449" s="801"/>
      <c r="L1449" s="801"/>
    </row>
    <row r="1450" spans="1:12" ht="24" customHeight="1">
      <c r="A1450" s="626" t="s">
        <v>12709</v>
      </c>
      <c r="B1450" s="627" t="s">
        <v>13046</v>
      </c>
      <c r="C1450" s="626" t="s">
        <v>8</v>
      </c>
      <c r="D1450" s="626" t="s">
        <v>11281</v>
      </c>
      <c r="E1450" s="628" t="s">
        <v>23</v>
      </c>
      <c r="F1450" s="816" t="s">
        <v>13731</v>
      </c>
      <c r="G1450" s="816"/>
      <c r="H1450" s="816">
        <v>0.1232996</v>
      </c>
      <c r="I1450" s="816"/>
      <c r="J1450" s="817">
        <v>0.63380000000000003</v>
      </c>
      <c r="K1450" s="817"/>
      <c r="L1450" s="817"/>
    </row>
    <row r="1451" spans="1:12" ht="17.100000000000001" customHeight="1">
      <c r="A1451" s="626" t="s">
        <v>12709</v>
      </c>
      <c r="B1451" s="627" t="s">
        <v>13116</v>
      </c>
      <c r="C1451" s="626" t="s">
        <v>8</v>
      </c>
      <c r="D1451" s="626" t="s">
        <v>10556</v>
      </c>
      <c r="E1451" s="628" t="s">
        <v>23</v>
      </c>
      <c r="F1451" s="816" t="s">
        <v>13770</v>
      </c>
      <c r="G1451" s="816"/>
      <c r="H1451" s="816">
        <v>4.5046099999999999E-2</v>
      </c>
      <c r="I1451" s="816"/>
      <c r="J1451" s="817">
        <v>0.21490000000000001</v>
      </c>
      <c r="K1451" s="817"/>
      <c r="L1451" s="817"/>
    </row>
    <row r="1452" spans="1:12" ht="25.5">
      <c r="A1452" s="626" t="s">
        <v>12709</v>
      </c>
      <c r="B1452" s="627" t="s">
        <v>13099</v>
      </c>
      <c r="C1452" s="626" t="s">
        <v>8</v>
      </c>
      <c r="D1452" s="626" t="s">
        <v>10726</v>
      </c>
      <c r="E1452" s="628" t="s">
        <v>23</v>
      </c>
      <c r="F1452" s="816" t="s">
        <v>14470</v>
      </c>
      <c r="G1452" s="816"/>
      <c r="H1452" s="816">
        <v>0.18777830000000001</v>
      </c>
      <c r="I1452" s="816"/>
      <c r="J1452" s="817">
        <v>1.2975000000000001</v>
      </c>
      <c r="K1452" s="817"/>
      <c r="L1452" s="817"/>
    </row>
    <row r="1453" spans="1:12" ht="17.100000000000001" customHeight="1">
      <c r="A1453" s="636"/>
      <c r="B1453" s="636"/>
      <c r="C1453" s="636"/>
      <c r="D1453" s="636"/>
      <c r="E1453" s="636"/>
      <c r="F1453" s="636"/>
      <c r="G1453" s="636"/>
      <c r="H1453" s="636"/>
      <c r="I1453" s="636"/>
      <c r="J1453" s="636" t="s">
        <v>13675</v>
      </c>
      <c r="K1453" s="636"/>
      <c r="L1453" s="636" t="s">
        <v>13971</v>
      </c>
    </row>
    <row r="1454" spans="1:12" ht="24" customHeight="1">
      <c r="A1454" s="802" t="s">
        <v>12720</v>
      </c>
      <c r="B1454" s="802"/>
      <c r="C1454" s="802"/>
      <c r="D1454" s="802"/>
      <c r="E1454" s="802"/>
      <c r="F1454" s="802"/>
      <c r="G1454" s="802"/>
      <c r="H1454" s="802"/>
      <c r="I1454" s="612"/>
      <c r="J1454" s="612"/>
      <c r="K1454" s="612"/>
      <c r="L1454" s="612"/>
    </row>
    <row r="1455" spans="1:12" ht="24" customHeight="1">
      <c r="A1455" s="612" t="s">
        <v>13679</v>
      </c>
      <c r="B1455" s="636" t="s">
        <v>12698</v>
      </c>
      <c r="C1455" s="612" t="s">
        <v>12699</v>
      </c>
      <c r="D1455" s="612" t="s">
        <v>12700</v>
      </c>
      <c r="E1455" s="637" t="s">
        <v>12702</v>
      </c>
      <c r="F1455" s="801" t="s">
        <v>12704</v>
      </c>
      <c r="G1455" s="801"/>
      <c r="H1455" s="801" t="s">
        <v>13678</v>
      </c>
      <c r="I1455" s="801"/>
      <c r="J1455" s="801" t="s">
        <v>12705</v>
      </c>
      <c r="K1455" s="801"/>
      <c r="L1455" s="801"/>
    </row>
    <row r="1456" spans="1:12" ht="24" customHeight="1">
      <c r="A1456" s="626" t="s">
        <v>12709</v>
      </c>
      <c r="B1456" s="627" t="s">
        <v>13250</v>
      </c>
      <c r="C1456" s="626" t="s">
        <v>8</v>
      </c>
      <c r="D1456" s="626" t="s">
        <v>7526</v>
      </c>
      <c r="E1456" s="628" t="s">
        <v>12730</v>
      </c>
      <c r="F1456" s="816" t="s">
        <v>13747</v>
      </c>
      <c r="G1456" s="816"/>
      <c r="H1456" s="816">
        <v>2.8150000000000001E-2</v>
      </c>
      <c r="I1456" s="816"/>
      <c r="J1456" s="817">
        <v>1.7594000000000001</v>
      </c>
      <c r="K1456" s="817"/>
      <c r="L1456" s="817"/>
    </row>
    <row r="1457" spans="1:12" ht="24" customHeight="1">
      <c r="A1457" s="626" t="s">
        <v>12709</v>
      </c>
      <c r="B1457" s="627" t="s">
        <v>13249</v>
      </c>
      <c r="C1457" s="626" t="s">
        <v>8</v>
      </c>
      <c r="D1457" s="626" t="s">
        <v>8420</v>
      </c>
      <c r="E1457" s="628" t="s">
        <v>20</v>
      </c>
      <c r="F1457" s="816" t="s">
        <v>13700</v>
      </c>
      <c r="G1457" s="816"/>
      <c r="H1457" s="816">
        <v>7.2219012999999999</v>
      </c>
      <c r="I1457" s="816"/>
      <c r="J1457" s="817">
        <v>3.5387</v>
      </c>
      <c r="K1457" s="817"/>
      <c r="L1457" s="817"/>
    </row>
    <row r="1458" spans="1:12" ht="17.100000000000001" customHeight="1">
      <c r="A1458" s="626" t="s">
        <v>12709</v>
      </c>
      <c r="B1458" s="627" t="s">
        <v>13248</v>
      </c>
      <c r="C1458" s="626" t="s">
        <v>8</v>
      </c>
      <c r="D1458" s="626" t="s">
        <v>10712</v>
      </c>
      <c r="E1458" s="628" t="s">
        <v>12730</v>
      </c>
      <c r="F1458" s="816" t="s">
        <v>13745</v>
      </c>
      <c r="G1458" s="816"/>
      <c r="H1458" s="816">
        <v>1.9691500000000001E-2</v>
      </c>
      <c r="I1458" s="816"/>
      <c r="J1458" s="817">
        <v>1.5752999999999999</v>
      </c>
      <c r="K1458" s="817"/>
      <c r="L1458" s="817"/>
    </row>
    <row r="1459" spans="1:12" ht="25.5">
      <c r="A1459" s="626" t="s">
        <v>12709</v>
      </c>
      <c r="B1459" s="627" t="s">
        <v>12987</v>
      </c>
      <c r="C1459" s="626" t="s">
        <v>8</v>
      </c>
      <c r="D1459" s="626" t="s">
        <v>9192</v>
      </c>
      <c r="E1459" s="628" t="s">
        <v>12923</v>
      </c>
      <c r="F1459" s="816" t="s">
        <v>13999</v>
      </c>
      <c r="G1459" s="816"/>
      <c r="H1459" s="816">
        <v>5.8363900000000003E-2</v>
      </c>
      <c r="I1459" s="816"/>
      <c r="J1459" s="817">
        <v>4.7300000000000002E-2</v>
      </c>
      <c r="K1459" s="817"/>
      <c r="L1459" s="817"/>
    </row>
    <row r="1460" spans="1:12" ht="17.100000000000001" customHeight="1">
      <c r="A1460" s="636"/>
      <c r="B1460" s="636"/>
      <c r="C1460" s="636"/>
      <c r="D1460" s="636"/>
      <c r="E1460" s="636"/>
      <c r="F1460" s="636"/>
      <c r="G1460" s="636"/>
      <c r="H1460" s="636"/>
      <c r="I1460" s="636"/>
      <c r="J1460" s="636" t="s">
        <v>13675</v>
      </c>
      <c r="K1460" s="636"/>
      <c r="L1460" s="636" t="s">
        <v>14724</v>
      </c>
    </row>
    <row r="1461" spans="1:12" ht="24" customHeight="1">
      <c r="A1461" s="802" t="s">
        <v>12722</v>
      </c>
      <c r="B1461" s="802"/>
      <c r="C1461" s="802"/>
      <c r="D1461" s="802"/>
      <c r="E1461" s="802"/>
      <c r="F1461" s="802"/>
      <c r="G1461" s="802"/>
      <c r="H1461" s="802"/>
      <c r="I1461" s="612"/>
      <c r="J1461" s="612"/>
      <c r="K1461" s="612"/>
      <c r="L1461" s="612"/>
    </row>
    <row r="1462" spans="1:12" ht="17.100000000000001" customHeight="1">
      <c r="A1462" s="612" t="s">
        <v>13679</v>
      </c>
      <c r="B1462" s="636" t="s">
        <v>12698</v>
      </c>
      <c r="C1462" s="612" t="s">
        <v>12699</v>
      </c>
      <c r="D1462" s="612" t="s">
        <v>12700</v>
      </c>
      <c r="E1462" s="637" t="s">
        <v>12702</v>
      </c>
      <c r="F1462" s="801" t="s">
        <v>12704</v>
      </c>
      <c r="G1462" s="801"/>
      <c r="H1462" s="801" t="s">
        <v>13678</v>
      </c>
      <c r="I1462" s="801"/>
      <c r="J1462" s="801" t="s">
        <v>12705</v>
      </c>
      <c r="K1462" s="801"/>
      <c r="L1462" s="801"/>
    </row>
    <row r="1463" spans="1:12" ht="25.5">
      <c r="A1463" s="626" t="s">
        <v>12709</v>
      </c>
      <c r="B1463" s="627" t="s">
        <v>12998</v>
      </c>
      <c r="C1463" s="626" t="s">
        <v>8</v>
      </c>
      <c r="D1463" s="626" t="s">
        <v>11861</v>
      </c>
      <c r="E1463" s="628" t="s">
        <v>23</v>
      </c>
      <c r="F1463" s="816" t="s">
        <v>13683</v>
      </c>
      <c r="G1463" s="816"/>
      <c r="H1463" s="816">
        <v>0.35302899999999998</v>
      </c>
      <c r="I1463" s="816"/>
      <c r="J1463" s="817">
        <v>0.25069999999999998</v>
      </c>
      <c r="K1463" s="817"/>
      <c r="L1463" s="817"/>
    </row>
    <row r="1464" spans="1:12" ht="17.100000000000001" customHeight="1">
      <c r="A1464" s="636"/>
      <c r="B1464" s="636"/>
      <c r="C1464" s="636"/>
      <c r="D1464" s="636"/>
      <c r="E1464" s="636"/>
      <c r="F1464" s="636"/>
      <c r="G1464" s="636"/>
      <c r="H1464" s="636"/>
      <c r="I1464" s="636"/>
      <c r="J1464" s="636" t="s">
        <v>13675</v>
      </c>
      <c r="K1464" s="636"/>
      <c r="L1464" s="636" t="s">
        <v>13915</v>
      </c>
    </row>
    <row r="1465" spans="1:12" ht="24" customHeight="1">
      <c r="A1465" s="802" t="s">
        <v>12713</v>
      </c>
      <c r="B1465" s="802"/>
      <c r="C1465" s="802"/>
      <c r="D1465" s="802"/>
      <c r="E1465" s="802"/>
      <c r="F1465" s="802"/>
      <c r="G1465" s="802"/>
      <c r="H1465" s="802"/>
      <c r="I1465" s="612"/>
      <c r="J1465" s="612"/>
      <c r="K1465" s="612"/>
      <c r="L1465" s="612"/>
    </row>
    <row r="1466" spans="1:12" ht="17.100000000000001" customHeight="1">
      <c r="A1466" s="612" t="s">
        <v>13679</v>
      </c>
      <c r="B1466" s="636" t="s">
        <v>12698</v>
      </c>
      <c r="C1466" s="612" t="s">
        <v>12699</v>
      </c>
      <c r="D1466" s="612" t="s">
        <v>12700</v>
      </c>
      <c r="E1466" s="637" t="s">
        <v>12702</v>
      </c>
      <c r="F1466" s="801" t="s">
        <v>12704</v>
      </c>
      <c r="G1466" s="801"/>
      <c r="H1466" s="801" t="s">
        <v>13678</v>
      </c>
      <c r="I1466" s="801"/>
      <c r="J1466" s="801" t="s">
        <v>12705</v>
      </c>
      <c r="K1466" s="801"/>
      <c r="L1466" s="801"/>
    </row>
    <row r="1467" spans="1:12" ht="25.5">
      <c r="A1467" s="626" t="s">
        <v>12709</v>
      </c>
      <c r="B1467" s="627" t="s">
        <v>12999</v>
      </c>
      <c r="C1467" s="626" t="s">
        <v>8</v>
      </c>
      <c r="D1467" s="626" t="s">
        <v>11251</v>
      </c>
      <c r="E1467" s="628" t="s">
        <v>23</v>
      </c>
      <c r="F1467" s="816" t="s">
        <v>13681</v>
      </c>
      <c r="G1467" s="816"/>
      <c r="H1467" s="816">
        <v>0.35302899999999998</v>
      </c>
      <c r="I1467" s="816"/>
      <c r="J1467" s="817">
        <v>2.47E-2</v>
      </c>
      <c r="K1467" s="817"/>
      <c r="L1467" s="817"/>
    </row>
    <row r="1468" spans="1:12" ht="17.100000000000001" customHeight="1">
      <c r="A1468" s="636"/>
      <c r="B1468" s="636"/>
      <c r="C1468" s="636"/>
      <c r="D1468" s="636"/>
      <c r="E1468" s="636"/>
      <c r="F1468" s="636"/>
      <c r="G1468" s="636"/>
      <c r="H1468" s="636"/>
      <c r="I1468" s="636"/>
      <c r="J1468" s="636" t="s">
        <v>13675</v>
      </c>
      <c r="K1468" s="636"/>
      <c r="L1468" s="636" t="s">
        <v>13680</v>
      </c>
    </row>
    <row r="1469" spans="1:12" ht="24" customHeight="1">
      <c r="A1469" s="802" t="s">
        <v>12712</v>
      </c>
      <c r="B1469" s="802"/>
      <c r="C1469" s="802"/>
      <c r="D1469" s="802"/>
      <c r="E1469" s="802"/>
      <c r="F1469" s="802"/>
      <c r="G1469" s="802"/>
      <c r="H1469" s="802"/>
      <c r="I1469" s="612"/>
      <c r="J1469" s="612"/>
      <c r="K1469" s="612"/>
      <c r="L1469" s="612"/>
    </row>
    <row r="1470" spans="1:12" ht="24" customHeight="1">
      <c r="A1470" s="612" t="s">
        <v>13679</v>
      </c>
      <c r="B1470" s="636" t="s">
        <v>12698</v>
      </c>
      <c r="C1470" s="612" t="s">
        <v>12699</v>
      </c>
      <c r="D1470" s="612" t="s">
        <v>12700</v>
      </c>
      <c r="E1470" s="637" t="s">
        <v>12702</v>
      </c>
      <c r="F1470" s="801" t="s">
        <v>12704</v>
      </c>
      <c r="G1470" s="801"/>
      <c r="H1470" s="801" t="s">
        <v>13678</v>
      </c>
      <c r="I1470" s="801"/>
      <c r="J1470" s="801" t="s">
        <v>12705</v>
      </c>
      <c r="K1470" s="801"/>
      <c r="L1470" s="801"/>
    </row>
    <row r="1471" spans="1:12" ht="17.100000000000001" customHeight="1">
      <c r="A1471" s="626" t="s">
        <v>12709</v>
      </c>
      <c r="B1471" s="627" t="s">
        <v>13002</v>
      </c>
      <c r="C1471" s="626" t="s">
        <v>8</v>
      </c>
      <c r="D1471" s="626" t="s">
        <v>9306</v>
      </c>
      <c r="E1471" s="628" t="s">
        <v>23</v>
      </c>
      <c r="F1471" s="816" t="s">
        <v>13677</v>
      </c>
      <c r="G1471" s="816"/>
      <c r="H1471" s="816">
        <v>0.35302899999999998</v>
      </c>
      <c r="I1471" s="816"/>
      <c r="J1471" s="817">
        <v>0.1236</v>
      </c>
      <c r="K1471" s="817"/>
      <c r="L1471" s="817"/>
    </row>
    <row r="1472" spans="1:12" ht="17.100000000000001" customHeight="1">
      <c r="A1472" s="626" t="s">
        <v>12709</v>
      </c>
      <c r="B1472" s="627" t="s">
        <v>13004</v>
      </c>
      <c r="C1472" s="626" t="s">
        <v>8</v>
      </c>
      <c r="D1472" s="626" t="s">
        <v>7388</v>
      </c>
      <c r="E1472" s="628" t="s">
        <v>23</v>
      </c>
      <c r="F1472" s="816" t="s">
        <v>13676</v>
      </c>
      <c r="G1472" s="816"/>
      <c r="H1472" s="816">
        <v>0.35302899999999998</v>
      </c>
      <c r="I1472" s="816"/>
      <c r="J1472" s="817">
        <v>0.77669999999999995</v>
      </c>
      <c r="K1472" s="817"/>
      <c r="L1472" s="817"/>
    </row>
    <row r="1473" spans="1:12" ht="17.100000000000001" customHeight="1">
      <c r="A1473" s="636"/>
      <c r="B1473" s="636"/>
      <c r="C1473" s="636"/>
      <c r="D1473" s="636"/>
      <c r="E1473" s="636"/>
      <c r="F1473" s="636"/>
      <c r="G1473" s="636"/>
      <c r="H1473" s="636"/>
      <c r="I1473" s="636"/>
      <c r="J1473" s="636" t="s">
        <v>13675</v>
      </c>
      <c r="K1473" s="636"/>
      <c r="L1473" s="636" t="s">
        <v>13918</v>
      </c>
    </row>
    <row r="1474" spans="1:12" ht="17.100000000000001" customHeight="1">
      <c r="A1474" s="612" t="s">
        <v>13673</v>
      </c>
      <c r="B1474" s="612"/>
      <c r="C1474" s="612"/>
      <c r="D1474" s="612"/>
      <c r="E1474" s="612"/>
      <c r="F1474" s="612"/>
      <c r="G1474" s="612"/>
      <c r="H1474" s="612"/>
      <c r="I1474" s="612"/>
      <c r="J1474" s="612"/>
      <c r="K1474" s="612"/>
      <c r="L1474" s="612"/>
    </row>
    <row r="1475" spans="1:12" ht="17.100000000000001" customHeight="1">
      <c r="A1475" s="636"/>
      <c r="B1475" s="636"/>
      <c r="C1475" s="636"/>
      <c r="D1475" s="636"/>
      <c r="E1475" s="636"/>
      <c r="F1475" s="636"/>
      <c r="G1475" s="636"/>
      <c r="H1475" s="636"/>
      <c r="I1475" s="636"/>
      <c r="J1475" s="636" t="s">
        <v>13672</v>
      </c>
      <c r="K1475" s="636"/>
      <c r="L1475" s="636" t="s">
        <v>14982</v>
      </c>
    </row>
    <row r="1476" spans="1:12" ht="17.100000000000001" customHeight="1">
      <c r="A1476" s="636"/>
      <c r="B1476" s="636"/>
      <c r="C1476" s="636"/>
      <c r="D1476" s="636"/>
      <c r="E1476" s="636"/>
      <c r="F1476" s="636"/>
      <c r="G1476" s="636"/>
      <c r="H1476" s="636"/>
      <c r="I1476" s="636"/>
      <c r="J1476" s="636" t="s">
        <v>13671</v>
      </c>
      <c r="K1476" s="636" t="s">
        <v>14461</v>
      </c>
      <c r="L1476" s="636" t="s">
        <v>14983</v>
      </c>
    </row>
    <row r="1477" spans="1:12" ht="17.100000000000001" customHeight="1">
      <c r="A1477" s="636"/>
      <c r="B1477" s="636"/>
      <c r="C1477" s="636"/>
      <c r="D1477" s="636"/>
      <c r="E1477" s="636"/>
      <c r="F1477" s="636"/>
      <c r="G1477" s="636"/>
      <c r="H1477" s="636"/>
      <c r="I1477" s="636"/>
      <c r="J1477" s="636" t="s">
        <v>13670</v>
      </c>
      <c r="K1477" s="636"/>
      <c r="L1477" s="636" t="s">
        <v>14984</v>
      </c>
    </row>
    <row r="1478" spans="1:12" ht="30" customHeight="1">
      <c r="A1478" s="636"/>
      <c r="B1478" s="636"/>
      <c r="C1478" s="636"/>
      <c r="D1478" s="636"/>
      <c r="E1478" s="636"/>
      <c r="F1478" s="636"/>
      <c r="G1478" s="636"/>
      <c r="H1478" s="636"/>
      <c r="I1478" s="636"/>
      <c r="J1478" s="636" t="s">
        <v>13669</v>
      </c>
      <c r="K1478" s="636" t="s">
        <v>13667</v>
      </c>
      <c r="L1478" s="636" t="s">
        <v>14985</v>
      </c>
    </row>
    <row r="1479" spans="1:12" ht="24" customHeight="1">
      <c r="A1479" s="636"/>
      <c r="B1479" s="636"/>
      <c r="C1479" s="636"/>
      <c r="D1479" s="636"/>
      <c r="E1479" s="636"/>
      <c r="F1479" s="636"/>
      <c r="G1479" s="636"/>
      <c r="H1479" s="636"/>
      <c r="I1479" s="636"/>
      <c r="J1479" s="636" t="s">
        <v>13668</v>
      </c>
      <c r="K1479" s="636"/>
      <c r="L1479" s="636" t="s">
        <v>14986</v>
      </c>
    </row>
    <row r="1480" spans="1:12" ht="14.25" customHeight="1">
      <c r="A1480" s="637"/>
      <c r="B1480" s="637"/>
      <c r="C1480" s="637"/>
      <c r="D1480" s="637"/>
      <c r="E1480" s="637"/>
      <c r="F1480" s="637"/>
      <c r="G1480" s="637"/>
      <c r="H1480" s="637"/>
      <c r="I1480" s="637"/>
      <c r="J1480" s="637"/>
      <c r="K1480" s="637"/>
      <c r="L1480" s="637"/>
    </row>
    <row r="1481" spans="1:12" ht="17.100000000000001" customHeight="1">
      <c r="A1481" s="616" t="s">
        <v>14229</v>
      </c>
      <c r="B1481" s="617" t="s">
        <v>13634</v>
      </c>
      <c r="C1481" s="616" t="s">
        <v>8</v>
      </c>
      <c r="D1481" s="616" t="s">
        <v>3543</v>
      </c>
      <c r="E1481" s="618" t="s">
        <v>12730</v>
      </c>
      <c r="F1481" s="617"/>
      <c r="G1481" s="617"/>
      <c r="H1481" s="617"/>
      <c r="I1481" s="617"/>
      <c r="J1481" s="617"/>
      <c r="K1481" s="617"/>
      <c r="L1481" s="617"/>
    </row>
    <row r="1482" spans="1:12" ht="24" customHeight="1">
      <c r="A1482" s="802" t="s">
        <v>12711</v>
      </c>
      <c r="B1482" s="802"/>
      <c r="C1482" s="802"/>
      <c r="D1482" s="802"/>
      <c r="E1482" s="802"/>
      <c r="F1482" s="802"/>
      <c r="G1482" s="802"/>
      <c r="H1482" s="802"/>
      <c r="I1482" s="612"/>
      <c r="J1482" s="612"/>
      <c r="K1482" s="612"/>
      <c r="L1482" s="612"/>
    </row>
    <row r="1483" spans="1:12" ht="24" customHeight="1">
      <c r="A1483" s="612" t="s">
        <v>13679</v>
      </c>
      <c r="B1483" s="636" t="s">
        <v>12698</v>
      </c>
      <c r="C1483" s="612" t="s">
        <v>12699</v>
      </c>
      <c r="D1483" s="612" t="s">
        <v>12700</v>
      </c>
      <c r="E1483" s="637" t="s">
        <v>12702</v>
      </c>
      <c r="F1483" s="801" t="s">
        <v>12704</v>
      </c>
      <c r="G1483" s="801"/>
      <c r="H1483" s="801" t="s">
        <v>13678</v>
      </c>
      <c r="I1483" s="801"/>
      <c r="J1483" s="801" t="s">
        <v>12705</v>
      </c>
      <c r="K1483" s="801"/>
      <c r="L1483" s="801"/>
    </row>
    <row r="1484" spans="1:12" ht="24" customHeight="1">
      <c r="A1484" s="626" t="s">
        <v>12709</v>
      </c>
      <c r="B1484" s="627" t="s">
        <v>13302</v>
      </c>
      <c r="C1484" s="626" t="s">
        <v>8</v>
      </c>
      <c r="D1484" s="626" t="s">
        <v>7676</v>
      </c>
      <c r="E1484" s="628" t="s">
        <v>35</v>
      </c>
      <c r="F1484" s="816" t="s">
        <v>14526</v>
      </c>
      <c r="G1484" s="816"/>
      <c r="H1484" s="816">
        <v>1.493E-4</v>
      </c>
      <c r="I1484" s="816"/>
      <c r="J1484" s="817">
        <v>0.54069999999999996</v>
      </c>
      <c r="K1484" s="817"/>
      <c r="L1484" s="817"/>
    </row>
    <row r="1485" spans="1:12" ht="24" customHeight="1">
      <c r="A1485" s="626" t="s">
        <v>12709</v>
      </c>
      <c r="B1485" s="627" t="s">
        <v>13048</v>
      </c>
      <c r="C1485" s="626" t="s">
        <v>8</v>
      </c>
      <c r="D1485" s="626" t="s">
        <v>9233</v>
      </c>
      <c r="E1485" s="628" t="s">
        <v>23</v>
      </c>
      <c r="F1485" s="816" t="s">
        <v>13690</v>
      </c>
      <c r="G1485" s="816"/>
      <c r="H1485" s="816">
        <v>2.3063959000000001</v>
      </c>
      <c r="I1485" s="816"/>
      <c r="J1485" s="817">
        <v>2.3525</v>
      </c>
      <c r="K1485" s="817"/>
      <c r="L1485" s="817"/>
    </row>
    <row r="1486" spans="1:12" ht="24" customHeight="1">
      <c r="A1486" s="626" t="s">
        <v>12709</v>
      </c>
      <c r="B1486" s="627" t="s">
        <v>13047</v>
      </c>
      <c r="C1486" s="626" t="s">
        <v>8</v>
      </c>
      <c r="D1486" s="626" t="s">
        <v>9380</v>
      </c>
      <c r="E1486" s="628" t="s">
        <v>23</v>
      </c>
      <c r="F1486" s="816" t="s">
        <v>13689</v>
      </c>
      <c r="G1486" s="816"/>
      <c r="H1486" s="816">
        <v>2.3063959000000001</v>
      </c>
      <c r="I1486" s="816"/>
      <c r="J1486" s="817">
        <v>0.87639999999999996</v>
      </c>
      <c r="K1486" s="817"/>
      <c r="L1486" s="817"/>
    </row>
    <row r="1487" spans="1:12" ht="24" customHeight="1">
      <c r="A1487" s="626" t="s">
        <v>12709</v>
      </c>
      <c r="B1487" s="627" t="s">
        <v>13003</v>
      </c>
      <c r="C1487" s="626" t="s">
        <v>8</v>
      </c>
      <c r="D1487" s="626" t="s">
        <v>9227</v>
      </c>
      <c r="E1487" s="628" t="s">
        <v>23</v>
      </c>
      <c r="F1487" s="816" t="s">
        <v>13732</v>
      </c>
      <c r="G1487" s="816"/>
      <c r="H1487" s="816">
        <v>1.4577221</v>
      </c>
      <c r="I1487" s="816"/>
      <c r="J1487" s="817">
        <v>0.96209999999999996</v>
      </c>
      <c r="K1487" s="817"/>
      <c r="L1487" s="817"/>
    </row>
    <row r="1488" spans="1:12" ht="24" customHeight="1">
      <c r="A1488" s="626" t="s">
        <v>12709</v>
      </c>
      <c r="B1488" s="627" t="s">
        <v>13001</v>
      </c>
      <c r="C1488" s="626" t="s">
        <v>8</v>
      </c>
      <c r="D1488" s="626" t="s">
        <v>9374</v>
      </c>
      <c r="E1488" s="628" t="s">
        <v>23</v>
      </c>
      <c r="F1488" s="816" t="s">
        <v>13728</v>
      </c>
      <c r="G1488" s="816"/>
      <c r="H1488" s="816">
        <v>1.4577221</v>
      </c>
      <c r="I1488" s="816"/>
      <c r="J1488" s="817">
        <v>1.46E-2</v>
      </c>
      <c r="K1488" s="817"/>
      <c r="L1488" s="817"/>
    </row>
    <row r="1489" spans="1:12" ht="17.100000000000001" customHeight="1">
      <c r="A1489" s="636"/>
      <c r="B1489" s="636"/>
      <c r="C1489" s="636"/>
      <c r="D1489" s="636"/>
      <c r="E1489" s="636"/>
      <c r="F1489" s="636"/>
      <c r="G1489" s="636"/>
      <c r="H1489" s="636"/>
      <c r="I1489" s="636"/>
      <c r="J1489" s="636" t="s">
        <v>13675</v>
      </c>
      <c r="K1489" s="636"/>
      <c r="L1489" s="636" t="s">
        <v>14575</v>
      </c>
    </row>
    <row r="1490" spans="1:12" ht="14.25" customHeight="1">
      <c r="A1490" s="802" t="s">
        <v>12710</v>
      </c>
      <c r="B1490" s="802"/>
      <c r="C1490" s="802"/>
      <c r="D1490" s="802"/>
      <c r="E1490" s="802"/>
      <c r="F1490" s="802"/>
      <c r="G1490" s="802"/>
      <c r="H1490" s="802"/>
      <c r="I1490" s="612"/>
      <c r="J1490" s="612"/>
      <c r="K1490" s="612"/>
      <c r="L1490" s="612"/>
    </row>
    <row r="1491" spans="1:12" ht="17.100000000000001" customHeight="1">
      <c r="A1491" s="612" t="s">
        <v>13679</v>
      </c>
      <c r="B1491" s="636" t="s">
        <v>12698</v>
      </c>
      <c r="C1491" s="612" t="s">
        <v>12699</v>
      </c>
      <c r="D1491" s="612" t="s">
        <v>12700</v>
      </c>
      <c r="E1491" s="637" t="s">
        <v>12702</v>
      </c>
      <c r="F1491" s="801" t="s">
        <v>12704</v>
      </c>
      <c r="G1491" s="801"/>
      <c r="H1491" s="801" t="s">
        <v>13678</v>
      </c>
      <c r="I1491" s="801"/>
      <c r="J1491" s="801" t="s">
        <v>12705</v>
      </c>
      <c r="K1491" s="801"/>
      <c r="L1491" s="801"/>
    </row>
    <row r="1492" spans="1:12" ht="24" customHeight="1">
      <c r="A1492" s="626" t="s">
        <v>12709</v>
      </c>
      <c r="B1492" s="627" t="s">
        <v>13046</v>
      </c>
      <c r="C1492" s="626" t="s">
        <v>8</v>
      </c>
      <c r="D1492" s="626" t="s">
        <v>11281</v>
      </c>
      <c r="E1492" s="628" t="s">
        <v>23</v>
      </c>
      <c r="F1492" s="816" t="s">
        <v>13731</v>
      </c>
      <c r="G1492" s="816"/>
      <c r="H1492" s="816">
        <v>2.3424033</v>
      </c>
      <c r="I1492" s="816"/>
      <c r="J1492" s="817">
        <v>12.04</v>
      </c>
      <c r="K1492" s="817"/>
      <c r="L1492" s="817"/>
    </row>
    <row r="1493" spans="1:12" ht="24" customHeight="1">
      <c r="A1493" s="626" t="s">
        <v>12709</v>
      </c>
      <c r="B1493" s="627" t="s">
        <v>13116</v>
      </c>
      <c r="C1493" s="626" t="s">
        <v>8</v>
      </c>
      <c r="D1493" s="626" t="s">
        <v>10556</v>
      </c>
      <c r="E1493" s="628" t="s">
        <v>23</v>
      </c>
      <c r="F1493" s="816" t="s">
        <v>13770</v>
      </c>
      <c r="G1493" s="816"/>
      <c r="H1493" s="816">
        <v>1.4674932999999999</v>
      </c>
      <c r="I1493" s="816"/>
      <c r="J1493" s="817">
        <v>6.9999000000000002</v>
      </c>
      <c r="K1493" s="817"/>
      <c r="L1493" s="817"/>
    </row>
    <row r="1494" spans="1:12" ht="24" customHeight="1">
      <c r="A1494" s="636"/>
      <c r="B1494" s="636"/>
      <c r="C1494" s="636"/>
      <c r="D1494" s="636"/>
      <c r="E1494" s="636"/>
      <c r="F1494" s="636"/>
      <c r="G1494" s="636"/>
      <c r="H1494" s="636"/>
      <c r="I1494" s="636"/>
      <c r="J1494" s="636" t="s">
        <v>13675</v>
      </c>
      <c r="K1494" s="636"/>
      <c r="L1494" s="636" t="s">
        <v>14716</v>
      </c>
    </row>
    <row r="1495" spans="1:12" ht="17.100000000000001" customHeight="1">
      <c r="A1495" s="802" t="s">
        <v>12720</v>
      </c>
      <c r="B1495" s="802"/>
      <c r="C1495" s="802"/>
      <c r="D1495" s="802"/>
      <c r="E1495" s="802"/>
      <c r="F1495" s="802"/>
      <c r="G1495" s="802"/>
      <c r="H1495" s="802"/>
      <c r="I1495" s="612"/>
      <c r="J1495" s="612"/>
      <c r="K1495" s="612"/>
      <c r="L1495" s="612"/>
    </row>
    <row r="1496" spans="1:12">
      <c r="A1496" s="612" t="s">
        <v>13679</v>
      </c>
      <c r="B1496" s="636" t="s">
        <v>12698</v>
      </c>
      <c r="C1496" s="612" t="s">
        <v>12699</v>
      </c>
      <c r="D1496" s="612" t="s">
        <v>12700</v>
      </c>
      <c r="E1496" s="637" t="s">
        <v>12702</v>
      </c>
      <c r="F1496" s="801" t="s">
        <v>12704</v>
      </c>
      <c r="G1496" s="801"/>
      <c r="H1496" s="801" t="s">
        <v>13678</v>
      </c>
      <c r="I1496" s="801"/>
      <c r="J1496" s="801" t="s">
        <v>12705</v>
      </c>
      <c r="K1496" s="801"/>
      <c r="L1496" s="801"/>
    </row>
    <row r="1497" spans="1:12" ht="17.100000000000001" customHeight="1">
      <c r="A1497" s="626" t="s">
        <v>12709</v>
      </c>
      <c r="B1497" s="627" t="s">
        <v>13250</v>
      </c>
      <c r="C1497" s="626" t="s">
        <v>8</v>
      </c>
      <c r="D1497" s="626" t="s">
        <v>7526</v>
      </c>
      <c r="E1497" s="628" t="s">
        <v>12730</v>
      </c>
      <c r="F1497" s="816" t="s">
        <v>13747</v>
      </c>
      <c r="G1497" s="816"/>
      <c r="H1497" s="816">
        <v>0.72299999999999998</v>
      </c>
      <c r="I1497" s="816"/>
      <c r="J1497" s="817">
        <v>45.18</v>
      </c>
      <c r="K1497" s="817"/>
      <c r="L1497" s="817"/>
    </row>
    <row r="1498" spans="1:12" ht="24" customHeight="1">
      <c r="A1498" s="626" t="s">
        <v>12709</v>
      </c>
      <c r="B1498" s="627" t="s">
        <v>13249</v>
      </c>
      <c r="C1498" s="626" t="s">
        <v>8</v>
      </c>
      <c r="D1498" s="626" t="s">
        <v>8420</v>
      </c>
      <c r="E1498" s="628" t="s">
        <v>20</v>
      </c>
      <c r="F1498" s="816" t="s">
        <v>13700</v>
      </c>
      <c r="G1498" s="816"/>
      <c r="H1498" s="816">
        <v>362.66</v>
      </c>
      <c r="I1498" s="816"/>
      <c r="J1498" s="817">
        <v>177.7</v>
      </c>
      <c r="K1498" s="817"/>
      <c r="L1498" s="817"/>
    </row>
    <row r="1499" spans="1:12" ht="17.100000000000001" customHeight="1">
      <c r="A1499" s="626" t="s">
        <v>12709</v>
      </c>
      <c r="B1499" s="627" t="s">
        <v>13248</v>
      </c>
      <c r="C1499" s="626" t="s">
        <v>8</v>
      </c>
      <c r="D1499" s="626" t="s">
        <v>10712</v>
      </c>
      <c r="E1499" s="628" t="s">
        <v>12730</v>
      </c>
      <c r="F1499" s="816" t="s">
        <v>13745</v>
      </c>
      <c r="G1499" s="816"/>
      <c r="H1499" s="816">
        <v>0.59299999999999997</v>
      </c>
      <c r="I1499" s="816"/>
      <c r="J1499" s="817">
        <v>47.44</v>
      </c>
      <c r="K1499" s="817"/>
      <c r="L1499" s="817"/>
    </row>
    <row r="1500" spans="1:12" ht="25.5">
      <c r="A1500" s="626" t="s">
        <v>12709</v>
      </c>
      <c r="B1500" s="627" t="s">
        <v>12987</v>
      </c>
      <c r="C1500" s="626" t="s">
        <v>8</v>
      </c>
      <c r="D1500" s="626" t="s">
        <v>9192</v>
      </c>
      <c r="E1500" s="628" t="s">
        <v>12923</v>
      </c>
      <c r="F1500" s="816" t="s">
        <v>13999</v>
      </c>
      <c r="G1500" s="816"/>
      <c r="H1500" s="816">
        <v>0.93603729999999996</v>
      </c>
      <c r="I1500" s="816"/>
      <c r="J1500" s="817">
        <v>0.75819999999999999</v>
      </c>
      <c r="K1500" s="817"/>
      <c r="L1500" s="817"/>
    </row>
    <row r="1501" spans="1:12" ht="17.100000000000001" customHeight="1">
      <c r="A1501" s="636"/>
      <c r="B1501" s="636"/>
      <c r="C1501" s="636"/>
      <c r="D1501" s="636"/>
      <c r="E1501" s="636"/>
      <c r="F1501" s="636"/>
      <c r="G1501" s="636"/>
      <c r="H1501" s="636"/>
      <c r="I1501" s="636"/>
      <c r="J1501" s="636" t="s">
        <v>13675</v>
      </c>
      <c r="K1501" s="636"/>
      <c r="L1501" s="636" t="s">
        <v>14715</v>
      </c>
    </row>
    <row r="1502" spans="1:12" ht="24" customHeight="1">
      <c r="A1502" s="802" t="s">
        <v>12722</v>
      </c>
      <c r="B1502" s="802"/>
      <c r="C1502" s="802"/>
      <c r="D1502" s="802"/>
      <c r="E1502" s="802"/>
      <c r="F1502" s="802"/>
      <c r="G1502" s="802"/>
      <c r="H1502" s="802"/>
      <c r="I1502" s="612"/>
      <c r="J1502" s="612"/>
      <c r="K1502" s="612"/>
      <c r="L1502" s="612"/>
    </row>
    <row r="1503" spans="1:12" ht="17.100000000000001" customHeight="1">
      <c r="A1503" s="612" t="s">
        <v>13679</v>
      </c>
      <c r="B1503" s="636" t="s">
        <v>12698</v>
      </c>
      <c r="C1503" s="612" t="s">
        <v>12699</v>
      </c>
      <c r="D1503" s="612" t="s">
        <v>12700</v>
      </c>
      <c r="E1503" s="637" t="s">
        <v>12702</v>
      </c>
      <c r="F1503" s="801" t="s">
        <v>12704</v>
      </c>
      <c r="G1503" s="801"/>
      <c r="H1503" s="801" t="s">
        <v>13678</v>
      </c>
      <c r="I1503" s="801"/>
      <c r="J1503" s="801" t="s">
        <v>12705</v>
      </c>
      <c r="K1503" s="801"/>
      <c r="L1503" s="801"/>
    </row>
    <row r="1504" spans="1:12" ht="25.5">
      <c r="A1504" s="626" t="s">
        <v>12709</v>
      </c>
      <c r="B1504" s="627" t="s">
        <v>12998</v>
      </c>
      <c r="C1504" s="626" t="s">
        <v>8</v>
      </c>
      <c r="D1504" s="626" t="s">
        <v>11861</v>
      </c>
      <c r="E1504" s="628" t="s">
        <v>23</v>
      </c>
      <c r="F1504" s="816" t="s">
        <v>13683</v>
      </c>
      <c r="G1504" s="816"/>
      <c r="H1504" s="816">
        <v>3.7641179999999999</v>
      </c>
      <c r="I1504" s="816"/>
      <c r="J1504" s="817">
        <v>2.6724999999999999</v>
      </c>
      <c r="K1504" s="817"/>
      <c r="L1504" s="817"/>
    </row>
    <row r="1505" spans="1:12" ht="17.100000000000001" customHeight="1">
      <c r="A1505" s="636"/>
      <c r="B1505" s="636"/>
      <c r="C1505" s="636"/>
      <c r="D1505" s="636"/>
      <c r="E1505" s="636"/>
      <c r="F1505" s="636"/>
      <c r="G1505" s="636"/>
      <c r="H1505" s="636"/>
      <c r="I1505" s="636"/>
      <c r="J1505" s="636" t="s">
        <v>13675</v>
      </c>
      <c r="K1505" s="636"/>
      <c r="L1505" s="636" t="s">
        <v>14110</v>
      </c>
    </row>
    <row r="1506" spans="1:12" ht="24" customHeight="1">
      <c r="A1506" s="802" t="s">
        <v>12713</v>
      </c>
      <c r="B1506" s="802"/>
      <c r="C1506" s="802"/>
      <c r="D1506" s="802"/>
      <c r="E1506" s="802"/>
      <c r="F1506" s="802"/>
      <c r="G1506" s="802"/>
      <c r="H1506" s="802"/>
      <c r="I1506" s="612"/>
      <c r="J1506" s="612"/>
      <c r="K1506" s="612"/>
      <c r="L1506" s="612"/>
    </row>
    <row r="1507" spans="1:12" ht="17.100000000000001" customHeight="1">
      <c r="A1507" s="612" t="s">
        <v>13679</v>
      </c>
      <c r="B1507" s="636" t="s">
        <v>12698</v>
      </c>
      <c r="C1507" s="612" t="s">
        <v>12699</v>
      </c>
      <c r="D1507" s="612" t="s">
        <v>12700</v>
      </c>
      <c r="E1507" s="637" t="s">
        <v>12702</v>
      </c>
      <c r="F1507" s="801" t="s">
        <v>12704</v>
      </c>
      <c r="G1507" s="801"/>
      <c r="H1507" s="801" t="s">
        <v>13678</v>
      </c>
      <c r="I1507" s="801"/>
      <c r="J1507" s="801" t="s">
        <v>12705</v>
      </c>
      <c r="K1507" s="801"/>
      <c r="L1507" s="801"/>
    </row>
    <row r="1508" spans="1:12" ht="25.5">
      <c r="A1508" s="626" t="s">
        <v>12709</v>
      </c>
      <c r="B1508" s="627" t="s">
        <v>12999</v>
      </c>
      <c r="C1508" s="626" t="s">
        <v>8</v>
      </c>
      <c r="D1508" s="626" t="s">
        <v>11251</v>
      </c>
      <c r="E1508" s="628" t="s">
        <v>23</v>
      </c>
      <c r="F1508" s="816" t="s">
        <v>13681</v>
      </c>
      <c r="G1508" s="816"/>
      <c r="H1508" s="816">
        <v>3.7641179999999999</v>
      </c>
      <c r="I1508" s="816"/>
      <c r="J1508" s="817">
        <v>0.26350000000000001</v>
      </c>
      <c r="K1508" s="817"/>
      <c r="L1508" s="817"/>
    </row>
    <row r="1509" spans="1:12" ht="17.100000000000001" customHeight="1">
      <c r="A1509" s="636"/>
      <c r="B1509" s="636"/>
      <c r="C1509" s="636"/>
      <c r="D1509" s="636"/>
      <c r="E1509" s="636"/>
      <c r="F1509" s="636"/>
      <c r="G1509" s="636"/>
      <c r="H1509" s="636"/>
      <c r="I1509" s="636"/>
      <c r="J1509" s="636" t="s">
        <v>13675</v>
      </c>
      <c r="K1509" s="636"/>
      <c r="L1509" s="636" t="s">
        <v>13869</v>
      </c>
    </row>
    <row r="1510" spans="1:12" ht="24" customHeight="1">
      <c r="A1510" s="802" t="s">
        <v>12712</v>
      </c>
      <c r="B1510" s="802"/>
      <c r="C1510" s="802"/>
      <c r="D1510" s="802"/>
      <c r="E1510" s="802"/>
      <c r="F1510" s="802"/>
      <c r="G1510" s="802"/>
      <c r="H1510" s="802"/>
      <c r="I1510" s="612"/>
      <c r="J1510" s="612"/>
      <c r="K1510" s="612"/>
      <c r="L1510" s="612"/>
    </row>
    <row r="1511" spans="1:12" ht="24" customHeight="1">
      <c r="A1511" s="612" t="s">
        <v>13679</v>
      </c>
      <c r="B1511" s="636" t="s">
        <v>12698</v>
      </c>
      <c r="C1511" s="612" t="s">
        <v>12699</v>
      </c>
      <c r="D1511" s="612" t="s">
        <v>12700</v>
      </c>
      <c r="E1511" s="637" t="s">
        <v>12702</v>
      </c>
      <c r="F1511" s="801" t="s">
        <v>12704</v>
      </c>
      <c r="G1511" s="801"/>
      <c r="H1511" s="801" t="s">
        <v>13678</v>
      </c>
      <c r="I1511" s="801"/>
      <c r="J1511" s="801" t="s">
        <v>12705</v>
      </c>
      <c r="K1511" s="801"/>
      <c r="L1511" s="801"/>
    </row>
    <row r="1512" spans="1:12" ht="17.100000000000001" customHeight="1">
      <c r="A1512" s="626" t="s">
        <v>12709</v>
      </c>
      <c r="B1512" s="627" t="s">
        <v>13002</v>
      </c>
      <c r="C1512" s="626" t="s">
        <v>8</v>
      </c>
      <c r="D1512" s="626" t="s">
        <v>9306</v>
      </c>
      <c r="E1512" s="628" t="s">
        <v>23</v>
      </c>
      <c r="F1512" s="816" t="s">
        <v>13677</v>
      </c>
      <c r="G1512" s="816"/>
      <c r="H1512" s="816">
        <v>3.7641179999999999</v>
      </c>
      <c r="I1512" s="816"/>
      <c r="J1512" s="817">
        <v>1.3173999999999999</v>
      </c>
      <c r="K1512" s="817"/>
      <c r="L1512" s="817"/>
    </row>
    <row r="1513" spans="1:12" ht="17.100000000000001" customHeight="1">
      <c r="A1513" s="626" t="s">
        <v>12709</v>
      </c>
      <c r="B1513" s="627" t="s">
        <v>13004</v>
      </c>
      <c r="C1513" s="626" t="s">
        <v>8</v>
      </c>
      <c r="D1513" s="626" t="s">
        <v>7388</v>
      </c>
      <c r="E1513" s="628" t="s">
        <v>23</v>
      </c>
      <c r="F1513" s="816" t="s">
        <v>13676</v>
      </c>
      <c r="G1513" s="816"/>
      <c r="H1513" s="816">
        <v>3.7641179999999999</v>
      </c>
      <c r="I1513" s="816"/>
      <c r="J1513" s="817">
        <v>8.2811000000000003</v>
      </c>
      <c r="K1513" s="817"/>
      <c r="L1513" s="817"/>
    </row>
    <row r="1514" spans="1:12" ht="17.100000000000001" customHeight="1">
      <c r="A1514" s="636"/>
      <c r="B1514" s="636"/>
      <c r="C1514" s="636"/>
      <c r="D1514" s="636"/>
      <c r="E1514" s="636"/>
      <c r="F1514" s="636"/>
      <c r="G1514" s="636"/>
      <c r="H1514" s="636"/>
      <c r="I1514" s="636"/>
      <c r="J1514" s="636" t="s">
        <v>13675</v>
      </c>
      <c r="K1514" s="636"/>
      <c r="L1514" s="636" t="s">
        <v>14109</v>
      </c>
    </row>
    <row r="1515" spans="1:12" ht="17.100000000000001" customHeight="1">
      <c r="A1515" s="612" t="s">
        <v>13673</v>
      </c>
      <c r="B1515" s="612"/>
      <c r="C1515" s="612"/>
      <c r="D1515" s="612"/>
      <c r="E1515" s="612"/>
      <c r="F1515" s="612"/>
      <c r="G1515" s="612"/>
      <c r="H1515" s="612"/>
      <c r="I1515" s="612"/>
      <c r="J1515" s="612"/>
      <c r="K1515" s="612"/>
      <c r="L1515" s="612"/>
    </row>
    <row r="1516" spans="1:12" ht="17.100000000000001" customHeight="1">
      <c r="A1516" s="636"/>
      <c r="B1516" s="636"/>
      <c r="C1516" s="636"/>
      <c r="D1516" s="636"/>
      <c r="E1516" s="636"/>
      <c r="F1516" s="636"/>
      <c r="G1516" s="636"/>
      <c r="H1516" s="636"/>
      <c r="I1516" s="636"/>
      <c r="J1516" s="636" t="s">
        <v>13672</v>
      </c>
      <c r="K1516" s="636"/>
      <c r="L1516" s="636" t="s">
        <v>14987</v>
      </c>
    </row>
    <row r="1517" spans="1:12" ht="17.100000000000001" customHeight="1">
      <c r="A1517" s="636"/>
      <c r="B1517" s="636"/>
      <c r="C1517" s="636"/>
      <c r="D1517" s="636"/>
      <c r="E1517" s="636"/>
      <c r="F1517" s="636"/>
      <c r="G1517" s="636"/>
      <c r="H1517" s="636"/>
      <c r="I1517" s="636"/>
      <c r="J1517" s="636" t="s">
        <v>13671</v>
      </c>
      <c r="K1517" s="636" t="s">
        <v>14461</v>
      </c>
      <c r="L1517" s="636" t="s">
        <v>14988</v>
      </c>
    </row>
    <row r="1518" spans="1:12" ht="17.100000000000001" customHeight="1">
      <c r="A1518" s="636"/>
      <c r="B1518" s="636"/>
      <c r="C1518" s="636"/>
      <c r="D1518" s="636"/>
      <c r="E1518" s="636"/>
      <c r="F1518" s="636"/>
      <c r="G1518" s="636"/>
      <c r="H1518" s="636"/>
      <c r="I1518" s="636"/>
      <c r="J1518" s="636" t="s">
        <v>13670</v>
      </c>
      <c r="K1518" s="636"/>
      <c r="L1518" s="636" t="s">
        <v>14989</v>
      </c>
    </row>
    <row r="1519" spans="1:12" ht="30" customHeight="1">
      <c r="A1519" s="636"/>
      <c r="B1519" s="636"/>
      <c r="C1519" s="636"/>
      <c r="D1519" s="636"/>
      <c r="E1519" s="636"/>
      <c r="F1519" s="636"/>
      <c r="G1519" s="636"/>
      <c r="H1519" s="636"/>
      <c r="I1519" s="636"/>
      <c r="J1519" s="636" t="s">
        <v>13669</v>
      </c>
      <c r="K1519" s="636" t="s">
        <v>13667</v>
      </c>
      <c r="L1519" s="636" t="s">
        <v>14990</v>
      </c>
    </row>
    <row r="1520" spans="1:12" ht="24" customHeight="1">
      <c r="A1520" s="636"/>
      <c r="B1520" s="636"/>
      <c r="C1520" s="636"/>
      <c r="D1520" s="636"/>
      <c r="E1520" s="636"/>
      <c r="F1520" s="636"/>
      <c r="G1520" s="636"/>
      <c r="H1520" s="636"/>
      <c r="I1520" s="636"/>
      <c r="J1520" s="636" t="s">
        <v>13668</v>
      </c>
      <c r="K1520" s="636"/>
      <c r="L1520" s="636" t="s">
        <v>14991</v>
      </c>
    </row>
    <row r="1521" spans="1:12" ht="14.25" customHeight="1">
      <c r="A1521" s="637"/>
      <c r="B1521" s="637"/>
      <c r="C1521" s="637"/>
      <c r="D1521" s="637"/>
      <c r="E1521" s="637"/>
      <c r="F1521" s="637"/>
      <c r="G1521" s="637"/>
      <c r="H1521" s="637"/>
      <c r="I1521" s="637"/>
      <c r="J1521" s="637"/>
      <c r="K1521" s="637"/>
      <c r="L1521" s="637"/>
    </row>
    <row r="1522" spans="1:12" ht="17.100000000000001" customHeight="1">
      <c r="A1522" s="616" t="s">
        <v>14228</v>
      </c>
      <c r="B1522" s="617" t="s">
        <v>13633</v>
      </c>
      <c r="C1522" s="616" t="s">
        <v>8</v>
      </c>
      <c r="D1522" s="616" t="s">
        <v>55</v>
      </c>
      <c r="E1522" s="618" t="s">
        <v>12730</v>
      </c>
      <c r="F1522" s="617"/>
      <c r="G1522" s="617"/>
      <c r="H1522" s="617"/>
      <c r="I1522" s="617"/>
      <c r="J1522" s="617"/>
      <c r="K1522" s="617"/>
      <c r="L1522" s="617"/>
    </row>
    <row r="1523" spans="1:12" ht="24" customHeight="1">
      <c r="A1523" s="802" t="s">
        <v>12711</v>
      </c>
      <c r="B1523" s="802"/>
      <c r="C1523" s="802"/>
      <c r="D1523" s="802"/>
      <c r="E1523" s="802"/>
      <c r="F1523" s="802"/>
      <c r="G1523" s="802"/>
      <c r="H1523" s="802"/>
      <c r="I1523" s="612"/>
      <c r="J1523" s="612"/>
      <c r="K1523" s="612"/>
      <c r="L1523" s="612"/>
    </row>
    <row r="1524" spans="1:12" ht="24" customHeight="1">
      <c r="A1524" s="612" t="s">
        <v>13679</v>
      </c>
      <c r="B1524" s="636" t="s">
        <v>12698</v>
      </c>
      <c r="C1524" s="612" t="s">
        <v>12699</v>
      </c>
      <c r="D1524" s="612" t="s">
        <v>12700</v>
      </c>
      <c r="E1524" s="637" t="s">
        <v>12702</v>
      </c>
      <c r="F1524" s="801" t="s">
        <v>12704</v>
      </c>
      <c r="G1524" s="801"/>
      <c r="H1524" s="801" t="s">
        <v>13678</v>
      </c>
      <c r="I1524" s="801"/>
      <c r="J1524" s="801" t="s">
        <v>12705</v>
      </c>
      <c r="K1524" s="801"/>
      <c r="L1524" s="801"/>
    </row>
    <row r="1525" spans="1:12" ht="17.100000000000001" customHeight="1">
      <c r="A1525" s="626" t="s">
        <v>12709</v>
      </c>
      <c r="B1525" s="627" t="s">
        <v>12989</v>
      </c>
      <c r="C1525" s="626" t="s">
        <v>8</v>
      </c>
      <c r="D1525" s="626" t="s">
        <v>12342</v>
      </c>
      <c r="E1525" s="628" t="s">
        <v>35</v>
      </c>
      <c r="F1525" s="816" t="s">
        <v>14494</v>
      </c>
      <c r="G1525" s="816"/>
      <c r="H1525" s="816">
        <v>3.3110000000000002E-4</v>
      </c>
      <c r="I1525" s="816"/>
      <c r="J1525" s="817">
        <v>0.80200000000000005</v>
      </c>
      <c r="K1525" s="817"/>
      <c r="L1525" s="817"/>
    </row>
    <row r="1526" spans="1:12" ht="14.25" customHeight="1">
      <c r="A1526" s="626" t="s">
        <v>12709</v>
      </c>
      <c r="B1526" s="627" t="s">
        <v>13032</v>
      </c>
      <c r="C1526" s="626" t="s">
        <v>8</v>
      </c>
      <c r="D1526" s="626" t="s">
        <v>9217</v>
      </c>
      <c r="E1526" s="628" t="s">
        <v>23</v>
      </c>
      <c r="F1526" s="816" t="s">
        <v>13741</v>
      </c>
      <c r="G1526" s="816"/>
      <c r="H1526" s="816">
        <v>1.8448028999999999</v>
      </c>
      <c r="I1526" s="816"/>
      <c r="J1526" s="817">
        <v>1.9923999999999999</v>
      </c>
      <c r="K1526" s="817"/>
      <c r="L1526" s="817"/>
    </row>
    <row r="1527" spans="1:12" ht="17.100000000000001" customHeight="1">
      <c r="A1527" s="626" t="s">
        <v>12709</v>
      </c>
      <c r="B1527" s="627" t="s">
        <v>13031</v>
      </c>
      <c r="C1527" s="626" t="s">
        <v>8</v>
      </c>
      <c r="D1527" s="626" t="s">
        <v>9364</v>
      </c>
      <c r="E1527" s="628" t="s">
        <v>23</v>
      </c>
      <c r="F1527" s="816" t="s">
        <v>13740</v>
      </c>
      <c r="G1527" s="816"/>
      <c r="H1527" s="816">
        <v>1.8448028999999999</v>
      </c>
      <c r="I1527" s="816"/>
      <c r="J1527" s="817">
        <v>0.62719999999999998</v>
      </c>
      <c r="K1527" s="817"/>
      <c r="L1527" s="817"/>
    </row>
    <row r="1528" spans="1:12" ht="24" customHeight="1">
      <c r="A1528" s="626" t="s">
        <v>12709</v>
      </c>
      <c r="B1528" s="627" t="s">
        <v>13052</v>
      </c>
      <c r="C1528" s="626" t="s">
        <v>8</v>
      </c>
      <c r="D1528" s="626" t="s">
        <v>9229</v>
      </c>
      <c r="E1528" s="628" t="s">
        <v>23</v>
      </c>
      <c r="F1528" s="816" t="s">
        <v>13692</v>
      </c>
      <c r="G1528" s="816"/>
      <c r="H1528" s="816">
        <v>1.8448028999999999</v>
      </c>
      <c r="I1528" s="816"/>
      <c r="J1528" s="817">
        <v>1.7709999999999999</v>
      </c>
      <c r="K1528" s="817"/>
      <c r="L1528" s="817"/>
    </row>
    <row r="1529" spans="1:12" ht="24" customHeight="1">
      <c r="A1529" s="626" t="s">
        <v>12709</v>
      </c>
      <c r="B1529" s="627" t="s">
        <v>13051</v>
      </c>
      <c r="C1529" s="626" t="s">
        <v>8</v>
      </c>
      <c r="D1529" s="626" t="s">
        <v>9376</v>
      </c>
      <c r="E1529" s="628" t="s">
        <v>23</v>
      </c>
      <c r="F1529" s="816" t="s">
        <v>13691</v>
      </c>
      <c r="G1529" s="816"/>
      <c r="H1529" s="816">
        <v>1.8448028999999999</v>
      </c>
      <c r="I1529" s="816"/>
      <c r="J1529" s="817">
        <v>0.9224</v>
      </c>
      <c r="K1529" s="817"/>
      <c r="L1529" s="817"/>
    </row>
    <row r="1530" spans="1:12" ht="17.100000000000001" customHeight="1">
      <c r="A1530" s="626" t="s">
        <v>12709</v>
      </c>
      <c r="B1530" s="627" t="s">
        <v>13048</v>
      </c>
      <c r="C1530" s="626" t="s">
        <v>8</v>
      </c>
      <c r="D1530" s="626" t="s">
        <v>9233</v>
      </c>
      <c r="E1530" s="628" t="s">
        <v>23</v>
      </c>
      <c r="F1530" s="816" t="s">
        <v>13690</v>
      </c>
      <c r="G1530" s="816"/>
      <c r="H1530" s="816">
        <v>5.5344085999999999</v>
      </c>
      <c r="I1530" s="816"/>
      <c r="J1530" s="817">
        <v>5.6451000000000002</v>
      </c>
      <c r="K1530" s="817"/>
      <c r="L1530" s="817"/>
    </row>
    <row r="1531" spans="1:12" ht="25.5">
      <c r="A1531" s="626" t="s">
        <v>12709</v>
      </c>
      <c r="B1531" s="627" t="s">
        <v>13047</v>
      </c>
      <c r="C1531" s="626" t="s">
        <v>8</v>
      </c>
      <c r="D1531" s="626" t="s">
        <v>9380</v>
      </c>
      <c r="E1531" s="628" t="s">
        <v>23</v>
      </c>
      <c r="F1531" s="816" t="s">
        <v>13689</v>
      </c>
      <c r="G1531" s="816"/>
      <c r="H1531" s="816">
        <v>5.5344085999999999</v>
      </c>
      <c r="I1531" s="816"/>
      <c r="J1531" s="817">
        <v>2.1031</v>
      </c>
      <c r="K1531" s="817"/>
      <c r="L1531" s="817"/>
    </row>
    <row r="1532" spans="1:12" ht="17.100000000000001" customHeight="1">
      <c r="A1532" s="636"/>
      <c r="B1532" s="636"/>
      <c r="C1532" s="636"/>
      <c r="D1532" s="636"/>
      <c r="E1532" s="636"/>
      <c r="F1532" s="636"/>
      <c r="G1532" s="636"/>
      <c r="H1532" s="636"/>
      <c r="I1532" s="636"/>
      <c r="J1532" s="636" t="s">
        <v>13675</v>
      </c>
      <c r="K1532" s="636"/>
      <c r="L1532" s="636" t="s">
        <v>14493</v>
      </c>
    </row>
    <row r="1533" spans="1:12" ht="24" customHeight="1">
      <c r="A1533" s="802" t="s">
        <v>12710</v>
      </c>
      <c r="B1533" s="802"/>
      <c r="C1533" s="802"/>
      <c r="D1533" s="802"/>
      <c r="E1533" s="802"/>
      <c r="F1533" s="802"/>
      <c r="G1533" s="802"/>
      <c r="H1533" s="802"/>
      <c r="I1533" s="612"/>
      <c r="J1533" s="612"/>
      <c r="K1533" s="612"/>
      <c r="L1533" s="612"/>
    </row>
    <row r="1534" spans="1:12" ht="36" customHeight="1">
      <c r="A1534" s="612" t="s">
        <v>13679</v>
      </c>
      <c r="B1534" s="636" t="s">
        <v>12698</v>
      </c>
      <c r="C1534" s="612" t="s">
        <v>12699</v>
      </c>
      <c r="D1534" s="612" t="s">
        <v>12700</v>
      </c>
      <c r="E1534" s="637" t="s">
        <v>12702</v>
      </c>
      <c r="F1534" s="801" t="s">
        <v>12704</v>
      </c>
      <c r="G1534" s="801"/>
      <c r="H1534" s="801" t="s">
        <v>13678</v>
      </c>
      <c r="I1534" s="801"/>
      <c r="J1534" s="801" t="s">
        <v>12705</v>
      </c>
      <c r="K1534" s="801"/>
      <c r="L1534" s="801"/>
    </row>
    <row r="1535" spans="1:12" ht="24" customHeight="1">
      <c r="A1535" s="626" t="s">
        <v>12709</v>
      </c>
      <c r="B1535" s="627" t="s">
        <v>13212</v>
      </c>
      <c r="C1535" s="626" t="s">
        <v>8</v>
      </c>
      <c r="D1535" s="626" t="s">
        <v>8293</v>
      </c>
      <c r="E1535" s="628" t="s">
        <v>23</v>
      </c>
      <c r="F1535" s="816" t="s">
        <v>14470</v>
      </c>
      <c r="G1535" s="816"/>
      <c r="H1535" s="816">
        <v>1.8599138</v>
      </c>
      <c r="I1535" s="816"/>
      <c r="J1535" s="817">
        <v>12.852</v>
      </c>
      <c r="K1535" s="817"/>
      <c r="L1535" s="817"/>
    </row>
    <row r="1536" spans="1:12" ht="17.100000000000001" customHeight="1">
      <c r="A1536" s="626" t="s">
        <v>12709</v>
      </c>
      <c r="B1536" s="627" t="s">
        <v>13099</v>
      </c>
      <c r="C1536" s="626" t="s">
        <v>8</v>
      </c>
      <c r="D1536" s="626" t="s">
        <v>10726</v>
      </c>
      <c r="E1536" s="628" t="s">
        <v>23</v>
      </c>
      <c r="F1536" s="816" t="s">
        <v>14470</v>
      </c>
      <c r="G1536" s="816"/>
      <c r="H1536" s="816">
        <v>1.8722776000000001</v>
      </c>
      <c r="I1536" s="816"/>
      <c r="J1536" s="817">
        <v>12.9374</v>
      </c>
      <c r="K1536" s="817"/>
      <c r="L1536" s="817"/>
    </row>
    <row r="1537" spans="1:12" ht="25.5">
      <c r="A1537" s="626" t="s">
        <v>12709</v>
      </c>
      <c r="B1537" s="627" t="s">
        <v>13046</v>
      </c>
      <c r="C1537" s="626" t="s">
        <v>8</v>
      </c>
      <c r="D1537" s="626" t="s">
        <v>11281</v>
      </c>
      <c r="E1537" s="628" t="s">
        <v>23</v>
      </c>
      <c r="F1537" s="816" t="s">
        <v>13731</v>
      </c>
      <c r="G1537" s="816"/>
      <c r="H1537" s="816">
        <v>5.6168328000000001</v>
      </c>
      <c r="I1537" s="816"/>
      <c r="J1537" s="817">
        <v>28.8705</v>
      </c>
      <c r="K1537" s="817"/>
      <c r="L1537" s="817"/>
    </row>
    <row r="1538" spans="1:12" ht="17.100000000000001" customHeight="1">
      <c r="A1538" s="636"/>
      <c r="B1538" s="636"/>
      <c r="C1538" s="636"/>
      <c r="D1538" s="636"/>
      <c r="E1538" s="636"/>
      <c r="F1538" s="636"/>
      <c r="G1538" s="636"/>
      <c r="H1538" s="636"/>
      <c r="I1538" s="636"/>
      <c r="J1538" s="636" t="s">
        <v>13675</v>
      </c>
      <c r="K1538" s="636"/>
      <c r="L1538" s="636" t="s">
        <v>14492</v>
      </c>
    </row>
    <row r="1539" spans="1:12" ht="24" customHeight="1">
      <c r="A1539" s="802" t="s">
        <v>12720</v>
      </c>
      <c r="B1539" s="802"/>
      <c r="C1539" s="802"/>
      <c r="D1539" s="802"/>
      <c r="E1539" s="802"/>
      <c r="F1539" s="802"/>
      <c r="G1539" s="802"/>
      <c r="H1539" s="802"/>
      <c r="I1539" s="612"/>
      <c r="J1539" s="612"/>
      <c r="K1539" s="612"/>
      <c r="L1539" s="612"/>
    </row>
    <row r="1540" spans="1:12" ht="17.100000000000001" customHeight="1">
      <c r="A1540" s="612" t="s">
        <v>13679</v>
      </c>
      <c r="B1540" s="636" t="s">
        <v>12698</v>
      </c>
      <c r="C1540" s="612" t="s">
        <v>12699</v>
      </c>
      <c r="D1540" s="612" t="s">
        <v>12700</v>
      </c>
      <c r="E1540" s="637" t="s">
        <v>12702</v>
      </c>
      <c r="F1540" s="801" t="s">
        <v>12704</v>
      </c>
      <c r="G1540" s="801"/>
      <c r="H1540" s="801" t="s">
        <v>13678</v>
      </c>
      <c r="I1540" s="801"/>
      <c r="J1540" s="801" t="s">
        <v>12705</v>
      </c>
      <c r="K1540" s="801"/>
      <c r="L1540" s="801"/>
    </row>
    <row r="1541" spans="1:12" ht="25.5">
      <c r="A1541" s="626" t="s">
        <v>12709</v>
      </c>
      <c r="B1541" s="627" t="s">
        <v>12987</v>
      </c>
      <c r="C1541" s="626" t="s">
        <v>8</v>
      </c>
      <c r="D1541" s="626" t="s">
        <v>9192</v>
      </c>
      <c r="E1541" s="628" t="s">
        <v>12923</v>
      </c>
      <c r="F1541" s="816" t="s">
        <v>13999</v>
      </c>
      <c r="G1541" s="816"/>
      <c r="H1541" s="816">
        <v>0.83945530000000002</v>
      </c>
      <c r="I1541" s="816"/>
      <c r="J1541" s="817">
        <v>0.68</v>
      </c>
      <c r="K1541" s="817"/>
      <c r="L1541" s="817"/>
    </row>
    <row r="1542" spans="1:12" ht="17.100000000000001" customHeight="1">
      <c r="A1542" s="636"/>
      <c r="B1542" s="636"/>
      <c r="C1542" s="636"/>
      <c r="D1542" s="636"/>
      <c r="E1542" s="636"/>
      <c r="F1542" s="636"/>
      <c r="G1542" s="636"/>
      <c r="H1542" s="636"/>
      <c r="I1542" s="636"/>
      <c r="J1542" s="636" t="s">
        <v>13675</v>
      </c>
      <c r="K1542" s="636"/>
      <c r="L1542" s="636" t="s">
        <v>13827</v>
      </c>
    </row>
    <row r="1543" spans="1:12" ht="24" customHeight="1">
      <c r="A1543" s="802" t="s">
        <v>12722</v>
      </c>
      <c r="B1543" s="802"/>
      <c r="C1543" s="802"/>
      <c r="D1543" s="802"/>
      <c r="E1543" s="802"/>
      <c r="F1543" s="802"/>
      <c r="G1543" s="802"/>
      <c r="H1543" s="802"/>
      <c r="I1543" s="612"/>
      <c r="J1543" s="612"/>
      <c r="K1543" s="612"/>
      <c r="L1543" s="612"/>
    </row>
    <row r="1544" spans="1:12" ht="17.100000000000001" customHeight="1">
      <c r="A1544" s="612" t="s">
        <v>13679</v>
      </c>
      <c r="B1544" s="636" t="s">
        <v>12698</v>
      </c>
      <c r="C1544" s="612" t="s">
        <v>12699</v>
      </c>
      <c r="D1544" s="612" t="s">
        <v>12700</v>
      </c>
      <c r="E1544" s="637" t="s">
        <v>12702</v>
      </c>
      <c r="F1544" s="801" t="s">
        <v>12704</v>
      </c>
      <c r="G1544" s="801"/>
      <c r="H1544" s="801" t="s">
        <v>13678</v>
      </c>
      <c r="I1544" s="801"/>
      <c r="J1544" s="801" t="s">
        <v>12705</v>
      </c>
      <c r="K1544" s="801"/>
      <c r="L1544" s="801"/>
    </row>
    <row r="1545" spans="1:12" ht="25.5">
      <c r="A1545" s="626" t="s">
        <v>12709</v>
      </c>
      <c r="B1545" s="627" t="s">
        <v>12998</v>
      </c>
      <c r="C1545" s="626" t="s">
        <v>8</v>
      </c>
      <c r="D1545" s="626" t="s">
        <v>11861</v>
      </c>
      <c r="E1545" s="628" t="s">
        <v>23</v>
      </c>
      <c r="F1545" s="816" t="s">
        <v>13683</v>
      </c>
      <c r="G1545" s="816"/>
      <c r="H1545" s="816">
        <v>9.2240143000000003</v>
      </c>
      <c r="I1545" s="816"/>
      <c r="J1545" s="817">
        <v>6.5491000000000001</v>
      </c>
      <c r="K1545" s="817"/>
      <c r="L1545" s="817"/>
    </row>
    <row r="1546" spans="1:12" ht="17.100000000000001" customHeight="1">
      <c r="A1546" s="636"/>
      <c r="B1546" s="636"/>
      <c r="C1546" s="636"/>
      <c r="D1546" s="636"/>
      <c r="E1546" s="636"/>
      <c r="F1546" s="636"/>
      <c r="G1546" s="636"/>
      <c r="H1546" s="636"/>
      <c r="I1546" s="636"/>
      <c r="J1546" s="636" t="s">
        <v>13675</v>
      </c>
      <c r="K1546" s="636"/>
      <c r="L1546" s="636" t="s">
        <v>13739</v>
      </c>
    </row>
    <row r="1547" spans="1:12" ht="24" customHeight="1">
      <c r="A1547" s="802" t="s">
        <v>12713</v>
      </c>
      <c r="B1547" s="802"/>
      <c r="C1547" s="802"/>
      <c r="D1547" s="802"/>
      <c r="E1547" s="802"/>
      <c r="F1547" s="802"/>
      <c r="G1547" s="802"/>
      <c r="H1547" s="802"/>
      <c r="I1547" s="612"/>
      <c r="J1547" s="612"/>
      <c r="K1547" s="612"/>
      <c r="L1547" s="612"/>
    </row>
    <row r="1548" spans="1:12" ht="24" customHeight="1">
      <c r="A1548" s="612" t="s">
        <v>13679</v>
      </c>
      <c r="B1548" s="636" t="s">
        <v>12698</v>
      </c>
      <c r="C1548" s="612" t="s">
        <v>12699</v>
      </c>
      <c r="D1548" s="612" t="s">
        <v>12700</v>
      </c>
      <c r="E1548" s="637" t="s">
        <v>12702</v>
      </c>
      <c r="F1548" s="801" t="s">
        <v>12704</v>
      </c>
      <c r="G1548" s="801"/>
      <c r="H1548" s="801" t="s">
        <v>13678</v>
      </c>
      <c r="I1548" s="801"/>
      <c r="J1548" s="801" t="s">
        <v>12705</v>
      </c>
      <c r="K1548" s="801"/>
      <c r="L1548" s="801"/>
    </row>
    <row r="1549" spans="1:12" ht="17.100000000000001" customHeight="1">
      <c r="A1549" s="626" t="s">
        <v>12709</v>
      </c>
      <c r="B1549" s="627" t="s">
        <v>12999</v>
      </c>
      <c r="C1549" s="626" t="s">
        <v>8</v>
      </c>
      <c r="D1549" s="626" t="s">
        <v>11251</v>
      </c>
      <c r="E1549" s="628" t="s">
        <v>23</v>
      </c>
      <c r="F1549" s="816" t="s">
        <v>13681</v>
      </c>
      <c r="G1549" s="816"/>
      <c r="H1549" s="816">
        <v>9.2240143000000003</v>
      </c>
      <c r="I1549" s="816"/>
      <c r="J1549" s="817">
        <v>0.64570000000000005</v>
      </c>
      <c r="K1549" s="817"/>
      <c r="L1549" s="817"/>
    </row>
    <row r="1550" spans="1:12" ht="17.100000000000001" customHeight="1">
      <c r="A1550" s="636"/>
      <c r="B1550" s="636"/>
      <c r="C1550" s="636"/>
      <c r="D1550" s="636"/>
      <c r="E1550" s="636"/>
      <c r="F1550" s="636"/>
      <c r="G1550" s="636"/>
      <c r="H1550" s="636"/>
      <c r="I1550" s="636"/>
      <c r="J1550" s="636" t="s">
        <v>13675</v>
      </c>
      <c r="K1550" s="636"/>
      <c r="L1550" s="636" t="s">
        <v>13738</v>
      </c>
    </row>
    <row r="1551" spans="1:12" ht="17.100000000000001" customHeight="1">
      <c r="A1551" s="802" t="s">
        <v>12712</v>
      </c>
      <c r="B1551" s="802"/>
      <c r="C1551" s="802"/>
      <c r="D1551" s="802"/>
      <c r="E1551" s="802"/>
      <c r="F1551" s="802"/>
      <c r="G1551" s="802"/>
      <c r="H1551" s="802"/>
      <c r="I1551" s="612"/>
      <c r="J1551" s="612"/>
      <c r="K1551" s="612"/>
      <c r="L1551" s="612"/>
    </row>
    <row r="1552" spans="1:12" ht="17.100000000000001" customHeight="1">
      <c r="A1552" s="612" t="s">
        <v>13679</v>
      </c>
      <c r="B1552" s="636" t="s">
        <v>12698</v>
      </c>
      <c r="C1552" s="612" t="s">
        <v>12699</v>
      </c>
      <c r="D1552" s="612" t="s">
        <v>12700</v>
      </c>
      <c r="E1552" s="637" t="s">
        <v>12702</v>
      </c>
      <c r="F1552" s="801" t="s">
        <v>12704</v>
      </c>
      <c r="G1552" s="801"/>
      <c r="H1552" s="801" t="s">
        <v>13678</v>
      </c>
      <c r="I1552" s="801"/>
      <c r="J1552" s="801" t="s">
        <v>12705</v>
      </c>
      <c r="K1552" s="801"/>
      <c r="L1552" s="801"/>
    </row>
    <row r="1553" spans="1:12" ht="17.100000000000001" customHeight="1">
      <c r="A1553" s="626" t="s">
        <v>12709</v>
      </c>
      <c r="B1553" s="627" t="s">
        <v>13002</v>
      </c>
      <c r="C1553" s="626" t="s">
        <v>8</v>
      </c>
      <c r="D1553" s="626" t="s">
        <v>9306</v>
      </c>
      <c r="E1553" s="628" t="s">
        <v>23</v>
      </c>
      <c r="F1553" s="816" t="s">
        <v>13677</v>
      </c>
      <c r="G1553" s="816"/>
      <c r="H1553" s="816">
        <v>9.2240143000000003</v>
      </c>
      <c r="I1553" s="816"/>
      <c r="J1553" s="817">
        <v>3.2284000000000002</v>
      </c>
      <c r="K1553" s="817"/>
      <c r="L1553" s="817"/>
    </row>
    <row r="1554" spans="1:12" ht="17.100000000000001" customHeight="1">
      <c r="A1554" s="626" t="s">
        <v>12709</v>
      </c>
      <c r="B1554" s="627" t="s">
        <v>13004</v>
      </c>
      <c r="C1554" s="626" t="s">
        <v>8</v>
      </c>
      <c r="D1554" s="626" t="s">
        <v>7388</v>
      </c>
      <c r="E1554" s="628" t="s">
        <v>23</v>
      </c>
      <c r="F1554" s="816" t="s">
        <v>13676</v>
      </c>
      <c r="G1554" s="816"/>
      <c r="H1554" s="816">
        <v>9.2240143000000003</v>
      </c>
      <c r="I1554" s="816"/>
      <c r="J1554" s="817">
        <v>20.2928</v>
      </c>
      <c r="K1554" s="817"/>
      <c r="L1554" s="817"/>
    </row>
    <row r="1555" spans="1:12" ht="17.100000000000001" customHeight="1">
      <c r="A1555" s="636"/>
      <c r="B1555" s="636"/>
      <c r="C1555" s="636"/>
      <c r="D1555" s="636"/>
      <c r="E1555" s="636"/>
      <c r="F1555" s="636"/>
      <c r="G1555" s="636"/>
      <c r="H1555" s="636"/>
      <c r="I1555" s="636"/>
      <c r="J1555" s="636" t="s">
        <v>13675</v>
      </c>
      <c r="K1555" s="636"/>
      <c r="L1555" s="636" t="s">
        <v>13737</v>
      </c>
    </row>
    <row r="1556" spans="1:12" ht="30" customHeight="1">
      <c r="A1556" s="612" t="s">
        <v>13673</v>
      </c>
      <c r="B1556" s="612"/>
      <c r="C1556" s="612"/>
      <c r="D1556" s="612"/>
      <c r="E1556" s="612"/>
      <c r="F1556" s="612"/>
      <c r="G1556" s="612"/>
      <c r="H1556" s="612"/>
      <c r="I1556" s="612"/>
      <c r="J1556" s="612"/>
      <c r="K1556" s="612"/>
      <c r="L1556" s="612"/>
    </row>
    <row r="1557" spans="1:12" ht="24" customHeight="1">
      <c r="A1557" s="636"/>
      <c r="B1557" s="636"/>
      <c r="C1557" s="636"/>
      <c r="D1557" s="636"/>
      <c r="E1557" s="636"/>
      <c r="F1557" s="636"/>
      <c r="G1557" s="636"/>
      <c r="H1557" s="636"/>
      <c r="I1557" s="636"/>
      <c r="J1557" s="636" t="s">
        <v>13672</v>
      </c>
      <c r="K1557" s="636"/>
      <c r="L1557" s="636" t="s">
        <v>14992</v>
      </c>
    </row>
    <row r="1558" spans="1:12" ht="14.25" customHeight="1">
      <c r="A1558" s="636"/>
      <c r="B1558" s="636"/>
      <c r="C1558" s="636"/>
      <c r="D1558" s="636"/>
      <c r="E1558" s="636"/>
      <c r="F1558" s="636"/>
      <c r="G1558" s="636"/>
      <c r="H1558" s="636"/>
      <c r="I1558" s="636"/>
      <c r="J1558" s="636" t="s">
        <v>13671</v>
      </c>
      <c r="K1558" s="636" t="s">
        <v>14461</v>
      </c>
      <c r="L1558" s="636" t="s">
        <v>14993</v>
      </c>
    </row>
    <row r="1559" spans="1:12" ht="17.100000000000001" customHeight="1">
      <c r="A1559" s="636"/>
      <c r="B1559" s="636"/>
      <c r="C1559" s="636"/>
      <c r="D1559" s="636"/>
      <c r="E1559" s="636"/>
      <c r="F1559" s="636"/>
      <c r="G1559" s="636"/>
      <c r="H1559" s="636"/>
      <c r="I1559" s="636"/>
      <c r="J1559" s="636" t="s">
        <v>13670</v>
      </c>
      <c r="K1559" s="636"/>
      <c r="L1559" s="636" t="s">
        <v>14994</v>
      </c>
    </row>
    <row r="1560" spans="1:12" ht="24" customHeight="1">
      <c r="A1560" s="636"/>
      <c r="B1560" s="636"/>
      <c r="C1560" s="636"/>
      <c r="D1560" s="636"/>
      <c r="E1560" s="636"/>
      <c r="F1560" s="636"/>
      <c r="G1560" s="636"/>
      <c r="H1560" s="636"/>
      <c r="I1560" s="636"/>
      <c r="J1560" s="636" t="s">
        <v>13669</v>
      </c>
      <c r="K1560" s="636" t="s">
        <v>13667</v>
      </c>
      <c r="L1560" s="636" t="s">
        <v>14995</v>
      </c>
    </row>
    <row r="1561" spans="1:12" ht="24" customHeight="1">
      <c r="A1561" s="636"/>
      <c r="B1561" s="636"/>
      <c r="C1561" s="636"/>
      <c r="D1561" s="636"/>
      <c r="E1561" s="636"/>
      <c r="F1561" s="636"/>
      <c r="G1561" s="636"/>
      <c r="H1561" s="636"/>
      <c r="I1561" s="636"/>
      <c r="J1561" s="636" t="s">
        <v>13668</v>
      </c>
      <c r="K1561" s="636"/>
      <c r="L1561" s="636" t="s">
        <v>14996</v>
      </c>
    </row>
    <row r="1562" spans="1:12" ht="17.100000000000001" customHeight="1">
      <c r="A1562" s="637"/>
      <c r="B1562" s="637"/>
      <c r="C1562" s="637"/>
      <c r="D1562" s="637"/>
      <c r="E1562" s="637"/>
      <c r="F1562" s="637"/>
      <c r="G1562" s="637"/>
      <c r="H1562" s="637"/>
      <c r="I1562" s="637"/>
      <c r="J1562" s="637"/>
      <c r="K1562" s="637"/>
      <c r="L1562" s="637"/>
    </row>
    <row r="1563" spans="1:12" ht="14.25" customHeight="1">
      <c r="A1563" s="616" t="s">
        <v>14227</v>
      </c>
      <c r="B1563" s="617" t="s">
        <v>13620</v>
      </c>
      <c r="C1563" s="616" t="s">
        <v>8</v>
      </c>
      <c r="D1563" s="616" t="s">
        <v>4009</v>
      </c>
      <c r="E1563" s="618" t="s">
        <v>20</v>
      </c>
      <c r="F1563" s="617"/>
      <c r="G1563" s="617"/>
      <c r="H1563" s="617"/>
      <c r="I1563" s="617"/>
      <c r="J1563" s="617"/>
      <c r="K1563" s="617"/>
      <c r="L1563" s="617"/>
    </row>
    <row r="1564" spans="1:12" ht="17.100000000000001" customHeight="1">
      <c r="A1564" s="802" t="s">
        <v>12711</v>
      </c>
      <c r="B1564" s="802"/>
      <c r="C1564" s="802"/>
      <c r="D1564" s="802"/>
      <c r="E1564" s="802"/>
      <c r="F1564" s="802"/>
      <c r="G1564" s="802"/>
      <c r="H1564" s="802"/>
      <c r="I1564" s="612"/>
      <c r="J1564" s="612"/>
      <c r="K1564" s="612"/>
      <c r="L1564" s="612"/>
    </row>
    <row r="1565" spans="1:12" ht="24" customHeight="1">
      <c r="A1565" s="612" t="s">
        <v>13679</v>
      </c>
      <c r="B1565" s="636" t="s">
        <v>12698</v>
      </c>
      <c r="C1565" s="612" t="s">
        <v>12699</v>
      </c>
      <c r="D1565" s="612" t="s">
        <v>12700</v>
      </c>
      <c r="E1565" s="637" t="s">
        <v>12702</v>
      </c>
      <c r="F1565" s="801" t="s">
        <v>12704</v>
      </c>
      <c r="G1565" s="801"/>
      <c r="H1565" s="801" t="s">
        <v>13678</v>
      </c>
      <c r="I1565" s="801"/>
      <c r="J1565" s="801" t="s">
        <v>12705</v>
      </c>
      <c r="K1565" s="801"/>
      <c r="L1565" s="801"/>
    </row>
    <row r="1566" spans="1:12" ht="24" customHeight="1">
      <c r="A1566" s="626" t="s">
        <v>12709</v>
      </c>
      <c r="B1566" s="627" t="s">
        <v>13052</v>
      </c>
      <c r="C1566" s="626" t="s">
        <v>8</v>
      </c>
      <c r="D1566" s="626" t="s">
        <v>9229</v>
      </c>
      <c r="E1566" s="628" t="s">
        <v>23</v>
      </c>
      <c r="F1566" s="816" t="s">
        <v>13692</v>
      </c>
      <c r="G1566" s="816"/>
      <c r="H1566" s="816">
        <v>0.34436410000000001</v>
      </c>
      <c r="I1566" s="816"/>
      <c r="J1566" s="817">
        <v>0.3306</v>
      </c>
      <c r="K1566" s="817"/>
      <c r="L1566" s="817"/>
    </row>
    <row r="1567" spans="1:12" ht="17.100000000000001" customHeight="1">
      <c r="A1567" s="626" t="s">
        <v>12709</v>
      </c>
      <c r="B1567" s="627" t="s">
        <v>13051</v>
      </c>
      <c r="C1567" s="626" t="s">
        <v>8</v>
      </c>
      <c r="D1567" s="626" t="s">
        <v>9376</v>
      </c>
      <c r="E1567" s="628" t="s">
        <v>23</v>
      </c>
      <c r="F1567" s="816" t="s">
        <v>13691</v>
      </c>
      <c r="G1567" s="816"/>
      <c r="H1567" s="816">
        <v>0.34436410000000001</v>
      </c>
      <c r="I1567" s="816"/>
      <c r="J1567" s="817">
        <v>0.17219999999999999</v>
      </c>
      <c r="K1567" s="817"/>
      <c r="L1567" s="817"/>
    </row>
    <row r="1568" spans="1:12">
      <c r="A1568" s="636"/>
      <c r="B1568" s="636"/>
      <c r="C1568" s="636"/>
      <c r="D1568" s="636"/>
      <c r="E1568" s="636"/>
      <c r="F1568" s="636"/>
      <c r="G1568" s="636"/>
      <c r="H1568" s="636"/>
      <c r="I1568" s="636"/>
      <c r="J1568" s="636" t="s">
        <v>13675</v>
      </c>
      <c r="K1568" s="636"/>
      <c r="L1568" s="636" t="s">
        <v>13691</v>
      </c>
    </row>
    <row r="1569" spans="1:12" ht="17.100000000000001" customHeight="1">
      <c r="A1569" s="802" t="s">
        <v>12710</v>
      </c>
      <c r="B1569" s="802"/>
      <c r="C1569" s="802"/>
      <c r="D1569" s="802"/>
      <c r="E1569" s="802"/>
      <c r="F1569" s="802"/>
      <c r="G1569" s="802"/>
      <c r="H1569" s="802"/>
      <c r="I1569" s="612"/>
      <c r="J1569" s="612"/>
      <c r="K1569" s="612"/>
      <c r="L1569" s="612"/>
    </row>
    <row r="1570" spans="1:12" ht="24" customHeight="1">
      <c r="A1570" s="612" t="s">
        <v>13679</v>
      </c>
      <c r="B1570" s="636" t="s">
        <v>12698</v>
      </c>
      <c r="C1570" s="612" t="s">
        <v>12699</v>
      </c>
      <c r="D1570" s="612" t="s">
        <v>12700</v>
      </c>
      <c r="E1570" s="637" t="s">
        <v>12702</v>
      </c>
      <c r="F1570" s="801" t="s">
        <v>12704</v>
      </c>
      <c r="G1570" s="801"/>
      <c r="H1570" s="801" t="s">
        <v>13678</v>
      </c>
      <c r="I1570" s="801"/>
      <c r="J1570" s="801" t="s">
        <v>12705</v>
      </c>
      <c r="K1570" s="801"/>
      <c r="L1570" s="801"/>
    </row>
    <row r="1571" spans="1:12" ht="36" customHeight="1">
      <c r="A1571" s="626" t="s">
        <v>12709</v>
      </c>
      <c r="B1571" s="627" t="s">
        <v>13230</v>
      </c>
      <c r="C1571" s="626" t="s">
        <v>8</v>
      </c>
      <c r="D1571" s="626" t="s">
        <v>7362</v>
      </c>
      <c r="E1571" s="628" t="s">
        <v>23</v>
      </c>
      <c r="F1571" s="816" t="s">
        <v>14514</v>
      </c>
      <c r="G1571" s="816"/>
      <c r="H1571" s="816">
        <v>7.4477100000000004E-2</v>
      </c>
      <c r="I1571" s="816"/>
      <c r="J1571" s="817">
        <v>0.35820000000000002</v>
      </c>
      <c r="K1571" s="817"/>
      <c r="L1571" s="817"/>
    </row>
    <row r="1572" spans="1:12" ht="24" customHeight="1">
      <c r="A1572" s="626" t="s">
        <v>12709</v>
      </c>
      <c r="B1572" s="627" t="s">
        <v>13224</v>
      </c>
      <c r="C1572" s="626" t="s">
        <v>8</v>
      </c>
      <c r="D1572" s="626" t="s">
        <v>7556</v>
      </c>
      <c r="E1572" s="628" t="s">
        <v>23</v>
      </c>
      <c r="F1572" s="816" t="s">
        <v>14470</v>
      </c>
      <c r="G1572" s="816"/>
      <c r="H1572" s="816">
        <v>0.27204699999999998</v>
      </c>
      <c r="I1572" s="816"/>
      <c r="J1572" s="817">
        <v>1.8797999999999999</v>
      </c>
      <c r="K1572" s="817"/>
      <c r="L1572" s="817"/>
    </row>
    <row r="1573" spans="1:12" ht="17.100000000000001" customHeight="1">
      <c r="A1573" s="636"/>
      <c r="B1573" s="636"/>
      <c r="C1573" s="636"/>
      <c r="D1573" s="636"/>
      <c r="E1573" s="636"/>
      <c r="F1573" s="636"/>
      <c r="G1573" s="636"/>
      <c r="H1573" s="636"/>
      <c r="I1573" s="636"/>
      <c r="J1573" s="636" t="s">
        <v>13675</v>
      </c>
      <c r="K1573" s="636"/>
      <c r="L1573" s="636" t="s">
        <v>14261</v>
      </c>
    </row>
    <row r="1574" spans="1:12">
      <c r="A1574" s="802" t="s">
        <v>12720</v>
      </c>
      <c r="B1574" s="802"/>
      <c r="C1574" s="802"/>
      <c r="D1574" s="802"/>
      <c r="E1574" s="802"/>
      <c r="F1574" s="802"/>
      <c r="G1574" s="802"/>
      <c r="H1574" s="802"/>
      <c r="I1574" s="612"/>
      <c r="J1574" s="612"/>
      <c r="K1574" s="612"/>
      <c r="L1574" s="612"/>
    </row>
    <row r="1575" spans="1:12" ht="17.100000000000001" customHeight="1">
      <c r="A1575" s="612" t="s">
        <v>13679</v>
      </c>
      <c r="B1575" s="636" t="s">
        <v>12698</v>
      </c>
      <c r="C1575" s="612" t="s">
        <v>12699</v>
      </c>
      <c r="D1575" s="612" t="s">
        <v>12700</v>
      </c>
      <c r="E1575" s="637" t="s">
        <v>12702</v>
      </c>
      <c r="F1575" s="801" t="s">
        <v>12704</v>
      </c>
      <c r="G1575" s="801"/>
      <c r="H1575" s="801" t="s">
        <v>13678</v>
      </c>
      <c r="I1575" s="801"/>
      <c r="J1575" s="801" t="s">
        <v>12705</v>
      </c>
      <c r="K1575" s="801"/>
      <c r="L1575" s="801"/>
    </row>
    <row r="1576" spans="1:12" ht="24" customHeight="1">
      <c r="A1576" s="626" t="s">
        <v>12709</v>
      </c>
      <c r="B1576" s="627" t="s">
        <v>13311</v>
      </c>
      <c r="C1576" s="626" t="s">
        <v>8</v>
      </c>
      <c r="D1576" s="626" t="s">
        <v>7522</v>
      </c>
      <c r="E1576" s="628" t="s">
        <v>20</v>
      </c>
      <c r="F1576" s="816" t="s">
        <v>14521</v>
      </c>
      <c r="G1576" s="816"/>
      <c r="H1576" s="816">
        <v>2.5000000000000001E-2</v>
      </c>
      <c r="I1576" s="816"/>
      <c r="J1576" s="817">
        <v>0.34</v>
      </c>
      <c r="K1576" s="817"/>
      <c r="L1576" s="817"/>
    </row>
    <row r="1577" spans="1:12" ht="17.100000000000001" customHeight="1">
      <c r="A1577" s="626" t="s">
        <v>12709</v>
      </c>
      <c r="B1577" s="627" t="s">
        <v>13310</v>
      </c>
      <c r="C1577" s="626" t="s">
        <v>8</v>
      </c>
      <c r="D1577" s="626" t="s">
        <v>9265</v>
      </c>
      <c r="E1577" s="628" t="s">
        <v>35</v>
      </c>
      <c r="F1577" s="816" t="s">
        <v>13875</v>
      </c>
      <c r="G1577" s="816"/>
      <c r="H1577" s="816">
        <v>1.9664999999999999</v>
      </c>
      <c r="I1577" s="816"/>
      <c r="J1577" s="817">
        <v>0.25</v>
      </c>
      <c r="K1577" s="817"/>
      <c r="L1577" s="817"/>
    </row>
    <row r="1578" spans="1:12" ht="25.5">
      <c r="A1578" s="626" t="s">
        <v>12709</v>
      </c>
      <c r="B1578" s="627" t="s">
        <v>13235</v>
      </c>
      <c r="C1578" s="626" t="s">
        <v>8</v>
      </c>
      <c r="D1578" s="626" t="s">
        <v>7268</v>
      </c>
      <c r="E1578" s="628" t="s">
        <v>20</v>
      </c>
      <c r="F1578" s="816" t="s">
        <v>14520</v>
      </c>
      <c r="G1578" s="816"/>
      <c r="H1578" s="816">
        <v>1.0658653</v>
      </c>
      <c r="I1578" s="816"/>
      <c r="J1578" s="817">
        <v>5.1908000000000003</v>
      </c>
      <c r="K1578" s="817"/>
      <c r="L1578" s="817"/>
    </row>
    <row r="1579" spans="1:12" ht="17.100000000000001" customHeight="1">
      <c r="A1579" s="636"/>
      <c r="B1579" s="636"/>
      <c r="C1579" s="636"/>
      <c r="D1579" s="636"/>
      <c r="E1579" s="636"/>
      <c r="F1579" s="636"/>
      <c r="G1579" s="636"/>
      <c r="H1579" s="636"/>
      <c r="I1579" s="636"/>
      <c r="J1579" s="636" t="s">
        <v>13675</v>
      </c>
      <c r="K1579" s="636"/>
      <c r="L1579" s="636" t="s">
        <v>14723</v>
      </c>
    </row>
    <row r="1580" spans="1:12" ht="24" customHeight="1">
      <c r="A1580" s="802" t="s">
        <v>12722</v>
      </c>
      <c r="B1580" s="802"/>
      <c r="C1580" s="802"/>
      <c r="D1580" s="802"/>
      <c r="E1580" s="802"/>
      <c r="F1580" s="802"/>
      <c r="G1580" s="802"/>
      <c r="H1580" s="802"/>
      <c r="I1580" s="612"/>
      <c r="J1580" s="612"/>
      <c r="K1580" s="612"/>
      <c r="L1580" s="612"/>
    </row>
    <row r="1581" spans="1:12" ht="17.100000000000001" customHeight="1">
      <c r="A1581" s="612" t="s">
        <v>13679</v>
      </c>
      <c r="B1581" s="636" t="s">
        <v>12698</v>
      </c>
      <c r="C1581" s="612" t="s">
        <v>12699</v>
      </c>
      <c r="D1581" s="612" t="s">
        <v>12700</v>
      </c>
      <c r="E1581" s="637" t="s">
        <v>12702</v>
      </c>
      <c r="F1581" s="801" t="s">
        <v>12704</v>
      </c>
      <c r="G1581" s="801"/>
      <c r="H1581" s="801" t="s">
        <v>13678</v>
      </c>
      <c r="I1581" s="801"/>
      <c r="J1581" s="801" t="s">
        <v>12705</v>
      </c>
      <c r="K1581" s="801"/>
      <c r="L1581" s="801"/>
    </row>
    <row r="1582" spans="1:12" ht="25.5">
      <c r="A1582" s="626" t="s">
        <v>12709</v>
      </c>
      <c r="B1582" s="627" t="s">
        <v>12998</v>
      </c>
      <c r="C1582" s="626" t="s">
        <v>8</v>
      </c>
      <c r="D1582" s="626" t="s">
        <v>11861</v>
      </c>
      <c r="E1582" s="628" t="s">
        <v>23</v>
      </c>
      <c r="F1582" s="816" t="s">
        <v>13683</v>
      </c>
      <c r="G1582" s="816"/>
      <c r="H1582" s="816">
        <v>0.34436410000000001</v>
      </c>
      <c r="I1582" s="816"/>
      <c r="J1582" s="817">
        <v>0.2445</v>
      </c>
      <c r="K1582" s="817"/>
      <c r="L1582" s="817"/>
    </row>
    <row r="1583" spans="1:12" ht="17.100000000000001" customHeight="1">
      <c r="A1583" s="636"/>
      <c r="B1583" s="636"/>
      <c r="C1583" s="636"/>
      <c r="D1583" s="636"/>
      <c r="E1583" s="636"/>
      <c r="F1583" s="636"/>
      <c r="G1583" s="636"/>
      <c r="H1583" s="636"/>
      <c r="I1583" s="636"/>
      <c r="J1583" s="636" t="s">
        <v>13675</v>
      </c>
      <c r="K1583" s="636"/>
      <c r="L1583" s="636" t="s">
        <v>13704</v>
      </c>
    </row>
    <row r="1584" spans="1:12" ht="24" customHeight="1">
      <c r="A1584" s="802" t="s">
        <v>12713</v>
      </c>
      <c r="B1584" s="802"/>
      <c r="C1584" s="802"/>
      <c r="D1584" s="802"/>
      <c r="E1584" s="802"/>
      <c r="F1584" s="802"/>
      <c r="G1584" s="802"/>
      <c r="H1584" s="802"/>
      <c r="I1584" s="612"/>
      <c r="J1584" s="612"/>
      <c r="K1584" s="612"/>
      <c r="L1584" s="612"/>
    </row>
    <row r="1585" spans="1:12" ht="24" customHeight="1">
      <c r="A1585" s="612" t="s">
        <v>13679</v>
      </c>
      <c r="B1585" s="636" t="s">
        <v>12698</v>
      </c>
      <c r="C1585" s="612" t="s">
        <v>12699</v>
      </c>
      <c r="D1585" s="612" t="s">
        <v>12700</v>
      </c>
      <c r="E1585" s="637" t="s">
        <v>12702</v>
      </c>
      <c r="F1585" s="801" t="s">
        <v>12704</v>
      </c>
      <c r="G1585" s="801"/>
      <c r="H1585" s="801" t="s">
        <v>13678</v>
      </c>
      <c r="I1585" s="801"/>
      <c r="J1585" s="801" t="s">
        <v>12705</v>
      </c>
      <c r="K1585" s="801"/>
      <c r="L1585" s="801"/>
    </row>
    <row r="1586" spans="1:12" ht="17.100000000000001" customHeight="1">
      <c r="A1586" s="626" t="s">
        <v>12709</v>
      </c>
      <c r="B1586" s="627" t="s">
        <v>12999</v>
      </c>
      <c r="C1586" s="626" t="s">
        <v>8</v>
      </c>
      <c r="D1586" s="626" t="s">
        <v>11251</v>
      </c>
      <c r="E1586" s="628" t="s">
        <v>23</v>
      </c>
      <c r="F1586" s="816" t="s">
        <v>13681</v>
      </c>
      <c r="G1586" s="816"/>
      <c r="H1586" s="816">
        <v>0.34436410000000001</v>
      </c>
      <c r="I1586" s="816"/>
      <c r="J1586" s="817">
        <v>2.41E-2</v>
      </c>
      <c r="K1586" s="817"/>
      <c r="L1586" s="817"/>
    </row>
    <row r="1587" spans="1:12" ht="17.100000000000001" customHeight="1">
      <c r="A1587" s="636"/>
      <c r="B1587" s="636"/>
      <c r="C1587" s="636"/>
      <c r="D1587" s="636"/>
      <c r="E1587" s="636"/>
      <c r="F1587" s="636"/>
      <c r="G1587" s="636"/>
      <c r="H1587" s="636"/>
      <c r="I1587" s="636"/>
      <c r="J1587" s="636" t="s">
        <v>13675</v>
      </c>
      <c r="K1587" s="636"/>
      <c r="L1587" s="636" t="s">
        <v>13680</v>
      </c>
    </row>
    <row r="1588" spans="1:12" ht="17.100000000000001" customHeight="1">
      <c r="A1588" s="802" t="s">
        <v>12712</v>
      </c>
      <c r="B1588" s="802"/>
      <c r="C1588" s="802"/>
      <c r="D1588" s="802"/>
      <c r="E1588" s="802"/>
      <c r="F1588" s="802"/>
      <c r="G1588" s="802"/>
      <c r="H1588" s="802"/>
      <c r="I1588" s="612"/>
      <c r="J1588" s="612"/>
      <c r="K1588" s="612"/>
      <c r="L1588" s="612"/>
    </row>
    <row r="1589" spans="1:12" ht="17.100000000000001" customHeight="1">
      <c r="A1589" s="612" t="s">
        <v>13679</v>
      </c>
      <c r="B1589" s="636" t="s">
        <v>12698</v>
      </c>
      <c r="C1589" s="612" t="s">
        <v>12699</v>
      </c>
      <c r="D1589" s="612" t="s">
        <v>12700</v>
      </c>
      <c r="E1589" s="637" t="s">
        <v>12702</v>
      </c>
      <c r="F1589" s="801" t="s">
        <v>12704</v>
      </c>
      <c r="G1589" s="801"/>
      <c r="H1589" s="801" t="s">
        <v>13678</v>
      </c>
      <c r="I1589" s="801"/>
      <c r="J1589" s="801" t="s">
        <v>12705</v>
      </c>
      <c r="K1589" s="801"/>
      <c r="L1589" s="801"/>
    </row>
    <row r="1590" spans="1:12" ht="17.100000000000001" customHeight="1">
      <c r="A1590" s="626" t="s">
        <v>12709</v>
      </c>
      <c r="B1590" s="627" t="s">
        <v>13002</v>
      </c>
      <c r="C1590" s="626" t="s">
        <v>8</v>
      </c>
      <c r="D1590" s="626" t="s">
        <v>9306</v>
      </c>
      <c r="E1590" s="628" t="s">
        <v>23</v>
      </c>
      <c r="F1590" s="816" t="s">
        <v>13677</v>
      </c>
      <c r="G1590" s="816"/>
      <c r="H1590" s="816">
        <v>0.34436410000000001</v>
      </c>
      <c r="I1590" s="816"/>
      <c r="J1590" s="817">
        <v>0.1205</v>
      </c>
      <c r="K1590" s="817"/>
      <c r="L1590" s="817"/>
    </row>
    <row r="1591" spans="1:12" ht="17.100000000000001" customHeight="1">
      <c r="A1591" s="626" t="s">
        <v>12709</v>
      </c>
      <c r="B1591" s="627" t="s">
        <v>13004</v>
      </c>
      <c r="C1591" s="626" t="s">
        <v>8</v>
      </c>
      <c r="D1591" s="626" t="s">
        <v>7388</v>
      </c>
      <c r="E1591" s="628" t="s">
        <v>23</v>
      </c>
      <c r="F1591" s="816" t="s">
        <v>13676</v>
      </c>
      <c r="G1591" s="816"/>
      <c r="H1591" s="816">
        <v>0.34436410000000001</v>
      </c>
      <c r="I1591" s="816"/>
      <c r="J1591" s="817">
        <v>0.75760000000000005</v>
      </c>
      <c r="K1591" s="817"/>
      <c r="L1591" s="817"/>
    </row>
    <row r="1592" spans="1:12" ht="17.100000000000001" customHeight="1">
      <c r="A1592" s="636"/>
      <c r="B1592" s="636"/>
      <c r="C1592" s="636"/>
      <c r="D1592" s="636"/>
      <c r="E1592" s="636"/>
      <c r="F1592" s="636"/>
      <c r="G1592" s="636"/>
      <c r="H1592" s="636"/>
      <c r="I1592" s="636"/>
      <c r="J1592" s="636" t="s">
        <v>13675</v>
      </c>
      <c r="K1592" s="636"/>
      <c r="L1592" s="636" t="s">
        <v>13900</v>
      </c>
    </row>
    <row r="1593" spans="1:12" ht="30" customHeight="1">
      <c r="A1593" s="612" t="s">
        <v>13673</v>
      </c>
      <c r="B1593" s="612"/>
      <c r="C1593" s="612"/>
      <c r="D1593" s="612"/>
      <c r="E1593" s="612"/>
      <c r="F1593" s="612"/>
      <c r="G1593" s="612"/>
      <c r="H1593" s="612"/>
      <c r="I1593" s="612"/>
      <c r="J1593" s="612"/>
      <c r="K1593" s="612"/>
      <c r="L1593" s="612"/>
    </row>
    <row r="1594" spans="1:12" ht="24" customHeight="1">
      <c r="A1594" s="636"/>
      <c r="B1594" s="636"/>
      <c r="C1594" s="636"/>
      <c r="D1594" s="636"/>
      <c r="E1594" s="636"/>
      <c r="F1594" s="636"/>
      <c r="G1594" s="636"/>
      <c r="H1594" s="636"/>
      <c r="I1594" s="636"/>
      <c r="J1594" s="636" t="s">
        <v>13672</v>
      </c>
      <c r="K1594" s="636"/>
      <c r="L1594" s="636" t="s">
        <v>15044</v>
      </c>
    </row>
    <row r="1595" spans="1:12" ht="14.25" customHeight="1">
      <c r="A1595" s="636"/>
      <c r="B1595" s="636"/>
      <c r="C1595" s="636"/>
      <c r="D1595" s="636"/>
      <c r="E1595" s="636"/>
      <c r="F1595" s="636"/>
      <c r="G1595" s="636"/>
      <c r="H1595" s="636"/>
      <c r="I1595" s="636"/>
      <c r="J1595" s="636" t="s">
        <v>13671</v>
      </c>
      <c r="K1595" s="636" t="s">
        <v>14461</v>
      </c>
      <c r="L1595" s="636" t="s">
        <v>15045</v>
      </c>
    </row>
    <row r="1596" spans="1:12" ht="17.100000000000001" customHeight="1">
      <c r="A1596" s="636"/>
      <c r="B1596" s="636"/>
      <c r="C1596" s="636"/>
      <c r="D1596" s="636"/>
      <c r="E1596" s="636"/>
      <c r="F1596" s="636"/>
      <c r="G1596" s="636"/>
      <c r="H1596" s="636"/>
      <c r="I1596" s="636"/>
      <c r="J1596" s="636" t="s">
        <v>13670</v>
      </c>
      <c r="K1596" s="636"/>
      <c r="L1596" s="636" t="s">
        <v>15046</v>
      </c>
    </row>
    <row r="1597" spans="1:12" ht="24" customHeight="1">
      <c r="A1597" s="636"/>
      <c r="B1597" s="636"/>
      <c r="C1597" s="636"/>
      <c r="D1597" s="636"/>
      <c r="E1597" s="636"/>
      <c r="F1597" s="636"/>
      <c r="G1597" s="636"/>
      <c r="H1597" s="636"/>
      <c r="I1597" s="636"/>
      <c r="J1597" s="636" t="s">
        <v>13669</v>
      </c>
      <c r="K1597" s="636" t="s">
        <v>13667</v>
      </c>
      <c r="L1597" s="636" t="s">
        <v>15047</v>
      </c>
    </row>
    <row r="1598" spans="1:12" ht="24" customHeight="1">
      <c r="A1598" s="636"/>
      <c r="B1598" s="636"/>
      <c r="C1598" s="636"/>
      <c r="D1598" s="636"/>
      <c r="E1598" s="636"/>
      <c r="F1598" s="636"/>
      <c r="G1598" s="636"/>
      <c r="H1598" s="636"/>
      <c r="I1598" s="636"/>
      <c r="J1598" s="636" t="s">
        <v>13668</v>
      </c>
      <c r="K1598" s="636"/>
      <c r="L1598" s="636" t="s">
        <v>15048</v>
      </c>
    </row>
    <row r="1599" spans="1:12" ht="17.100000000000001" customHeight="1">
      <c r="A1599" s="637"/>
      <c r="B1599" s="637"/>
      <c r="C1599" s="637"/>
      <c r="D1599" s="637"/>
      <c r="E1599" s="637"/>
      <c r="F1599" s="637"/>
      <c r="G1599" s="637"/>
      <c r="H1599" s="637"/>
      <c r="I1599" s="637"/>
      <c r="J1599" s="637"/>
      <c r="K1599" s="637"/>
      <c r="L1599" s="637"/>
    </row>
    <row r="1600" spans="1:12" ht="14.25" customHeight="1">
      <c r="A1600" s="616" t="s">
        <v>14226</v>
      </c>
      <c r="B1600" s="617" t="s">
        <v>13619</v>
      </c>
      <c r="C1600" s="616" t="s">
        <v>8</v>
      </c>
      <c r="D1600" s="616" t="s">
        <v>4011</v>
      </c>
      <c r="E1600" s="618" t="s">
        <v>20</v>
      </c>
      <c r="F1600" s="617"/>
      <c r="G1600" s="617"/>
      <c r="H1600" s="617"/>
      <c r="I1600" s="617"/>
      <c r="J1600" s="617"/>
      <c r="K1600" s="617"/>
      <c r="L1600" s="617"/>
    </row>
    <row r="1601" spans="1:12" ht="17.100000000000001" customHeight="1">
      <c r="A1601" s="802" t="s">
        <v>12711</v>
      </c>
      <c r="B1601" s="802"/>
      <c r="C1601" s="802"/>
      <c r="D1601" s="802"/>
      <c r="E1601" s="802"/>
      <c r="F1601" s="802"/>
      <c r="G1601" s="802"/>
      <c r="H1601" s="802"/>
      <c r="I1601" s="612"/>
      <c r="J1601" s="612"/>
      <c r="K1601" s="612"/>
      <c r="L1601" s="612"/>
    </row>
    <row r="1602" spans="1:12" ht="24" customHeight="1">
      <c r="A1602" s="612" t="s">
        <v>13679</v>
      </c>
      <c r="B1602" s="636" t="s">
        <v>12698</v>
      </c>
      <c r="C1602" s="612" t="s">
        <v>12699</v>
      </c>
      <c r="D1602" s="612" t="s">
        <v>12700</v>
      </c>
      <c r="E1602" s="637" t="s">
        <v>12702</v>
      </c>
      <c r="F1602" s="801" t="s">
        <v>12704</v>
      </c>
      <c r="G1602" s="801"/>
      <c r="H1602" s="801" t="s">
        <v>13678</v>
      </c>
      <c r="I1602" s="801"/>
      <c r="J1602" s="801" t="s">
        <v>12705</v>
      </c>
      <c r="K1602" s="801"/>
      <c r="L1602" s="801"/>
    </row>
    <row r="1603" spans="1:12" ht="24" customHeight="1">
      <c r="A1603" s="626" t="s">
        <v>12709</v>
      </c>
      <c r="B1603" s="627" t="s">
        <v>13052</v>
      </c>
      <c r="C1603" s="626" t="s">
        <v>8</v>
      </c>
      <c r="D1603" s="626" t="s">
        <v>9229</v>
      </c>
      <c r="E1603" s="628" t="s">
        <v>23</v>
      </c>
      <c r="F1603" s="816" t="s">
        <v>13692</v>
      </c>
      <c r="G1603" s="816"/>
      <c r="H1603" s="816">
        <v>0.1781181</v>
      </c>
      <c r="I1603" s="816"/>
      <c r="J1603" s="817">
        <v>0.17100000000000001</v>
      </c>
      <c r="K1603" s="817"/>
      <c r="L1603" s="817"/>
    </row>
    <row r="1604" spans="1:12" ht="17.100000000000001" customHeight="1">
      <c r="A1604" s="626" t="s">
        <v>12709</v>
      </c>
      <c r="B1604" s="627" t="s">
        <v>13051</v>
      </c>
      <c r="C1604" s="626" t="s">
        <v>8</v>
      </c>
      <c r="D1604" s="626" t="s">
        <v>9376</v>
      </c>
      <c r="E1604" s="628" t="s">
        <v>23</v>
      </c>
      <c r="F1604" s="816" t="s">
        <v>13691</v>
      </c>
      <c r="G1604" s="816"/>
      <c r="H1604" s="816">
        <v>0.1781181</v>
      </c>
      <c r="I1604" s="816"/>
      <c r="J1604" s="817">
        <v>8.9099999999999999E-2</v>
      </c>
      <c r="K1604" s="817"/>
      <c r="L1604" s="817"/>
    </row>
    <row r="1605" spans="1:12">
      <c r="A1605" s="636"/>
      <c r="B1605" s="636"/>
      <c r="C1605" s="636"/>
      <c r="D1605" s="636"/>
      <c r="E1605" s="636"/>
      <c r="F1605" s="636"/>
      <c r="G1605" s="636"/>
      <c r="H1605" s="636"/>
      <c r="I1605" s="636"/>
      <c r="J1605" s="636" t="s">
        <v>13675</v>
      </c>
      <c r="K1605" s="636"/>
      <c r="L1605" s="636" t="s">
        <v>13869</v>
      </c>
    </row>
    <row r="1606" spans="1:12" ht="17.100000000000001" customHeight="1">
      <c r="A1606" s="802" t="s">
        <v>12710</v>
      </c>
      <c r="B1606" s="802"/>
      <c r="C1606" s="802"/>
      <c r="D1606" s="802"/>
      <c r="E1606" s="802"/>
      <c r="F1606" s="802"/>
      <c r="G1606" s="802"/>
      <c r="H1606" s="802"/>
      <c r="I1606" s="612"/>
      <c r="J1606" s="612"/>
      <c r="K1606" s="612"/>
      <c r="L1606" s="612"/>
    </row>
    <row r="1607" spans="1:12" ht="24" customHeight="1">
      <c r="A1607" s="612" t="s">
        <v>13679</v>
      </c>
      <c r="B1607" s="636" t="s">
        <v>12698</v>
      </c>
      <c r="C1607" s="612" t="s">
        <v>12699</v>
      </c>
      <c r="D1607" s="612" t="s">
        <v>12700</v>
      </c>
      <c r="E1607" s="637" t="s">
        <v>12702</v>
      </c>
      <c r="F1607" s="801" t="s">
        <v>12704</v>
      </c>
      <c r="G1607" s="801"/>
      <c r="H1607" s="801" t="s">
        <v>13678</v>
      </c>
      <c r="I1607" s="801"/>
      <c r="J1607" s="801" t="s">
        <v>12705</v>
      </c>
      <c r="K1607" s="801"/>
      <c r="L1607" s="801"/>
    </row>
    <row r="1608" spans="1:12" ht="36" customHeight="1">
      <c r="A1608" s="626" t="s">
        <v>12709</v>
      </c>
      <c r="B1608" s="627" t="s">
        <v>13230</v>
      </c>
      <c r="C1608" s="626" t="s">
        <v>8</v>
      </c>
      <c r="D1608" s="626" t="s">
        <v>7362</v>
      </c>
      <c r="E1608" s="628" t="s">
        <v>23</v>
      </c>
      <c r="F1608" s="816" t="s">
        <v>14514</v>
      </c>
      <c r="G1608" s="816"/>
      <c r="H1608" s="816">
        <v>4.0416899999999999E-2</v>
      </c>
      <c r="I1608" s="816"/>
      <c r="J1608" s="817">
        <v>0.19439999999999999</v>
      </c>
      <c r="K1608" s="817"/>
      <c r="L1608" s="817"/>
    </row>
    <row r="1609" spans="1:12" ht="24" customHeight="1">
      <c r="A1609" s="626" t="s">
        <v>12709</v>
      </c>
      <c r="B1609" s="627" t="s">
        <v>13224</v>
      </c>
      <c r="C1609" s="626" t="s">
        <v>8</v>
      </c>
      <c r="D1609" s="626" t="s">
        <v>7556</v>
      </c>
      <c r="E1609" s="628" t="s">
        <v>23</v>
      </c>
      <c r="F1609" s="816" t="s">
        <v>14470</v>
      </c>
      <c r="G1609" s="816"/>
      <c r="H1609" s="816">
        <v>0.13694049999999999</v>
      </c>
      <c r="I1609" s="816"/>
      <c r="J1609" s="817">
        <v>0.94630000000000003</v>
      </c>
      <c r="K1609" s="817"/>
      <c r="L1609" s="817"/>
    </row>
    <row r="1610" spans="1:12" ht="17.100000000000001" customHeight="1">
      <c r="A1610" s="636"/>
      <c r="B1610" s="636"/>
      <c r="C1610" s="636"/>
      <c r="D1610" s="636"/>
      <c r="E1610" s="636"/>
      <c r="F1610" s="636"/>
      <c r="G1610" s="636"/>
      <c r="H1610" s="636"/>
      <c r="I1610" s="636"/>
      <c r="J1610" s="636" t="s">
        <v>13675</v>
      </c>
      <c r="K1610" s="636"/>
      <c r="L1610" s="636" t="s">
        <v>14182</v>
      </c>
    </row>
    <row r="1611" spans="1:12">
      <c r="A1611" s="802" t="s">
        <v>12720</v>
      </c>
      <c r="B1611" s="802"/>
      <c r="C1611" s="802"/>
      <c r="D1611" s="802"/>
      <c r="E1611" s="802"/>
      <c r="F1611" s="802"/>
      <c r="G1611" s="802"/>
      <c r="H1611" s="802"/>
      <c r="I1611" s="612"/>
      <c r="J1611" s="612"/>
      <c r="K1611" s="612"/>
      <c r="L1611" s="612"/>
    </row>
    <row r="1612" spans="1:12" ht="17.100000000000001" customHeight="1">
      <c r="A1612" s="612" t="s">
        <v>13679</v>
      </c>
      <c r="B1612" s="636" t="s">
        <v>12698</v>
      </c>
      <c r="C1612" s="612" t="s">
        <v>12699</v>
      </c>
      <c r="D1612" s="612" t="s">
        <v>12700</v>
      </c>
      <c r="E1612" s="637" t="s">
        <v>12702</v>
      </c>
      <c r="F1612" s="801" t="s">
        <v>12704</v>
      </c>
      <c r="G1612" s="801"/>
      <c r="H1612" s="801" t="s">
        <v>13678</v>
      </c>
      <c r="I1612" s="801"/>
      <c r="J1612" s="801" t="s">
        <v>12705</v>
      </c>
      <c r="K1612" s="801"/>
      <c r="L1612" s="801"/>
    </row>
    <row r="1613" spans="1:12" ht="24" customHeight="1">
      <c r="A1613" s="626" t="s">
        <v>12709</v>
      </c>
      <c r="B1613" s="627" t="s">
        <v>13311</v>
      </c>
      <c r="C1613" s="626" t="s">
        <v>8</v>
      </c>
      <c r="D1613" s="626" t="s">
        <v>7522</v>
      </c>
      <c r="E1613" s="628" t="s">
        <v>20</v>
      </c>
      <c r="F1613" s="816" t="s">
        <v>14521</v>
      </c>
      <c r="G1613" s="816"/>
      <c r="H1613" s="816">
        <v>2.5000000000000001E-2</v>
      </c>
      <c r="I1613" s="816"/>
      <c r="J1613" s="817">
        <v>0.34</v>
      </c>
      <c r="K1613" s="817"/>
      <c r="L1613" s="817"/>
    </row>
    <row r="1614" spans="1:12" ht="17.100000000000001" customHeight="1">
      <c r="A1614" s="626" t="s">
        <v>12709</v>
      </c>
      <c r="B1614" s="627" t="s">
        <v>13310</v>
      </c>
      <c r="C1614" s="626" t="s">
        <v>8</v>
      </c>
      <c r="D1614" s="626" t="s">
        <v>9265</v>
      </c>
      <c r="E1614" s="628" t="s">
        <v>35</v>
      </c>
      <c r="F1614" s="816" t="s">
        <v>13875</v>
      </c>
      <c r="G1614" s="816"/>
      <c r="H1614" s="816">
        <v>0.72399999999999998</v>
      </c>
      <c r="I1614" s="816"/>
      <c r="J1614" s="817">
        <v>0.09</v>
      </c>
      <c r="K1614" s="817"/>
      <c r="L1614" s="817"/>
    </row>
    <row r="1615" spans="1:12" ht="25.5">
      <c r="A1615" s="626" t="s">
        <v>12709</v>
      </c>
      <c r="B1615" s="627" t="s">
        <v>13240</v>
      </c>
      <c r="C1615" s="626" t="s">
        <v>8</v>
      </c>
      <c r="D1615" s="626" t="s">
        <v>7266</v>
      </c>
      <c r="E1615" s="628" t="s">
        <v>20</v>
      </c>
      <c r="F1615" s="816" t="s">
        <v>14757</v>
      </c>
      <c r="G1615" s="816"/>
      <c r="H1615" s="816">
        <v>1.1070049</v>
      </c>
      <c r="I1615" s="816"/>
      <c r="J1615" s="817">
        <v>6.0442</v>
      </c>
      <c r="K1615" s="817"/>
      <c r="L1615" s="817"/>
    </row>
    <row r="1616" spans="1:12" ht="17.100000000000001" customHeight="1">
      <c r="A1616" s="636"/>
      <c r="B1616" s="636"/>
      <c r="C1616" s="636"/>
      <c r="D1616" s="636"/>
      <c r="E1616" s="636"/>
      <c r="F1616" s="636"/>
      <c r="G1616" s="636"/>
      <c r="H1616" s="636"/>
      <c r="I1616" s="636"/>
      <c r="J1616" s="636" t="s">
        <v>13675</v>
      </c>
      <c r="K1616" s="636"/>
      <c r="L1616" s="636" t="s">
        <v>13886</v>
      </c>
    </row>
    <row r="1617" spans="1:12" ht="24" customHeight="1">
      <c r="A1617" s="802" t="s">
        <v>12722</v>
      </c>
      <c r="B1617" s="802"/>
      <c r="C1617" s="802"/>
      <c r="D1617" s="802"/>
      <c r="E1617" s="802"/>
      <c r="F1617" s="802"/>
      <c r="G1617" s="802"/>
      <c r="H1617" s="802"/>
      <c r="I1617" s="612"/>
      <c r="J1617" s="612"/>
      <c r="K1617" s="612"/>
      <c r="L1617" s="612"/>
    </row>
    <row r="1618" spans="1:12" ht="17.100000000000001" customHeight="1">
      <c r="A1618" s="612" t="s">
        <v>13679</v>
      </c>
      <c r="B1618" s="636" t="s">
        <v>12698</v>
      </c>
      <c r="C1618" s="612" t="s">
        <v>12699</v>
      </c>
      <c r="D1618" s="612" t="s">
        <v>12700</v>
      </c>
      <c r="E1618" s="637" t="s">
        <v>12702</v>
      </c>
      <c r="F1618" s="801" t="s">
        <v>12704</v>
      </c>
      <c r="G1618" s="801"/>
      <c r="H1618" s="801" t="s">
        <v>13678</v>
      </c>
      <c r="I1618" s="801"/>
      <c r="J1618" s="801" t="s">
        <v>12705</v>
      </c>
      <c r="K1618" s="801"/>
      <c r="L1618" s="801"/>
    </row>
    <row r="1619" spans="1:12" ht="25.5">
      <c r="A1619" s="626" t="s">
        <v>12709</v>
      </c>
      <c r="B1619" s="627" t="s">
        <v>12998</v>
      </c>
      <c r="C1619" s="626" t="s">
        <v>8</v>
      </c>
      <c r="D1619" s="626" t="s">
        <v>11861</v>
      </c>
      <c r="E1619" s="628" t="s">
        <v>23</v>
      </c>
      <c r="F1619" s="816" t="s">
        <v>13683</v>
      </c>
      <c r="G1619" s="816"/>
      <c r="H1619" s="816">
        <v>0.1781181</v>
      </c>
      <c r="I1619" s="816"/>
      <c r="J1619" s="817">
        <v>0.1265</v>
      </c>
      <c r="K1619" s="817"/>
      <c r="L1619" s="817"/>
    </row>
    <row r="1620" spans="1:12" ht="17.100000000000001" customHeight="1">
      <c r="A1620" s="636"/>
      <c r="B1620" s="636"/>
      <c r="C1620" s="636"/>
      <c r="D1620" s="636"/>
      <c r="E1620" s="636"/>
      <c r="F1620" s="636"/>
      <c r="G1620" s="636"/>
      <c r="H1620" s="636"/>
      <c r="I1620" s="636"/>
      <c r="J1620" s="636" t="s">
        <v>13675</v>
      </c>
      <c r="K1620" s="636"/>
      <c r="L1620" s="636" t="s">
        <v>13875</v>
      </c>
    </row>
    <row r="1621" spans="1:12" ht="24" customHeight="1">
      <c r="A1621" s="802" t="s">
        <v>12713</v>
      </c>
      <c r="B1621" s="802"/>
      <c r="C1621" s="802"/>
      <c r="D1621" s="802"/>
      <c r="E1621" s="802"/>
      <c r="F1621" s="802"/>
      <c r="G1621" s="802"/>
      <c r="H1621" s="802"/>
      <c r="I1621" s="612"/>
      <c r="J1621" s="612"/>
      <c r="K1621" s="612"/>
      <c r="L1621" s="612"/>
    </row>
    <row r="1622" spans="1:12" ht="24" customHeight="1">
      <c r="A1622" s="612" t="s">
        <v>13679</v>
      </c>
      <c r="B1622" s="636" t="s">
        <v>12698</v>
      </c>
      <c r="C1622" s="612" t="s">
        <v>12699</v>
      </c>
      <c r="D1622" s="612" t="s">
        <v>12700</v>
      </c>
      <c r="E1622" s="637" t="s">
        <v>12702</v>
      </c>
      <c r="F1622" s="801" t="s">
        <v>12704</v>
      </c>
      <c r="G1622" s="801"/>
      <c r="H1622" s="801" t="s">
        <v>13678</v>
      </c>
      <c r="I1622" s="801"/>
      <c r="J1622" s="801" t="s">
        <v>12705</v>
      </c>
      <c r="K1622" s="801"/>
      <c r="L1622" s="801"/>
    </row>
    <row r="1623" spans="1:12" ht="17.100000000000001" customHeight="1">
      <c r="A1623" s="626" t="s">
        <v>12709</v>
      </c>
      <c r="B1623" s="627" t="s">
        <v>12999</v>
      </c>
      <c r="C1623" s="626" t="s">
        <v>8</v>
      </c>
      <c r="D1623" s="626" t="s">
        <v>11251</v>
      </c>
      <c r="E1623" s="628" t="s">
        <v>23</v>
      </c>
      <c r="F1623" s="816" t="s">
        <v>13681</v>
      </c>
      <c r="G1623" s="816"/>
      <c r="H1623" s="816">
        <v>0.1781181</v>
      </c>
      <c r="I1623" s="816"/>
      <c r="J1623" s="817">
        <v>1.2500000000000001E-2</v>
      </c>
      <c r="K1623" s="817"/>
      <c r="L1623" s="817"/>
    </row>
    <row r="1624" spans="1:12" ht="17.100000000000001" customHeight="1">
      <c r="A1624" s="636"/>
      <c r="B1624" s="636"/>
      <c r="C1624" s="636"/>
      <c r="D1624" s="636"/>
      <c r="E1624" s="636"/>
      <c r="F1624" s="636"/>
      <c r="G1624" s="636"/>
      <c r="H1624" s="636"/>
      <c r="I1624" s="636"/>
      <c r="J1624" s="636" t="s">
        <v>13675</v>
      </c>
      <c r="K1624" s="636"/>
      <c r="L1624" s="636" t="s">
        <v>13728</v>
      </c>
    </row>
    <row r="1625" spans="1:12" ht="17.100000000000001" customHeight="1">
      <c r="A1625" s="802" t="s">
        <v>12712</v>
      </c>
      <c r="B1625" s="802"/>
      <c r="C1625" s="802"/>
      <c r="D1625" s="802"/>
      <c r="E1625" s="802"/>
      <c r="F1625" s="802"/>
      <c r="G1625" s="802"/>
      <c r="H1625" s="802"/>
      <c r="I1625" s="612"/>
      <c r="J1625" s="612"/>
      <c r="K1625" s="612"/>
      <c r="L1625" s="612"/>
    </row>
    <row r="1626" spans="1:12" ht="17.100000000000001" customHeight="1">
      <c r="A1626" s="612" t="s">
        <v>13679</v>
      </c>
      <c r="B1626" s="636" t="s">
        <v>12698</v>
      </c>
      <c r="C1626" s="612" t="s">
        <v>12699</v>
      </c>
      <c r="D1626" s="612" t="s">
        <v>12700</v>
      </c>
      <c r="E1626" s="637" t="s">
        <v>12702</v>
      </c>
      <c r="F1626" s="801" t="s">
        <v>12704</v>
      </c>
      <c r="G1626" s="801"/>
      <c r="H1626" s="801" t="s">
        <v>13678</v>
      </c>
      <c r="I1626" s="801"/>
      <c r="J1626" s="801" t="s">
        <v>12705</v>
      </c>
      <c r="K1626" s="801"/>
      <c r="L1626" s="801"/>
    </row>
    <row r="1627" spans="1:12" ht="17.100000000000001" customHeight="1">
      <c r="A1627" s="626" t="s">
        <v>12709</v>
      </c>
      <c r="B1627" s="627" t="s">
        <v>13002</v>
      </c>
      <c r="C1627" s="626" t="s">
        <v>8</v>
      </c>
      <c r="D1627" s="626" t="s">
        <v>9306</v>
      </c>
      <c r="E1627" s="628" t="s">
        <v>23</v>
      </c>
      <c r="F1627" s="816" t="s">
        <v>13677</v>
      </c>
      <c r="G1627" s="816"/>
      <c r="H1627" s="816">
        <v>0.1781181</v>
      </c>
      <c r="I1627" s="816"/>
      <c r="J1627" s="817">
        <v>6.2300000000000001E-2</v>
      </c>
      <c r="K1627" s="817"/>
      <c r="L1627" s="817"/>
    </row>
    <row r="1628" spans="1:12" ht="17.100000000000001" customHeight="1">
      <c r="A1628" s="626" t="s">
        <v>12709</v>
      </c>
      <c r="B1628" s="627" t="s">
        <v>13004</v>
      </c>
      <c r="C1628" s="626" t="s">
        <v>8</v>
      </c>
      <c r="D1628" s="626" t="s">
        <v>7388</v>
      </c>
      <c r="E1628" s="628" t="s">
        <v>23</v>
      </c>
      <c r="F1628" s="816" t="s">
        <v>13676</v>
      </c>
      <c r="G1628" s="816"/>
      <c r="H1628" s="816">
        <v>0.1781181</v>
      </c>
      <c r="I1628" s="816"/>
      <c r="J1628" s="817">
        <v>0.39190000000000003</v>
      </c>
      <c r="K1628" s="817"/>
      <c r="L1628" s="817"/>
    </row>
    <row r="1629" spans="1:12" ht="17.100000000000001" customHeight="1">
      <c r="A1629" s="636"/>
      <c r="B1629" s="636"/>
      <c r="C1629" s="636"/>
      <c r="D1629" s="636"/>
      <c r="E1629" s="636"/>
      <c r="F1629" s="636"/>
      <c r="G1629" s="636"/>
      <c r="H1629" s="636"/>
      <c r="I1629" s="636"/>
      <c r="J1629" s="636" t="s">
        <v>13675</v>
      </c>
      <c r="K1629" s="636"/>
      <c r="L1629" s="636" t="s">
        <v>14034</v>
      </c>
    </row>
    <row r="1630" spans="1:12" ht="30" customHeight="1">
      <c r="A1630" s="612" t="s">
        <v>13673</v>
      </c>
      <c r="B1630" s="612"/>
      <c r="C1630" s="612"/>
      <c r="D1630" s="612"/>
      <c r="E1630" s="612"/>
      <c r="F1630" s="612"/>
      <c r="G1630" s="612"/>
      <c r="H1630" s="612"/>
      <c r="I1630" s="612"/>
      <c r="J1630" s="612"/>
      <c r="K1630" s="612"/>
      <c r="L1630" s="612"/>
    </row>
    <row r="1631" spans="1:12" ht="24" customHeight="1">
      <c r="A1631" s="636"/>
      <c r="B1631" s="636"/>
      <c r="C1631" s="636"/>
      <c r="D1631" s="636"/>
      <c r="E1631" s="636"/>
      <c r="F1631" s="636"/>
      <c r="G1631" s="636"/>
      <c r="H1631" s="636"/>
      <c r="I1631" s="636"/>
      <c r="J1631" s="636" t="s">
        <v>13672</v>
      </c>
      <c r="K1631" s="636"/>
      <c r="L1631" s="636" t="s">
        <v>15049</v>
      </c>
    </row>
    <row r="1632" spans="1:12" ht="14.25" customHeight="1">
      <c r="A1632" s="636"/>
      <c r="B1632" s="636"/>
      <c r="C1632" s="636"/>
      <c r="D1632" s="636"/>
      <c r="E1632" s="636"/>
      <c r="F1632" s="636"/>
      <c r="G1632" s="636"/>
      <c r="H1632" s="636"/>
      <c r="I1632" s="636"/>
      <c r="J1632" s="636" t="s">
        <v>13671</v>
      </c>
      <c r="K1632" s="636" t="s">
        <v>14461</v>
      </c>
      <c r="L1632" s="636" t="s">
        <v>15050</v>
      </c>
    </row>
    <row r="1633" spans="1:12" ht="17.100000000000001" customHeight="1">
      <c r="A1633" s="636"/>
      <c r="B1633" s="636"/>
      <c r="C1633" s="636"/>
      <c r="D1633" s="636"/>
      <c r="E1633" s="636"/>
      <c r="F1633" s="636"/>
      <c r="G1633" s="636"/>
      <c r="H1633" s="636"/>
      <c r="I1633" s="636"/>
      <c r="J1633" s="636" t="s">
        <v>13670</v>
      </c>
      <c r="K1633" s="636"/>
      <c r="L1633" s="636" t="s">
        <v>15051</v>
      </c>
    </row>
    <row r="1634" spans="1:12" ht="24" customHeight="1">
      <c r="A1634" s="636"/>
      <c r="B1634" s="636"/>
      <c r="C1634" s="636"/>
      <c r="D1634" s="636"/>
      <c r="E1634" s="636"/>
      <c r="F1634" s="636"/>
      <c r="G1634" s="636"/>
      <c r="H1634" s="636"/>
      <c r="I1634" s="636"/>
      <c r="J1634" s="636" t="s">
        <v>13669</v>
      </c>
      <c r="K1634" s="636" t="s">
        <v>13667</v>
      </c>
      <c r="L1634" s="636" t="s">
        <v>15052</v>
      </c>
    </row>
    <row r="1635" spans="1:12" ht="24" customHeight="1">
      <c r="A1635" s="636"/>
      <c r="B1635" s="636"/>
      <c r="C1635" s="636"/>
      <c r="D1635" s="636"/>
      <c r="E1635" s="636"/>
      <c r="F1635" s="636"/>
      <c r="G1635" s="636"/>
      <c r="H1635" s="636"/>
      <c r="I1635" s="636"/>
      <c r="J1635" s="636" t="s">
        <v>13668</v>
      </c>
      <c r="K1635" s="636"/>
      <c r="L1635" s="636" t="s">
        <v>15053</v>
      </c>
    </row>
    <row r="1636" spans="1:12" ht="17.100000000000001" customHeight="1">
      <c r="A1636" s="637"/>
      <c r="B1636" s="637"/>
      <c r="C1636" s="637"/>
      <c r="D1636" s="637"/>
      <c r="E1636" s="637"/>
      <c r="F1636" s="637"/>
      <c r="G1636" s="637"/>
      <c r="H1636" s="637"/>
      <c r="I1636" s="637"/>
      <c r="J1636" s="637"/>
      <c r="K1636" s="637"/>
      <c r="L1636" s="637"/>
    </row>
    <row r="1637" spans="1:12" ht="14.25" customHeight="1">
      <c r="A1637" s="616" t="s">
        <v>14224</v>
      </c>
      <c r="B1637" s="617" t="s">
        <v>13632</v>
      </c>
      <c r="C1637" s="616" t="s">
        <v>8</v>
      </c>
      <c r="D1637" s="616" t="s">
        <v>4012</v>
      </c>
      <c r="E1637" s="618" t="s">
        <v>20</v>
      </c>
      <c r="F1637" s="617"/>
      <c r="G1637" s="617"/>
      <c r="H1637" s="617"/>
      <c r="I1637" s="617"/>
      <c r="J1637" s="617"/>
      <c r="K1637" s="617"/>
      <c r="L1637" s="617"/>
    </row>
    <row r="1638" spans="1:12" ht="17.100000000000001" customHeight="1">
      <c r="A1638" s="802" t="s">
        <v>12711</v>
      </c>
      <c r="B1638" s="802"/>
      <c r="C1638" s="802"/>
      <c r="D1638" s="802"/>
      <c r="E1638" s="802"/>
      <c r="F1638" s="802"/>
      <c r="G1638" s="802"/>
      <c r="H1638" s="802"/>
      <c r="I1638" s="612"/>
      <c r="J1638" s="612"/>
      <c r="K1638" s="612"/>
      <c r="L1638" s="612"/>
    </row>
    <row r="1639" spans="1:12" ht="24" customHeight="1">
      <c r="A1639" s="612" t="s">
        <v>13679</v>
      </c>
      <c r="B1639" s="636" t="s">
        <v>12698</v>
      </c>
      <c r="C1639" s="612" t="s">
        <v>12699</v>
      </c>
      <c r="D1639" s="612" t="s">
        <v>12700</v>
      </c>
      <c r="E1639" s="637" t="s">
        <v>12702</v>
      </c>
      <c r="F1639" s="801" t="s">
        <v>12704</v>
      </c>
      <c r="G1639" s="801"/>
      <c r="H1639" s="801" t="s">
        <v>13678</v>
      </c>
      <c r="I1639" s="801"/>
      <c r="J1639" s="801" t="s">
        <v>12705</v>
      </c>
      <c r="K1639" s="801"/>
      <c r="L1639" s="801"/>
    </row>
    <row r="1640" spans="1:12" ht="24" customHeight="1">
      <c r="A1640" s="626" t="s">
        <v>12709</v>
      </c>
      <c r="B1640" s="627" t="s">
        <v>13052</v>
      </c>
      <c r="C1640" s="626" t="s">
        <v>8</v>
      </c>
      <c r="D1640" s="626" t="s">
        <v>9229</v>
      </c>
      <c r="E1640" s="628" t="s">
        <v>23</v>
      </c>
      <c r="F1640" s="816" t="s">
        <v>13692</v>
      </c>
      <c r="G1640" s="816"/>
      <c r="H1640" s="816">
        <v>0.13184879999999999</v>
      </c>
      <c r="I1640" s="816"/>
      <c r="J1640" s="817">
        <v>0.12659999999999999</v>
      </c>
      <c r="K1640" s="817"/>
      <c r="L1640" s="817"/>
    </row>
    <row r="1641" spans="1:12" ht="17.100000000000001" customHeight="1">
      <c r="A1641" s="626" t="s">
        <v>12709</v>
      </c>
      <c r="B1641" s="627" t="s">
        <v>13051</v>
      </c>
      <c r="C1641" s="626" t="s">
        <v>8</v>
      </c>
      <c r="D1641" s="626" t="s">
        <v>9376</v>
      </c>
      <c r="E1641" s="628" t="s">
        <v>23</v>
      </c>
      <c r="F1641" s="816" t="s">
        <v>13691</v>
      </c>
      <c r="G1641" s="816"/>
      <c r="H1641" s="816">
        <v>0.13184879999999999</v>
      </c>
      <c r="I1641" s="816"/>
      <c r="J1641" s="817">
        <v>6.59E-2</v>
      </c>
      <c r="K1641" s="817"/>
      <c r="L1641" s="817"/>
    </row>
    <row r="1642" spans="1:12">
      <c r="A1642" s="636"/>
      <c r="B1642" s="636"/>
      <c r="C1642" s="636"/>
      <c r="D1642" s="636"/>
      <c r="E1642" s="636"/>
      <c r="F1642" s="636"/>
      <c r="G1642" s="636"/>
      <c r="H1642" s="636"/>
      <c r="I1642" s="636"/>
      <c r="J1642" s="636" t="s">
        <v>13675</v>
      </c>
      <c r="K1642" s="636"/>
      <c r="L1642" s="636" t="s">
        <v>13865</v>
      </c>
    </row>
    <row r="1643" spans="1:12" ht="17.100000000000001" customHeight="1">
      <c r="A1643" s="802" t="s">
        <v>12710</v>
      </c>
      <c r="B1643" s="802"/>
      <c r="C1643" s="802"/>
      <c r="D1643" s="802"/>
      <c r="E1643" s="802"/>
      <c r="F1643" s="802"/>
      <c r="G1643" s="802"/>
      <c r="H1643" s="802"/>
      <c r="I1643" s="612"/>
      <c r="J1643" s="612"/>
      <c r="K1643" s="612"/>
      <c r="L1643" s="612"/>
    </row>
    <row r="1644" spans="1:12" ht="24" customHeight="1">
      <c r="A1644" s="612" t="s">
        <v>13679</v>
      </c>
      <c r="B1644" s="636" t="s">
        <v>12698</v>
      </c>
      <c r="C1644" s="612" t="s">
        <v>12699</v>
      </c>
      <c r="D1644" s="612" t="s">
        <v>12700</v>
      </c>
      <c r="E1644" s="637" t="s">
        <v>12702</v>
      </c>
      <c r="F1644" s="801" t="s">
        <v>12704</v>
      </c>
      <c r="G1644" s="801"/>
      <c r="H1644" s="801" t="s">
        <v>13678</v>
      </c>
      <c r="I1644" s="801"/>
      <c r="J1644" s="801" t="s">
        <v>12705</v>
      </c>
      <c r="K1644" s="801"/>
      <c r="L1644" s="801"/>
    </row>
    <row r="1645" spans="1:12" ht="36" customHeight="1">
      <c r="A1645" s="626" t="s">
        <v>12709</v>
      </c>
      <c r="B1645" s="627" t="s">
        <v>13230</v>
      </c>
      <c r="C1645" s="626" t="s">
        <v>8</v>
      </c>
      <c r="D1645" s="626" t="s">
        <v>7362</v>
      </c>
      <c r="E1645" s="628" t="s">
        <v>23</v>
      </c>
      <c r="F1645" s="816" t="s">
        <v>14514</v>
      </c>
      <c r="G1645" s="816"/>
      <c r="H1645" s="816">
        <v>3.0772000000000001E-2</v>
      </c>
      <c r="I1645" s="816"/>
      <c r="J1645" s="817">
        <v>0.14799999999999999</v>
      </c>
      <c r="K1645" s="817"/>
      <c r="L1645" s="817"/>
    </row>
    <row r="1646" spans="1:12" ht="24" customHeight="1">
      <c r="A1646" s="626" t="s">
        <v>12709</v>
      </c>
      <c r="B1646" s="627" t="s">
        <v>13224</v>
      </c>
      <c r="C1646" s="626" t="s">
        <v>8</v>
      </c>
      <c r="D1646" s="626" t="s">
        <v>7556</v>
      </c>
      <c r="E1646" s="628" t="s">
        <v>23</v>
      </c>
      <c r="F1646" s="816" t="s">
        <v>14470</v>
      </c>
      <c r="G1646" s="816"/>
      <c r="H1646" s="816">
        <v>0.1014077</v>
      </c>
      <c r="I1646" s="816"/>
      <c r="J1646" s="817">
        <v>0.70069999999999999</v>
      </c>
      <c r="K1646" s="817"/>
      <c r="L1646" s="817"/>
    </row>
    <row r="1647" spans="1:12" ht="17.100000000000001" customHeight="1">
      <c r="A1647" s="636"/>
      <c r="B1647" s="636"/>
      <c r="C1647" s="636"/>
      <c r="D1647" s="636"/>
      <c r="E1647" s="636"/>
      <c r="F1647" s="636"/>
      <c r="G1647" s="636"/>
      <c r="H1647" s="636"/>
      <c r="I1647" s="636"/>
      <c r="J1647" s="636" t="s">
        <v>13675</v>
      </c>
      <c r="K1647" s="636"/>
      <c r="L1647" s="636" t="s">
        <v>13906</v>
      </c>
    </row>
    <row r="1648" spans="1:12">
      <c r="A1648" s="802" t="s">
        <v>12720</v>
      </c>
      <c r="B1648" s="802"/>
      <c r="C1648" s="802"/>
      <c r="D1648" s="802"/>
      <c r="E1648" s="802"/>
      <c r="F1648" s="802"/>
      <c r="G1648" s="802"/>
      <c r="H1648" s="802"/>
      <c r="I1648" s="612"/>
      <c r="J1648" s="612"/>
      <c r="K1648" s="612"/>
      <c r="L1648" s="612"/>
    </row>
    <row r="1649" spans="1:12" ht="17.100000000000001" customHeight="1">
      <c r="A1649" s="612" t="s">
        <v>13679</v>
      </c>
      <c r="B1649" s="636" t="s">
        <v>12698</v>
      </c>
      <c r="C1649" s="612" t="s">
        <v>12699</v>
      </c>
      <c r="D1649" s="612" t="s">
        <v>12700</v>
      </c>
      <c r="E1649" s="637" t="s">
        <v>12702</v>
      </c>
      <c r="F1649" s="801" t="s">
        <v>12704</v>
      </c>
      <c r="G1649" s="801"/>
      <c r="H1649" s="801" t="s">
        <v>13678</v>
      </c>
      <c r="I1649" s="801"/>
      <c r="J1649" s="801" t="s">
        <v>12705</v>
      </c>
      <c r="K1649" s="801"/>
      <c r="L1649" s="801"/>
    </row>
    <row r="1650" spans="1:12" ht="24" customHeight="1">
      <c r="A1650" s="626" t="s">
        <v>12709</v>
      </c>
      <c r="B1650" s="627" t="s">
        <v>13311</v>
      </c>
      <c r="C1650" s="626" t="s">
        <v>8</v>
      </c>
      <c r="D1650" s="626" t="s">
        <v>7522</v>
      </c>
      <c r="E1650" s="628" t="s">
        <v>20</v>
      </c>
      <c r="F1650" s="816" t="s">
        <v>14521</v>
      </c>
      <c r="G1650" s="816"/>
      <c r="H1650" s="816">
        <v>2.5000000000000001E-2</v>
      </c>
      <c r="I1650" s="816"/>
      <c r="J1650" s="817">
        <v>0.34</v>
      </c>
      <c r="K1650" s="817"/>
      <c r="L1650" s="817"/>
    </row>
    <row r="1651" spans="1:12" ht="17.100000000000001" customHeight="1">
      <c r="A1651" s="626" t="s">
        <v>12709</v>
      </c>
      <c r="B1651" s="627" t="s">
        <v>13310</v>
      </c>
      <c r="C1651" s="626" t="s">
        <v>8</v>
      </c>
      <c r="D1651" s="626" t="s">
        <v>9265</v>
      </c>
      <c r="E1651" s="628" t="s">
        <v>35</v>
      </c>
      <c r="F1651" s="816" t="s">
        <v>13875</v>
      </c>
      <c r="G1651" s="816"/>
      <c r="H1651" s="816">
        <v>0.46550000000000002</v>
      </c>
      <c r="I1651" s="816"/>
      <c r="J1651" s="817">
        <v>0.06</v>
      </c>
      <c r="K1651" s="817"/>
      <c r="L1651" s="817"/>
    </row>
    <row r="1652" spans="1:12" ht="25.5">
      <c r="A1652" s="626" t="s">
        <v>12709</v>
      </c>
      <c r="B1652" s="627" t="s">
        <v>13246</v>
      </c>
      <c r="C1652" s="626" t="s">
        <v>8</v>
      </c>
      <c r="D1652" s="626" t="s">
        <v>7260</v>
      </c>
      <c r="E1652" s="628" t="s">
        <v>20</v>
      </c>
      <c r="F1652" s="816" t="s">
        <v>14713</v>
      </c>
      <c r="G1652" s="816"/>
      <c r="H1652" s="816">
        <v>1.1062145999999999</v>
      </c>
      <c r="I1652" s="816"/>
      <c r="J1652" s="817">
        <v>5.6970000000000001</v>
      </c>
      <c r="K1652" s="817"/>
      <c r="L1652" s="817"/>
    </row>
    <row r="1653" spans="1:12" ht="17.100000000000001" customHeight="1">
      <c r="A1653" s="636"/>
      <c r="B1653" s="636"/>
      <c r="C1653" s="636"/>
      <c r="D1653" s="636"/>
      <c r="E1653" s="636"/>
      <c r="F1653" s="636"/>
      <c r="G1653" s="636"/>
      <c r="H1653" s="636"/>
      <c r="I1653" s="636"/>
      <c r="J1653" s="636" t="s">
        <v>13675</v>
      </c>
      <c r="K1653" s="636"/>
      <c r="L1653" s="636" t="s">
        <v>14722</v>
      </c>
    </row>
    <row r="1654" spans="1:12" ht="24" customHeight="1">
      <c r="A1654" s="802" t="s">
        <v>12722</v>
      </c>
      <c r="B1654" s="802"/>
      <c r="C1654" s="802"/>
      <c r="D1654" s="802"/>
      <c r="E1654" s="802"/>
      <c r="F1654" s="802"/>
      <c r="G1654" s="802"/>
      <c r="H1654" s="802"/>
      <c r="I1654" s="612"/>
      <c r="J1654" s="612"/>
      <c r="K1654" s="612"/>
      <c r="L1654" s="612"/>
    </row>
    <row r="1655" spans="1:12" ht="17.100000000000001" customHeight="1">
      <c r="A1655" s="612" t="s">
        <v>13679</v>
      </c>
      <c r="B1655" s="636" t="s">
        <v>12698</v>
      </c>
      <c r="C1655" s="612" t="s">
        <v>12699</v>
      </c>
      <c r="D1655" s="612" t="s">
        <v>12700</v>
      </c>
      <c r="E1655" s="637" t="s">
        <v>12702</v>
      </c>
      <c r="F1655" s="801" t="s">
        <v>12704</v>
      </c>
      <c r="G1655" s="801"/>
      <c r="H1655" s="801" t="s">
        <v>13678</v>
      </c>
      <c r="I1655" s="801"/>
      <c r="J1655" s="801" t="s">
        <v>12705</v>
      </c>
      <c r="K1655" s="801"/>
      <c r="L1655" s="801"/>
    </row>
    <row r="1656" spans="1:12" ht="25.5">
      <c r="A1656" s="626" t="s">
        <v>12709</v>
      </c>
      <c r="B1656" s="627" t="s">
        <v>12998</v>
      </c>
      <c r="C1656" s="626" t="s">
        <v>8</v>
      </c>
      <c r="D1656" s="626" t="s">
        <v>11861</v>
      </c>
      <c r="E1656" s="628" t="s">
        <v>23</v>
      </c>
      <c r="F1656" s="816" t="s">
        <v>13683</v>
      </c>
      <c r="G1656" s="816"/>
      <c r="H1656" s="816">
        <v>0.13184879999999999</v>
      </c>
      <c r="I1656" s="816"/>
      <c r="J1656" s="817">
        <v>9.3600000000000003E-2</v>
      </c>
      <c r="K1656" s="817"/>
      <c r="L1656" s="817"/>
    </row>
    <row r="1657" spans="1:12" ht="17.100000000000001" customHeight="1">
      <c r="A1657" s="636"/>
      <c r="B1657" s="636"/>
      <c r="C1657" s="636"/>
      <c r="D1657" s="636"/>
      <c r="E1657" s="636"/>
      <c r="F1657" s="636"/>
      <c r="G1657" s="636"/>
      <c r="H1657" s="636"/>
      <c r="I1657" s="636"/>
      <c r="J1657" s="636" t="s">
        <v>13675</v>
      </c>
      <c r="K1657" s="636"/>
      <c r="L1657" s="636" t="s">
        <v>13815</v>
      </c>
    </row>
    <row r="1658" spans="1:12" ht="24" customHeight="1">
      <c r="A1658" s="802" t="s">
        <v>12713</v>
      </c>
      <c r="B1658" s="802"/>
      <c r="C1658" s="802"/>
      <c r="D1658" s="802"/>
      <c r="E1658" s="802"/>
      <c r="F1658" s="802"/>
      <c r="G1658" s="802"/>
      <c r="H1658" s="802"/>
      <c r="I1658" s="612"/>
      <c r="J1658" s="612"/>
      <c r="K1658" s="612"/>
      <c r="L1658" s="612"/>
    </row>
    <row r="1659" spans="1:12" ht="24" customHeight="1">
      <c r="A1659" s="612" t="s">
        <v>13679</v>
      </c>
      <c r="B1659" s="636" t="s">
        <v>12698</v>
      </c>
      <c r="C1659" s="612" t="s">
        <v>12699</v>
      </c>
      <c r="D1659" s="612" t="s">
        <v>12700</v>
      </c>
      <c r="E1659" s="637" t="s">
        <v>12702</v>
      </c>
      <c r="F1659" s="801" t="s">
        <v>12704</v>
      </c>
      <c r="G1659" s="801"/>
      <c r="H1659" s="801" t="s">
        <v>13678</v>
      </c>
      <c r="I1659" s="801"/>
      <c r="J1659" s="801" t="s">
        <v>12705</v>
      </c>
      <c r="K1659" s="801"/>
      <c r="L1659" s="801"/>
    </row>
    <row r="1660" spans="1:12" ht="17.100000000000001" customHeight="1">
      <c r="A1660" s="626" t="s">
        <v>12709</v>
      </c>
      <c r="B1660" s="627" t="s">
        <v>12999</v>
      </c>
      <c r="C1660" s="626" t="s">
        <v>8</v>
      </c>
      <c r="D1660" s="626" t="s">
        <v>11251</v>
      </c>
      <c r="E1660" s="628" t="s">
        <v>23</v>
      </c>
      <c r="F1660" s="816" t="s">
        <v>13681</v>
      </c>
      <c r="G1660" s="816"/>
      <c r="H1660" s="816">
        <v>0.13184879999999999</v>
      </c>
      <c r="I1660" s="816"/>
      <c r="J1660" s="817">
        <v>9.1999999999999998E-3</v>
      </c>
      <c r="K1660" s="817"/>
      <c r="L1660" s="817"/>
    </row>
    <row r="1661" spans="1:12" ht="17.100000000000001" customHeight="1">
      <c r="A1661" s="636"/>
      <c r="B1661" s="636"/>
      <c r="C1661" s="636"/>
      <c r="D1661" s="636"/>
      <c r="E1661" s="636"/>
      <c r="F1661" s="636"/>
      <c r="G1661" s="636"/>
      <c r="H1661" s="636"/>
      <c r="I1661" s="636"/>
      <c r="J1661" s="636" t="s">
        <v>13675</v>
      </c>
      <c r="K1661" s="636"/>
      <c r="L1661" s="636" t="s">
        <v>13728</v>
      </c>
    </row>
    <row r="1662" spans="1:12" ht="17.100000000000001" customHeight="1">
      <c r="A1662" s="802" t="s">
        <v>12712</v>
      </c>
      <c r="B1662" s="802"/>
      <c r="C1662" s="802"/>
      <c r="D1662" s="802"/>
      <c r="E1662" s="802"/>
      <c r="F1662" s="802"/>
      <c r="G1662" s="802"/>
      <c r="H1662" s="802"/>
      <c r="I1662" s="612"/>
      <c r="J1662" s="612"/>
      <c r="K1662" s="612"/>
      <c r="L1662" s="612"/>
    </row>
    <row r="1663" spans="1:12" ht="17.100000000000001" customHeight="1">
      <c r="A1663" s="612" t="s">
        <v>13679</v>
      </c>
      <c r="B1663" s="636" t="s">
        <v>12698</v>
      </c>
      <c r="C1663" s="612" t="s">
        <v>12699</v>
      </c>
      <c r="D1663" s="612" t="s">
        <v>12700</v>
      </c>
      <c r="E1663" s="637" t="s">
        <v>12702</v>
      </c>
      <c r="F1663" s="801" t="s">
        <v>12704</v>
      </c>
      <c r="G1663" s="801"/>
      <c r="H1663" s="801" t="s">
        <v>13678</v>
      </c>
      <c r="I1663" s="801"/>
      <c r="J1663" s="801" t="s">
        <v>12705</v>
      </c>
      <c r="K1663" s="801"/>
      <c r="L1663" s="801"/>
    </row>
    <row r="1664" spans="1:12" ht="17.100000000000001" customHeight="1">
      <c r="A1664" s="626" t="s">
        <v>12709</v>
      </c>
      <c r="B1664" s="627" t="s">
        <v>13002</v>
      </c>
      <c r="C1664" s="626" t="s">
        <v>8</v>
      </c>
      <c r="D1664" s="626" t="s">
        <v>9306</v>
      </c>
      <c r="E1664" s="628" t="s">
        <v>23</v>
      </c>
      <c r="F1664" s="816" t="s">
        <v>13677</v>
      </c>
      <c r="G1664" s="816"/>
      <c r="H1664" s="816">
        <v>0.13184879999999999</v>
      </c>
      <c r="I1664" s="816"/>
      <c r="J1664" s="817">
        <v>4.6100000000000002E-2</v>
      </c>
      <c r="K1664" s="817"/>
      <c r="L1664" s="817"/>
    </row>
    <row r="1665" spans="1:12" ht="17.100000000000001" customHeight="1">
      <c r="A1665" s="626" t="s">
        <v>12709</v>
      </c>
      <c r="B1665" s="627" t="s">
        <v>13004</v>
      </c>
      <c r="C1665" s="626" t="s">
        <v>8</v>
      </c>
      <c r="D1665" s="626" t="s">
        <v>7388</v>
      </c>
      <c r="E1665" s="628" t="s">
        <v>23</v>
      </c>
      <c r="F1665" s="816" t="s">
        <v>13676</v>
      </c>
      <c r="G1665" s="816"/>
      <c r="H1665" s="816">
        <v>0.13184879999999999</v>
      </c>
      <c r="I1665" s="816"/>
      <c r="J1665" s="817">
        <v>0.29010000000000002</v>
      </c>
      <c r="K1665" s="817"/>
      <c r="L1665" s="817"/>
    </row>
    <row r="1666" spans="1:12" ht="17.100000000000001" customHeight="1">
      <c r="A1666" s="636"/>
      <c r="B1666" s="636"/>
      <c r="C1666" s="636"/>
      <c r="D1666" s="636"/>
      <c r="E1666" s="636"/>
      <c r="F1666" s="636"/>
      <c r="G1666" s="636"/>
      <c r="H1666" s="636"/>
      <c r="I1666" s="636"/>
      <c r="J1666" s="636" t="s">
        <v>13675</v>
      </c>
      <c r="K1666" s="636"/>
      <c r="L1666" s="636" t="s">
        <v>13740</v>
      </c>
    </row>
    <row r="1667" spans="1:12" ht="30" customHeight="1">
      <c r="A1667" s="612" t="s">
        <v>13673</v>
      </c>
      <c r="B1667" s="612"/>
      <c r="C1667" s="612"/>
      <c r="D1667" s="612"/>
      <c r="E1667" s="612"/>
      <c r="F1667" s="612"/>
      <c r="G1667" s="612"/>
      <c r="H1667" s="612"/>
      <c r="I1667" s="612"/>
      <c r="J1667" s="612"/>
      <c r="K1667" s="612"/>
      <c r="L1667" s="612"/>
    </row>
    <row r="1668" spans="1:12" ht="36" customHeight="1">
      <c r="A1668" s="636"/>
      <c r="B1668" s="636"/>
      <c r="C1668" s="636"/>
      <c r="D1668" s="636"/>
      <c r="E1668" s="636"/>
      <c r="F1668" s="636"/>
      <c r="G1668" s="636"/>
      <c r="H1668" s="636"/>
      <c r="I1668" s="636"/>
      <c r="J1668" s="636" t="s">
        <v>13672</v>
      </c>
      <c r="K1668" s="636"/>
      <c r="L1668" s="636" t="s">
        <v>14997</v>
      </c>
    </row>
    <row r="1669" spans="1:12" ht="14.25" customHeight="1">
      <c r="A1669" s="636"/>
      <c r="B1669" s="636"/>
      <c r="C1669" s="636"/>
      <c r="D1669" s="636"/>
      <c r="E1669" s="636"/>
      <c r="F1669" s="636"/>
      <c r="G1669" s="636"/>
      <c r="H1669" s="636"/>
      <c r="I1669" s="636"/>
      <c r="J1669" s="636" t="s">
        <v>13671</v>
      </c>
      <c r="K1669" s="636" t="s">
        <v>14461</v>
      </c>
      <c r="L1669" s="636" t="s">
        <v>14998</v>
      </c>
    </row>
    <row r="1670" spans="1:12" ht="17.100000000000001" customHeight="1">
      <c r="A1670" s="636"/>
      <c r="B1670" s="636"/>
      <c r="C1670" s="636"/>
      <c r="D1670" s="636"/>
      <c r="E1670" s="636"/>
      <c r="F1670" s="636"/>
      <c r="G1670" s="636"/>
      <c r="H1670" s="636"/>
      <c r="I1670" s="636"/>
      <c r="J1670" s="636" t="s">
        <v>13670</v>
      </c>
      <c r="K1670" s="636"/>
      <c r="L1670" s="636" t="s">
        <v>14999</v>
      </c>
    </row>
    <row r="1671" spans="1:12" ht="24" customHeight="1">
      <c r="A1671" s="636"/>
      <c r="B1671" s="636"/>
      <c r="C1671" s="636"/>
      <c r="D1671" s="636"/>
      <c r="E1671" s="636"/>
      <c r="F1671" s="636"/>
      <c r="G1671" s="636"/>
      <c r="H1671" s="636"/>
      <c r="I1671" s="636"/>
      <c r="J1671" s="636" t="s">
        <v>13669</v>
      </c>
      <c r="K1671" s="636" t="s">
        <v>13667</v>
      </c>
      <c r="L1671" s="636" t="s">
        <v>15000</v>
      </c>
    </row>
    <row r="1672" spans="1:12" ht="24" customHeight="1">
      <c r="A1672" s="636"/>
      <c r="B1672" s="636"/>
      <c r="C1672" s="636"/>
      <c r="D1672" s="636"/>
      <c r="E1672" s="636"/>
      <c r="F1672" s="636"/>
      <c r="G1672" s="636"/>
      <c r="H1672" s="636"/>
      <c r="I1672" s="636"/>
      <c r="J1672" s="636" t="s">
        <v>13668</v>
      </c>
      <c r="K1672" s="636"/>
      <c r="L1672" s="636" t="s">
        <v>15001</v>
      </c>
    </row>
    <row r="1673" spans="1:12" ht="24" customHeight="1">
      <c r="A1673" s="637"/>
      <c r="B1673" s="637"/>
      <c r="C1673" s="637"/>
      <c r="D1673" s="637"/>
      <c r="E1673" s="637"/>
      <c r="F1673" s="637"/>
      <c r="G1673" s="637"/>
      <c r="H1673" s="637"/>
      <c r="I1673" s="637"/>
      <c r="J1673" s="637"/>
      <c r="K1673" s="637"/>
      <c r="L1673" s="637"/>
    </row>
    <row r="1674" spans="1:12" ht="24" customHeight="1">
      <c r="A1674" s="616" t="s">
        <v>14223</v>
      </c>
      <c r="B1674" s="617" t="s">
        <v>13631</v>
      </c>
      <c r="C1674" s="616" t="s">
        <v>8</v>
      </c>
      <c r="D1674" s="616" t="s">
        <v>4013</v>
      </c>
      <c r="E1674" s="618" t="s">
        <v>20</v>
      </c>
      <c r="F1674" s="617"/>
      <c r="G1674" s="617"/>
      <c r="H1674" s="617"/>
      <c r="I1674" s="617"/>
      <c r="J1674" s="617"/>
      <c r="K1674" s="617"/>
      <c r="L1674" s="617"/>
    </row>
    <row r="1675" spans="1:12" ht="17.100000000000001" customHeight="1">
      <c r="A1675" s="802" t="s">
        <v>12711</v>
      </c>
      <c r="B1675" s="802"/>
      <c r="C1675" s="802"/>
      <c r="D1675" s="802"/>
      <c r="E1675" s="802"/>
      <c r="F1675" s="802"/>
      <c r="G1675" s="802"/>
      <c r="H1675" s="802"/>
      <c r="I1675" s="612"/>
      <c r="J1675" s="612"/>
      <c r="K1675" s="612"/>
      <c r="L1675" s="612"/>
    </row>
    <row r="1676" spans="1:12" ht="14.25" customHeight="1">
      <c r="A1676" s="612" t="s">
        <v>13679</v>
      </c>
      <c r="B1676" s="636" t="s">
        <v>12698</v>
      </c>
      <c r="C1676" s="612" t="s">
        <v>12699</v>
      </c>
      <c r="D1676" s="612" t="s">
        <v>12700</v>
      </c>
      <c r="E1676" s="637" t="s">
        <v>12702</v>
      </c>
      <c r="F1676" s="801" t="s">
        <v>12704</v>
      </c>
      <c r="G1676" s="801"/>
      <c r="H1676" s="801" t="s">
        <v>13678</v>
      </c>
      <c r="I1676" s="801"/>
      <c r="J1676" s="801" t="s">
        <v>12705</v>
      </c>
      <c r="K1676" s="801"/>
      <c r="L1676" s="801"/>
    </row>
    <row r="1677" spans="1:12" ht="17.100000000000001" customHeight="1">
      <c r="A1677" s="626" t="s">
        <v>12709</v>
      </c>
      <c r="B1677" s="627" t="s">
        <v>13052</v>
      </c>
      <c r="C1677" s="626" t="s">
        <v>8</v>
      </c>
      <c r="D1677" s="626" t="s">
        <v>9229</v>
      </c>
      <c r="E1677" s="628" t="s">
        <v>23</v>
      </c>
      <c r="F1677" s="816" t="s">
        <v>13692</v>
      </c>
      <c r="G1677" s="816"/>
      <c r="H1677" s="816">
        <v>9.7639100000000006E-2</v>
      </c>
      <c r="I1677" s="816"/>
      <c r="J1677" s="817">
        <v>9.3700000000000006E-2</v>
      </c>
      <c r="K1677" s="817"/>
      <c r="L1677" s="817"/>
    </row>
    <row r="1678" spans="1:12" ht="24" customHeight="1">
      <c r="A1678" s="626" t="s">
        <v>12709</v>
      </c>
      <c r="B1678" s="627" t="s">
        <v>13051</v>
      </c>
      <c r="C1678" s="626" t="s">
        <v>8</v>
      </c>
      <c r="D1678" s="626" t="s">
        <v>9376</v>
      </c>
      <c r="E1678" s="628" t="s">
        <v>23</v>
      </c>
      <c r="F1678" s="816" t="s">
        <v>13691</v>
      </c>
      <c r="G1678" s="816"/>
      <c r="H1678" s="816">
        <v>9.7639100000000006E-2</v>
      </c>
      <c r="I1678" s="816"/>
      <c r="J1678" s="817">
        <v>4.8800000000000003E-2</v>
      </c>
      <c r="K1678" s="817"/>
      <c r="L1678" s="817"/>
    </row>
    <row r="1679" spans="1:12" ht="24" customHeight="1">
      <c r="A1679" s="636"/>
      <c r="B1679" s="636"/>
      <c r="C1679" s="636"/>
      <c r="D1679" s="636"/>
      <c r="E1679" s="636"/>
      <c r="F1679" s="636"/>
      <c r="G1679" s="636"/>
      <c r="H1679" s="636"/>
      <c r="I1679" s="636"/>
      <c r="J1679" s="636" t="s">
        <v>13675</v>
      </c>
      <c r="K1679" s="636"/>
      <c r="L1679" s="636" t="s">
        <v>13880</v>
      </c>
    </row>
    <row r="1680" spans="1:12" ht="24" customHeight="1">
      <c r="A1680" s="802" t="s">
        <v>12710</v>
      </c>
      <c r="B1680" s="802"/>
      <c r="C1680" s="802"/>
      <c r="D1680" s="802"/>
      <c r="E1680" s="802"/>
      <c r="F1680" s="802"/>
      <c r="G1680" s="802"/>
      <c r="H1680" s="802"/>
      <c r="I1680" s="612"/>
      <c r="J1680" s="612"/>
      <c r="K1680" s="612"/>
      <c r="L1680" s="612"/>
    </row>
    <row r="1681" spans="1:12" ht="17.100000000000001" customHeight="1">
      <c r="A1681" s="612" t="s">
        <v>13679</v>
      </c>
      <c r="B1681" s="636" t="s">
        <v>12698</v>
      </c>
      <c r="C1681" s="612" t="s">
        <v>12699</v>
      </c>
      <c r="D1681" s="612" t="s">
        <v>12700</v>
      </c>
      <c r="E1681" s="637" t="s">
        <v>12702</v>
      </c>
      <c r="F1681" s="801" t="s">
        <v>12704</v>
      </c>
      <c r="G1681" s="801"/>
      <c r="H1681" s="801" t="s">
        <v>13678</v>
      </c>
      <c r="I1681" s="801"/>
      <c r="J1681" s="801" t="s">
        <v>12705</v>
      </c>
      <c r="K1681" s="801"/>
      <c r="L1681" s="801"/>
    </row>
    <row r="1682" spans="1:12" ht="25.5">
      <c r="A1682" s="626" t="s">
        <v>12709</v>
      </c>
      <c r="B1682" s="627" t="s">
        <v>13230</v>
      </c>
      <c r="C1682" s="626" t="s">
        <v>8</v>
      </c>
      <c r="D1682" s="626" t="s">
        <v>7362</v>
      </c>
      <c r="E1682" s="628" t="s">
        <v>23</v>
      </c>
      <c r="F1682" s="816" t="s">
        <v>14514</v>
      </c>
      <c r="G1682" s="816"/>
      <c r="H1682" s="816">
        <v>2.2737E-2</v>
      </c>
      <c r="I1682" s="816"/>
      <c r="J1682" s="817">
        <v>0.1094</v>
      </c>
      <c r="K1682" s="817"/>
      <c r="L1682" s="817"/>
    </row>
    <row r="1683" spans="1:12" ht="17.100000000000001" customHeight="1">
      <c r="A1683" s="626" t="s">
        <v>12709</v>
      </c>
      <c r="B1683" s="627" t="s">
        <v>13224</v>
      </c>
      <c r="C1683" s="626" t="s">
        <v>8</v>
      </c>
      <c r="D1683" s="626" t="s">
        <v>7556</v>
      </c>
      <c r="E1683" s="628" t="s">
        <v>23</v>
      </c>
      <c r="F1683" s="816" t="s">
        <v>14470</v>
      </c>
      <c r="G1683" s="816"/>
      <c r="H1683" s="816">
        <v>7.4142399999999997E-2</v>
      </c>
      <c r="I1683" s="816"/>
      <c r="J1683" s="817">
        <v>0.51229999999999998</v>
      </c>
      <c r="K1683" s="817"/>
      <c r="L1683" s="817"/>
    </row>
    <row r="1684" spans="1:12" ht="24" customHeight="1">
      <c r="A1684" s="636"/>
      <c r="B1684" s="636"/>
      <c r="C1684" s="636"/>
      <c r="D1684" s="636"/>
      <c r="E1684" s="636"/>
      <c r="F1684" s="636"/>
      <c r="G1684" s="636"/>
      <c r="H1684" s="636"/>
      <c r="I1684" s="636"/>
      <c r="J1684" s="636" t="s">
        <v>13675</v>
      </c>
      <c r="K1684" s="636"/>
      <c r="L1684" s="636" t="s">
        <v>13729</v>
      </c>
    </row>
    <row r="1685" spans="1:12" ht="24" customHeight="1">
      <c r="A1685" s="802" t="s">
        <v>12720</v>
      </c>
      <c r="B1685" s="802"/>
      <c r="C1685" s="802"/>
      <c r="D1685" s="802"/>
      <c r="E1685" s="802"/>
      <c r="F1685" s="802"/>
      <c r="G1685" s="802"/>
      <c r="H1685" s="802"/>
      <c r="I1685" s="612"/>
      <c r="J1685" s="612"/>
      <c r="K1685" s="612"/>
      <c r="L1685" s="612"/>
    </row>
    <row r="1686" spans="1:12" ht="24" customHeight="1">
      <c r="A1686" s="612" t="s">
        <v>13679</v>
      </c>
      <c r="B1686" s="636" t="s">
        <v>12698</v>
      </c>
      <c r="C1686" s="612" t="s">
        <v>12699</v>
      </c>
      <c r="D1686" s="612" t="s">
        <v>12700</v>
      </c>
      <c r="E1686" s="637" t="s">
        <v>12702</v>
      </c>
      <c r="F1686" s="801" t="s">
        <v>12704</v>
      </c>
      <c r="G1686" s="801"/>
      <c r="H1686" s="801" t="s">
        <v>13678</v>
      </c>
      <c r="I1686" s="801"/>
      <c r="J1686" s="801" t="s">
        <v>12705</v>
      </c>
      <c r="K1686" s="801"/>
      <c r="L1686" s="801"/>
    </row>
    <row r="1687" spans="1:12" ht="24" customHeight="1">
      <c r="A1687" s="626" t="s">
        <v>12709</v>
      </c>
      <c r="B1687" s="627" t="s">
        <v>13311</v>
      </c>
      <c r="C1687" s="626" t="s">
        <v>8</v>
      </c>
      <c r="D1687" s="626" t="s">
        <v>7522</v>
      </c>
      <c r="E1687" s="628" t="s">
        <v>20</v>
      </c>
      <c r="F1687" s="816" t="s">
        <v>14521</v>
      </c>
      <c r="G1687" s="816"/>
      <c r="H1687" s="816">
        <v>2.5000000000000001E-2</v>
      </c>
      <c r="I1687" s="816"/>
      <c r="J1687" s="817">
        <v>0.34</v>
      </c>
      <c r="K1687" s="817"/>
      <c r="L1687" s="817"/>
    </row>
    <row r="1688" spans="1:12" ht="24" customHeight="1">
      <c r="A1688" s="626" t="s">
        <v>12709</v>
      </c>
      <c r="B1688" s="627" t="s">
        <v>13310</v>
      </c>
      <c r="C1688" s="626" t="s">
        <v>8</v>
      </c>
      <c r="D1688" s="626" t="s">
        <v>9265</v>
      </c>
      <c r="E1688" s="628" t="s">
        <v>35</v>
      </c>
      <c r="F1688" s="816" t="s">
        <v>13875</v>
      </c>
      <c r="G1688" s="816"/>
      <c r="H1688" s="816">
        <v>0.30599999999999999</v>
      </c>
      <c r="I1688" s="816"/>
      <c r="J1688" s="817">
        <v>0.03</v>
      </c>
      <c r="K1688" s="817"/>
      <c r="L1688" s="817"/>
    </row>
    <row r="1689" spans="1:12" ht="24" customHeight="1">
      <c r="A1689" s="626" t="s">
        <v>12709</v>
      </c>
      <c r="B1689" s="627" t="s">
        <v>13244</v>
      </c>
      <c r="C1689" s="626" t="s">
        <v>8</v>
      </c>
      <c r="D1689" s="626" t="s">
        <v>7261</v>
      </c>
      <c r="E1689" s="628" t="s">
        <v>20</v>
      </c>
      <c r="F1689" s="816" t="s">
        <v>14776</v>
      </c>
      <c r="G1689" s="816"/>
      <c r="H1689" s="816">
        <v>1.1059125999999999</v>
      </c>
      <c r="I1689" s="816"/>
      <c r="J1689" s="817">
        <v>4.9324000000000003</v>
      </c>
      <c r="K1689" s="817"/>
      <c r="L1689" s="817"/>
    </row>
    <row r="1690" spans="1:12" ht="36" customHeight="1">
      <c r="A1690" s="636"/>
      <c r="B1690" s="636"/>
      <c r="C1690" s="636"/>
      <c r="D1690" s="636"/>
      <c r="E1690" s="636"/>
      <c r="F1690" s="636"/>
      <c r="G1690" s="636"/>
      <c r="H1690" s="636"/>
      <c r="I1690" s="636"/>
      <c r="J1690" s="636" t="s">
        <v>13675</v>
      </c>
      <c r="K1690" s="636"/>
      <c r="L1690" s="636" t="s">
        <v>14777</v>
      </c>
    </row>
    <row r="1691" spans="1:12" ht="24" customHeight="1">
      <c r="A1691" s="802" t="s">
        <v>12722</v>
      </c>
      <c r="B1691" s="802"/>
      <c r="C1691" s="802"/>
      <c r="D1691" s="802"/>
      <c r="E1691" s="802"/>
      <c r="F1691" s="802"/>
      <c r="G1691" s="802"/>
      <c r="H1691" s="802"/>
      <c r="I1691" s="612"/>
      <c r="J1691" s="612"/>
      <c r="K1691" s="612"/>
      <c r="L1691" s="612"/>
    </row>
    <row r="1692" spans="1:12" ht="17.100000000000001" customHeight="1">
      <c r="A1692" s="612" t="s">
        <v>13679</v>
      </c>
      <c r="B1692" s="636" t="s">
        <v>12698</v>
      </c>
      <c r="C1692" s="612" t="s">
        <v>12699</v>
      </c>
      <c r="D1692" s="612" t="s">
        <v>12700</v>
      </c>
      <c r="E1692" s="637" t="s">
        <v>12702</v>
      </c>
      <c r="F1692" s="801" t="s">
        <v>12704</v>
      </c>
      <c r="G1692" s="801"/>
      <c r="H1692" s="801" t="s">
        <v>13678</v>
      </c>
      <c r="I1692" s="801"/>
      <c r="J1692" s="801" t="s">
        <v>12705</v>
      </c>
      <c r="K1692" s="801"/>
      <c r="L1692" s="801"/>
    </row>
    <row r="1693" spans="1:12" ht="25.5">
      <c r="A1693" s="626" t="s">
        <v>12709</v>
      </c>
      <c r="B1693" s="627" t="s">
        <v>12998</v>
      </c>
      <c r="C1693" s="626" t="s">
        <v>8</v>
      </c>
      <c r="D1693" s="626" t="s">
        <v>11861</v>
      </c>
      <c r="E1693" s="628" t="s">
        <v>23</v>
      </c>
      <c r="F1693" s="816" t="s">
        <v>13683</v>
      </c>
      <c r="G1693" s="816"/>
      <c r="H1693" s="816">
        <v>9.7639100000000006E-2</v>
      </c>
      <c r="I1693" s="816"/>
      <c r="J1693" s="817">
        <v>6.93E-2</v>
      </c>
      <c r="K1693" s="817"/>
      <c r="L1693" s="817"/>
    </row>
    <row r="1694" spans="1:12" ht="17.100000000000001" customHeight="1">
      <c r="A1694" s="636"/>
      <c r="B1694" s="636"/>
      <c r="C1694" s="636"/>
      <c r="D1694" s="636"/>
      <c r="E1694" s="636"/>
      <c r="F1694" s="636"/>
      <c r="G1694" s="636"/>
      <c r="H1694" s="636"/>
      <c r="I1694" s="636"/>
      <c r="J1694" s="636" t="s">
        <v>13675</v>
      </c>
      <c r="K1694" s="636"/>
      <c r="L1694" s="636" t="s">
        <v>13681</v>
      </c>
    </row>
    <row r="1695" spans="1:12" ht="24" customHeight="1">
      <c r="A1695" s="802" t="s">
        <v>12713</v>
      </c>
      <c r="B1695" s="802"/>
      <c r="C1695" s="802"/>
      <c r="D1695" s="802"/>
      <c r="E1695" s="802"/>
      <c r="F1695" s="802"/>
      <c r="G1695" s="802"/>
      <c r="H1695" s="802"/>
      <c r="I1695" s="612"/>
      <c r="J1695" s="612"/>
      <c r="K1695" s="612"/>
      <c r="L1695" s="612"/>
    </row>
    <row r="1696" spans="1:12" ht="17.100000000000001" customHeight="1">
      <c r="A1696" s="612" t="s">
        <v>13679</v>
      </c>
      <c r="B1696" s="636" t="s">
        <v>12698</v>
      </c>
      <c r="C1696" s="612" t="s">
        <v>12699</v>
      </c>
      <c r="D1696" s="612" t="s">
        <v>12700</v>
      </c>
      <c r="E1696" s="637" t="s">
        <v>12702</v>
      </c>
      <c r="F1696" s="801" t="s">
        <v>12704</v>
      </c>
      <c r="G1696" s="801"/>
      <c r="H1696" s="801" t="s">
        <v>13678</v>
      </c>
      <c r="I1696" s="801"/>
      <c r="J1696" s="801" t="s">
        <v>12705</v>
      </c>
      <c r="K1696" s="801"/>
      <c r="L1696" s="801"/>
    </row>
    <row r="1697" spans="1:12" ht="25.5">
      <c r="A1697" s="626" t="s">
        <v>12709</v>
      </c>
      <c r="B1697" s="627" t="s">
        <v>12999</v>
      </c>
      <c r="C1697" s="626" t="s">
        <v>8</v>
      </c>
      <c r="D1697" s="626" t="s">
        <v>11251</v>
      </c>
      <c r="E1697" s="628" t="s">
        <v>23</v>
      </c>
      <c r="F1697" s="816" t="s">
        <v>13681</v>
      </c>
      <c r="G1697" s="816"/>
      <c r="H1697" s="816">
        <v>9.7639100000000006E-2</v>
      </c>
      <c r="I1697" s="816"/>
      <c r="J1697" s="817">
        <v>6.7999999999999996E-3</v>
      </c>
      <c r="K1697" s="817"/>
      <c r="L1697" s="817"/>
    </row>
    <row r="1698" spans="1:12" ht="17.100000000000001" customHeight="1">
      <c r="A1698" s="636"/>
      <c r="B1698" s="636"/>
      <c r="C1698" s="636"/>
      <c r="D1698" s="636"/>
      <c r="E1698" s="636"/>
      <c r="F1698" s="636"/>
      <c r="G1698" s="636"/>
      <c r="H1698" s="636"/>
      <c r="I1698" s="636"/>
      <c r="J1698" s="636" t="s">
        <v>13675</v>
      </c>
      <c r="K1698" s="636"/>
      <c r="L1698" s="636" t="s">
        <v>13728</v>
      </c>
    </row>
    <row r="1699" spans="1:12" ht="24" customHeight="1">
      <c r="A1699" s="802" t="s">
        <v>12712</v>
      </c>
      <c r="B1699" s="802"/>
      <c r="C1699" s="802"/>
      <c r="D1699" s="802"/>
      <c r="E1699" s="802"/>
      <c r="F1699" s="802"/>
      <c r="G1699" s="802"/>
      <c r="H1699" s="802"/>
      <c r="I1699" s="612"/>
      <c r="J1699" s="612"/>
      <c r="K1699" s="612"/>
      <c r="L1699" s="612"/>
    </row>
    <row r="1700" spans="1:12" ht="17.100000000000001" customHeight="1">
      <c r="A1700" s="612" t="s">
        <v>13679</v>
      </c>
      <c r="B1700" s="636" t="s">
        <v>12698</v>
      </c>
      <c r="C1700" s="612" t="s">
        <v>12699</v>
      </c>
      <c r="D1700" s="612" t="s">
        <v>12700</v>
      </c>
      <c r="E1700" s="637" t="s">
        <v>12702</v>
      </c>
      <c r="F1700" s="801" t="s">
        <v>12704</v>
      </c>
      <c r="G1700" s="801"/>
      <c r="H1700" s="801" t="s">
        <v>13678</v>
      </c>
      <c r="I1700" s="801"/>
      <c r="J1700" s="801" t="s">
        <v>12705</v>
      </c>
      <c r="K1700" s="801"/>
      <c r="L1700" s="801"/>
    </row>
    <row r="1701" spans="1:12" ht="25.5">
      <c r="A1701" s="626" t="s">
        <v>12709</v>
      </c>
      <c r="B1701" s="627" t="s">
        <v>13002</v>
      </c>
      <c r="C1701" s="626" t="s">
        <v>8</v>
      </c>
      <c r="D1701" s="626" t="s">
        <v>9306</v>
      </c>
      <c r="E1701" s="628" t="s">
        <v>23</v>
      </c>
      <c r="F1701" s="816" t="s">
        <v>13677</v>
      </c>
      <c r="G1701" s="816"/>
      <c r="H1701" s="816">
        <v>9.7639100000000006E-2</v>
      </c>
      <c r="I1701" s="816"/>
      <c r="J1701" s="817">
        <v>3.4200000000000001E-2</v>
      </c>
      <c r="K1701" s="817"/>
      <c r="L1701" s="817"/>
    </row>
    <row r="1702" spans="1:12" ht="17.100000000000001" customHeight="1">
      <c r="A1702" s="626" t="s">
        <v>12709</v>
      </c>
      <c r="B1702" s="627" t="s">
        <v>13004</v>
      </c>
      <c r="C1702" s="626" t="s">
        <v>8</v>
      </c>
      <c r="D1702" s="626" t="s">
        <v>7388</v>
      </c>
      <c r="E1702" s="628" t="s">
        <v>23</v>
      </c>
      <c r="F1702" s="816" t="s">
        <v>13676</v>
      </c>
      <c r="G1702" s="816"/>
      <c r="H1702" s="816">
        <v>9.7639100000000006E-2</v>
      </c>
      <c r="I1702" s="816"/>
      <c r="J1702" s="817">
        <v>0.21479999999999999</v>
      </c>
      <c r="K1702" s="817"/>
      <c r="L1702" s="817"/>
    </row>
    <row r="1703" spans="1:12" ht="24" customHeight="1">
      <c r="A1703" s="636"/>
      <c r="B1703" s="636"/>
      <c r="C1703" s="636"/>
      <c r="D1703" s="636"/>
      <c r="E1703" s="636"/>
      <c r="F1703" s="636"/>
      <c r="G1703" s="636"/>
      <c r="H1703" s="636"/>
      <c r="I1703" s="636"/>
      <c r="J1703" s="636" t="s">
        <v>13675</v>
      </c>
      <c r="K1703" s="636"/>
      <c r="L1703" s="636" t="s">
        <v>13915</v>
      </c>
    </row>
    <row r="1704" spans="1:12" ht="24" customHeight="1">
      <c r="A1704" s="612" t="s">
        <v>13673</v>
      </c>
      <c r="B1704" s="612"/>
      <c r="C1704" s="612"/>
      <c r="D1704" s="612"/>
      <c r="E1704" s="612"/>
      <c r="F1704" s="612"/>
      <c r="G1704" s="612"/>
      <c r="H1704" s="612"/>
      <c r="I1704" s="612"/>
      <c r="J1704" s="612"/>
      <c r="K1704" s="612"/>
      <c r="L1704" s="612"/>
    </row>
    <row r="1705" spans="1:12" ht="17.100000000000001" customHeight="1">
      <c r="A1705" s="636"/>
      <c r="B1705" s="636"/>
      <c r="C1705" s="636"/>
      <c r="D1705" s="636"/>
      <c r="E1705" s="636"/>
      <c r="F1705" s="636"/>
      <c r="G1705" s="636"/>
      <c r="H1705" s="636"/>
      <c r="I1705" s="636"/>
      <c r="J1705" s="636" t="s">
        <v>13672</v>
      </c>
      <c r="K1705" s="636"/>
      <c r="L1705" s="636" t="s">
        <v>15002</v>
      </c>
    </row>
    <row r="1706" spans="1:12" ht="17.100000000000001" customHeight="1">
      <c r="A1706" s="636"/>
      <c r="B1706" s="636"/>
      <c r="C1706" s="636"/>
      <c r="D1706" s="636"/>
      <c r="E1706" s="636"/>
      <c r="F1706" s="636"/>
      <c r="G1706" s="636"/>
      <c r="H1706" s="636"/>
      <c r="I1706" s="636"/>
      <c r="J1706" s="636" t="s">
        <v>13671</v>
      </c>
      <c r="K1706" s="636" t="s">
        <v>14461</v>
      </c>
      <c r="L1706" s="636" t="s">
        <v>15003</v>
      </c>
    </row>
    <row r="1707" spans="1:12" ht="17.100000000000001" customHeight="1">
      <c r="A1707" s="636"/>
      <c r="B1707" s="636"/>
      <c r="C1707" s="636"/>
      <c r="D1707" s="636"/>
      <c r="E1707" s="636"/>
      <c r="F1707" s="636"/>
      <c r="G1707" s="636"/>
      <c r="H1707" s="636"/>
      <c r="I1707" s="636"/>
      <c r="J1707" s="636" t="s">
        <v>13670</v>
      </c>
      <c r="K1707" s="636"/>
      <c r="L1707" s="636" t="s">
        <v>15004</v>
      </c>
    </row>
    <row r="1708" spans="1:12" ht="17.100000000000001" customHeight="1">
      <c r="A1708" s="636"/>
      <c r="B1708" s="636"/>
      <c r="C1708" s="636"/>
      <c r="D1708" s="636"/>
      <c r="E1708" s="636"/>
      <c r="F1708" s="636"/>
      <c r="G1708" s="636"/>
      <c r="H1708" s="636"/>
      <c r="I1708" s="636"/>
      <c r="J1708" s="636" t="s">
        <v>13669</v>
      </c>
      <c r="K1708" s="636" t="s">
        <v>13667</v>
      </c>
      <c r="L1708" s="636" t="s">
        <v>15005</v>
      </c>
    </row>
    <row r="1709" spans="1:12" ht="17.100000000000001" customHeight="1">
      <c r="A1709" s="636"/>
      <c r="B1709" s="636"/>
      <c r="C1709" s="636"/>
      <c r="D1709" s="636"/>
      <c r="E1709" s="636"/>
      <c r="F1709" s="636"/>
      <c r="G1709" s="636"/>
      <c r="H1709" s="636"/>
      <c r="I1709" s="636"/>
      <c r="J1709" s="636" t="s">
        <v>13668</v>
      </c>
      <c r="K1709" s="636"/>
      <c r="L1709" s="636" t="s">
        <v>14952</v>
      </c>
    </row>
    <row r="1710" spans="1:12" ht="17.100000000000001" customHeight="1">
      <c r="A1710" s="637"/>
      <c r="B1710" s="637"/>
      <c r="C1710" s="637"/>
      <c r="D1710" s="637"/>
      <c r="E1710" s="637"/>
      <c r="F1710" s="637"/>
      <c r="G1710" s="637"/>
      <c r="H1710" s="637"/>
      <c r="I1710" s="637"/>
      <c r="J1710" s="637"/>
      <c r="K1710" s="637"/>
      <c r="L1710" s="637"/>
    </row>
    <row r="1711" spans="1:12" ht="17.100000000000001" customHeight="1">
      <c r="A1711" s="616" t="s">
        <v>14222</v>
      </c>
      <c r="B1711" s="617" t="s">
        <v>13618</v>
      </c>
      <c r="C1711" s="616" t="s">
        <v>8</v>
      </c>
      <c r="D1711" s="616" t="s">
        <v>4002</v>
      </c>
      <c r="E1711" s="618" t="s">
        <v>12725</v>
      </c>
      <c r="F1711" s="617"/>
      <c r="G1711" s="617"/>
      <c r="H1711" s="617"/>
      <c r="I1711" s="617"/>
      <c r="J1711" s="617"/>
      <c r="K1711" s="617"/>
      <c r="L1711" s="617"/>
    </row>
    <row r="1712" spans="1:12" ht="30" customHeight="1">
      <c r="A1712" s="802" t="s">
        <v>12711</v>
      </c>
      <c r="B1712" s="802"/>
      <c r="C1712" s="802"/>
      <c r="D1712" s="802"/>
      <c r="E1712" s="802"/>
      <c r="F1712" s="802"/>
      <c r="G1712" s="802"/>
      <c r="H1712" s="802"/>
      <c r="I1712" s="612"/>
      <c r="J1712" s="612"/>
      <c r="K1712" s="612"/>
      <c r="L1712" s="612"/>
    </row>
    <row r="1713" spans="1:12" ht="24" customHeight="1">
      <c r="A1713" s="612" t="s">
        <v>13679</v>
      </c>
      <c r="B1713" s="636" t="s">
        <v>12698</v>
      </c>
      <c r="C1713" s="612" t="s">
        <v>12699</v>
      </c>
      <c r="D1713" s="612" t="s">
        <v>12700</v>
      </c>
      <c r="E1713" s="637" t="s">
        <v>12702</v>
      </c>
      <c r="F1713" s="801" t="s">
        <v>12704</v>
      </c>
      <c r="G1713" s="801"/>
      <c r="H1713" s="801" t="s">
        <v>13678</v>
      </c>
      <c r="I1713" s="801"/>
      <c r="J1713" s="801" t="s">
        <v>12705</v>
      </c>
      <c r="K1713" s="801"/>
      <c r="L1713" s="801"/>
    </row>
    <row r="1714" spans="1:12" ht="14.25" customHeight="1">
      <c r="A1714" s="626" t="s">
        <v>12709</v>
      </c>
      <c r="B1714" s="627" t="s">
        <v>13003</v>
      </c>
      <c r="C1714" s="626" t="s">
        <v>8</v>
      </c>
      <c r="D1714" s="626" t="s">
        <v>9227</v>
      </c>
      <c r="E1714" s="628" t="s">
        <v>23</v>
      </c>
      <c r="F1714" s="816" t="s">
        <v>13732</v>
      </c>
      <c r="G1714" s="816"/>
      <c r="H1714" s="816">
        <v>3.0922100000000001E-2</v>
      </c>
      <c r="I1714" s="816"/>
      <c r="J1714" s="817">
        <v>2.0400000000000001E-2</v>
      </c>
      <c r="K1714" s="817"/>
      <c r="L1714" s="817"/>
    </row>
    <row r="1715" spans="1:12" ht="17.100000000000001" customHeight="1">
      <c r="A1715" s="626" t="s">
        <v>12709</v>
      </c>
      <c r="B1715" s="627" t="s">
        <v>13001</v>
      </c>
      <c r="C1715" s="626" t="s">
        <v>8</v>
      </c>
      <c r="D1715" s="626" t="s">
        <v>9374</v>
      </c>
      <c r="E1715" s="628" t="s">
        <v>23</v>
      </c>
      <c r="F1715" s="816" t="s">
        <v>13728</v>
      </c>
      <c r="G1715" s="816"/>
      <c r="H1715" s="816">
        <v>3.0922100000000001E-2</v>
      </c>
      <c r="I1715" s="816"/>
      <c r="J1715" s="817">
        <v>2.9999999999999997E-4</v>
      </c>
      <c r="K1715" s="817"/>
      <c r="L1715" s="817"/>
    </row>
    <row r="1716" spans="1:12" ht="24" customHeight="1">
      <c r="A1716" s="626" t="s">
        <v>12709</v>
      </c>
      <c r="B1716" s="627" t="s">
        <v>13032</v>
      </c>
      <c r="C1716" s="626" t="s">
        <v>8</v>
      </c>
      <c r="D1716" s="626" t="s">
        <v>9217</v>
      </c>
      <c r="E1716" s="628" t="s">
        <v>23</v>
      </c>
      <c r="F1716" s="816" t="s">
        <v>13741</v>
      </c>
      <c r="G1716" s="816"/>
      <c r="H1716" s="816">
        <v>1.611939</v>
      </c>
      <c r="I1716" s="816"/>
      <c r="J1716" s="817">
        <v>1.7408999999999999</v>
      </c>
      <c r="K1716" s="817"/>
      <c r="L1716" s="817"/>
    </row>
    <row r="1717" spans="1:12" ht="24" customHeight="1">
      <c r="A1717" s="626" t="s">
        <v>12709</v>
      </c>
      <c r="B1717" s="627" t="s">
        <v>13031</v>
      </c>
      <c r="C1717" s="626" t="s">
        <v>8</v>
      </c>
      <c r="D1717" s="626" t="s">
        <v>9364</v>
      </c>
      <c r="E1717" s="628" t="s">
        <v>23</v>
      </c>
      <c r="F1717" s="816" t="s">
        <v>13740</v>
      </c>
      <c r="G1717" s="816"/>
      <c r="H1717" s="816">
        <v>1.611939</v>
      </c>
      <c r="I1717" s="816"/>
      <c r="J1717" s="817">
        <v>0.54810000000000003</v>
      </c>
      <c r="K1717" s="817"/>
      <c r="L1717" s="817"/>
    </row>
    <row r="1718" spans="1:12" ht="24" customHeight="1">
      <c r="A1718" s="636"/>
      <c r="B1718" s="636"/>
      <c r="C1718" s="636"/>
      <c r="D1718" s="636"/>
      <c r="E1718" s="636"/>
      <c r="F1718" s="636"/>
      <c r="G1718" s="636"/>
      <c r="H1718" s="636"/>
      <c r="I1718" s="636"/>
      <c r="J1718" s="636" t="s">
        <v>13675</v>
      </c>
      <c r="K1718" s="636"/>
      <c r="L1718" s="636" t="s">
        <v>13755</v>
      </c>
    </row>
    <row r="1719" spans="1:12" ht="48" customHeight="1">
      <c r="A1719" s="802" t="s">
        <v>12710</v>
      </c>
      <c r="B1719" s="802"/>
      <c r="C1719" s="802"/>
      <c r="D1719" s="802"/>
      <c r="E1719" s="802"/>
      <c r="F1719" s="802"/>
      <c r="G1719" s="802"/>
      <c r="H1719" s="802"/>
      <c r="I1719" s="612"/>
      <c r="J1719" s="612"/>
      <c r="K1719" s="612"/>
      <c r="L1719" s="612"/>
    </row>
    <row r="1720" spans="1:12" ht="24" customHeight="1">
      <c r="A1720" s="612" t="s">
        <v>13679</v>
      </c>
      <c r="B1720" s="636" t="s">
        <v>12698</v>
      </c>
      <c r="C1720" s="612" t="s">
        <v>12699</v>
      </c>
      <c r="D1720" s="612" t="s">
        <v>12700</v>
      </c>
      <c r="E1720" s="637" t="s">
        <v>12702</v>
      </c>
      <c r="F1720" s="801" t="s">
        <v>12704</v>
      </c>
      <c r="G1720" s="801"/>
      <c r="H1720" s="801" t="s">
        <v>13678</v>
      </c>
      <c r="I1720" s="801"/>
      <c r="J1720" s="801" t="s">
        <v>12705</v>
      </c>
      <c r="K1720" s="801"/>
      <c r="L1720" s="801"/>
    </row>
    <row r="1721" spans="1:12" ht="24" customHeight="1">
      <c r="A1721" s="626" t="s">
        <v>12709</v>
      </c>
      <c r="B1721" s="627" t="s">
        <v>13103</v>
      </c>
      <c r="C1721" s="626" t="s">
        <v>8</v>
      </c>
      <c r="D1721" s="626" t="s">
        <v>10570</v>
      </c>
      <c r="E1721" s="628" t="s">
        <v>23</v>
      </c>
      <c r="F1721" s="816" t="s">
        <v>14289</v>
      </c>
      <c r="G1721" s="816"/>
      <c r="H1721" s="816">
        <v>3.1223899999999999E-2</v>
      </c>
      <c r="I1721" s="816"/>
      <c r="J1721" s="817">
        <v>0.15890000000000001</v>
      </c>
      <c r="K1721" s="817"/>
      <c r="L1721" s="817"/>
    </row>
    <row r="1722" spans="1:12" ht="17.100000000000001" customHeight="1">
      <c r="A1722" s="626" t="s">
        <v>12709</v>
      </c>
      <c r="B1722" s="627" t="s">
        <v>13228</v>
      </c>
      <c r="C1722" s="626" t="s">
        <v>8</v>
      </c>
      <c r="D1722" s="626" t="s">
        <v>8289</v>
      </c>
      <c r="E1722" s="628" t="s">
        <v>23</v>
      </c>
      <c r="F1722" s="816" t="s">
        <v>14199</v>
      </c>
      <c r="G1722" s="816"/>
      <c r="H1722" s="816">
        <v>0.47548499999999999</v>
      </c>
      <c r="I1722" s="816"/>
      <c r="J1722" s="817">
        <v>2.5865999999999998</v>
      </c>
      <c r="K1722" s="817"/>
      <c r="L1722" s="817"/>
    </row>
    <row r="1723" spans="1:12" ht="14.25" customHeight="1">
      <c r="A1723" s="626" t="s">
        <v>12709</v>
      </c>
      <c r="B1723" s="627" t="s">
        <v>13212</v>
      </c>
      <c r="C1723" s="626" t="s">
        <v>8</v>
      </c>
      <c r="D1723" s="626" t="s">
        <v>8293</v>
      </c>
      <c r="E1723" s="628" t="s">
        <v>23</v>
      </c>
      <c r="F1723" s="816" t="s">
        <v>14470</v>
      </c>
      <c r="G1723" s="816"/>
      <c r="H1723" s="816">
        <v>1.1532712000000001</v>
      </c>
      <c r="I1723" s="816"/>
      <c r="J1723" s="817">
        <v>7.9691000000000001</v>
      </c>
      <c r="K1723" s="817"/>
      <c r="L1723" s="817"/>
    </row>
    <row r="1724" spans="1:12" ht="17.100000000000001" customHeight="1">
      <c r="A1724" s="636"/>
      <c r="B1724" s="636"/>
      <c r="C1724" s="636"/>
      <c r="D1724" s="636"/>
      <c r="E1724" s="636"/>
      <c r="F1724" s="636"/>
      <c r="G1724" s="636"/>
      <c r="H1724" s="636"/>
      <c r="I1724" s="636"/>
      <c r="J1724" s="636" t="s">
        <v>13675</v>
      </c>
      <c r="K1724" s="636"/>
      <c r="L1724" s="636" t="s">
        <v>14503</v>
      </c>
    </row>
    <row r="1725" spans="1:12" ht="24" customHeight="1">
      <c r="A1725" s="802" t="s">
        <v>12720</v>
      </c>
      <c r="B1725" s="802"/>
      <c r="C1725" s="802"/>
      <c r="D1725" s="802"/>
      <c r="E1725" s="802"/>
      <c r="F1725" s="802"/>
      <c r="G1725" s="802"/>
      <c r="H1725" s="802"/>
      <c r="I1725" s="612"/>
      <c r="J1725" s="612"/>
      <c r="K1725" s="612"/>
      <c r="L1725" s="612"/>
    </row>
    <row r="1726" spans="1:12" ht="24" customHeight="1">
      <c r="A1726" s="612" t="s">
        <v>13679</v>
      </c>
      <c r="B1726" s="636" t="s">
        <v>12698</v>
      </c>
      <c r="C1726" s="612" t="s">
        <v>12699</v>
      </c>
      <c r="D1726" s="612" t="s">
        <v>12700</v>
      </c>
      <c r="E1726" s="637" t="s">
        <v>12702</v>
      </c>
      <c r="F1726" s="801" t="s">
        <v>12704</v>
      </c>
      <c r="G1726" s="801"/>
      <c r="H1726" s="801" t="s">
        <v>13678</v>
      </c>
      <c r="I1726" s="801"/>
      <c r="J1726" s="801" t="s">
        <v>12705</v>
      </c>
      <c r="K1726" s="801"/>
      <c r="L1726" s="801"/>
    </row>
    <row r="1727" spans="1:12" ht="24" customHeight="1">
      <c r="A1727" s="626" t="s">
        <v>12709</v>
      </c>
      <c r="B1727" s="627" t="s">
        <v>13093</v>
      </c>
      <c r="C1727" s="626" t="s">
        <v>8</v>
      </c>
      <c r="D1727" s="626" t="s">
        <v>8980</v>
      </c>
      <c r="E1727" s="628" t="s">
        <v>58</v>
      </c>
      <c r="F1727" s="816" t="s">
        <v>14502</v>
      </c>
      <c r="G1727" s="816"/>
      <c r="H1727" s="816">
        <v>1.7000000000000001E-2</v>
      </c>
      <c r="I1727" s="816"/>
      <c r="J1727" s="817">
        <v>0.08</v>
      </c>
      <c r="K1727" s="817"/>
      <c r="L1727" s="817"/>
    </row>
    <row r="1728" spans="1:12" ht="17.100000000000001" customHeight="1">
      <c r="A1728" s="626" t="s">
        <v>12709</v>
      </c>
      <c r="B1728" s="627" t="s">
        <v>13613</v>
      </c>
      <c r="C1728" s="626" t="s">
        <v>8</v>
      </c>
      <c r="D1728" s="626" t="s">
        <v>11000</v>
      </c>
      <c r="E1728" s="628" t="s">
        <v>20</v>
      </c>
      <c r="F1728" s="816" t="s">
        <v>13753</v>
      </c>
      <c r="G1728" s="816"/>
      <c r="H1728" s="816">
        <v>3.4000000000000002E-2</v>
      </c>
      <c r="I1728" s="816"/>
      <c r="J1728" s="817">
        <v>0.46</v>
      </c>
      <c r="K1728" s="817"/>
      <c r="L1728" s="817"/>
    </row>
    <row r="1729" spans="1:12" ht="25.5">
      <c r="A1729" s="626" t="s">
        <v>12709</v>
      </c>
      <c r="B1729" s="627" t="s">
        <v>13617</v>
      </c>
      <c r="C1729" s="626" t="s">
        <v>8</v>
      </c>
      <c r="D1729" s="626" t="s">
        <v>11010</v>
      </c>
      <c r="E1729" s="628" t="s">
        <v>20</v>
      </c>
      <c r="F1729" s="816" t="s">
        <v>13752</v>
      </c>
      <c r="G1729" s="816"/>
      <c r="H1729" s="816">
        <v>2.5999999999999999E-2</v>
      </c>
      <c r="I1729" s="816"/>
      <c r="J1729" s="817">
        <v>0.28999999999999998</v>
      </c>
      <c r="K1729" s="817"/>
      <c r="L1729" s="817"/>
    </row>
    <row r="1730" spans="1:12" ht="17.100000000000001" customHeight="1">
      <c r="A1730" s="626" t="s">
        <v>12709</v>
      </c>
      <c r="B1730" s="627" t="s">
        <v>13091</v>
      </c>
      <c r="C1730" s="626" t="s">
        <v>8</v>
      </c>
      <c r="D1730" s="626" t="s">
        <v>11248</v>
      </c>
      <c r="E1730" s="628" t="s">
        <v>17</v>
      </c>
      <c r="F1730" s="816" t="s">
        <v>14501</v>
      </c>
      <c r="G1730" s="816"/>
      <c r="H1730" s="816">
        <v>0.56699999999999995</v>
      </c>
      <c r="I1730" s="816"/>
      <c r="J1730" s="817">
        <v>1.1299999999999999</v>
      </c>
      <c r="K1730" s="817"/>
      <c r="L1730" s="817"/>
    </row>
    <row r="1731" spans="1:12" ht="24" customHeight="1">
      <c r="A1731" s="626" t="s">
        <v>12709</v>
      </c>
      <c r="B1731" s="627" t="s">
        <v>13189</v>
      </c>
      <c r="C1731" s="626" t="s">
        <v>8</v>
      </c>
      <c r="D1731" s="626" t="s">
        <v>11363</v>
      </c>
      <c r="E1731" s="628" t="s">
        <v>17</v>
      </c>
      <c r="F1731" s="816" t="s">
        <v>14500</v>
      </c>
      <c r="G1731" s="816"/>
      <c r="H1731" s="816">
        <v>1.008</v>
      </c>
      <c r="I1731" s="816"/>
      <c r="J1731" s="817">
        <v>8.8000000000000007</v>
      </c>
      <c r="K1731" s="817"/>
      <c r="L1731" s="817"/>
    </row>
    <row r="1732" spans="1:12" ht="48" customHeight="1">
      <c r="A1732" s="626" t="s">
        <v>12709</v>
      </c>
      <c r="B1732" s="627" t="s">
        <v>13194</v>
      </c>
      <c r="C1732" s="626" t="s">
        <v>8</v>
      </c>
      <c r="D1732" s="626" t="s">
        <v>10900</v>
      </c>
      <c r="E1732" s="628" t="s">
        <v>17</v>
      </c>
      <c r="F1732" s="816" t="s">
        <v>14499</v>
      </c>
      <c r="G1732" s="816"/>
      <c r="H1732" s="816">
        <v>0.60499999999999998</v>
      </c>
      <c r="I1732" s="816"/>
      <c r="J1732" s="817">
        <v>3.36</v>
      </c>
      <c r="K1732" s="817"/>
      <c r="L1732" s="817"/>
    </row>
    <row r="1733" spans="1:12" ht="24" customHeight="1">
      <c r="A1733" s="626" t="s">
        <v>12709</v>
      </c>
      <c r="B1733" s="627" t="s">
        <v>13056</v>
      </c>
      <c r="C1733" s="626" t="s">
        <v>8</v>
      </c>
      <c r="D1733" s="626" t="s">
        <v>11277</v>
      </c>
      <c r="E1733" s="628" t="s">
        <v>35</v>
      </c>
      <c r="F1733" s="816" t="s">
        <v>14498</v>
      </c>
      <c r="G1733" s="816"/>
      <c r="H1733" s="816">
        <v>3.4999999999999999E-6</v>
      </c>
      <c r="I1733" s="816"/>
      <c r="J1733" s="817">
        <v>4.4000000000000003E-3</v>
      </c>
      <c r="K1733" s="817"/>
      <c r="L1733" s="817"/>
    </row>
    <row r="1734" spans="1:12" ht="17.100000000000001" customHeight="1">
      <c r="A1734" s="626" t="s">
        <v>12709</v>
      </c>
      <c r="B1734" s="627" t="s">
        <v>12987</v>
      </c>
      <c r="C1734" s="626" t="s">
        <v>8</v>
      </c>
      <c r="D1734" s="626" t="s">
        <v>9192</v>
      </c>
      <c r="E1734" s="628" t="s">
        <v>12923</v>
      </c>
      <c r="F1734" s="816" t="s">
        <v>13999</v>
      </c>
      <c r="G1734" s="816"/>
      <c r="H1734" s="816">
        <v>5.37546E-2</v>
      </c>
      <c r="I1734" s="816"/>
      <c r="J1734" s="817">
        <v>4.3499999999999997E-2</v>
      </c>
      <c r="K1734" s="817"/>
      <c r="L1734" s="817"/>
    </row>
    <row r="1735" spans="1:12">
      <c r="A1735" s="636"/>
      <c r="B1735" s="636"/>
      <c r="C1735" s="636"/>
      <c r="D1735" s="636"/>
      <c r="E1735" s="636"/>
      <c r="F1735" s="636"/>
      <c r="G1735" s="636"/>
      <c r="H1735" s="636"/>
      <c r="I1735" s="636"/>
      <c r="J1735" s="636" t="s">
        <v>13675</v>
      </c>
      <c r="K1735" s="636"/>
      <c r="L1735" s="636" t="s">
        <v>14497</v>
      </c>
    </row>
    <row r="1736" spans="1:12" ht="17.100000000000001" customHeight="1">
      <c r="A1736" s="802" t="s">
        <v>12722</v>
      </c>
      <c r="B1736" s="802"/>
      <c r="C1736" s="802"/>
      <c r="D1736" s="802"/>
      <c r="E1736" s="802"/>
      <c r="F1736" s="802"/>
      <c r="G1736" s="802"/>
      <c r="H1736" s="802"/>
      <c r="I1736" s="612"/>
      <c r="J1736" s="612"/>
      <c r="K1736" s="612"/>
      <c r="L1736" s="612"/>
    </row>
    <row r="1737" spans="1:12" ht="24" customHeight="1">
      <c r="A1737" s="612" t="s">
        <v>13679</v>
      </c>
      <c r="B1737" s="636" t="s">
        <v>12698</v>
      </c>
      <c r="C1737" s="612" t="s">
        <v>12699</v>
      </c>
      <c r="D1737" s="612" t="s">
        <v>12700</v>
      </c>
      <c r="E1737" s="637" t="s">
        <v>12702</v>
      </c>
      <c r="F1737" s="801" t="s">
        <v>12704</v>
      </c>
      <c r="G1737" s="801"/>
      <c r="H1737" s="801" t="s">
        <v>13678</v>
      </c>
      <c r="I1737" s="801"/>
      <c r="J1737" s="801" t="s">
        <v>12705</v>
      </c>
      <c r="K1737" s="801"/>
      <c r="L1737" s="801"/>
    </row>
    <row r="1738" spans="1:12" ht="17.100000000000001" customHeight="1">
      <c r="A1738" s="626" t="s">
        <v>12709</v>
      </c>
      <c r="B1738" s="627" t="s">
        <v>12998</v>
      </c>
      <c r="C1738" s="626" t="s">
        <v>8</v>
      </c>
      <c r="D1738" s="626" t="s">
        <v>11861</v>
      </c>
      <c r="E1738" s="628" t="s">
        <v>23</v>
      </c>
      <c r="F1738" s="816" t="s">
        <v>13683</v>
      </c>
      <c r="G1738" s="816"/>
      <c r="H1738" s="816">
        <v>1.6428611</v>
      </c>
      <c r="I1738" s="816"/>
      <c r="J1738" s="817">
        <v>1.1664000000000001</v>
      </c>
      <c r="K1738" s="817"/>
      <c r="L1738" s="817"/>
    </row>
    <row r="1739" spans="1:12">
      <c r="A1739" s="636"/>
      <c r="B1739" s="636"/>
      <c r="C1739" s="636"/>
      <c r="D1739" s="636"/>
      <c r="E1739" s="636"/>
      <c r="F1739" s="636"/>
      <c r="G1739" s="636"/>
      <c r="H1739" s="636"/>
      <c r="I1739" s="636"/>
      <c r="J1739" s="636" t="s">
        <v>13675</v>
      </c>
      <c r="K1739" s="636"/>
      <c r="L1739" s="636" t="s">
        <v>13712</v>
      </c>
    </row>
    <row r="1740" spans="1:12" ht="17.100000000000001" customHeight="1">
      <c r="A1740" s="802" t="s">
        <v>12713</v>
      </c>
      <c r="B1740" s="802"/>
      <c r="C1740" s="802"/>
      <c r="D1740" s="802"/>
      <c r="E1740" s="802"/>
      <c r="F1740" s="802"/>
      <c r="G1740" s="802"/>
      <c r="H1740" s="802"/>
      <c r="I1740" s="612"/>
      <c r="J1740" s="612"/>
      <c r="K1740" s="612"/>
      <c r="L1740" s="612"/>
    </row>
    <row r="1741" spans="1:12" ht="24" customHeight="1">
      <c r="A1741" s="612" t="s">
        <v>13679</v>
      </c>
      <c r="B1741" s="636" t="s">
        <v>12698</v>
      </c>
      <c r="C1741" s="612" t="s">
        <v>12699</v>
      </c>
      <c r="D1741" s="612" t="s">
        <v>12700</v>
      </c>
      <c r="E1741" s="637" t="s">
        <v>12702</v>
      </c>
      <c r="F1741" s="801" t="s">
        <v>12704</v>
      </c>
      <c r="G1741" s="801"/>
      <c r="H1741" s="801" t="s">
        <v>13678</v>
      </c>
      <c r="I1741" s="801"/>
      <c r="J1741" s="801" t="s">
        <v>12705</v>
      </c>
      <c r="K1741" s="801"/>
      <c r="L1741" s="801"/>
    </row>
    <row r="1742" spans="1:12" ht="17.100000000000001" customHeight="1">
      <c r="A1742" s="626" t="s">
        <v>12709</v>
      </c>
      <c r="B1742" s="627" t="s">
        <v>12999</v>
      </c>
      <c r="C1742" s="626" t="s">
        <v>8</v>
      </c>
      <c r="D1742" s="626" t="s">
        <v>11251</v>
      </c>
      <c r="E1742" s="628" t="s">
        <v>23</v>
      </c>
      <c r="F1742" s="816" t="s">
        <v>13681</v>
      </c>
      <c r="G1742" s="816"/>
      <c r="H1742" s="816">
        <v>1.6428611</v>
      </c>
      <c r="I1742" s="816"/>
      <c r="J1742" s="817">
        <v>0.115</v>
      </c>
      <c r="K1742" s="817"/>
      <c r="L1742" s="817"/>
    </row>
    <row r="1743" spans="1:12">
      <c r="A1743" s="636"/>
      <c r="B1743" s="636"/>
      <c r="C1743" s="636"/>
      <c r="D1743" s="636"/>
      <c r="E1743" s="636"/>
      <c r="F1743" s="636"/>
      <c r="G1743" s="636"/>
      <c r="H1743" s="636"/>
      <c r="I1743" s="636"/>
      <c r="J1743" s="636" t="s">
        <v>13675</v>
      </c>
      <c r="K1743" s="636"/>
      <c r="L1743" s="636" t="s">
        <v>13751</v>
      </c>
    </row>
    <row r="1744" spans="1:12" ht="17.100000000000001" customHeight="1">
      <c r="A1744" s="802" t="s">
        <v>12712</v>
      </c>
      <c r="B1744" s="802"/>
      <c r="C1744" s="802"/>
      <c r="D1744" s="802"/>
      <c r="E1744" s="802"/>
      <c r="F1744" s="802"/>
      <c r="G1744" s="802"/>
      <c r="H1744" s="802"/>
      <c r="I1744" s="612"/>
      <c r="J1744" s="612"/>
      <c r="K1744" s="612"/>
      <c r="L1744" s="612"/>
    </row>
    <row r="1745" spans="1:12" ht="24" customHeight="1">
      <c r="A1745" s="612" t="s">
        <v>13679</v>
      </c>
      <c r="B1745" s="636" t="s">
        <v>12698</v>
      </c>
      <c r="C1745" s="612" t="s">
        <v>12699</v>
      </c>
      <c r="D1745" s="612" t="s">
        <v>12700</v>
      </c>
      <c r="E1745" s="637" t="s">
        <v>12702</v>
      </c>
      <c r="F1745" s="801" t="s">
        <v>12704</v>
      </c>
      <c r="G1745" s="801"/>
      <c r="H1745" s="801" t="s">
        <v>13678</v>
      </c>
      <c r="I1745" s="801"/>
      <c r="J1745" s="801" t="s">
        <v>12705</v>
      </c>
      <c r="K1745" s="801"/>
      <c r="L1745" s="801"/>
    </row>
    <row r="1746" spans="1:12" ht="24" customHeight="1">
      <c r="A1746" s="626" t="s">
        <v>12709</v>
      </c>
      <c r="B1746" s="627" t="s">
        <v>13002</v>
      </c>
      <c r="C1746" s="626" t="s">
        <v>8</v>
      </c>
      <c r="D1746" s="626" t="s">
        <v>9306</v>
      </c>
      <c r="E1746" s="628" t="s">
        <v>23</v>
      </c>
      <c r="F1746" s="816" t="s">
        <v>13677</v>
      </c>
      <c r="G1746" s="816"/>
      <c r="H1746" s="816">
        <v>1.6428611</v>
      </c>
      <c r="I1746" s="816"/>
      <c r="J1746" s="817">
        <v>0.57499999999999996</v>
      </c>
      <c r="K1746" s="817"/>
      <c r="L1746" s="817"/>
    </row>
    <row r="1747" spans="1:12" ht="17.100000000000001" customHeight="1">
      <c r="A1747" s="626" t="s">
        <v>12709</v>
      </c>
      <c r="B1747" s="627" t="s">
        <v>13004</v>
      </c>
      <c r="C1747" s="626" t="s">
        <v>8</v>
      </c>
      <c r="D1747" s="626" t="s">
        <v>7388</v>
      </c>
      <c r="E1747" s="628" t="s">
        <v>23</v>
      </c>
      <c r="F1747" s="816" t="s">
        <v>13676</v>
      </c>
      <c r="G1747" s="816"/>
      <c r="H1747" s="816">
        <v>1.6428611</v>
      </c>
      <c r="I1747" s="816"/>
      <c r="J1747" s="817">
        <v>3.6143000000000001</v>
      </c>
      <c r="K1747" s="817"/>
      <c r="L1747" s="817"/>
    </row>
    <row r="1748" spans="1:12" ht="17.100000000000001" customHeight="1">
      <c r="A1748" s="636"/>
      <c r="B1748" s="636"/>
      <c r="C1748" s="636"/>
      <c r="D1748" s="636"/>
      <c r="E1748" s="636"/>
      <c r="F1748" s="636"/>
      <c r="G1748" s="636"/>
      <c r="H1748" s="636"/>
      <c r="I1748" s="636"/>
      <c r="J1748" s="636" t="s">
        <v>13675</v>
      </c>
      <c r="K1748" s="636"/>
      <c r="L1748" s="636" t="s">
        <v>13750</v>
      </c>
    </row>
    <row r="1749" spans="1:12" ht="17.100000000000001" customHeight="1">
      <c r="A1749" s="612" t="s">
        <v>13673</v>
      </c>
      <c r="B1749" s="612"/>
      <c r="C1749" s="612"/>
      <c r="D1749" s="612"/>
      <c r="E1749" s="612"/>
      <c r="F1749" s="612"/>
      <c r="G1749" s="612"/>
      <c r="H1749" s="612"/>
      <c r="I1749" s="612"/>
      <c r="J1749" s="612"/>
      <c r="K1749" s="612"/>
      <c r="L1749" s="612"/>
    </row>
    <row r="1750" spans="1:12" ht="17.100000000000001" customHeight="1">
      <c r="A1750" s="636"/>
      <c r="B1750" s="636"/>
      <c r="C1750" s="636"/>
      <c r="D1750" s="636"/>
      <c r="E1750" s="636"/>
      <c r="F1750" s="636"/>
      <c r="G1750" s="636"/>
      <c r="H1750" s="636"/>
      <c r="I1750" s="636"/>
      <c r="J1750" s="636" t="s">
        <v>13672</v>
      </c>
      <c r="K1750" s="636"/>
      <c r="L1750" s="636" t="s">
        <v>15054</v>
      </c>
    </row>
    <row r="1751" spans="1:12" ht="17.100000000000001" customHeight="1">
      <c r="A1751" s="636"/>
      <c r="B1751" s="636"/>
      <c r="C1751" s="636"/>
      <c r="D1751" s="636"/>
      <c r="E1751" s="636"/>
      <c r="F1751" s="636"/>
      <c r="G1751" s="636"/>
      <c r="H1751" s="636"/>
      <c r="I1751" s="636"/>
      <c r="J1751" s="636" t="s">
        <v>13671</v>
      </c>
      <c r="K1751" s="636" t="s">
        <v>14461</v>
      </c>
      <c r="L1751" s="636" t="s">
        <v>15055</v>
      </c>
    </row>
    <row r="1752" spans="1:12" ht="17.100000000000001" customHeight="1">
      <c r="A1752" s="636"/>
      <c r="B1752" s="636"/>
      <c r="C1752" s="636"/>
      <c r="D1752" s="636"/>
      <c r="E1752" s="636"/>
      <c r="F1752" s="636"/>
      <c r="G1752" s="636"/>
      <c r="H1752" s="636"/>
      <c r="I1752" s="636"/>
      <c r="J1752" s="636" t="s">
        <v>13670</v>
      </c>
      <c r="K1752" s="636"/>
      <c r="L1752" s="636" t="s">
        <v>15056</v>
      </c>
    </row>
    <row r="1753" spans="1:12" ht="17.100000000000001" customHeight="1">
      <c r="A1753" s="636"/>
      <c r="B1753" s="636"/>
      <c r="C1753" s="636"/>
      <c r="D1753" s="636"/>
      <c r="E1753" s="636"/>
      <c r="F1753" s="636"/>
      <c r="G1753" s="636"/>
      <c r="H1753" s="636"/>
      <c r="I1753" s="636"/>
      <c r="J1753" s="636" t="s">
        <v>13669</v>
      </c>
      <c r="K1753" s="636" t="s">
        <v>13667</v>
      </c>
      <c r="L1753" s="636" t="s">
        <v>15057</v>
      </c>
    </row>
    <row r="1754" spans="1:12" ht="30" customHeight="1">
      <c r="A1754" s="636"/>
      <c r="B1754" s="636"/>
      <c r="C1754" s="636"/>
      <c r="D1754" s="636"/>
      <c r="E1754" s="636"/>
      <c r="F1754" s="636"/>
      <c r="G1754" s="636"/>
      <c r="H1754" s="636"/>
      <c r="I1754" s="636"/>
      <c r="J1754" s="636" t="s">
        <v>13668</v>
      </c>
      <c r="K1754" s="636"/>
      <c r="L1754" s="636" t="s">
        <v>15058</v>
      </c>
    </row>
    <row r="1755" spans="1:12" ht="24" customHeight="1">
      <c r="A1755" s="637"/>
      <c r="B1755" s="637"/>
      <c r="C1755" s="637"/>
      <c r="D1755" s="637"/>
      <c r="E1755" s="637"/>
      <c r="F1755" s="637"/>
      <c r="G1755" s="637"/>
      <c r="H1755" s="637"/>
      <c r="I1755" s="637"/>
      <c r="J1755" s="637"/>
      <c r="K1755" s="637"/>
      <c r="L1755" s="637"/>
    </row>
    <row r="1756" spans="1:12" ht="14.25" customHeight="1">
      <c r="A1756" s="616" t="s">
        <v>14221</v>
      </c>
      <c r="B1756" s="617" t="s">
        <v>13623</v>
      </c>
      <c r="C1756" s="616" t="s">
        <v>8</v>
      </c>
      <c r="D1756" s="616" t="s">
        <v>681</v>
      </c>
      <c r="E1756" s="618" t="s">
        <v>12730</v>
      </c>
      <c r="F1756" s="617"/>
      <c r="G1756" s="617"/>
      <c r="H1756" s="617"/>
      <c r="I1756" s="617"/>
      <c r="J1756" s="617"/>
      <c r="K1756" s="617"/>
      <c r="L1756" s="617"/>
    </row>
    <row r="1757" spans="1:12" ht="17.100000000000001" customHeight="1">
      <c r="A1757" s="802" t="s">
        <v>12711</v>
      </c>
      <c r="B1757" s="802"/>
      <c r="C1757" s="802"/>
      <c r="D1757" s="802"/>
      <c r="E1757" s="802"/>
      <c r="F1757" s="802"/>
      <c r="G1757" s="802"/>
      <c r="H1757" s="802"/>
      <c r="I1757" s="612"/>
      <c r="J1757" s="612"/>
      <c r="K1757" s="612"/>
      <c r="L1757" s="612"/>
    </row>
    <row r="1758" spans="1:12" ht="24" customHeight="1">
      <c r="A1758" s="612" t="s">
        <v>13679</v>
      </c>
      <c r="B1758" s="636" t="s">
        <v>12698</v>
      </c>
      <c r="C1758" s="612" t="s">
        <v>12699</v>
      </c>
      <c r="D1758" s="612" t="s">
        <v>12700</v>
      </c>
      <c r="E1758" s="637" t="s">
        <v>12702</v>
      </c>
      <c r="F1758" s="801" t="s">
        <v>12704</v>
      </c>
      <c r="G1758" s="801"/>
      <c r="H1758" s="801" t="s">
        <v>13678</v>
      </c>
      <c r="I1758" s="801"/>
      <c r="J1758" s="801" t="s">
        <v>12705</v>
      </c>
      <c r="K1758" s="801"/>
      <c r="L1758" s="801"/>
    </row>
    <row r="1759" spans="1:12" ht="24" customHeight="1">
      <c r="A1759" s="626" t="s">
        <v>12709</v>
      </c>
      <c r="B1759" s="627" t="s">
        <v>13268</v>
      </c>
      <c r="C1759" s="626" t="s">
        <v>8</v>
      </c>
      <c r="D1759" s="626" t="s">
        <v>8451</v>
      </c>
      <c r="E1759" s="628" t="s">
        <v>35</v>
      </c>
      <c r="F1759" s="816" t="s">
        <v>14506</v>
      </c>
      <c r="G1759" s="816"/>
      <c r="H1759" s="816">
        <v>5.0300000000000003E-5</v>
      </c>
      <c r="I1759" s="816"/>
      <c r="J1759" s="817">
        <v>0.54879999999999995</v>
      </c>
      <c r="K1759" s="817"/>
      <c r="L1759" s="817"/>
    </row>
    <row r="1760" spans="1:12" ht="24" customHeight="1">
      <c r="A1760" s="626" t="s">
        <v>12709</v>
      </c>
      <c r="B1760" s="627" t="s">
        <v>13003</v>
      </c>
      <c r="C1760" s="626" t="s">
        <v>8</v>
      </c>
      <c r="D1760" s="626" t="s">
        <v>9227</v>
      </c>
      <c r="E1760" s="628" t="s">
        <v>23</v>
      </c>
      <c r="F1760" s="816" t="s">
        <v>13732</v>
      </c>
      <c r="G1760" s="816"/>
      <c r="H1760" s="816">
        <v>0.53689819999999999</v>
      </c>
      <c r="I1760" s="816"/>
      <c r="J1760" s="817">
        <v>0.35439999999999999</v>
      </c>
      <c r="K1760" s="817"/>
      <c r="L1760" s="817"/>
    </row>
    <row r="1761" spans="1:12" ht="24" customHeight="1">
      <c r="A1761" s="626" t="s">
        <v>12709</v>
      </c>
      <c r="B1761" s="627" t="s">
        <v>13001</v>
      </c>
      <c r="C1761" s="626" t="s">
        <v>8</v>
      </c>
      <c r="D1761" s="626" t="s">
        <v>9374</v>
      </c>
      <c r="E1761" s="628" t="s">
        <v>23</v>
      </c>
      <c r="F1761" s="816" t="s">
        <v>13728</v>
      </c>
      <c r="G1761" s="816"/>
      <c r="H1761" s="816">
        <v>0.53689819999999999</v>
      </c>
      <c r="I1761" s="816"/>
      <c r="J1761" s="817">
        <v>5.4000000000000003E-3</v>
      </c>
      <c r="K1761" s="817"/>
      <c r="L1761" s="817"/>
    </row>
    <row r="1762" spans="1:12" ht="17.100000000000001" customHeight="1">
      <c r="A1762" s="626" t="s">
        <v>12709</v>
      </c>
      <c r="B1762" s="627" t="s">
        <v>13274</v>
      </c>
      <c r="C1762" s="626" t="s">
        <v>8</v>
      </c>
      <c r="D1762" s="626" t="s">
        <v>8201</v>
      </c>
      <c r="E1762" s="628" t="s">
        <v>35</v>
      </c>
      <c r="F1762" s="816" t="s">
        <v>14721</v>
      </c>
      <c r="G1762" s="816"/>
      <c r="H1762" s="816">
        <v>6.9999999999999997E-7</v>
      </c>
      <c r="I1762" s="816"/>
      <c r="J1762" s="817">
        <v>0.2243</v>
      </c>
      <c r="K1762" s="817"/>
      <c r="L1762" s="817"/>
    </row>
    <row r="1763" spans="1:12" ht="14.25" customHeight="1">
      <c r="A1763" s="626" t="s">
        <v>12709</v>
      </c>
      <c r="B1763" s="627" t="s">
        <v>13048</v>
      </c>
      <c r="C1763" s="626" t="s">
        <v>8</v>
      </c>
      <c r="D1763" s="626" t="s">
        <v>9233</v>
      </c>
      <c r="E1763" s="628" t="s">
        <v>23</v>
      </c>
      <c r="F1763" s="816" t="s">
        <v>13690</v>
      </c>
      <c r="G1763" s="816"/>
      <c r="H1763" s="816">
        <v>0.65887510000000005</v>
      </c>
      <c r="I1763" s="816"/>
      <c r="J1763" s="817">
        <v>0.67210000000000003</v>
      </c>
      <c r="K1763" s="817"/>
      <c r="L1763" s="817"/>
    </row>
    <row r="1764" spans="1:12" ht="17.100000000000001" customHeight="1">
      <c r="A1764" s="626" t="s">
        <v>12709</v>
      </c>
      <c r="B1764" s="627" t="s">
        <v>13047</v>
      </c>
      <c r="C1764" s="626" t="s">
        <v>8</v>
      </c>
      <c r="D1764" s="626" t="s">
        <v>9380</v>
      </c>
      <c r="E1764" s="628" t="s">
        <v>23</v>
      </c>
      <c r="F1764" s="816" t="s">
        <v>13689</v>
      </c>
      <c r="G1764" s="816"/>
      <c r="H1764" s="816">
        <v>0.65887510000000005</v>
      </c>
      <c r="I1764" s="816"/>
      <c r="J1764" s="817">
        <v>0.25040000000000001</v>
      </c>
      <c r="K1764" s="817"/>
      <c r="L1764" s="817"/>
    </row>
    <row r="1765" spans="1:12" ht="24" customHeight="1">
      <c r="A1765" s="636"/>
      <c r="B1765" s="636"/>
      <c r="C1765" s="636"/>
      <c r="D1765" s="636"/>
      <c r="E1765" s="636"/>
      <c r="F1765" s="636"/>
      <c r="G1765" s="636"/>
      <c r="H1765" s="636"/>
      <c r="I1765" s="636"/>
      <c r="J1765" s="636" t="s">
        <v>13675</v>
      </c>
      <c r="K1765" s="636"/>
      <c r="L1765" s="636" t="s">
        <v>14095</v>
      </c>
    </row>
    <row r="1766" spans="1:12" ht="24" customHeight="1">
      <c r="A1766" s="802" t="s">
        <v>12710</v>
      </c>
      <c r="B1766" s="802"/>
      <c r="C1766" s="802"/>
      <c r="D1766" s="802"/>
      <c r="E1766" s="802"/>
      <c r="F1766" s="802"/>
      <c r="G1766" s="802"/>
      <c r="H1766" s="802"/>
      <c r="I1766" s="612"/>
      <c r="J1766" s="612"/>
      <c r="K1766" s="612"/>
      <c r="L1766" s="612"/>
    </row>
    <row r="1767" spans="1:12" ht="17.100000000000001" customHeight="1">
      <c r="A1767" s="612" t="s">
        <v>13679</v>
      </c>
      <c r="B1767" s="636" t="s">
        <v>12698</v>
      </c>
      <c r="C1767" s="612" t="s">
        <v>12699</v>
      </c>
      <c r="D1767" s="612" t="s">
        <v>12700</v>
      </c>
      <c r="E1767" s="637" t="s">
        <v>12702</v>
      </c>
      <c r="F1767" s="801" t="s">
        <v>12704</v>
      </c>
      <c r="G1767" s="801"/>
      <c r="H1767" s="801" t="s">
        <v>13678</v>
      </c>
      <c r="I1767" s="801"/>
      <c r="J1767" s="801" t="s">
        <v>12705</v>
      </c>
      <c r="K1767" s="801"/>
      <c r="L1767" s="801"/>
    </row>
    <row r="1768" spans="1:12" ht="25.5">
      <c r="A1768" s="626" t="s">
        <v>12709</v>
      </c>
      <c r="B1768" s="627" t="s">
        <v>13103</v>
      </c>
      <c r="C1768" s="626" t="s">
        <v>8</v>
      </c>
      <c r="D1768" s="626" t="s">
        <v>10570</v>
      </c>
      <c r="E1768" s="628" t="s">
        <v>23</v>
      </c>
      <c r="F1768" s="816" t="s">
        <v>14289</v>
      </c>
      <c r="G1768" s="816"/>
      <c r="H1768" s="816">
        <v>0.53126099999999998</v>
      </c>
      <c r="I1768" s="816"/>
      <c r="J1768" s="817">
        <v>2.7040999999999999</v>
      </c>
      <c r="K1768" s="817"/>
      <c r="L1768" s="817"/>
    </row>
    <row r="1769" spans="1:12" ht="17.100000000000001" customHeight="1">
      <c r="A1769" s="626" t="s">
        <v>12709</v>
      </c>
      <c r="B1769" s="627" t="s">
        <v>13126</v>
      </c>
      <c r="C1769" s="626" t="s">
        <v>8</v>
      </c>
      <c r="D1769" s="626" t="s">
        <v>10465</v>
      </c>
      <c r="E1769" s="628" t="s">
        <v>23</v>
      </c>
      <c r="F1769" s="816" t="s">
        <v>14604</v>
      </c>
      <c r="G1769" s="816"/>
      <c r="H1769" s="816">
        <v>9.0161000000000008E-3</v>
      </c>
      <c r="I1769" s="816"/>
      <c r="J1769" s="817">
        <v>4.9500000000000002E-2</v>
      </c>
      <c r="K1769" s="817"/>
      <c r="L1769" s="817"/>
    </row>
    <row r="1770" spans="1:12" ht="48" customHeight="1">
      <c r="A1770" s="626" t="s">
        <v>12709</v>
      </c>
      <c r="B1770" s="627" t="s">
        <v>13046</v>
      </c>
      <c r="C1770" s="626" t="s">
        <v>8</v>
      </c>
      <c r="D1770" s="626" t="s">
        <v>11281</v>
      </c>
      <c r="E1770" s="628" t="s">
        <v>23</v>
      </c>
      <c r="F1770" s="816" t="s">
        <v>13731</v>
      </c>
      <c r="G1770" s="816"/>
      <c r="H1770" s="816">
        <v>0.66747780000000001</v>
      </c>
      <c r="I1770" s="816"/>
      <c r="J1770" s="817">
        <v>3.4308000000000001</v>
      </c>
      <c r="K1770" s="817"/>
      <c r="L1770" s="817"/>
    </row>
    <row r="1771" spans="1:12" ht="17.100000000000001" customHeight="1">
      <c r="A1771" s="636"/>
      <c r="B1771" s="636"/>
      <c r="C1771" s="636"/>
      <c r="D1771" s="636"/>
      <c r="E1771" s="636"/>
      <c r="F1771" s="636"/>
      <c r="G1771" s="636"/>
      <c r="H1771" s="636"/>
      <c r="I1771" s="636"/>
      <c r="J1771" s="636" t="s">
        <v>13675</v>
      </c>
      <c r="K1771" s="636"/>
      <c r="L1771" s="636" t="s">
        <v>14203</v>
      </c>
    </row>
    <row r="1772" spans="1:12">
      <c r="A1772" s="802" t="s">
        <v>12720</v>
      </c>
      <c r="B1772" s="802"/>
      <c r="C1772" s="802"/>
      <c r="D1772" s="802"/>
      <c r="E1772" s="802"/>
      <c r="F1772" s="802"/>
      <c r="G1772" s="802"/>
      <c r="H1772" s="802"/>
      <c r="I1772" s="612"/>
      <c r="J1772" s="612"/>
      <c r="K1772" s="612"/>
      <c r="L1772" s="612"/>
    </row>
    <row r="1773" spans="1:12" ht="17.100000000000001" customHeight="1">
      <c r="A1773" s="612" t="s">
        <v>13679</v>
      </c>
      <c r="B1773" s="636" t="s">
        <v>12698</v>
      </c>
      <c r="C1773" s="612" t="s">
        <v>12699</v>
      </c>
      <c r="D1773" s="612" t="s">
        <v>12700</v>
      </c>
      <c r="E1773" s="637" t="s">
        <v>12702</v>
      </c>
      <c r="F1773" s="801" t="s">
        <v>12704</v>
      </c>
      <c r="G1773" s="801"/>
      <c r="H1773" s="801" t="s">
        <v>13678</v>
      </c>
      <c r="I1773" s="801"/>
      <c r="J1773" s="801" t="s">
        <v>12705</v>
      </c>
      <c r="K1773" s="801"/>
      <c r="L1773" s="801"/>
    </row>
    <row r="1774" spans="1:12" ht="24" customHeight="1">
      <c r="A1774" s="626" t="s">
        <v>12709</v>
      </c>
      <c r="B1774" s="627" t="s">
        <v>13266</v>
      </c>
      <c r="C1774" s="626" t="s">
        <v>8</v>
      </c>
      <c r="D1774" s="626" t="s">
        <v>9514</v>
      </c>
      <c r="E1774" s="628" t="s">
        <v>58</v>
      </c>
      <c r="F1774" s="816" t="s">
        <v>14009</v>
      </c>
      <c r="G1774" s="816"/>
      <c r="H1774" s="816">
        <v>0.28216649999999999</v>
      </c>
      <c r="I1774" s="816"/>
      <c r="J1774" s="817">
        <v>1.0609</v>
      </c>
      <c r="K1774" s="817"/>
      <c r="L1774" s="817"/>
    </row>
    <row r="1775" spans="1:12" ht="17.100000000000001" customHeight="1">
      <c r="A1775" s="626" t="s">
        <v>12709</v>
      </c>
      <c r="B1775" s="627" t="s">
        <v>13273</v>
      </c>
      <c r="C1775" s="626" t="s">
        <v>8</v>
      </c>
      <c r="D1775" s="626" t="s">
        <v>11409</v>
      </c>
      <c r="E1775" s="628" t="s">
        <v>35</v>
      </c>
      <c r="F1775" s="816" t="s">
        <v>14720</v>
      </c>
      <c r="G1775" s="816"/>
      <c r="H1775" s="816">
        <v>6.9999999999999997E-7</v>
      </c>
      <c r="I1775" s="816"/>
      <c r="J1775" s="817">
        <v>3.85E-2</v>
      </c>
      <c r="K1775" s="817"/>
      <c r="L1775" s="817"/>
    </row>
    <row r="1776" spans="1:12" ht="25.5">
      <c r="A1776" s="626" t="s">
        <v>12709</v>
      </c>
      <c r="B1776" s="627" t="s">
        <v>13007</v>
      </c>
      <c r="C1776" s="626" t="s">
        <v>8</v>
      </c>
      <c r="D1776" s="626" t="s">
        <v>10549</v>
      </c>
      <c r="E1776" s="628" t="s">
        <v>58</v>
      </c>
      <c r="F1776" s="816" t="s">
        <v>14172</v>
      </c>
      <c r="G1776" s="816"/>
      <c r="H1776" s="816">
        <v>0.19292339999999999</v>
      </c>
      <c r="I1776" s="816"/>
      <c r="J1776" s="817">
        <v>0.62509999999999999</v>
      </c>
      <c r="K1776" s="817"/>
      <c r="L1776" s="817"/>
    </row>
    <row r="1777" spans="1:12" ht="17.100000000000001" customHeight="1">
      <c r="A1777" s="636"/>
      <c r="B1777" s="636"/>
      <c r="C1777" s="636"/>
      <c r="D1777" s="636"/>
      <c r="E1777" s="636"/>
      <c r="F1777" s="636"/>
      <c r="G1777" s="636"/>
      <c r="H1777" s="636"/>
      <c r="I1777" s="636"/>
      <c r="J1777" s="636" t="s">
        <v>13675</v>
      </c>
      <c r="K1777" s="636"/>
      <c r="L1777" s="636" t="s">
        <v>13766</v>
      </c>
    </row>
    <row r="1778" spans="1:12" ht="24" customHeight="1">
      <c r="A1778" s="802" t="s">
        <v>12722</v>
      </c>
      <c r="B1778" s="802"/>
      <c r="C1778" s="802"/>
      <c r="D1778" s="802"/>
      <c r="E1778" s="802"/>
      <c r="F1778" s="802"/>
      <c r="G1778" s="802"/>
      <c r="H1778" s="802"/>
      <c r="I1778" s="612"/>
      <c r="J1778" s="612"/>
      <c r="K1778" s="612"/>
      <c r="L1778" s="612"/>
    </row>
    <row r="1779" spans="1:12" ht="17.100000000000001" customHeight="1">
      <c r="A1779" s="612" t="s">
        <v>13679</v>
      </c>
      <c r="B1779" s="636" t="s">
        <v>12698</v>
      </c>
      <c r="C1779" s="612" t="s">
        <v>12699</v>
      </c>
      <c r="D1779" s="612" t="s">
        <v>12700</v>
      </c>
      <c r="E1779" s="637" t="s">
        <v>12702</v>
      </c>
      <c r="F1779" s="801" t="s">
        <v>12704</v>
      </c>
      <c r="G1779" s="801"/>
      <c r="H1779" s="801" t="s">
        <v>13678</v>
      </c>
      <c r="I1779" s="801"/>
      <c r="J1779" s="801" t="s">
        <v>12705</v>
      </c>
      <c r="K1779" s="801"/>
      <c r="L1779" s="801"/>
    </row>
    <row r="1780" spans="1:12" ht="25.5">
      <c r="A1780" s="626" t="s">
        <v>12709</v>
      </c>
      <c r="B1780" s="627" t="s">
        <v>12998</v>
      </c>
      <c r="C1780" s="626" t="s">
        <v>8</v>
      </c>
      <c r="D1780" s="626" t="s">
        <v>11861</v>
      </c>
      <c r="E1780" s="628" t="s">
        <v>23</v>
      </c>
      <c r="F1780" s="816" t="s">
        <v>13683</v>
      </c>
      <c r="G1780" s="816"/>
      <c r="H1780" s="816">
        <v>1.1957732000000001</v>
      </c>
      <c r="I1780" s="816"/>
      <c r="J1780" s="817">
        <v>0.84899999999999998</v>
      </c>
      <c r="K1780" s="817"/>
      <c r="L1780" s="817"/>
    </row>
    <row r="1781" spans="1:12" ht="17.100000000000001" customHeight="1">
      <c r="A1781" s="636"/>
      <c r="B1781" s="636"/>
      <c r="C1781" s="636"/>
      <c r="D1781" s="636"/>
      <c r="E1781" s="636"/>
      <c r="F1781" s="636"/>
      <c r="G1781" s="636"/>
      <c r="H1781" s="636"/>
      <c r="I1781" s="636"/>
      <c r="J1781" s="636" t="s">
        <v>13675</v>
      </c>
      <c r="K1781" s="636"/>
      <c r="L1781" s="636" t="s">
        <v>13906</v>
      </c>
    </row>
    <row r="1782" spans="1:12" ht="24" customHeight="1">
      <c r="A1782" s="802" t="s">
        <v>12713</v>
      </c>
      <c r="B1782" s="802"/>
      <c r="C1782" s="802"/>
      <c r="D1782" s="802"/>
      <c r="E1782" s="802"/>
      <c r="F1782" s="802"/>
      <c r="G1782" s="802"/>
      <c r="H1782" s="802"/>
      <c r="I1782" s="612"/>
      <c r="J1782" s="612"/>
      <c r="K1782" s="612"/>
      <c r="L1782" s="612"/>
    </row>
    <row r="1783" spans="1:12" ht="24" customHeight="1">
      <c r="A1783" s="612" t="s">
        <v>13679</v>
      </c>
      <c r="B1783" s="636" t="s">
        <v>12698</v>
      </c>
      <c r="C1783" s="612" t="s">
        <v>12699</v>
      </c>
      <c r="D1783" s="612" t="s">
        <v>12700</v>
      </c>
      <c r="E1783" s="637" t="s">
        <v>12702</v>
      </c>
      <c r="F1783" s="801" t="s">
        <v>12704</v>
      </c>
      <c r="G1783" s="801"/>
      <c r="H1783" s="801" t="s">
        <v>13678</v>
      </c>
      <c r="I1783" s="801"/>
      <c r="J1783" s="801" t="s">
        <v>12705</v>
      </c>
      <c r="K1783" s="801"/>
      <c r="L1783" s="801"/>
    </row>
    <row r="1784" spans="1:12" ht="17.100000000000001" customHeight="1">
      <c r="A1784" s="626" t="s">
        <v>12709</v>
      </c>
      <c r="B1784" s="627" t="s">
        <v>12999</v>
      </c>
      <c r="C1784" s="626" t="s">
        <v>8</v>
      </c>
      <c r="D1784" s="626" t="s">
        <v>11251</v>
      </c>
      <c r="E1784" s="628" t="s">
        <v>23</v>
      </c>
      <c r="F1784" s="816" t="s">
        <v>13681</v>
      </c>
      <c r="G1784" s="816"/>
      <c r="H1784" s="816">
        <v>1.1957732000000001</v>
      </c>
      <c r="I1784" s="816"/>
      <c r="J1784" s="817">
        <v>8.3699999999999997E-2</v>
      </c>
      <c r="K1784" s="817"/>
      <c r="L1784" s="817"/>
    </row>
    <row r="1785" spans="1:12" ht="17.100000000000001" customHeight="1">
      <c r="A1785" s="636"/>
      <c r="B1785" s="636"/>
      <c r="C1785" s="636"/>
      <c r="D1785" s="636"/>
      <c r="E1785" s="636"/>
      <c r="F1785" s="636"/>
      <c r="G1785" s="636"/>
      <c r="H1785" s="636"/>
      <c r="I1785" s="636"/>
      <c r="J1785" s="636" t="s">
        <v>13675</v>
      </c>
      <c r="K1785" s="636"/>
      <c r="L1785" s="636" t="s">
        <v>13892</v>
      </c>
    </row>
    <row r="1786" spans="1:12" ht="17.100000000000001" customHeight="1">
      <c r="A1786" s="802" t="s">
        <v>12712</v>
      </c>
      <c r="B1786" s="802"/>
      <c r="C1786" s="802"/>
      <c r="D1786" s="802"/>
      <c r="E1786" s="802"/>
      <c r="F1786" s="802"/>
      <c r="G1786" s="802"/>
      <c r="H1786" s="802"/>
      <c r="I1786" s="612"/>
      <c r="J1786" s="612"/>
      <c r="K1786" s="612"/>
      <c r="L1786" s="612"/>
    </row>
    <row r="1787" spans="1:12" ht="17.100000000000001" customHeight="1">
      <c r="A1787" s="612" t="s">
        <v>13679</v>
      </c>
      <c r="B1787" s="636" t="s">
        <v>12698</v>
      </c>
      <c r="C1787" s="612" t="s">
        <v>12699</v>
      </c>
      <c r="D1787" s="612" t="s">
        <v>12700</v>
      </c>
      <c r="E1787" s="637" t="s">
        <v>12702</v>
      </c>
      <c r="F1787" s="801" t="s">
        <v>12704</v>
      </c>
      <c r="G1787" s="801"/>
      <c r="H1787" s="801" t="s">
        <v>13678</v>
      </c>
      <c r="I1787" s="801"/>
      <c r="J1787" s="801" t="s">
        <v>12705</v>
      </c>
      <c r="K1787" s="801"/>
      <c r="L1787" s="801"/>
    </row>
    <row r="1788" spans="1:12" ht="17.100000000000001" customHeight="1">
      <c r="A1788" s="626" t="s">
        <v>12709</v>
      </c>
      <c r="B1788" s="627" t="s">
        <v>13002</v>
      </c>
      <c r="C1788" s="626" t="s">
        <v>8</v>
      </c>
      <c r="D1788" s="626" t="s">
        <v>9306</v>
      </c>
      <c r="E1788" s="628" t="s">
        <v>23</v>
      </c>
      <c r="F1788" s="816" t="s">
        <v>13677</v>
      </c>
      <c r="G1788" s="816"/>
      <c r="H1788" s="816">
        <v>1.1957732000000001</v>
      </c>
      <c r="I1788" s="816"/>
      <c r="J1788" s="817">
        <v>0.41849999999999998</v>
      </c>
      <c r="K1788" s="817"/>
      <c r="L1788" s="817"/>
    </row>
    <row r="1789" spans="1:12" ht="17.100000000000001" customHeight="1">
      <c r="A1789" s="626" t="s">
        <v>12709</v>
      </c>
      <c r="B1789" s="627" t="s">
        <v>13004</v>
      </c>
      <c r="C1789" s="626" t="s">
        <v>8</v>
      </c>
      <c r="D1789" s="626" t="s">
        <v>7388</v>
      </c>
      <c r="E1789" s="628" t="s">
        <v>23</v>
      </c>
      <c r="F1789" s="816" t="s">
        <v>13676</v>
      </c>
      <c r="G1789" s="816"/>
      <c r="H1789" s="816">
        <v>1.1957732000000001</v>
      </c>
      <c r="I1789" s="816"/>
      <c r="J1789" s="817">
        <v>2.6307</v>
      </c>
      <c r="K1789" s="817"/>
      <c r="L1789" s="817"/>
    </row>
    <row r="1790" spans="1:12" ht="17.100000000000001" customHeight="1">
      <c r="A1790" s="636"/>
      <c r="B1790" s="636"/>
      <c r="C1790" s="636"/>
      <c r="D1790" s="636"/>
      <c r="E1790" s="636"/>
      <c r="F1790" s="636"/>
      <c r="G1790" s="636"/>
      <c r="H1790" s="636"/>
      <c r="I1790" s="636"/>
      <c r="J1790" s="636" t="s">
        <v>13675</v>
      </c>
      <c r="K1790" s="636"/>
      <c r="L1790" s="636" t="s">
        <v>14719</v>
      </c>
    </row>
    <row r="1791" spans="1:12" ht="30" customHeight="1">
      <c r="A1791" s="612" t="s">
        <v>13673</v>
      </c>
      <c r="B1791" s="612"/>
      <c r="C1791" s="612"/>
      <c r="D1791" s="612"/>
      <c r="E1791" s="612"/>
      <c r="F1791" s="612"/>
      <c r="G1791" s="612"/>
      <c r="H1791" s="612"/>
      <c r="I1791" s="612"/>
      <c r="J1791" s="612"/>
      <c r="K1791" s="612"/>
      <c r="L1791" s="612"/>
    </row>
    <row r="1792" spans="1:12" ht="24" customHeight="1">
      <c r="A1792" s="636"/>
      <c r="B1792" s="636"/>
      <c r="C1792" s="636"/>
      <c r="D1792" s="636"/>
      <c r="E1792" s="636"/>
      <c r="F1792" s="636"/>
      <c r="G1792" s="636"/>
      <c r="H1792" s="636"/>
      <c r="I1792" s="636"/>
      <c r="J1792" s="636" t="s">
        <v>13672</v>
      </c>
      <c r="K1792" s="636"/>
      <c r="L1792" s="636" t="s">
        <v>15031</v>
      </c>
    </row>
    <row r="1793" spans="1:12" ht="14.25" customHeight="1">
      <c r="A1793" s="636"/>
      <c r="B1793" s="636"/>
      <c r="C1793" s="636"/>
      <c r="D1793" s="636"/>
      <c r="E1793" s="636"/>
      <c r="F1793" s="636"/>
      <c r="G1793" s="636"/>
      <c r="H1793" s="636"/>
      <c r="I1793" s="636"/>
      <c r="J1793" s="636" t="s">
        <v>13671</v>
      </c>
      <c r="K1793" s="636" t="s">
        <v>14461</v>
      </c>
      <c r="L1793" s="636" t="s">
        <v>14968</v>
      </c>
    </row>
    <row r="1794" spans="1:12" ht="17.100000000000001" customHeight="1">
      <c r="A1794" s="636"/>
      <c r="B1794" s="636"/>
      <c r="C1794" s="636"/>
      <c r="D1794" s="636"/>
      <c r="E1794" s="636"/>
      <c r="F1794" s="636"/>
      <c r="G1794" s="636"/>
      <c r="H1794" s="636"/>
      <c r="I1794" s="636"/>
      <c r="J1794" s="636" t="s">
        <v>13670</v>
      </c>
      <c r="K1794" s="636"/>
      <c r="L1794" s="636" t="s">
        <v>15032</v>
      </c>
    </row>
    <row r="1795" spans="1:12" ht="48" customHeight="1">
      <c r="A1795" s="636"/>
      <c r="B1795" s="636"/>
      <c r="C1795" s="636"/>
      <c r="D1795" s="636"/>
      <c r="E1795" s="636"/>
      <c r="F1795" s="636"/>
      <c r="G1795" s="636"/>
      <c r="H1795" s="636"/>
      <c r="I1795" s="636"/>
      <c r="J1795" s="636" t="s">
        <v>13669</v>
      </c>
      <c r="K1795" s="636" t="s">
        <v>13667</v>
      </c>
      <c r="L1795" s="636" t="s">
        <v>15033</v>
      </c>
    </row>
    <row r="1796" spans="1:12" ht="24" customHeight="1">
      <c r="A1796" s="636"/>
      <c r="B1796" s="636"/>
      <c r="C1796" s="636"/>
      <c r="D1796" s="636"/>
      <c r="E1796" s="636"/>
      <c r="F1796" s="636"/>
      <c r="G1796" s="636"/>
      <c r="H1796" s="636"/>
      <c r="I1796" s="636"/>
      <c r="J1796" s="636" t="s">
        <v>13668</v>
      </c>
      <c r="K1796" s="636"/>
      <c r="L1796" s="636" t="s">
        <v>15034</v>
      </c>
    </row>
    <row r="1797" spans="1:12" ht="24" customHeight="1">
      <c r="A1797" s="637"/>
      <c r="B1797" s="637"/>
      <c r="C1797" s="637"/>
      <c r="D1797" s="637"/>
      <c r="E1797" s="637"/>
      <c r="F1797" s="637"/>
      <c r="G1797" s="637"/>
      <c r="H1797" s="637"/>
      <c r="I1797" s="637"/>
      <c r="J1797" s="637"/>
      <c r="K1797" s="637"/>
      <c r="L1797" s="637"/>
    </row>
    <row r="1798" spans="1:12" ht="24" customHeight="1">
      <c r="A1798" s="616" t="s">
        <v>14220</v>
      </c>
      <c r="B1798" s="617" t="s">
        <v>13625</v>
      </c>
      <c r="C1798" s="616" t="s">
        <v>8</v>
      </c>
      <c r="D1798" s="616" t="s">
        <v>4874</v>
      </c>
      <c r="E1798" s="618" t="s">
        <v>12725</v>
      </c>
      <c r="F1798" s="617"/>
      <c r="G1798" s="617"/>
      <c r="H1798" s="617"/>
      <c r="I1798" s="617"/>
      <c r="J1798" s="617"/>
      <c r="K1798" s="617"/>
      <c r="L1798" s="617"/>
    </row>
    <row r="1799" spans="1:12" ht="24" customHeight="1">
      <c r="A1799" s="802" t="s">
        <v>12711</v>
      </c>
      <c r="B1799" s="802"/>
      <c r="C1799" s="802"/>
      <c r="D1799" s="802"/>
      <c r="E1799" s="802"/>
      <c r="F1799" s="802"/>
      <c r="G1799" s="802"/>
      <c r="H1799" s="802"/>
      <c r="I1799" s="612"/>
      <c r="J1799" s="612"/>
      <c r="K1799" s="612"/>
      <c r="L1799" s="612"/>
    </row>
    <row r="1800" spans="1:12" ht="17.100000000000001" customHeight="1">
      <c r="A1800" s="612" t="s">
        <v>13679</v>
      </c>
      <c r="B1800" s="636" t="s">
        <v>12698</v>
      </c>
      <c r="C1800" s="612" t="s">
        <v>12699</v>
      </c>
      <c r="D1800" s="612" t="s">
        <v>12700</v>
      </c>
      <c r="E1800" s="637" t="s">
        <v>12702</v>
      </c>
      <c r="F1800" s="801" t="s">
        <v>12704</v>
      </c>
      <c r="G1800" s="801"/>
      <c r="H1800" s="801" t="s">
        <v>13678</v>
      </c>
      <c r="I1800" s="801"/>
      <c r="J1800" s="801" t="s">
        <v>12705</v>
      </c>
      <c r="K1800" s="801"/>
      <c r="L1800" s="801"/>
    </row>
    <row r="1801" spans="1:12" ht="14.25" customHeight="1">
      <c r="A1801" s="626" t="s">
        <v>12709</v>
      </c>
      <c r="B1801" s="627" t="s">
        <v>13048</v>
      </c>
      <c r="C1801" s="626" t="s">
        <v>8</v>
      </c>
      <c r="D1801" s="626" t="s">
        <v>9233</v>
      </c>
      <c r="E1801" s="628" t="s">
        <v>23</v>
      </c>
      <c r="F1801" s="816" t="s">
        <v>13690</v>
      </c>
      <c r="G1801" s="816"/>
      <c r="H1801" s="816">
        <v>8.4681099999999995E-2</v>
      </c>
      <c r="I1801" s="816"/>
      <c r="J1801" s="817">
        <v>8.6400000000000005E-2</v>
      </c>
      <c r="K1801" s="817"/>
      <c r="L1801" s="817"/>
    </row>
    <row r="1802" spans="1:12" ht="17.100000000000001" customHeight="1">
      <c r="A1802" s="626" t="s">
        <v>12709</v>
      </c>
      <c r="B1802" s="627" t="s">
        <v>13047</v>
      </c>
      <c r="C1802" s="626" t="s">
        <v>8</v>
      </c>
      <c r="D1802" s="626" t="s">
        <v>9380</v>
      </c>
      <c r="E1802" s="628" t="s">
        <v>23</v>
      </c>
      <c r="F1802" s="816" t="s">
        <v>13689</v>
      </c>
      <c r="G1802" s="816"/>
      <c r="H1802" s="816">
        <v>8.4681099999999995E-2</v>
      </c>
      <c r="I1802" s="816"/>
      <c r="J1802" s="817">
        <v>3.2199999999999999E-2</v>
      </c>
      <c r="K1802" s="817"/>
      <c r="L1802" s="817"/>
    </row>
    <row r="1803" spans="1:12" ht="24" customHeight="1">
      <c r="A1803" s="626" t="s">
        <v>12709</v>
      </c>
      <c r="B1803" s="627" t="s">
        <v>13052</v>
      </c>
      <c r="C1803" s="626" t="s">
        <v>8</v>
      </c>
      <c r="D1803" s="626" t="s">
        <v>9229</v>
      </c>
      <c r="E1803" s="628" t="s">
        <v>23</v>
      </c>
      <c r="F1803" s="816" t="s">
        <v>13692</v>
      </c>
      <c r="G1803" s="816"/>
      <c r="H1803" s="816">
        <v>0.42041699999999999</v>
      </c>
      <c r="I1803" s="816"/>
      <c r="J1803" s="817">
        <v>0.40360000000000001</v>
      </c>
      <c r="K1803" s="817"/>
      <c r="L1803" s="817"/>
    </row>
    <row r="1804" spans="1:12" ht="24" customHeight="1">
      <c r="A1804" s="626" t="s">
        <v>12709</v>
      </c>
      <c r="B1804" s="627" t="s">
        <v>13051</v>
      </c>
      <c r="C1804" s="626" t="s">
        <v>8</v>
      </c>
      <c r="D1804" s="626" t="s">
        <v>9376</v>
      </c>
      <c r="E1804" s="628" t="s">
        <v>23</v>
      </c>
      <c r="F1804" s="816" t="s">
        <v>13691</v>
      </c>
      <c r="G1804" s="816"/>
      <c r="H1804" s="816">
        <v>0.42041699999999999</v>
      </c>
      <c r="I1804" s="816"/>
      <c r="J1804" s="817">
        <v>0.2102</v>
      </c>
      <c r="K1804" s="817"/>
      <c r="L1804" s="817"/>
    </row>
    <row r="1805" spans="1:12" ht="17.100000000000001" customHeight="1">
      <c r="A1805" s="636"/>
      <c r="B1805" s="636"/>
      <c r="C1805" s="636"/>
      <c r="D1805" s="636"/>
      <c r="E1805" s="636"/>
      <c r="F1805" s="636"/>
      <c r="G1805" s="636"/>
      <c r="H1805" s="636"/>
      <c r="I1805" s="636"/>
      <c r="J1805" s="636" t="s">
        <v>13675</v>
      </c>
      <c r="K1805" s="636"/>
      <c r="L1805" s="636" t="s">
        <v>13820</v>
      </c>
    </row>
    <row r="1806" spans="1:12">
      <c r="A1806" s="802" t="s">
        <v>12710</v>
      </c>
      <c r="B1806" s="802"/>
      <c r="C1806" s="802"/>
      <c r="D1806" s="802"/>
      <c r="E1806" s="802"/>
      <c r="F1806" s="802"/>
      <c r="G1806" s="802"/>
      <c r="H1806" s="802"/>
      <c r="I1806" s="612"/>
      <c r="J1806" s="612"/>
      <c r="K1806" s="612"/>
      <c r="L1806" s="612"/>
    </row>
    <row r="1807" spans="1:12" ht="17.100000000000001" customHeight="1">
      <c r="A1807" s="612" t="s">
        <v>13679</v>
      </c>
      <c r="B1807" s="636" t="s">
        <v>12698</v>
      </c>
      <c r="C1807" s="612" t="s">
        <v>12699</v>
      </c>
      <c r="D1807" s="612" t="s">
        <v>12700</v>
      </c>
      <c r="E1807" s="637" t="s">
        <v>12702</v>
      </c>
      <c r="F1807" s="801" t="s">
        <v>12704</v>
      </c>
      <c r="G1807" s="801"/>
      <c r="H1807" s="801" t="s">
        <v>13678</v>
      </c>
      <c r="I1807" s="801"/>
      <c r="J1807" s="801" t="s">
        <v>12705</v>
      </c>
      <c r="K1807" s="801"/>
      <c r="L1807" s="801"/>
    </row>
    <row r="1808" spans="1:12" ht="24" customHeight="1">
      <c r="A1808" s="626" t="s">
        <v>12709</v>
      </c>
      <c r="B1808" s="627" t="s">
        <v>13226</v>
      </c>
      <c r="C1808" s="626" t="s">
        <v>8</v>
      </c>
      <c r="D1808" s="626" t="s">
        <v>7374</v>
      </c>
      <c r="E1808" s="628" t="s">
        <v>23</v>
      </c>
      <c r="F1808" s="816" t="s">
        <v>14702</v>
      </c>
      <c r="G1808" s="816"/>
      <c r="H1808" s="816">
        <v>8.5489499999999996E-2</v>
      </c>
      <c r="I1808" s="816"/>
      <c r="J1808" s="817">
        <v>0.57020000000000004</v>
      </c>
      <c r="K1808" s="817"/>
      <c r="L1808" s="817"/>
    </row>
    <row r="1809" spans="1:12" ht="17.100000000000001" customHeight="1">
      <c r="A1809" s="626" t="s">
        <v>12709</v>
      </c>
      <c r="B1809" s="627" t="s">
        <v>13170</v>
      </c>
      <c r="C1809" s="626" t="s">
        <v>8</v>
      </c>
      <c r="D1809" s="626" t="s">
        <v>9625</v>
      </c>
      <c r="E1809" s="628" t="s">
        <v>23</v>
      </c>
      <c r="F1809" s="816" t="s">
        <v>14574</v>
      </c>
      <c r="G1809" s="816"/>
      <c r="H1809" s="816">
        <v>0.42725160000000001</v>
      </c>
      <c r="I1809" s="816"/>
      <c r="J1809" s="817">
        <v>3.1274999999999999</v>
      </c>
      <c r="K1809" s="817"/>
      <c r="L1809" s="817"/>
    </row>
    <row r="1810" spans="1:12">
      <c r="A1810" s="636"/>
      <c r="B1810" s="636"/>
      <c r="C1810" s="636"/>
      <c r="D1810" s="636"/>
      <c r="E1810" s="636"/>
      <c r="F1810" s="636"/>
      <c r="G1810" s="636"/>
      <c r="H1810" s="636"/>
      <c r="I1810" s="636"/>
      <c r="J1810" s="636" t="s">
        <v>13675</v>
      </c>
      <c r="K1810" s="636"/>
      <c r="L1810" s="636" t="s">
        <v>13719</v>
      </c>
    </row>
    <row r="1811" spans="1:12" ht="17.100000000000001" customHeight="1">
      <c r="A1811" s="802" t="s">
        <v>12720</v>
      </c>
      <c r="B1811" s="802"/>
      <c r="C1811" s="802"/>
      <c r="D1811" s="802"/>
      <c r="E1811" s="802"/>
      <c r="F1811" s="802"/>
      <c r="G1811" s="802"/>
      <c r="H1811" s="802"/>
      <c r="I1811" s="612"/>
      <c r="J1811" s="612"/>
      <c r="K1811" s="612"/>
      <c r="L1811" s="612"/>
    </row>
    <row r="1812" spans="1:12" ht="24" customHeight="1">
      <c r="A1812" s="612" t="s">
        <v>13679</v>
      </c>
      <c r="B1812" s="636" t="s">
        <v>12698</v>
      </c>
      <c r="C1812" s="612" t="s">
        <v>12699</v>
      </c>
      <c r="D1812" s="612" t="s">
        <v>12700</v>
      </c>
      <c r="E1812" s="637" t="s">
        <v>12702</v>
      </c>
      <c r="F1812" s="801" t="s">
        <v>12704</v>
      </c>
      <c r="G1812" s="801"/>
      <c r="H1812" s="801" t="s">
        <v>13678</v>
      </c>
      <c r="I1812" s="801"/>
      <c r="J1812" s="801" t="s">
        <v>12705</v>
      </c>
      <c r="K1812" s="801"/>
      <c r="L1812" s="801"/>
    </row>
    <row r="1813" spans="1:12" ht="17.100000000000001" customHeight="1">
      <c r="A1813" s="626" t="s">
        <v>12709</v>
      </c>
      <c r="B1813" s="627" t="s">
        <v>13624</v>
      </c>
      <c r="C1813" s="626" t="s">
        <v>8</v>
      </c>
      <c r="D1813" s="626" t="s">
        <v>10338</v>
      </c>
      <c r="E1813" s="628" t="s">
        <v>20</v>
      </c>
      <c r="F1813" s="816" t="s">
        <v>14718</v>
      </c>
      <c r="G1813" s="816"/>
      <c r="H1813" s="816">
        <v>1.5</v>
      </c>
      <c r="I1813" s="816"/>
      <c r="J1813" s="817">
        <v>14.35</v>
      </c>
      <c r="K1813" s="817"/>
      <c r="L1813" s="817"/>
    </row>
    <row r="1814" spans="1:12">
      <c r="A1814" s="636"/>
      <c r="B1814" s="636"/>
      <c r="C1814" s="636"/>
      <c r="D1814" s="636"/>
      <c r="E1814" s="636"/>
      <c r="F1814" s="636"/>
      <c r="G1814" s="636"/>
      <c r="H1814" s="636"/>
      <c r="I1814" s="636"/>
      <c r="J1814" s="636" t="s">
        <v>13675</v>
      </c>
      <c r="K1814" s="636"/>
      <c r="L1814" s="636" t="s">
        <v>13960</v>
      </c>
    </row>
    <row r="1815" spans="1:12" ht="17.100000000000001" customHeight="1">
      <c r="A1815" s="802" t="s">
        <v>12722</v>
      </c>
      <c r="B1815" s="802"/>
      <c r="C1815" s="802"/>
      <c r="D1815" s="802"/>
      <c r="E1815" s="802"/>
      <c r="F1815" s="802"/>
      <c r="G1815" s="802"/>
      <c r="H1815" s="802"/>
      <c r="I1815" s="612"/>
      <c r="J1815" s="612"/>
      <c r="K1815" s="612"/>
      <c r="L1815" s="612"/>
    </row>
    <row r="1816" spans="1:12" ht="24" customHeight="1">
      <c r="A1816" s="612" t="s">
        <v>13679</v>
      </c>
      <c r="B1816" s="636" t="s">
        <v>12698</v>
      </c>
      <c r="C1816" s="612" t="s">
        <v>12699</v>
      </c>
      <c r="D1816" s="612" t="s">
        <v>12700</v>
      </c>
      <c r="E1816" s="637" t="s">
        <v>12702</v>
      </c>
      <c r="F1816" s="801" t="s">
        <v>12704</v>
      </c>
      <c r="G1816" s="801"/>
      <c r="H1816" s="801" t="s">
        <v>13678</v>
      </c>
      <c r="I1816" s="801"/>
      <c r="J1816" s="801" t="s">
        <v>12705</v>
      </c>
      <c r="K1816" s="801"/>
      <c r="L1816" s="801"/>
    </row>
    <row r="1817" spans="1:12" ht="17.100000000000001" customHeight="1">
      <c r="A1817" s="626" t="s">
        <v>12709</v>
      </c>
      <c r="B1817" s="627" t="s">
        <v>12998</v>
      </c>
      <c r="C1817" s="626" t="s">
        <v>8</v>
      </c>
      <c r="D1817" s="626" t="s">
        <v>11861</v>
      </c>
      <c r="E1817" s="628" t="s">
        <v>23</v>
      </c>
      <c r="F1817" s="816" t="s">
        <v>13683</v>
      </c>
      <c r="G1817" s="816"/>
      <c r="H1817" s="816">
        <v>0.50509809999999999</v>
      </c>
      <c r="I1817" s="816"/>
      <c r="J1817" s="817">
        <v>0.35859999999999997</v>
      </c>
      <c r="K1817" s="817"/>
      <c r="L1817" s="817"/>
    </row>
    <row r="1818" spans="1:12">
      <c r="A1818" s="636"/>
      <c r="B1818" s="636"/>
      <c r="C1818" s="636"/>
      <c r="D1818" s="636"/>
      <c r="E1818" s="636"/>
      <c r="F1818" s="636"/>
      <c r="G1818" s="636"/>
      <c r="H1818" s="636"/>
      <c r="I1818" s="636"/>
      <c r="J1818" s="636" t="s">
        <v>13675</v>
      </c>
      <c r="K1818" s="636"/>
      <c r="L1818" s="636" t="s">
        <v>13688</v>
      </c>
    </row>
    <row r="1819" spans="1:12" ht="17.100000000000001" customHeight="1">
      <c r="A1819" s="802" t="s">
        <v>12713</v>
      </c>
      <c r="B1819" s="802"/>
      <c r="C1819" s="802"/>
      <c r="D1819" s="802"/>
      <c r="E1819" s="802"/>
      <c r="F1819" s="802"/>
      <c r="G1819" s="802"/>
      <c r="H1819" s="802"/>
      <c r="I1819" s="612"/>
      <c r="J1819" s="612"/>
      <c r="K1819" s="612"/>
      <c r="L1819" s="612"/>
    </row>
    <row r="1820" spans="1:12" ht="24" customHeight="1">
      <c r="A1820" s="612" t="s">
        <v>13679</v>
      </c>
      <c r="B1820" s="636" t="s">
        <v>12698</v>
      </c>
      <c r="C1820" s="612" t="s">
        <v>12699</v>
      </c>
      <c r="D1820" s="612" t="s">
        <v>12700</v>
      </c>
      <c r="E1820" s="637" t="s">
        <v>12702</v>
      </c>
      <c r="F1820" s="801" t="s">
        <v>12704</v>
      </c>
      <c r="G1820" s="801"/>
      <c r="H1820" s="801" t="s">
        <v>13678</v>
      </c>
      <c r="I1820" s="801"/>
      <c r="J1820" s="801" t="s">
        <v>12705</v>
      </c>
      <c r="K1820" s="801"/>
      <c r="L1820" s="801"/>
    </row>
    <row r="1821" spans="1:12" ht="24" customHeight="1">
      <c r="A1821" s="626" t="s">
        <v>12709</v>
      </c>
      <c r="B1821" s="627" t="s">
        <v>12999</v>
      </c>
      <c r="C1821" s="626" t="s">
        <v>8</v>
      </c>
      <c r="D1821" s="626" t="s">
        <v>11251</v>
      </c>
      <c r="E1821" s="628" t="s">
        <v>23</v>
      </c>
      <c r="F1821" s="816" t="s">
        <v>13681</v>
      </c>
      <c r="G1821" s="816"/>
      <c r="H1821" s="816">
        <v>0.50509809999999999</v>
      </c>
      <c r="I1821" s="816"/>
      <c r="J1821" s="817">
        <v>3.5400000000000001E-2</v>
      </c>
      <c r="K1821" s="817"/>
      <c r="L1821" s="817"/>
    </row>
    <row r="1822" spans="1:12" ht="17.100000000000001" customHeight="1">
      <c r="A1822" s="636"/>
      <c r="B1822" s="636"/>
      <c r="C1822" s="636"/>
      <c r="D1822" s="636"/>
      <c r="E1822" s="636"/>
      <c r="F1822" s="636"/>
      <c r="G1822" s="636"/>
      <c r="H1822" s="636"/>
      <c r="I1822" s="636"/>
      <c r="J1822" s="636" t="s">
        <v>13675</v>
      </c>
      <c r="K1822" s="636"/>
      <c r="L1822" s="636" t="s">
        <v>13716</v>
      </c>
    </row>
    <row r="1823" spans="1:12" ht="17.100000000000001" customHeight="1">
      <c r="A1823" s="802" t="s">
        <v>12712</v>
      </c>
      <c r="B1823" s="802"/>
      <c r="C1823" s="802"/>
      <c r="D1823" s="802"/>
      <c r="E1823" s="802"/>
      <c r="F1823" s="802"/>
      <c r="G1823" s="802"/>
      <c r="H1823" s="802"/>
      <c r="I1823" s="612"/>
      <c r="J1823" s="612"/>
      <c r="K1823" s="612"/>
      <c r="L1823" s="612"/>
    </row>
    <row r="1824" spans="1:12" ht="17.100000000000001" customHeight="1">
      <c r="A1824" s="612" t="s">
        <v>13679</v>
      </c>
      <c r="B1824" s="636" t="s">
        <v>12698</v>
      </c>
      <c r="C1824" s="612" t="s">
        <v>12699</v>
      </c>
      <c r="D1824" s="612" t="s">
        <v>12700</v>
      </c>
      <c r="E1824" s="637" t="s">
        <v>12702</v>
      </c>
      <c r="F1824" s="801" t="s">
        <v>12704</v>
      </c>
      <c r="G1824" s="801"/>
      <c r="H1824" s="801" t="s">
        <v>13678</v>
      </c>
      <c r="I1824" s="801"/>
      <c r="J1824" s="801" t="s">
        <v>12705</v>
      </c>
      <c r="K1824" s="801"/>
      <c r="L1824" s="801"/>
    </row>
    <row r="1825" spans="1:12" ht="17.100000000000001" customHeight="1">
      <c r="A1825" s="626" t="s">
        <v>12709</v>
      </c>
      <c r="B1825" s="627" t="s">
        <v>13002</v>
      </c>
      <c r="C1825" s="626" t="s">
        <v>8</v>
      </c>
      <c r="D1825" s="626" t="s">
        <v>9306</v>
      </c>
      <c r="E1825" s="628" t="s">
        <v>23</v>
      </c>
      <c r="F1825" s="816" t="s">
        <v>13677</v>
      </c>
      <c r="G1825" s="816"/>
      <c r="H1825" s="816">
        <v>0.50509809999999999</v>
      </c>
      <c r="I1825" s="816"/>
      <c r="J1825" s="817">
        <v>0.17680000000000001</v>
      </c>
      <c r="K1825" s="817"/>
      <c r="L1825" s="817"/>
    </row>
    <row r="1826" spans="1:12" ht="17.100000000000001" customHeight="1">
      <c r="A1826" s="626" t="s">
        <v>12709</v>
      </c>
      <c r="B1826" s="627" t="s">
        <v>13004</v>
      </c>
      <c r="C1826" s="626" t="s">
        <v>8</v>
      </c>
      <c r="D1826" s="626" t="s">
        <v>7388</v>
      </c>
      <c r="E1826" s="628" t="s">
        <v>23</v>
      </c>
      <c r="F1826" s="816" t="s">
        <v>13676</v>
      </c>
      <c r="G1826" s="816"/>
      <c r="H1826" s="816">
        <v>0.50509809999999999</v>
      </c>
      <c r="I1826" s="816"/>
      <c r="J1826" s="817">
        <v>1.1112</v>
      </c>
      <c r="K1826" s="817"/>
      <c r="L1826" s="817"/>
    </row>
    <row r="1827" spans="1:12" ht="17.100000000000001" customHeight="1">
      <c r="A1827" s="636"/>
      <c r="B1827" s="636"/>
      <c r="C1827" s="636"/>
      <c r="D1827" s="636"/>
      <c r="E1827" s="636"/>
      <c r="F1827" s="636"/>
      <c r="G1827" s="636"/>
      <c r="H1827" s="636"/>
      <c r="I1827" s="636"/>
      <c r="J1827" s="636" t="s">
        <v>13675</v>
      </c>
      <c r="K1827" s="636"/>
      <c r="L1827" s="636" t="s">
        <v>13912</v>
      </c>
    </row>
    <row r="1828" spans="1:12" ht="17.100000000000001" customHeight="1">
      <c r="A1828" s="612" t="s">
        <v>13673</v>
      </c>
      <c r="B1828" s="612"/>
      <c r="C1828" s="612"/>
      <c r="D1828" s="612"/>
      <c r="E1828" s="612"/>
      <c r="F1828" s="612"/>
      <c r="G1828" s="612"/>
      <c r="H1828" s="612"/>
      <c r="I1828" s="612"/>
      <c r="J1828" s="612"/>
      <c r="K1828" s="612"/>
      <c r="L1828" s="612"/>
    </row>
    <row r="1829" spans="1:12" ht="30" customHeight="1">
      <c r="A1829" s="636"/>
      <c r="B1829" s="636"/>
      <c r="C1829" s="636"/>
      <c r="D1829" s="636"/>
      <c r="E1829" s="636"/>
      <c r="F1829" s="636"/>
      <c r="G1829" s="636"/>
      <c r="H1829" s="636"/>
      <c r="I1829" s="636"/>
      <c r="J1829" s="636" t="s">
        <v>13672</v>
      </c>
      <c r="K1829" s="636"/>
      <c r="L1829" s="636" t="s">
        <v>15026</v>
      </c>
    </row>
    <row r="1830" spans="1:12" ht="36" customHeight="1">
      <c r="A1830" s="636"/>
      <c r="B1830" s="636"/>
      <c r="C1830" s="636"/>
      <c r="D1830" s="636"/>
      <c r="E1830" s="636"/>
      <c r="F1830" s="636"/>
      <c r="G1830" s="636"/>
      <c r="H1830" s="636"/>
      <c r="I1830" s="636"/>
      <c r="J1830" s="636" t="s">
        <v>13671</v>
      </c>
      <c r="K1830" s="636" t="s">
        <v>14461</v>
      </c>
      <c r="L1830" s="636" t="s">
        <v>15027</v>
      </c>
    </row>
    <row r="1831" spans="1:12" ht="14.25" customHeight="1">
      <c r="A1831" s="636"/>
      <c r="B1831" s="636"/>
      <c r="C1831" s="636"/>
      <c r="D1831" s="636"/>
      <c r="E1831" s="636"/>
      <c r="F1831" s="636"/>
      <c r="G1831" s="636"/>
      <c r="H1831" s="636"/>
      <c r="I1831" s="636"/>
      <c r="J1831" s="636" t="s">
        <v>13670</v>
      </c>
      <c r="K1831" s="636"/>
      <c r="L1831" s="636" t="s">
        <v>15028</v>
      </c>
    </row>
    <row r="1832" spans="1:12" ht="17.100000000000001" customHeight="1">
      <c r="A1832" s="636"/>
      <c r="B1832" s="636"/>
      <c r="C1832" s="636"/>
      <c r="D1832" s="636"/>
      <c r="E1832" s="636"/>
      <c r="F1832" s="636"/>
      <c r="G1832" s="636"/>
      <c r="H1832" s="636"/>
      <c r="I1832" s="636"/>
      <c r="J1832" s="636" t="s">
        <v>13669</v>
      </c>
      <c r="K1832" s="636" t="s">
        <v>13667</v>
      </c>
      <c r="L1832" s="636" t="s">
        <v>15029</v>
      </c>
    </row>
    <row r="1833" spans="1:12" ht="48" customHeight="1">
      <c r="A1833" s="636"/>
      <c r="B1833" s="636"/>
      <c r="C1833" s="636"/>
      <c r="D1833" s="636"/>
      <c r="E1833" s="636"/>
      <c r="F1833" s="636"/>
      <c r="G1833" s="636"/>
      <c r="H1833" s="636"/>
      <c r="I1833" s="636"/>
      <c r="J1833" s="636" t="s">
        <v>13668</v>
      </c>
      <c r="K1833" s="636"/>
      <c r="L1833" s="636" t="s">
        <v>15030</v>
      </c>
    </row>
    <row r="1834" spans="1:12" ht="24" customHeight="1">
      <c r="A1834" s="637"/>
      <c r="B1834" s="637"/>
      <c r="C1834" s="637"/>
      <c r="D1834" s="637"/>
      <c r="E1834" s="637"/>
      <c r="F1834" s="637"/>
      <c r="G1834" s="637"/>
      <c r="H1834" s="637"/>
      <c r="I1834" s="637"/>
      <c r="J1834" s="637"/>
      <c r="K1834" s="637"/>
      <c r="L1834" s="637"/>
    </row>
    <row r="1835" spans="1:12" ht="24" customHeight="1">
      <c r="A1835" s="616" t="s">
        <v>14219</v>
      </c>
      <c r="B1835" s="617" t="s">
        <v>13637</v>
      </c>
      <c r="C1835" s="616" t="s">
        <v>8</v>
      </c>
      <c r="D1835" s="616" t="s">
        <v>38</v>
      </c>
      <c r="E1835" s="618" t="s">
        <v>12730</v>
      </c>
      <c r="F1835" s="617"/>
      <c r="G1835" s="617"/>
      <c r="H1835" s="617"/>
      <c r="I1835" s="617"/>
      <c r="J1835" s="617"/>
      <c r="K1835" s="617"/>
      <c r="L1835" s="617"/>
    </row>
    <row r="1836" spans="1:12" ht="17.100000000000001" customHeight="1">
      <c r="A1836" s="802" t="s">
        <v>12711</v>
      </c>
      <c r="B1836" s="802"/>
      <c r="C1836" s="802"/>
      <c r="D1836" s="802"/>
      <c r="E1836" s="802"/>
      <c r="F1836" s="802"/>
      <c r="G1836" s="802"/>
      <c r="H1836" s="802"/>
      <c r="I1836" s="612"/>
      <c r="J1836" s="612"/>
      <c r="K1836" s="612"/>
      <c r="L1836" s="612"/>
    </row>
    <row r="1837" spans="1:12" ht="14.25" customHeight="1">
      <c r="A1837" s="612" t="s">
        <v>13679</v>
      </c>
      <c r="B1837" s="636" t="s">
        <v>12698</v>
      </c>
      <c r="C1837" s="612" t="s">
        <v>12699</v>
      </c>
      <c r="D1837" s="612" t="s">
        <v>12700</v>
      </c>
      <c r="E1837" s="637" t="s">
        <v>12702</v>
      </c>
      <c r="F1837" s="801" t="s">
        <v>12704</v>
      </c>
      <c r="G1837" s="801"/>
      <c r="H1837" s="801" t="s">
        <v>13678</v>
      </c>
      <c r="I1837" s="801"/>
      <c r="J1837" s="801" t="s">
        <v>12705</v>
      </c>
      <c r="K1837" s="801"/>
      <c r="L1837" s="801"/>
    </row>
    <row r="1838" spans="1:12" ht="17.100000000000001" customHeight="1">
      <c r="A1838" s="626" t="s">
        <v>12709</v>
      </c>
      <c r="B1838" s="627" t="s">
        <v>13280</v>
      </c>
      <c r="C1838" s="626" t="s">
        <v>8</v>
      </c>
      <c r="D1838" s="626" t="s">
        <v>8193</v>
      </c>
      <c r="E1838" s="628" t="s">
        <v>35</v>
      </c>
      <c r="F1838" s="816" t="s">
        <v>14491</v>
      </c>
      <c r="G1838" s="816"/>
      <c r="H1838" s="816">
        <v>1.26E-5</v>
      </c>
      <c r="I1838" s="816"/>
      <c r="J1838" s="817">
        <v>3.6513</v>
      </c>
      <c r="K1838" s="817"/>
      <c r="L1838" s="817"/>
    </row>
    <row r="1839" spans="1:12" ht="24" customHeight="1">
      <c r="A1839" s="626" t="s">
        <v>12709</v>
      </c>
      <c r="B1839" s="627" t="s">
        <v>13003</v>
      </c>
      <c r="C1839" s="626" t="s">
        <v>8</v>
      </c>
      <c r="D1839" s="626" t="s">
        <v>9227</v>
      </c>
      <c r="E1839" s="628" t="s">
        <v>23</v>
      </c>
      <c r="F1839" s="816" t="s">
        <v>13732</v>
      </c>
      <c r="G1839" s="816"/>
      <c r="H1839" s="816">
        <v>0.2493167</v>
      </c>
      <c r="I1839" s="816"/>
      <c r="J1839" s="817">
        <v>0.16450000000000001</v>
      </c>
      <c r="K1839" s="817"/>
      <c r="L1839" s="817"/>
    </row>
    <row r="1840" spans="1:12" ht="17.100000000000001" customHeight="1">
      <c r="A1840" s="626" t="s">
        <v>12709</v>
      </c>
      <c r="B1840" s="627" t="s">
        <v>13001</v>
      </c>
      <c r="C1840" s="626" t="s">
        <v>8</v>
      </c>
      <c r="D1840" s="626" t="s">
        <v>9374</v>
      </c>
      <c r="E1840" s="628" t="s">
        <v>23</v>
      </c>
      <c r="F1840" s="816" t="s">
        <v>13728</v>
      </c>
      <c r="G1840" s="816"/>
      <c r="H1840" s="816">
        <v>0.2493167</v>
      </c>
      <c r="I1840" s="816"/>
      <c r="J1840" s="817">
        <v>2.5000000000000001E-3</v>
      </c>
      <c r="K1840" s="817"/>
      <c r="L1840" s="817"/>
    </row>
    <row r="1841" spans="1:12" ht="25.5">
      <c r="A1841" s="626" t="s">
        <v>12709</v>
      </c>
      <c r="B1841" s="627" t="s">
        <v>13048</v>
      </c>
      <c r="C1841" s="626" t="s">
        <v>8</v>
      </c>
      <c r="D1841" s="626" t="s">
        <v>9233</v>
      </c>
      <c r="E1841" s="628" t="s">
        <v>23</v>
      </c>
      <c r="F1841" s="816" t="s">
        <v>13690</v>
      </c>
      <c r="G1841" s="816"/>
      <c r="H1841" s="816">
        <v>0.69808680000000001</v>
      </c>
      <c r="I1841" s="816"/>
      <c r="J1841" s="817">
        <v>0.71199999999999997</v>
      </c>
      <c r="K1841" s="817"/>
      <c r="L1841" s="817"/>
    </row>
    <row r="1842" spans="1:12" ht="17.100000000000001" customHeight="1">
      <c r="A1842" s="626" t="s">
        <v>12709</v>
      </c>
      <c r="B1842" s="627" t="s">
        <v>13047</v>
      </c>
      <c r="C1842" s="626" t="s">
        <v>8</v>
      </c>
      <c r="D1842" s="626" t="s">
        <v>9380</v>
      </c>
      <c r="E1842" s="628" t="s">
        <v>23</v>
      </c>
      <c r="F1842" s="816" t="s">
        <v>13689</v>
      </c>
      <c r="G1842" s="816"/>
      <c r="H1842" s="816">
        <v>0.69808680000000001</v>
      </c>
      <c r="I1842" s="816"/>
      <c r="J1842" s="817">
        <v>0.26529999999999998</v>
      </c>
      <c r="K1842" s="817"/>
      <c r="L1842" s="817"/>
    </row>
    <row r="1843" spans="1:12" ht="24" customHeight="1">
      <c r="A1843" s="636"/>
      <c r="B1843" s="636"/>
      <c r="C1843" s="636"/>
      <c r="D1843" s="636"/>
      <c r="E1843" s="636"/>
      <c r="F1843" s="636"/>
      <c r="G1843" s="636"/>
      <c r="H1843" s="636"/>
      <c r="I1843" s="636"/>
      <c r="J1843" s="636" t="s">
        <v>13675</v>
      </c>
      <c r="K1843" s="636"/>
      <c r="L1843" s="636" t="s">
        <v>13949</v>
      </c>
    </row>
    <row r="1844" spans="1:12" ht="24" customHeight="1">
      <c r="A1844" s="802" t="s">
        <v>12710</v>
      </c>
      <c r="B1844" s="802"/>
      <c r="C1844" s="802"/>
      <c r="D1844" s="802"/>
      <c r="E1844" s="802"/>
      <c r="F1844" s="802"/>
      <c r="G1844" s="802"/>
      <c r="H1844" s="802"/>
      <c r="I1844" s="612"/>
      <c r="J1844" s="612"/>
      <c r="K1844" s="612"/>
      <c r="L1844" s="612"/>
    </row>
    <row r="1845" spans="1:12" ht="17.100000000000001" customHeight="1">
      <c r="A1845" s="612" t="s">
        <v>13679</v>
      </c>
      <c r="B1845" s="636" t="s">
        <v>12698</v>
      </c>
      <c r="C1845" s="612" t="s">
        <v>12699</v>
      </c>
      <c r="D1845" s="612" t="s">
        <v>12700</v>
      </c>
      <c r="E1845" s="637" t="s">
        <v>12702</v>
      </c>
      <c r="F1845" s="801" t="s">
        <v>12704</v>
      </c>
      <c r="G1845" s="801"/>
      <c r="H1845" s="801" t="s">
        <v>13678</v>
      </c>
      <c r="I1845" s="801"/>
      <c r="J1845" s="801" t="s">
        <v>12705</v>
      </c>
      <c r="K1845" s="801"/>
      <c r="L1845" s="801"/>
    </row>
    <row r="1846" spans="1:12" ht="25.5">
      <c r="A1846" s="626" t="s">
        <v>12709</v>
      </c>
      <c r="B1846" s="627" t="s">
        <v>13129</v>
      </c>
      <c r="C1846" s="626" t="s">
        <v>8</v>
      </c>
      <c r="D1846" s="626" t="s">
        <v>10467</v>
      </c>
      <c r="E1846" s="628" t="s">
        <v>23</v>
      </c>
      <c r="F1846" s="816" t="s">
        <v>14252</v>
      </c>
      <c r="G1846" s="816"/>
      <c r="H1846" s="816">
        <v>0.25041940000000001</v>
      </c>
      <c r="I1846" s="816"/>
      <c r="J1846" s="817">
        <v>1.2971999999999999</v>
      </c>
      <c r="K1846" s="817"/>
      <c r="L1846" s="817"/>
    </row>
    <row r="1847" spans="1:12" ht="17.100000000000001" customHeight="1">
      <c r="A1847" s="626" t="s">
        <v>12709</v>
      </c>
      <c r="B1847" s="627" t="s">
        <v>13046</v>
      </c>
      <c r="C1847" s="626" t="s">
        <v>8</v>
      </c>
      <c r="D1847" s="626" t="s">
        <v>11281</v>
      </c>
      <c r="E1847" s="628" t="s">
        <v>23</v>
      </c>
      <c r="F1847" s="816" t="s">
        <v>13731</v>
      </c>
      <c r="G1847" s="816"/>
      <c r="H1847" s="816">
        <v>0.70893030000000001</v>
      </c>
      <c r="I1847" s="816"/>
      <c r="J1847" s="817">
        <v>3.6438999999999999</v>
      </c>
      <c r="K1847" s="817"/>
      <c r="L1847" s="817"/>
    </row>
    <row r="1848" spans="1:12" ht="24" customHeight="1">
      <c r="A1848" s="636"/>
      <c r="B1848" s="636"/>
      <c r="C1848" s="636"/>
      <c r="D1848" s="636"/>
      <c r="E1848" s="636"/>
      <c r="F1848" s="636"/>
      <c r="G1848" s="636"/>
      <c r="H1848" s="636"/>
      <c r="I1848" s="636"/>
      <c r="J1848" s="636" t="s">
        <v>13675</v>
      </c>
      <c r="K1848" s="636"/>
      <c r="L1848" s="636" t="s">
        <v>14490</v>
      </c>
    </row>
    <row r="1849" spans="1:12" ht="17.100000000000001" customHeight="1">
      <c r="A1849" s="802" t="s">
        <v>12720</v>
      </c>
      <c r="B1849" s="802"/>
      <c r="C1849" s="802"/>
      <c r="D1849" s="802"/>
      <c r="E1849" s="802"/>
      <c r="F1849" s="802"/>
      <c r="G1849" s="802"/>
      <c r="H1849" s="802"/>
      <c r="I1849" s="612"/>
      <c r="J1849" s="612"/>
      <c r="K1849" s="612"/>
      <c r="L1849" s="612"/>
    </row>
    <row r="1850" spans="1:12">
      <c r="A1850" s="612" t="s">
        <v>13679</v>
      </c>
      <c r="B1850" s="636" t="s">
        <v>12698</v>
      </c>
      <c r="C1850" s="612" t="s">
        <v>12699</v>
      </c>
      <c r="D1850" s="612" t="s">
        <v>12700</v>
      </c>
      <c r="E1850" s="637" t="s">
        <v>12702</v>
      </c>
      <c r="F1850" s="801" t="s">
        <v>12704</v>
      </c>
      <c r="G1850" s="801"/>
      <c r="H1850" s="801" t="s">
        <v>13678</v>
      </c>
      <c r="I1850" s="801"/>
      <c r="J1850" s="801" t="s">
        <v>12705</v>
      </c>
      <c r="K1850" s="801"/>
      <c r="L1850" s="801"/>
    </row>
    <row r="1851" spans="1:12" ht="17.100000000000001" customHeight="1">
      <c r="A1851" s="626" t="s">
        <v>12709</v>
      </c>
      <c r="B1851" s="627" t="s">
        <v>13281</v>
      </c>
      <c r="C1851" s="626" t="s">
        <v>8</v>
      </c>
      <c r="D1851" s="626" t="s">
        <v>8070</v>
      </c>
      <c r="E1851" s="628" t="s">
        <v>35</v>
      </c>
      <c r="F1851" s="816" t="s">
        <v>13730</v>
      </c>
      <c r="G1851" s="816"/>
      <c r="H1851" s="816">
        <v>1.26E-5</v>
      </c>
      <c r="I1851" s="816"/>
      <c r="J1851" s="817">
        <v>0.42749999999999999</v>
      </c>
      <c r="K1851" s="817"/>
      <c r="L1851" s="817"/>
    </row>
    <row r="1852" spans="1:12" ht="24" customHeight="1">
      <c r="A1852" s="636"/>
      <c r="B1852" s="636"/>
      <c r="C1852" s="636"/>
      <c r="D1852" s="636"/>
      <c r="E1852" s="636"/>
      <c r="F1852" s="636"/>
      <c r="G1852" s="636"/>
      <c r="H1852" s="636"/>
      <c r="I1852" s="636"/>
      <c r="J1852" s="636" t="s">
        <v>13675</v>
      </c>
      <c r="K1852" s="636"/>
      <c r="L1852" s="636" t="s">
        <v>13717</v>
      </c>
    </row>
    <row r="1853" spans="1:12" ht="17.100000000000001" customHeight="1">
      <c r="A1853" s="802" t="s">
        <v>12722</v>
      </c>
      <c r="B1853" s="802"/>
      <c r="C1853" s="802"/>
      <c r="D1853" s="802"/>
      <c r="E1853" s="802"/>
      <c r="F1853" s="802"/>
      <c r="G1853" s="802"/>
      <c r="H1853" s="802"/>
      <c r="I1853" s="612"/>
      <c r="J1853" s="612"/>
      <c r="K1853" s="612"/>
      <c r="L1853" s="612"/>
    </row>
    <row r="1854" spans="1:12">
      <c r="A1854" s="612" t="s">
        <v>13679</v>
      </c>
      <c r="B1854" s="636" t="s">
        <v>12698</v>
      </c>
      <c r="C1854" s="612" t="s">
        <v>12699</v>
      </c>
      <c r="D1854" s="612" t="s">
        <v>12700</v>
      </c>
      <c r="E1854" s="637" t="s">
        <v>12702</v>
      </c>
      <c r="F1854" s="801" t="s">
        <v>12704</v>
      </c>
      <c r="G1854" s="801"/>
      <c r="H1854" s="801" t="s">
        <v>13678</v>
      </c>
      <c r="I1854" s="801"/>
      <c r="J1854" s="801" t="s">
        <v>12705</v>
      </c>
      <c r="K1854" s="801"/>
      <c r="L1854" s="801"/>
    </row>
    <row r="1855" spans="1:12" ht="17.100000000000001" customHeight="1">
      <c r="A1855" s="626" t="s">
        <v>12709</v>
      </c>
      <c r="B1855" s="627" t="s">
        <v>12998</v>
      </c>
      <c r="C1855" s="626" t="s">
        <v>8</v>
      </c>
      <c r="D1855" s="626" t="s">
        <v>11861</v>
      </c>
      <c r="E1855" s="628" t="s">
        <v>23</v>
      </c>
      <c r="F1855" s="816" t="s">
        <v>13683</v>
      </c>
      <c r="G1855" s="816"/>
      <c r="H1855" s="816">
        <v>0.94740360000000001</v>
      </c>
      <c r="I1855" s="816"/>
      <c r="J1855" s="817">
        <v>0.67269999999999996</v>
      </c>
      <c r="K1855" s="817"/>
      <c r="L1855" s="817"/>
    </row>
    <row r="1856" spans="1:12" ht="24" customHeight="1">
      <c r="A1856" s="636"/>
      <c r="B1856" s="636"/>
      <c r="C1856" s="636"/>
      <c r="D1856" s="636"/>
      <c r="E1856" s="636"/>
      <c r="F1856" s="636"/>
      <c r="G1856" s="636"/>
      <c r="H1856" s="636"/>
      <c r="I1856" s="636"/>
      <c r="J1856" s="636" t="s">
        <v>13675</v>
      </c>
      <c r="K1856" s="636"/>
      <c r="L1856" s="636" t="s">
        <v>13735</v>
      </c>
    </row>
    <row r="1857" spans="1:12" ht="24" customHeight="1">
      <c r="A1857" s="802" t="s">
        <v>12713</v>
      </c>
      <c r="B1857" s="802"/>
      <c r="C1857" s="802"/>
      <c r="D1857" s="802"/>
      <c r="E1857" s="802"/>
      <c r="F1857" s="802"/>
      <c r="G1857" s="802"/>
      <c r="H1857" s="802"/>
      <c r="I1857" s="612"/>
      <c r="J1857" s="612"/>
      <c r="K1857" s="612"/>
      <c r="L1857" s="612"/>
    </row>
    <row r="1858" spans="1:12" ht="17.100000000000001" customHeight="1">
      <c r="A1858" s="612" t="s">
        <v>13679</v>
      </c>
      <c r="B1858" s="636" t="s">
        <v>12698</v>
      </c>
      <c r="C1858" s="612" t="s">
        <v>12699</v>
      </c>
      <c r="D1858" s="612" t="s">
        <v>12700</v>
      </c>
      <c r="E1858" s="637" t="s">
        <v>12702</v>
      </c>
      <c r="F1858" s="801" t="s">
        <v>12704</v>
      </c>
      <c r="G1858" s="801"/>
      <c r="H1858" s="801" t="s">
        <v>13678</v>
      </c>
      <c r="I1858" s="801"/>
      <c r="J1858" s="801" t="s">
        <v>12705</v>
      </c>
      <c r="K1858" s="801"/>
      <c r="L1858" s="801"/>
    </row>
    <row r="1859" spans="1:12" ht="17.100000000000001" customHeight="1">
      <c r="A1859" s="626" t="s">
        <v>12709</v>
      </c>
      <c r="B1859" s="627" t="s">
        <v>12999</v>
      </c>
      <c r="C1859" s="626" t="s">
        <v>8</v>
      </c>
      <c r="D1859" s="626" t="s">
        <v>11251</v>
      </c>
      <c r="E1859" s="628" t="s">
        <v>23</v>
      </c>
      <c r="F1859" s="816" t="s">
        <v>13681</v>
      </c>
      <c r="G1859" s="816"/>
      <c r="H1859" s="816">
        <v>0.94740360000000001</v>
      </c>
      <c r="I1859" s="816"/>
      <c r="J1859" s="817">
        <v>6.6299999999999998E-2</v>
      </c>
      <c r="K1859" s="817"/>
      <c r="L1859" s="817"/>
    </row>
    <row r="1860" spans="1:12" ht="17.100000000000001" customHeight="1">
      <c r="A1860" s="636"/>
      <c r="B1860" s="636"/>
      <c r="C1860" s="636"/>
      <c r="D1860" s="636"/>
      <c r="E1860" s="636"/>
      <c r="F1860" s="636"/>
      <c r="G1860" s="636"/>
      <c r="H1860" s="636"/>
      <c r="I1860" s="636"/>
      <c r="J1860" s="636" t="s">
        <v>13675</v>
      </c>
      <c r="K1860" s="636"/>
      <c r="L1860" s="636" t="s">
        <v>13681</v>
      </c>
    </row>
    <row r="1861" spans="1:12" ht="17.100000000000001" customHeight="1">
      <c r="A1861" s="802" t="s">
        <v>12712</v>
      </c>
      <c r="B1861" s="802"/>
      <c r="C1861" s="802"/>
      <c r="D1861" s="802"/>
      <c r="E1861" s="802"/>
      <c r="F1861" s="802"/>
      <c r="G1861" s="802"/>
      <c r="H1861" s="802"/>
      <c r="I1861" s="612"/>
      <c r="J1861" s="612"/>
      <c r="K1861" s="612"/>
      <c r="L1861" s="612"/>
    </row>
    <row r="1862" spans="1:12" ht="17.100000000000001" customHeight="1">
      <c r="A1862" s="612" t="s">
        <v>13679</v>
      </c>
      <c r="B1862" s="636" t="s">
        <v>12698</v>
      </c>
      <c r="C1862" s="612" t="s">
        <v>12699</v>
      </c>
      <c r="D1862" s="612" t="s">
        <v>12700</v>
      </c>
      <c r="E1862" s="637" t="s">
        <v>12702</v>
      </c>
      <c r="F1862" s="801" t="s">
        <v>12704</v>
      </c>
      <c r="G1862" s="801"/>
      <c r="H1862" s="801" t="s">
        <v>13678</v>
      </c>
      <c r="I1862" s="801"/>
      <c r="J1862" s="801" t="s">
        <v>12705</v>
      </c>
      <c r="K1862" s="801"/>
      <c r="L1862" s="801"/>
    </row>
    <row r="1863" spans="1:12" ht="17.100000000000001" customHeight="1">
      <c r="A1863" s="626" t="s">
        <v>12709</v>
      </c>
      <c r="B1863" s="627" t="s">
        <v>13002</v>
      </c>
      <c r="C1863" s="626" t="s">
        <v>8</v>
      </c>
      <c r="D1863" s="626" t="s">
        <v>9306</v>
      </c>
      <c r="E1863" s="628" t="s">
        <v>23</v>
      </c>
      <c r="F1863" s="816" t="s">
        <v>13677</v>
      </c>
      <c r="G1863" s="816"/>
      <c r="H1863" s="816">
        <v>0.94740360000000001</v>
      </c>
      <c r="I1863" s="816"/>
      <c r="J1863" s="817">
        <v>0.33160000000000001</v>
      </c>
      <c r="K1863" s="817"/>
      <c r="L1863" s="817"/>
    </row>
    <row r="1864" spans="1:12" ht="17.100000000000001" customHeight="1">
      <c r="A1864" s="626" t="s">
        <v>12709</v>
      </c>
      <c r="B1864" s="627" t="s">
        <v>13004</v>
      </c>
      <c r="C1864" s="626" t="s">
        <v>8</v>
      </c>
      <c r="D1864" s="626" t="s">
        <v>7388</v>
      </c>
      <c r="E1864" s="628" t="s">
        <v>23</v>
      </c>
      <c r="F1864" s="816" t="s">
        <v>13676</v>
      </c>
      <c r="G1864" s="816"/>
      <c r="H1864" s="816">
        <v>0.94740360000000001</v>
      </c>
      <c r="I1864" s="816"/>
      <c r="J1864" s="817">
        <v>2.0842999999999998</v>
      </c>
      <c r="K1864" s="817"/>
      <c r="L1864" s="817"/>
    </row>
    <row r="1865" spans="1:12" ht="30" customHeight="1">
      <c r="A1865" s="636"/>
      <c r="B1865" s="636"/>
      <c r="C1865" s="636"/>
      <c r="D1865" s="636"/>
      <c r="E1865" s="636"/>
      <c r="F1865" s="636"/>
      <c r="G1865" s="636"/>
      <c r="H1865" s="636"/>
      <c r="I1865" s="636"/>
      <c r="J1865" s="636" t="s">
        <v>13675</v>
      </c>
      <c r="K1865" s="636"/>
      <c r="L1865" s="636" t="s">
        <v>13734</v>
      </c>
    </row>
    <row r="1866" spans="1:12" ht="36" customHeight="1">
      <c r="A1866" s="612" t="s">
        <v>13673</v>
      </c>
      <c r="B1866" s="612"/>
      <c r="C1866" s="612"/>
      <c r="D1866" s="612"/>
      <c r="E1866" s="612"/>
      <c r="F1866" s="612"/>
      <c r="G1866" s="612"/>
      <c r="H1866" s="612"/>
      <c r="I1866" s="612"/>
      <c r="J1866" s="612"/>
      <c r="K1866" s="612"/>
      <c r="L1866" s="612"/>
    </row>
    <row r="1867" spans="1:12" ht="14.25" customHeight="1">
      <c r="A1867" s="636"/>
      <c r="B1867" s="636"/>
      <c r="C1867" s="636"/>
      <c r="D1867" s="636"/>
      <c r="E1867" s="636"/>
      <c r="F1867" s="636"/>
      <c r="G1867" s="636"/>
      <c r="H1867" s="636"/>
      <c r="I1867" s="636"/>
      <c r="J1867" s="636" t="s">
        <v>13672</v>
      </c>
      <c r="K1867" s="636"/>
      <c r="L1867" s="636" t="s">
        <v>14959</v>
      </c>
    </row>
    <row r="1868" spans="1:12" ht="17.100000000000001" customHeight="1">
      <c r="A1868" s="636"/>
      <c r="B1868" s="636"/>
      <c r="C1868" s="636"/>
      <c r="D1868" s="636"/>
      <c r="E1868" s="636"/>
      <c r="F1868" s="636"/>
      <c r="G1868" s="636"/>
      <c r="H1868" s="636"/>
      <c r="I1868" s="636"/>
      <c r="J1868" s="636" t="s">
        <v>13671</v>
      </c>
      <c r="K1868" s="636" t="s">
        <v>14461</v>
      </c>
      <c r="L1868" s="636" t="s">
        <v>14960</v>
      </c>
    </row>
    <row r="1869" spans="1:12" ht="36" customHeight="1">
      <c r="A1869" s="636"/>
      <c r="B1869" s="636"/>
      <c r="C1869" s="636"/>
      <c r="D1869" s="636"/>
      <c r="E1869" s="636"/>
      <c r="F1869" s="636"/>
      <c r="G1869" s="636"/>
      <c r="H1869" s="636"/>
      <c r="I1869" s="636"/>
      <c r="J1869" s="636" t="s">
        <v>13670</v>
      </c>
      <c r="K1869" s="636"/>
      <c r="L1869" s="636" t="s">
        <v>14961</v>
      </c>
    </row>
    <row r="1870" spans="1:12" ht="24" customHeight="1">
      <c r="A1870" s="636"/>
      <c r="B1870" s="636"/>
      <c r="C1870" s="636"/>
      <c r="D1870" s="636"/>
      <c r="E1870" s="636"/>
      <c r="F1870" s="636"/>
      <c r="G1870" s="636"/>
      <c r="H1870" s="636"/>
      <c r="I1870" s="636"/>
      <c r="J1870" s="636" t="s">
        <v>13669</v>
      </c>
      <c r="K1870" s="636" t="s">
        <v>13667</v>
      </c>
      <c r="L1870" s="636" t="s">
        <v>14962</v>
      </c>
    </row>
    <row r="1871" spans="1:12" ht="24" customHeight="1">
      <c r="A1871" s="636"/>
      <c r="B1871" s="636"/>
      <c r="C1871" s="636"/>
      <c r="D1871" s="636"/>
      <c r="E1871" s="636"/>
      <c r="F1871" s="636"/>
      <c r="G1871" s="636"/>
      <c r="H1871" s="636"/>
      <c r="I1871" s="636"/>
      <c r="J1871" s="636" t="s">
        <v>13668</v>
      </c>
      <c r="K1871" s="636"/>
      <c r="L1871" s="636" t="s">
        <v>14963</v>
      </c>
    </row>
    <row r="1872" spans="1:12" ht="24" customHeight="1">
      <c r="A1872" s="637"/>
      <c r="B1872" s="637"/>
      <c r="C1872" s="637"/>
      <c r="D1872" s="637"/>
      <c r="E1872" s="637"/>
      <c r="F1872" s="637"/>
      <c r="G1872" s="637"/>
      <c r="H1872" s="637"/>
      <c r="I1872" s="637"/>
      <c r="J1872" s="637"/>
      <c r="K1872" s="637"/>
      <c r="L1872" s="637"/>
    </row>
    <row r="1873" spans="1:12" ht="24" customHeight="1">
      <c r="A1873" s="616" t="s">
        <v>14218</v>
      </c>
      <c r="B1873" s="617" t="s">
        <v>13622</v>
      </c>
      <c r="C1873" s="616" t="s">
        <v>8</v>
      </c>
      <c r="D1873" s="616" t="s">
        <v>4682</v>
      </c>
      <c r="E1873" s="618" t="s">
        <v>140</v>
      </c>
      <c r="F1873" s="617"/>
      <c r="G1873" s="617"/>
      <c r="H1873" s="617"/>
      <c r="I1873" s="617"/>
      <c r="J1873" s="617"/>
      <c r="K1873" s="617"/>
      <c r="L1873" s="617"/>
    </row>
    <row r="1874" spans="1:12" ht="17.100000000000001" customHeight="1">
      <c r="A1874" s="802" t="s">
        <v>12711</v>
      </c>
      <c r="B1874" s="802"/>
      <c r="C1874" s="802"/>
      <c r="D1874" s="802"/>
      <c r="E1874" s="802"/>
      <c r="F1874" s="802"/>
      <c r="G1874" s="802"/>
      <c r="H1874" s="802"/>
      <c r="I1874" s="612"/>
      <c r="J1874" s="612"/>
      <c r="K1874" s="612"/>
      <c r="L1874" s="612"/>
    </row>
    <row r="1875" spans="1:12" ht="14.25" customHeight="1">
      <c r="A1875" s="612" t="s">
        <v>13679</v>
      </c>
      <c r="B1875" s="636" t="s">
        <v>12698</v>
      </c>
      <c r="C1875" s="612" t="s">
        <v>12699</v>
      </c>
      <c r="D1875" s="612" t="s">
        <v>12700</v>
      </c>
      <c r="E1875" s="637" t="s">
        <v>12702</v>
      </c>
      <c r="F1875" s="801" t="s">
        <v>12704</v>
      </c>
      <c r="G1875" s="801"/>
      <c r="H1875" s="801" t="s">
        <v>13678</v>
      </c>
      <c r="I1875" s="801"/>
      <c r="J1875" s="801" t="s">
        <v>12705</v>
      </c>
      <c r="K1875" s="801"/>
      <c r="L1875" s="801"/>
    </row>
    <row r="1876" spans="1:12" ht="17.100000000000001" customHeight="1">
      <c r="A1876" s="626" t="s">
        <v>12709</v>
      </c>
      <c r="B1876" s="627" t="s">
        <v>13289</v>
      </c>
      <c r="C1876" s="626" t="s">
        <v>8</v>
      </c>
      <c r="D1876" s="626" t="s">
        <v>8192</v>
      </c>
      <c r="E1876" s="628" t="s">
        <v>35</v>
      </c>
      <c r="F1876" s="816" t="s">
        <v>14489</v>
      </c>
      <c r="G1876" s="816"/>
      <c r="H1876" s="816">
        <v>1.3E-6</v>
      </c>
      <c r="I1876" s="816"/>
      <c r="J1876" s="817">
        <v>0.35770000000000002</v>
      </c>
      <c r="K1876" s="817"/>
      <c r="L1876" s="817"/>
    </row>
    <row r="1877" spans="1:12" ht="24" customHeight="1">
      <c r="A1877" s="626" t="s">
        <v>12709</v>
      </c>
      <c r="B1877" s="627" t="s">
        <v>13003</v>
      </c>
      <c r="C1877" s="626" t="s">
        <v>8</v>
      </c>
      <c r="D1877" s="626" t="s">
        <v>9227</v>
      </c>
      <c r="E1877" s="628" t="s">
        <v>23</v>
      </c>
      <c r="F1877" s="816" t="s">
        <v>13732</v>
      </c>
      <c r="G1877" s="816"/>
      <c r="H1877" s="816">
        <v>1.2175099999999999E-2</v>
      </c>
      <c r="I1877" s="816"/>
      <c r="J1877" s="817">
        <v>8.0000000000000002E-3</v>
      </c>
      <c r="K1877" s="817"/>
      <c r="L1877" s="817"/>
    </row>
    <row r="1878" spans="1:12" ht="24" customHeight="1">
      <c r="A1878" s="626" t="s">
        <v>12709</v>
      </c>
      <c r="B1878" s="627" t="s">
        <v>13001</v>
      </c>
      <c r="C1878" s="626" t="s">
        <v>8</v>
      </c>
      <c r="D1878" s="626" t="s">
        <v>9374</v>
      </c>
      <c r="E1878" s="628" t="s">
        <v>23</v>
      </c>
      <c r="F1878" s="816" t="s">
        <v>13728</v>
      </c>
      <c r="G1878" s="816"/>
      <c r="H1878" s="816">
        <v>1.2175099999999999E-2</v>
      </c>
      <c r="I1878" s="816"/>
      <c r="J1878" s="817">
        <v>1E-4</v>
      </c>
      <c r="K1878" s="817"/>
      <c r="L1878" s="817"/>
    </row>
    <row r="1879" spans="1:12" ht="17.100000000000001" customHeight="1">
      <c r="A1879" s="636"/>
      <c r="B1879" s="636"/>
      <c r="C1879" s="636"/>
      <c r="D1879" s="636"/>
      <c r="E1879" s="636"/>
      <c r="F1879" s="636"/>
      <c r="G1879" s="636"/>
      <c r="H1879" s="636"/>
      <c r="I1879" s="636"/>
      <c r="J1879" s="636" t="s">
        <v>13675</v>
      </c>
      <c r="K1879" s="636"/>
      <c r="L1879" s="636" t="s">
        <v>13798</v>
      </c>
    </row>
    <row r="1880" spans="1:12">
      <c r="A1880" s="802" t="s">
        <v>12710</v>
      </c>
      <c r="B1880" s="802"/>
      <c r="C1880" s="802"/>
      <c r="D1880" s="802"/>
      <c r="E1880" s="802"/>
      <c r="F1880" s="802"/>
      <c r="G1880" s="802"/>
      <c r="H1880" s="802"/>
      <c r="I1880" s="612"/>
      <c r="J1880" s="612"/>
      <c r="K1880" s="612"/>
      <c r="L1880" s="612"/>
    </row>
    <row r="1881" spans="1:12" ht="17.100000000000001" customHeight="1">
      <c r="A1881" s="612" t="s">
        <v>13679</v>
      </c>
      <c r="B1881" s="636" t="s">
        <v>12698</v>
      </c>
      <c r="C1881" s="612" t="s">
        <v>12699</v>
      </c>
      <c r="D1881" s="612" t="s">
        <v>12700</v>
      </c>
      <c r="E1881" s="637" t="s">
        <v>12702</v>
      </c>
      <c r="F1881" s="801" t="s">
        <v>12704</v>
      </c>
      <c r="G1881" s="801"/>
      <c r="H1881" s="801" t="s">
        <v>13678</v>
      </c>
      <c r="I1881" s="801"/>
      <c r="J1881" s="801" t="s">
        <v>12705</v>
      </c>
      <c r="K1881" s="801"/>
      <c r="L1881" s="801"/>
    </row>
    <row r="1882" spans="1:12" ht="24" customHeight="1">
      <c r="A1882" s="626" t="s">
        <v>12709</v>
      </c>
      <c r="B1882" s="627" t="s">
        <v>13129</v>
      </c>
      <c r="C1882" s="626" t="s">
        <v>8</v>
      </c>
      <c r="D1882" s="626" t="s">
        <v>10467</v>
      </c>
      <c r="E1882" s="628" t="s">
        <v>23</v>
      </c>
      <c r="F1882" s="816" t="s">
        <v>14252</v>
      </c>
      <c r="G1882" s="816"/>
      <c r="H1882" s="816">
        <v>1.1479899999999999E-2</v>
      </c>
      <c r="I1882" s="816"/>
      <c r="J1882" s="817">
        <v>5.9499999999999997E-2</v>
      </c>
      <c r="K1882" s="817"/>
      <c r="L1882" s="817"/>
    </row>
    <row r="1883" spans="1:12" ht="24" customHeight="1">
      <c r="A1883" s="636"/>
      <c r="B1883" s="636"/>
      <c r="C1883" s="636"/>
      <c r="D1883" s="636"/>
      <c r="E1883" s="636"/>
      <c r="F1883" s="636"/>
      <c r="G1883" s="636"/>
      <c r="H1883" s="636"/>
      <c r="I1883" s="636"/>
      <c r="J1883" s="636" t="s">
        <v>13675</v>
      </c>
      <c r="K1883" s="636"/>
      <c r="L1883" s="636" t="s">
        <v>13708</v>
      </c>
    </row>
    <row r="1884" spans="1:12" ht="24" customHeight="1">
      <c r="A1884" s="802" t="s">
        <v>12720</v>
      </c>
      <c r="B1884" s="802"/>
      <c r="C1884" s="802"/>
      <c r="D1884" s="802"/>
      <c r="E1884" s="802"/>
      <c r="F1884" s="802"/>
      <c r="G1884" s="802"/>
      <c r="H1884" s="802"/>
      <c r="I1884" s="612"/>
      <c r="J1884" s="612"/>
      <c r="K1884" s="612"/>
      <c r="L1884" s="612"/>
    </row>
    <row r="1885" spans="1:12" ht="24" customHeight="1">
      <c r="A1885" s="612" t="s">
        <v>13679</v>
      </c>
      <c r="B1885" s="636" t="s">
        <v>12698</v>
      </c>
      <c r="C1885" s="612" t="s">
        <v>12699</v>
      </c>
      <c r="D1885" s="612" t="s">
        <v>12700</v>
      </c>
      <c r="E1885" s="637" t="s">
        <v>12702</v>
      </c>
      <c r="F1885" s="801" t="s">
        <v>12704</v>
      </c>
      <c r="G1885" s="801"/>
      <c r="H1885" s="801" t="s">
        <v>13678</v>
      </c>
      <c r="I1885" s="801"/>
      <c r="J1885" s="801" t="s">
        <v>12705</v>
      </c>
      <c r="K1885" s="801"/>
      <c r="L1885" s="801"/>
    </row>
    <row r="1886" spans="1:12" ht="17.100000000000001" customHeight="1">
      <c r="A1886" s="626" t="s">
        <v>12709</v>
      </c>
      <c r="B1886" s="627" t="s">
        <v>13281</v>
      </c>
      <c r="C1886" s="626" t="s">
        <v>8</v>
      </c>
      <c r="D1886" s="626" t="s">
        <v>8070</v>
      </c>
      <c r="E1886" s="628" t="s">
        <v>35</v>
      </c>
      <c r="F1886" s="816" t="s">
        <v>13730</v>
      </c>
      <c r="G1886" s="816"/>
      <c r="H1886" s="816">
        <v>1.3E-6</v>
      </c>
      <c r="I1886" s="816"/>
      <c r="J1886" s="817">
        <v>4.41E-2</v>
      </c>
      <c r="K1886" s="817"/>
      <c r="L1886" s="817"/>
    </row>
    <row r="1887" spans="1:12" ht="25.5">
      <c r="A1887" s="626" t="s">
        <v>12709</v>
      </c>
      <c r="B1887" s="627" t="s">
        <v>13007</v>
      </c>
      <c r="C1887" s="626" t="s">
        <v>8</v>
      </c>
      <c r="D1887" s="626" t="s">
        <v>10549</v>
      </c>
      <c r="E1887" s="628" t="s">
        <v>58</v>
      </c>
      <c r="F1887" s="816" t="s">
        <v>14172</v>
      </c>
      <c r="G1887" s="816"/>
      <c r="H1887" s="816">
        <v>0.13260540000000001</v>
      </c>
      <c r="I1887" s="816"/>
      <c r="J1887" s="817">
        <v>0.42959999999999998</v>
      </c>
      <c r="K1887" s="817"/>
      <c r="L1887" s="817"/>
    </row>
    <row r="1888" spans="1:12" ht="17.100000000000001" customHeight="1">
      <c r="A1888" s="636"/>
      <c r="B1888" s="636"/>
      <c r="C1888" s="636"/>
      <c r="D1888" s="636"/>
      <c r="E1888" s="636"/>
      <c r="F1888" s="636"/>
      <c r="G1888" s="636"/>
      <c r="H1888" s="636"/>
      <c r="I1888" s="636"/>
      <c r="J1888" s="636" t="s">
        <v>13675</v>
      </c>
      <c r="K1888" s="636"/>
      <c r="L1888" s="636" t="s">
        <v>14717</v>
      </c>
    </row>
    <row r="1889" spans="1:12" ht="24" customHeight="1">
      <c r="A1889" s="802" t="s">
        <v>12722</v>
      </c>
      <c r="B1889" s="802"/>
      <c r="C1889" s="802"/>
      <c r="D1889" s="802"/>
      <c r="E1889" s="802"/>
      <c r="F1889" s="802"/>
      <c r="G1889" s="802"/>
      <c r="H1889" s="802"/>
      <c r="I1889" s="612"/>
      <c r="J1889" s="612"/>
      <c r="K1889" s="612"/>
      <c r="L1889" s="612"/>
    </row>
    <row r="1890" spans="1:12" ht="17.100000000000001" customHeight="1">
      <c r="A1890" s="612" t="s">
        <v>13679</v>
      </c>
      <c r="B1890" s="636" t="s">
        <v>12698</v>
      </c>
      <c r="C1890" s="612" t="s">
        <v>12699</v>
      </c>
      <c r="D1890" s="612" t="s">
        <v>12700</v>
      </c>
      <c r="E1890" s="637" t="s">
        <v>12702</v>
      </c>
      <c r="F1890" s="801" t="s">
        <v>12704</v>
      </c>
      <c r="G1890" s="801"/>
      <c r="H1890" s="801" t="s">
        <v>13678</v>
      </c>
      <c r="I1890" s="801"/>
      <c r="J1890" s="801" t="s">
        <v>12705</v>
      </c>
      <c r="K1890" s="801"/>
      <c r="L1890" s="801"/>
    </row>
    <row r="1891" spans="1:12" ht="25.5">
      <c r="A1891" s="626" t="s">
        <v>12709</v>
      </c>
      <c r="B1891" s="627" t="s">
        <v>12998</v>
      </c>
      <c r="C1891" s="626" t="s">
        <v>8</v>
      </c>
      <c r="D1891" s="626" t="s">
        <v>11861</v>
      </c>
      <c r="E1891" s="628" t="s">
        <v>23</v>
      </c>
      <c r="F1891" s="816" t="s">
        <v>13683</v>
      </c>
      <c r="G1891" s="816"/>
      <c r="H1891" s="816">
        <v>1.2175099999999999E-2</v>
      </c>
      <c r="I1891" s="816"/>
      <c r="J1891" s="817">
        <v>8.6E-3</v>
      </c>
      <c r="K1891" s="817"/>
      <c r="L1891" s="817"/>
    </row>
    <row r="1892" spans="1:12" ht="17.100000000000001" customHeight="1">
      <c r="A1892" s="636"/>
      <c r="B1892" s="636"/>
      <c r="C1892" s="636"/>
      <c r="D1892" s="636"/>
      <c r="E1892" s="636"/>
      <c r="F1892" s="636"/>
      <c r="G1892" s="636"/>
      <c r="H1892" s="636"/>
      <c r="I1892" s="636"/>
      <c r="J1892" s="636" t="s">
        <v>13675</v>
      </c>
      <c r="K1892" s="636"/>
      <c r="L1892" s="636" t="s">
        <v>13728</v>
      </c>
    </row>
    <row r="1893" spans="1:12" ht="24" customHeight="1">
      <c r="A1893" s="802" t="s">
        <v>12713</v>
      </c>
      <c r="B1893" s="802"/>
      <c r="C1893" s="802"/>
      <c r="D1893" s="802"/>
      <c r="E1893" s="802"/>
      <c r="F1893" s="802"/>
      <c r="G1893" s="802"/>
      <c r="H1893" s="802"/>
      <c r="I1893" s="612"/>
      <c r="J1893" s="612"/>
      <c r="K1893" s="612"/>
      <c r="L1893" s="612"/>
    </row>
    <row r="1894" spans="1:12" ht="17.100000000000001" customHeight="1">
      <c r="A1894" s="612" t="s">
        <v>13679</v>
      </c>
      <c r="B1894" s="636" t="s">
        <v>12698</v>
      </c>
      <c r="C1894" s="612" t="s">
        <v>12699</v>
      </c>
      <c r="D1894" s="612" t="s">
        <v>12700</v>
      </c>
      <c r="E1894" s="637" t="s">
        <v>12702</v>
      </c>
      <c r="F1894" s="801" t="s">
        <v>12704</v>
      </c>
      <c r="G1894" s="801"/>
      <c r="H1894" s="801" t="s">
        <v>13678</v>
      </c>
      <c r="I1894" s="801"/>
      <c r="J1894" s="801" t="s">
        <v>12705</v>
      </c>
      <c r="K1894" s="801"/>
      <c r="L1894" s="801"/>
    </row>
    <row r="1895" spans="1:12" ht="25.5">
      <c r="A1895" s="626" t="s">
        <v>12709</v>
      </c>
      <c r="B1895" s="627" t="s">
        <v>12999</v>
      </c>
      <c r="C1895" s="626" t="s">
        <v>8</v>
      </c>
      <c r="D1895" s="626" t="s">
        <v>11251</v>
      </c>
      <c r="E1895" s="628" t="s">
        <v>23</v>
      </c>
      <c r="F1895" s="816" t="s">
        <v>13681</v>
      </c>
      <c r="G1895" s="816"/>
      <c r="H1895" s="816">
        <v>1.2175099999999999E-2</v>
      </c>
      <c r="I1895" s="816"/>
      <c r="J1895" s="817">
        <v>8.9999999999999998E-4</v>
      </c>
      <c r="K1895" s="817"/>
      <c r="L1895" s="817"/>
    </row>
    <row r="1896" spans="1:12" ht="17.100000000000001" customHeight="1">
      <c r="A1896" s="636"/>
      <c r="B1896" s="636"/>
      <c r="C1896" s="636"/>
      <c r="D1896" s="636"/>
      <c r="E1896" s="636"/>
      <c r="F1896" s="636"/>
      <c r="G1896" s="636"/>
      <c r="H1896" s="636"/>
      <c r="I1896" s="636"/>
      <c r="J1896" s="636" t="s">
        <v>13675</v>
      </c>
      <c r="K1896" s="636"/>
      <c r="L1896" s="636" t="s">
        <v>13727</v>
      </c>
    </row>
    <row r="1897" spans="1:12" ht="24" customHeight="1">
      <c r="A1897" s="802" t="s">
        <v>12712</v>
      </c>
      <c r="B1897" s="802"/>
      <c r="C1897" s="802"/>
      <c r="D1897" s="802"/>
      <c r="E1897" s="802"/>
      <c r="F1897" s="802"/>
      <c r="G1897" s="802"/>
      <c r="H1897" s="802"/>
      <c r="I1897" s="612"/>
      <c r="J1897" s="612"/>
      <c r="K1897" s="612"/>
      <c r="L1897" s="612"/>
    </row>
    <row r="1898" spans="1:12" ht="24" customHeight="1">
      <c r="A1898" s="612" t="s">
        <v>13679</v>
      </c>
      <c r="B1898" s="636" t="s">
        <v>12698</v>
      </c>
      <c r="C1898" s="612" t="s">
        <v>12699</v>
      </c>
      <c r="D1898" s="612" t="s">
        <v>12700</v>
      </c>
      <c r="E1898" s="637" t="s">
        <v>12702</v>
      </c>
      <c r="F1898" s="801" t="s">
        <v>12704</v>
      </c>
      <c r="G1898" s="801"/>
      <c r="H1898" s="801" t="s">
        <v>13678</v>
      </c>
      <c r="I1898" s="801"/>
      <c r="J1898" s="801" t="s">
        <v>12705</v>
      </c>
      <c r="K1898" s="801"/>
      <c r="L1898" s="801"/>
    </row>
    <row r="1899" spans="1:12" ht="17.100000000000001" customHeight="1">
      <c r="A1899" s="626" t="s">
        <v>12709</v>
      </c>
      <c r="B1899" s="627" t="s">
        <v>13002</v>
      </c>
      <c r="C1899" s="626" t="s">
        <v>8</v>
      </c>
      <c r="D1899" s="626" t="s">
        <v>9306</v>
      </c>
      <c r="E1899" s="628" t="s">
        <v>23</v>
      </c>
      <c r="F1899" s="816" t="s">
        <v>13677</v>
      </c>
      <c r="G1899" s="816"/>
      <c r="H1899" s="816">
        <v>1.2175099999999999E-2</v>
      </c>
      <c r="I1899" s="816"/>
      <c r="J1899" s="817">
        <v>4.3E-3</v>
      </c>
      <c r="K1899" s="817"/>
      <c r="L1899" s="817"/>
    </row>
    <row r="1900" spans="1:12" ht="17.100000000000001" customHeight="1">
      <c r="A1900" s="626" t="s">
        <v>12709</v>
      </c>
      <c r="B1900" s="627" t="s">
        <v>13004</v>
      </c>
      <c r="C1900" s="626" t="s">
        <v>8</v>
      </c>
      <c r="D1900" s="626" t="s">
        <v>7388</v>
      </c>
      <c r="E1900" s="628" t="s">
        <v>23</v>
      </c>
      <c r="F1900" s="816" t="s">
        <v>13676</v>
      </c>
      <c r="G1900" s="816"/>
      <c r="H1900" s="816">
        <v>1.2175099999999999E-2</v>
      </c>
      <c r="I1900" s="816"/>
      <c r="J1900" s="817">
        <v>2.6800000000000001E-2</v>
      </c>
      <c r="K1900" s="817"/>
      <c r="L1900" s="817"/>
    </row>
    <row r="1901" spans="1:12" ht="17.100000000000001" customHeight="1">
      <c r="A1901" s="636"/>
      <c r="B1901" s="636"/>
      <c r="C1901" s="636"/>
      <c r="D1901" s="636"/>
      <c r="E1901" s="636"/>
      <c r="F1901" s="636"/>
      <c r="G1901" s="636"/>
      <c r="H1901" s="636"/>
      <c r="I1901" s="636"/>
      <c r="J1901" s="636" t="s">
        <v>13675</v>
      </c>
      <c r="K1901" s="636"/>
      <c r="L1901" s="636" t="s">
        <v>13726</v>
      </c>
    </row>
    <row r="1902" spans="1:12" ht="17.100000000000001" customHeight="1">
      <c r="A1902" s="612" t="s">
        <v>13673</v>
      </c>
      <c r="B1902" s="612"/>
      <c r="C1902" s="612"/>
      <c r="D1902" s="612"/>
      <c r="E1902" s="612"/>
      <c r="F1902" s="612"/>
      <c r="G1902" s="612"/>
      <c r="H1902" s="612"/>
      <c r="I1902" s="612"/>
      <c r="J1902" s="612"/>
      <c r="K1902" s="612"/>
      <c r="L1902" s="612"/>
    </row>
    <row r="1903" spans="1:12" ht="17.100000000000001" customHeight="1">
      <c r="A1903" s="636"/>
      <c r="B1903" s="636"/>
      <c r="C1903" s="636"/>
      <c r="D1903" s="636"/>
      <c r="E1903" s="636"/>
      <c r="F1903" s="636"/>
      <c r="G1903" s="636"/>
      <c r="H1903" s="636"/>
      <c r="I1903" s="636"/>
      <c r="J1903" s="636" t="s">
        <v>13672</v>
      </c>
      <c r="K1903" s="636"/>
      <c r="L1903" s="636" t="s">
        <v>15035</v>
      </c>
    </row>
    <row r="1904" spans="1:12" ht="17.100000000000001" customHeight="1">
      <c r="A1904" s="636"/>
      <c r="B1904" s="636"/>
      <c r="C1904" s="636"/>
      <c r="D1904" s="636"/>
      <c r="E1904" s="636"/>
      <c r="F1904" s="636"/>
      <c r="G1904" s="636"/>
      <c r="H1904" s="636"/>
      <c r="I1904" s="636"/>
      <c r="J1904" s="636" t="s">
        <v>13671</v>
      </c>
      <c r="K1904" s="636" t="s">
        <v>14461</v>
      </c>
      <c r="L1904" s="636" t="s">
        <v>15036</v>
      </c>
    </row>
    <row r="1905" spans="1:12" ht="17.100000000000001" customHeight="1">
      <c r="A1905" s="636"/>
      <c r="B1905" s="636"/>
      <c r="C1905" s="636"/>
      <c r="D1905" s="636"/>
      <c r="E1905" s="636"/>
      <c r="F1905" s="636"/>
      <c r="G1905" s="636"/>
      <c r="H1905" s="636"/>
      <c r="I1905" s="636"/>
      <c r="J1905" s="636" t="s">
        <v>13670</v>
      </c>
      <c r="K1905" s="636"/>
      <c r="L1905" s="636" t="s">
        <v>15037</v>
      </c>
    </row>
    <row r="1906" spans="1:12" ht="30" customHeight="1">
      <c r="A1906" s="636"/>
      <c r="B1906" s="636"/>
      <c r="C1906" s="636"/>
      <c r="D1906" s="636"/>
      <c r="E1906" s="636"/>
      <c r="F1906" s="636"/>
      <c r="G1906" s="636"/>
      <c r="H1906" s="636"/>
      <c r="I1906" s="636"/>
      <c r="J1906" s="636" t="s">
        <v>13669</v>
      </c>
      <c r="K1906" s="636" t="s">
        <v>13667</v>
      </c>
      <c r="L1906" s="636" t="s">
        <v>14880</v>
      </c>
    </row>
    <row r="1907" spans="1:12" ht="24" customHeight="1">
      <c r="A1907" s="636"/>
      <c r="B1907" s="636"/>
      <c r="C1907" s="636"/>
      <c r="D1907" s="636"/>
      <c r="E1907" s="636"/>
      <c r="F1907" s="636"/>
      <c r="G1907" s="636"/>
      <c r="H1907" s="636"/>
      <c r="I1907" s="636"/>
      <c r="J1907" s="636" t="s">
        <v>13668</v>
      </c>
      <c r="K1907" s="636"/>
      <c r="L1907" s="636" t="s">
        <v>15038</v>
      </c>
    </row>
    <row r="1908" spans="1:12" ht="14.25" customHeight="1">
      <c r="A1908" s="637"/>
      <c r="B1908" s="637"/>
      <c r="C1908" s="637"/>
      <c r="D1908" s="637"/>
      <c r="E1908" s="637"/>
      <c r="F1908" s="637"/>
      <c r="G1908" s="637"/>
      <c r="H1908" s="637"/>
      <c r="I1908" s="637"/>
      <c r="J1908" s="637"/>
      <c r="K1908" s="637"/>
      <c r="L1908" s="637"/>
    </row>
    <row r="1909" spans="1:12" ht="17.100000000000001" customHeight="1">
      <c r="A1909" s="616" t="s">
        <v>14217</v>
      </c>
      <c r="B1909" s="617" t="s">
        <v>13634</v>
      </c>
      <c r="C1909" s="616" t="s">
        <v>8</v>
      </c>
      <c r="D1909" s="616" t="s">
        <v>3543</v>
      </c>
      <c r="E1909" s="618" t="s">
        <v>12730</v>
      </c>
      <c r="F1909" s="617"/>
      <c r="G1909" s="617"/>
      <c r="H1909" s="617"/>
      <c r="I1909" s="617"/>
      <c r="J1909" s="617"/>
      <c r="K1909" s="617"/>
      <c r="L1909" s="617"/>
    </row>
    <row r="1910" spans="1:12" ht="24" customHeight="1">
      <c r="A1910" s="802" t="s">
        <v>12711</v>
      </c>
      <c r="B1910" s="802"/>
      <c r="C1910" s="802"/>
      <c r="D1910" s="802"/>
      <c r="E1910" s="802"/>
      <c r="F1910" s="802"/>
      <c r="G1910" s="802"/>
      <c r="H1910" s="802"/>
      <c r="I1910" s="612"/>
      <c r="J1910" s="612"/>
      <c r="K1910" s="612"/>
      <c r="L1910" s="612"/>
    </row>
    <row r="1911" spans="1:12" ht="24" customHeight="1">
      <c r="A1911" s="612" t="s">
        <v>13679</v>
      </c>
      <c r="B1911" s="636" t="s">
        <v>12698</v>
      </c>
      <c r="C1911" s="612" t="s">
        <v>12699</v>
      </c>
      <c r="D1911" s="612" t="s">
        <v>12700</v>
      </c>
      <c r="E1911" s="637" t="s">
        <v>12702</v>
      </c>
      <c r="F1911" s="801" t="s">
        <v>12704</v>
      </c>
      <c r="G1911" s="801"/>
      <c r="H1911" s="801" t="s">
        <v>13678</v>
      </c>
      <c r="I1911" s="801"/>
      <c r="J1911" s="801" t="s">
        <v>12705</v>
      </c>
      <c r="K1911" s="801"/>
      <c r="L1911" s="801"/>
    </row>
    <row r="1912" spans="1:12" ht="24" customHeight="1">
      <c r="A1912" s="626" t="s">
        <v>12709</v>
      </c>
      <c r="B1912" s="627" t="s">
        <v>13302</v>
      </c>
      <c r="C1912" s="626" t="s">
        <v>8</v>
      </c>
      <c r="D1912" s="626" t="s">
        <v>7676</v>
      </c>
      <c r="E1912" s="628" t="s">
        <v>35</v>
      </c>
      <c r="F1912" s="816" t="s">
        <v>14526</v>
      </c>
      <c r="G1912" s="816"/>
      <c r="H1912" s="816">
        <v>1.493E-4</v>
      </c>
      <c r="I1912" s="816"/>
      <c r="J1912" s="817">
        <v>0.54069999999999996</v>
      </c>
      <c r="K1912" s="817"/>
      <c r="L1912" s="817"/>
    </row>
    <row r="1913" spans="1:12" ht="24" customHeight="1">
      <c r="A1913" s="626" t="s">
        <v>12709</v>
      </c>
      <c r="B1913" s="627" t="s">
        <v>13048</v>
      </c>
      <c r="C1913" s="626" t="s">
        <v>8</v>
      </c>
      <c r="D1913" s="626" t="s">
        <v>9233</v>
      </c>
      <c r="E1913" s="628" t="s">
        <v>23</v>
      </c>
      <c r="F1913" s="816" t="s">
        <v>13690</v>
      </c>
      <c r="G1913" s="816"/>
      <c r="H1913" s="816">
        <v>2.3063959000000001</v>
      </c>
      <c r="I1913" s="816"/>
      <c r="J1913" s="817">
        <v>2.3525</v>
      </c>
      <c r="K1913" s="817"/>
      <c r="L1913" s="817"/>
    </row>
    <row r="1914" spans="1:12" ht="24" customHeight="1">
      <c r="A1914" s="626" t="s">
        <v>12709</v>
      </c>
      <c r="B1914" s="627" t="s">
        <v>13047</v>
      </c>
      <c r="C1914" s="626" t="s">
        <v>8</v>
      </c>
      <c r="D1914" s="626" t="s">
        <v>9380</v>
      </c>
      <c r="E1914" s="628" t="s">
        <v>23</v>
      </c>
      <c r="F1914" s="816" t="s">
        <v>13689</v>
      </c>
      <c r="G1914" s="816"/>
      <c r="H1914" s="816">
        <v>2.3063959000000001</v>
      </c>
      <c r="I1914" s="816"/>
      <c r="J1914" s="817">
        <v>0.87639999999999996</v>
      </c>
      <c r="K1914" s="817"/>
      <c r="L1914" s="817"/>
    </row>
    <row r="1915" spans="1:12" ht="24" customHeight="1">
      <c r="A1915" s="626" t="s">
        <v>12709</v>
      </c>
      <c r="B1915" s="627" t="s">
        <v>13003</v>
      </c>
      <c r="C1915" s="626" t="s">
        <v>8</v>
      </c>
      <c r="D1915" s="626" t="s">
        <v>9227</v>
      </c>
      <c r="E1915" s="628" t="s">
        <v>23</v>
      </c>
      <c r="F1915" s="816" t="s">
        <v>13732</v>
      </c>
      <c r="G1915" s="816"/>
      <c r="H1915" s="816">
        <v>1.4577221</v>
      </c>
      <c r="I1915" s="816"/>
      <c r="J1915" s="817">
        <v>0.96209999999999996</v>
      </c>
      <c r="K1915" s="817"/>
      <c r="L1915" s="817"/>
    </row>
    <row r="1916" spans="1:12" ht="24" customHeight="1">
      <c r="A1916" s="626" t="s">
        <v>12709</v>
      </c>
      <c r="B1916" s="627" t="s">
        <v>13001</v>
      </c>
      <c r="C1916" s="626" t="s">
        <v>8</v>
      </c>
      <c r="D1916" s="626" t="s">
        <v>9374</v>
      </c>
      <c r="E1916" s="628" t="s">
        <v>23</v>
      </c>
      <c r="F1916" s="816" t="s">
        <v>13728</v>
      </c>
      <c r="G1916" s="816"/>
      <c r="H1916" s="816">
        <v>1.4577221</v>
      </c>
      <c r="I1916" s="816"/>
      <c r="J1916" s="817">
        <v>1.46E-2</v>
      </c>
      <c r="K1916" s="817"/>
      <c r="L1916" s="817"/>
    </row>
    <row r="1917" spans="1:12" ht="17.100000000000001" customHeight="1">
      <c r="A1917" s="636"/>
      <c r="B1917" s="636"/>
      <c r="C1917" s="636"/>
      <c r="D1917" s="636"/>
      <c r="E1917" s="636"/>
      <c r="F1917" s="636"/>
      <c r="G1917" s="636"/>
      <c r="H1917" s="636"/>
      <c r="I1917" s="636"/>
      <c r="J1917" s="636" t="s">
        <v>13675</v>
      </c>
      <c r="K1917" s="636"/>
      <c r="L1917" s="636" t="s">
        <v>14575</v>
      </c>
    </row>
    <row r="1918" spans="1:12" ht="14.25" customHeight="1">
      <c r="A1918" s="802" t="s">
        <v>12710</v>
      </c>
      <c r="B1918" s="802"/>
      <c r="C1918" s="802"/>
      <c r="D1918" s="802"/>
      <c r="E1918" s="802"/>
      <c r="F1918" s="802"/>
      <c r="G1918" s="802"/>
      <c r="H1918" s="802"/>
      <c r="I1918" s="612"/>
      <c r="J1918" s="612"/>
      <c r="K1918" s="612"/>
      <c r="L1918" s="612"/>
    </row>
    <row r="1919" spans="1:12" ht="17.100000000000001" customHeight="1">
      <c r="A1919" s="612" t="s">
        <v>13679</v>
      </c>
      <c r="B1919" s="636" t="s">
        <v>12698</v>
      </c>
      <c r="C1919" s="612" t="s">
        <v>12699</v>
      </c>
      <c r="D1919" s="612" t="s">
        <v>12700</v>
      </c>
      <c r="E1919" s="637" t="s">
        <v>12702</v>
      </c>
      <c r="F1919" s="801" t="s">
        <v>12704</v>
      </c>
      <c r="G1919" s="801"/>
      <c r="H1919" s="801" t="s">
        <v>13678</v>
      </c>
      <c r="I1919" s="801"/>
      <c r="J1919" s="801" t="s">
        <v>12705</v>
      </c>
      <c r="K1919" s="801"/>
      <c r="L1919" s="801"/>
    </row>
    <row r="1920" spans="1:12" ht="24" customHeight="1">
      <c r="A1920" s="626" t="s">
        <v>12709</v>
      </c>
      <c r="B1920" s="627" t="s">
        <v>13046</v>
      </c>
      <c r="C1920" s="626" t="s">
        <v>8</v>
      </c>
      <c r="D1920" s="626" t="s">
        <v>11281</v>
      </c>
      <c r="E1920" s="628" t="s">
        <v>23</v>
      </c>
      <c r="F1920" s="816" t="s">
        <v>13731</v>
      </c>
      <c r="G1920" s="816"/>
      <c r="H1920" s="816">
        <v>2.3424033</v>
      </c>
      <c r="I1920" s="816"/>
      <c r="J1920" s="817">
        <v>12.04</v>
      </c>
      <c r="K1920" s="817"/>
      <c r="L1920" s="817"/>
    </row>
    <row r="1921" spans="1:12" ht="24" customHeight="1">
      <c r="A1921" s="626" t="s">
        <v>12709</v>
      </c>
      <c r="B1921" s="627" t="s">
        <v>13116</v>
      </c>
      <c r="C1921" s="626" t="s">
        <v>8</v>
      </c>
      <c r="D1921" s="626" t="s">
        <v>10556</v>
      </c>
      <c r="E1921" s="628" t="s">
        <v>23</v>
      </c>
      <c r="F1921" s="816" t="s">
        <v>13770</v>
      </c>
      <c r="G1921" s="816"/>
      <c r="H1921" s="816">
        <v>1.4674932999999999</v>
      </c>
      <c r="I1921" s="816"/>
      <c r="J1921" s="817">
        <v>6.9999000000000002</v>
      </c>
      <c r="K1921" s="817"/>
      <c r="L1921" s="817"/>
    </row>
    <row r="1922" spans="1:12" ht="24" customHeight="1">
      <c r="A1922" s="636"/>
      <c r="B1922" s="636"/>
      <c r="C1922" s="636"/>
      <c r="D1922" s="636"/>
      <c r="E1922" s="636"/>
      <c r="F1922" s="636"/>
      <c r="G1922" s="636"/>
      <c r="H1922" s="636"/>
      <c r="I1922" s="636"/>
      <c r="J1922" s="636" t="s">
        <v>13675</v>
      </c>
      <c r="K1922" s="636"/>
      <c r="L1922" s="636" t="s">
        <v>14716</v>
      </c>
    </row>
    <row r="1923" spans="1:12" ht="17.100000000000001" customHeight="1">
      <c r="A1923" s="802" t="s">
        <v>12720</v>
      </c>
      <c r="B1923" s="802"/>
      <c r="C1923" s="802"/>
      <c r="D1923" s="802"/>
      <c r="E1923" s="802"/>
      <c r="F1923" s="802"/>
      <c r="G1923" s="802"/>
      <c r="H1923" s="802"/>
      <c r="I1923" s="612"/>
      <c r="J1923" s="612"/>
      <c r="K1923" s="612"/>
      <c r="L1923" s="612"/>
    </row>
    <row r="1924" spans="1:12">
      <c r="A1924" s="612" t="s">
        <v>13679</v>
      </c>
      <c r="B1924" s="636" t="s">
        <v>12698</v>
      </c>
      <c r="C1924" s="612" t="s">
        <v>12699</v>
      </c>
      <c r="D1924" s="612" t="s">
        <v>12700</v>
      </c>
      <c r="E1924" s="637" t="s">
        <v>12702</v>
      </c>
      <c r="F1924" s="801" t="s">
        <v>12704</v>
      </c>
      <c r="G1924" s="801"/>
      <c r="H1924" s="801" t="s">
        <v>13678</v>
      </c>
      <c r="I1924" s="801"/>
      <c r="J1924" s="801" t="s">
        <v>12705</v>
      </c>
      <c r="K1924" s="801"/>
      <c r="L1924" s="801"/>
    </row>
    <row r="1925" spans="1:12" ht="17.100000000000001" customHeight="1">
      <c r="A1925" s="626" t="s">
        <v>12709</v>
      </c>
      <c r="B1925" s="627" t="s">
        <v>13250</v>
      </c>
      <c r="C1925" s="626" t="s">
        <v>8</v>
      </c>
      <c r="D1925" s="626" t="s">
        <v>7526</v>
      </c>
      <c r="E1925" s="628" t="s">
        <v>12730</v>
      </c>
      <c r="F1925" s="816" t="s">
        <v>13747</v>
      </c>
      <c r="G1925" s="816"/>
      <c r="H1925" s="816">
        <v>0.72299999999999998</v>
      </c>
      <c r="I1925" s="816"/>
      <c r="J1925" s="817">
        <v>45.18</v>
      </c>
      <c r="K1925" s="817"/>
      <c r="L1925" s="817"/>
    </row>
    <row r="1926" spans="1:12" ht="24" customHeight="1">
      <c r="A1926" s="626" t="s">
        <v>12709</v>
      </c>
      <c r="B1926" s="627" t="s">
        <v>13249</v>
      </c>
      <c r="C1926" s="626" t="s">
        <v>8</v>
      </c>
      <c r="D1926" s="626" t="s">
        <v>8420</v>
      </c>
      <c r="E1926" s="628" t="s">
        <v>20</v>
      </c>
      <c r="F1926" s="816" t="s">
        <v>13700</v>
      </c>
      <c r="G1926" s="816"/>
      <c r="H1926" s="816">
        <v>362.66</v>
      </c>
      <c r="I1926" s="816"/>
      <c r="J1926" s="817">
        <v>177.7</v>
      </c>
      <c r="K1926" s="817"/>
      <c r="L1926" s="817"/>
    </row>
    <row r="1927" spans="1:12" ht="17.100000000000001" customHeight="1">
      <c r="A1927" s="626" t="s">
        <v>12709</v>
      </c>
      <c r="B1927" s="627" t="s">
        <v>13248</v>
      </c>
      <c r="C1927" s="626" t="s">
        <v>8</v>
      </c>
      <c r="D1927" s="626" t="s">
        <v>10712</v>
      </c>
      <c r="E1927" s="628" t="s">
        <v>12730</v>
      </c>
      <c r="F1927" s="816" t="s">
        <v>13745</v>
      </c>
      <c r="G1927" s="816"/>
      <c r="H1927" s="816">
        <v>0.59299999999999997</v>
      </c>
      <c r="I1927" s="816"/>
      <c r="J1927" s="817">
        <v>47.44</v>
      </c>
      <c r="K1927" s="817"/>
      <c r="L1927" s="817"/>
    </row>
    <row r="1928" spans="1:12" ht="25.5">
      <c r="A1928" s="626" t="s">
        <v>12709</v>
      </c>
      <c r="B1928" s="627" t="s">
        <v>12987</v>
      </c>
      <c r="C1928" s="626" t="s">
        <v>8</v>
      </c>
      <c r="D1928" s="626" t="s">
        <v>9192</v>
      </c>
      <c r="E1928" s="628" t="s">
        <v>12923</v>
      </c>
      <c r="F1928" s="816" t="s">
        <v>13999</v>
      </c>
      <c r="G1928" s="816"/>
      <c r="H1928" s="816">
        <v>0.93603729999999996</v>
      </c>
      <c r="I1928" s="816"/>
      <c r="J1928" s="817">
        <v>0.75819999999999999</v>
      </c>
      <c r="K1928" s="817"/>
      <c r="L1928" s="817"/>
    </row>
    <row r="1929" spans="1:12" ht="17.100000000000001" customHeight="1">
      <c r="A1929" s="636"/>
      <c r="B1929" s="636"/>
      <c r="C1929" s="636"/>
      <c r="D1929" s="636"/>
      <c r="E1929" s="636"/>
      <c r="F1929" s="636"/>
      <c r="G1929" s="636"/>
      <c r="H1929" s="636"/>
      <c r="I1929" s="636"/>
      <c r="J1929" s="636" t="s">
        <v>13675</v>
      </c>
      <c r="K1929" s="636"/>
      <c r="L1929" s="636" t="s">
        <v>14715</v>
      </c>
    </row>
    <row r="1930" spans="1:12" ht="24" customHeight="1">
      <c r="A1930" s="802" t="s">
        <v>12722</v>
      </c>
      <c r="B1930" s="802"/>
      <c r="C1930" s="802"/>
      <c r="D1930" s="802"/>
      <c r="E1930" s="802"/>
      <c r="F1930" s="802"/>
      <c r="G1930" s="802"/>
      <c r="H1930" s="802"/>
      <c r="I1930" s="612"/>
      <c r="J1930" s="612"/>
      <c r="K1930" s="612"/>
      <c r="L1930" s="612"/>
    </row>
    <row r="1931" spans="1:12" ht="17.100000000000001" customHeight="1">
      <c r="A1931" s="612" t="s">
        <v>13679</v>
      </c>
      <c r="B1931" s="636" t="s">
        <v>12698</v>
      </c>
      <c r="C1931" s="612" t="s">
        <v>12699</v>
      </c>
      <c r="D1931" s="612" t="s">
        <v>12700</v>
      </c>
      <c r="E1931" s="637" t="s">
        <v>12702</v>
      </c>
      <c r="F1931" s="801" t="s">
        <v>12704</v>
      </c>
      <c r="G1931" s="801"/>
      <c r="H1931" s="801" t="s">
        <v>13678</v>
      </c>
      <c r="I1931" s="801"/>
      <c r="J1931" s="801" t="s">
        <v>12705</v>
      </c>
      <c r="K1931" s="801"/>
      <c r="L1931" s="801"/>
    </row>
    <row r="1932" spans="1:12" ht="25.5">
      <c r="A1932" s="626" t="s">
        <v>12709</v>
      </c>
      <c r="B1932" s="627" t="s">
        <v>12998</v>
      </c>
      <c r="C1932" s="626" t="s">
        <v>8</v>
      </c>
      <c r="D1932" s="626" t="s">
        <v>11861</v>
      </c>
      <c r="E1932" s="628" t="s">
        <v>23</v>
      </c>
      <c r="F1932" s="816" t="s">
        <v>13683</v>
      </c>
      <c r="G1932" s="816"/>
      <c r="H1932" s="816">
        <v>3.7641179999999999</v>
      </c>
      <c r="I1932" s="816"/>
      <c r="J1932" s="817">
        <v>2.6724999999999999</v>
      </c>
      <c r="K1932" s="817"/>
      <c r="L1932" s="817"/>
    </row>
    <row r="1933" spans="1:12" ht="17.100000000000001" customHeight="1">
      <c r="A1933" s="636"/>
      <c r="B1933" s="636"/>
      <c r="C1933" s="636"/>
      <c r="D1933" s="636"/>
      <c r="E1933" s="636"/>
      <c r="F1933" s="636"/>
      <c r="G1933" s="636"/>
      <c r="H1933" s="636"/>
      <c r="I1933" s="636"/>
      <c r="J1933" s="636" t="s">
        <v>13675</v>
      </c>
      <c r="K1933" s="636"/>
      <c r="L1933" s="636" t="s">
        <v>14110</v>
      </c>
    </row>
    <row r="1934" spans="1:12" ht="24" customHeight="1">
      <c r="A1934" s="802" t="s">
        <v>12713</v>
      </c>
      <c r="B1934" s="802"/>
      <c r="C1934" s="802"/>
      <c r="D1934" s="802"/>
      <c r="E1934" s="802"/>
      <c r="F1934" s="802"/>
      <c r="G1934" s="802"/>
      <c r="H1934" s="802"/>
      <c r="I1934" s="612"/>
      <c r="J1934" s="612"/>
      <c r="K1934" s="612"/>
      <c r="L1934" s="612"/>
    </row>
    <row r="1935" spans="1:12" ht="17.100000000000001" customHeight="1">
      <c r="A1935" s="612" t="s">
        <v>13679</v>
      </c>
      <c r="B1935" s="636" t="s">
        <v>12698</v>
      </c>
      <c r="C1935" s="612" t="s">
        <v>12699</v>
      </c>
      <c r="D1935" s="612" t="s">
        <v>12700</v>
      </c>
      <c r="E1935" s="637" t="s">
        <v>12702</v>
      </c>
      <c r="F1935" s="801" t="s">
        <v>12704</v>
      </c>
      <c r="G1935" s="801"/>
      <c r="H1935" s="801" t="s">
        <v>13678</v>
      </c>
      <c r="I1935" s="801"/>
      <c r="J1935" s="801" t="s">
        <v>12705</v>
      </c>
      <c r="K1935" s="801"/>
      <c r="L1935" s="801"/>
    </row>
    <row r="1936" spans="1:12" ht="25.5">
      <c r="A1936" s="626" t="s">
        <v>12709</v>
      </c>
      <c r="B1936" s="627" t="s">
        <v>12999</v>
      </c>
      <c r="C1936" s="626" t="s">
        <v>8</v>
      </c>
      <c r="D1936" s="626" t="s">
        <v>11251</v>
      </c>
      <c r="E1936" s="628" t="s">
        <v>23</v>
      </c>
      <c r="F1936" s="816" t="s">
        <v>13681</v>
      </c>
      <c r="G1936" s="816"/>
      <c r="H1936" s="816">
        <v>3.7641179999999999</v>
      </c>
      <c r="I1936" s="816"/>
      <c r="J1936" s="817">
        <v>0.26350000000000001</v>
      </c>
      <c r="K1936" s="817"/>
      <c r="L1936" s="817"/>
    </row>
    <row r="1937" spans="1:12" ht="17.100000000000001" customHeight="1">
      <c r="A1937" s="636"/>
      <c r="B1937" s="636"/>
      <c r="C1937" s="636"/>
      <c r="D1937" s="636"/>
      <c r="E1937" s="636"/>
      <c r="F1937" s="636"/>
      <c r="G1937" s="636"/>
      <c r="H1937" s="636"/>
      <c r="I1937" s="636"/>
      <c r="J1937" s="636" t="s">
        <v>13675</v>
      </c>
      <c r="K1937" s="636"/>
      <c r="L1937" s="636" t="s">
        <v>13869</v>
      </c>
    </row>
    <row r="1938" spans="1:12" ht="24" customHeight="1">
      <c r="A1938" s="802" t="s">
        <v>12712</v>
      </c>
      <c r="B1938" s="802"/>
      <c r="C1938" s="802"/>
      <c r="D1938" s="802"/>
      <c r="E1938" s="802"/>
      <c r="F1938" s="802"/>
      <c r="G1938" s="802"/>
      <c r="H1938" s="802"/>
      <c r="I1938" s="612"/>
      <c r="J1938" s="612"/>
      <c r="K1938" s="612"/>
      <c r="L1938" s="612"/>
    </row>
    <row r="1939" spans="1:12" ht="24" customHeight="1">
      <c r="A1939" s="612" t="s">
        <v>13679</v>
      </c>
      <c r="B1939" s="636" t="s">
        <v>12698</v>
      </c>
      <c r="C1939" s="612" t="s">
        <v>12699</v>
      </c>
      <c r="D1939" s="612" t="s">
        <v>12700</v>
      </c>
      <c r="E1939" s="637" t="s">
        <v>12702</v>
      </c>
      <c r="F1939" s="801" t="s">
        <v>12704</v>
      </c>
      <c r="G1939" s="801"/>
      <c r="H1939" s="801" t="s">
        <v>13678</v>
      </c>
      <c r="I1939" s="801"/>
      <c r="J1939" s="801" t="s">
        <v>12705</v>
      </c>
      <c r="K1939" s="801"/>
      <c r="L1939" s="801"/>
    </row>
    <row r="1940" spans="1:12" ht="17.100000000000001" customHeight="1">
      <c r="A1940" s="626" t="s">
        <v>12709</v>
      </c>
      <c r="B1940" s="627" t="s">
        <v>13002</v>
      </c>
      <c r="C1940" s="626" t="s">
        <v>8</v>
      </c>
      <c r="D1940" s="626" t="s">
        <v>9306</v>
      </c>
      <c r="E1940" s="628" t="s">
        <v>23</v>
      </c>
      <c r="F1940" s="816" t="s">
        <v>13677</v>
      </c>
      <c r="G1940" s="816"/>
      <c r="H1940" s="816">
        <v>3.7641179999999999</v>
      </c>
      <c r="I1940" s="816"/>
      <c r="J1940" s="817">
        <v>1.3173999999999999</v>
      </c>
      <c r="K1940" s="817"/>
      <c r="L1940" s="817"/>
    </row>
    <row r="1941" spans="1:12" ht="17.100000000000001" customHeight="1">
      <c r="A1941" s="626" t="s">
        <v>12709</v>
      </c>
      <c r="B1941" s="627" t="s">
        <v>13004</v>
      </c>
      <c r="C1941" s="626" t="s">
        <v>8</v>
      </c>
      <c r="D1941" s="626" t="s">
        <v>7388</v>
      </c>
      <c r="E1941" s="628" t="s">
        <v>23</v>
      </c>
      <c r="F1941" s="816" t="s">
        <v>13676</v>
      </c>
      <c r="G1941" s="816"/>
      <c r="H1941" s="816">
        <v>3.7641179999999999</v>
      </c>
      <c r="I1941" s="816"/>
      <c r="J1941" s="817">
        <v>8.2811000000000003</v>
      </c>
      <c r="K1941" s="817"/>
      <c r="L1941" s="817"/>
    </row>
    <row r="1942" spans="1:12" ht="17.100000000000001" customHeight="1">
      <c r="A1942" s="636"/>
      <c r="B1942" s="636"/>
      <c r="C1942" s="636"/>
      <c r="D1942" s="636"/>
      <c r="E1942" s="636"/>
      <c r="F1942" s="636"/>
      <c r="G1942" s="636"/>
      <c r="H1942" s="636"/>
      <c r="I1942" s="636"/>
      <c r="J1942" s="636" t="s">
        <v>13675</v>
      </c>
      <c r="K1942" s="636"/>
      <c r="L1942" s="636" t="s">
        <v>14109</v>
      </c>
    </row>
    <row r="1943" spans="1:12" ht="17.100000000000001" customHeight="1">
      <c r="A1943" s="612" t="s">
        <v>13673</v>
      </c>
      <c r="B1943" s="612"/>
      <c r="C1943" s="612"/>
      <c r="D1943" s="612"/>
      <c r="E1943" s="612"/>
      <c r="F1943" s="612"/>
      <c r="G1943" s="612"/>
      <c r="H1943" s="612"/>
      <c r="I1943" s="612"/>
      <c r="J1943" s="612"/>
      <c r="K1943" s="612"/>
      <c r="L1943" s="612"/>
    </row>
    <row r="1944" spans="1:12" ht="17.100000000000001" customHeight="1">
      <c r="A1944" s="636"/>
      <c r="B1944" s="636"/>
      <c r="C1944" s="636"/>
      <c r="D1944" s="636"/>
      <c r="E1944" s="636"/>
      <c r="F1944" s="636"/>
      <c r="G1944" s="636"/>
      <c r="H1944" s="636"/>
      <c r="I1944" s="636"/>
      <c r="J1944" s="636" t="s">
        <v>13672</v>
      </c>
      <c r="K1944" s="636"/>
      <c r="L1944" s="636" t="s">
        <v>14987</v>
      </c>
    </row>
    <row r="1945" spans="1:12" ht="17.100000000000001" customHeight="1">
      <c r="A1945" s="636"/>
      <c r="B1945" s="636"/>
      <c r="C1945" s="636"/>
      <c r="D1945" s="636"/>
      <c r="E1945" s="636"/>
      <c r="F1945" s="636"/>
      <c r="G1945" s="636"/>
      <c r="H1945" s="636"/>
      <c r="I1945" s="636"/>
      <c r="J1945" s="636" t="s">
        <v>13671</v>
      </c>
      <c r="K1945" s="636" t="s">
        <v>14461</v>
      </c>
      <c r="L1945" s="636" t="s">
        <v>14988</v>
      </c>
    </row>
    <row r="1946" spans="1:12" ht="17.100000000000001" customHeight="1">
      <c r="A1946" s="636"/>
      <c r="B1946" s="636"/>
      <c r="C1946" s="636"/>
      <c r="D1946" s="636"/>
      <c r="E1946" s="636"/>
      <c r="F1946" s="636"/>
      <c r="G1946" s="636"/>
      <c r="H1946" s="636"/>
      <c r="I1946" s="636"/>
      <c r="J1946" s="636" t="s">
        <v>13670</v>
      </c>
      <c r="K1946" s="636"/>
      <c r="L1946" s="636" t="s">
        <v>14989</v>
      </c>
    </row>
    <row r="1947" spans="1:12" ht="30" customHeight="1">
      <c r="A1947" s="636"/>
      <c r="B1947" s="636"/>
      <c r="C1947" s="636"/>
      <c r="D1947" s="636"/>
      <c r="E1947" s="636"/>
      <c r="F1947" s="636"/>
      <c r="G1947" s="636"/>
      <c r="H1947" s="636"/>
      <c r="I1947" s="636"/>
      <c r="J1947" s="636" t="s">
        <v>13669</v>
      </c>
      <c r="K1947" s="636" t="s">
        <v>13667</v>
      </c>
      <c r="L1947" s="636" t="s">
        <v>14990</v>
      </c>
    </row>
    <row r="1948" spans="1:12" ht="48" customHeight="1">
      <c r="A1948" s="636"/>
      <c r="B1948" s="636"/>
      <c r="C1948" s="636"/>
      <c r="D1948" s="636"/>
      <c r="E1948" s="636"/>
      <c r="F1948" s="636"/>
      <c r="G1948" s="636"/>
      <c r="H1948" s="636"/>
      <c r="I1948" s="636"/>
      <c r="J1948" s="636" t="s">
        <v>13668</v>
      </c>
      <c r="K1948" s="636"/>
      <c r="L1948" s="636" t="s">
        <v>14991</v>
      </c>
    </row>
    <row r="1949" spans="1:12" ht="14.25" customHeight="1">
      <c r="A1949" s="637"/>
      <c r="B1949" s="637"/>
      <c r="C1949" s="637"/>
      <c r="D1949" s="637"/>
      <c r="E1949" s="637"/>
      <c r="F1949" s="637"/>
      <c r="G1949" s="637"/>
      <c r="H1949" s="637"/>
      <c r="I1949" s="637"/>
      <c r="J1949" s="637"/>
      <c r="K1949" s="637"/>
      <c r="L1949" s="637"/>
    </row>
    <row r="1950" spans="1:12" ht="17.100000000000001" customHeight="1">
      <c r="A1950" s="616" t="s">
        <v>14216</v>
      </c>
      <c r="B1950" s="617" t="s">
        <v>13633</v>
      </c>
      <c r="C1950" s="616" t="s">
        <v>8</v>
      </c>
      <c r="D1950" s="616" t="s">
        <v>55</v>
      </c>
      <c r="E1950" s="618" t="s">
        <v>12730</v>
      </c>
      <c r="F1950" s="617"/>
      <c r="G1950" s="617"/>
      <c r="H1950" s="617"/>
      <c r="I1950" s="617"/>
      <c r="J1950" s="617"/>
      <c r="K1950" s="617"/>
      <c r="L1950" s="617"/>
    </row>
    <row r="1951" spans="1:12" ht="24" customHeight="1">
      <c r="A1951" s="802" t="s">
        <v>12711</v>
      </c>
      <c r="B1951" s="802"/>
      <c r="C1951" s="802"/>
      <c r="D1951" s="802"/>
      <c r="E1951" s="802"/>
      <c r="F1951" s="802"/>
      <c r="G1951" s="802"/>
      <c r="H1951" s="802"/>
      <c r="I1951" s="612"/>
      <c r="J1951" s="612"/>
      <c r="K1951" s="612"/>
      <c r="L1951" s="612"/>
    </row>
    <row r="1952" spans="1:12" ht="24" customHeight="1">
      <c r="A1952" s="612" t="s">
        <v>13679</v>
      </c>
      <c r="B1952" s="636" t="s">
        <v>12698</v>
      </c>
      <c r="C1952" s="612" t="s">
        <v>12699</v>
      </c>
      <c r="D1952" s="612" t="s">
        <v>12700</v>
      </c>
      <c r="E1952" s="637" t="s">
        <v>12702</v>
      </c>
      <c r="F1952" s="801" t="s">
        <v>12704</v>
      </c>
      <c r="G1952" s="801"/>
      <c r="H1952" s="801" t="s">
        <v>13678</v>
      </c>
      <c r="I1952" s="801"/>
      <c r="J1952" s="801" t="s">
        <v>12705</v>
      </c>
      <c r="K1952" s="801"/>
      <c r="L1952" s="801"/>
    </row>
    <row r="1953" spans="1:12" ht="17.100000000000001" customHeight="1">
      <c r="A1953" s="626" t="s">
        <v>12709</v>
      </c>
      <c r="B1953" s="627" t="s">
        <v>12989</v>
      </c>
      <c r="C1953" s="626" t="s">
        <v>8</v>
      </c>
      <c r="D1953" s="626" t="s">
        <v>12342</v>
      </c>
      <c r="E1953" s="628" t="s">
        <v>35</v>
      </c>
      <c r="F1953" s="816" t="s">
        <v>14494</v>
      </c>
      <c r="G1953" s="816"/>
      <c r="H1953" s="816">
        <v>3.3110000000000002E-4</v>
      </c>
      <c r="I1953" s="816"/>
      <c r="J1953" s="817">
        <v>0.80200000000000005</v>
      </c>
      <c r="K1953" s="817"/>
      <c r="L1953" s="817"/>
    </row>
    <row r="1954" spans="1:12" ht="14.25" customHeight="1">
      <c r="A1954" s="626" t="s">
        <v>12709</v>
      </c>
      <c r="B1954" s="627" t="s">
        <v>13032</v>
      </c>
      <c r="C1954" s="626" t="s">
        <v>8</v>
      </c>
      <c r="D1954" s="626" t="s">
        <v>9217</v>
      </c>
      <c r="E1954" s="628" t="s">
        <v>23</v>
      </c>
      <c r="F1954" s="816" t="s">
        <v>13741</v>
      </c>
      <c r="G1954" s="816"/>
      <c r="H1954" s="816">
        <v>1.8448028999999999</v>
      </c>
      <c r="I1954" s="816"/>
      <c r="J1954" s="817">
        <v>1.9923999999999999</v>
      </c>
      <c r="K1954" s="817"/>
      <c r="L1954" s="817"/>
    </row>
    <row r="1955" spans="1:12" ht="17.100000000000001" customHeight="1">
      <c r="A1955" s="626" t="s">
        <v>12709</v>
      </c>
      <c r="B1955" s="627" t="s">
        <v>13031</v>
      </c>
      <c r="C1955" s="626" t="s">
        <v>8</v>
      </c>
      <c r="D1955" s="626" t="s">
        <v>9364</v>
      </c>
      <c r="E1955" s="628" t="s">
        <v>23</v>
      </c>
      <c r="F1955" s="816" t="s">
        <v>13740</v>
      </c>
      <c r="G1955" s="816"/>
      <c r="H1955" s="816">
        <v>1.8448028999999999</v>
      </c>
      <c r="I1955" s="816"/>
      <c r="J1955" s="817">
        <v>0.62719999999999998</v>
      </c>
      <c r="K1955" s="817"/>
      <c r="L1955" s="817"/>
    </row>
    <row r="1956" spans="1:12" ht="24" customHeight="1">
      <c r="A1956" s="626" t="s">
        <v>12709</v>
      </c>
      <c r="B1956" s="627" t="s">
        <v>13052</v>
      </c>
      <c r="C1956" s="626" t="s">
        <v>8</v>
      </c>
      <c r="D1956" s="626" t="s">
        <v>9229</v>
      </c>
      <c r="E1956" s="628" t="s">
        <v>23</v>
      </c>
      <c r="F1956" s="816" t="s">
        <v>13692</v>
      </c>
      <c r="G1956" s="816"/>
      <c r="H1956" s="816">
        <v>1.8448028999999999</v>
      </c>
      <c r="I1956" s="816"/>
      <c r="J1956" s="817">
        <v>1.7709999999999999</v>
      </c>
      <c r="K1956" s="817"/>
      <c r="L1956" s="817"/>
    </row>
    <row r="1957" spans="1:12" ht="24" customHeight="1">
      <c r="A1957" s="626" t="s">
        <v>12709</v>
      </c>
      <c r="B1957" s="627" t="s">
        <v>13051</v>
      </c>
      <c r="C1957" s="626" t="s">
        <v>8</v>
      </c>
      <c r="D1957" s="626" t="s">
        <v>9376</v>
      </c>
      <c r="E1957" s="628" t="s">
        <v>23</v>
      </c>
      <c r="F1957" s="816" t="s">
        <v>13691</v>
      </c>
      <c r="G1957" s="816"/>
      <c r="H1957" s="816">
        <v>1.8448028999999999</v>
      </c>
      <c r="I1957" s="816"/>
      <c r="J1957" s="817">
        <v>0.9224</v>
      </c>
      <c r="K1957" s="817"/>
      <c r="L1957" s="817"/>
    </row>
    <row r="1958" spans="1:12" ht="17.100000000000001" customHeight="1">
      <c r="A1958" s="626" t="s">
        <v>12709</v>
      </c>
      <c r="B1958" s="627" t="s">
        <v>13048</v>
      </c>
      <c r="C1958" s="626" t="s">
        <v>8</v>
      </c>
      <c r="D1958" s="626" t="s">
        <v>9233</v>
      </c>
      <c r="E1958" s="628" t="s">
        <v>23</v>
      </c>
      <c r="F1958" s="816" t="s">
        <v>13690</v>
      </c>
      <c r="G1958" s="816"/>
      <c r="H1958" s="816">
        <v>5.5344085999999999</v>
      </c>
      <c r="I1958" s="816"/>
      <c r="J1958" s="817">
        <v>5.6451000000000002</v>
      </c>
      <c r="K1958" s="817"/>
      <c r="L1958" s="817"/>
    </row>
    <row r="1959" spans="1:12" ht="25.5">
      <c r="A1959" s="626" t="s">
        <v>12709</v>
      </c>
      <c r="B1959" s="627" t="s">
        <v>13047</v>
      </c>
      <c r="C1959" s="626" t="s">
        <v>8</v>
      </c>
      <c r="D1959" s="626" t="s">
        <v>9380</v>
      </c>
      <c r="E1959" s="628" t="s">
        <v>23</v>
      </c>
      <c r="F1959" s="816" t="s">
        <v>13689</v>
      </c>
      <c r="G1959" s="816"/>
      <c r="H1959" s="816">
        <v>5.5344085999999999</v>
      </c>
      <c r="I1959" s="816"/>
      <c r="J1959" s="817">
        <v>2.1031</v>
      </c>
      <c r="K1959" s="817"/>
      <c r="L1959" s="817"/>
    </row>
    <row r="1960" spans="1:12" ht="17.100000000000001" customHeight="1">
      <c r="A1960" s="636"/>
      <c r="B1960" s="636"/>
      <c r="C1960" s="636"/>
      <c r="D1960" s="636"/>
      <c r="E1960" s="636"/>
      <c r="F1960" s="636"/>
      <c r="G1960" s="636"/>
      <c r="H1960" s="636"/>
      <c r="I1960" s="636"/>
      <c r="J1960" s="636" t="s">
        <v>13675</v>
      </c>
      <c r="K1960" s="636"/>
      <c r="L1960" s="636" t="s">
        <v>14493</v>
      </c>
    </row>
    <row r="1961" spans="1:12" ht="24" customHeight="1">
      <c r="A1961" s="802" t="s">
        <v>12710</v>
      </c>
      <c r="B1961" s="802"/>
      <c r="C1961" s="802"/>
      <c r="D1961" s="802"/>
      <c r="E1961" s="802"/>
      <c r="F1961" s="802"/>
      <c r="G1961" s="802"/>
      <c r="H1961" s="802"/>
      <c r="I1961" s="612"/>
      <c r="J1961" s="612"/>
      <c r="K1961" s="612"/>
      <c r="L1961" s="612"/>
    </row>
    <row r="1962" spans="1:12" ht="36" customHeight="1">
      <c r="A1962" s="612" t="s">
        <v>13679</v>
      </c>
      <c r="B1962" s="636" t="s">
        <v>12698</v>
      </c>
      <c r="C1962" s="612" t="s">
        <v>12699</v>
      </c>
      <c r="D1962" s="612" t="s">
        <v>12700</v>
      </c>
      <c r="E1962" s="637" t="s">
        <v>12702</v>
      </c>
      <c r="F1962" s="801" t="s">
        <v>12704</v>
      </c>
      <c r="G1962" s="801"/>
      <c r="H1962" s="801" t="s">
        <v>13678</v>
      </c>
      <c r="I1962" s="801"/>
      <c r="J1962" s="801" t="s">
        <v>12705</v>
      </c>
      <c r="K1962" s="801"/>
      <c r="L1962" s="801"/>
    </row>
    <row r="1963" spans="1:12" ht="24" customHeight="1">
      <c r="A1963" s="626" t="s">
        <v>12709</v>
      </c>
      <c r="B1963" s="627" t="s">
        <v>13212</v>
      </c>
      <c r="C1963" s="626" t="s">
        <v>8</v>
      </c>
      <c r="D1963" s="626" t="s">
        <v>8293</v>
      </c>
      <c r="E1963" s="628" t="s">
        <v>23</v>
      </c>
      <c r="F1963" s="816" t="s">
        <v>14470</v>
      </c>
      <c r="G1963" s="816"/>
      <c r="H1963" s="816">
        <v>1.8599138</v>
      </c>
      <c r="I1963" s="816"/>
      <c r="J1963" s="817">
        <v>12.852</v>
      </c>
      <c r="K1963" s="817"/>
      <c r="L1963" s="817"/>
    </row>
    <row r="1964" spans="1:12" ht="17.100000000000001" customHeight="1">
      <c r="A1964" s="626" t="s">
        <v>12709</v>
      </c>
      <c r="B1964" s="627" t="s">
        <v>13099</v>
      </c>
      <c r="C1964" s="626" t="s">
        <v>8</v>
      </c>
      <c r="D1964" s="626" t="s">
        <v>10726</v>
      </c>
      <c r="E1964" s="628" t="s">
        <v>23</v>
      </c>
      <c r="F1964" s="816" t="s">
        <v>14470</v>
      </c>
      <c r="G1964" s="816"/>
      <c r="H1964" s="816">
        <v>1.8722776000000001</v>
      </c>
      <c r="I1964" s="816"/>
      <c r="J1964" s="817">
        <v>12.9374</v>
      </c>
      <c r="K1964" s="817"/>
      <c r="L1964" s="817"/>
    </row>
    <row r="1965" spans="1:12" ht="25.5">
      <c r="A1965" s="626" t="s">
        <v>12709</v>
      </c>
      <c r="B1965" s="627" t="s">
        <v>13046</v>
      </c>
      <c r="C1965" s="626" t="s">
        <v>8</v>
      </c>
      <c r="D1965" s="626" t="s">
        <v>11281</v>
      </c>
      <c r="E1965" s="628" t="s">
        <v>23</v>
      </c>
      <c r="F1965" s="816" t="s">
        <v>13731</v>
      </c>
      <c r="G1965" s="816"/>
      <c r="H1965" s="816">
        <v>5.6168328000000001</v>
      </c>
      <c r="I1965" s="816"/>
      <c r="J1965" s="817">
        <v>28.8705</v>
      </c>
      <c r="K1965" s="817"/>
      <c r="L1965" s="817"/>
    </row>
    <row r="1966" spans="1:12" ht="17.100000000000001" customHeight="1">
      <c r="A1966" s="636"/>
      <c r="B1966" s="636"/>
      <c r="C1966" s="636"/>
      <c r="D1966" s="636"/>
      <c r="E1966" s="636"/>
      <c r="F1966" s="636"/>
      <c r="G1966" s="636"/>
      <c r="H1966" s="636"/>
      <c r="I1966" s="636"/>
      <c r="J1966" s="636" t="s">
        <v>13675</v>
      </c>
      <c r="K1966" s="636"/>
      <c r="L1966" s="636" t="s">
        <v>14492</v>
      </c>
    </row>
    <row r="1967" spans="1:12" ht="24" customHeight="1">
      <c r="A1967" s="802" t="s">
        <v>12720</v>
      </c>
      <c r="B1967" s="802"/>
      <c r="C1967" s="802"/>
      <c r="D1967" s="802"/>
      <c r="E1967" s="802"/>
      <c r="F1967" s="802"/>
      <c r="G1967" s="802"/>
      <c r="H1967" s="802"/>
      <c r="I1967" s="612"/>
      <c r="J1967" s="612"/>
      <c r="K1967" s="612"/>
      <c r="L1967" s="612"/>
    </row>
    <row r="1968" spans="1:12" ht="17.100000000000001" customHeight="1">
      <c r="A1968" s="612" t="s">
        <v>13679</v>
      </c>
      <c r="B1968" s="636" t="s">
        <v>12698</v>
      </c>
      <c r="C1968" s="612" t="s">
        <v>12699</v>
      </c>
      <c r="D1968" s="612" t="s">
        <v>12700</v>
      </c>
      <c r="E1968" s="637" t="s">
        <v>12702</v>
      </c>
      <c r="F1968" s="801" t="s">
        <v>12704</v>
      </c>
      <c r="G1968" s="801"/>
      <c r="H1968" s="801" t="s">
        <v>13678</v>
      </c>
      <c r="I1968" s="801"/>
      <c r="J1968" s="801" t="s">
        <v>12705</v>
      </c>
      <c r="K1968" s="801"/>
      <c r="L1968" s="801"/>
    </row>
    <row r="1969" spans="1:12" ht="25.5">
      <c r="A1969" s="626" t="s">
        <v>12709</v>
      </c>
      <c r="B1969" s="627" t="s">
        <v>12987</v>
      </c>
      <c r="C1969" s="626" t="s">
        <v>8</v>
      </c>
      <c r="D1969" s="626" t="s">
        <v>9192</v>
      </c>
      <c r="E1969" s="628" t="s">
        <v>12923</v>
      </c>
      <c r="F1969" s="816" t="s">
        <v>13999</v>
      </c>
      <c r="G1969" s="816"/>
      <c r="H1969" s="816">
        <v>0.83945530000000002</v>
      </c>
      <c r="I1969" s="816"/>
      <c r="J1969" s="817">
        <v>0.68</v>
      </c>
      <c r="K1969" s="817"/>
      <c r="L1969" s="817"/>
    </row>
    <row r="1970" spans="1:12" ht="17.100000000000001" customHeight="1">
      <c r="A1970" s="636"/>
      <c r="B1970" s="636"/>
      <c r="C1970" s="636"/>
      <c r="D1970" s="636"/>
      <c r="E1970" s="636"/>
      <c r="F1970" s="636"/>
      <c r="G1970" s="636"/>
      <c r="H1970" s="636"/>
      <c r="I1970" s="636"/>
      <c r="J1970" s="636" t="s">
        <v>13675</v>
      </c>
      <c r="K1970" s="636"/>
      <c r="L1970" s="636" t="s">
        <v>13827</v>
      </c>
    </row>
    <row r="1971" spans="1:12" ht="24" customHeight="1">
      <c r="A1971" s="802" t="s">
        <v>12722</v>
      </c>
      <c r="B1971" s="802"/>
      <c r="C1971" s="802"/>
      <c r="D1971" s="802"/>
      <c r="E1971" s="802"/>
      <c r="F1971" s="802"/>
      <c r="G1971" s="802"/>
      <c r="H1971" s="802"/>
      <c r="I1971" s="612"/>
      <c r="J1971" s="612"/>
      <c r="K1971" s="612"/>
      <c r="L1971" s="612"/>
    </row>
    <row r="1972" spans="1:12" ht="17.100000000000001" customHeight="1">
      <c r="A1972" s="612" t="s">
        <v>13679</v>
      </c>
      <c r="B1972" s="636" t="s">
        <v>12698</v>
      </c>
      <c r="C1972" s="612" t="s">
        <v>12699</v>
      </c>
      <c r="D1972" s="612" t="s">
        <v>12700</v>
      </c>
      <c r="E1972" s="637" t="s">
        <v>12702</v>
      </c>
      <c r="F1972" s="801" t="s">
        <v>12704</v>
      </c>
      <c r="G1972" s="801"/>
      <c r="H1972" s="801" t="s">
        <v>13678</v>
      </c>
      <c r="I1972" s="801"/>
      <c r="J1972" s="801" t="s">
        <v>12705</v>
      </c>
      <c r="K1972" s="801"/>
      <c r="L1972" s="801"/>
    </row>
    <row r="1973" spans="1:12" ht="25.5">
      <c r="A1973" s="626" t="s">
        <v>12709</v>
      </c>
      <c r="B1973" s="627" t="s">
        <v>12998</v>
      </c>
      <c r="C1973" s="626" t="s">
        <v>8</v>
      </c>
      <c r="D1973" s="626" t="s">
        <v>11861</v>
      </c>
      <c r="E1973" s="628" t="s">
        <v>23</v>
      </c>
      <c r="F1973" s="816" t="s">
        <v>13683</v>
      </c>
      <c r="G1973" s="816"/>
      <c r="H1973" s="816">
        <v>9.2240143000000003</v>
      </c>
      <c r="I1973" s="816"/>
      <c r="J1973" s="817">
        <v>6.5491000000000001</v>
      </c>
      <c r="K1973" s="817"/>
      <c r="L1973" s="817"/>
    </row>
    <row r="1974" spans="1:12" ht="17.100000000000001" customHeight="1">
      <c r="A1974" s="636"/>
      <c r="B1974" s="636"/>
      <c r="C1974" s="636"/>
      <c r="D1974" s="636"/>
      <c r="E1974" s="636"/>
      <c r="F1974" s="636"/>
      <c r="G1974" s="636"/>
      <c r="H1974" s="636"/>
      <c r="I1974" s="636"/>
      <c r="J1974" s="636" t="s">
        <v>13675</v>
      </c>
      <c r="K1974" s="636"/>
      <c r="L1974" s="636" t="s">
        <v>13739</v>
      </c>
    </row>
    <row r="1975" spans="1:12" ht="24" customHeight="1">
      <c r="A1975" s="802" t="s">
        <v>12713</v>
      </c>
      <c r="B1975" s="802"/>
      <c r="C1975" s="802"/>
      <c r="D1975" s="802"/>
      <c r="E1975" s="802"/>
      <c r="F1975" s="802"/>
      <c r="G1975" s="802"/>
      <c r="H1975" s="802"/>
      <c r="I1975" s="612"/>
      <c r="J1975" s="612"/>
      <c r="K1975" s="612"/>
      <c r="L1975" s="612"/>
    </row>
    <row r="1976" spans="1:12" ht="24" customHeight="1">
      <c r="A1976" s="612" t="s">
        <v>13679</v>
      </c>
      <c r="B1976" s="636" t="s">
        <v>12698</v>
      </c>
      <c r="C1976" s="612" t="s">
        <v>12699</v>
      </c>
      <c r="D1976" s="612" t="s">
        <v>12700</v>
      </c>
      <c r="E1976" s="637" t="s">
        <v>12702</v>
      </c>
      <c r="F1976" s="801" t="s">
        <v>12704</v>
      </c>
      <c r="G1976" s="801"/>
      <c r="H1976" s="801" t="s">
        <v>13678</v>
      </c>
      <c r="I1976" s="801"/>
      <c r="J1976" s="801" t="s">
        <v>12705</v>
      </c>
      <c r="K1976" s="801"/>
      <c r="L1976" s="801"/>
    </row>
    <row r="1977" spans="1:12" ht="17.100000000000001" customHeight="1">
      <c r="A1977" s="626" t="s">
        <v>12709</v>
      </c>
      <c r="B1977" s="627" t="s">
        <v>12999</v>
      </c>
      <c r="C1977" s="626" t="s">
        <v>8</v>
      </c>
      <c r="D1977" s="626" t="s">
        <v>11251</v>
      </c>
      <c r="E1977" s="628" t="s">
        <v>23</v>
      </c>
      <c r="F1977" s="816" t="s">
        <v>13681</v>
      </c>
      <c r="G1977" s="816"/>
      <c r="H1977" s="816">
        <v>9.2240143000000003</v>
      </c>
      <c r="I1977" s="816"/>
      <c r="J1977" s="817">
        <v>0.64570000000000005</v>
      </c>
      <c r="K1977" s="817"/>
      <c r="L1977" s="817"/>
    </row>
    <row r="1978" spans="1:12" ht="17.100000000000001" customHeight="1">
      <c r="A1978" s="636"/>
      <c r="B1978" s="636"/>
      <c r="C1978" s="636"/>
      <c r="D1978" s="636"/>
      <c r="E1978" s="636"/>
      <c r="F1978" s="636"/>
      <c r="G1978" s="636"/>
      <c r="H1978" s="636"/>
      <c r="I1978" s="636"/>
      <c r="J1978" s="636" t="s">
        <v>13675</v>
      </c>
      <c r="K1978" s="636"/>
      <c r="L1978" s="636" t="s">
        <v>13738</v>
      </c>
    </row>
    <row r="1979" spans="1:12" ht="17.100000000000001" customHeight="1">
      <c r="A1979" s="802" t="s">
        <v>12712</v>
      </c>
      <c r="B1979" s="802"/>
      <c r="C1979" s="802"/>
      <c r="D1979" s="802"/>
      <c r="E1979" s="802"/>
      <c r="F1979" s="802"/>
      <c r="G1979" s="802"/>
      <c r="H1979" s="802"/>
      <c r="I1979" s="612"/>
      <c r="J1979" s="612"/>
      <c r="K1979" s="612"/>
      <c r="L1979" s="612"/>
    </row>
    <row r="1980" spans="1:12" ht="17.100000000000001" customHeight="1">
      <c r="A1980" s="612" t="s">
        <v>13679</v>
      </c>
      <c r="B1980" s="636" t="s">
        <v>12698</v>
      </c>
      <c r="C1980" s="612" t="s">
        <v>12699</v>
      </c>
      <c r="D1980" s="612" t="s">
        <v>12700</v>
      </c>
      <c r="E1980" s="637" t="s">
        <v>12702</v>
      </c>
      <c r="F1980" s="801" t="s">
        <v>12704</v>
      </c>
      <c r="G1980" s="801"/>
      <c r="H1980" s="801" t="s">
        <v>13678</v>
      </c>
      <c r="I1980" s="801"/>
      <c r="J1980" s="801" t="s">
        <v>12705</v>
      </c>
      <c r="K1980" s="801"/>
      <c r="L1980" s="801"/>
    </row>
    <row r="1981" spans="1:12" ht="17.100000000000001" customHeight="1">
      <c r="A1981" s="626" t="s">
        <v>12709</v>
      </c>
      <c r="B1981" s="627" t="s">
        <v>13002</v>
      </c>
      <c r="C1981" s="626" t="s">
        <v>8</v>
      </c>
      <c r="D1981" s="626" t="s">
        <v>9306</v>
      </c>
      <c r="E1981" s="628" t="s">
        <v>23</v>
      </c>
      <c r="F1981" s="816" t="s">
        <v>13677</v>
      </c>
      <c r="G1981" s="816"/>
      <c r="H1981" s="816">
        <v>9.2240143000000003</v>
      </c>
      <c r="I1981" s="816"/>
      <c r="J1981" s="817">
        <v>3.2284000000000002</v>
      </c>
      <c r="K1981" s="817"/>
      <c r="L1981" s="817"/>
    </row>
    <row r="1982" spans="1:12" ht="17.100000000000001" customHeight="1">
      <c r="A1982" s="626" t="s">
        <v>12709</v>
      </c>
      <c r="B1982" s="627" t="s">
        <v>13004</v>
      </c>
      <c r="C1982" s="626" t="s">
        <v>8</v>
      </c>
      <c r="D1982" s="626" t="s">
        <v>7388</v>
      </c>
      <c r="E1982" s="628" t="s">
        <v>23</v>
      </c>
      <c r="F1982" s="816" t="s">
        <v>13676</v>
      </c>
      <c r="G1982" s="816"/>
      <c r="H1982" s="816">
        <v>9.2240143000000003</v>
      </c>
      <c r="I1982" s="816"/>
      <c r="J1982" s="817">
        <v>20.2928</v>
      </c>
      <c r="K1982" s="817"/>
      <c r="L1982" s="817"/>
    </row>
    <row r="1983" spans="1:12" ht="17.100000000000001" customHeight="1">
      <c r="A1983" s="636"/>
      <c r="B1983" s="636"/>
      <c r="C1983" s="636"/>
      <c r="D1983" s="636"/>
      <c r="E1983" s="636"/>
      <c r="F1983" s="636"/>
      <c r="G1983" s="636"/>
      <c r="H1983" s="636"/>
      <c r="I1983" s="636"/>
      <c r="J1983" s="636" t="s">
        <v>13675</v>
      </c>
      <c r="K1983" s="636"/>
      <c r="L1983" s="636" t="s">
        <v>13737</v>
      </c>
    </row>
    <row r="1984" spans="1:12" ht="30" customHeight="1">
      <c r="A1984" s="612" t="s">
        <v>13673</v>
      </c>
      <c r="B1984" s="612"/>
      <c r="C1984" s="612"/>
      <c r="D1984" s="612"/>
      <c r="E1984" s="612"/>
      <c r="F1984" s="612"/>
      <c r="G1984" s="612"/>
      <c r="H1984" s="612"/>
      <c r="I1984" s="612"/>
      <c r="J1984" s="612"/>
      <c r="K1984" s="612"/>
      <c r="L1984" s="612"/>
    </row>
    <row r="1985" spans="1:12" ht="48" customHeight="1">
      <c r="A1985" s="636"/>
      <c r="B1985" s="636"/>
      <c r="C1985" s="636"/>
      <c r="D1985" s="636"/>
      <c r="E1985" s="636"/>
      <c r="F1985" s="636"/>
      <c r="G1985" s="636"/>
      <c r="H1985" s="636"/>
      <c r="I1985" s="636"/>
      <c r="J1985" s="636" t="s">
        <v>13672</v>
      </c>
      <c r="K1985" s="636"/>
      <c r="L1985" s="636" t="s">
        <v>14992</v>
      </c>
    </row>
    <row r="1986" spans="1:12" ht="14.25" customHeight="1">
      <c r="A1986" s="636"/>
      <c r="B1986" s="636"/>
      <c r="C1986" s="636"/>
      <c r="D1986" s="636"/>
      <c r="E1986" s="636"/>
      <c r="F1986" s="636"/>
      <c r="G1986" s="636"/>
      <c r="H1986" s="636"/>
      <c r="I1986" s="636"/>
      <c r="J1986" s="636" t="s">
        <v>13671</v>
      </c>
      <c r="K1986" s="636" t="s">
        <v>14461</v>
      </c>
      <c r="L1986" s="636" t="s">
        <v>14993</v>
      </c>
    </row>
    <row r="1987" spans="1:12" ht="17.100000000000001" customHeight="1">
      <c r="A1987" s="636"/>
      <c r="B1987" s="636"/>
      <c r="C1987" s="636"/>
      <c r="D1987" s="636"/>
      <c r="E1987" s="636"/>
      <c r="F1987" s="636"/>
      <c r="G1987" s="636"/>
      <c r="H1987" s="636"/>
      <c r="I1987" s="636"/>
      <c r="J1987" s="636" t="s">
        <v>13670</v>
      </c>
      <c r="K1987" s="636"/>
      <c r="L1987" s="636" t="s">
        <v>14994</v>
      </c>
    </row>
    <row r="1988" spans="1:12" ht="24" customHeight="1">
      <c r="A1988" s="636"/>
      <c r="B1988" s="636"/>
      <c r="C1988" s="636"/>
      <c r="D1988" s="636"/>
      <c r="E1988" s="636"/>
      <c r="F1988" s="636"/>
      <c r="G1988" s="636"/>
      <c r="H1988" s="636"/>
      <c r="I1988" s="636"/>
      <c r="J1988" s="636" t="s">
        <v>13669</v>
      </c>
      <c r="K1988" s="636" t="s">
        <v>13667</v>
      </c>
      <c r="L1988" s="636" t="s">
        <v>14995</v>
      </c>
    </row>
    <row r="1989" spans="1:12" ht="24" customHeight="1">
      <c r="A1989" s="636"/>
      <c r="B1989" s="636"/>
      <c r="C1989" s="636"/>
      <c r="D1989" s="636"/>
      <c r="E1989" s="636"/>
      <c r="F1989" s="636"/>
      <c r="G1989" s="636"/>
      <c r="H1989" s="636"/>
      <c r="I1989" s="636"/>
      <c r="J1989" s="636" t="s">
        <v>13668</v>
      </c>
      <c r="K1989" s="636"/>
      <c r="L1989" s="636" t="s">
        <v>14996</v>
      </c>
    </row>
    <row r="1990" spans="1:12" ht="17.100000000000001" customHeight="1">
      <c r="A1990" s="637"/>
      <c r="B1990" s="637"/>
      <c r="C1990" s="637"/>
      <c r="D1990" s="637"/>
      <c r="E1990" s="637"/>
      <c r="F1990" s="637"/>
      <c r="G1990" s="637"/>
      <c r="H1990" s="637"/>
      <c r="I1990" s="637"/>
      <c r="J1990" s="637"/>
      <c r="K1990" s="637"/>
      <c r="L1990" s="637"/>
    </row>
    <row r="1991" spans="1:12" ht="14.25" customHeight="1">
      <c r="A1991" s="616" t="s">
        <v>14215</v>
      </c>
      <c r="B1991" s="617" t="s">
        <v>13628</v>
      </c>
      <c r="C1991" s="616" t="s">
        <v>8</v>
      </c>
      <c r="D1991" s="616" t="s">
        <v>2961</v>
      </c>
      <c r="E1991" s="618" t="s">
        <v>20</v>
      </c>
      <c r="F1991" s="617"/>
      <c r="G1991" s="617"/>
      <c r="H1991" s="617"/>
      <c r="I1991" s="617"/>
      <c r="J1991" s="617"/>
      <c r="K1991" s="617"/>
      <c r="L1991" s="617"/>
    </row>
    <row r="1992" spans="1:12" ht="17.100000000000001" customHeight="1">
      <c r="A1992" s="802" t="s">
        <v>12711</v>
      </c>
      <c r="B1992" s="802"/>
      <c r="C1992" s="802"/>
      <c r="D1992" s="802"/>
      <c r="E1992" s="802"/>
      <c r="F1992" s="802"/>
      <c r="G1992" s="802"/>
      <c r="H1992" s="802"/>
      <c r="I1992" s="612"/>
      <c r="J1992" s="612"/>
      <c r="K1992" s="612"/>
      <c r="L1992" s="612"/>
    </row>
    <row r="1993" spans="1:12" ht="24" customHeight="1">
      <c r="A1993" s="612" t="s">
        <v>13679</v>
      </c>
      <c r="B1993" s="636" t="s">
        <v>12698</v>
      </c>
      <c r="C1993" s="612" t="s">
        <v>12699</v>
      </c>
      <c r="D1993" s="612" t="s">
        <v>12700</v>
      </c>
      <c r="E1993" s="637" t="s">
        <v>12702</v>
      </c>
      <c r="F1993" s="801" t="s">
        <v>12704</v>
      </c>
      <c r="G1993" s="801"/>
      <c r="H1993" s="801" t="s">
        <v>13678</v>
      </c>
      <c r="I1993" s="801"/>
      <c r="J1993" s="801" t="s">
        <v>12705</v>
      </c>
      <c r="K1993" s="801"/>
      <c r="L1993" s="801"/>
    </row>
    <row r="1994" spans="1:12" ht="24" customHeight="1">
      <c r="A1994" s="626" t="s">
        <v>12709</v>
      </c>
      <c r="B1994" s="627" t="s">
        <v>13052</v>
      </c>
      <c r="C1994" s="626" t="s">
        <v>8</v>
      </c>
      <c r="D1994" s="626" t="s">
        <v>9229</v>
      </c>
      <c r="E1994" s="628" t="s">
        <v>23</v>
      </c>
      <c r="F1994" s="816" t="s">
        <v>13692</v>
      </c>
      <c r="G1994" s="816"/>
      <c r="H1994" s="816">
        <v>0.3475452</v>
      </c>
      <c r="I1994" s="816"/>
      <c r="J1994" s="817">
        <v>0.33360000000000001</v>
      </c>
      <c r="K1994" s="817"/>
      <c r="L1994" s="817"/>
    </row>
    <row r="1995" spans="1:12" ht="17.100000000000001" customHeight="1">
      <c r="A1995" s="626" t="s">
        <v>12709</v>
      </c>
      <c r="B1995" s="627" t="s">
        <v>13051</v>
      </c>
      <c r="C1995" s="626" t="s">
        <v>8</v>
      </c>
      <c r="D1995" s="626" t="s">
        <v>9376</v>
      </c>
      <c r="E1995" s="628" t="s">
        <v>23</v>
      </c>
      <c r="F1995" s="816" t="s">
        <v>13691</v>
      </c>
      <c r="G1995" s="816"/>
      <c r="H1995" s="816">
        <v>0.3475452</v>
      </c>
      <c r="I1995" s="816"/>
      <c r="J1995" s="817">
        <v>0.17380000000000001</v>
      </c>
      <c r="K1995" s="817"/>
      <c r="L1995" s="817"/>
    </row>
    <row r="1996" spans="1:12">
      <c r="A1996" s="636"/>
      <c r="B1996" s="636"/>
      <c r="C1996" s="636"/>
      <c r="D1996" s="636"/>
      <c r="E1996" s="636"/>
      <c r="F1996" s="636"/>
      <c r="G1996" s="636"/>
      <c r="H1996" s="636"/>
      <c r="I1996" s="636"/>
      <c r="J1996" s="636" t="s">
        <v>13675</v>
      </c>
      <c r="K1996" s="636"/>
      <c r="L1996" s="636" t="s">
        <v>13746</v>
      </c>
    </row>
    <row r="1997" spans="1:12" ht="17.100000000000001" customHeight="1">
      <c r="A1997" s="802" t="s">
        <v>12710</v>
      </c>
      <c r="B1997" s="802"/>
      <c r="C1997" s="802"/>
      <c r="D1997" s="802"/>
      <c r="E1997" s="802"/>
      <c r="F1997" s="802"/>
      <c r="G1997" s="802"/>
      <c r="H1997" s="802"/>
      <c r="I1997" s="612"/>
      <c r="J1997" s="612"/>
      <c r="K1997" s="612"/>
      <c r="L1997" s="612"/>
    </row>
    <row r="1998" spans="1:12" ht="24" customHeight="1">
      <c r="A1998" s="612" t="s">
        <v>13679</v>
      </c>
      <c r="B1998" s="636" t="s">
        <v>12698</v>
      </c>
      <c r="C1998" s="612" t="s">
        <v>12699</v>
      </c>
      <c r="D1998" s="612" t="s">
        <v>12700</v>
      </c>
      <c r="E1998" s="637" t="s">
        <v>12702</v>
      </c>
      <c r="F1998" s="801" t="s">
        <v>12704</v>
      </c>
      <c r="G1998" s="801"/>
      <c r="H1998" s="801" t="s">
        <v>13678</v>
      </c>
      <c r="I1998" s="801"/>
      <c r="J1998" s="801" t="s">
        <v>12705</v>
      </c>
      <c r="K1998" s="801"/>
      <c r="L1998" s="801"/>
    </row>
    <row r="1999" spans="1:12" ht="36" customHeight="1">
      <c r="A1999" s="626" t="s">
        <v>12709</v>
      </c>
      <c r="B1999" s="627" t="s">
        <v>13230</v>
      </c>
      <c r="C1999" s="626" t="s">
        <v>8</v>
      </c>
      <c r="D1999" s="626" t="s">
        <v>7362</v>
      </c>
      <c r="E1999" s="628" t="s">
        <v>23</v>
      </c>
      <c r="F1999" s="816" t="s">
        <v>14514</v>
      </c>
      <c r="G1999" s="816"/>
      <c r="H1999" s="816">
        <v>4.76648E-2</v>
      </c>
      <c r="I1999" s="816"/>
      <c r="J1999" s="817">
        <v>0.2293</v>
      </c>
      <c r="K1999" s="817"/>
      <c r="L1999" s="817"/>
    </row>
    <row r="2000" spans="1:12" ht="24" customHeight="1">
      <c r="A2000" s="626" t="s">
        <v>12709</v>
      </c>
      <c r="B2000" s="627" t="s">
        <v>13224</v>
      </c>
      <c r="C2000" s="626" t="s">
        <v>8</v>
      </c>
      <c r="D2000" s="626" t="s">
        <v>7556</v>
      </c>
      <c r="E2000" s="628" t="s">
        <v>23</v>
      </c>
      <c r="F2000" s="816" t="s">
        <v>14470</v>
      </c>
      <c r="G2000" s="816"/>
      <c r="H2000" s="816">
        <v>0.30244599999999999</v>
      </c>
      <c r="I2000" s="816"/>
      <c r="J2000" s="817">
        <v>2.0899000000000001</v>
      </c>
      <c r="K2000" s="817"/>
      <c r="L2000" s="817"/>
    </row>
    <row r="2001" spans="1:12" ht="17.100000000000001" customHeight="1">
      <c r="A2001" s="636"/>
      <c r="B2001" s="636"/>
      <c r="C2001" s="636"/>
      <c r="D2001" s="636"/>
      <c r="E2001" s="636"/>
      <c r="F2001" s="636"/>
      <c r="G2001" s="636"/>
      <c r="H2001" s="636"/>
      <c r="I2001" s="636"/>
      <c r="J2001" s="636" t="s">
        <v>13675</v>
      </c>
      <c r="K2001" s="636"/>
      <c r="L2001" s="636" t="s">
        <v>14714</v>
      </c>
    </row>
    <row r="2002" spans="1:12">
      <c r="A2002" s="802" t="s">
        <v>12720</v>
      </c>
      <c r="B2002" s="802"/>
      <c r="C2002" s="802"/>
      <c r="D2002" s="802"/>
      <c r="E2002" s="802"/>
      <c r="F2002" s="802"/>
      <c r="G2002" s="802"/>
      <c r="H2002" s="802"/>
      <c r="I2002" s="612"/>
      <c r="J2002" s="612"/>
      <c r="K2002" s="612"/>
      <c r="L2002" s="612"/>
    </row>
    <row r="2003" spans="1:12" ht="17.100000000000001" customHeight="1">
      <c r="A2003" s="612" t="s">
        <v>13679</v>
      </c>
      <c r="B2003" s="636" t="s">
        <v>12698</v>
      </c>
      <c r="C2003" s="612" t="s">
        <v>12699</v>
      </c>
      <c r="D2003" s="612" t="s">
        <v>12700</v>
      </c>
      <c r="E2003" s="637" t="s">
        <v>12702</v>
      </c>
      <c r="F2003" s="801" t="s">
        <v>12704</v>
      </c>
      <c r="G2003" s="801"/>
      <c r="H2003" s="801" t="s">
        <v>13678</v>
      </c>
      <c r="I2003" s="801"/>
      <c r="J2003" s="801" t="s">
        <v>12705</v>
      </c>
      <c r="K2003" s="801"/>
      <c r="L2003" s="801"/>
    </row>
    <row r="2004" spans="1:12" ht="24" customHeight="1">
      <c r="A2004" s="626" t="s">
        <v>12709</v>
      </c>
      <c r="B2004" s="627" t="s">
        <v>13311</v>
      </c>
      <c r="C2004" s="626" t="s">
        <v>8</v>
      </c>
      <c r="D2004" s="626" t="s">
        <v>7522</v>
      </c>
      <c r="E2004" s="628" t="s">
        <v>20</v>
      </c>
      <c r="F2004" s="816" t="s">
        <v>14521</v>
      </c>
      <c r="G2004" s="816"/>
      <c r="H2004" s="816">
        <v>2.5000000000000001E-2</v>
      </c>
      <c r="I2004" s="816"/>
      <c r="J2004" s="817">
        <v>0.34</v>
      </c>
      <c r="K2004" s="817"/>
      <c r="L2004" s="817"/>
    </row>
    <row r="2005" spans="1:12" ht="17.100000000000001" customHeight="1">
      <c r="A2005" s="626" t="s">
        <v>12709</v>
      </c>
      <c r="B2005" s="627" t="s">
        <v>13310</v>
      </c>
      <c r="C2005" s="626" t="s">
        <v>8</v>
      </c>
      <c r="D2005" s="626" t="s">
        <v>9265</v>
      </c>
      <c r="E2005" s="628" t="s">
        <v>35</v>
      </c>
      <c r="F2005" s="816" t="s">
        <v>13875</v>
      </c>
      <c r="G2005" s="816"/>
      <c r="H2005" s="816">
        <v>1.19</v>
      </c>
      <c r="I2005" s="816"/>
      <c r="J2005" s="817">
        <v>0.15</v>
      </c>
      <c r="K2005" s="817"/>
      <c r="L2005" s="817"/>
    </row>
    <row r="2006" spans="1:12" ht="25.5">
      <c r="A2006" s="626" t="s">
        <v>12709</v>
      </c>
      <c r="B2006" s="627" t="s">
        <v>13235</v>
      </c>
      <c r="C2006" s="626" t="s">
        <v>8</v>
      </c>
      <c r="D2006" s="626" t="s">
        <v>7268</v>
      </c>
      <c r="E2006" s="628" t="s">
        <v>20</v>
      </c>
      <c r="F2006" s="816" t="s">
        <v>14520</v>
      </c>
      <c r="G2006" s="816"/>
      <c r="H2006" s="816">
        <v>1.0658452</v>
      </c>
      <c r="I2006" s="816"/>
      <c r="J2006" s="817">
        <v>5.1906999999999996</v>
      </c>
      <c r="K2006" s="817"/>
      <c r="L2006" s="817"/>
    </row>
    <row r="2007" spans="1:12" ht="17.100000000000001" customHeight="1">
      <c r="A2007" s="636"/>
      <c r="B2007" s="636"/>
      <c r="C2007" s="636"/>
      <c r="D2007" s="636"/>
      <c r="E2007" s="636"/>
      <c r="F2007" s="636"/>
      <c r="G2007" s="636"/>
      <c r="H2007" s="636"/>
      <c r="I2007" s="636"/>
      <c r="J2007" s="636" t="s">
        <v>13675</v>
      </c>
      <c r="K2007" s="636"/>
      <c r="L2007" s="636" t="s">
        <v>14655</v>
      </c>
    </row>
    <row r="2008" spans="1:12" ht="24" customHeight="1">
      <c r="A2008" s="802" t="s">
        <v>12722</v>
      </c>
      <c r="B2008" s="802"/>
      <c r="C2008" s="802"/>
      <c r="D2008" s="802"/>
      <c r="E2008" s="802"/>
      <c r="F2008" s="802"/>
      <c r="G2008" s="802"/>
      <c r="H2008" s="802"/>
      <c r="I2008" s="612"/>
      <c r="J2008" s="612"/>
      <c r="K2008" s="612"/>
      <c r="L2008" s="612"/>
    </row>
    <row r="2009" spans="1:12" ht="17.100000000000001" customHeight="1">
      <c r="A2009" s="612" t="s">
        <v>13679</v>
      </c>
      <c r="B2009" s="636" t="s">
        <v>12698</v>
      </c>
      <c r="C2009" s="612" t="s">
        <v>12699</v>
      </c>
      <c r="D2009" s="612" t="s">
        <v>12700</v>
      </c>
      <c r="E2009" s="637" t="s">
        <v>12702</v>
      </c>
      <c r="F2009" s="801" t="s">
        <v>12704</v>
      </c>
      <c r="G2009" s="801"/>
      <c r="H2009" s="801" t="s">
        <v>13678</v>
      </c>
      <c r="I2009" s="801"/>
      <c r="J2009" s="801" t="s">
        <v>12705</v>
      </c>
      <c r="K2009" s="801"/>
      <c r="L2009" s="801"/>
    </row>
    <row r="2010" spans="1:12" ht="25.5">
      <c r="A2010" s="626" t="s">
        <v>12709</v>
      </c>
      <c r="B2010" s="627" t="s">
        <v>12998</v>
      </c>
      <c r="C2010" s="626" t="s">
        <v>8</v>
      </c>
      <c r="D2010" s="626" t="s">
        <v>11861</v>
      </c>
      <c r="E2010" s="628" t="s">
        <v>23</v>
      </c>
      <c r="F2010" s="816" t="s">
        <v>13683</v>
      </c>
      <c r="G2010" s="816"/>
      <c r="H2010" s="816">
        <v>0.3475452</v>
      </c>
      <c r="I2010" s="816"/>
      <c r="J2010" s="817">
        <v>0.24679999999999999</v>
      </c>
      <c r="K2010" s="817"/>
      <c r="L2010" s="817"/>
    </row>
    <row r="2011" spans="1:12" ht="17.100000000000001" customHeight="1">
      <c r="A2011" s="636"/>
      <c r="B2011" s="636"/>
      <c r="C2011" s="636"/>
      <c r="D2011" s="636"/>
      <c r="E2011" s="636"/>
      <c r="F2011" s="636"/>
      <c r="G2011" s="636"/>
      <c r="H2011" s="636"/>
      <c r="I2011" s="636"/>
      <c r="J2011" s="636" t="s">
        <v>13675</v>
      </c>
      <c r="K2011" s="636"/>
      <c r="L2011" s="636" t="s">
        <v>13915</v>
      </c>
    </row>
    <row r="2012" spans="1:12" ht="24" customHeight="1">
      <c r="A2012" s="802" t="s">
        <v>12713</v>
      </c>
      <c r="B2012" s="802"/>
      <c r="C2012" s="802"/>
      <c r="D2012" s="802"/>
      <c r="E2012" s="802"/>
      <c r="F2012" s="802"/>
      <c r="G2012" s="802"/>
      <c r="H2012" s="802"/>
      <c r="I2012" s="612"/>
      <c r="J2012" s="612"/>
      <c r="K2012" s="612"/>
      <c r="L2012" s="612"/>
    </row>
    <row r="2013" spans="1:12" ht="24" customHeight="1">
      <c r="A2013" s="612" t="s">
        <v>13679</v>
      </c>
      <c r="B2013" s="636" t="s">
        <v>12698</v>
      </c>
      <c r="C2013" s="612" t="s">
        <v>12699</v>
      </c>
      <c r="D2013" s="612" t="s">
        <v>12700</v>
      </c>
      <c r="E2013" s="637" t="s">
        <v>12702</v>
      </c>
      <c r="F2013" s="801" t="s">
        <v>12704</v>
      </c>
      <c r="G2013" s="801"/>
      <c r="H2013" s="801" t="s">
        <v>13678</v>
      </c>
      <c r="I2013" s="801"/>
      <c r="J2013" s="801" t="s">
        <v>12705</v>
      </c>
      <c r="K2013" s="801"/>
      <c r="L2013" s="801"/>
    </row>
    <row r="2014" spans="1:12" ht="17.100000000000001" customHeight="1">
      <c r="A2014" s="626" t="s">
        <v>12709</v>
      </c>
      <c r="B2014" s="627" t="s">
        <v>12999</v>
      </c>
      <c r="C2014" s="626" t="s">
        <v>8</v>
      </c>
      <c r="D2014" s="626" t="s">
        <v>11251</v>
      </c>
      <c r="E2014" s="628" t="s">
        <v>23</v>
      </c>
      <c r="F2014" s="816" t="s">
        <v>13681</v>
      </c>
      <c r="G2014" s="816"/>
      <c r="H2014" s="816">
        <v>0.3475452</v>
      </c>
      <c r="I2014" s="816"/>
      <c r="J2014" s="817">
        <v>2.4299999999999999E-2</v>
      </c>
      <c r="K2014" s="817"/>
      <c r="L2014" s="817"/>
    </row>
    <row r="2015" spans="1:12" ht="17.100000000000001" customHeight="1">
      <c r="A2015" s="636"/>
      <c r="B2015" s="636"/>
      <c r="C2015" s="636"/>
      <c r="D2015" s="636"/>
      <c r="E2015" s="636"/>
      <c r="F2015" s="636"/>
      <c r="G2015" s="636"/>
      <c r="H2015" s="636"/>
      <c r="I2015" s="636"/>
      <c r="J2015" s="636" t="s">
        <v>13675</v>
      </c>
      <c r="K2015" s="636"/>
      <c r="L2015" s="636" t="s">
        <v>13680</v>
      </c>
    </row>
    <row r="2016" spans="1:12" ht="17.100000000000001" customHeight="1">
      <c r="A2016" s="802" t="s">
        <v>12712</v>
      </c>
      <c r="B2016" s="802"/>
      <c r="C2016" s="802"/>
      <c r="D2016" s="802"/>
      <c r="E2016" s="802"/>
      <c r="F2016" s="802"/>
      <c r="G2016" s="802"/>
      <c r="H2016" s="802"/>
      <c r="I2016" s="612"/>
      <c r="J2016" s="612"/>
      <c r="K2016" s="612"/>
      <c r="L2016" s="612"/>
    </row>
    <row r="2017" spans="1:12" ht="17.100000000000001" customHeight="1">
      <c r="A2017" s="612" t="s">
        <v>13679</v>
      </c>
      <c r="B2017" s="636" t="s">
        <v>12698</v>
      </c>
      <c r="C2017" s="612" t="s">
        <v>12699</v>
      </c>
      <c r="D2017" s="612" t="s">
        <v>12700</v>
      </c>
      <c r="E2017" s="637" t="s">
        <v>12702</v>
      </c>
      <c r="F2017" s="801" t="s">
        <v>12704</v>
      </c>
      <c r="G2017" s="801"/>
      <c r="H2017" s="801" t="s">
        <v>13678</v>
      </c>
      <c r="I2017" s="801"/>
      <c r="J2017" s="801" t="s">
        <v>12705</v>
      </c>
      <c r="K2017" s="801"/>
      <c r="L2017" s="801"/>
    </row>
    <row r="2018" spans="1:12" ht="17.100000000000001" customHeight="1">
      <c r="A2018" s="626" t="s">
        <v>12709</v>
      </c>
      <c r="B2018" s="627" t="s">
        <v>13002</v>
      </c>
      <c r="C2018" s="626" t="s">
        <v>8</v>
      </c>
      <c r="D2018" s="626" t="s">
        <v>9306</v>
      </c>
      <c r="E2018" s="628" t="s">
        <v>23</v>
      </c>
      <c r="F2018" s="816" t="s">
        <v>13677</v>
      </c>
      <c r="G2018" s="816"/>
      <c r="H2018" s="816">
        <v>0.3475452</v>
      </c>
      <c r="I2018" s="816"/>
      <c r="J2018" s="817">
        <v>0.1216</v>
      </c>
      <c r="K2018" s="817"/>
      <c r="L2018" s="817"/>
    </row>
    <row r="2019" spans="1:12" ht="17.100000000000001" customHeight="1">
      <c r="A2019" s="626" t="s">
        <v>12709</v>
      </c>
      <c r="B2019" s="627" t="s">
        <v>13004</v>
      </c>
      <c r="C2019" s="626" t="s">
        <v>8</v>
      </c>
      <c r="D2019" s="626" t="s">
        <v>7388</v>
      </c>
      <c r="E2019" s="628" t="s">
        <v>23</v>
      </c>
      <c r="F2019" s="816" t="s">
        <v>13676</v>
      </c>
      <c r="G2019" s="816"/>
      <c r="H2019" s="816">
        <v>0.3475452</v>
      </c>
      <c r="I2019" s="816"/>
      <c r="J2019" s="817">
        <v>0.76459999999999995</v>
      </c>
      <c r="K2019" s="817"/>
      <c r="L2019" s="817"/>
    </row>
    <row r="2020" spans="1:12" ht="17.100000000000001" customHeight="1">
      <c r="A2020" s="636"/>
      <c r="B2020" s="636"/>
      <c r="C2020" s="636"/>
      <c r="D2020" s="636"/>
      <c r="E2020" s="636"/>
      <c r="F2020" s="636"/>
      <c r="G2020" s="636"/>
      <c r="H2020" s="636"/>
      <c r="I2020" s="636"/>
      <c r="J2020" s="636" t="s">
        <v>13675</v>
      </c>
      <c r="K2020" s="636"/>
      <c r="L2020" s="636" t="s">
        <v>13816</v>
      </c>
    </row>
    <row r="2021" spans="1:12" ht="30" customHeight="1">
      <c r="A2021" s="612" t="s">
        <v>13673</v>
      </c>
      <c r="B2021" s="612"/>
      <c r="C2021" s="612"/>
      <c r="D2021" s="612"/>
      <c r="E2021" s="612"/>
      <c r="F2021" s="612"/>
      <c r="G2021" s="612"/>
      <c r="H2021" s="612"/>
      <c r="I2021" s="612"/>
      <c r="J2021" s="612"/>
      <c r="K2021" s="612"/>
      <c r="L2021" s="612"/>
    </row>
    <row r="2022" spans="1:12" ht="48" customHeight="1">
      <c r="A2022" s="636"/>
      <c r="B2022" s="636"/>
      <c r="C2022" s="636"/>
      <c r="D2022" s="636"/>
      <c r="E2022" s="636"/>
      <c r="F2022" s="636"/>
      <c r="G2022" s="636"/>
      <c r="H2022" s="636"/>
      <c r="I2022" s="636"/>
      <c r="J2022" s="636" t="s">
        <v>13672</v>
      </c>
      <c r="K2022" s="636"/>
      <c r="L2022" s="636" t="s">
        <v>15016</v>
      </c>
    </row>
    <row r="2023" spans="1:12" ht="14.25" customHeight="1">
      <c r="A2023" s="636"/>
      <c r="B2023" s="636"/>
      <c r="C2023" s="636"/>
      <c r="D2023" s="636"/>
      <c r="E2023" s="636"/>
      <c r="F2023" s="636"/>
      <c r="G2023" s="636"/>
      <c r="H2023" s="636"/>
      <c r="I2023" s="636"/>
      <c r="J2023" s="636" t="s">
        <v>13671</v>
      </c>
      <c r="K2023" s="636" t="s">
        <v>14461</v>
      </c>
      <c r="L2023" s="636" t="s">
        <v>15017</v>
      </c>
    </row>
    <row r="2024" spans="1:12" ht="17.100000000000001" customHeight="1">
      <c r="A2024" s="636"/>
      <c r="B2024" s="636"/>
      <c r="C2024" s="636"/>
      <c r="D2024" s="636"/>
      <c r="E2024" s="636"/>
      <c r="F2024" s="636"/>
      <c r="G2024" s="636"/>
      <c r="H2024" s="636"/>
      <c r="I2024" s="636"/>
      <c r="J2024" s="636" t="s">
        <v>13670</v>
      </c>
      <c r="K2024" s="636"/>
      <c r="L2024" s="636" t="s">
        <v>15018</v>
      </c>
    </row>
    <row r="2025" spans="1:12" ht="24" customHeight="1">
      <c r="A2025" s="636"/>
      <c r="B2025" s="636"/>
      <c r="C2025" s="636"/>
      <c r="D2025" s="636"/>
      <c r="E2025" s="636"/>
      <c r="F2025" s="636"/>
      <c r="G2025" s="636"/>
      <c r="H2025" s="636"/>
      <c r="I2025" s="636"/>
      <c r="J2025" s="636" t="s">
        <v>13669</v>
      </c>
      <c r="K2025" s="636" t="s">
        <v>13667</v>
      </c>
      <c r="L2025" s="636" t="s">
        <v>15019</v>
      </c>
    </row>
    <row r="2026" spans="1:12" ht="24" customHeight="1">
      <c r="A2026" s="636"/>
      <c r="B2026" s="636"/>
      <c r="C2026" s="636"/>
      <c r="D2026" s="636"/>
      <c r="E2026" s="636"/>
      <c r="F2026" s="636"/>
      <c r="G2026" s="636"/>
      <c r="H2026" s="636"/>
      <c r="I2026" s="636"/>
      <c r="J2026" s="636" t="s">
        <v>13668</v>
      </c>
      <c r="K2026" s="636"/>
      <c r="L2026" s="636" t="s">
        <v>15020</v>
      </c>
    </row>
    <row r="2027" spans="1:12" ht="17.100000000000001" customHeight="1">
      <c r="A2027" s="637"/>
      <c r="B2027" s="637"/>
      <c r="C2027" s="637"/>
      <c r="D2027" s="637"/>
      <c r="E2027" s="637"/>
      <c r="F2027" s="637"/>
      <c r="G2027" s="637"/>
      <c r="H2027" s="637"/>
      <c r="I2027" s="637"/>
      <c r="J2027" s="637"/>
      <c r="K2027" s="637"/>
      <c r="L2027" s="637"/>
    </row>
    <row r="2028" spans="1:12" ht="14.25" customHeight="1">
      <c r="A2028" s="616" t="s">
        <v>14214</v>
      </c>
      <c r="B2028" s="617" t="s">
        <v>13630</v>
      </c>
      <c r="C2028" s="616" t="s">
        <v>8</v>
      </c>
      <c r="D2028" s="616" t="s">
        <v>2964</v>
      </c>
      <c r="E2028" s="618" t="s">
        <v>20</v>
      </c>
      <c r="F2028" s="617"/>
      <c r="G2028" s="617"/>
      <c r="H2028" s="617"/>
      <c r="I2028" s="617"/>
      <c r="J2028" s="617"/>
      <c r="K2028" s="617"/>
      <c r="L2028" s="617"/>
    </row>
    <row r="2029" spans="1:12" ht="17.100000000000001" customHeight="1">
      <c r="A2029" s="802" t="s">
        <v>12711</v>
      </c>
      <c r="B2029" s="802"/>
      <c r="C2029" s="802"/>
      <c r="D2029" s="802"/>
      <c r="E2029" s="802"/>
      <c r="F2029" s="802"/>
      <c r="G2029" s="802"/>
      <c r="H2029" s="802"/>
      <c r="I2029" s="612"/>
      <c r="J2029" s="612"/>
      <c r="K2029" s="612"/>
      <c r="L2029" s="612"/>
    </row>
    <row r="2030" spans="1:12" ht="24" customHeight="1">
      <c r="A2030" s="612" t="s">
        <v>13679</v>
      </c>
      <c r="B2030" s="636" t="s">
        <v>12698</v>
      </c>
      <c r="C2030" s="612" t="s">
        <v>12699</v>
      </c>
      <c r="D2030" s="612" t="s">
        <v>12700</v>
      </c>
      <c r="E2030" s="637" t="s">
        <v>12702</v>
      </c>
      <c r="F2030" s="801" t="s">
        <v>12704</v>
      </c>
      <c r="G2030" s="801"/>
      <c r="H2030" s="801" t="s">
        <v>13678</v>
      </c>
      <c r="I2030" s="801"/>
      <c r="J2030" s="801" t="s">
        <v>12705</v>
      </c>
      <c r="K2030" s="801"/>
      <c r="L2030" s="801"/>
    </row>
    <row r="2031" spans="1:12" ht="24" customHeight="1">
      <c r="A2031" s="626" t="s">
        <v>12709</v>
      </c>
      <c r="B2031" s="627" t="s">
        <v>13052</v>
      </c>
      <c r="C2031" s="626" t="s">
        <v>8</v>
      </c>
      <c r="D2031" s="626" t="s">
        <v>9229</v>
      </c>
      <c r="E2031" s="628" t="s">
        <v>23</v>
      </c>
      <c r="F2031" s="816" t="s">
        <v>13692</v>
      </c>
      <c r="G2031" s="816"/>
      <c r="H2031" s="816">
        <v>0.12520290000000001</v>
      </c>
      <c r="I2031" s="816"/>
      <c r="J2031" s="817">
        <v>0.1202</v>
      </c>
      <c r="K2031" s="817"/>
      <c r="L2031" s="817"/>
    </row>
    <row r="2032" spans="1:12" ht="17.100000000000001" customHeight="1">
      <c r="A2032" s="626" t="s">
        <v>12709</v>
      </c>
      <c r="B2032" s="627" t="s">
        <v>13051</v>
      </c>
      <c r="C2032" s="626" t="s">
        <v>8</v>
      </c>
      <c r="D2032" s="626" t="s">
        <v>9376</v>
      </c>
      <c r="E2032" s="628" t="s">
        <v>23</v>
      </c>
      <c r="F2032" s="816" t="s">
        <v>13691</v>
      </c>
      <c r="G2032" s="816"/>
      <c r="H2032" s="816">
        <v>0.12520290000000001</v>
      </c>
      <c r="I2032" s="816"/>
      <c r="J2032" s="817">
        <v>6.2600000000000003E-2</v>
      </c>
      <c r="K2032" s="817"/>
      <c r="L2032" s="817"/>
    </row>
    <row r="2033" spans="1:12">
      <c r="A2033" s="636"/>
      <c r="B2033" s="636"/>
      <c r="C2033" s="636"/>
      <c r="D2033" s="636"/>
      <c r="E2033" s="636"/>
      <c r="F2033" s="636"/>
      <c r="G2033" s="636"/>
      <c r="H2033" s="636"/>
      <c r="I2033" s="636"/>
      <c r="J2033" s="636" t="s">
        <v>13675</v>
      </c>
      <c r="K2033" s="636"/>
      <c r="L2033" s="636" t="s">
        <v>13682</v>
      </c>
    </row>
    <row r="2034" spans="1:12" ht="17.100000000000001" customHeight="1">
      <c r="A2034" s="802" t="s">
        <v>12710</v>
      </c>
      <c r="B2034" s="802"/>
      <c r="C2034" s="802"/>
      <c r="D2034" s="802"/>
      <c r="E2034" s="802"/>
      <c r="F2034" s="802"/>
      <c r="G2034" s="802"/>
      <c r="H2034" s="802"/>
      <c r="I2034" s="612"/>
      <c r="J2034" s="612"/>
      <c r="K2034" s="612"/>
      <c r="L2034" s="612"/>
    </row>
    <row r="2035" spans="1:12" ht="24" customHeight="1">
      <c r="A2035" s="612" t="s">
        <v>13679</v>
      </c>
      <c r="B2035" s="636" t="s">
        <v>12698</v>
      </c>
      <c r="C2035" s="612" t="s">
        <v>12699</v>
      </c>
      <c r="D2035" s="612" t="s">
        <v>12700</v>
      </c>
      <c r="E2035" s="637" t="s">
        <v>12702</v>
      </c>
      <c r="F2035" s="801" t="s">
        <v>12704</v>
      </c>
      <c r="G2035" s="801"/>
      <c r="H2035" s="801" t="s">
        <v>13678</v>
      </c>
      <c r="I2035" s="801"/>
      <c r="J2035" s="801" t="s">
        <v>12705</v>
      </c>
      <c r="K2035" s="801"/>
      <c r="L2035" s="801"/>
    </row>
    <row r="2036" spans="1:12" ht="36" customHeight="1">
      <c r="A2036" s="626" t="s">
        <v>12709</v>
      </c>
      <c r="B2036" s="627" t="s">
        <v>13230</v>
      </c>
      <c r="C2036" s="626" t="s">
        <v>8</v>
      </c>
      <c r="D2036" s="626" t="s">
        <v>7362</v>
      </c>
      <c r="E2036" s="628" t="s">
        <v>23</v>
      </c>
      <c r="F2036" s="816" t="s">
        <v>14514</v>
      </c>
      <c r="G2036" s="816"/>
      <c r="H2036" s="816">
        <v>1.73256E-2</v>
      </c>
      <c r="I2036" s="816"/>
      <c r="J2036" s="817">
        <v>8.3299999999999999E-2</v>
      </c>
      <c r="K2036" s="817"/>
      <c r="L2036" s="817"/>
    </row>
    <row r="2037" spans="1:12" ht="24" customHeight="1">
      <c r="A2037" s="626" t="s">
        <v>12709</v>
      </c>
      <c r="B2037" s="627" t="s">
        <v>13224</v>
      </c>
      <c r="C2037" s="626" t="s">
        <v>8</v>
      </c>
      <c r="D2037" s="626" t="s">
        <v>7556</v>
      </c>
      <c r="E2037" s="628" t="s">
        <v>23</v>
      </c>
      <c r="F2037" s="816" t="s">
        <v>14470</v>
      </c>
      <c r="G2037" s="816"/>
      <c r="H2037" s="816">
        <v>0.1076382</v>
      </c>
      <c r="I2037" s="816"/>
      <c r="J2037" s="817">
        <v>0.74380000000000002</v>
      </c>
      <c r="K2037" s="817"/>
      <c r="L2037" s="817"/>
    </row>
    <row r="2038" spans="1:12" ht="17.100000000000001" customHeight="1">
      <c r="A2038" s="636"/>
      <c r="B2038" s="636"/>
      <c r="C2038" s="636"/>
      <c r="D2038" s="636"/>
      <c r="E2038" s="636"/>
      <c r="F2038" s="636"/>
      <c r="G2038" s="636"/>
      <c r="H2038" s="636"/>
      <c r="I2038" s="636"/>
      <c r="J2038" s="636" t="s">
        <v>13675</v>
      </c>
      <c r="K2038" s="636"/>
      <c r="L2038" s="636" t="s">
        <v>13705</v>
      </c>
    </row>
    <row r="2039" spans="1:12">
      <c r="A2039" s="802" t="s">
        <v>12720</v>
      </c>
      <c r="B2039" s="802"/>
      <c r="C2039" s="802"/>
      <c r="D2039" s="802"/>
      <c r="E2039" s="802"/>
      <c r="F2039" s="802"/>
      <c r="G2039" s="802"/>
      <c r="H2039" s="802"/>
      <c r="I2039" s="612"/>
      <c r="J2039" s="612"/>
      <c r="K2039" s="612"/>
      <c r="L2039" s="612"/>
    </row>
    <row r="2040" spans="1:12" ht="17.100000000000001" customHeight="1">
      <c r="A2040" s="612" t="s">
        <v>13679</v>
      </c>
      <c r="B2040" s="636" t="s">
        <v>12698</v>
      </c>
      <c r="C2040" s="612" t="s">
        <v>12699</v>
      </c>
      <c r="D2040" s="612" t="s">
        <v>12700</v>
      </c>
      <c r="E2040" s="637" t="s">
        <v>12702</v>
      </c>
      <c r="F2040" s="801" t="s">
        <v>12704</v>
      </c>
      <c r="G2040" s="801"/>
      <c r="H2040" s="801" t="s">
        <v>13678</v>
      </c>
      <c r="I2040" s="801"/>
      <c r="J2040" s="801" t="s">
        <v>12705</v>
      </c>
      <c r="K2040" s="801"/>
      <c r="L2040" s="801"/>
    </row>
    <row r="2041" spans="1:12" ht="24" customHeight="1">
      <c r="A2041" s="626" t="s">
        <v>12709</v>
      </c>
      <c r="B2041" s="627" t="s">
        <v>13311</v>
      </c>
      <c r="C2041" s="626" t="s">
        <v>8</v>
      </c>
      <c r="D2041" s="626" t="s">
        <v>7522</v>
      </c>
      <c r="E2041" s="628" t="s">
        <v>20</v>
      </c>
      <c r="F2041" s="816" t="s">
        <v>14521</v>
      </c>
      <c r="G2041" s="816"/>
      <c r="H2041" s="816">
        <v>2.5000000000000001E-2</v>
      </c>
      <c r="I2041" s="816"/>
      <c r="J2041" s="817">
        <v>0.34</v>
      </c>
      <c r="K2041" s="817"/>
      <c r="L2041" s="817"/>
    </row>
    <row r="2042" spans="1:12" ht="17.100000000000001" customHeight="1">
      <c r="A2042" s="626" t="s">
        <v>12709</v>
      </c>
      <c r="B2042" s="627" t="s">
        <v>13310</v>
      </c>
      <c r="C2042" s="626" t="s">
        <v>8</v>
      </c>
      <c r="D2042" s="626" t="s">
        <v>9265</v>
      </c>
      <c r="E2042" s="628" t="s">
        <v>35</v>
      </c>
      <c r="F2042" s="816" t="s">
        <v>13875</v>
      </c>
      <c r="G2042" s="816"/>
      <c r="H2042" s="816">
        <v>0.54300000000000004</v>
      </c>
      <c r="I2042" s="816"/>
      <c r="J2042" s="817">
        <v>7.0000000000000007E-2</v>
      </c>
      <c r="K2042" s="817"/>
      <c r="L2042" s="817"/>
    </row>
    <row r="2043" spans="1:12" ht="25.5">
      <c r="A2043" s="626" t="s">
        <v>12709</v>
      </c>
      <c r="B2043" s="627" t="s">
        <v>13246</v>
      </c>
      <c r="C2043" s="626" t="s">
        <v>8</v>
      </c>
      <c r="D2043" s="626" t="s">
        <v>7260</v>
      </c>
      <c r="E2043" s="628" t="s">
        <v>20</v>
      </c>
      <c r="F2043" s="816" t="s">
        <v>14713</v>
      </c>
      <c r="G2043" s="816"/>
      <c r="H2043" s="816">
        <v>1.1073723</v>
      </c>
      <c r="I2043" s="816"/>
      <c r="J2043" s="817">
        <v>5.7030000000000003</v>
      </c>
      <c r="K2043" s="817"/>
      <c r="L2043" s="817"/>
    </row>
    <row r="2044" spans="1:12" ht="17.100000000000001" customHeight="1">
      <c r="A2044" s="636"/>
      <c r="B2044" s="636"/>
      <c r="C2044" s="636"/>
      <c r="D2044" s="636"/>
      <c r="E2044" s="636"/>
      <c r="F2044" s="636"/>
      <c r="G2044" s="636"/>
      <c r="H2044" s="636"/>
      <c r="I2044" s="636"/>
      <c r="J2044" s="636" t="s">
        <v>13675</v>
      </c>
      <c r="K2044" s="636"/>
      <c r="L2044" s="636" t="s">
        <v>13831</v>
      </c>
    </row>
    <row r="2045" spans="1:12" ht="24" customHeight="1">
      <c r="A2045" s="802" t="s">
        <v>12722</v>
      </c>
      <c r="B2045" s="802"/>
      <c r="C2045" s="802"/>
      <c r="D2045" s="802"/>
      <c r="E2045" s="802"/>
      <c r="F2045" s="802"/>
      <c r="G2045" s="802"/>
      <c r="H2045" s="802"/>
      <c r="I2045" s="612"/>
      <c r="J2045" s="612"/>
      <c r="K2045" s="612"/>
      <c r="L2045" s="612"/>
    </row>
    <row r="2046" spans="1:12" ht="17.100000000000001" customHeight="1">
      <c r="A2046" s="612" t="s">
        <v>13679</v>
      </c>
      <c r="B2046" s="636" t="s">
        <v>12698</v>
      </c>
      <c r="C2046" s="612" t="s">
        <v>12699</v>
      </c>
      <c r="D2046" s="612" t="s">
        <v>12700</v>
      </c>
      <c r="E2046" s="637" t="s">
        <v>12702</v>
      </c>
      <c r="F2046" s="801" t="s">
        <v>12704</v>
      </c>
      <c r="G2046" s="801"/>
      <c r="H2046" s="801" t="s">
        <v>13678</v>
      </c>
      <c r="I2046" s="801"/>
      <c r="J2046" s="801" t="s">
        <v>12705</v>
      </c>
      <c r="K2046" s="801"/>
      <c r="L2046" s="801"/>
    </row>
    <row r="2047" spans="1:12" ht="25.5">
      <c r="A2047" s="626" t="s">
        <v>12709</v>
      </c>
      <c r="B2047" s="627" t="s">
        <v>12998</v>
      </c>
      <c r="C2047" s="626" t="s">
        <v>8</v>
      </c>
      <c r="D2047" s="626" t="s">
        <v>11861</v>
      </c>
      <c r="E2047" s="628" t="s">
        <v>23</v>
      </c>
      <c r="F2047" s="816" t="s">
        <v>13683</v>
      </c>
      <c r="G2047" s="816"/>
      <c r="H2047" s="816">
        <v>0.12520290000000001</v>
      </c>
      <c r="I2047" s="816"/>
      <c r="J2047" s="817">
        <v>8.8900000000000007E-2</v>
      </c>
      <c r="K2047" s="817"/>
      <c r="L2047" s="817"/>
    </row>
    <row r="2048" spans="1:12" ht="17.100000000000001" customHeight="1">
      <c r="A2048" s="636"/>
      <c r="B2048" s="636"/>
      <c r="C2048" s="636"/>
      <c r="D2048" s="636"/>
      <c r="E2048" s="636"/>
      <c r="F2048" s="636"/>
      <c r="G2048" s="636"/>
      <c r="H2048" s="636"/>
      <c r="I2048" s="636"/>
      <c r="J2048" s="636" t="s">
        <v>13675</v>
      </c>
      <c r="K2048" s="636"/>
      <c r="L2048" s="636" t="s">
        <v>13815</v>
      </c>
    </row>
    <row r="2049" spans="1:12" ht="24" customHeight="1">
      <c r="A2049" s="802" t="s">
        <v>12713</v>
      </c>
      <c r="B2049" s="802"/>
      <c r="C2049" s="802"/>
      <c r="D2049" s="802"/>
      <c r="E2049" s="802"/>
      <c r="F2049" s="802"/>
      <c r="G2049" s="802"/>
      <c r="H2049" s="802"/>
      <c r="I2049" s="612"/>
      <c r="J2049" s="612"/>
      <c r="K2049" s="612"/>
      <c r="L2049" s="612"/>
    </row>
    <row r="2050" spans="1:12" ht="24" customHeight="1">
      <c r="A2050" s="612" t="s">
        <v>13679</v>
      </c>
      <c r="B2050" s="636" t="s">
        <v>12698</v>
      </c>
      <c r="C2050" s="612" t="s">
        <v>12699</v>
      </c>
      <c r="D2050" s="612" t="s">
        <v>12700</v>
      </c>
      <c r="E2050" s="637" t="s">
        <v>12702</v>
      </c>
      <c r="F2050" s="801" t="s">
        <v>12704</v>
      </c>
      <c r="G2050" s="801"/>
      <c r="H2050" s="801" t="s">
        <v>13678</v>
      </c>
      <c r="I2050" s="801"/>
      <c r="J2050" s="801" t="s">
        <v>12705</v>
      </c>
      <c r="K2050" s="801"/>
      <c r="L2050" s="801"/>
    </row>
    <row r="2051" spans="1:12" ht="17.100000000000001" customHeight="1">
      <c r="A2051" s="626" t="s">
        <v>12709</v>
      </c>
      <c r="B2051" s="627" t="s">
        <v>12999</v>
      </c>
      <c r="C2051" s="626" t="s">
        <v>8</v>
      </c>
      <c r="D2051" s="626" t="s">
        <v>11251</v>
      </c>
      <c r="E2051" s="628" t="s">
        <v>23</v>
      </c>
      <c r="F2051" s="816" t="s">
        <v>13681</v>
      </c>
      <c r="G2051" s="816"/>
      <c r="H2051" s="816">
        <v>0.12520290000000001</v>
      </c>
      <c r="I2051" s="816"/>
      <c r="J2051" s="817">
        <v>8.8000000000000005E-3</v>
      </c>
      <c r="K2051" s="817"/>
      <c r="L2051" s="817"/>
    </row>
    <row r="2052" spans="1:12" ht="17.100000000000001" customHeight="1">
      <c r="A2052" s="636"/>
      <c r="B2052" s="636"/>
      <c r="C2052" s="636"/>
      <c r="D2052" s="636"/>
      <c r="E2052" s="636"/>
      <c r="F2052" s="636"/>
      <c r="G2052" s="636"/>
      <c r="H2052" s="636"/>
      <c r="I2052" s="636"/>
      <c r="J2052" s="636" t="s">
        <v>13675</v>
      </c>
      <c r="K2052" s="636"/>
      <c r="L2052" s="636" t="s">
        <v>13728</v>
      </c>
    </row>
    <row r="2053" spans="1:12" ht="17.100000000000001" customHeight="1">
      <c r="A2053" s="802" t="s">
        <v>12712</v>
      </c>
      <c r="B2053" s="802"/>
      <c r="C2053" s="802"/>
      <c r="D2053" s="802"/>
      <c r="E2053" s="802"/>
      <c r="F2053" s="802"/>
      <c r="G2053" s="802"/>
      <c r="H2053" s="802"/>
      <c r="I2053" s="612"/>
      <c r="J2053" s="612"/>
      <c r="K2053" s="612"/>
      <c r="L2053" s="612"/>
    </row>
    <row r="2054" spans="1:12" ht="17.100000000000001" customHeight="1">
      <c r="A2054" s="612" t="s">
        <v>13679</v>
      </c>
      <c r="B2054" s="636" t="s">
        <v>12698</v>
      </c>
      <c r="C2054" s="612" t="s">
        <v>12699</v>
      </c>
      <c r="D2054" s="612" t="s">
        <v>12700</v>
      </c>
      <c r="E2054" s="637" t="s">
        <v>12702</v>
      </c>
      <c r="F2054" s="801" t="s">
        <v>12704</v>
      </c>
      <c r="G2054" s="801"/>
      <c r="H2054" s="801" t="s">
        <v>13678</v>
      </c>
      <c r="I2054" s="801"/>
      <c r="J2054" s="801" t="s">
        <v>12705</v>
      </c>
      <c r="K2054" s="801"/>
      <c r="L2054" s="801"/>
    </row>
    <row r="2055" spans="1:12" ht="17.100000000000001" customHeight="1">
      <c r="A2055" s="626" t="s">
        <v>12709</v>
      </c>
      <c r="B2055" s="627" t="s">
        <v>13002</v>
      </c>
      <c r="C2055" s="626" t="s">
        <v>8</v>
      </c>
      <c r="D2055" s="626" t="s">
        <v>9306</v>
      </c>
      <c r="E2055" s="628" t="s">
        <v>23</v>
      </c>
      <c r="F2055" s="816" t="s">
        <v>13677</v>
      </c>
      <c r="G2055" s="816"/>
      <c r="H2055" s="816">
        <v>0.12520290000000001</v>
      </c>
      <c r="I2055" s="816"/>
      <c r="J2055" s="817">
        <v>4.3799999999999999E-2</v>
      </c>
      <c r="K2055" s="817"/>
      <c r="L2055" s="817"/>
    </row>
    <row r="2056" spans="1:12" ht="17.100000000000001" customHeight="1">
      <c r="A2056" s="626" t="s">
        <v>12709</v>
      </c>
      <c r="B2056" s="627" t="s">
        <v>13004</v>
      </c>
      <c r="C2056" s="626" t="s">
        <v>8</v>
      </c>
      <c r="D2056" s="626" t="s">
        <v>7388</v>
      </c>
      <c r="E2056" s="628" t="s">
        <v>23</v>
      </c>
      <c r="F2056" s="816" t="s">
        <v>13676</v>
      </c>
      <c r="G2056" s="816"/>
      <c r="H2056" s="816">
        <v>0.12520290000000001</v>
      </c>
      <c r="I2056" s="816"/>
      <c r="J2056" s="817">
        <v>0.27539999999999998</v>
      </c>
      <c r="K2056" s="817"/>
      <c r="L2056" s="817"/>
    </row>
    <row r="2057" spans="1:12" ht="17.100000000000001" customHeight="1">
      <c r="A2057" s="636"/>
      <c r="B2057" s="636"/>
      <c r="C2057" s="636"/>
      <c r="D2057" s="636"/>
      <c r="E2057" s="636"/>
      <c r="F2057" s="636"/>
      <c r="G2057" s="636"/>
      <c r="H2057" s="636"/>
      <c r="I2057" s="636"/>
      <c r="J2057" s="636" t="s">
        <v>13675</v>
      </c>
      <c r="K2057" s="636"/>
      <c r="L2057" s="636" t="s">
        <v>14026</v>
      </c>
    </row>
    <row r="2058" spans="1:12" ht="30" customHeight="1">
      <c r="A2058" s="612" t="s">
        <v>13673</v>
      </c>
      <c r="B2058" s="612"/>
      <c r="C2058" s="612"/>
      <c r="D2058" s="612"/>
      <c r="E2058" s="612"/>
      <c r="F2058" s="612"/>
      <c r="G2058" s="612"/>
      <c r="H2058" s="612"/>
      <c r="I2058" s="612"/>
      <c r="J2058" s="612"/>
      <c r="K2058" s="612"/>
      <c r="L2058" s="612"/>
    </row>
    <row r="2059" spans="1:12" ht="48" customHeight="1">
      <c r="A2059" s="636"/>
      <c r="B2059" s="636"/>
      <c r="C2059" s="636"/>
      <c r="D2059" s="636"/>
      <c r="E2059" s="636"/>
      <c r="F2059" s="636"/>
      <c r="G2059" s="636"/>
      <c r="H2059" s="636"/>
      <c r="I2059" s="636"/>
      <c r="J2059" s="636" t="s">
        <v>13672</v>
      </c>
      <c r="K2059" s="636"/>
      <c r="L2059" s="636" t="s">
        <v>15006</v>
      </c>
    </row>
    <row r="2060" spans="1:12" ht="14.25" customHeight="1">
      <c r="A2060" s="636"/>
      <c r="B2060" s="636"/>
      <c r="C2060" s="636"/>
      <c r="D2060" s="636"/>
      <c r="E2060" s="636"/>
      <c r="F2060" s="636"/>
      <c r="G2060" s="636"/>
      <c r="H2060" s="636"/>
      <c r="I2060" s="636"/>
      <c r="J2060" s="636" t="s">
        <v>13671</v>
      </c>
      <c r="K2060" s="636" t="s">
        <v>14461</v>
      </c>
      <c r="L2060" s="636" t="s">
        <v>15007</v>
      </c>
    </row>
    <row r="2061" spans="1:12" ht="17.100000000000001" customHeight="1">
      <c r="A2061" s="636"/>
      <c r="B2061" s="636"/>
      <c r="C2061" s="636"/>
      <c r="D2061" s="636"/>
      <c r="E2061" s="636"/>
      <c r="F2061" s="636"/>
      <c r="G2061" s="636"/>
      <c r="H2061" s="636"/>
      <c r="I2061" s="636"/>
      <c r="J2061" s="636" t="s">
        <v>13670</v>
      </c>
      <c r="K2061" s="636"/>
      <c r="L2061" s="636" t="s">
        <v>15008</v>
      </c>
    </row>
    <row r="2062" spans="1:12" ht="24" customHeight="1">
      <c r="A2062" s="636"/>
      <c r="B2062" s="636"/>
      <c r="C2062" s="636"/>
      <c r="D2062" s="636"/>
      <c r="E2062" s="636"/>
      <c r="F2062" s="636"/>
      <c r="G2062" s="636"/>
      <c r="H2062" s="636"/>
      <c r="I2062" s="636"/>
      <c r="J2062" s="636" t="s">
        <v>13669</v>
      </c>
      <c r="K2062" s="636" t="s">
        <v>13667</v>
      </c>
      <c r="L2062" s="636" t="s">
        <v>15009</v>
      </c>
    </row>
    <row r="2063" spans="1:12" ht="24" customHeight="1">
      <c r="A2063" s="636"/>
      <c r="B2063" s="636"/>
      <c r="C2063" s="636"/>
      <c r="D2063" s="636"/>
      <c r="E2063" s="636"/>
      <c r="F2063" s="636"/>
      <c r="G2063" s="636"/>
      <c r="H2063" s="636"/>
      <c r="I2063" s="636"/>
      <c r="J2063" s="636" t="s">
        <v>13668</v>
      </c>
      <c r="K2063" s="636"/>
      <c r="L2063" s="636" t="s">
        <v>15010</v>
      </c>
    </row>
    <row r="2064" spans="1:12" ht="24" customHeight="1">
      <c r="A2064" s="637"/>
      <c r="B2064" s="637"/>
      <c r="C2064" s="637"/>
      <c r="D2064" s="637"/>
      <c r="E2064" s="637"/>
      <c r="F2064" s="637"/>
      <c r="G2064" s="637"/>
      <c r="H2064" s="637"/>
      <c r="I2064" s="637"/>
      <c r="J2064" s="637"/>
      <c r="K2064" s="637"/>
      <c r="L2064" s="637"/>
    </row>
    <row r="2065" spans="1:12" ht="24" customHeight="1">
      <c r="A2065" s="616" t="s">
        <v>14213</v>
      </c>
      <c r="B2065" s="617" t="s">
        <v>13629</v>
      </c>
      <c r="C2065" s="616" t="s">
        <v>8</v>
      </c>
      <c r="D2065" s="616" t="s">
        <v>2965</v>
      </c>
      <c r="E2065" s="618" t="s">
        <v>20</v>
      </c>
      <c r="F2065" s="617"/>
      <c r="G2065" s="617"/>
      <c r="H2065" s="617"/>
      <c r="I2065" s="617"/>
      <c r="J2065" s="617"/>
      <c r="K2065" s="617"/>
      <c r="L2065" s="617"/>
    </row>
    <row r="2066" spans="1:12" ht="17.100000000000001" customHeight="1">
      <c r="A2066" s="802" t="s">
        <v>12711</v>
      </c>
      <c r="B2066" s="802"/>
      <c r="C2066" s="802"/>
      <c r="D2066" s="802"/>
      <c r="E2066" s="802"/>
      <c r="F2066" s="802"/>
      <c r="G2066" s="802"/>
      <c r="H2066" s="802"/>
      <c r="I2066" s="612"/>
      <c r="J2066" s="612"/>
      <c r="K2066" s="612"/>
      <c r="L2066" s="612"/>
    </row>
    <row r="2067" spans="1:12" ht="14.25" customHeight="1">
      <c r="A2067" s="612" t="s">
        <v>13679</v>
      </c>
      <c r="B2067" s="636" t="s">
        <v>12698</v>
      </c>
      <c r="C2067" s="612" t="s">
        <v>12699</v>
      </c>
      <c r="D2067" s="612" t="s">
        <v>12700</v>
      </c>
      <c r="E2067" s="637" t="s">
        <v>12702</v>
      </c>
      <c r="F2067" s="801" t="s">
        <v>12704</v>
      </c>
      <c r="G2067" s="801"/>
      <c r="H2067" s="801" t="s">
        <v>13678</v>
      </c>
      <c r="I2067" s="801"/>
      <c r="J2067" s="801" t="s">
        <v>12705</v>
      </c>
      <c r="K2067" s="801"/>
      <c r="L2067" s="801"/>
    </row>
    <row r="2068" spans="1:12" ht="17.100000000000001" customHeight="1">
      <c r="A2068" s="626" t="s">
        <v>12709</v>
      </c>
      <c r="B2068" s="627" t="s">
        <v>13052</v>
      </c>
      <c r="C2068" s="626" t="s">
        <v>8</v>
      </c>
      <c r="D2068" s="626" t="s">
        <v>9229</v>
      </c>
      <c r="E2068" s="628" t="s">
        <v>23</v>
      </c>
      <c r="F2068" s="816" t="s">
        <v>13692</v>
      </c>
      <c r="G2068" s="816"/>
      <c r="H2068" s="816">
        <v>8.8808700000000004E-2</v>
      </c>
      <c r="I2068" s="816"/>
      <c r="J2068" s="817">
        <v>8.5300000000000001E-2</v>
      </c>
      <c r="K2068" s="817"/>
      <c r="L2068" s="817"/>
    </row>
    <row r="2069" spans="1:12" ht="24" customHeight="1">
      <c r="A2069" s="626" t="s">
        <v>12709</v>
      </c>
      <c r="B2069" s="627" t="s">
        <v>13051</v>
      </c>
      <c r="C2069" s="626" t="s">
        <v>8</v>
      </c>
      <c r="D2069" s="626" t="s">
        <v>9376</v>
      </c>
      <c r="E2069" s="628" t="s">
        <v>23</v>
      </c>
      <c r="F2069" s="816" t="s">
        <v>13691</v>
      </c>
      <c r="G2069" s="816"/>
      <c r="H2069" s="816">
        <v>8.8808700000000004E-2</v>
      </c>
      <c r="I2069" s="816"/>
      <c r="J2069" s="817">
        <v>4.4400000000000002E-2</v>
      </c>
      <c r="K2069" s="817"/>
      <c r="L2069" s="817"/>
    </row>
    <row r="2070" spans="1:12" ht="24" customHeight="1">
      <c r="A2070" s="636"/>
      <c r="B2070" s="636"/>
      <c r="C2070" s="636"/>
      <c r="D2070" s="636"/>
      <c r="E2070" s="636"/>
      <c r="F2070" s="636"/>
      <c r="G2070" s="636"/>
      <c r="H2070" s="636"/>
      <c r="I2070" s="636"/>
      <c r="J2070" s="636" t="s">
        <v>13675</v>
      </c>
      <c r="K2070" s="636"/>
      <c r="L2070" s="636" t="s">
        <v>13875</v>
      </c>
    </row>
    <row r="2071" spans="1:12" ht="24" customHeight="1">
      <c r="A2071" s="802" t="s">
        <v>12710</v>
      </c>
      <c r="B2071" s="802"/>
      <c r="C2071" s="802"/>
      <c r="D2071" s="802"/>
      <c r="E2071" s="802"/>
      <c r="F2071" s="802"/>
      <c r="G2071" s="802"/>
      <c r="H2071" s="802"/>
      <c r="I2071" s="612"/>
      <c r="J2071" s="612"/>
      <c r="K2071" s="612"/>
      <c r="L2071" s="612"/>
    </row>
    <row r="2072" spans="1:12" ht="17.100000000000001" customHeight="1">
      <c r="A2072" s="612" t="s">
        <v>13679</v>
      </c>
      <c r="B2072" s="636" t="s">
        <v>12698</v>
      </c>
      <c r="C2072" s="612" t="s">
        <v>12699</v>
      </c>
      <c r="D2072" s="612" t="s">
        <v>12700</v>
      </c>
      <c r="E2072" s="637" t="s">
        <v>12702</v>
      </c>
      <c r="F2072" s="801" t="s">
        <v>12704</v>
      </c>
      <c r="G2072" s="801"/>
      <c r="H2072" s="801" t="s">
        <v>13678</v>
      </c>
      <c r="I2072" s="801"/>
      <c r="J2072" s="801" t="s">
        <v>12705</v>
      </c>
      <c r="K2072" s="801"/>
      <c r="L2072" s="801"/>
    </row>
    <row r="2073" spans="1:12" ht="25.5">
      <c r="A2073" s="626" t="s">
        <v>12709</v>
      </c>
      <c r="B2073" s="627" t="s">
        <v>13230</v>
      </c>
      <c r="C2073" s="626" t="s">
        <v>8</v>
      </c>
      <c r="D2073" s="626" t="s">
        <v>7362</v>
      </c>
      <c r="E2073" s="628" t="s">
        <v>23</v>
      </c>
      <c r="F2073" s="816" t="s">
        <v>14514</v>
      </c>
      <c r="G2073" s="816"/>
      <c r="H2073" s="816">
        <v>1.22638E-2</v>
      </c>
      <c r="I2073" s="816"/>
      <c r="J2073" s="817">
        <v>5.8999999999999997E-2</v>
      </c>
      <c r="K2073" s="817"/>
      <c r="L2073" s="817"/>
    </row>
    <row r="2074" spans="1:12" ht="17.100000000000001" customHeight="1">
      <c r="A2074" s="626" t="s">
        <v>12709</v>
      </c>
      <c r="B2074" s="627" t="s">
        <v>13224</v>
      </c>
      <c r="C2074" s="626" t="s">
        <v>8</v>
      </c>
      <c r="D2074" s="626" t="s">
        <v>7556</v>
      </c>
      <c r="E2074" s="628" t="s">
        <v>23</v>
      </c>
      <c r="F2074" s="816" t="s">
        <v>14470</v>
      </c>
      <c r="G2074" s="816"/>
      <c r="H2074" s="816">
        <v>7.5956300000000004E-2</v>
      </c>
      <c r="I2074" s="816"/>
      <c r="J2074" s="817">
        <v>0.52490000000000003</v>
      </c>
      <c r="K2074" s="817"/>
      <c r="L2074" s="817"/>
    </row>
    <row r="2075" spans="1:12" ht="24" customHeight="1">
      <c r="A2075" s="636"/>
      <c r="B2075" s="636"/>
      <c r="C2075" s="636"/>
      <c r="D2075" s="636"/>
      <c r="E2075" s="636"/>
      <c r="F2075" s="636"/>
      <c r="G2075" s="636"/>
      <c r="H2075" s="636"/>
      <c r="I2075" s="636"/>
      <c r="J2075" s="636" t="s">
        <v>13675</v>
      </c>
      <c r="K2075" s="636"/>
      <c r="L2075" s="636" t="s">
        <v>13861</v>
      </c>
    </row>
    <row r="2076" spans="1:12" ht="24" customHeight="1">
      <c r="A2076" s="802" t="s">
        <v>12720</v>
      </c>
      <c r="B2076" s="802"/>
      <c r="C2076" s="802"/>
      <c r="D2076" s="802"/>
      <c r="E2076" s="802"/>
      <c r="F2076" s="802"/>
      <c r="G2076" s="802"/>
      <c r="H2076" s="802"/>
      <c r="I2076" s="612"/>
      <c r="J2076" s="612"/>
      <c r="K2076" s="612"/>
      <c r="L2076" s="612"/>
    </row>
    <row r="2077" spans="1:12" ht="24" customHeight="1">
      <c r="A2077" s="612" t="s">
        <v>13679</v>
      </c>
      <c r="B2077" s="636" t="s">
        <v>12698</v>
      </c>
      <c r="C2077" s="612" t="s">
        <v>12699</v>
      </c>
      <c r="D2077" s="612" t="s">
        <v>12700</v>
      </c>
      <c r="E2077" s="637" t="s">
        <v>12702</v>
      </c>
      <c r="F2077" s="801" t="s">
        <v>12704</v>
      </c>
      <c r="G2077" s="801"/>
      <c r="H2077" s="801" t="s">
        <v>13678</v>
      </c>
      <c r="I2077" s="801"/>
      <c r="J2077" s="801" t="s">
        <v>12705</v>
      </c>
      <c r="K2077" s="801"/>
      <c r="L2077" s="801"/>
    </row>
    <row r="2078" spans="1:12" ht="24" customHeight="1">
      <c r="A2078" s="626" t="s">
        <v>12709</v>
      </c>
      <c r="B2078" s="627" t="s">
        <v>13311</v>
      </c>
      <c r="C2078" s="626" t="s">
        <v>8</v>
      </c>
      <c r="D2078" s="626" t="s">
        <v>7522</v>
      </c>
      <c r="E2078" s="628" t="s">
        <v>20</v>
      </c>
      <c r="F2078" s="816" t="s">
        <v>14521</v>
      </c>
      <c r="G2078" s="816"/>
      <c r="H2078" s="816">
        <v>2.5000000000000001E-2</v>
      </c>
      <c r="I2078" s="816"/>
      <c r="J2078" s="817">
        <v>0.34</v>
      </c>
      <c r="K2078" s="817"/>
      <c r="L2078" s="817"/>
    </row>
    <row r="2079" spans="1:12" ht="24" customHeight="1">
      <c r="A2079" s="626" t="s">
        <v>12709</v>
      </c>
      <c r="B2079" s="627" t="s">
        <v>13310</v>
      </c>
      <c r="C2079" s="626" t="s">
        <v>8</v>
      </c>
      <c r="D2079" s="626" t="s">
        <v>9265</v>
      </c>
      <c r="E2079" s="628" t="s">
        <v>35</v>
      </c>
      <c r="F2079" s="816" t="s">
        <v>13875</v>
      </c>
      <c r="G2079" s="816"/>
      <c r="H2079" s="816">
        <v>0.36699999999999999</v>
      </c>
      <c r="I2079" s="816"/>
      <c r="J2079" s="817">
        <v>0.04</v>
      </c>
      <c r="K2079" s="817"/>
      <c r="L2079" s="817"/>
    </row>
    <row r="2080" spans="1:12" ht="36" customHeight="1">
      <c r="A2080" s="626" t="s">
        <v>12709</v>
      </c>
      <c r="B2080" s="627" t="s">
        <v>13244</v>
      </c>
      <c r="C2080" s="626" t="s">
        <v>8</v>
      </c>
      <c r="D2080" s="626" t="s">
        <v>7261</v>
      </c>
      <c r="E2080" s="628" t="s">
        <v>20</v>
      </c>
      <c r="F2080" s="816" t="s">
        <v>14776</v>
      </c>
      <c r="G2080" s="816"/>
      <c r="H2080" s="816">
        <v>1.1051308</v>
      </c>
      <c r="I2080" s="816"/>
      <c r="J2080" s="817">
        <v>4.9288999999999996</v>
      </c>
      <c r="K2080" s="817"/>
      <c r="L2080" s="817"/>
    </row>
    <row r="2081" spans="1:12" ht="24" customHeight="1">
      <c r="A2081" s="636"/>
      <c r="B2081" s="636"/>
      <c r="C2081" s="636"/>
      <c r="D2081" s="636"/>
      <c r="E2081" s="636"/>
      <c r="F2081" s="636"/>
      <c r="G2081" s="636"/>
      <c r="H2081" s="636"/>
      <c r="I2081" s="636"/>
      <c r="J2081" s="636" t="s">
        <v>13675</v>
      </c>
      <c r="K2081" s="636"/>
      <c r="L2081" s="636" t="s">
        <v>14738</v>
      </c>
    </row>
    <row r="2082" spans="1:12" ht="17.100000000000001" customHeight="1">
      <c r="A2082" s="802" t="s">
        <v>12722</v>
      </c>
      <c r="B2082" s="802"/>
      <c r="C2082" s="802"/>
      <c r="D2082" s="802"/>
      <c r="E2082" s="802"/>
      <c r="F2082" s="802"/>
      <c r="G2082" s="802"/>
      <c r="H2082" s="802"/>
      <c r="I2082" s="612"/>
      <c r="J2082" s="612"/>
      <c r="K2082" s="612"/>
      <c r="L2082" s="612"/>
    </row>
    <row r="2083" spans="1:12">
      <c r="A2083" s="612" t="s">
        <v>13679</v>
      </c>
      <c r="B2083" s="636" t="s">
        <v>12698</v>
      </c>
      <c r="C2083" s="612" t="s">
        <v>12699</v>
      </c>
      <c r="D2083" s="612" t="s">
        <v>12700</v>
      </c>
      <c r="E2083" s="637" t="s">
        <v>12702</v>
      </c>
      <c r="F2083" s="801" t="s">
        <v>12704</v>
      </c>
      <c r="G2083" s="801"/>
      <c r="H2083" s="801" t="s">
        <v>13678</v>
      </c>
      <c r="I2083" s="801"/>
      <c r="J2083" s="801" t="s">
        <v>12705</v>
      </c>
      <c r="K2083" s="801"/>
      <c r="L2083" s="801"/>
    </row>
    <row r="2084" spans="1:12" ht="17.100000000000001" customHeight="1">
      <c r="A2084" s="626" t="s">
        <v>12709</v>
      </c>
      <c r="B2084" s="627" t="s">
        <v>12998</v>
      </c>
      <c r="C2084" s="626" t="s">
        <v>8</v>
      </c>
      <c r="D2084" s="626" t="s">
        <v>11861</v>
      </c>
      <c r="E2084" s="628" t="s">
        <v>23</v>
      </c>
      <c r="F2084" s="816" t="s">
        <v>13683</v>
      </c>
      <c r="G2084" s="816"/>
      <c r="H2084" s="816">
        <v>8.8808700000000004E-2</v>
      </c>
      <c r="I2084" s="816"/>
      <c r="J2084" s="817">
        <v>6.3100000000000003E-2</v>
      </c>
      <c r="K2084" s="817"/>
      <c r="L2084" s="817"/>
    </row>
    <row r="2085" spans="1:12" ht="24" customHeight="1">
      <c r="A2085" s="636"/>
      <c r="B2085" s="636"/>
      <c r="C2085" s="636"/>
      <c r="D2085" s="636"/>
      <c r="E2085" s="636"/>
      <c r="F2085" s="636"/>
      <c r="G2085" s="636"/>
      <c r="H2085" s="636"/>
      <c r="I2085" s="636"/>
      <c r="J2085" s="636" t="s">
        <v>13675</v>
      </c>
      <c r="K2085" s="636"/>
      <c r="L2085" s="636" t="s">
        <v>13708</v>
      </c>
    </row>
    <row r="2086" spans="1:12" ht="17.100000000000001" customHeight="1">
      <c r="A2086" s="802" t="s">
        <v>12713</v>
      </c>
      <c r="B2086" s="802"/>
      <c r="C2086" s="802"/>
      <c r="D2086" s="802"/>
      <c r="E2086" s="802"/>
      <c r="F2086" s="802"/>
      <c r="G2086" s="802"/>
      <c r="H2086" s="802"/>
      <c r="I2086" s="612"/>
      <c r="J2086" s="612"/>
      <c r="K2086" s="612"/>
      <c r="L2086" s="612"/>
    </row>
    <row r="2087" spans="1:12">
      <c r="A2087" s="612" t="s">
        <v>13679</v>
      </c>
      <c r="B2087" s="636" t="s">
        <v>12698</v>
      </c>
      <c r="C2087" s="612" t="s">
        <v>12699</v>
      </c>
      <c r="D2087" s="612" t="s">
        <v>12700</v>
      </c>
      <c r="E2087" s="637" t="s">
        <v>12702</v>
      </c>
      <c r="F2087" s="801" t="s">
        <v>12704</v>
      </c>
      <c r="G2087" s="801"/>
      <c r="H2087" s="801" t="s">
        <v>13678</v>
      </c>
      <c r="I2087" s="801"/>
      <c r="J2087" s="801" t="s">
        <v>12705</v>
      </c>
      <c r="K2087" s="801"/>
      <c r="L2087" s="801"/>
    </row>
    <row r="2088" spans="1:12" ht="17.100000000000001" customHeight="1">
      <c r="A2088" s="626" t="s">
        <v>12709</v>
      </c>
      <c r="B2088" s="627" t="s">
        <v>12999</v>
      </c>
      <c r="C2088" s="626" t="s">
        <v>8</v>
      </c>
      <c r="D2088" s="626" t="s">
        <v>11251</v>
      </c>
      <c r="E2088" s="628" t="s">
        <v>23</v>
      </c>
      <c r="F2088" s="816" t="s">
        <v>13681</v>
      </c>
      <c r="G2088" s="816"/>
      <c r="H2088" s="816">
        <v>8.8808700000000004E-2</v>
      </c>
      <c r="I2088" s="816"/>
      <c r="J2088" s="817">
        <v>6.1999999999999998E-3</v>
      </c>
      <c r="K2088" s="817"/>
      <c r="L2088" s="817"/>
    </row>
    <row r="2089" spans="1:12" ht="24" customHeight="1">
      <c r="A2089" s="636"/>
      <c r="B2089" s="636"/>
      <c r="C2089" s="636"/>
      <c r="D2089" s="636"/>
      <c r="E2089" s="636"/>
      <c r="F2089" s="636"/>
      <c r="G2089" s="636"/>
      <c r="H2089" s="636"/>
      <c r="I2089" s="636"/>
      <c r="J2089" s="636" t="s">
        <v>13675</v>
      </c>
      <c r="K2089" s="636"/>
      <c r="L2089" s="636" t="s">
        <v>13728</v>
      </c>
    </row>
    <row r="2090" spans="1:12" ht="17.100000000000001" customHeight="1">
      <c r="A2090" s="802" t="s">
        <v>12712</v>
      </c>
      <c r="B2090" s="802"/>
      <c r="C2090" s="802"/>
      <c r="D2090" s="802"/>
      <c r="E2090" s="802"/>
      <c r="F2090" s="802"/>
      <c r="G2090" s="802"/>
      <c r="H2090" s="802"/>
      <c r="I2090" s="612"/>
      <c r="J2090" s="612"/>
      <c r="K2090" s="612"/>
      <c r="L2090" s="612"/>
    </row>
    <row r="2091" spans="1:12">
      <c r="A2091" s="612" t="s">
        <v>13679</v>
      </c>
      <c r="B2091" s="636" t="s">
        <v>12698</v>
      </c>
      <c r="C2091" s="612" t="s">
        <v>12699</v>
      </c>
      <c r="D2091" s="612" t="s">
        <v>12700</v>
      </c>
      <c r="E2091" s="637" t="s">
        <v>12702</v>
      </c>
      <c r="F2091" s="801" t="s">
        <v>12704</v>
      </c>
      <c r="G2091" s="801"/>
      <c r="H2091" s="801" t="s">
        <v>13678</v>
      </c>
      <c r="I2091" s="801"/>
      <c r="J2091" s="801" t="s">
        <v>12705</v>
      </c>
      <c r="K2091" s="801"/>
      <c r="L2091" s="801"/>
    </row>
    <row r="2092" spans="1:12" ht="17.100000000000001" customHeight="1">
      <c r="A2092" s="626" t="s">
        <v>12709</v>
      </c>
      <c r="B2092" s="627" t="s">
        <v>13002</v>
      </c>
      <c r="C2092" s="626" t="s">
        <v>8</v>
      </c>
      <c r="D2092" s="626" t="s">
        <v>9306</v>
      </c>
      <c r="E2092" s="628" t="s">
        <v>23</v>
      </c>
      <c r="F2092" s="816" t="s">
        <v>13677</v>
      </c>
      <c r="G2092" s="816"/>
      <c r="H2092" s="816">
        <v>8.8808700000000004E-2</v>
      </c>
      <c r="I2092" s="816"/>
      <c r="J2092" s="817">
        <v>3.1099999999999999E-2</v>
      </c>
      <c r="K2092" s="817"/>
      <c r="L2092" s="817"/>
    </row>
    <row r="2093" spans="1:12" ht="24" customHeight="1">
      <c r="A2093" s="626" t="s">
        <v>12709</v>
      </c>
      <c r="B2093" s="627" t="s">
        <v>13004</v>
      </c>
      <c r="C2093" s="626" t="s">
        <v>8</v>
      </c>
      <c r="D2093" s="626" t="s">
        <v>7388</v>
      </c>
      <c r="E2093" s="628" t="s">
        <v>23</v>
      </c>
      <c r="F2093" s="816" t="s">
        <v>13676</v>
      </c>
      <c r="G2093" s="816"/>
      <c r="H2093" s="816">
        <v>8.8808700000000004E-2</v>
      </c>
      <c r="I2093" s="816"/>
      <c r="J2093" s="817">
        <v>0.19539999999999999</v>
      </c>
      <c r="K2093" s="817"/>
      <c r="L2093" s="817"/>
    </row>
    <row r="2094" spans="1:12" ht="24" customHeight="1">
      <c r="A2094" s="636"/>
      <c r="B2094" s="636"/>
      <c r="C2094" s="636"/>
      <c r="D2094" s="636"/>
      <c r="E2094" s="636"/>
      <c r="F2094" s="636"/>
      <c r="G2094" s="636"/>
      <c r="H2094" s="636"/>
      <c r="I2094" s="636"/>
      <c r="J2094" s="636" t="s">
        <v>13675</v>
      </c>
      <c r="K2094" s="636"/>
      <c r="L2094" s="636" t="s">
        <v>13788</v>
      </c>
    </row>
    <row r="2095" spans="1:12" ht="17.100000000000001" customHeight="1">
      <c r="A2095" s="612" t="s">
        <v>13673</v>
      </c>
      <c r="B2095" s="612"/>
      <c r="C2095" s="612"/>
      <c r="D2095" s="612"/>
      <c r="E2095" s="612"/>
      <c r="F2095" s="612"/>
      <c r="G2095" s="612"/>
      <c r="H2095" s="612"/>
      <c r="I2095" s="612"/>
      <c r="J2095" s="612"/>
      <c r="K2095" s="612"/>
      <c r="L2095" s="612"/>
    </row>
    <row r="2096" spans="1:12" ht="17.100000000000001" customHeight="1">
      <c r="A2096" s="636"/>
      <c r="B2096" s="636"/>
      <c r="C2096" s="636"/>
      <c r="D2096" s="636"/>
      <c r="E2096" s="636"/>
      <c r="F2096" s="636"/>
      <c r="G2096" s="636"/>
      <c r="H2096" s="636"/>
      <c r="I2096" s="636"/>
      <c r="J2096" s="636" t="s">
        <v>13672</v>
      </c>
      <c r="K2096" s="636"/>
      <c r="L2096" s="636" t="s">
        <v>15011</v>
      </c>
    </row>
    <row r="2097" spans="1:12" ht="17.100000000000001" customHeight="1">
      <c r="A2097" s="636"/>
      <c r="B2097" s="636"/>
      <c r="C2097" s="636"/>
      <c r="D2097" s="636"/>
      <c r="E2097" s="636"/>
      <c r="F2097" s="636"/>
      <c r="G2097" s="636"/>
      <c r="H2097" s="636"/>
      <c r="I2097" s="636"/>
      <c r="J2097" s="636" t="s">
        <v>13671</v>
      </c>
      <c r="K2097" s="636" t="s">
        <v>14461</v>
      </c>
      <c r="L2097" s="636" t="s">
        <v>15012</v>
      </c>
    </row>
    <row r="2098" spans="1:12" ht="17.100000000000001" customHeight="1">
      <c r="A2098" s="636"/>
      <c r="B2098" s="636"/>
      <c r="C2098" s="636"/>
      <c r="D2098" s="636"/>
      <c r="E2098" s="636"/>
      <c r="F2098" s="636"/>
      <c r="G2098" s="636"/>
      <c r="H2098" s="636"/>
      <c r="I2098" s="636"/>
      <c r="J2098" s="636" t="s">
        <v>13670</v>
      </c>
      <c r="K2098" s="636"/>
      <c r="L2098" s="636" t="s">
        <v>15013</v>
      </c>
    </row>
    <row r="2099" spans="1:12" ht="17.100000000000001" customHeight="1">
      <c r="A2099" s="636"/>
      <c r="B2099" s="636"/>
      <c r="C2099" s="636"/>
      <c r="D2099" s="636"/>
      <c r="E2099" s="636"/>
      <c r="F2099" s="636"/>
      <c r="G2099" s="636"/>
      <c r="H2099" s="636"/>
      <c r="I2099" s="636"/>
      <c r="J2099" s="636" t="s">
        <v>13669</v>
      </c>
      <c r="K2099" s="636" t="s">
        <v>13667</v>
      </c>
      <c r="L2099" s="636" t="s">
        <v>15014</v>
      </c>
    </row>
    <row r="2100" spans="1:12" ht="17.100000000000001" customHeight="1">
      <c r="A2100" s="636"/>
      <c r="B2100" s="636"/>
      <c r="C2100" s="636"/>
      <c r="D2100" s="636"/>
      <c r="E2100" s="636"/>
      <c r="F2100" s="636"/>
      <c r="G2100" s="636"/>
      <c r="H2100" s="636"/>
      <c r="I2100" s="636"/>
      <c r="J2100" s="636" t="s">
        <v>13668</v>
      </c>
      <c r="K2100" s="636"/>
      <c r="L2100" s="636" t="s">
        <v>15015</v>
      </c>
    </row>
    <row r="2101" spans="1:12" ht="17.100000000000001" customHeight="1">
      <c r="A2101" s="637"/>
      <c r="B2101" s="637"/>
      <c r="C2101" s="637"/>
      <c r="D2101" s="637"/>
      <c r="E2101" s="637"/>
      <c r="F2101" s="637"/>
      <c r="G2101" s="637"/>
      <c r="H2101" s="637"/>
      <c r="I2101" s="637"/>
      <c r="J2101" s="637"/>
      <c r="K2101" s="637"/>
      <c r="L2101" s="637"/>
    </row>
    <row r="2102" spans="1:12" ht="30" customHeight="1">
      <c r="A2102" s="616" t="s">
        <v>14212</v>
      </c>
      <c r="B2102" s="617" t="s">
        <v>13616</v>
      </c>
      <c r="C2102" s="616" t="s">
        <v>8</v>
      </c>
      <c r="D2102" s="616" t="s">
        <v>2707</v>
      </c>
      <c r="E2102" s="618" t="s">
        <v>12725</v>
      </c>
      <c r="F2102" s="617"/>
      <c r="G2102" s="617"/>
      <c r="H2102" s="617"/>
      <c r="I2102" s="617"/>
      <c r="J2102" s="617"/>
      <c r="K2102" s="617"/>
      <c r="L2102" s="617"/>
    </row>
    <row r="2103" spans="1:12" ht="36" customHeight="1">
      <c r="A2103" s="802" t="s">
        <v>12711</v>
      </c>
      <c r="B2103" s="802"/>
      <c r="C2103" s="802"/>
      <c r="D2103" s="802"/>
      <c r="E2103" s="802"/>
      <c r="F2103" s="802"/>
      <c r="G2103" s="802"/>
      <c r="H2103" s="802"/>
      <c r="I2103" s="612"/>
      <c r="J2103" s="612"/>
      <c r="K2103" s="612"/>
      <c r="L2103" s="612"/>
    </row>
    <row r="2104" spans="1:12" ht="14.25" customHeight="1">
      <c r="A2104" s="612" t="s">
        <v>13679</v>
      </c>
      <c r="B2104" s="636" t="s">
        <v>12698</v>
      </c>
      <c r="C2104" s="612" t="s">
        <v>12699</v>
      </c>
      <c r="D2104" s="612" t="s">
        <v>12700</v>
      </c>
      <c r="E2104" s="637" t="s">
        <v>12702</v>
      </c>
      <c r="F2104" s="801" t="s">
        <v>12704</v>
      </c>
      <c r="G2104" s="801"/>
      <c r="H2104" s="801" t="s">
        <v>13678</v>
      </c>
      <c r="I2104" s="801"/>
      <c r="J2104" s="801" t="s">
        <v>12705</v>
      </c>
      <c r="K2104" s="801"/>
      <c r="L2104" s="801"/>
    </row>
    <row r="2105" spans="1:12" ht="17.100000000000001" customHeight="1">
      <c r="A2105" s="626" t="s">
        <v>12709</v>
      </c>
      <c r="B2105" s="627" t="s">
        <v>13003</v>
      </c>
      <c r="C2105" s="626" t="s">
        <v>8</v>
      </c>
      <c r="D2105" s="626" t="s">
        <v>9227</v>
      </c>
      <c r="E2105" s="628" t="s">
        <v>23</v>
      </c>
      <c r="F2105" s="816" t="s">
        <v>13732</v>
      </c>
      <c r="G2105" s="816"/>
      <c r="H2105" s="816">
        <v>3.7114899999999999E-2</v>
      </c>
      <c r="I2105" s="816"/>
      <c r="J2105" s="817">
        <v>2.4500000000000001E-2</v>
      </c>
      <c r="K2105" s="817"/>
      <c r="L2105" s="817"/>
    </row>
    <row r="2106" spans="1:12" ht="36" customHeight="1">
      <c r="A2106" s="626" t="s">
        <v>12709</v>
      </c>
      <c r="B2106" s="627" t="s">
        <v>13001</v>
      </c>
      <c r="C2106" s="626" t="s">
        <v>8</v>
      </c>
      <c r="D2106" s="626" t="s">
        <v>9374</v>
      </c>
      <c r="E2106" s="628" t="s">
        <v>23</v>
      </c>
      <c r="F2106" s="816" t="s">
        <v>13728</v>
      </c>
      <c r="G2106" s="816"/>
      <c r="H2106" s="816">
        <v>3.7114899999999999E-2</v>
      </c>
      <c r="I2106" s="816"/>
      <c r="J2106" s="817">
        <v>4.0000000000000002E-4</v>
      </c>
      <c r="K2106" s="817"/>
      <c r="L2106" s="817"/>
    </row>
    <row r="2107" spans="1:12" ht="24" customHeight="1">
      <c r="A2107" s="626" t="s">
        <v>12709</v>
      </c>
      <c r="B2107" s="627" t="s">
        <v>13032</v>
      </c>
      <c r="C2107" s="626" t="s">
        <v>8</v>
      </c>
      <c r="D2107" s="626" t="s">
        <v>9217</v>
      </c>
      <c r="E2107" s="628" t="s">
        <v>23</v>
      </c>
      <c r="F2107" s="816" t="s">
        <v>13741</v>
      </c>
      <c r="G2107" s="816"/>
      <c r="H2107" s="816">
        <v>2.9719389999999999</v>
      </c>
      <c r="I2107" s="816"/>
      <c r="J2107" s="817">
        <v>3.2097000000000002</v>
      </c>
      <c r="K2107" s="817"/>
      <c r="L2107" s="817"/>
    </row>
    <row r="2108" spans="1:12" ht="24" customHeight="1">
      <c r="A2108" s="626" t="s">
        <v>12709</v>
      </c>
      <c r="B2108" s="627" t="s">
        <v>13031</v>
      </c>
      <c r="C2108" s="626" t="s">
        <v>8</v>
      </c>
      <c r="D2108" s="626" t="s">
        <v>9364</v>
      </c>
      <c r="E2108" s="628" t="s">
        <v>23</v>
      </c>
      <c r="F2108" s="816" t="s">
        <v>13740</v>
      </c>
      <c r="G2108" s="816"/>
      <c r="H2108" s="816">
        <v>2.9719389999999999</v>
      </c>
      <c r="I2108" s="816"/>
      <c r="J2108" s="817">
        <v>1.0105</v>
      </c>
      <c r="K2108" s="817"/>
      <c r="L2108" s="817"/>
    </row>
    <row r="2109" spans="1:12" ht="24" customHeight="1">
      <c r="A2109" s="636"/>
      <c r="B2109" s="636"/>
      <c r="C2109" s="636"/>
      <c r="D2109" s="636"/>
      <c r="E2109" s="636"/>
      <c r="F2109" s="636"/>
      <c r="G2109" s="636"/>
      <c r="H2109" s="636"/>
      <c r="I2109" s="636"/>
      <c r="J2109" s="636" t="s">
        <v>13675</v>
      </c>
      <c r="K2109" s="636"/>
      <c r="L2109" s="636" t="s">
        <v>14143</v>
      </c>
    </row>
    <row r="2110" spans="1:12" ht="24" customHeight="1">
      <c r="A2110" s="802" t="s">
        <v>12710</v>
      </c>
      <c r="B2110" s="802"/>
      <c r="C2110" s="802"/>
      <c r="D2110" s="802"/>
      <c r="E2110" s="802"/>
      <c r="F2110" s="802"/>
      <c r="G2110" s="802"/>
      <c r="H2110" s="802"/>
      <c r="I2110" s="612"/>
      <c r="J2110" s="612"/>
      <c r="K2110" s="612"/>
      <c r="L2110" s="612"/>
    </row>
    <row r="2111" spans="1:12" ht="17.100000000000001" customHeight="1">
      <c r="A2111" s="612" t="s">
        <v>13679</v>
      </c>
      <c r="B2111" s="636" t="s">
        <v>12698</v>
      </c>
      <c r="C2111" s="612" t="s">
        <v>12699</v>
      </c>
      <c r="D2111" s="612" t="s">
        <v>12700</v>
      </c>
      <c r="E2111" s="637" t="s">
        <v>12702</v>
      </c>
      <c r="F2111" s="801" t="s">
        <v>12704</v>
      </c>
      <c r="G2111" s="801"/>
      <c r="H2111" s="801" t="s">
        <v>13678</v>
      </c>
      <c r="I2111" s="801"/>
      <c r="J2111" s="801" t="s">
        <v>12705</v>
      </c>
      <c r="K2111" s="801"/>
      <c r="L2111" s="801"/>
    </row>
    <row r="2112" spans="1:12" ht="14.25" customHeight="1">
      <c r="A2112" s="626" t="s">
        <v>12709</v>
      </c>
      <c r="B2112" s="627" t="s">
        <v>13103</v>
      </c>
      <c r="C2112" s="626" t="s">
        <v>8</v>
      </c>
      <c r="D2112" s="626" t="s">
        <v>10570</v>
      </c>
      <c r="E2112" s="628" t="s">
        <v>23</v>
      </c>
      <c r="F2112" s="816" t="s">
        <v>14289</v>
      </c>
      <c r="G2112" s="816"/>
      <c r="H2112" s="816">
        <v>3.7406300000000003E-2</v>
      </c>
      <c r="I2112" s="816"/>
      <c r="J2112" s="817">
        <v>0.19040000000000001</v>
      </c>
      <c r="K2112" s="817"/>
      <c r="L2112" s="817"/>
    </row>
    <row r="2113" spans="1:12" ht="17.100000000000001" customHeight="1">
      <c r="A2113" s="626" t="s">
        <v>12709</v>
      </c>
      <c r="B2113" s="627" t="s">
        <v>13228</v>
      </c>
      <c r="C2113" s="626" t="s">
        <v>8</v>
      </c>
      <c r="D2113" s="626" t="s">
        <v>8289</v>
      </c>
      <c r="E2113" s="628" t="s">
        <v>23</v>
      </c>
      <c r="F2113" s="816" t="s">
        <v>14199</v>
      </c>
      <c r="G2113" s="816"/>
      <c r="H2113" s="816">
        <v>0.46769909999999998</v>
      </c>
      <c r="I2113" s="816"/>
      <c r="J2113" s="817">
        <v>2.5442999999999998</v>
      </c>
      <c r="K2113" s="817"/>
      <c r="L2113" s="817"/>
    </row>
    <row r="2114" spans="1:12" ht="24" customHeight="1">
      <c r="A2114" s="626" t="s">
        <v>12709</v>
      </c>
      <c r="B2114" s="627" t="s">
        <v>13212</v>
      </c>
      <c r="C2114" s="626" t="s">
        <v>8</v>
      </c>
      <c r="D2114" s="626" t="s">
        <v>8293</v>
      </c>
      <c r="E2114" s="628" t="s">
        <v>23</v>
      </c>
      <c r="F2114" s="816" t="s">
        <v>14470</v>
      </c>
      <c r="G2114" s="816"/>
      <c r="H2114" s="816">
        <v>2.5286409999999999</v>
      </c>
      <c r="I2114" s="816"/>
      <c r="J2114" s="817">
        <v>17.472899999999999</v>
      </c>
      <c r="K2114" s="817"/>
      <c r="L2114" s="817"/>
    </row>
    <row r="2115" spans="1:12" ht="24" customHeight="1">
      <c r="A2115" s="636"/>
      <c r="B2115" s="636"/>
      <c r="C2115" s="636"/>
      <c r="D2115" s="636"/>
      <c r="E2115" s="636"/>
      <c r="F2115" s="636"/>
      <c r="G2115" s="636"/>
      <c r="H2115" s="636"/>
      <c r="I2115" s="636"/>
      <c r="J2115" s="636" t="s">
        <v>13675</v>
      </c>
      <c r="K2115" s="636"/>
      <c r="L2115" s="636" t="s">
        <v>14712</v>
      </c>
    </row>
    <row r="2116" spans="1:12" ht="17.100000000000001" customHeight="1">
      <c r="A2116" s="802" t="s">
        <v>12720</v>
      </c>
      <c r="B2116" s="802"/>
      <c r="C2116" s="802"/>
      <c r="D2116" s="802"/>
      <c r="E2116" s="802"/>
      <c r="F2116" s="802"/>
      <c r="G2116" s="802"/>
      <c r="H2116" s="802"/>
      <c r="I2116" s="612"/>
      <c r="J2116" s="612"/>
      <c r="K2116" s="612"/>
      <c r="L2116" s="612"/>
    </row>
    <row r="2117" spans="1:12">
      <c r="A2117" s="612" t="s">
        <v>13679</v>
      </c>
      <c r="B2117" s="636" t="s">
        <v>12698</v>
      </c>
      <c r="C2117" s="612" t="s">
        <v>12699</v>
      </c>
      <c r="D2117" s="612" t="s">
        <v>12700</v>
      </c>
      <c r="E2117" s="637" t="s">
        <v>12702</v>
      </c>
      <c r="F2117" s="801" t="s">
        <v>12704</v>
      </c>
      <c r="G2117" s="801"/>
      <c r="H2117" s="801" t="s">
        <v>13678</v>
      </c>
      <c r="I2117" s="801"/>
      <c r="J2117" s="801" t="s">
        <v>12705</v>
      </c>
      <c r="K2117" s="801"/>
      <c r="L2117" s="801"/>
    </row>
    <row r="2118" spans="1:12" ht="17.100000000000001" customHeight="1">
      <c r="A2118" s="626" t="s">
        <v>12709</v>
      </c>
      <c r="B2118" s="627" t="s">
        <v>13093</v>
      </c>
      <c r="C2118" s="626" t="s">
        <v>8</v>
      </c>
      <c r="D2118" s="626" t="s">
        <v>8980</v>
      </c>
      <c r="E2118" s="628" t="s">
        <v>58</v>
      </c>
      <c r="F2118" s="816" t="s">
        <v>14502</v>
      </c>
      <c r="G2118" s="816"/>
      <c r="H2118" s="816">
        <v>1.7000000000000001E-2</v>
      </c>
      <c r="I2118" s="816"/>
      <c r="J2118" s="817">
        <v>0.08</v>
      </c>
      <c r="K2118" s="817"/>
      <c r="L2118" s="817"/>
    </row>
    <row r="2119" spans="1:12" ht="24" customHeight="1">
      <c r="A2119" s="626" t="s">
        <v>12709</v>
      </c>
      <c r="B2119" s="627" t="s">
        <v>13613</v>
      </c>
      <c r="C2119" s="626" t="s">
        <v>8</v>
      </c>
      <c r="D2119" s="626" t="s">
        <v>11000</v>
      </c>
      <c r="E2119" s="628" t="s">
        <v>20</v>
      </c>
      <c r="F2119" s="816" t="s">
        <v>13753</v>
      </c>
      <c r="G2119" s="816"/>
      <c r="H2119" s="816">
        <v>2.7E-2</v>
      </c>
      <c r="I2119" s="816"/>
      <c r="J2119" s="817">
        <v>0.37</v>
      </c>
      <c r="K2119" s="817"/>
      <c r="L2119" s="817"/>
    </row>
    <row r="2120" spans="1:12" ht="24" customHeight="1">
      <c r="A2120" s="626" t="s">
        <v>12709</v>
      </c>
      <c r="B2120" s="627" t="s">
        <v>13091</v>
      </c>
      <c r="C2120" s="626" t="s">
        <v>8</v>
      </c>
      <c r="D2120" s="626" t="s">
        <v>11248</v>
      </c>
      <c r="E2120" s="628" t="s">
        <v>17</v>
      </c>
      <c r="F2120" s="816" t="s">
        <v>14501</v>
      </c>
      <c r="G2120" s="816"/>
      <c r="H2120" s="816">
        <v>1.9698374999999999</v>
      </c>
      <c r="I2120" s="816"/>
      <c r="J2120" s="817">
        <v>3.9397000000000002</v>
      </c>
      <c r="K2120" s="817"/>
      <c r="L2120" s="817"/>
    </row>
    <row r="2121" spans="1:12" ht="24" customHeight="1">
      <c r="A2121" s="626" t="s">
        <v>12709</v>
      </c>
      <c r="B2121" s="627" t="s">
        <v>13189</v>
      </c>
      <c r="C2121" s="626" t="s">
        <v>8</v>
      </c>
      <c r="D2121" s="626" t="s">
        <v>11363</v>
      </c>
      <c r="E2121" s="628" t="s">
        <v>17</v>
      </c>
      <c r="F2121" s="816" t="s">
        <v>14500</v>
      </c>
      <c r="G2121" s="816"/>
      <c r="H2121" s="816">
        <v>1.1021742000000001</v>
      </c>
      <c r="I2121" s="816"/>
      <c r="J2121" s="817">
        <v>9.6329999999999991</v>
      </c>
      <c r="K2121" s="817"/>
      <c r="L2121" s="817"/>
    </row>
    <row r="2122" spans="1:12" ht="24" customHeight="1">
      <c r="A2122" s="626" t="s">
        <v>12709</v>
      </c>
      <c r="B2122" s="627" t="s">
        <v>13190</v>
      </c>
      <c r="C2122" s="626" t="s">
        <v>8</v>
      </c>
      <c r="D2122" s="626" t="s">
        <v>11009</v>
      </c>
      <c r="E2122" s="628" t="s">
        <v>20</v>
      </c>
      <c r="F2122" s="816" t="s">
        <v>13824</v>
      </c>
      <c r="G2122" s="816"/>
      <c r="H2122" s="816">
        <v>1.6220600000000002E-2</v>
      </c>
      <c r="I2122" s="816"/>
      <c r="J2122" s="817">
        <v>0.18129999999999999</v>
      </c>
      <c r="K2122" s="817"/>
      <c r="L2122" s="817"/>
    </row>
    <row r="2123" spans="1:12" ht="17.100000000000001" customHeight="1">
      <c r="A2123" s="626" t="s">
        <v>12709</v>
      </c>
      <c r="B2123" s="627" t="s">
        <v>13056</v>
      </c>
      <c r="C2123" s="626" t="s">
        <v>8</v>
      </c>
      <c r="D2123" s="626" t="s">
        <v>11277</v>
      </c>
      <c r="E2123" s="628" t="s">
        <v>35</v>
      </c>
      <c r="F2123" s="816" t="s">
        <v>14498</v>
      </c>
      <c r="G2123" s="816"/>
      <c r="H2123" s="816">
        <v>3.9999999999999998E-6</v>
      </c>
      <c r="I2123" s="816"/>
      <c r="J2123" s="817">
        <v>5.0000000000000001E-3</v>
      </c>
      <c r="K2123" s="817"/>
      <c r="L2123" s="817"/>
    </row>
    <row r="2124" spans="1:12" ht="25.5">
      <c r="A2124" s="626" t="s">
        <v>12709</v>
      </c>
      <c r="B2124" s="627" t="s">
        <v>12987</v>
      </c>
      <c r="C2124" s="626" t="s">
        <v>8</v>
      </c>
      <c r="D2124" s="626" t="s">
        <v>9192</v>
      </c>
      <c r="E2124" s="628" t="s">
        <v>12923</v>
      </c>
      <c r="F2124" s="816" t="s">
        <v>13999</v>
      </c>
      <c r="G2124" s="816"/>
      <c r="H2124" s="816">
        <v>5.4905299999999997E-2</v>
      </c>
      <c r="I2124" s="816"/>
      <c r="J2124" s="817">
        <v>4.4499999999999998E-2</v>
      </c>
      <c r="K2124" s="817"/>
      <c r="L2124" s="817"/>
    </row>
    <row r="2125" spans="1:12" ht="17.100000000000001" customHeight="1">
      <c r="A2125" s="636"/>
      <c r="B2125" s="636"/>
      <c r="C2125" s="636"/>
      <c r="D2125" s="636"/>
      <c r="E2125" s="636"/>
      <c r="F2125" s="636"/>
      <c r="G2125" s="636"/>
      <c r="H2125" s="636"/>
      <c r="I2125" s="636"/>
      <c r="J2125" s="636" t="s">
        <v>13675</v>
      </c>
      <c r="K2125" s="636"/>
      <c r="L2125" s="636" t="s">
        <v>14711</v>
      </c>
    </row>
    <row r="2126" spans="1:12" ht="24" customHeight="1">
      <c r="A2126" s="802" t="s">
        <v>12722</v>
      </c>
      <c r="B2126" s="802"/>
      <c r="C2126" s="802"/>
      <c r="D2126" s="802"/>
      <c r="E2126" s="802"/>
      <c r="F2126" s="802"/>
      <c r="G2126" s="802"/>
      <c r="H2126" s="802"/>
      <c r="I2126" s="612"/>
      <c r="J2126" s="612"/>
      <c r="K2126" s="612"/>
      <c r="L2126" s="612"/>
    </row>
    <row r="2127" spans="1:12" ht="17.100000000000001" customHeight="1">
      <c r="A2127" s="612" t="s">
        <v>13679</v>
      </c>
      <c r="B2127" s="636" t="s">
        <v>12698</v>
      </c>
      <c r="C2127" s="612" t="s">
        <v>12699</v>
      </c>
      <c r="D2127" s="612" t="s">
        <v>12700</v>
      </c>
      <c r="E2127" s="637" t="s">
        <v>12702</v>
      </c>
      <c r="F2127" s="801" t="s">
        <v>12704</v>
      </c>
      <c r="G2127" s="801"/>
      <c r="H2127" s="801" t="s">
        <v>13678</v>
      </c>
      <c r="I2127" s="801"/>
      <c r="J2127" s="801" t="s">
        <v>12705</v>
      </c>
      <c r="K2127" s="801"/>
      <c r="L2127" s="801"/>
    </row>
    <row r="2128" spans="1:12" ht="25.5">
      <c r="A2128" s="626" t="s">
        <v>12709</v>
      </c>
      <c r="B2128" s="627" t="s">
        <v>12998</v>
      </c>
      <c r="C2128" s="626" t="s">
        <v>8</v>
      </c>
      <c r="D2128" s="626" t="s">
        <v>11861</v>
      </c>
      <c r="E2128" s="628" t="s">
        <v>23</v>
      </c>
      <c r="F2128" s="816" t="s">
        <v>13683</v>
      </c>
      <c r="G2128" s="816"/>
      <c r="H2128" s="816">
        <v>3.0090539000000001</v>
      </c>
      <c r="I2128" s="816"/>
      <c r="J2128" s="817">
        <v>2.1364000000000001</v>
      </c>
      <c r="K2128" s="817"/>
      <c r="L2128" s="817"/>
    </row>
    <row r="2129" spans="1:12" ht="17.100000000000001" customHeight="1">
      <c r="A2129" s="636"/>
      <c r="B2129" s="636"/>
      <c r="C2129" s="636"/>
      <c r="D2129" s="636"/>
      <c r="E2129" s="636"/>
      <c r="F2129" s="636"/>
      <c r="G2129" s="636"/>
      <c r="H2129" s="636"/>
      <c r="I2129" s="636"/>
      <c r="J2129" s="636" t="s">
        <v>13675</v>
      </c>
      <c r="K2129" s="636"/>
      <c r="L2129" s="636" t="s">
        <v>14104</v>
      </c>
    </row>
    <row r="2130" spans="1:12" ht="24" customHeight="1">
      <c r="A2130" s="802" t="s">
        <v>12713</v>
      </c>
      <c r="B2130" s="802"/>
      <c r="C2130" s="802"/>
      <c r="D2130" s="802"/>
      <c r="E2130" s="802"/>
      <c r="F2130" s="802"/>
      <c r="G2130" s="802"/>
      <c r="H2130" s="802"/>
      <c r="I2130" s="612"/>
      <c r="J2130" s="612"/>
      <c r="K2130" s="612"/>
      <c r="L2130" s="612"/>
    </row>
    <row r="2131" spans="1:12" ht="17.100000000000001" customHeight="1">
      <c r="A2131" s="612" t="s">
        <v>13679</v>
      </c>
      <c r="B2131" s="636" t="s">
        <v>12698</v>
      </c>
      <c r="C2131" s="612" t="s">
        <v>12699</v>
      </c>
      <c r="D2131" s="612" t="s">
        <v>12700</v>
      </c>
      <c r="E2131" s="637" t="s">
        <v>12702</v>
      </c>
      <c r="F2131" s="801" t="s">
        <v>12704</v>
      </c>
      <c r="G2131" s="801"/>
      <c r="H2131" s="801" t="s">
        <v>13678</v>
      </c>
      <c r="I2131" s="801"/>
      <c r="J2131" s="801" t="s">
        <v>12705</v>
      </c>
      <c r="K2131" s="801"/>
      <c r="L2131" s="801"/>
    </row>
    <row r="2132" spans="1:12" ht="25.5">
      <c r="A2132" s="626" t="s">
        <v>12709</v>
      </c>
      <c r="B2132" s="627" t="s">
        <v>12999</v>
      </c>
      <c r="C2132" s="626" t="s">
        <v>8</v>
      </c>
      <c r="D2132" s="626" t="s">
        <v>11251</v>
      </c>
      <c r="E2132" s="628" t="s">
        <v>23</v>
      </c>
      <c r="F2132" s="816" t="s">
        <v>13681</v>
      </c>
      <c r="G2132" s="816"/>
      <c r="H2132" s="816">
        <v>3.0090539000000001</v>
      </c>
      <c r="I2132" s="816"/>
      <c r="J2132" s="817">
        <v>0.21060000000000001</v>
      </c>
      <c r="K2132" s="817"/>
      <c r="L2132" s="817"/>
    </row>
    <row r="2133" spans="1:12" ht="17.100000000000001" customHeight="1">
      <c r="A2133" s="636"/>
      <c r="B2133" s="636"/>
      <c r="C2133" s="636"/>
      <c r="D2133" s="636"/>
      <c r="E2133" s="636"/>
      <c r="F2133" s="636"/>
      <c r="G2133" s="636"/>
      <c r="H2133" s="636"/>
      <c r="I2133" s="636"/>
      <c r="J2133" s="636" t="s">
        <v>13675</v>
      </c>
      <c r="K2133" s="636"/>
      <c r="L2133" s="636" t="s">
        <v>13775</v>
      </c>
    </row>
    <row r="2134" spans="1:12" ht="24" customHeight="1">
      <c r="A2134" s="802" t="s">
        <v>12712</v>
      </c>
      <c r="B2134" s="802"/>
      <c r="C2134" s="802"/>
      <c r="D2134" s="802"/>
      <c r="E2134" s="802"/>
      <c r="F2134" s="802"/>
      <c r="G2134" s="802"/>
      <c r="H2134" s="802"/>
      <c r="I2134" s="612"/>
      <c r="J2134" s="612"/>
      <c r="K2134" s="612"/>
      <c r="L2134" s="612"/>
    </row>
    <row r="2135" spans="1:12" ht="24" customHeight="1">
      <c r="A2135" s="612" t="s">
        <v>13679</v>
      </c>
      <c r="B2135" s="636" t="s">
        <v>12698</v>
      </c>
      <c r="C2135" s="612" t="s">
        <v>12699</v>
      </c>
      <c r="D2135" s="612" t="s">
        <v>12700</v>
      </c>
      <c r="E2135" s="637" t="s">
        <v>12702</v>
      </c>
      <c r="F2135" s="801" t="s">
        <v>12704</v>
      </c>
      <c r="G2135" s="801"/>
      <c r="H2135" s="801" t="s">
        <v>13678</v>
      </c>
      <c r="I2135" s="801"/>
      <c r="J2135" s="801" t="s">
        <v>12705</v>
      </c>
      <c r="K2135" s="801"/>
      <c r="L2135" s="801"/>
    </row>
    <row r="2136" spans="1:12" ht="17.100000000000001" customHeight="1">
      <c r="A2136" s="626" t="s">
        <v>12709</v>
      </c>
      <c r="B2136" s="627" t="s">
        <v>13002</v>
      </c>
      <c r="C2136" s="626" t="s">
        <v>8</v>
      </c>
      <c r="D2136" s="626" t="s">
        <v>9306</v>
      </c>
      <c r="E2136" s="628" t="s">
        <v>23</v>
      </c>
      <c r="F2136" s="816" t="s">
        <v>13677</v>
      </c>
      <c r="G2136" s="816"/>
      <c r="H2136" s="816">
        <v>3.0090539000000001</v>
      </c>
      <c r="I2136" s="816"/>
      <c r="J2136" s="817">
        <v>1.0531999999999999</v>
      </c>
      <c r="K2136" s="817"/>
      <c r="L2136" s="817"/>
    </row>
    <row r="2137" spans="1:12" ht="17.100000000000001" customHeight="1">
      <c r="A2137" s="626" t="s">
        <v>12709</v>
      </c>
      <c r="B2137" s="627" t="s">
        <v>13004</v>
      </c>
      <c r="C2137" s="626" t="s">
        <v>8</v>
      </c>
      <c r="D2137" s="626" t="s">
        <v>7388</v>
      </c>
      <c r="E2137" s="628" t="s">
        <v>23</v>
      </c>
      <c r="F2137" s="816" t="s">
        <v>13676</v>
      </c>
      <c r="G2137" s="816"/>
      <c r="H2137" s="816">
        <v>3.0090539000000001</v>
      </c>
      <c r="I2137" s="816"/>
      <c r="J2137" s="817">
        <v>6.6199000000000003</v>
      </c>
      <c r="K2137" s="817"/>
      <c r="L2137" s="817"/>
    </row>
    <row r="2138" spans="1:12" ht="17.100000000000001" customHeight="1">
      <c r="A2138" s="636"/>
      <c r="B2138" s="636"/>
      <c r="C2138" s="636"/>
      <c r="D2138" s="636"/>
      <c r="E2138" s="636"/>
      <c r="F2138" s="636"/>
      <c r="G2138" s="636"/>
      <c r="H2138" s="636"/>
      <c r="I2138" s="636"/>
      <c r="J2138" s="636" t="s">
        <v>13675</v>
      </c>
      <c r="K2138" s="636"/>
      <c r="L2138" s="636" t="s">
        <v>14103</v>
      </c>
    </row>
    <row r="2139" spans="1:12" ht="17.100000000000001" customHeight="1">
      <c r="A2139" s="612" t="s">
        <v>13673</v>
      </c>
      <c r="B2139" s="612"/>
      <c r="C2139" s="612"/>
      <c r="D2139" s="612"/>
      <c r="E2139" s="612"/>
      <c r="F2139" s="612"/>
      <c r="G2139" s="612"/>
      <c r="H2139" s="612"/>
      <c r="I2139" s="612"/>
      <c r="J2139" s="612"/>
      <c r="K2139" s="612"/>
      <c r="L2139" s="612"/>
    </row>
    <row r="2140" spans="1:12" ht="17.100000000000001" customHeight="1">
      <c r="A2140" s="636"/>
      <c r="B2140" s="636"/>
      <c r="C2140" s="636"/>
      <c r="D2140" s="636"/>
      <c r="E2140" s="636"/>
      <c r="F2140" s="636"/>
      <c r="G2140" s="636"/>
      <c r="H2140" s="636"/>
      <c r="I2140" s="636"/>
      <c r="J2140" s="636" t="s">
        <v>13672</v>
      </c>
      <c r="K2140" s="636"/>
      <c r="L2140" s="636" t="s">
        <v>15059</v>
      </c>
    </row>
    <row r="2141" spans="1:12" ht="17.100000000000001" customHeight="1">
      <c r="A2141" s="636"/>
      <c r="B2141" s="636"/>
      <c r="C2141" s="636"/>
      <c r="D2141" s="636"/>
      <c r="E2141" s="636"/>
      <c r="F2141" s="636"/>
      <c r="G2141" s="636"/>
      <c r="H2141" s="636"/>
      <c r="I2141" s="636"/>
      <c r="J2141" s="636" t="s">
        <v>13671</v>
      </c>
      <c r="K2141" s="636" t="s">
        <v>14461</v>
      </c>
      <c r="L2141" s="636" t="s">
        <v>15060</v>
      </c>
    </row>
    <row r="2142" spans="1:12" ht="17.100000000000001" customHeight="1">
      <c r="A2142" s="636"/>
      <c r="B2142" s="636"/>
      <c r="C2142" s="636"/>
      <c r="D2142" s="636"/>
      <c r="E2142" s="636"/>
      <c r="F2142" s="636"/>
      <c r="G2142" s="636"/>
      <c r="H2142" s="636"/>
      <c r="I2142" s="636"/>
      <c r="J2142" s="636" t="s">
        <v>13670</v>
      </c>
      <c r="K2142" s="636"/>
      <c r="L2142" s="636" t="s">
        <v>15061</v>
      </c>
    </row>
    <row r="2143" spans="1:12" ht="30" customHeight="1">
      <c r="A2143" s="636"/>
      <c r="B2143" s="636"/>
      <c r="C2143" s="636"/>
      <c r="D2143" s="636"/>
      <c r="E2143" s="636"/>
      <c r="F2143" s="636"/>
      <c r="G2143" s="636"/>
      <c r="H2143" s="636"/>
      <c r="I2143" s="636"/>
      <c r="J2143" s="636" t="s">
        <v>13669</v>
      </c>
      <c r="K2143" s="636" t="s">
        <v>13667</v>
      </c>
      <c r="L2143" s="636" t="s">
        <v>15062</v>
      </c>
    </row>
    <row r="2144" spans="1:12" ht="24" customHeight="1">
      <c r="A2144" s="636"/>
      <c r="B2144" s="636"/>
      <c r="C2144" s="636"/>
      <c r="D2144" s="636"/>
      <c r="E2144" s="636"/>
      <c r="F2144" s="636"/>
      <c r="G2144" s="636"/>
      <c r="H2144" s="636"/>
      <c r="I2144" s="636"/>
      <c r="J2144" s="636" t="s">
        <v>13668</v>
      </c>
      <c r="K2144" s="636"/>
      <c r="L2144" s="636" t="s">
        <v>15063</v>
      </c>
    </row>
    <row r="2145" spans="1:12" ht="14.25" customHeight="1">
      <c r="A2145" s="637"/>
      <c r="B2145" s="637"/>
      <c r="C2145" s="637"/>
      <c r="D2145" s="637"/>
      <c r="E2145" s="637"/>
      <c r="F2145" s="637"/>
      <c r="G2145" s="637"/>
      <c r="H2145" s="637"/>
      <c r="I2145" s="637"/>
      <c r="J2145" s="637"/>
      <c r="K2145" s="637"/>
      <c r="L2145" s="637"/>
    </row>
    <row r="2146" spans="1:12" ht="17.100000000000001" customHeight="1">
      <c r="A2146" s="616" t="s">
        <v>14211</v>
      </c>
      <c r="B2146" s="617" t="s">
        <v>13634</v>
      </c>
      <c r="C2146" s="616" t="s">
        <v>8</v>
      </c>
      <c r="D2146" s="616" t="s">
        <v>3543</v>
      </c>
      <c r="E2146" s="618" t="s">
        <v>12730</v>
      </c>
      <c r="F2146" s="617"/>
      <c r="G2146" s="617"/>
      <c r="H2146" s="617"/>
      <c r="I2146" s="617"/>
      <c r="J2146" s="617"/>
      <c r="K2146" s="617"/>
      <c r="L2146" s="617"/>
    </row>
    <row r="2147" spans="1:12" ht="24" customHeight="1">
      <c r="A2147" s="802" t="s">
        <v>12711</v>
      </c>
      <c r="B2147" s="802"/>
      <c r="C2147" s="802"/>
      <c r="D2147" s="802"/>
      <c r="E2147" s="802"/>
      <c r="F2147" s="802"/>
      <c r="G2147" s="802"/>
      <c r="H2147" s="802"/>
      <c r="I2147" s="612"/>
      <c r="J2147" s="612"/>
      <c r="K2147" s="612"/>
      <c r="L2147" s="612"/>
    </row>
    <row r="2148" spans="1:12" ht="24" customHeight="1">
      <c r="A2148" s="612" t="s">
        <v>13679</v>
      </c>
      <c r="B2148" s="636" t="s">
        <v>12698</v>
      </c>
      <c r="C2148" s="612" t="s">
        <v>12699</v>
      </c>
      <c r="D2148" s="612" t="s">
        <v>12700</v>
      </c>
      <c r="E2148" s="637" t="s">
        <v>12702</v>
      </c>
      <c r="F2148" s="801" t="s">
        <v>12704</v>
      </c>
      <c r="G2148" s="801"/>
      <c r="H2148" s="801" t="s">
        <v>13678</v>
      </c>
      <c r="I2148" s="801"/>
      <c r="J2148" s="801" t="s">
        <v>12705</v>
      </c>
      <c r="K2148" s="801"/>
      <c r="L2148" s="801"/>
    </row>
    <row r="2149" spans="1:12" ht="24" customHeight="1">
      <c r="A2149" s="626" t="s">
        <v>12709</v>
      </c>
      <c r="B2149" s="627" t="s">
        <v>13302</v>
      </c>
      <c r="C2149" s="626" t="s">
        <v>8</v>
      </c>
      <c r="D2149" s="626" t="s">
        <v>7676</v>
      </c>
      <c r="E2149" s="628" t="s">
        <v>35</v>
      </c>
      <c r="F2149" s="816" t="s">
        <v>14526</v>
      </c>
      <c r="G2149" s="816"/>
      <c r="H2149" s="816">
        <v>1.493E-4</v>
      </c>
      <c r="I2149" s="816"/>
      <c r="J2149" s="817">
        <v>0.54069999999999996</v>
      </c>
      <c r="K2149" s="817"/>
      <c r="L2149" s="817"/>
    </row>
    <row r="2150" spans="1:12" ht="24" customHeight="1">
      <c r="A2150" s="626" t="s">
        <v>12709</v>
      </c>
      <c r="B2150" s="627" t="s">
        <v>13048</v>
      </c>
      <c r="C2150" s="626" t="s">
        <v>8</v>
      </c>
      <c r="D2150" s="626" t="s">
        <v>9233</v>
      </c>
      <c r="E2150" s="628" t="s">
        <v>23</v>
      </c>
      <c r="F2150" s="816" t="s">
        <v>13690</v>
      </c>
      <c r="G2150" s="816"/>
      <c r="H2150" s="816">
        <v>2.3063959000000001</v>
      </c>
      <c r="I2150" s="816"/>
      <c r="J2150" s="817">
        <v>2.3525</v>
      </c>
      <c r="K2150" s="817"/>
      <c r="L2150" s="817"/>
    </row>
    <row r="2151" spans="1:12" ht="24" customHeight="1">
      <c r="A2151" s="626" t="s">
        <v>12709</v>
      </c>
      <c r="B2151" s="627" t="s">
        <v>13047</v>
      </c>
      <c r="C2151" s="626" t="s">
        <v>8</v>
      </c>
      <c r="D2151" s="626" t="s">
        <v>9380</v>
      </c>
      <c r="E2151" s="628" t="s">
        <v>23</v>
      </c>
      <c r="F2151" s="816" t="s">
        <v>13689</v>
      </c>
      <c r="G2151" s="816"/>
      <c r="H2151" s="816">
        <v>2.3063959000000001</v>
      </c>
      <c r="I2151" s="816"/>
      <c r="J2151" s="817">
        <v>0.87639999999999996</v>
      </c>
      <c r="K2151" s="817"/>
      <c r="L2151" s="817"/>
    </row>
    <row r="2152" spans="1:12" ht="24" customHeight="1">
      <c r="A2152" s="626" t="s">
        <v>12709</v>
      </c>
      <c r="B2152" s="627" t="s">
        <v>13003</v>
      </c>
      <c r="C2152" s="626" t="s">
        <v>8</v>
      </c>
      <c r="D2152" s="626" t="s">
        <v>9227</v>
      </c>
      <c r="E2152" s="628" t="s">
        <v>23</v>
      </c>
      <c r="F2152" s="816" t="s">
        <v>13732</v>
      </c>
      <c r="G2152" s="816"/>
      <c r="H2152" s="816">
        <v>1.4577221</v>
      </c>
      <c r="I2152" s="816"/>
      <c r="J2152" s="817">
        <v>0.96209999999999996</v>
      </c>
      <c r="K2152" s="817"/>
      <c r="L2152" s="817"/>
    </row>
    <row r="2153" spans="1:12" ht="24" customHeight="1">
      <c r="A2153" s="626" t="s">
        <v>12709</v>
      </c>
      <c r="B2153" s="627" t="s">
        <v>13001</v>
      </c>
      <c r="C2153" s="626" t="s">
        <v>8</v>
      </c>
      <c r="D2153" s="626" t="s">
        <v>9374</v>
      </c>
      <c r="E2153" s="628" t="s">
        <v>23</v>
      </c>
      <c r="F2153" s="816" t="s">
        <v>13728</v>
      </c>
      <c r="G2153" s="816"/>
      <c r="H2153" s="816">
        <v>1.4577221</v>
      </c>
      <c r="I2153" s="816"/>
      <c r="J2153" s="817">
        <v>1.46E-2</v>
      </c>
      <c r="K2153" s="817"/>
      <c r="L2153" s="817"/>
    </row>
    <row r="2154" spans="1:12" ht="17.100000000000001" customHeight="1">
      <c r="A2154" s="636"/>
      <c r="B2154" s="636"/>
      <c r="C2154" s="636"/>
      <c r="D2154" s="636"/>
      <c r="E2154" s="636"/>
      <c r="F2154" s="636"/>
      <c r="G2154" s="636"/>
      <c r="H2154" s="636"/>
      <c r="I2154" s="636"/>
      <c r="J2154" s="636" t="s">
        <v>13675</v>
      </c>
      <c r="K2154" s="636"/>
      <c r="L2154" s="636" t="s">
        <v>14575</v>
      </c>
    </row>
    <row r="2155" spans="1:12" ht="14.25" customHeight="1">
      <c r="A2155" s="802" t="s">
        <v>12710</v>
      </c>
      <c r="B2155" s="802"/>
      <c r="C2155" s="802"/>
      <c r="D2155" s="802"/>
      <c r="E2155" s="802"/>
      <c r="F2155" s="802"/>
      <c r="G2155" s="802"/>
      <c r="H2155" s="802"/>
      <c r="I2155" s="612"/>
      <c r="J2155" s="612"/>
      <c r="K2155" s="612"/>
      <c r="L2155" s="612"/>
    </row>
    <row r="2156" spans="1:12" ht="17.100000000000001" customHeight="1">
      <c r="A2156" s="612" t="s">
        <v>13679</v>
      </c>
      <c r="B2156" s="636" t="s">
        <v>12698</v>
      </c>
      <c r="C2156" s="612" t="s">
        <v>12699</v>
      </c>
      <c r="D2156" s="612" t="s">
        <v>12700</v>
      </c>
      <c r="E2156" s="637" t="s">
        <v>12702</v>
      </c>
      <c r="F2156" s="801" t="s">
        <v>12704</v>
      </c>
      <c r="G2156" s="801"/>
      <c r="H2156" s="801" t="s">
        <v>13678</v>
      </c>
      <c r="I2156" s="801"/>
      <c r="J2156" s="801" t="s">
        <v>12705</v>
      </c>
      <c r="K2156" s="801"/>
      <c r="L2156" s="801"/>
    </row>
    <row r="2157" spans="1:12" ht="24" customHeight="1">
      <c r="A2157" s="626" t="s">
        <v>12709</v>
      </c>
      <c r="B2157" s="627" t="s">
        <v>13046</v>
      </c>
      <c r="C2157" s="626" t="s">
        <v>8</v>
      </c>
      <c r="D2157" s="626" t="s">
        <v>11281</v>
      </c>
      <c r="E2157" s="628" t="s">
        <v>23</v>
      </c>
      <c r="F2157" s="816" t="s">
        <v>13731</v>
      </c>
      <c r="G2157" s="816"/>
      <c r="H2157" s="816">
        <v>2.3424033</v>
      </c>
      <c r="I2157" s="816"/>
      <c r="J2157" s="817">
        <v>12.04</v>
      </c>
      <c r="K2157" s="817"/>
      <c r="L2157" s="817"/>
    </row>
    <row r="2158" spans="1:12" ht="24" customHeight="1">
      <c r="A2158" s="626" t="s">
        <v>12709</v>
      </c>
      <c r="B2158" s="627" t="s">
        <v>13116</v>
      </c>
      <c r="C2158" s="626" t="s">
        <v>8</v>
      </c>
      <c r="D2158" s="626" t="s">
        <v>10556</v>
      </c>
      <c r="E2158" s="628" t="s">
        <v>23</v>
      </c>
      <c r="F2158" s="816" t="s">
        <v>13770</v>
      </c>
      <c r="G2158" s="816"/>
      <c r="H2158" s="816">
        <v>1.4674932999999999</v>
      </c>
      <c r="I2158" s="816"/>
      <c r="J2158" s="817">
        <v>6.9999000000000002</v>
      </c>
      <c r="K2158" s="817"/>
      <c r="L2158" s="817"/>
    </row>
    <row r="2159" spans="1:12" ht="24" customHeight="1">
      <c r="A2159" s="636"/>
      <c r="B2159" s="636"/>
      <c r="C2159" s="636"/>
      <c r="D2159" s="636"/>
      <c r="E2159" s="636"/>
      <c r="F2159" s="636"/>
      <c r="G2159" s="636"/>
      <c r="H2159" s="636"/>
      <c r="I2159" s="636"/>
      <c r="J2159" s="636" t="s">
        <v>13675</v>
      </c>
      <c r="K2159" s="636"/>
      <c r="L2159" s="636" t="s">
        <v>14716</v>
      </c>
    </row>
    <row r="2160" spans="1:12" ht="17.100000000000001" customHeight="1">
      <c r="A2160" s="802" t="s">
        <v>12720</v>
      </c>
      <c r="B2160" s="802"/>
      <c r="C2160" s="802"/>
      <c r="D2160" s="802"/>
      <c r="E2160" s="802"/>
      <c r="F2160" s="802"/>
      <c r="G2160" s="802"/>
      <c r="H2160" s="802"/>
      <c r="I2160" s="612"/>
      <c r="J2160" s="612"/>
      <c r="K2160" s="612"/>
      <c r="L2160" s="612"/>
    </row>
    <row r="2161" spans="1:12">
      <c r="A2161" s="612" t="s">
        <v>13679</v>
      </c>
      <c r="B2161" s="636" t="s">
        <v>12698</v>
      </c>
      <c r="C2161" s="612" t="s">
        <v>12699</v>
      </c>
      <c r="D2161" s="612" t="s">
        <v>12700</v>
      </c>
      <c r="E2161" s="637" t="s">
        <v>12702</v>
      </c>
      <c r="F2161" s="801" t="s">
        <v>12704</v>
      </c>
      <c r="G2161" s="801"/>
      <c r="H2161" s="801" t="s">
        <v>13678</v>
      </c>
      <c r="I2161" s="801"/>
      <c r="J2161" s="801" t="s">
        <v>12705</v>
      </c>
      <c r="K2161" s="801"/>
      <c r="L2161" s="801"/>
    </row>
    <row r="2162" spans="1:12" ht="17.100000000000001" customHeight="1">
      <c r="A2162" s="626" t="s">
        <v>12709</v>
      </c>
      <c r="B2162" s="627" t="s">
        <v>13250</v>
      </c>
      <c r="C2162" s="626" t="s">
        <v>8</v>
      </c>
      <c r="D2162" s="626" t="s">
        <v>7526</v>
      </c>
      <c r="E2162" s="628" t="s">
        <v>12730</v>
      </c>
      <c r="F2162" s="816" t="s">
        <v>13747</v>
      </c>
      <c r="G2162" s="816"/>
      <c r="H2162" s="816">
        <v>0.72299999999999998</v>
      </c>
      <c r="I2162" s="816"/>
      <c r="J2162" s="817">
        <v>45.18</v>
      </c>
      <c r="K2162" s="817"/>
      <c r="L2162" s="817"/>
    </row>
    <row r="2163" spans="1:12" ht="24" customHeight="1">
      <c r="A2163" s="626" t="s">
        <v>12709</v>
      </c>
      <c r="B2163" s="627" t="s">
        <v>13249</v>
      </c>
      <c r="C2163" s="626" t="s">
        <v>8</v>
      </c>
      <c r="D2163" s="626" t="s">
        <v>8420</v>
      </c>
      <c r="E2163" s="628" t="s">
        <v>20</v>
      </c>
      <c r="F2163" s="816" t="s">
        <v>13700</v>
      </c>
      <c r="G2163" s="816"/>
      <c r="H2163" s="816">
        <v>362.66</v>
      </c>
      <c r="I2163" s="816"/>
      <c r="J2163" s="817">
        <v>177.7</v>
      </c>
      <c r="K2163" s="817"/>
      <c r="L2163" s="817"/>
    </row>
    <row r="2164" spans="1:12" ht="17.100000000000001" customHeight="1">
      <c r="A2164" s="626" t="s">
        <v>12709</v>
      </c>
      <c r="B2164" s="627" t="s">
        <v>13248</v>
      </c>
      <c r="C2164" s="626" t="s">
        <v>8</v>
      </c>
      <c r="D2164" s="626" t="s">
        <v>10712</v>
      </c>
      <c r="E2164" s="628" t="s">
        <v>12730</v>
      </c>
      <c r="F2164" s="816" t="s">
        <v>13745</v>
      </c>
      <c r="G2164" s="816"/>
      <c r="H2164" s="816">
        <v>0.59299999999999997</v>
      </c>
      <c r="I2164" s="816"/>
      <c r="J2164" s="817">
        <v>47.44</v>
      </c>
      <c r="K2164" s="817"/>
      <c r="L2164" s="817"/>
    </row>
    <row r="2165" spans="1:12" ht="25.5">
      <c r="A2165" s="626" t="s">
        <v>12709</v>
      </c>
      <c r="B2165" s="627" t="s">
        <v>12987</v>
      </c>
      <c r="C2165" s="626" t="s">
        <v>8</v>
      </c>
      <c r="D2165" s="626" t="s">
        <v>9192</v>
      </c>
      <c r="E2165" s="628" t="s">
        <v>12923</v>
      </c>
      <c r="F2165" s="816" t="s">
        <v>13999</v>
      </c>
      <c r="G2165" s="816"/>
      <c r="H2165" s="816">
        <v>0.93603729999999996</v>
      </c>
      <c r="I2165" s="816"/>
      <c r="J2165" s="817">
        <v>0.75819999999999999</v>
      </c>
      <c r="K2165" s="817"/>
      <c r="L2165" s="817"/>
    </row>
    <row r="2166" spans="1:12" ht="17.100000000000001" customHeight="1">
      <c r="A2166" s="636"/>
      <c r="B2166" s="636"/>
      <c r="C2166" s="636"/>
      <c r="D2166" s="636"/>
      <c r="E2166" s="636"/>
      <c r="F2166" s="636"/>
      <c r="G2166" s="636"/>
      <c r="H2166" s="636"/>
      <c r="I2166" s="636"/>
      <c r="J2166" s="636" t="s">
        <v>13675</v>
      </c>
      <c r="K2166" s="636"/>
      <c r="L2166" s="636" t="s">
        <v>14715</v>
      </c>
    </row>
    <row r="2167" spans="1:12" ht="24" customHeight="1">
      <c r="A2167" s="802" t="s">
        <v>12722</v>
      </c>
      <c r="B2167" s="802"/>
      <c r="C2167" s="802"/>
      <c r="D2167" s="802"/>
      <c r="E2167" s="802"/>
      <c r="F2167" s="802"/>
      <c r="G2167" s="802"/>
      <c r="H2167" s="802"/>
      <c r="I2167" s="612"/>
      <c r="J2167" s="612"/>
      <c r="K2167" s="612"/>
      <c r="L2167" s="612"/>
    </row>
    <row r="2168" spans="1:12" ht="17.100000000000001" customHeight="1">
      <c r="A2168" s="612" t="s">
        <v>13679</v>
      </c>
      <c r="B2168" s="636" t="s">
        <v>12698</v>
      </c>
      <c r="C2168" s="612" t="s">
        <v>12699</v>
      </c>
      <c r="D2168" s="612" t="s">
        <v>12700</v>
      </c>
      <c r="E2168" s="637" t="s">
        <v>12702</v>
      </c>
      <c r="F2168" s="801" t="s">
        <v>12704</v>
      </c>
      <c r="G2168" s="801"/>
      <c r="H2168" s="801" t="s">
        <v>13678</v>
      </c>
      <c r="I2168" s="801"/>
      <c r="J2168" s="801" t="s">
        <v>12705</v>
      </c>
      <c r="K2168" s="801"/>
      <c r="L2168" s="801"/>
    </row>
    <row r="2169" spans="1:12" ht="25.5">
      <c r="A2169" s="626" t="s">
        <v>12709</v>
      </c>
      <c r="B2169" s="627" t="s">
        <v>12998</v>
      </c>
      <c r="C2169" s="626" t="s">
        <v>8</v>
      </c>
      <c r="D2169" s="626" t="s">
        <v>11861</v>
      </c>
      <c r="E2169" s="628" t="s">
        <v>23</v>
      </c>
      <c r="F2169" s="816" t="s">
        <v>13683</v>
      </c>
      <c r="G2169" s="816"/>
      <c r="H2169" s="816">
        <v>3.7641179999999999</v>
      </c>
      <c r="I2169" s="816"/>
      <c r="J2169" s="817">
        <v>2.6724999999999999</v>
      </c>
      <c r="K2169" s="817"/>
      <c r="L2169" s="817"/>
    </row>
    <row r="2170" spans="1:12" ht="17.100000000000001" customHeight="1">
      <c r="A2170" s="636"/>
      <c r="B2170" s="636"/>
      <c r="C2170" s="636"/>
      <c r="D2170" s="636"/>
      <c r="E2170" s="636"/>
      <c r="F2170" s="636"/>
      <c r="G2170" s="636"/>
      <c r="H2170" s="636"/>
      <c r="I2170" s="636"/>
      <c r="J2170" s="636" t="s">
        <v>13675</v>
      </c>
      <c r="K2170" s="636"/>
      <c r="L2170" s="636" t="s">
        <v>14110</v>
      </c>
    </row>
    <row r="2171" spans="1:12" ht="24" customHeight="1">
      <c r="A2171" s="802" t="s">
        <v>12713</v>
      </c>
      <c r="B2171" s="802"/>
      <c r="C2171" s="802"/>
      <c r="D2171" s="802"/>
      <c r="E2171" s="802"/>
      <c r="F2171" s="802"/>
      <c r="G2171" s="802"/>
      <c r="H2171" s="802"/>
      <c r="I2171" s="612"/>
      <c r="J2171" s="612"/>
      <c r="K2171" s="612"/>
      <c r="L2171" s="612"/>
    </row>
    <row r="2172" spans="1:12" ht="17.100000000000001" customHeight="1">
      <c r="A2172" s="612" t="s">
        <v>13679</v>
      </c>
      <c r="B2172" s="636" t="s">
        <v>12698</v>
      </c>
      <c r="C2172" s="612" t="s">
        <v>12699</v>
      </c>
      <c r="D2172" s="612" t="s">
        <v>12700</v>
      </c>
      <c r="E2172" s="637" t="s">
        <v>12702</v>
      </c>
      <c r="F2172" s="801" t="s">
        <v>12704</v>
      </c>
      <c r="G2172" s="801"/>
      <c r="H2172" s="801" t="s">
        <v>13678</v>
      </c>
      <c r="I2172" s="801"/>
      <c r="J2172" s="801" t="s">
        <v>12705</v>
      </c>
      <c r="K2172" s="801"/>
      <c r="L2172" s="801"/>
    </row>
    <row r="2173" spans="1:12" ht="25.5">
      <c r="A2173" s="626" t="s">
        <v>12709</v>
      </c>
      <c r="B2173" s="627" t="s">
        <v>12999</v>
      </c>
      <c r="C2173" s="626" t="s">
        <v>8</v>
      </c>
      <c r="D2173" s="626" t="s">
        <v>11251</v>
      </c>
      <c r="E2173" s="628" t="s">
        <v>23</v>
      </c>
      <c r="F2173" s="816" t="s">
        <v>13681</v>
      </c>
      <c r="G2173" s="816"/>
      <c r="H2173" s="816">
        <v>3.7641179999999999</v>
      </c>
      <c r="I2173" s="816"/>
      <c r="J2173" s="817">
        <v>0.26350000000000001</v>
      </c>
      <c r="K2173" s="817"/>
      <c r="L2173" s="817"/>
    </row>
    <row r="2174" spans="1:12" ht="17.100000000000001" customHeight="1">
      <c r="A2174" s="636"/>
      <c r="B2174" s="636"/>
      <c r="C2174" s="636"/>
      <c r="D2174" s="636"/>
      <c r="E2174" s="636"/>
      <c r="F2174" s="636"/>
      <c r="G2174" s="636"/>
      <c r="H2174" s="636"/>
      <c r="I2174" s="636"/>
      <c r="J2174" s="636" t="s">
        <v>13675</v>
      </c>
      <c r="K2174" s="636"/>
      <c r="L2174" s="636" t="s">
        <v>13869</v>
      </c>
    </row>
    <row r="2175" spans="1:12" ht="24" customHeight="1">
      <c r="A2175" s="802" t="s">
        <v>12712</v>
      </c>
      <c r="B2175" s="802"/>
      <c r="C2175" s="802"/>
      <c r="D2175" s="802"/>
      <c r="E2175" s="802"/>
      <c r="F2175" s="802"/>
      <c r="G2175" s="802"/>
      <c r="H2175" s="802"/>
      <c r="I2175" s="612"/>
      <c r="J2175" s="612"/>
      <c r="K2175" s="612"/>
      <c r="L2175" s="612"/>
    </row>
    <row r="2176" spans="1:12" ht="24" customHeight="1">
      <c r="A2176" s="612" t="s">
        <v>13679</v>
      </c>
      <c r="B2176" s="636" t="s">
        <v>12698</v>
      </c>
      <c r="C2176" s="612" t="s">
        <v>12699</v>
      </c>
      <c r="D2176" s="612" t="s">
        <v>12700</v>
      </c>
      <c r="E2176" s="637" t="s">
        <v>12702</v>
      </c>
      <c r="F2176" s="801" t="s">
        <v>12704</v>
      </c>
      <c r="G2176" s="801"/>
      <c r="H2176" s="801" t="s">
        <v>13678</v>
      </c>
      <c r="I2176" s="801"/>
      <c r="J2176" s="801" t="s">
        <v>12705</v>
      </c>
      <c r="K2176" s="801"/>
      <c r="L2176" s="801"/>
    </row>
    <row r="2177" spans="1:12" ht="17.100000000000001" customHeight="1">
      <c r="A2177" s="626" t="s">
        <v>12709</v>
      </c>
      <c r="B2177" s="627" t="s">
        <v>13002</v>
      </c>
      <c r="C2177" s="626" t="s">
        <v>8</v>
      </c>
      <c r="D2177" s="626" t="s">
        <v>9306</v>
      </c>
      <c r="E2177" s="628" t="s">
        <v>23</v>
      </c>
      <c r="F2177" s="816" t="s">
        <v>13677</v>
      </c>
      <c r="G2177" s="816"/>
      <c r="H2177" s="816">
        <v>3.7641179999999999</v>
      </c>
      <c r="I2177" s="816"/>
      <c r="J2177" s="817">
        <v>1.3173999999999999</v>
      </c>
      <c r="K2177" s="817"/>
      <c r="L2177" s="817"/>
    </row>
    <row r="2178" spans="1:12" ht="17.100000000000001" customHeight="1">
      <c r="A2178" s="626" t="s">
        <v>12709</v>
      </c>
      <c r="B2178" s="627" t="s">
        <v>13004</v>
      </c>
      <c r="C2178" s="626" t="s">
        <v>8</v>
      </c>
      <c r="D2178" s="626" t="s">
        <v>7388</v>
      </c>
      <c r="E2178" s="628" t="s">
        <v>23</v>
      </c>
      <c r="F2178" s="816" t="s">
        <v>13676</v>
      </c>
      <c r="G2178" s="816"/>
      <c r="H2178" s="816">
        <v>3.7641179999999999</v>
      </c>
      <c r="I2178" s="816"/>
      <c r="J2178" s="817">
        <v>8.2811000000000003</v>
      </c>
      <c r="K2178" s="817"/>
      <c r="L2178" s="817"/>
    </row>
    <row r="2179" spans="1:12" ht="17.100000000000001" customHeight="1">
      <c r="A2179" s="636"/>
      <c r="B2179" s="636"/>
      <c r="C2179" s="636"/>
      <c r="D2179" s="636"/>
      <c r="E2179" s="636"/>
      <c r="F2179" s="636"/>
      <c r="G2179" s="636"/>
      <c r="H2179" s="636"/>
      <c r="I2179" s="636"/>
      <c r="J2179" s="636" t="s">
        <v>13675</v>
      </c>
      <c r="K2179" s="636"/>
      <c r="L2179" s="636" t="s">
        <v>14109</v>
      </c>
    </row>
    <row r="2180" spans="1:12" ht="17.100000000000001" customHeight="1">
      <c r="A2180" s="612" t="s">
        <v>13673</v>
      </c>
      <c r="B2180" s="612"/>
      <c r="C2180" s="612"/>
      <c r="D2180" s="612"/>
      <c r="E2180" s="612"/>
      <c r="F2180" s="612"/>
      <c r="G2180" s="612"/>
      <c r="H2180" s="612"/>
      <c r="I2180" s="612"/>
      <c r="J2180" s="612"/>
      <c r="K2180" s="612"/>
      <c r="L2180" s="612"/>
    </row>
    <row r="2181" spans="1:12" ht="17.100000000000001" customHeight="1">
      <c r="A2181" s="636"/>
      <c r="B2181" s="636"/>
      <c r="C2181" s="636"/>
      <c r="D2181" s="636"/>
      <c r="E2181" s="636"/>
      <c r="F2181" s="636"/>
      <c r="G2181" s="636"/>
      <c r="H2181" s="636"/>
      <c r="I2181" s="636"/>
      <c r="J2181" s="636" t="s">
        <v>13672</v>
      </c>
      <c r="K2181" s="636"/>
      <c r="L2181" s="636" t="s">
        <v>14987</v>
      </c>
    </row>
    <row r="2182" spans="1:12" ht="17.100000000000001" customHeight="1">
      <c r="A2182" s="636"/>
      <c r="B2182" s="636"/>
      <c r="C2182" s="636"/>
      <c r="D2182" s="636"/>
      <c r="E2182" s="636"/>
      <c r="F2182" s="636"/>
      <c r="G2182" s="636"/>
      <c r="H2182" s="636"/>
      <c r="I2182" s="636"/>
      <c r="J2182" s="636" t="s">
        <v>13671</v>
      </c>
      <c r="K2182" s="636" t="s">
        <v>14461</v>
      </c>
      <c r="L2182" s="636" t="s">
        <v>14988</v>
      </c>
    </row>
    <row r="2183" spans="1:12" ht="17.100000000000001" customHeight="1">
      <c r="A2183" s="636"/>
      <c r="B2183" s="636"/>
      <c r="C2183" s="636"/>
      <c r="D2183" s="636"/>
      <c r="E2183" s="636"/>
      <c r="F2183" s="636"/>
      <c r="G2183" s="636"/>
      <c r="H2183" s="636"/>
      <c r="I2183" s="636"/>
      <c r="J2183" s="636" t="s">
        <v>13670</v>
      </c>
      <c r="K2183" s="636"/>
      <c r="L2183" s="636" t="s">
        <v>14989</v>
      </c>
    </row>
    <row r="2184" spans="1:12" ht="30" customHeight="1">
      <c r="A2184" s="636"/>
      <c r="B2184" s="636"/>
      <c r="C2184" s="636"/>
      <c r="D2184" s="636"/>
      <c r="E2184" s="636"/>
      <c r="F2184" s="636"/>
      <c r="G2184" s="636"/>
      <c r="H2184" s="636"/>
      <c r="I2184" s="636"/>
      <c r="J2184" s="636" t="s">
        <v>13669</v>
      </c>
      <c r="K2184" s="636" t="s">
        <v>13667</v>
      </c>
      <c r="L2184" s="636" t="s">
        <v>14990</v>
      </c>
    </row>
    <row r="2185" spans="1:12" ht="48" customHeight="1">
      <c r="A2185" s="636"/>
      <c r="B2185" s="636"/>
      <c r="C2185" s="636"/>
      <c r="D2185" s="636"/>
      <c r="E2185" s="636"/>
      <c r="F2185" s="636"/>
      <c r="G2185" s="636"/>
      <c r="H2185" s="636"/>
      <c r="I2185" s="636"/>
      <c r="J2185" s="636" t="s">
        <v>13668</v>
      </c>
      <c r="K2185" s="636"/>
      <c r="L2185" s="636" t="s">
        <v>14991</v>
      </c>
    </row>
    <row r="2186" spans="1:12" ht="14.25" customHeight="1">
      <c r="A2186" s="637"/>
      <c r="B2186" s="637"/>
      <c r="C2186" s="637"/>
      <c r="D2186" s="637"/>
      <c r="E2186" s="637"/>
      <c r="F2186" s="637"/>
      <c r="G2186" s="637"/>
      <c r="H2186" s="637"/>
      <c r="I2186" s="637"/>
      <c r="J2186" s="637"/>
      <c r="K2186" s="637"/>
      <c r="L2186" s="637"/>
    </row>
    <row r="2187" spans="1:12" ht="17.100000000000001" customHeight="1">
      <c r="A2187" s="616" t="s">
        <v>14210</v>
      </c>
      <c r="B2187" s="617" t="s">
        <v>13633</v>
      </c>
      <c r="C2187" s="616" t="s">
        <v>8</v>
      </c>
      <c r="D2187" s="616" t="s">
        <v>55</v>
      </c>
      <c r="E2187" s="618" t="s">
        <v>12730</v>
      </c>
      <c r="F2187" s="617"/>
      <c r="G2187" s="617"/>
      <c r="H2187" s="617"/>
      <c r="I2187" s="617"/>
      <c r="J2187" s="617"/>
      <c r="K2187" s="617"/>
      <c r="L2187" s="617"/>
    </row>
    <row r="2188" spans="1:12" ht="24" customHeight="1">
      <c r="A2188" s="802" t="s">
        <v>12711</v>
      </c>
      <c r="B2188" s="802"/>
      <c r="C2188" s="802"/>
      <c r="D2188" s="802"/>
      <c r="E2188" s="802"/>
      <c r="F2188" s="802"/>
      <c r="G2188" s="802"/>
      <c r="H2188" s="802"/>
      <c r="I2188" s="612"/>
      <c r="J2188" s="612"/>
      <c r="K2188" s="612"/>
      <c r="L2188" s="612"/>
    </row>
    <row r="2189" spans="1:12" ht="24" customHeight="1">
      <c r="A2189" s="612" t="s">
        <v>13679</v>
      </c>
      <c r="B2189" s="636" t="s">
        <v>12698</v>
      </c>
      <c r="C2189" s="612" t="s">
        <v>12699</v>
      </c>
      <c r="D2189" s="612" t="s">
        <v>12700</v>
      </c>
      <c r="E2189" s="637" t="s">
        <v>12702</v>
      </c>
      <c r="F2189" s="801" t="s">
        <v>12704</v>
      </c>
      <c r="G2189" s="801"/>
      <c r="H2189" s="801" t="s">
        <v>13678</v>
      </c>
      <c r="I2189" s="801"/>
      <c r="J2189" s="801" t="s">
        <v>12705</v>
      </c>
      <c r="K2189" s="801"/>
      <c r="L2189" s="801"/>
    </row>
    <row r="2190" spans="1:12" ht="17.100000000000001" customHeight="1">
      <c r="A2190" s="626" t="s">
        <v>12709</v>
      </c>
      <c r="B2190" s="627" t="s">
        <v>12989</v>
      </c>
      <c r="C2190" s="626" t="s">
        <v>8</v>
      </c>
      <c r="D2190" s="626" t="s">
        <v>12342</v>
      </c>
      <c r="E2190" s="628" t="s">
        <v>35</v>
      </c>
      <c r="F2190" s="816" t="s">
        <v>14494</v>
      </c>
      <c r="G2190" s="816"/>
      <c r="H2190" s="816">
        <v>3.3110000000000002E-4</v>
      </c>
      <c r="I2190" s="816"/>
      <c r="J2190" s="817">
        <v>0.80200000000000005</v>
      </c>
      <c r="K2190" s="817"/>
      <c r="L2190" s="817"/>
    </row>
    <row r="2191" spans="1:12" ht="14.25" customHeight="1">
      <c r="A2191" s="626" t="s">
        <v>12709</v>
      </c>
      <c r="B2191" s="627" t="s">
        <v>13032</v>
      </c>
      <c r="C2191" s="626" t="s">
        <v>8</v>
      </c>
      <c r="D2191" s="626" t="s">
        <v>9217</v>
      </c>
      <c r="E2191" s="628" t="s">
        <v>23</v>
      </c>
      <c r="F2191" s="816" t="s">
        <v>13741</v>
      </c>
      <c r="G2191" s="816"/>
      <c r="H2191" s="816">
        <v>1.8448028999999999</v>
      </c>
      <c r="I2191" s="816"/>
      <c r="J2191" s="817">
        <v>1.9923999999999999</v>
      </c>
      <c r="K2191" s="817"/>
      <c r="L2191" s="817"/>
    </row>
    <row r="2192" spans="1:12" ht="17.100000000000001" customHeight="1">
      <c r="A2192" s="626" t="s">
        <v>12709</v>
      </c>
      <c r="B2192" s="627" t="s">
        <v>13031</v>
      </c>
      <c r="C2192" s="626" t="s">
        <v>8</v>
      </c>
      <c r="D2192" s="626" t="s">
        <v>9364</v>
      </c>
      <c r="E2192" s="628" t="s">
        <v>23</v>
      </c>
      <c r="F2192" s="816" t="s">
        <v>13740</v>
      </c>
      <c r="G2192" s="816"/>
      <c r="H2192" s="816">
        <v>1.8448028999999999</v>
      </c>
      <c r="I2192" s="816"/>
      <c r="J2192" s="817">
        <v>0.62719999999999998</v>
      </c>
      <c r="K2192" s="817"/>
      <c r="L2192" s="817"/>
    </row>
    <row r="2193" spans="1:12" ht="24" customHeight="1">
      <c r="A2193" s="626" t="s">
        <v>12709</v>
      </c>
      <c r="B2193" s="627" t="s">
        <v>13052</v>
      </c>
      <c r="C2193" s="626" t="s">
        <v>8</v>
      </c>
      <c r="D2193" s="626" t="s">
        <v>9229</v>
      </c>
      <c r="E2193" s="628" t="s">
        <v>23</v>
      </c>
      <c r="F2193" s="816" t="s">
        <v>13692</v>
      </c>
      <c r="G2193" s="816"/>
      <c r="H2193" s="816">
        <v>1.8448028999999999</v>
      </c>
      <c r="I2193" s="816"/>
      <c r="J2193" s="817">
        <v>1.7709999999999999</v>
      </c>
      <c r="K2193" s="817"/>
      <c r="L2193" s="817"/>
    </row>
    <row r="2194" spans="1:12" ht="24" customHeight="1">
      <c r="A2194" s="626" t="s">
        <v>12709</v>
      </c>
      <c r="B2194" s="627" t="s">
        <v>13051</v>
      </c>
      <c r="C2194" s="626" t="s">
        <v>8</v>
      </c>
      <c r="D2194" s="626" t="s">
        <v>9376</v>
      </c>
      <c r="E2194" s="628" t="s">
        <v>23</v>
      </c>
      <c r="F2194" s="816" t="s">
        <v>13691</v>
      </c>
      <c r="G2194" s="816"/>
      <c r="H2194" s="816">
        <v>1.8448028999999999</v>
      </c>
      <c r="I2194" s="816"/>
      <c r="J2194" s="817">
        <v>0.9224</v>
      </c>
      <c r="K2194" s="817"/>
      <c r="L2194" s="817"/>
    </row>
    <row r="2195" spans="1:12" ht="17.100000000000001" customHeight="1">
      <c r="A2195" s="626" t="s">
        <v>12709</v>
      </c>
      <c r="B2195" s="627" t="s">
        <v>13048</v>
      </c>
      <c r="C2195" s="626" t="s">
        <v>8</v>
      </c>
      <c r="D2195" s="626" t="s">
        <v>9233</v>
      </c>
      <c r="E2195" s="628" t="s">
        <v>23</v>
      </c>
      <c r="F2195" s="816" t="s">
        <v>13690</v>
      </c>
      <c r="G2195" s="816"/>
      <c r="H2195" s="816">
        <v>5.5344085999999999</v>
      </c>
      <c r="I2195" s="816"/>
      <c r="J2195" s="817">
        <v>5.6451000000000002</v>
      </c>
      <c r="K2195" s="817"/>
      <c r="L2195" s="817"/>
    </row>
    <row r="2196" spans="1:12" ht="25.5">
      <c r="A2196" s="626" t="s">
        <v>12709</v>
      </c>
      <c r="B2196" s="627" t="s">
        <v>13047</v>
      </c>
      <c r="C2196" s="626" t="s">
        <v>8</v>
      </c>
      <c r="D2196" s="626" t="s">
        <v>9380</v>
      </c>
      <c r="E2196" s="628" t="s">
        <v>23</v>
      </c>
      <c r="F2196" s="816" t="s">
        <v>13689</v>
      </c>
      <c r="G2196" s="816"/>
      <c r="H2196" s="816">
        <v>5.5344085999999999</v>
      </c>
      <c r="I2196" s="816"/>
      <c r="J2196" s="817">
        <v>2.1031</v>
      </c>
      <c r="K2196" s="817"/>
      <c r="L2196" s="817"/>
    </row>
    <row r="2197" spans="1:12" ht="17.100000000000001" customHeight="1">
      <c r="A2197" s="636"/>
      <c r="B2197" s="636"/>
      <c r="C2197" s="636"/>
      <c r="D2197" s="636"/>
      <c r="E2197" s="636"/>
      <c r="F2197" s="636"/>
      <c r="G2197" s="636"/>
      <c r="H2197" s="636"/>
      <c r="I2197" s="636"/>
      <c r="J2197" s="636" t="s">
        <v>13675</v>
      </c>
      <c r="K2197" s="636"/>
      <c r="L2197" s="636" t="s">
        <v>14493</v>
      </c>
    </row>
    <row r="2198" spans="1:12" ht="24" customHeight="1">
      <c r="A2198" s="802" t="s">
        <v>12710</v>
      </c>
      <c r="B2198" s="802"/>
      <c r="C2198" s="802"/>
      <c r="D2198" s="802"/>
      <c r="E2198" s="802"/>
      <c r="F2198" s="802"/>
      <c r="G2198" s="802"/>
      <c r="H2198" s="802"/>
      <c r="I2198" s="612"/>
      <c r="J2198" s="612"/>
      <c r="K2198" s="612"/>
      <c r="L2198" s="612"/>
    </row>
    <row r="2199" spans="1:12" ht="36" customHeight="1">
      <c r="A2199" s="612" t="s">
        <v>13679</v>
      </c>
      <c r="B2199" s="636" t="s">
        <v>12698</v>
      </c>
      <c r="C2199" s="612" t="s">
        <v>12699</v>
      </c>
      <c r="D2199" s="612" t="s">
        <v>12700</v>
      </c>
      <c r="E2199" s="637" t="s">
        <v>12702</v>
      </c>
      <c r="F2199" s="801" t="s">
        <v>12704</v>
      </c>
      <c r="G2199" s="801"/>
      <c r="H2199" s="801" t="s">
        <v>13678</v>
      </c>
      <c r="I2199" s="801"/>
      <c r="J2199" s="801" t="s">
        <v>12705</v>
      </c>
      <c r="K2199" s="801"/>
      <c r="L2199" s="801"/>
    </row>
    <row r="2200" spans="1:12" ht="24" customHeight="1">
      <c r="A2200" s="626" t="s">
        <v>12709</v>
      </c>
      <c r="B2200" s="627" t="s">
        <v>13212</v>
      </c>
      <c r="C2200" s="626" t="s">
        <v>8</v>
      </c>
      <c r="D2200" s="626" t="s">
        <v>8293</v>
      </c>
      <c r="E2200" s="628" t="s">
        <v>23</v>
      </c>
      <c r="F2200" s="816" t="s">
        <v>14470</v>
      </c>
      <c r="G2200" s="816"/>
      <c r="H2200" s="816">
        <v>1.8599138</v>
      </c>
      <c r="I2200" s="816"/>
      <c r="J2200" s="817">
        <v>12.852</v>
      </c>
      <c r="K2200" s="817"/>
      <c r="L2200" s="817"/>
    </row>
    <row r="2201" spans="1:12" ht="17.100000000000001" customHeight="1">
      <c r="A2201" s="626" t="s">
        <v>12709</v>
      </c>
      <c r="B2201" s="627" t="s">
        <v>13099</v>
      </c>
      <c r="C2201" s="626" t="s">
        <v>8</v>
      </c>
      <c r="D2201" s="626" t="s">
        <v>10726</v>
      </c>
      <c r="E2201" s="628" t="s">
        <v>23</v>
      </c>
      <c r="F2201" s="816" t="s">
        <v>14470</v>
      </c>
      <c r="G2201" s="816"/>
      <c r="H2201" s="816">
        <v>1.8722776000000001</v>
      </c>
      <c r="I2201" s="816"/>
      <c r="J2201" s="817">
        <v>12.9374</v>
      </c>
      <c r="K2201" s="817"/>
      <c r="L2201" s="817"/>
    </row>
    <row r="2202" spans="1:12" ht="25.5">
      <c r="A2202" s="626" t="s">
        <v>12709</v>
      </c>
      <c r="B2202" s="627" t="s">
        <v>13046</v>
      </c>
      <c r="C2202" s="626" t="s">
        <v>8</v>
      </c>
      <c r="D2202" s="626" t="s">
        <v>11281</v>
      </c>
      <c r="E2202" s="628" t="s">
        <v>23</v>
      </c>
      <c r="F2202" s="816" t="s">
        <v>13731</v>
      </c>
      <c r="G2202" s="816"/>
      <c r="H2202" s="816">
        <v>5.6168328000000001</v>
      </c>
      <c r="I2202" s="816"/>
      <c r="J2202" s="817">
        <v>28.8705</v>
      </c>
      <c r="K2202" s="817"/>
      <c r="L2202" s="817"/>
    </row>
    <row r="2203" spans="1:12" ht="17.100000000000001" customHeight="1">
      <c r="A2203" s="636"/>
      <c r="B2203" s="636"/>
      <c r="C2203" s="636"/>
      <c r="D2203" s="636"/>
      <c r="E2203" s="636"/>
      <c r="F2203" s="636"/>
      <c r="G2203" s="636"/>
      <c r="H2203" s="636"/>
      <c r="I2203" s="636"/>
      <c r="J2203" s="636" t="s">
        <v>13675</v>
      </c>
      <c r="K2203" s="636"/>
      <c r="L2203" s="636" t="s">
        <v>14492</v>
      </c>
    </row>
    <row r="2204" spans="1:12" ht="24" customHeight="1">
      <c r="A2204" s="802" t="s">
        <v>12720</v>
      </c>
      <c r="B2204" s="802"/>
      <c r="C2204" s="802"/>
      <c r="D2204" s="802"/>
      <c r="E2204" s="802"/>
      <c r="F2204" s="802"/>
      <c r="G2204" s="802"/>
      <c r="H2204" s="802"/>
      <c r="I2204" s="612"/>
      <c r="J2204" s="612"/>
      <c r="K2204" s="612"/>
      <c r="L2204" s="612"/>
    </row>
    <row r="2205" spans="1:12" ht="17.100000000000001" customHeight="1">
      <c r="A2205" s="612" t="s">
        <v>13679</v>
      </c>
      <c r="B2205" s="636" t="s">
        <v>12698</v>
      </c>
      <c r="C2205" s="612" t="s">
        <v>12699</v>
      </c>
      <c r="D2205" s="612" t="s">
        <v>12700</v>
      </c>
      <c r="E2205" s="637" t="s">
        <v>12702</v>
      </c>
      <c r="F2205" s="801" t="s">
        <v>12704</v>
      </c>
      <c r="G2205" s="801"/>
      <c r="H2205" s="801" t="s">
        <v>13678</v>
      </c>
      <c r="I2205" s="801"/>
      <c r="J2205" s="801" t="s">
        <v>12705</v>
      </c>
      <c r="K2205" s="801"/>
      <c r="L2205" s="801"/>
    </row>
    <row r="2206" spans="1:12" ht="25.5">
      <c r="A2206" s="626" t="s">
        <v>12709</v>
      </c>
      <c r="B2206" s="627" t="s">
        <v>12987</v>
      </c>
      <c r="C2206" s="626" t="s">
        <v>8</v>
      </c>
      <c r="D2206" s="626" t="s">
        <v>9192</v>
      </c>
      <c r="E2206" s="628" t="s">
        <v>12923</v>
      </c>
      <c r="F2206" s="816" t="s">
        <v>13999</v>
      </c>
      <c r="G2206" s="816"/>
      <c r="H2206" s="816">
        <v>0.83945530000000002</v>
      </c>
      <c r="I2206" s="816"/>
      <c r="J2206" s="817">
        <v>0.68</v>
      </c>
      <c r="K2206" s="817"/>
      <c r="L2206" s="817"/>
    </row>
    <row r="2207" spans="1:12" ht="17.100000000000001" customHeight="1">
      <c r="A2207" s="636"/>
      <c r="B2207" s="636"/>
      <c r="C2207" s="636"/>
      <c r="D2207" s="636"/>
      <c r="E2207" s="636"/>
      <c r="F2207" s="636"/>
      <c r="G2207" s="636"/>
      <c r="H2207" s="636"/>
      <c r="I2207" s="636"/>
      <c r="J2207" s="636" t="s">
        <v>13675</v>
      </c>
      <c r="K2207" s="636"/>
      <c r="L2207" s="636" t="s">
        <v>13827</v>
      </c>
    </row>
    <row r="2208" spans="1:12" ht="24" customHeight="1">
      <c r="A2208" s="802" t="s">
        <v>12722</v>
      </c>
      <c r="B2208" s="802"/>
      <c r="C2208" s="802"/>
      <c r="D2208" s="802"/>
      <c r="E2208" s="802"/>
      <c r="F2208" s="802"/>
      <c r="G2208" s="802"/>
      <c r="H2208" s="802"/>
      <c r="I2208" s="612"/>
      <c r="J2208" s="612"/>
      <c r="K2208" s="612"/>
      <c r="L2208" s="612"/>
    </row>
    <row r="2209" spans="1:12" ht="17.100000000000001" customHeight="1">
      <c r="A2209" s="612" t="s">
        <v>13679</v>
      </c>
      <c r="B2209" s="636" t="s">
        <v>12698</v>
      </c>
      <c r="C2209" s="612" t="s">
        <v>12699</v>
      </c>
      <c r="D2209" s="612" t="s">
        <v>12700</v>
      </c>
      <c r="E2209" s="637" t="s">
        <v>12702</v>
      </c>
      <c r="F2209" s="801" t="s">
        <v>12704</v>
      </c>
      <c r="G2209" s="801"/>
      <c r="H2209" s="801" t="s">
        <v>13678</v>
      </c>
      <c r="I2209" s="801"/>
      <c r="J2209" s="801" t="s">
        <v>12705</v>
      </c>
      <c r="K2209" s="801"/>
      <c r="L2209" s="801"/>
    </row>
    <row r="2210" spans="1:12" ht="25.5">
      <c r="A2210" s="626" t="s">
        <v>12709</v>
      </c>
      <c r="B2210" s="627" t="s">
        <v>12998</v>
      </c>
      <c r="C2210" s="626" t="s">
        <v>8</v>
      </c>
      <c r="D2210" s="626" t="s">
        <v>11861</v>
      </c>
      <c r="E2210" s="628" t="s">
        <v>23</v>
      </c>
      <c r="F2210" s="816" t="s">
        <v>13683</v>
      </c>
      <c r="G2210" s="816"/>
      <c r="H2210" s="816">
        <v>9.2240143000000003</v>
      </c>
      <c r="I2210" s="816"/>
      <c r="J2210" s="817">
        <v>6.5491000000000001</v>
      </c>
      <c r="K2210" s="817"/>
      <c r="L2210" s="817"/>
    </row>
    <row r="2211" spans="1:12" ht="17.100000000000001" customHeight="1">
      <c r="A2211" s="636"/>
      <c r="B2211" s="636"/>
      <c r="C2211" s="636"/>
      <c r="D2211" s="636"/>
      <c r="E2211" s="636"/>
      <c r="F2211" s="636"/>
      <c r="G2211" s="636"/>
      <c r="H2211" s="636"/>
      <c r="I2211" s="636"/>
      <c r="J2211" s="636" t="s">
        <v>13675</v>
      </c>
      <c r="K2211" s="636"/>
      <c r="L2211" s="636" t="s">
        <v>13739</v>
      </c>
    </row>
    <row r="2212" spans="1:12" ht="24" customHeight="1">
      <c r="A2212" s="802" t="s">
        <v>12713</v>
      </c>
      <c r="B2212" s="802"/>
      <c r="C2212" s="802"/>
      <c r="D2212" s="802"/>
      <c r="E2212" s="802"/>
      <c r="F2212" s="802"/>
      <c r="G2212" s="802"/>
      <c r="H2212" s="802"/>
      <c r="I2212" s="612"/>
      <c r="J2212" s="612"/>
      <c r="K2212" s="612"/>
      <c r="L2212" s="612"/>
    </row>
    <row r="2213" spans="1:12" ht="24" customHeight="1">
      <c r="A2213" s="612" t="s">
        <v>13679</v>
      </c>
      <c r="B2213" s="636" t="s">
        <v>12698</v>
      </c>
      <c r="C2213" s="612" t="s">
        <v>12699</v>
      </c>
      <c r="D2213" s="612" t="s">
        <v>12700</v>
      </c>
      <c r="E2213" s="637" t="s">
        <v>12702</v>
      </c>
      <c r="F2213" s="801" t="s">
        <v>12704</v>
      </c>
      <c r="G2213" s="801"/>
      <c r="H2213" s="801" t="s">
        <v>13678</v>
      </c>
      <c r="I2213" s="801"/>
      <c r="J2213" s="801" t="s">
        <v>12705</v>
      </c>
      <c r="K2213" s="801"/>
      <c r="L2213" s="801"/>
    </row>
    <row r="2214" spans="1:12" ht="17.100000000000001" customHeight="1">
      <c r="A2214" s="626" t="s">
        <v>12709</v>
      </c>
      <c r="B2214" s="627" t="s">
        <v>12999</v>
      </c>
      <c r="C2214" s="626" t="s">
        <v>8</v>
      </c>
      <c r="D2214" s="626" t="s">
        <v>11251</v>
      </c>
      <c r="E2214" s="628" t="s">
        <v>23</v>
      </c>
      <c r="F2214" s="816" t="s">
        <v>13681</v>
      </c>
      <c r="G2214" s="816"/>
      <c r="H2214" s="816">
        <v>9.2240143000000003</v>
      </c>
      <c r="I2214" s="816"/>
      <c r="J2214" s="817">
        <v>0.64570000000000005</v>
      </c>
      <c r="K2214" s="817"/>
      <c r="L2214" s="817"/>
    </row>
    <row r="2215" spans="1:12" ht="17.100000000000001" customHeight="1">
      <c r="A2215" s="636"/>
      <c r="B2215" s="636"/>
      <c r="C2215" s="636"/>
      <c r="D2215" s="636"/>
      <c r="E2215" s="636"/>
      <c r="F2215" s="636"/>
      <c r="G2215" s="636"/>
      <c r="H2215" s="636"/>
      <c r="I2215" s="636"/>
      <c r="J2215" s="636" t="s">
        <v>13675</v>
      </c>
      <c r="K2215" s="636"/>
      <c r="L2215" s="636" t="s">
        <v>13738</v>
      </c>
    </row>
    <row r="2216" spans="1:12" ht="17.100000000000001" customHeight="1">
      <c r="A2216" s="802" t="s">
        <v>12712</v>
      </c>
      <c r="B2216" s="802"/>
      <c r="C2216" s="802"/>
      <c r="D2216" s="802"/>
      <c r="E2216" s="802"/>
      <c r="F2216" s="802"/>
      <c r="G2216" s="802"/>
      <c r="H2216" s="802"/>
      <c r="I2216" s="612"/>
      <c r="J2216" s="612"/>
      <c r="K2216" s="612"/>
      <c r="L2216" s="612"/>
    </row>
    <row r="2217" spans="1:12" ht="17.100000000000001" customHeight="1">
      <c r="A2217" s="612" t="s">
        <v>13679</v>
      </c>
      <c r="B2217" s="636" t="s">
        <v>12698</v>
      </c>
      <c r="C2217" s="612" t="s">
        <v>12699</v>
      </c>
      <c r="D2217" s="612" t="s">
        <v>12700</v>
      </c>
      <c r="E2217" s="637" t="s">
        <v>12702</v>
      </c>
      <c r="F2217" s="801" t="s">
        <v>12704</v>
      </c>
      <c r="G2217" s="801"/>
      <c r="H2217" s="801" t="s">
        <v>13678</v>
      </c>
      <c r="I2217" s="801"/>
      <c r="J2217" s="801" t="s">
        <v>12705</v>
      </c>
      <c r="K2217" s="801"/>
      <c r="L2217" s="801"/>
    </row>
    <row r="2218" spans="1:12" ht="17.100000000000001" customHeight="1">
      <c r="A2218" s="626" t="s">
        <v>12709</v>
      </c>
      <c r="B2218" s="627" t="s">
        <v>13002</v>
      </c>
      <c r="C2218" s="626" t="s">
        <v>8</v>
      </c>
      <c r="D2218" s="626" t="s">
        <v>9306</v>
      </c>
      <c r="E2218" s="628" t="s">
        <v>23</v>
      </c>
      <c r="F2218" s="816" t="s">
        <v>13677</v>
      </c>
      <c r="G2218" s="816"/>
      <c r="H2218" s="816">
        <v>9.2240143000000003</v>
      </c>
      <c r="I2218" s="816"/>
      <c r="J2218" s="817">
        <v>3.2284000000000002</v>
      </c>
      <c r="K2218" s="817"/>
      <c r="L2218" s="817"/>
    </row>
    <row r="2219" spans="1:12" ht="17.100000000000001" customHeight="1">
      <c r="A2219" s="626" t="s">
        <v>12709</v>
      </c>
      <c r="B2219" s="627" t="s">
        <v>13004</v>
      </c>
      <c r="C2219" s="626" t="s">
        <v>8</v>
      </c>
      <c r="D2219" s="626" t="s">
        <v>7388</v>
      </c>
      <c r="E2219" s="628" t="s">
        <v>23</v>
      </c>
      <c r="F2219" s="816" t="s">
        <v>13676</v>
      </c>
      <c r="G2219" s="816"/>
      <c r="H2219" s="816">
        <v>9.2240143000000003</v>
      </c>
      <c r="I2219" s="816"/>
      <c r="J2219" s="817">
        <v>20.2928</v>
      </c>
      <c r="K2219" s="817"/>
      <c r="L2219" s="817"/>
    </row>
    <row r="2220" spans="1:12" ht="17.100000000000001" customHeight="1">
      <c r="A2220" s="636"/>
      <c r="B2220" s="636"/>
      <c r="C2220" s="636"/>
      <c r="D2220" s="636"/>
      <c r="E2220" s="636"/>
      <c r="F2220" s="636"/>
      <c r="G2220" s="636"/>
      <c r="H2220" s="636"/>
      <c r="I2220" s="636"/>
      <c r="J2220" s="636" t="s">
        <v>13675</v>
      </c>
      <c r="K2220" s="636"/>
      <c r="L2220" s="636" t="s">
        <v>13737</v>
      </c>
    </row>
    <row r="2221" spans="1:12" ht="30" customHeight="1">
      <c r="A2221" s="612" t="s">
        <v>13673</v>
      </c>
      <c r="B2221" s="612"/>
      <c r="C2221" s="612"/>
      <c r="D2221" s="612"/>
      <c r="E2221" s="612"/>
      <c r="F2221" s="612"/>
      <c r="G2221" s="612"/>
      <c r="H2221" s="612"/>
      <c r="I2221" s="612"/>
      <c r="J2221" s="612"/>
      <c r="K2221" s="612"/>
      <c r="L2221" s="612"/>
    </row>
    <row r="2222" spans="1:12" ht="48" customHeight="1">
      <c r="A2222" s="636"/>
      <c r="B2222" s="636"/>
      <c r="C2222" s="636"/>
      <c r="D2222" s="636"/>
      <c r="E2222" s="636"/>
      <c r="F2222" s="636"/>
      <c r="G2222" s="636"/>
      <c r="H2222" s="636"/>
      <c r="I2222" s="636"/>
      <c r="J2222" s="636" t="s">
        <v>13672</v>
      </c>
      <c r="K2222" s="636"/>
      <c r="L2222" s="636" t="s">
        <v>14992</v>
      </c>
    </row>
    <row r="2223" spans="1:12" ht="14.25" customHeight="1">
      <c r="A2223" s="636"/>
      <c r="B2223" s="636"/>
      <c r="C2223" s="636"/>
      <c r="D2223" s="636"/>
      <c r="E2223" s="636"/>
      <c r="F2223" s="636"/>
      <c r="G2223" s="636"/>
      <c r="H2223" s="636"/>
      <c r="I2223" s="636"/>
      <c r="J2223" s="636" t="s">
        <v>13671</v>
      </c>
      <c r="K2223" s="636" t="s">
        <v>14461</v>
      </c>
      <c r="L2223" s="636" t="s">
        <v>14993</v>
      </c>
    </row>
    <row r="2224" spans="1:12" ht="17.100000000000001" customHeight="1">
      <c r="A2224" s="636"/>
      <c r="B2224" s="636"/>
      <c r="C2224" s="636"/>
      <c r="D2224" s="636"/>
      <c r="E2224" s="636"/>
      <c r="F2224" s="636"/>
      <c r="G2224" s="636"/>
      <c r="H2224" s="636"/>
      <c r="I2224" s="636"/>
      <c r="J2224" s="636" t="s">
        <v>13670</v>
      </c>
      <c r="K2224" s="636"/>
      <c r="L2224" s="636" t="s">
        <v>14994</v>
      </c>
    </row>
    <row r="2225" spans="1:12" ht="24" customHeight="1">
      <c r="A2225" s="636"/>
      <c r="B2225" s="636"/>
      <c r="C2225" s="636"/>
      <c r="D2225" s="636"/>
      <c r="E2225" s="636"/>
      <c r="F2225" s="636"/>
      <c r="G2225" s="636"/>
      <c r="H2225" s="636"/>
      <c r="I2225" s="636"/>
      <c r="J2225" s="636" t="s">
        <v>13669</v>
      </c>
      <c r="K2225" s="636" t="s">
        <v>13667</v>
      </c>
      <c r="L2225" s="636" t="s">
        <v>14995</v>
      </c>
    </row>
    <row r="2226" spans="1:12" ht="24" customHeight="1">
      <c r="A2226" s="636"/>
      <c r="B2226" s="636"/>
      <c r="C2226" s="636"/>
      <c r="D2226" s="636"/>
      <c r="E2226" s="636"/>
      <c r="F2226" s="636"/>
      <c r="G2226" s="636"/>
      <c r="H2226" s="636"/>
      <c r="I2226" s="636"/>
      <c r="J2226" s="636" t="s">
        <v>13668</v>
      </c>
      <c r="K2226" s="636"/>
      <c r="L2226" s="636" t="s">
        <v>14996</v>
      </c>
    </row>
    <row r="2227" spans="1:12" ht="17.100000000000001" customHeight="1">
      <c r="A2227" s="637"/>
      <c r="B2227" s="637"/>
      <c r="C2227" s="637"/>
      <c r="D2227" s="637"/>
      <c r="E2227" s="637"/>
      <c r="F2227" s="637"/>
      <c r="G2227" s="637"/>
      <c r="H2227" s="637"/>
      <c r="I2227" s="637"/>
      <c r="J2227" s="637"/>
      <c r="K2227" s="637"/>
      <c r="L2227" s="637"/>
    </row>
    <row r="2228" spans="1:12" ht="14.25" customHeight="1">
      <c r="A2228" s="616" t="s">
        <v>14209</v>
      </c>
      <c r="B2228" s="617" t="s">
        <v>13628</v>
      </c>
      <c r="C2228" s="616" t="s">
        <v>8</v>
      </c>
      <c r="D2228" s="616" t="s">
        <v>2961</v>
      </c>
      <c r="E2228" s="618" t="s">
        <v>20</v>
      </c>
      <c r="F2228" s="617"/>
      <c r="G2228" s="617"/>
      <c r="H2228" s="617"/>
      <c r="I2228" s="617"/>
      <c r="J2228" s="617"/>
      <c r="K2228" s="617"/>
      <c r="L2228" s="617"/>
    </row>
    <row r="2229" spans="1:12" ht="17.100000000000001" customHeight="1">
      <c r="A2229" s="802" t="s">
        <v>12711</v>
      </c>
      <c r="B2229" s="802"/>
      <c r="C2229" s="802"/>
      <c r="D2229" s="802"/>
      <c r="E2229" s="802"/>
      <c r="F2229" s="802"/>
      <c r="G2229" s="802"/>
      <c r="H2229" s="802"/>
      <c r="I2229" s="612"/>
      <c r="J2229" s="612"/>
      <c r="K2229" s="612"/>
      <c r="L2229" s="612"/>
    </row>
    <row r="2230" spans="1:12" ht="24" customHeight="1">
      <c r="A2230" s="612" t="s">
        <v>13679</v>
      </c>
      <c r="B2230" s="636" t="s">
        <v>12698</v>
      </c>
      <c r="C2230" s="612" t="s">
        <v>12699</v>
      </c>
      <c r="D2230" s="612" t="s">
        <v>12700</v>
      </c>
      <c r="E2230" s="637" t="s">
        <v>12702</v>
      </c>
      <c r="F2230" s="801" t="s">
        <v>12704</v>
      </c>
      <c r="G2230" s="801"/>
      <c r="H2230" s="801" t="s">
        <v>13678</v>
      </c>
      <c r="I2230" s="801"/>
      <c r="J2230" s="801" t="s">
        <v>12705</v>
      </c>
      <c r="K2230" s="801"/>
      <c r="L2230" s="801"/>
    </row>
    <row r="2231" spans="1:12" ht="24" customHeight="1">
      <c r="A2231" s="626" t="s">
        <v>12709</v>
      </c>
      <c r="B2231" s="627" t="s">
        <v>13052</v>
      </c>
      <c r="C2231" s="626" t="s">
        <v>8</v>
      </c>
      <c r="D2231" s="626" t="s">
        <v>9229</v>
      </c>
      <c r="E2231" s="628" t="s">
        <v>23</v>
      </c>
      <c r="F2231" s="816" t="s">
        <v>13692</v>
      </c>
      <c r="G2231" s="816"/>
      <c r="H2231" s="816">
        <v>0.3475452</v>
      </c>
      <c r="I2231" s="816"/>
      <c r="J2231" s="817">
        <v>0.33360000000000001</v>
      </c>
      <c r="K2231" s="817"/>
      <c r="L2231" s="817"/>
    </row>
    <row r="2232" spans="1:12" ht="17.100000000000001" customHeight="1">
      <c r="A2232" s="626" t="s">
        <v>12709</v>
      </c>
      <c r="B2232" s="627" t="s">
        <v>13051</v>
      </c>
      <c r="C2232" s="626" t="s">
        <v>8</v>
      </c>
      <c r="D2232" s="626" t="s">
        <v>9376</v>
      </c>
      <c r="E2232" s="628" t="s">
        <v>23</v>
      </c>
      <c r="F2232" s="816" t="s">
        <v>13691</v>
      </c>
      <c r="G2232" s="816"/>
      <c r="H2232" s="816">
        <v>0.3475452</v>
      </c>
      <c r="I2232" s="816"/>
      <c r="J2232" s="817">
        <v>0.17380000000000001</v>
      </c>
      <c r="K2232" s="817"/>
      <c r="L2232" s="817"/>
    </row>
    <row r="2233" spans="1:12">
      <c r="A2233" s="636"/>
      <c r="B2233" s="636"/>
      <c r="C2233" s="636"/>
      <c r="D2233" s="636"/>
      <c r="E2233" s="636"/>
      <c r="F2233" s="636"/>
      <c r="G2233" s="636"/>
      <c r="H2233" s="636"/>
      <c r="I2233" s="636"/>
      <c r="J2233" s="636" t="s">
        <v>13675</v>
      </c>
      <c r="K2233" s="636"/>
      <c r="L2233" s="636" t="s">
        <v>13746</v>
      </c>
    </row>
    <row r="2234" spans="1:12" ht="17.100000000000001" customHeight="1">
      <c r="A2234" s="802" t="s">
        <v>12710</v>
      </c>
      <c r="B2234" s="802"/>
      <c r="C2234" s="802"/>
      <c r="D2234" s="802"/>
      <c r="E2234" s="802"/>
      <c r="F2234" s="802"/>
      <c r="G2234" s="802"/>
      <c r="H2234" s="802"/>
      <c r="I2234" s="612"/>
      <c r="J2234" s="612"/>
      <c r="K2234" s="612"/>
      <c r="L2234" s="612"/>
    </row>
    <row r="2235" spans="1:12" ht="24" customHeight="1">
      <c r="A2235" s="612" t="s">
        <v>13679</v>
      </c>
      <c r="B2235" s="636" t="s">
        <v>12698</v>
      </c>
      <c r="C2235" s="612" t="s">
        <v>12699</v>
      </c>
      <c r="D2235" s="612" t="s">
        <v>12700</v>
      </c>
      <c r="E2235" s="637" t="s">
        <v>12702</v>
      </c>
      <c r="F2235" s="801" t="s">
        <v>12704</v>
      </c>
      <c r="G2235" s="801"/>
      <c r="H2235" s="801" t="s">
        <v>13678</v>
      </c>
      <c r="I2235" s="801"/>
      <c r="J2235" s="801" t="s">
        <v>12705</v>
      </c>
      <c r="K2235" s="801"/>
      <c r="L2235" s="801"/>
    </row>
    <row r="2236" spans="1:12" ht="36" customHeight="1">
      <c r="A2236" s="626" t="s">
        <v>12709</v>
      </c>
      <c r="B2236" s="627" t="s">
        <v>13230</v>
      </c>
      <c r="C2236" s="626" t="s">
        <v>8</v>
      </c>
      <c r="D2236" s="626" t="s">
        <v>7362</v>
      </c>
      <c r="E2236" s="628" t="s">
        <v>23</v>
      </c>
      <c r="F2236" s="816" t="s">
        <v>14514</v>
      </c>
      <c r="G2236" s="816"/>
      <c r="H2236" s="816">
        <v>4.76648E-2</v>
      </c>
      <c r="I2236" s="816"/>
      <c r="J2236" s="817">
        <v>0.2293</v>
      </c>
      <c r="K2236" s="817"/>
      <c r="L2236" s="817"/>
    </row>
    <row r="2237" spans="1:12" ht="24" customHeight="1">
      <c r="A2237" s="626" t="s">
        <v>12709</v>
      </c>
      <c r="B2237" s="627" t="s">
        <v>13224</v>
      </c>
      <c r="C2237" s="626" t="s">
        <v>8</v>
      </c>
      <c r="D2237" s="626" t="s">
        <v>7556</v>
      </c>
      <c r="E2237" s="628" t="s">
        <v>23</v>
      </c>
      <c r="F2237" s="816" t="s">
        <v>14470</v>
      </c>
      <c r="G2237" s="816"/>
      <c r="H2237" s="816">
        <v>0.30244599999999999</v>
      </c>
      <c r="I2237" s="816"/>
      <c r="J2237" s="817">
        <v>2.0899000000000001</v>
      </c>
      <c r="K2237" s="817"/>
      <c r="L2237" s="817"/>
    </row>
    <row r="2238" spans="1:12" ht="17.100000000000001" customHeight="1">
      <c r="A2238" s="636"/>
      <c r="B2238" s="636"/>
      <c r="C2238" s="636"/>
      <c r="D2238" s="636"/>
      <c r="E2238" s="636"/>
      <c r="F2238" s="636"/>
      <c r="G2238" s="636"/>
      <c r="H2238" s="636"/>
      <c r="I2238" s="636"/>
      <c r="J2238" s="636" t="s">
        <v>13675</v>
      </c>
      <c r="K2238" s="636"/>
      <c r="L2238" s="636" t="s">
        <v>14714</v>
      </c>
    </row>
    <row r="2239" spans="1:12">
      <c r="A2239" s="802" t="s">
        <v>12720</v>
      </c>
      <c r="B2239" s="802"/>
      <c r="C2239" s="802"/>
      <c r="D2239" s="802"/>
      <c r="E2239" s="802"/>
      <c r="F2239" s="802"/>
      <c r="G2239" s="802"/>
      <c r="H2239" s="802"/>
      <c r="I2239" s="612"/>
      <c r="J2239" s="612"/>
      <c r="K2239" s="612"/>
      <c r="L2239" s="612"/>
    </row>
    <row r="2240" spans="1:12" ht="17.100000000000001" customHeight="1">
      <c r="A2240" s="612" t="s">
        <v>13679</v>
      </c>
      <c r="B2240" s="636" t="s">
        <v>12698</v>
      </c>
      <c r="C2240" s="612" t="s">
        <v>12699</v>
      </c>
      <c r="D2240" s="612" t="s">
        <v>12700</v>
      </c>
      <c r="E2240" s="637" t="s">
        <v>12702</v>
      </c>
      <c r="F2240" s="801" t="s">
        <v>12704</v>
      </c>
      <c r="G2240" s="801"/>
      <c r="H2240" s="801" t="s">
        <v>13678</v>
      </c>
      <c r="I2240" s="801"/>
      <c r="J2240" s="801" t="s">
        <v>12705</v>
      </c>
      <c r="K2240" s="801"/>
      <c r="L2240" s="801"/>
    </row>
    <row r="2241" spans="1:12" ht="24" customHeight="1">
      <c r="A2241" s="626" t="s">
        <v>12709</v>
      </c>
      <c r="B2241" s="627" t="s">
        <v>13311</v>
      </c>
      <c r="C2241" s="626" t="s">
        <v>8</v>
      </c>
      <c r="D2241" s="626" t="s">
        <v>7522</v>
      </c>
      <c r="E2241" s="628" t="s">
        <v>20</v>
      </c>
      <c r="F2241" s="816" t="s">
        <v>14521</v>
      </c>
      <c r="G2241" s="816"/>
      <c r="H2241" s="816">
        <v>2.5000000000000001E-2</v>
      </c>
      <c r="I2241" s="816"/>
      <c r="J2241" s="817">
        <v>0.34</v>
      </c>
      <c r="K2241" s="817"/>
      <c r="L2241" s="817"/>
    </row>
    <row r="2242" spans="1:12" ht="17.100000000000001" customHeight="1">
      <c r="A2242" s="626" t="s">
        <v>12709</v>
      </c>
      <c r="B2242" s="627" t="s">
        <v>13310</v>
      </c>
      <c r="C2242" s="626" t="s">
        <v>8</v>
      </c>
      <c r="D2242" s="626" t="s">
        <v>9265</v>
      </c>
      <c r="E2242" s="628" t="s">
        <v>35</v>
      </c>
      <c r="F2242" s="816" t="s">
        <v>13875</v>
      </c>
      <c r="G2242" s="816"/>
      <c r="H2242" s="816">
        <v>1.19</v>
      </c>
      <c r="I2242" s="816"/>
      <c r="J2242" s="817">
        <v>0.15</v>
      </c>
      <c r="K2242" s="817"/>
      <c r="L2242" s="817"/>
    </row>
    <row r="2243" spans="1:12" ht="25.5">
      <c r="A2243" s="626" t="s">
        <v>12709</v>
      </c>
      <c r="B2243" s="627" t="s">
        <v>13235</v>
      </c>
      <c r="C2243" s="626" t="s">
        <v>8</v>
      </c>
      <c r="D2243" s="626" t="s">
        <v>7268</v>
      </c>
      <c r="E2243" s="628" t="s">
        <v>20</v>
      </c>
      <c r="F2243" s="816" t="s">
        <v>14520</v>
      </c>
      <c r="G2243" s="816"/>
      <c r="H2243" s="816">
        <v>1.0658452</v>
      </c>
      <c r="I2243" s="816"/>
      <c r="J2243" s="817">
        <v>5.1906999999999996</v>
      </c>
      <c r="K2243" s="817"/>
      <c r="L2243" s="817"/>
    </row>
    <row r="2244" spans="1:12" ht="17.100000000000001" customHeight="1">
      <c r="A2244" s="636"/>
      <c r="B2244" s="636"/>
      <c r="C2244" s="636"/>
      <c r="D2244" s="636"/>
      <c r="E2244" s="636"/>
      <c r="F2244" s="636"/>
      <c r="G2244" s="636"/>
      <c r="H2244" s="636"/>
      <c r="I2244" s="636"/>
      <c r="J2244" s="636" t="s">
        <v>13675</v>
      </c>
      <c r="K2244" s="636"/>
      <c r="L2244" s="636" t="s">
        <v>14655</v>
      </c>
    </row>
    <row r="2245" spans="1:12" ht="24" customHeight="1">
      <c r="A2245" s="802" t="s">
        <v>12722</v>
      </c>
      <c r="B2245" s="802"/>
      <c r="C2245" s="802"/>
      <c r="D2245" s="802"/>
      <c r="E2245" s="802"/>
      <c r="F2245" s="802"/>
      <c r="G2245" s="802"/>
      <c r="H2245" s="802"/>
      <c r="I2245" s="612"/>
      <c r="J2245" s="612"/>
      <c r="K2245" s="612"/>
      <c r="L2245" s="612"/>
    </row>
    <row r="2246" spans="1:12" ht="17.100000000000001" customHeight="1">
      <c r="A2246" s="612" t="s">
        <v>13679</v>
      </c>
      <c r="B2246" s="636" t="s">
        <v>12698</v>
      </c>
      <c r="C2246" s="612" t="s">
        <v>12699</v>
      </c>
      <c r="D2246" s="612" t="s">
        <v>12700</v>
      </c>
      <c r="E2246" s="637" t="s">
        <v>12702</v>
      </c>
      <c r="F2246" s="801" t="s">
        <v>12704</v>
      </c>
      <c r="G2246" s="801"/>
      <c r="H2246" s="801" t="s">
        <v>13678</v>
      </c>
      <c r="I2246" s="801"/>
      <c r="J2246" s="801" t="s">
        <v>12705</v>
      </c>
      <c r="K2246" s="801"/>
      <c r="L2246" s="801"/>
    </row>
    <row r="2247" spans="1:12" ht="25.5">
      <c r="A2247" s="626" t="s">
        <v>12709</v>
      </c>
      <c r="B2247" s="627" t="s">
        <v>12998</v>
      </c>
      <c r="C2247" s="626" t="s">
        <v>8</v>
      </c>
      <c r="D2247" s="626" t="s">
        <v>11861</v>
      </c>
      <c r="E2247" s="628" t="s">
        <v>23</v>
      </c>
      <c r="F2247" s="816" t="s">
        <v>13683</v>
      </c>
      <c r="G2247" s="816"/>
      <c r="H2247" s="816">
        <v>0.3475452</v>
      </c>
      <c r="I2247" s="816"/>
      <c r="J2247" s="817">
        <v>0.24679999999999999</v>
      </c>
      <c r="K2247" s="817"/>
      <c r="L2247" s="817"/>
    </row>
    <row r="2248" spans="1:12" ht="17.100000000000001" customHeight="1">
      <c r="A2248" s="636"/>
      <c r="B2248" s="636"/>
      <c r="C2248" s="636"/>
      <c r="D2248" s="636"/>
      <c r="E2248" s="636"/>
      <c r="F2248" s="636"/>
      <c r="G2248" s="636"/>
      <c r="H2248" s="636"/>
      <c r="I2248" s="636"/>
      <c r="J2248" s="636" t="s">
        <v>13675</v>
      </c>
      <c r="K2248" s="636"/>
      <c r="L2248" s="636" t="s">
        <v>13915</v>
      </c>
    </row>
    <row r="2249" spans="1:12" ht="24" customHeight="1">
      <c r="A2249" s="802" t="s">
        <v>12713</v>
      </c>
      <c r="B2249" s="802"/>
      <c r="C2249" s="802"/>
      <c r="D2249" s="802"/>
      <c r="E2249" s="802"/>
      <c r="F2249" s="802"/>
      <c r="G2249" s="802"/>
      <c r="H2249" s="802"/>
      <c r="I2249" s="612"/>
      <c r="J2249" s="612"/>
      <c r="K2249" s="612"/>
      <c r="L2249" s="612"/>
    </row>
    <row r="2250" spans="1:12" ht="24" customHeight="1">
      <c r="A2250" s="612" t="s">
        <v>13679</v>
      </c>
      <c r="B2250" s="636" t="s">
        <v>12698</v>
      </c>
      <c r="C2250" s="612" t="s">
        <v>12699</v>
      </c>
      <c r="D2250" s="612" t="s">
        <v>12700</v>
      </c>
      <c r="E2250" s="637" t="s">
        <v>12702</v>
      </c>
      <c r="F2250" s="801" t="s">
        <v>12704</v>
      </c>
      <c r="G2250" s="801"/>
      <c r="H2250" s="801" t="s">
        <v>13678</v>
      </c>
      <c r="I2250" s="801"/>
      <c r="J2250" s="801" t="s">
        <v>12705</v>
      </c>
      <c r="K2250" s="801"/>
      <c r="L2250" s="801"/>
    </row>
    <row r="2251" spans="1:12" ht="17.100000000000001" customHeight="1">
      <c r="A2251" s="626" t="s">
        <v>12709</v>
      </c>
      <c r="B2251" s="627" t="s">
        <v>12999</v>
      </c>
      <c r="C2251" s="626" t="s">
        <v>8</v>
      </c>
      <c r="D2251" s="626" t="s">
        <v>11251</v>
      </c>
      <c r="E2251" s="628" t="s">
        <v>23</v>
      </c>
      <c r="F2251" s="816" t="s">
        <v>13681</v>
      </c>
      <c r="G2251" s="816"/>
      <c r="H2251" s="816">
        <v>0.3475452</v>
      </c>
      <c r="I2251" s="816"/>
      <c r="J2251" s="817">
        <v>2.4299999999999999E-2</v>
      </c>
      <c r="K2251" s="817"/>
      <c r="L2251" s="817"/>
    </row>
    <row r="2252" spans="1:12" ht="17.100000000000001" customHeight="1">
      <c r="A2252" s="636"/>
      <c r="B2252" s="636"/>
      <c r="C2252" s="636"/>
      <c r="D2252" s="636"/>
      <c r="E2252" s="636"/>
      <c r="F2252" s="636"/>
      <c r="G2252" s="636"/>
      <c r="H2252" s="636"/>
      <c r="I2252" s="636"/>
      <c r="J2252" s="636" t="s">
        <v>13675</v>
      </c>
      <c r="K2252" s="636"/>
      <c r="L2252" s="636" t="s">
        <v>13680</v>
      </c>
    </row>
    <row r="2253" spans="1:12" ht="17.100000000000001" customHeight="1">
      <c r="A2253" s="802" t="s">
        <v>12712</v>
      </c>
      <c r="B2253" s="802"/>
      <c r="C2253" s="802"/>
      <c r="D2253" s="802"/>
      <c r="E2253" s="802"/>
      <c r="F2253" s="802"/>
      <c r="G2253" s="802"/>
      <c r="H2253" s="802"/>
      <c r="I2253" s="612"/>
      <c r="J2253" s="612"/>
      <c r="K2253" s="612"/>
      <c r="L2253" s="612"/>
    </row>
    <row r="2254" spans="1:12" ht="17.100000000000001" customHeight="1">
      <c r="A2254" s="612" t="s">
        <v>13679</v>
      </c>
      <c r="B2254" s="636" t="s">
        <v>12698</v>
      </c>
      <c r="C2254" s="612" t="s">
        <v>12699</v>
      </c>
      <c r="D2254" s="612" t="s">
        <v>12700</v>
      </c>
      <c r="E2254" s="637" t="s">
        <v>12702</v>
      </c>
      <c r="F2254" s="801" t="s">
        <v>12704</v>
      </c>
      <c r="G2254" s="801"/>
      <c r="H2254" s="801" t="s">
        <v>13678</v>
      </c>
      <c r="I2254" s="801"/>
      <c r="J2254" s="801" t="s">
        <v>12705</v>
      </c>
      <c r="K2254" s="801"/>
      <c r="L2254" s="801"/>
    </row>
    <row r="2255" spans="1:12" ht="17.100000000000001" customHeight="1">
      <c r="A2255" s="626" t="s">
        <v>12709</v>
      </c>
      <c r="B2255" s="627" t="s">
        <v>13002</v>
      </c>
      <c r="C2255" s="626" t="s">
        <v>8</v>
      </c>
      <c r="D2255" s="626" t="s">
        <v>9306</v>
      </c>
      <c r="E2255" s="628" t="s">
        <v>23</v>
      </c>
      <c r="F2255" s="816" t="s">
        <v>13677</v>
      </c>
      <c r="G2255" s="816"/>
      <c r="H2255" s="816">
        <v>0.3475452</v>
      </c>
      <c r="I2255" s="816"/>
      <c r="J2255" s="817">
        <v>0.1216</v>
      </c>
      <c r="K2255" s="817"/>
      <c r="L2255" s="817"/>
    </row>
    <row r="2256" spans="1:12" ht="17.100000000000001" customHeight="1">
      <c r="A2256" s="626" t="s">
        <v>12709</v>
      </c>
      <c r="B2256" s="627" t="s">
        <v>13004</v>
      </c>
      <c r="C2256" s="626" t="s">
        <v>8</v>
      </c>
      <c r="D2256" s="626" t="s">
        <v>7388</v>
      </c>
      <c r="E2256" s="628" t="s">
        <v>23</v>
      </c>
      <c r="F2256" s="816" t="s">
        <v>13676</v>
      </c>
      <c r="G2256" s="816"/>
      <c r="H2256" s="816">
        <v>0.3475452</v>
      </c>
      <c r="I2256" s="816"/>
      <c r="J2256" s="817">
        <v>0.76459999999999995</v>
      </c>
      <c r="K2256" s="817"/>
      <c r="L2256" s="817"/>
    </row>
    <row r="2257" spans="1:12" ht="17.100000000000001" customHeight="1">
      <c r="A2257" s="636"/>
      <c r="B2257" s="636"/>
      <c r="C2257" s="636"/>
      <c r="D2257" s="636"/>
      <c r="E2257" s="636"/>
      <c r="F2257" s="636"/>
      <c r="G2257" s="636"/>
      <c r="H2257" s="636"/>
      <c r="I2257" s="636"/>
      <c r="J2257" s="636" t="s">
        <v>13675</v>
      </c>
      <c r="K2257" s="636"/>
      <c r="L2257" s="636" t="s">
        <v>13816</v>
      </c>
    </row>
    <row r="2258" spans="1:12" ht="30" customHeight="1">
      <c r="A2258" s="612" t="s">
        <v>13673</v>
      </c>
      <c r="B2258" s="612"/>
      <c r="C2258" s="612"/>
      <c r="D2258" s="612"/>
      <c r="E2258" s="612"/>
      <c r="F2258" s="612"/>
      <c r="G2258" s="612"/>
      <c r="H2258" s="612"/>
      <c r="I2258" s="612"/>
      <c r="J2258" s="612"/>
      <c r="K2258" s="612"/>
      <c r="L2258" s="612"/>
    </row>
    <row r="2259" spans="1:12" ht="48" customHeight="1">
      <c r="A2259" s="636"/>
      <c r="B2259" s="636"/>
      <c r="C2259" s="636"/>
      <c r="D2259" s="636"/>
      <c r="E2259" s="636"/>
      <c r="F2259" s="636"/>
      <c r="G2259" s="636"/>
      <c r="H2259" s="636"/>
      <c r="I2259" s="636"/>
      <c r="J2259" s="636" t="s">
        <v>13672</v>
      </c>
      <c r="K2259" s="636"/>
      <c r="L2259" s="636" t="s">
        <v>15016</v>
      </c>
    </row>
    <row r="2260" spans="1:12" ht="14.25" customHeight="1">
      <c r="A2260" s="636"/>
      <c r="B2260" s="636"/>
      <c r="C2260" s="636"/>
      <c r="D2260" s="636"/>
      <c r="E2260" s="636"/>
      <c r="F2260" s="636"/>
      <c r="G2260" s="636"/>
      <c r="H2260" s="636"/>
      <c r="I2260" s="636"/>
      <c r="J2260" s="636" t="s">
        <v>13671</v>
      </c>
      <c r="K2260" s="636" t="s">
        <v>14461</v>
      </c>
      <c r="L2260" s="636" t="s">
        <v>15017</v>
      </c>
    </row>
    <row r="2261" spans="1:12" ht="17.100000000000001" customHeight="1">
      <c r="A2261" s="636"/>
      <c r="B2261" s="636"/>
      <c r="C2261" s="636"/>
      <c r="D2261" s="636"/>
      <c r="E2261" s="636"/>
      <c r="F2261" s="636"/>
      <c r="G2261" s="636"/>
      <c r="H2261" s="636"/>
      <c r="I2261" s="636"/>
      <c r="J2261" s="636" t="s">
        <v>13670</v>
      </c>
      <c r="K2261" s="636"/>
      <c r="L2261" s="636" t="s">
        <v>15018</v>
      </c>
    </row>
    <row r="2262" spans="1:12" ht="24" customHeight="1">
      <c r="A2262" s="636"/>
      <c r="B2262" s="636"/>
      <c r="C2262" s="636"/>
      <c r="D2262" s="636"/>
      <c r="E2262" s="636"/>
      <c r="F2262" s="636"/>
      <c r="G2262" s="636"/>
      <c r="H2262" s="636"/>
      <c r="I2262" s="636"/>
      <c r="J2262" s="636" t="s">
        <v>13669</v>
      </c>
      <c r="K2262" s="636" t="s">
        <v>13667</v>
      </c>
      <c r="L2262" s="636" t="s">
        <v>15019</v>
      </c>
    </row>
    <row r="2263" spans="1:12" ht="24" customHeight="1">
      <c r="A2263" s="636"/>
      <c r="B2263" s="636"/>
      <c r="C2263" s="636"/>
      <c r="D2263" s="636"/>
      <c r="E2263" s="636"/>
      <c r="F2263" s="636"/>
      <c r="G2263" s="636"/>
      <c r="H2263" s="636"/>
      <c r="I2263" s="636"/>
      <c r="J2263" s="636" t="s">
        <v>13668</v>
      </c>
      <c r="K2263" s="636"/>
      <c r="L2263" s="636" t="s">
        <v>15020</v>
      </c>
    </row>
    <row r="2264" spans="1:12" ht="17.100000000000001" customHeight="1">
      <c r="A2264" s="637"/>
      <c r="B2264" s="637"/>
      <c r="C2264" s="637"/>
      <c r="D2264" s="637"/>
      <c r="E2264" s="637"/>
      <c r="F2264" s="637"/>
      <c r="G2264" s="637"/>
      <c r="H2264" s="637"/>
      <c r="I2264" s="637"/>
      <c r="J2264" s="637"/>
      <c r="K2264" s="637"/>
      <c r="L2264" s="637"/>
    </row>
    <row r="2265" spans="1:12" ht="14.25" customHeight="1">
      <c r="A2265" s="616" t="s">
        <v>14208</v>
      </c>
      <c r="B2265" s="617" t="s">
        <v>13615</v>
      </c>
      <c r="C2265" s="616" t="s">
        <v>8</v>
      </c>
      <c r="D2265" s="616" t="s">
        <v>2963</v>
      </c>
      <c r="E2265" s="618" t="s">
        <v>20</v>
      </c>
      <c r="F2265" s="617"/>
      <c r="G2265" s="617"/>
      <c r="H2265" s="617"/>
      <c r="I2265" s="617"/>
      <c r="J2265" s="617"/>
      <c r="K2265" s="617"/>
      <c r="L2265" s="617"/>
    </row>
    <row r="2266" spans="1:12" ht="17.100000000000001" customHeight="1">
      <c r="A2266" s="802" t="s">
        <v>12711</v>
      </c>
      <c r="B2266" s="802"/>
      <c r="C2266" s="802"/>
      <c r="D2266" s="802"/>
      <c r="E2266" s="802"/>
      <c r="F2266" s="802"/>
      <c r="G2266" s="802"/>
      <c r="H2266" s="802"/>
      <c r="I2266" s="612"/>
      <c r="J2266" s="612"/>
      <c r="K2266" s="612"/>
      <c r="L2266" s="612"/>
    </row>
    <row r="2267" spans="1:12" ht="24" customHeight="1">
      <c r="A2267" s="612" t="s">
        <v>13679</v>
      </c>
      <c r="B2267" s="636" t="s">
        <v>12698</v>
      </c>
      <c r="C2267" s="612" t="s">
        <v>12699</v>
      </c>
      <c r="D2267" s="612" t="s">
        <v>12700</v>
      </c>
      <c r="E2267" s="637" t="s">
        <v>12702</v>
      </c>
      <c r="F2267" s="801" t="s">
        <v>12704</v>
      </c>
      <c r="G2267" s="801"/>
      <c r="H2267" s="801" t="s">
        <v>13678</v>
      </c>
      <c r="I2267" s="801"/>
      <c r="J2267" s="801" t="s">
        <v>12705</v>
      </c>
      <c r="K2267" s="801"/>
      <c r="L2267" s="801"/>
    </row>
    <row r="2268" spans="1:12" ht="24" customHeight="1">
      <c r="A2268" s="626" t="s">
        <v>12709</v>
      </c>
      <c r="B2268" s="627" t="s">
        <v>13052</v>
      </c>
      <c r="C2268" s="626" t="s">
        <v>8</v>
      </c>
      <c r="D2268" s="626" t="s">
        <v>9229</v>
      </c>
      <c r="E2268" s="628" t="s">
        <v>23</v>
      </c>
      <c r="F2268" s="816" t="s">
        <v>13692</v>
      </c>
      <c r="G2268" s="816"/>
      <c r="H2268" s="816">
        <v>0.17358080000000001</v>
      </c>
      <c r="I2268" s="816"/>
      <c r="J2268" s="817">
        <v>0.1666</v>
      </c>
      <c r="K2268" s="817"/>
      <c r="L2268" s="817"/>
    </row>
    <row r="2269" spans="1:12" ht="17.100000000000001" customHeight="1">
      <c r="A2269" s="626" t="s">
        <v>12709</v>
      </c>
      <c r="B2269" s="627" t="s">
        <v>13051</v>
      </c>
      <c r="C2269" s="626" t="s">
        <v>8</v>
      </c>
      <c r="D2269" s="626" t="s">
        <v>9376</v>
      </c>
      <c r="E2269" s="628" t="s">
        <v>23</v>
      </c>
      <c r="F2269" s="816" t="s">
        <v>13691</v>
      </c>
      <c r="G2269" s="816"/>
      <c r="H2269" s="816">
        <v>0.17358080000000001</v>
      </c>
      <c r="I2269" s="816"/>
      <c r="J2269" s="817">
        <v>8.6800000000000002E-2</v>
      </c>
      <c r="K2269" s="817"/>
      <c r="L2269" s="817"/>
    </row>
    <row r="2270" spans="1:12">
      <c r="A2270" s="636"/>
      <c r="B2270" s="636"/>
      <c r="C2270" s="636"/>
      <c r="D2270" s="636"/>
      <c r="E2270" s="636"/>
      <c r="F2270" s="636"/>
      <c r="G2270" s="636"/>
      <c r="H2270" s="636"/>
      <c r="I2270" s="636"/>
      <c r="J2270" s="636" t="s">
        <v>13675</v>
      </c>
      <c r="K2270" s="636"/>
      <c r="L2270" s="636" t="s">
        <v>13915</v>
      </c>
    </row>
    <row r="2271" spans="1:12" ht="17.100000000000001" customHeight="1">
      <c r="A2271" s="802" t="s">
        <v>12710</v>
      </c>
      <c r="B2271" s="802"/>
      <c r="C2271" s="802"/>
      <c r="D2271" s="802"/>
      <c r="E2271" s="802"/>
      <c r="F2271" s="802"/>
      <c r="G2271" s="802"/>
      <c r="H2271" s="802"/>
      <c r="I2271" s="612"/>
      <c r="J2271" s="612"/>
      <c r="K2271" s="612"/>
      <c r="L2271" s="612"/>
    </row>
    <row r="2272" spans="1:12" ht="24" customHeight="1">
      <c r="A2272" s="612" t="s">
        <v>13679</v>
      </c>
      <c r="B2272" s="636" t="s">
        <v>12698</v>
      </c>
      <c r="C2272" s="612" t="s">
        <v>12699</v>
      </c>
      <c r="D2272" s="612" t="s">
        <v>12700</v>
      </c>
      <c r="E2272" s="637" t="s">
        <v>12702</v>
      </c>
      <c r="F2272" s="801" t="s">
        <v>12704</v>
      </c>
      <c r="G2272" s="801"/>
      <c r="H2272" s="801" t="s">
        <v>13678</v>
      </c>
      <c r="I2272" s="801"/>
      <c r="J2272" s="801" t="s">
        <v>12705</v>
      </c>
      <c r="K2272" s="801"/>
      <c r="L2272" s="801"/>
    </row>
    <row r="2273" spans="1:12" ht="36" customHeight="1">
      <c r="A2273" s="626" t="s">
        <v>12709</v>
      </c>
      <c r="B2273" s="627" t="s">
        <v>13230</v>
      </c>
      <c r="C2273" s="626" t="s">
        <v>8</v>
      </c>
      <c r="D2273" s="626" t="s">
        <v>7362</v>
      </c>
      <c r="E2273" s="628" t="s">
        <v>23</v>
      </c>
      <c r="F2273" s="816" t="s">
        <v>14514</v>
      </c>
      <c r="G2273" s="816"/>
      <c r="H2273" s="816">
        <v>2.3938500000000001E-2</v>
      </c>
      <c r="I2273" s="816"/>
      <c r="J2273" s="817">
        <v>0.11509999999999999</v>
      </c>
      <c r="K2273" s="817"/>
      <c r="L2273" s="817"/>
    </row>
    <row r="2274" spans="1:12" ht="24" customHeight="1">
      <c r="A2274" s="626" t="s">
        <v>12709</v>
      </c>
      <c r="B2274" s="627" t="s">
        <v>13224</v>
      </c>
      <c r="C2274" s="626" t="s">
        <v>8</v>
      </c>
      <c r="D2274" s="626" t="s">
        <v>7556</v>
      </c>
      <c r="E2274" s="628" t="s">
        <v>23</v>
      </c>
      <c r="F2274" s="816" t="s">
        <v>14470</v>
      </c>
      <c r="G2274" s="816"/>
      <c r="H2274" s="816">
        <v>0.1491933</v>
      </c>
      <c r="I2274" s="816"/>
      <c r="J2274" s="817">
        <v>1.0308999999999999</v>
      </c>
      <c r="K2274" s="817"/>
      <c r="L2274" s="817"/>
    </row>
    <row r="2275" spans="1:12" ht="17.100000000000001" customHeight="1">
      <c r="A2275" s="636"/>
      <c r="B2275" s="636"/>
      <c r="C2275" s="636"/>
      <c r="D2275" s="636"/>
      <c r="E2275" s="636"/>
      <c r="F2275" s="636"/>
      <c r="G2275" s="636"/>
      <c r="H2275" s="636"/>
      <c r="I2275" s="636"/>
      <c r="J2275" s="636" t="s">
        <v>13675</v>
      </c>
      <c r="K2275" s="636"/>
      <c r="L2275" s="636" t="s">
        <v>14050</v>
      </c>
    </row>
    <row r="2276" spans="1:12">
      <c r="A2276" s="802" t="s">
        <v>12720</v>
      </c>
      <c r="B2276" s="802"/>
      <c r="C2276" s="802"/>
      <c r="D2276" s="802"/>
      <c r="E2276" s="802"/>
      <c r="F2276" s="802"/>
      <c r="G2276" s="802"/>
      <c r="H2276" s="802"/>
      <c r="I2276" s="612"/>
      <c r="J2276" s="612"/>
      <c r="K2276" s="612"/>
      <c r="L2276" s="612"/>
    </row>
    <row r="2277" spans="1:12" ht="17.100000000000001" customHeight="1">
      <c r="A2277" s="612" t="s">
        <v>13679</v>
      </c>
      <c r="B2277" s="636" t="s">
        <v>12698</v>
      </c>
      <c r="C2277" s="612" t="s">
        <v>12699</v>
      </c>
      <c r="D2277" s="612" t="s">
        <v>12700</v>
      </c>
      <c r="E2277" s="637" t="s">
        <v>12702</v>
      </c>
      <c r="F2277" s="801" t="s">
        <v>12704</v>
      </c>
      <c r="G2277" s="801"/>
      <c r="H2277" s="801" t="s">
        <v>13678</v>
      </c>
      <c r="I2277" s="801"/>
      <c r="J2277" s="801" t="s">
        <v>12705</v>
      </c>
      <c r="K2277" s="801"/>
      <c r="L2277" s="801"/>
    </row>
    <row r="2278" spans="1:12" ht="24" customHeight="1">
      <c r="A2278" s="626" t="s">
        <v>12709</v>
      </c>
      <c r="B2278" s="627" t="s">
        <v>13311</v>
      </c>
      <c r="C2278" s="626" t="s">
        <v>8</v>
      </c>
      <c r="D2278" s="626" t="s">
        <v>7522</v>
      </c>
      <c r="E2278" s="628" t="s">
        <v>20</v>
      </c>
      <c r="F2278" s="816" t="s">
        <v>14521</v>
      </c>
      <c r="G2278" s="816"/>
      <c r="H2278" s="816">
        <v>2.5000000000000001E-2</v>
      </c>
      <c r="I2278" s="816"/>
      <c r="J2278" s="817">
        <v>0.34</v>
      </c>
      <c r="K2278" s="817"/>
      <c r="L2278" s="817"/>
    </row>
    <row r="2279" spans="1:12" ht="17.100000000000001" customHeight="1">
      <c r="A2279" s="626" t="s">
        <v>12709</v>
      </c>
      <c r="B2279" s="627" t="s">
        <v>13310</v>
      </c>
      <c r="C2279" s="626" t="s">
        <v>8</v>
      </c>
      <c r="D2279" s="626" t="s">
        <v>9265</v>
      </c>
      <c r="E2279" s="628" t="s">
        <v>35</v>
      </c>
      <c r="F2279" s="816" t="s">
        <v>13875</v>
      </c>
      <c r="G2279" s="816"/>
      <c r="H2279" s="816">
        <v>0.74299999999999999</v>
      </c>
      <c r="I2279" s="816"/>
      <c r="J2279" s="817">
        <v>0.09</v>
      </c>
      <c r="K2279" s="817"/>
      <c r="L2279" s="817"/>
    </row>
    <row r="2280" spans="1:12" ht="25.5">
      <c r="A2280" s="626" t="s">
        <v>12709</v>
      </c>
      <c r="B2280" s="627" t="s">
        <v>13240</v>
      </c>
      <c r="C2280" s="626" t="s">
        <v>8</v>
      </c>
      <c r="D2280" s="626" t="s">
        <v>7266</v>
      </c>
      <c r="E2280" s="628" t="s">
        <v>20</v>
      </c>
      <c r="F2280" s="816" t="s">
        <v>14757</v>
      </c>
      <c r="G2280" s="816"/>
      <c r="H2280" s="816">
        <v>1.1054196000000001</v>
      </c>
      <c r="I2280" s="816"/>
      <c r="J2280" s="817">
        <v>6.0355999999999996</v>
      </c>
      <c r="K2280" s="817"/>
      <c r="L2280" s="817"/>
    </row>
    <row r="2281" spans="1:12" ht="17.100000000000001" customHeight="1">
      <c r="A2281" s="636"/>
      <c r="B2281" s="636"/>
      <c r="C2281" s="636"/>
      <c r="D2281" s="636"/>
      <c r="E2281" s="636"/>
      <c r="F2281" s="636"/>
      <c r="G2281" s="636"/>
      <c r="H2281" s="636"/>
      <c r="I2281" s="636"/>
      <c r="J2281" s="636" t="s">
        <v>13675</v>
      </c>
      <c r="K2281" s="636"/>
      <c r="L2281" s="636" t="s">
        <v>13886</v>
      </c>
    </row>
    <row r="2282" spans="1:12" ht="24" customHeight="1">
      <c r="A2282" s="802" t="s">
        <v>12722</v>
      </c>
      <c r="B2282" s="802"/>
      <c r="C2282" s="802"/>
      <c r="D2282" s="802"/>
      <c r="E2282" s="802"/>
      <c r="F2282" s="802"/>
      <c r="G2282" s="802"/>
      <c r="H2282" s="802"/>
      <c r="I2282" s="612"/>
      <c r="J2282" s="612"/>
      <c r="K2282" s="612"/>
      <c r="L2282" s="612"/>
    </row>
    <row r="2283" spans="1:12" ht="17.100000000000001" customHeight="1">
      <c r="A2283" s="612" t="s">
        <v>13679</v>
      </c>
      <c r="B2283" s="636" t="s">
        <v>12698</v>
      </c>
      <c r="C2283" s="612" t="s">
        <v>12699</v>
      </c>
      <c r="D2283" s="612" t="s">
        <v>12700</v>
      </c>
      <c r="E2283" s="637" t="s">
        <v>12702</v>
      </c>
      <c r="F2283" s="801" t="s">
        <v>12704</v>
      </c>
      <c r="G2283" s="801"/>
      <c r="H2283" s="801" t="s">
        <v>13678</v>
      </c>
      <c r="I2283" s="801"/>
      <c r="J2283" s="801" t="s">
        <v>12705</v>
      </c>
      <c r="K2283" s="801"/>
      <c r="L2283" s="801"/>
    </row>
    <row r="2284" spans="1:12" ht="25.5">
      <c r="A2284" s="626" t="s">
        <v>12709</v>
      </c>
      <c r="B2284" s="627" t="s">
        <v>12998</v>
      </c>
      <c r="C2284" s="626" t="s">
        <v>8</v>
      </c>
      <c r="D2284" s="626" t="s">
        <v>11861</v>
      </c>
      <c r="E2284" s="628" t="s">
        <v>23</v>
      </c>
      <c r="F2284" s="816" t="s">
        <v>13683</v>
      </c>
      <c r="G2284" s="816"/>
      <c r="H2284" s="816">
        <v>0.17358080000000001</v>
      </c>
      <c r="I2284" s="816"/>
      <c r="J2284" s="817">
        <v>0.1232</v>
      </c>
      <c r="K2284" s="817"/>
      <c r="L2284" s="817"/>
    </row>
    <row r="2285" spans="1:12" ht="17.100000000000001" customHeight="1">
      <c r="A2285" s="636"/>
      <c r="B2285" s="636"/>
      <c r="C2285" s="636"/>
      <c r="D2285" s="636"/>
      <c r="E2285" s="636"/>
      <c r="F2285" s="636"/>
      <c r="G2285" s="636"/>
      <c r="H2285" s="636"/>
      <c r="I2285" s="636"/>
      <c r="J2285" s="636" t="s">
        <v>13675</v>
      </c>
      <c r="K2285" s="636"/>
      <c r="L2285" s="636" t="s">
        <v>13751</v>
      </c>
    </row>
    <row r="2286" spans="1:12" ht="24" customHeight="1">
      <c r="A2286" s="802" t="s">
        <v>12713</v>
      </c>
      <c r="B2286" s="802"/>
      <c r="C2286" s="802"/>
      <c r="D2286" s="802"/>
      <c r="E2286" s="802"/>
      <c r="F2286" s="802"/>
      <c r="G2286" s="802"/>
      <c r="H2286" s="802"/>
      <c r="I2286" s="612"/>
      <c r="J2286" s="612"/>
      <c r="K2286" s="612"/>
      <c r="L2286" s="612"/>
    </row>
    <row r="2287" spans="1:12" ht="24" customHeight="1">
      <c r="A2287" s="612" t="s">
        <v>13679</v>
      </c>
      <c r="B2287" s="636" t="s">
        <v>12698</v>
      </c>
      <c r="C2287" s="612" t="s">
        <v>12699</v>
      </c>
      <c r="D2287" s="612" t="s">
        <v>12700</v>
      </c>
      <c r="E2287" s="637" t="s">
        <v>12702</v>
      </c>
      <c r="F2287" s="801" t="s">
        <v>12704</v>
      </c>
      <c r="G2287" s="801"/>
      <c r="H2287" s="801" t="s">
        <v>13678</v>
      </c>
      <c r="I2287" s="801"/>
      <c r="J2287" s="801" t="s">
        <v>12705</v>
      </c>
      <c r="K2287" s="801"/>
      <c r="L2287" s="801"/>
    </row>
    <row r="2288" spans="1:12" ht="17.100000000000001" customHeight="1">
      <c r="A2288" s="626" t="s">
        <v>12709</v>
      </c>
      <c r="B2288" s="627" t="s">
        <v>12999</v>
      </c>
      <c r="C2288" s="626" t="s">
        <v>8</v>
      </c>
      <c r="D2288" s="626" t="s">
        <v>11251</v>
      </c>
      <c r="E2288" s="628" t="s">
        <v>23</v>
      </c>
      <c r="F2288" s="816" t="s">
        <v>13681</v>
      </c>
      <c r="G2288" s="816"/>
      <c r="H2288" s="816">
        <v>0.17358080000000001</v>
      </c>
      <c r="I2288" s="816"/>
      <c r="J2288" s="817">
        <v>1.2200000000000001E-2</v>
      </c>
      <c r="K2288" s="817"/>
      <c r="L2288" s="817"/>
    </row>
    <row r="2289" spans="1:12" ht="17.100000000000001" customHeight="1">
      <c r="A2289" s="636"/>
      <c r="B2289" s="636"/>
      <c r="C2289" s="636"/>
      <c r="D2289" s="636"/>
      <c r="E2289" s="636"/>
      <c r="F2289" s="636"/>
      <c r="G2289" s="636"/>
      <c r="H2289" s="636"/>
      <c r="I2289" s="636"/>
      <c r="J2289" s="636" t="s">
        <v>13675</v>
      </c>
      <c r="K2289" s="636"/>
      <c r="L2289" s="636" t="s">
        <v>13728</v>
      </c>
    </row>
    <row r="2290" spans="1:12" ht="17.100000000000001" customHeight="1">
      <c r="A2290" s="802" t="s">
        <v>12712</v>
      </c>
      <c r="B2290" s="802"/>
      <c r="C2290" s="802"/>
      <c r="D2290" s="802"/>
      <c r="E2290" s="802"/>
      <c r="F2290" s="802"/>
      <c r="G2290" s="802"/>
      <c r="H2290" s="802"/>
      <c r="I2290" s="612"/>
      <c r="J2290" s="612"/>
      <c r="K2290" s="612"/>
      <c r="L2290" s="612"/>
    </row>
    <row r="2291" spans="1:12" ht="17.100000000000001" customHeight="1">
      <c r="A2291" s="612" t="s">
        <v>13679</v>
      </c>
      <c r="B2291" s="636" t="s">
        <v>12698</v>
      </c>
      <c r="C2291" s="612" t="s">
        <v>12699</v>
      </c>
      <c r="D2291" s="612" t="s">
        <v>12700</v>
      </c>
      <c r="E2291" s="637" t="s">
        <v>12702</v>
      </c>
      <c r="F2291" s="801" t="s">
        <v>12704</v>
      </c>
      <c r="G2291" s="801"/>
      <c r="H2291" s="801" t="s">
        <v>13678</v>
      </c>
      <c r="I2291" s="801"/>
      <c r="J2291" s="801" t="s">
        <v>12705</v>
      </c>
      <c r="K2291" s="801"/>
      <c r="L2291" s="801"/>
    </row>
    <row r="2292" spans="1:12" ht="17.100000000000001" customHeight="1">
      <c r="A2292" s="626" t="s">
        <v>12709</v>
      </c>
      <c r="B2292" s="627" t="s">
        <v>13002</v>
      </c>
      <c r="C2292" s="626" t="s">
        <v>8</v>
      </c>
      <c r="D2292" s="626" t="s">
        <v>9306</v>
      </c>
      <c r="E2292" s="628" t="s">
        <v>23</v>
      </c>
      <c r="F2292" s="816" t="s">
        <v>13677</v>
      </c>
      <c r="G2292" s="816"/>
      <c r="H2292" s="816">
        <v>0.17358080000000001</v>
      </c>
      <c r="I2292" s="816"/>
      <c r="J2292" s="817">
        <v>6.08E-2</v>
      </c>
      <c r="K2292" s="817"/>
      <c r="L2292" s="817"/>
    </row>
    <row r="2293" spans="1:12" ht="17.100000000000001" customHeight="1">
      <c r="A2293" s="626" t="s">
        <v>12709</v>
      </c>
      <c r="B2293" s="627" t="s">
        <v>13004</v>
      </c>
      <c r="C2293" s="626" t="s">
        <v>8</v>
      </c>
      <c r="D2293" s="626" t="s">
        <v>7388</v>
      </c>
      <c r="E2293" s="628" t="s">
        <v>23</v>
      </c>
      <c r="F2293" s="816" t="s">
        <v>13676</v>
      </c>
      <c r="G2293" s="816"/>
      <c r="H2293" s="816">
        <v>0.17358080000000001</v>
      </c>
      <c r="I2293" s="816"/>
      <c r="J2293" s="817">
        <v>0.38190000000000002</v>
      </c>
      <c r="K2293" s="817"/>
      <c r="L2293" s="817"/>
    </row>
    <row r="2294" spans="1:12" ht="17.100000000000001" customHeight="1">
      <c r="A2294" s="636"/>
      <c r="B2294" s="636"/>
      <c r="C2294" s="636"/>
      <c r="D2294" s="636"/>
      <c r="E2294" s="636"/>
      <c r="F2294" s="636"/>
      <c r="G2294" s="636"/>
      <c r="H2294" s="636"/>
      <c r="I2294" s="636"/>
      <c r="J2294" s="636" t="s">
        <v>13675</v>
      </c>
      <c r="K2294" s="636"/>
      <c r="L2294" s="636" t="s">
        <v>13718</v>
      </c>
    </row>
    <row r="2295" spans="1:12" ht="30" customHeight="1">
      <c r="A2295" s="612" t="s">
        <v>13673</v>
      </c>
      <c r="B2295" s="612"/>
      <c r="C2295" s="612"/>
      <c r="D2295" s="612"/>
      <c r="E2295" s="612"/>
      <c r="F2295" s="612"/>
      <c r="G2295" s="612"/>
      <c r="H2295" s="612"/>
      <c r="I2295" s="612"/>
      <c r="J2295" s="612"/>
      <c r="K2295" s="612"/>
      <c r="L2295" s="612"/>
    </row>
    <row r="2296" spans="1:12" ht="36" customHeight="1">
      <c r="A2296" s="636"/>
      <c r="B2296" s="636"/>
      <c r="C2296" s="636"/>
      <c r="D2296" s="636"/>
      <c r="E2296" s="636"/>
      <c r="F2296" s="636"/>
      <c r="G2296" s="636"/>
      <c r="H2296" s="636"/>
      <c r="I2296" s="636"/>
      <c r="J2296" s="636" t="s">
        <v>13672</v>
      </c>
      <c r="K2296" s="636"/>
      <c r="L2296" s="636" t="s">
        <v>15064</v>
      </c>
    </row>
    <row r="2297" spans="1:12" ht="14.25" customHeight="1">
      <c r="A2297" s="636"/>
      <c r="B2297" s="636"/>
      <c r="C2297" s="636"/>
      <c r="D2297" s="636"/>
      <c r="E2297" s="636"/>
      <c r="F2297" s="636"/>
      <c r="G2297" s="636"/>
      <c r="H2297" s="636"/>
      <c r="I2297" s="636"/>
      <c r="J2297" s="636" t="s">
        <v>13671</v>
      </c>
      <c r="K2297" s="636" t="s">
        <v>14461</v>
      </c>
      <c r="L2297" s="636" t="s">
        <v>15050</v>
      </c>
    </row>
    <row r="2298" spans="1:12" ht="17.100000000000001" customHeight="1">
      <c r="A2298" s="636"/>
      <c r="B2298" s="636"/>
      <c r="C2298" s="636"/>
      <c r="D2298" s="636"/>
      <c r="E2298" s="636"/>
      <c r="F2298" s="636"/>
      <c r="G2298" s="636"/>
      <c r="H2298" s="636"/>
      <c r="I2298" s="636"/>
      <c r="J2298" s="636" t="s">
        <v>13670</v>
      </c>
      <c r="K2298" s="636"/>
      <c r="L2298" s="636" t="s">
        <v>15065</v>
      </c>
    </row>
    <row r="2299" spans="1:12" ht="24" customHeight="1">
      <c r="A2299" s="636"/>
      <c r="B2299" s="636"/>
      <c r="C2299" s="636"/>
      <c r="D2299" s="636"/>
      <c r="E2299" s="636"/>
      <c r="F2299" s="636"/>
      <c r="G2299" s="636"/>
      <c r="H2299" s="636"/>
      <c r="I2299" s="636"/>
      <c r="J2299" s="636" t="s">
        <v>13669</v>
      </c>
      <c r="K2299" s="636" t="s">
        <v>13667</v>
      </c>
      <c r="L2299" s="636" t="s">
        <v>15066</v>
      </c>
    </row>
    <row r="2300" spans="1:12" ht="24" customHeight="1">
      <c r="A2300" s="636"/>
      <c r="B2300" s="636"/>
      <c r="C2300" s="636"/>
      <c r="D2300" s="636"/>
      <c r="E2300" s="636"/>
      <c r="F2300" s="636"/>
      <c r="G2300" s="636"/>
      <c r="H2300" s="636"/>
      <c r="I2300" s="636"/>
      <c r="J2300" s="636" t="s">
        <v>13668</v>
      </c>
      <c r="K2300" s="636"/>
      <c r="L2300" s="636" t="s">
        <v>15067</v>
      </c>
    </row>
    <row r="2301" spans="1:12" ht="24" customHeight="1">
      <c r="A2301" s="637"/>
      <c r="B2301" s="637"/>
      <c r="C2301" s="637"/>
      <c r="D2301" s="637"/>
      <c r="E2301" s="637"/>
      <c r="F2301" s="637"/>
      <c r="G2301" s="637"/>
      <c r="H2301" s="637"/>
      <c r="I2301" s="637"/>
      <c r="J2301" s="637"/>
      <c r="K2301" s="637"/>
      <c r="L2301" s="637"/>
    </row>
    <row r="2302" spans="1:12" ht="24" customHeight="1">
      <c r="A2302" s="616" t="s">
        <v>14207</v>
      </c>
      <c r="B2302" s="617" t="s">
        <v>13630</v>
      </c>
      <c r="C2302" s="616" t="s">
        <v>8</v>
      </c>
      <c r="D2302" s="616" t="s">
        <v>2964</v>
      </c>
      <c r="E2302" s="618" t="s">
        <v>20</v>
      </c>
      <c r="F2302" s="617"/>
      <c r="G2302" s="617"/>
      <c r="H2302" s="617"/>
      <c r="I2302" s="617"/>
      <c r="J2302" s="617"/>
      <c r="K2302" s="617"/>
      <c r="L2302" s="617"/>
    </row>
    <row r="2303" spans="1:12" ht="17.100000000000001" customHeight="1">
      <c r="A2303" s="802" t="s">
        <v>12711</v>
      </c>
      <c r="B2303" s="802"/>
      <c r="C2303" s="802"/>
      <c r="D2303" s="802"/>
      <c r="E2303" s="802"/>
      <c r="F2303" s="802"/>
      <c r="G2303" s="802"/>
      <c r="H2303" s="802"/>
      <c r="I2303" s="612"/>
      <c r="J2303" s="612"/>
      <c r="K2303" s="612"/>
      <c r="L2303" s="612"/>
    </row>
    <row r="2304" spans="1:12" ht="14.25" customHeight="1">
      <c r="A2304" s="612" t="s">
        <v>13679</v>
      </c>
      <c r="B2304" s="636" t="s">
        <v>12698</v>
      </c>
      <c r="C2304" s="612" t="s">
        <v>12699</v>
      </c>
      <c r="D2304" s="612" t="s">
        <v>12700</v>
      </c>
      <c r="E2304" s="637" t="s">
        <v>12702</v>
      </c>
      <c r="F2304" s="801" t="s">
        <v>12704</v>
      </c>
      <c r="G2304" s="801"/>
      <c r="H2304" s="801" t="s">
        <v>13678</v>
      </c>
      <c r="I2304" s="801"/>
      <c r="J2304" s="801" t="s">
        <v>12705</v>
      </c>
      <c r="K2304" s="801"/>
      <c r="L2304" s="801"/>
    </row>
    <row r="2305" spans="1:12" ht="17.100000000000001" customHeight="1">
      <c r="A2305" s="626" t="s">
        <v>12709</v>
      </c>
      <c r="B2305" s="627" t="s">
        <v>13052</v>
      </c>
      <c r="C2305" s="626" t="s">
        <v>8</v>
      </c>
      <c r="D2305" s="626" t="s">
        <v>9229</v>
      </c>
      <c r="E2305" s="628" t="s">
        <v>23</v>
      </c>
      <c r="F2305" s="816" t="s">
        <v>13692</v>
      </c>
      <c r="G2305" s="816"/>
      <c r="H2305" s="816">
        <v>0.12520290000000001</v>
      </c>
      <c r="I2305" s="816"/>
      <c r="J2305" s="817">
        <v>0.1202</v>
      </c>
      <c r="K2305" s="817"/>
      <c r="L2305" s="817"/>
    </row>
    <row r="2306" spans="1:12" ht="24" customHeight="1">
      <c r="A2306" s="626" t="s">
        <v>12709</v>
      </c>
      <c r="B2306" s="627" t="s">
        <v>13051</v>
      </c>
      <c r="C2306" s="626" t="s">
        <v>8</v>
      </c>
      <c r="D2306" s="626" t="s">
        <v>9376</v>
      </c>
      <c r="E2306" s="628" t="s">
        <v>23</v>
      </c>
      <c r="F2306" s="816" t="s">
        <v>13691</v>
      </c>
      <c r="G2306" s="816"/>
      <c r="H2306" s="816">
        <v>0.12520290000000001</v>
      </c>
      <c r="I2306" s="816"/>
      <c r="J2306" s="817">
        <v>6.2600000000000003E-2</v>
      </c>
      <c r="K2306" s="817"/>
      <c r="L2306" s="817"/>
    </row>
    <row r="2307" spans="1:12" ht="24" customHeight="1">
      <c r="A2307" s="636"/>
      <c r="B2307" s="636"/>
      <c r="C2307" s="636"/>
      <c r="D2307" s="636"/>
      <c r="E2307" s="636"/>
      <c r="F2307" s="636"/>
      <c r="G2307" s="636"/>
      <c r="H2307" s="636"/>
      <c r="I2307" s="636"/>
      <c r="J2307" s="636" t="s">
        <v>13675</v>
      </c>
      <c r="K2307" s="636"/>
      <c r="L2307" s="636" t="s">
        <v>13682</v>
      </c>
    </row>
    <row r="2308" spans="1:12" ht="24" customHeight="1">
      <c r="A2308" s="802" t="s">
        <v>12710</v>
      </c>
      <c r="B2308" s="802"/>
      <c r="C2308" s="802"/>
      <c r="D2308" s="802"/>
      <c r="E2308" s="802"/>
      <c r="F2308" s="802"/>
      <c r="G2308" s="802"/>
      <c r="H2308" s="802"/>
      <c r="I2308" s="612"/>
      <c r="J2308" s="612"/>
      <c r="K2308" s="612"/>
      <c r="L2308" s="612"/>
    </row>
    <row r="2309" spans="1:12" ht="17.100000000000001" customHeight="1">
      <c r="A2309" s="612" t="s">
        <v>13679</v>
      </c>
      <c r="B2309" s="636" t="s">
        <v>12698</v>
      </c>
      <c r="C2309" s="612" t="s">
        <v>12699</v>
      </c>
      <c r="D2309" s="612" t="s">
        <v>12700</v>
      </c>
      <c r="E2309" s="637" t="s">
        <v>12702</v>
      </c>
      <c r="F2309" s="801" t="s">
        <v>12704</v>
      </c>
      <c r="G2309" s="801"/>
      <c r="H2309" s="801" t="s">
        <v>13678</v>
      </c>
      <c r="I2309" s="801"/>
      <c r="J2309" s="801" t="s">
        <v>12705</v>
      </c>
      <c r="K2309" s="801"/>
      <c r="L2309" s="801"/>
    </row>
    <row r="2310" spans="1:12" ht="25.5">
      <c r="A2310" s="626" t="s">
        <v>12709</v>
      </c>
      <c r="B2310" s="627" t="s">
        <v>13230</v>
      </c>
      <c r="C2310" s="626" t="s">
        <v>8</v>
      </c>
      <c r="D2310" s="626" t="s">
        <v>7362</v>
      </c>
      <c r="E2310" s="628" t="s">
        <v>23</v>
      </c>
      <c r="F2310" s="816" t="s">
        <v>14514</v>
      </c>
      <c r="G2310" s="816"/>
      <c r="H2310" s="816">
        <v>1.73256E-2</v>
      </c>
      <c r="I2310" s="816"/>
      <c r="J2310" s="817">
        <v>8.3299999999999999E-2</v>
      </c>
      <c r="K2310" s="817"/>
      <c r="L2310" s="817"/>
    </row>
    <row r="2311" spans="1:12" ht="17.100000000000001" customHeight="1">
      <c r="A2311" s="626" t="s">
        <v>12709</v>
      </c>
      <c r="B2311" s="627" t="s">
        <v>13224</v>
      </c>
      <c r="C2311" s="626" t="s">
        <v>8</v>
      </c>
      <c r="D2311" s="626" t="s">
        <v>7556</v>
      </c>
      <c r="E2311" s="628" t="s">
        <v>23</v>
      </c>
      <c r="F2311" s="816" t="s">
        <v>14470</v>
      </c>
      <c r="G2311" s="816"/>
      <c r="H2311" s="816">
        <v>0.1076382</v>
      </c>
      <c r="I2311" s="816"/>
      <c r="J2311" s="817">
        <v>0.74380000000000002</v>
      </c>
      <c r="K2311" s="817"/>
      <c r="L2311" s="817"/>
    </row>
    <row r="2312" spans="1:12" ht="24" customHeight="1">
      <c r="A2312" s="636"/>
      <c r="B2312" s="636"/>
      <c r="C2312" s="636"/>
      <c r="D2312" s="636"/>
      <c r="E2312" s="636"/>
      <c r="F2312" s="636"/>
      <c r="G2312" s="636"/>
      <c r="H2312" s="636"/>
      <c r="I2312" s="636"/>
      <c r="J2312" s="636" t="s">
        <v>13675</v>
      </c>
      <c r="K2312" s="636"/>
      <c r="L2312" s="636" t="s">
        <v>13705</v>
      </c>
    </row>
    <row r="2313" spans="1:12" ht="24" customHeight="1">
      <c r="A2313" s="802" t="s">
        <v>12720</v>
      </c>
      <c r="B2313" s="802"/>
      <c r="C2313" s="802"/>
      <c r="D2313" s="802"/>
      <c r="E2313" s="802"/>
      <c r="F2313" s="802"/>
      <c r="G2313" s="802"/>
      <c r="H2313" s="802"/>
      <c r="I2313" s="612"/>
      <c r="J2313" s="612"/>
      <c r="K2313" s="612"/>
      <c r="L2313" s="612"/>
    </row>
    <row r="2314" spans="1:12" ht="24" customHeight="1">
      <c r="A2314" s="612" t="s">
        <v>13679</v>
      </c>
      <c r="B2314" s="636" t="s">
        <v>12698</v>
      </c>
      <c r="C2314" s="612" t="s">
        <v>12699</v>
      </c>
      <c r="D2314" s="612" t="s">
        <v>12700</v>
      </c>
      <c r="E2314" s="637" t="s">
        <v>12702</v>
      </c>
      <c r="F2314" s="801" t="s">
        <v>12704</v>
      </c>
      <c r="G2314" s="801"/>
      <c r="H2314" s="801" t="s">
        <v>13678</v>
      </c>
      <c r="I2314" s="801"/>
      <c r="J2314" s="801" t="s">
        <v>12705</v>
      </c>
      <c r="K2314" s="801"/>
      <c r="L2314" s="801"/>
    </row>
    <row r="2315" spans="1:12" ht="24" customHeight="1">
      <c r="A2315" s="626" t="s">
        <v>12709</v>
      </c>
      <c r="B2315" s="627" t="s">
        <v>13311</v>
      </c>
      <c r="C2315" s="626" t="s">
        <v>8</v>
      </c>
      <c r="D2315" s="626" t="s">
        <v>7522</v>
      </c>
      <c r="E2315" s="628" t="s">
        <v>20</v>
      </c>
      <c r="F2315" s="816" t="s">
        <v>14521</v>
      </c>
      <c r="G2315" s="816"/>
      <c r="H2315" s="816">
        <v>2.5000000000000001E-2</v>
      </c>
      <c r="I2315" s="816"/>
      <c r="J2315" s="817">
        <v>0.34</v>
      </c>
      <c r="K2315" s="817"/>
      <c r="L2315" s="817"/>
    </row>
    <row r="2316" spans="1:12" ht="24" customHeight="1">
      <c r="A2316" s="626" t="s">
        <v>12709</v>
      </c>
      <c r="B2316" s="627" t="s">
        <v>13310</v>
      </c>
      <c r="C2316" s="626" t="s">
        <v>8</v>
      </c>
      <c r="D2316" s="626" t="s">
        <v>9265</v>
      </c>
      <c r="E2316" s="628" t="s">
        <v>35</v>
      </c>
      <c r="F2316" s="816" t="s">
        <v>13875</v>
      </c>
      <c r="G2316" s="816"/>
      <c r="H2316" s="816">
        <v>0.54300000000000004</v>
      </c>
      <c r="I2316" s="816"/>
      <c r="J2316" s="817">
        <v>7.0000000000000007E-2</v>
      </c>
      <c r="K2316" s="817"/>
      <c r="L2316" s="817"/>
    </row>
    <row r="2317" spans="1:12" ht="24" customHeight="1">
      <c r="A2317" s="626" t="s">
        <v>12709</v>
      </c>
      <c r="B2317" s="627" t="s">
        <v>13246</v>
      </c>
      <c r="C2317" s="626" t="s">
        <v>8</v>
      </c>
      <c r="D2317" s="626" t="s">
        <v>7260</v>
      </c>
      <c r="E2317" s="628" t="s">
        <v>20</v>
      </c>
      <c r="F2317" s="816" t="s">
        <v>14713</v>
      </c>
      <c r="G2317" s="816"/>
      <c r="H2317" s="816">
        <v>1.1073723</v>
      </c>
      <c r="I2317" s="816"/>
      <c r="J2317" s="817">
        <v>5.7030000000000003</v>
      </c>
      <c r="K2317" s="817"/>
      <c r="L2317" s="817"/>
    </row>
    <row r="2318" spans="1:12" ht="36" customHeight="1">
      <c r="A2318" s="636"/>
      <c r="B2318" s="636"/>
      <c r="C2318" s="636"/>
      <c r="D2318" s="636"/>
      <c r="E2318" s="636"/>
      <c r="F2318" s="636"/>
      <c r="G2318" s="636"/>
      <c r="H2318" s="636"/>
      <c r="I2318" s="636"/>
      <c r="J2318" s="636" t="s">
        <v>13675</v>
      </c>
      <c r="K2318" s="636"/>
      <c r="L2318" s="636" t="s">
        <v>13831</v>
      </c>
    </row>
    <row r="2319" spans="1:12" ht="24" customHeight="1">
      <c r="A2319" s="802" t="s">
        <v>12722</v>
      </c>
      <c r="B2319" s="802"/>
      <c r="C2319" s="802"/>
      <c r="D2319" s="802"/>
      <c r="E2319" s="802"/>
      <c r="F2319" s="802"/>
      <c r="G2319" s="802"/>
      <c r="H2319" s="802"/>
      <c r="I2319" s="612"/>
      <c r="J2319" s="612"/>
      <c r="K2319" s="612"/>
      <c r="L2319" s="612"/>
    </row>
    <row r="2320" spans="1:12" ht="24" customHeight="1">
      <c r="A2320" s="612" t="s">
        <v>13679</v>
      </c>
      <c r="B2320" s="636" t="s">
        <v>12698</v>
      </c>
      <c r="C2320" s="612" t="s">
        <v>12699</v>
      </c>
      <c r="D2320" s="612" t="s">
        <v>12700</v>
      </c>
      <c r="E2320" s="637" t="s">
        <v>12702</v>
      </c>
      <c r="F2320" s="801" t="s">
        <v>12704</v>
      </c>
      <c r="G2320" s="801"/>
      <c r="H2320" s="801" t="s">
        <v>13678</v>
      </c>
      <c r="I2320" s="801"/>
      <c r="J2320" s="801" t="s">
        <v>12705</v>
      </c>
      <c r="K2320" s="801"/>
      <c r="L2320" s="801"/>
    </row>
    <row r="2321" spans="1:12" ht="17.100000000000001" customHeight="1">
      <c r="A2321" s="626" t="s">
        <v>12709</v>
      </c>
      <c r="B2321" s="627" t="s">
        <v>12998</v>
      </c>
      <c r="C2321" s="626" t="s">
        <v>8</v>
      </c>
      <c r="D2321" s="626" t="s">
        <v>11861</v>
      </c>
      <c r="E2321" s="628" t="s">
        <v>23</v>
      </c>
      <c r="F2321" s="816" t="s">
        <v>13683</v>
      </c>
      <c r="G2321" s="816"/>
      <c r="H2321" s="816">
        <v>0.12520290000000001</v>
      </c>
      <c r="I2321" s="816"/>
      <c r="J2321" s="817">
        <v>8.8900000000000007E-2</v>
      </c>
      <c r="K2321" s="817"/>
      <c r="L2321" s="817"/>
    </row>
    <row r="2322" spans="1:12">
      <c r="A2322" s="636"/>
      <c r="B2322" s="636"/>
      <c r="C2322" s="636"/>
      <c r="D2322" s="636"/>
      <c r="E2322" s="636"/>
      <c r="F2322" s="636"/>
      <c r="G2322" s="636"/>
      <c r="H2322" s="636"/>
      <c r="I2322" s="636"/>
      <c r="J2322" s="636" t="s">
        <v>13675</v>
      </c>
      <c r="K2322" s="636"/>
      <c r="L2322" s="636" t="s">
        <v>13815</v>
      </c>
    </row>
    <row r="2323" spans="1:12" ht="17.100000000000001" customHeight="1">
      <c r="A2323" s="802" t="s">
        <v>12713</v>
      </c>
      <c r="B2323" s="802"/>
      <c r="C2323" s="802"/>
      <c r="D2323" s="802"/>
      <c r="E2323" s="802"/>
      <c r="F2323" s="802"/>
      <c r="G2323" s="802"/>
      <c r="H2323" s="802"/>
      <c r="I2323" s="612"/>
      <c r="J2323" s="612"/>
      <c r="K2323" s="612"/>
      <c r="L2323" s="612"/>
    </row>
    <row r="2324" spans="1:12" ht="24" customHeight="1">
      <c r="A2324" s="612" t="s">
        <v>13679</v>
      </c>
      <c r="B2324" s="636" t="s">
        <v>12698</v>
      </c>
      <c r="C2324" s="612" t="s">
        <v>12699</v>
      </c>
      <c r="D2324" s="612" t="s">
        <v>12700</v>
      </c>
      <c r="E2324" s="637" t="s">
        <v>12702</v>
      </c>
      <c r="F2324" s="801" t="s">
        <v>12704</v>
      </c>
      <c r="G2324" s="801"/>
      <c r="H2324" s="801" t="s">
        <v>13678</v>
      </c>
      <c r="I2324" s="801"/>
      <c r="J2324" s="801" t="s">
        <v>12705</v>
      </c>
      <c r="K2324" s="801"/>
      <c r="L2324" s="801"/>
    </row>
    <row r="2325" spans="1:12" ht="17.100000000000001" customHeight="1">
      <c r="A2325" s="626" t="s">
        <v>12709</v>
      </c>
      <c r="B2325" s="627" t="s">
        <v>12999</v>
      </c>
      <c r="C2325" s="626" t="s">
        <v>8</v>
      </c>
      <c r="D2325" s="626" t="s">
        <v>11251</v>
      </c>
      <c r="E2325" s="628" t="s">
        <v>23</v>
      </c>
      <c r="F2325" s="816" t="s">
        <v>13681</v>
      </c>
      <c r="G2325" s="816"/>
      <c r="H2325" s="816">
        <v>0.12520290000000001</v>
      </c>
      <c r="I2325" s="816"/>
      <c r="J2325" s="817">
        <v>8.8000000000000005E-3</v>
      </c>
      <c r="K2325" s="817"/>
      <c r="L2325" s="817"/>
    </row>
    <row r="2326" spans="1:12">
      <c r="A2326" s="636"/>
      <c r="B2326" s="636"/>
      <c r="C2326" s="636"/>
      <c r="D2326" s="636"/>
      <c r="E2326" s="636"/>
      <c r="F2326" s="636"/>
      <c r="G2326" s="636"/>
      <c r="H2326" s="636"/>
      <c r="I2326" s="636"/>
      <c r="J2326" s="636" t="s">
        <v>13675</v>
      </c>
      <c r="K2326" s="636"/>
      <c r="L2326" s="636" t="s">
        <v>13728</v>
      </c>
    </row>
    <row r="2327" spans="1:12" ht="17.100000000000001" customHeight="1">
      <c r="A2327" s="802" t="s">
        <v>12712</v>
      </c>
      <c r="B2327" s="802"/>
      <c r="C2327" s="802"/>
      <c r="D2327" s="802"/>
      <c r="E2327" s="802"/>
      <c r="F2327" s="802"/>
      <c r="G2327" s="802"/>
      <c r="H2327" s="802"/>
      <c r="I2327" s="612"/>
      <c r="J2327" s="612"/>
      <c r="K2327" s="612"/>
      <c r="L2327" s="612"/>
    </row>
    <row r="2328" spans="1:12" ht="24" customHeight="1">
      <c r="A2328" s="612" t="s">
        <v>13679</v>
      </c>
      <c r="B2328" s="636" t="s">
        <v>12698</v>
      </c>
      <c r="C2328" s="612" t="s">
        <v>12699</v>
      </c>
      <c r="D2328" s="612" t="s">
        <v>12700</v>
      </c>
      <c r="E2328" s="637" t="s">
        <v>12702</v>
      </c>
      <c r="F2328" s="801" t="s">
        <v>12704</v>
      </c>
      <c r="G2328" s="801"/>
      <c r="H2328" s="801" t="s">
        <v>13678</v>
      </c>
      <c r="I2328" s="801"/>
      <c r="J2328" s="801" t="s">
        <v>12705</v>
      </c>
      <c r="K2328" s="801"/>
      <c r="L2328" s="801"/>
    </row>
    <row r="2329" spans="1:12" ht="17.100000000000001" customHeight="1">
      <c r="A2329" s="626" t="s">
        <v>12709</v>
      </c>
      <c r="B2329" s="627" t="s">
        <v>13002</v>
      </c>
      <c r="C2329" s="626" t="s">
        <v>8</v>
      </c>
      <c r="D2329" s="626" t="s">
        <v>9306</v>
      </c>
      <c r="E2329" s="628" t="s">
        <v>23</v>
      </c>
      <c r="F2329" s="816" t="s">
        <v>13677</v>
      </c>
      <c r="G2329" s="816"/>
      <c r="H2329" s="816">
        <v>0.12520290000000001</v>
      </c>
      <c r="I2329" s="816"/>
      <c r="J2329" s="817">
        <v>4.3799999999999999E-2</v>
      </c>
      <c r="K2329" s="817"/>
      <c r="L2329" s="817"/>
    </row>
    <row r="2330" spans="1:12" ht="25.5">
      <c r="A2330" s="626" t="s">
        <v>12709</v>
      </c>
      <c r="B2330" s="627" t="s">
        <v>13004</v>
      </c>
      <c r="C2330" s="626" t="s">
        <v>8</v>
      </c>
      <c r="D2330" s="626" t="s">
        <v>7388</v>
      </c>
      <c r="E2330" s="628" t="s">
        <v>23</v>
      </c>
      <c r="F2330" s="816" t="s">
        <v>13676</v>
      </c>
      <c r="G2330" s="816"/>
      <c r="H2330" s="816">
        <v>0.12520290000000001</v>
      </c>
      <c r="I2330" s="816"/>
      <c r="J2330" s="817">
        <v>0.27539999999999998</v>
      </c>
      <c r="K2330" s="817"/>
      <c r="L2330" s="817"/>
    </row>
    <row r="2331" spans="1:12" ht="17.100000000000001" customHeight="1">
      <c r="A2331" s="636"/>
      <c r="B2331" s="636"/>
      <c r="C2331" s="636"/>
      <c r="D2331" s="636"/>
      <c r="E2331" s="636"/>
      <c r="F2331" s="636"/>
      <c r="G2331" s="636"/>
      <c r="H2331" s="636"/>
      <c r="I2331" s="636"/>
      <c r="J2331" s="636" t="s">
        <v>13675</v>
      </c>
      <c r="K2331" s="636"/>
      <c r="L2331" s="636" t="s">
        <v>14026</v>
      </c>
    </row>
    <row r="2332" spans="1:12" ht="24" customHeight="1">
      <c r="A2332" s="612" t="s">
        <v>13673</v>
      </c>
      <c r="B2332" s="612"/>
      <c r="C2332" s="612"/>
      <c r="D2332" s="612"/>
      <c r="E2332" s="612"/>
      <c r="F2332" s="612"/>
      <c r="G2332" s="612"/>
      <c r="H2332" s="612"/>
      <c r="I2332" s="612"/>
      <c r="J2332" s="612"/>
      <c r="K2332" s="612"/>
      <c r="L2332" s="612"/>
    </row>
    <row r="2333" spans="1:12" ht="24" customHeight="1">
      <c r="A2333" s="636"/>
      <c r="B2333" s="636"/>
      <c r="C2333" s="636"/>
      <c r="D2333" s="636"/>
      <c r="E2333" s="636"/>
      <c r="F2333" s="636"/>
      <c r="G2333" s="636"/>
      <c r="H2333" s="636"/>
      <c r="I2333" s="636"/>
      <c r="J2333" s="636" t="s">
        <v>13672</v>
      </c>
      <c r="K2333" s="636"/>
      <c r="L2333" s="636" t="s">
        <v>15006</v>
      </c>
    </row>
    <row r="2334" spans="1:12" ht="17.100000000000001" customHeight="1">
      <c r="A2334" s="636"/>
      <c r="B2334" s="636"/>
      <c r="C2334" s="636"/>
      <c r="D2334" s="636"/>
      <c r="E2334" s="636"/>
      <c r="F2334" s="636"/>
      <c r="G2334" s="636"/>
      <c r="H2334" s="636"/>
      <c r="I2334" s="636"/>
      <c r="J2334" s="636" t="s">
        <v>13671</v>
      </c>
      <c r="K2334" s="636" t="s">
        <v>14461</v>
      </c>
      <c r="L2334" s="636" t="s">
        <v>15007</v>
      </c>
    </row>
    <row r="2335" spans="1:12" ht="17.100000000000001" customHeight="1">
      <c r="A2335" s="636"/>
      <c r="B2335" s="636"/>
      <c r="C2335" s="636"/>
      <c r="D2335" s="636"/>
      <c r="E2335" s="636"/>
      <c r="F2335" s="636"/>
      <c r="G2335" s="636"/>
      <c r="H2335" s="636"/>
      <c r="I2335" s="636"/>
      <c r="J2335" s="636" t="s">
        <v>13670</v>
      </c>
      <c r="K2335" s="636"/>
      <c r="L2335" s="636" t="s">
        <v>15008</v>
      </c>
    </row>
    <row r="2336" spans="1:12" ht="17.100000000000001" customHeight="1">
      <c r="A2336" s="636"/>
      <c r="B2336" s="636"/>
      <c r="C2336" s="636"/>
      <c r="D2336" s="636"/>
      <c r="E2336" s="636"/>
      <c r="F2336" s="636"/>
      <c r="G2336" s="636"/>
      <c r="H2336" s="636"/>
      <c r="I2336" s="636"/>
      <c r="J2336" s="636" t="s">
        <v>13669</v>
      </c>
      <c r="K2336" s="636" t="s">
        <v>13667</v>
      </c>
      <c r="L2336" s="636" t="s">
        <v>15009</v>
      </c>
    </row>
    <row r="2337" spans="1:12" ht="17.100000000000001" customHeight="1">
      <c r="A2337" s="636"/>
      <c r="B2337" s="636"/>
      <c r="C2337" s="636"/>
      <c r="D2337" s="636"/>
      <c r="E2337" s="636"/>
      <c r="F2337" s="636"/>
      <c r="G2337" s="636"/>
      <c r="H2337" s="636"/>
      <c r="I2337" s="636"/>
      <c r="J2337" s="636" t="s">
        <v>13668</v>
      </c>
      <c r="K2337" s="636"/>
      <c r="L2337" s="636" t="s">
        <v>15010</v>
      </c>
    </row>
    <row r="2338" spans="1:12" ht="17.100000000000001" customHeight="1">
      <c r="A2338" s="637"/>
      <c r="B2338" s="637"/>
      <c r="C2338" s="637"/>
      <c r="D2338" s="637"/>
      <c r="E2338" s="637"/>
      <c r="F2338" s="637"/>
      <c r="G2338" s="637"/>
      <c r="H2338" s="637"/>
      <c r="I2338" s="637"/>
      <c r="J2338" s="637"/>
      <c r="K2338" s="637"/>
      <c r="L2338" s="637"/>
    </row>
    <row r="2339" spans="1:12" ht="17.100000000000001" customHeight="1">
      <c r="A2339" s="616" t="s">
        <v>14206</v>
      </c>
      <c r="B2339" s="617" t="s">
        <v>13614</v>
      </c>
      <c r="C2339" s="616" t="s">
        <v>8</v>
      </c>
      <c r="D2339" s="616" t="s">
        <v>2743</v>
      </c>
      <c r="E2339" s="618" t="s">
        <v>12725</v>
      </c>
      <c r="F2339" s="617"/>
      <c r="G2339" s="617"/>
      <c r="H2339" s="617"/>
      <c r="I2339" s="617"/>
      <c r="J2339" s="617"/>
      <c r="K2339" s="617"/>
      <c r="L2339" s="617"/>
    </row>
    <row r="2340" spans="1:12" ht="17.100000000000001" customHeight="1">
      <c r="A2340" s="802" t="s">
        <v>12711</v>
      </c>
      <c r="B2340" s="802"/>
      <c r="C2340" s="802"/>
      <c r="D2340" s="802"/>
      <c r="E2340" s="802"/>
      <c r="F2340" s="802"/>
      <c r="G2340" s="802"/>
      <c r="H2340" s="802"/>
      <c r="I2340" s="612"/>
      <c r="J2340" s="612"/>
      <c r="K2340" s="612"/>
      <c r="L2340" s="612"/>
    </row>
    <row r="2341" spans="1:12" ht="30" customHeight="1">
      <c r="A2341" s="612" t="s">
        <v>13679</v>
      </c>
      <c r="B2341" s="636" t="s">
        <v>12698</v>
      </c>
      <c r="C2341" s="612" t="s">
        <v>12699</v>
      </c>
      <c r="D2341" s="612" t="s">
        <v>12700</v>
      </c>
      <c r="E2341" s="637" t="s">
        <v>12702</v>
      </c>
      <c r="F2341" s="801" t="s">
        <v>12704</v>
      </c>
      <c r="G2341" s="801"/>
      <c r="H2341" s="801" t="s">
        <v>13678</v>
      </c>
      <c r="I2341" s="801"/>
      <c r="J2341" s="801" t="s">
        <v>12705</v>
      </c>
      <c r="K2341" s="801"/>
      <c r="L2341" s="801"/>
    </row>
    <row r="2342" spans="1:12" ht="24" customHeight="1">
      <c r="A2342" s="626" t="s">
        <v>12709</v>
      </c>
      <c r="B2342" s="627" t="s">
        <v>13003</v>
      </c>
      <c r="C2342" s="626" t="s">
        <v>8</v>
      </c>
      <c r="D2342" s="626" t="s">
        <v>9227</v>
      </c>
      <c r="E2342" s="628" t="s">
        <v>23</v>
      </c>
      <c r="F2342" s="816" t="s">
        <v>13732</v>
      </c>
      <c r="G2342" s="816"/>
      <c r="H2342" s="816">
        <v>6.3083100000000003E-2</v>
      </c>
      <c r="I2342" s="816"/>
      <c r="J2342" s="817">
        <v>4.1599999999999998E-2</v>
      </c>
      <c r="K2342" s="817"/>
      <c r="L2342" s="817"/>
    </row>
    <row r="2343" spans="1:12" ht="14.25" customHeight="1">
      <c r="A2343" s="626" t="s">
        <v>12709</v>
      </c>
      <c r="B2343" s="627" t="s">
        <v>13001</v>
      </c>
      <c r="C2343" s="626" t="s">
        <v>8</v>
      </c>
      <c r="D2343" s="626" t="s">
        <v>9374</v>
      </c>
      <c r="E2343" s="628" t="s">
        <v>23</v>
      </c>
      <c r="F2343" s="816" t="s">
        <v>13728</v>
      </c>
      <c r="G2343" s="816"/>
      <c r="H2343" s="816">
        <v>6.3083100000000003E-2</v>
      </c>
      <c r="I2343" s="816"/>
      <c r="J2343" s="817">
        <v>5.9999999999999995E-4</v>
      </c>
      <c r="K2343" s="817"/>
      <c r="L2343" s="817"/>
    </row>
    <row r="2344" spans="1:12" ht="17.100000000000001" customHeight="1">
      <c r="A2344" s="626" t="s">
        <v>12709</v>
      </c>
      <c r="B2344" s="627" t="s">
        <v>13032</v>
      </c>
      <c r="C2344" s="626" t="s">
        <v>8</v>
      </c>
      <c r="D2344" s="626" t="s">
        <v>9217</v>
      </c>
      <c r="E2344" s="628" t="s">
        <v>23</v>
      </c>
      <c r="F2344" s="816" t="s">
        <v>13741</v>
      </c>
      <c r="G2344" s="816"/>
      <c r="H2344" s="816">
        <v>2.3602856999999999</v>
      </c>
      <c r="I2344" s="816"/>
      <c r="J2344" s="817">
        <v>2.5491000000000001</v>
      </c>
      <c r="K2344" s="817"/>
      <c r="L2344" s="817"/>
    </row>
    <row r="2345" spans="1:12" ht="24" customHeight="1">
      <c r="A2345" s="626" t="s">
        <v>12709</v>
      </c>
      <c r="B2345" s="627" t="s">
        <v>13031</v>
      </c>
      <c r="C2345" s="626" t="s">
        <v>8</v>
      </c>
      <c r="D2345" s="626" t="s">
        <v>9364</v>
      </c>
      <c r="E2345" s="628" t="s">
        <v>23</v>
      </c>
      <c r="F2345" s="816" t="s">
        <v>13740</v>
      </c>
      <c r="G2345" s="816"/>
      <c r="H2345" s="816">
        <v>2.3602856999999999</v>
      </c>
      <c r="I2345" s="816"/>
      <c r="J2345" s="817">
        <v>0.80249999999999999</v>
      </c>
      <c r="K2345" s="817"/>
      <c r="L2345" s="817"/>
    </row>
    <row r="2346" spans="1:12" ht="24" customHeight="1">
      <c r="A2346" s="636"/>
      <c r="B2346" s="636"/>
      <c r="C2346" s="636"/>
      <c r="D2346" s="636"/>
      <c r="E2346" s="636"/>
      <c r="F2346" s="636"/>
      <c r="G2346" s="636"/>
      <c r="H2346" s="636"/>
      <c r="I2346" s="636"/>
      <c r="J2346" s="636" t="s">
        <v>13675</v>
      </c>
      <c r="K2346" s="636"/>
      <c r="L2346" s="636" t="s">
        <v>14205</v>
      </c>
    </row>
    <row r="2347" spans="1:12" ht="24" customHeight="1">
      <c r="A2347" s="802" t="s">
        <v>12710</v>
      </c>
      <c r="B2347" s="802"/>
      <c r="C2347" s="802"/>
      <c r="D2347" s="802"/>
      <c r="E2347" s="802"/>
      <c r="F2347" s="802"/>
      <c r="G2347" s="802"/>
      <c r="H2347" s="802"/>
      <c r="I2347" s="612"/>
      <c r="J2347" s="612"/>
      <c r="K2347" s="612"/>
      <c r="L2347" s="612"/>
    </row>
    <row r="2348" spans="1:12" ht="24" customHeight="1">
      <c r="A2348" s="612" t="s">
        <v>13679</v>
      </c>
      <c r="B2348" s="636" t="s">
        <v>12698</v>
      </c>
      <c r="C2348" s="612" t="s">
        <v>12699</v>
      </c>
      <c r="D2348" s="612" t="s">
        <v>12700</v>
      </c>
      <c r="E2348" s="637" t="s">
        <v>12702</v>
      </c>
      <c r="F2348" s="801" t="s">
        <v>12704</v>
      </c>
      <c r="G2348" s="801"/>
      <c r="H2348" s="801" t="s">
        <v>13678</v>
      </c>
      <c r="I2348" s="801"/>
      <c r="J2348" s="801" t="s">
        <v>12705</v>
      </c>
      <c r="K2348" s="801"/>
      <c r="L2348" s="801"/>
    </row>
    <row r="2349" spans="1:12" ht="24" customHeight="1">
      <c r="A2349" s="626" t="s">
        <v>12709</v>
      </c>
      <c r="B2349" s="627" t="s">
        <v>13103</v>
      </c>
      <c r="C2349" s="626" t="s">
        <v>8</v>
      </c>
      <c r="D2349" s="626" t="s">
        <v>10570</v>
      </c>
      <c r="E2349" s="628" t="s">
        <v>23</v>
      </c>
      <c r="F2349" s="816" t="s">
        <v>14289</v>
      </c>
      <c r="G2349" s="816"/>
      <c r="H2349" s="816">
        <v>6.3577999999999996E-2</v>
      </c>
      <c r="I2349" s="816"/>
      <c r="J2349" s="817">
        <v>0.3236</v>
      </c>
      <c r="K2349" s="817"/>
      <c r="L2349" s="817"/>
    </row>
    <row r="2350" spans="1:12" ht="24" customHeight="1">
      <c r="A2350" s="626" t="s">
        <v>12709</v>
      </c>
      <c r="B2350" s="627" t="s">
        <v>13228</v>
      </c>
      <c r="C2350" s="626" t="s">
        <v>8</v>
      </c>
      <c r="D2350" s="626" t="s">
        <v>8289</v>
      </c>
      <c r="E2350" s="628" t="s">
        <v>23</v>
      </c>
      <c r="F2350" s="816" t="s">
        <v>14199</v>
      </c>
      <c r="G2350" s="816"/>
      <c r="H2350" s="816">
        <v>0.37349389999999999</v>
      </c>
      <c r="I2350" s="816"/>
      <c r="J2350" s="817">
        <v>2.0318000000000001</v>
      </c>
      <c r="K2350" s="817"/>
      <c r="L2350" s="817"/>
    </row>
    <row r="2351" spans="1:12" ht="36" customHeight="1">
      <c r="A2351" s="626" t="s">
        <v>12709</v>
      </c>
      <c r="B2351" s="627" t="s">
        <v>13212</v>
      </c>
      <c r="C2351" s="626" t="s">
        <v>8</v>
      </c>
      <c r="D2351" s="626" t="s">
        <v>8293</v>
      </c>
      <c r="E2351" s="628" t="s">
        <v>23</v>
      </c>
      <c r="F2351" s="816" t="s">
        <v>14470</v>
      </c>
      <c r="G2351" s="816"/>
      <c r="H2351" s="816">
        <v>2.0061578</v>
      </c>
      <c r="I2351" s="816"/>
      <c r="J2351" s="817">
        <v>13.8626</v>
      </c>
      <c r="K2351" s="817"/>
      <c r="L2351" s="817"/>
    </row>
    <row r="2352" spans="1:12" ht="24" customHeight="1">
      <c r="A2352" s="636"/>
      <c r="B2352" s="636"/>
      <c r="C2352" s="636"/>
      <c r="D2352" s="636"/>
      <c r="E2352" s="636"/>
      <c r="F2352" s="636"/>
      <c r="G2352" s="636"/>
      <c r="H2352" s="636"/>
      <c r="I2352" s="636"/>
      <c r="J2352" s="636" t="s">
        <v>13675</v>
      </c>
      <c r="K2352" s="636"/>
      <c r="L2352" s="636" t="s">
        <v>14775</v>
      </c>
    </row>
    <row r="2353" spans="1:12" ht="24" customHeight="1">
      <c r="A2353" s="802" t="s">
        <v>12720</v>
      </c>
      <c r="B2353" s="802"/>
      <c r="C2353" s="802"/>
      <c r="D2353" s="802"/>
      <c r="E2353" s="802"/>
      <c r="F2353" s="802"/>
      <c r="G2353" s="802"/>
      <c r="H2353" s="802"/>
      <c r="I2353" s="612"/>
      <c r="J2353" s="612"/>
      <c r="K2353" s="612"/>
      <c r="L2353" s="612"/>
    </row>
    <row r="2354" spans="1:12" ht="17.100000000000001" customHeight="1">
      <c r="A2354" s="612" t="s">
        <v>13679</v>
      </c>
      <c r="B2354" s="636" t="s">
        <v>12698</v>
      </c>
      <c r="C2354" s="612" t="s">
        <v>12699</v>
      </c>
      <c r="D2354" s="612" t="s">
        <v>12700</v>
      </c>
      <c r="E2354" s="637" t="s">
        <v>12702</v>
      </c>
      <c r="F2354" s="801" t="s">
        <v>12704</v>
      </c>
      <c r="G2354" s="801"/>
      <c r="H2354" s="801" t="s">
        <v>13678</v>
      </c>
      <c r="I2354" s="801"/>
      <c r="J2354" s="801" t="s">
        <v>12705</v>
      </c>
      <c r="K2354" s="801"/>
      <c r="L2354" s="801"/>
    </row>
    <row r="2355" spans="1:12" ht="14.25" customHeight="1">
      <c r="A2355" s="626" t="s">
        <v>12709</v>
      </c>
      <c r="B2355" s="627" t="s">
        <v>13093</v>
      </c>
      <c r="C2355" s="626" t="s">
        <v>8</v>
      </c>
      <c r="D2355" s="626" t="s">
        <v>8980</v>
      </c>
      <c r="E2355" s="628" t="s">
        <v>58</v>
      </c>
      <c r="F2355" s="816" t="s">
        <v>14502</v>
      </c>
      <c r="G2355" s="816"/>
      <c r="H2355" s="816">
        <v>1.7000000000000001E-2</v>
      </c>
      <c r="I2355" s="816"/>
      <c r="J2355" s="817">
        <v>0.08</v>
      </c>
      <c r="K2355" s="817"/>
      <c r="L2355" s="817"/>
    </row>
    <row r="2356" spans="1:12" ht="17.100000000000001" customHeight="1">
      <c r="A2356" s="626" t="s">
        <v>12709</v>
      </c>
      <c r="B2356" s="627" t="s">
        <v>13613</v>
      </c>
      <c r="C2356" s="626" t="s">
        <v>8</v>
      </c>
      <c r="D2356" s="626" t="s">
        <v>11000</v>
      </c>
      <c r="E2356" s="628" t="s">
        <v>20</v>
      </c>
      <c r="F2356" s="816" t="s">
        <v>13753</v>
      </c>
      <c r="G2356" s="816"/>
      <c r="H2356" s="816">
        <v>6.6000000000000003E-2</v>
      </c>
      <c r="I2356" s="816"/>
      <c r="J2356" s="817">
        <v>0.91</v>
      </c>
      <c r="K2356" s="817"/>
      <c r="L2356" s="817"/>
    </row>
    <row r="2357" spans="1:12" ht="24" customHeight="1">
      <c r="A2357" s="626" t="s">
        <v>12709</v>
      </c>
      <c r="B2357" s="627" t="s">
        <v>13612</v>
      </c>
      <c r="C2357" s="626" t="s">
        <v>8</v>
      </c>
      <c r="D2357" s="626" t="s">
        <v>11360</v>
      </c>
      <c r="E2357" s="628" t="s">
        <v>17</v>
      </c>
      <c r="F2357" s="816" t="s">
        <v>14774</v>
      </c>
      <c r="G2357" s="816"/>
      <c r="H2357" s="816">
        <v>0.32800000000000001</v>
      </c>
      <c r="I2357" s="816"/>
      <c r="J2357" s="817">
        <v>1.96</v>
      </c>
      <c r="K2357" s="817"/>
      <c r="L2357" s="817"/>
    </row>
    <row r="2358" spans="1:12" ht="24" customHeight="1">
      <c r="A2358" s="626" t="s">
        <v>12709</v>
      </c>
      <c r="B2358" s="627" t="s">
        <v>13091</v>
      </c>
      <c r="C2358" s="626" t="s">
        <v>8</v>
      </c>
      <c r="D2358" s="626" t="s">
        <v>11248</v>
      </c>
      <c r="E2358" s="628" t="s">
        <v>17</v>
      </c>
      <c r="F2358" s="816" t="s">
        <v>14501</v>
      </c>
      <c r="G2358" s="816"/>
      <c r="H2358" s="816">
        <v>1.7228512</v>
      </c>
      <c r="I2358" s="816"/>
      <c r="J2358" s="817">
        <v>3.4457</v>
      </c>
      <c r="K2358" s="817"/>
      <c r="L2358" s="817"/>
    </row>
    <row r="2359" spans="1:12" ht="24" customHeight="1">
      <c r="A2359" s="626" t="s">
        <v>12709</v>
      </c>
      <c r="B2359" s="627" t="s">
        <v>13189</v>
      </c>
      <c r="C2359" s="626" t="s">
        <v>8</v>
      </c>
      <c r="D2359" s="626" t="s">
        <v>11363</v>
      </c>
      <c r="E2359" s="628" t="s">
        <v>17</v>
      </c>
      <c r="F2359" s="816" t="s">
        <v>14500</v>
      </c>
      <c r="G2359" s="816"/>
      <c r="H2359" s="816">
        <v>1.5509008</v>
      </c>
      <c r="I2359" s="816"/>
      <c r="J2359" s="817">
        <v>13.5549</v>
      </c>
      <c r="K2359" s="817"/>
      <c r="L2359" s="817"/>
    </row>
    <row r="2360" spans="1:12" ht="24" customHeight="1">
      <c r="A2360" s="626" t="s">
        <v>12709</v>
      </c>
      <c r="B2360" s="627" t="s">
        <v>13190</v>
      </c>
      <c r="C2360" s="626" t="s">
        <v>8</v>
      </c>
      <c r="D2360" s="626" t="s">
        <v>11009</v>
      </c>
      <c r="E2360" s="628" t="s">
        <v>20</v>
      </c>
      <c r="F2360" s="816" t="s">
        <v>13824</v>
      </c>
      <c r="G2360" s="816"/>
      <c r="H2360" s="816">
        <v>2.61027E-2</v>
      </c>
      <c r="I2360" s="816"/>
      <c r="J2360" s="817">
        <v>0.2918</v>
      </c>
      <c r="K2360" s="817"/>
      <c r="L2360" s="817"/>
    </row>
    <row r="2361" spans="1:12" ht="24" customHeight="1">
      <c r="A2361" s="626" t="s">
        <v>12709</v>
      </c>
      <c r="B2361" s="627" t="s">
        <v>13056</v>
      </c>
      <c r="C2361" s="626" t="s">
        <v>8</v>
      </c>
      <c r="D2361" s="626" t="s">
        <v>11277</v>
      </c>
      <c r="E2361" s="628" t="s">
        <v>35</v>
      </c>
      <c r="F2361" s="816" t="s">
        <v>14498</v>
      </c>
      <c r="G2361" s="816"/>
      <c r="H2361" s="816">
        <v>6.9999999999999999E-6</v>
      </c>
      <c r="I2361" s="816"/>
      <c r="J2361" s="817">
        <v>8.6999999999999994E-3</v>
      </c>
      <c r="K2361" s="817"/>
      <c r="L2361" s="817"/>
    </row>
    <row r="2362" spans="1:12" ht="24" customHeight="1">
      <c r="A2362" s="626" t="s">
        <v>12709</v>
      </c>
      <c r="B2362" s="627" t="s">
        <v>12987</v>
      </c>
      <c r="C2362" s="626" t="s">
        <v>8</v>
      </c>
      <c r="D2362" s="626" t="s">
        <v>9192</v>
      </c>
      <c r="E2362" s="628" t="s">
        <v>12923</v>
      </c>
      <c r="F2362" s="816" t="s">
        <v>13999</v>
      </c>
      <c r="G2362" s="816"/>
      <c r="H2362" s="816">
        <v>0.1079442</v>
      </c>
      <c r="I2362" s="816"/>
      <c r="J2362" s="817">
        <v>8.7400000000000005E-2</v>
      </c>
      <c r="K2362" s="817"/>
      <c r="L2362" s="817"/>
    </row>
    <row r="2363" spans="1:12" ht="24" customHeight="1">
      <c r="A2363" s="626" t="s">
        <v>12709</v>
      </c>
      <c r="B2363" s="627" t="s">
        <v>13194</v>
      </c>
      <c r="C2363" s="626" t="s">
        <v>8</v>
      </c>
      <c r="D2363" s="626" t="s">
        <v>10900</v>
      </c>
      <c r="E2363" s="628" t="s">
        <v>17</v>
      </c>
      <c r="F2363" s="816" t="s">
        <v>14499</v>
      </c>
      <c r="G2363" s="816"/>
      <c r="H2363" s="816">
        <v>2.7861253000000001</v>
      </c>
      <c r="I2363" s="816"/>
      <c r="J2363" s="817">
        <v>15.4909</v>
      </c>
      <c r="K2363" s="817"/>
      <c r="L2363" s="817"/>
    </row>
    <row r="2364" spans="1:12" ht="24" customHeight="1">
      <c r="A2364" s="636"/>
      <c r="B2364" s="636"/>
      <c r="C2364" s="636"/>
      <c r="D2364" s="636"/>
      <c r="E2364" s="636"/>
      <c r="F2364" s="636"/>
      <c r="G2364" s="636"/>
      <c r="H2364" s="636"/>
      <c r="I2364" s="636"/>
      <c r="J2364" s="636" t="s">
        <v>13675</v>
      </c>
      <c r="K2364" s="636"/>
      <c r="L2364" s="636" t="s">
        <v>14773</v>
      </c>
    </row>
    <row r="2365" spans="1:12" ht="17.100000000000001" customHeight="1">
      <c r="A2365" s="802" t="s">
        <v>12722</v>
      </c>
      <c r="B2365" s="802"/>
      <c r="C2365" s="802"/>
      <c r="D2365" s="802"/>
      <c r="E2365" s="802"/>
      <c r="F2365" s="802"/>
      <c r="G2365" s="802"/>
      <c r="H2365" s="802"/>
      <c r="I2365" s="612"/>
      <c r="J2365" s="612"/>
      <c r="K2365" s="612"/>
      <c r="L2365" s="612"/>
    </row>
    <row r="2366" spans="1:12">
      <c r="A2366" s="612" t="s">
        <v>13679</v>
      </c>
      <c r="B2366" s="636" t="s">
        <v>12698</v>
      </c>
      <c r="C2366" s="612" t="s">
        <v>12699</v>
      </c>
      <c r="D2366" s="612" t="s">
        <v>12700</v>
      </c>
      <c r="E2366" s="637" t="s">
        <v>12702</v>
      </c>
      <c r="F2366" s="801" t="s">
        <v>12704</v>
      </c>
      <c r="G2366" s="801"/>
      <c r="H2366" s="801" t="s">
        <v>13678</v>
      </c>
      <c r="I2366" s="801"/>
      <c r="J2366" s="801" t="s">
        <v>12705</v>
      </c>
      <c r="K2366" s="801"/>
      <c r="L2366" s="801"/>
    </row>
    <row r="2367" spans="1:12" ht="17.100000000000001" customHeight="1">
      <c r="A2367" s="626" t="s">
        <v>12709</v>
      </c>
      <c r="B2367" s="627" t="s">
        <v>12998</v>
      </c>
      <c r="C2367" s="626" t="s">
        <v>8</v>
      </c>
      <c r="D2367" s="626" t="s">
        <v>11861</v>
      </c>
      <c r="E2367" s="628" t="s">
        <v>23</v>
      </c>
      <c r="F2367" s="816" t="s">
        <v>13683</v>
      </c>
      <c r="G2367" s="816"/>
      <c r="H2367" s="816">
        <v>2.4233688</v>
      </c>
      <c r="I2367" s="816"/>
      <c r="J2367" s="817">
        <v>1.7205999999999999</v>
      </c>
      <c r="K2367" s="817"/>
      <c r="L2367" s="817"/>
    </row>
    <row r="2368" spans="1:12" ht="36" customHeight="1">
      <c r="A2368" s="636"/>
      <c r="B2368" s="636"/>
      <c r="C2368" s="636"/>
      <c r="D2368" s="636"/>
      <c r="E2368" s="636"/>
      <c r="F2368" s="636"/>
      <c r="G2368" s="636"/>
      <c r="H2368" s="636"/>
      <c r="I2368" s="636"/>
      <c r="J2368" s="636" t="s">
        <v>13675</v>
      </c>
      <c r="K2368" s="636"/>
      <c r="L2368" s="636" t="s">
        <v>13766</v>
      </c>
    </row>
    <row r="2369" spans="1:12" ht="24" customHeight="1">
      <c r="A2369" s="802" t="s">
        <v>12713</v>
      </c>
      <c r="B2369" s="802"/>
      <c r="C2369" s="802"/>
      <c r="D2369" s="802"/>
      <c r="E2369" s="802"/>
      <c r="F2369" s="802"/>
      <c r="G2369" s="802"/>
      <c r="H2369" s="802"/>
      <c r="I2369" s="612"/>
      <c r="J2369" s="612"/>
      <c r="K2369" s="612"/>
      <c r="L2369" s="612"/>
    </row>
    <row r="2370" spans="1:12" ht="24" customHeight="1">
      <c r="A2370" s="612" t="s">
        <v>13679</v>
      </c>
      <c r="B2370" s="636" t="s">
        <v>12698</v>
      </c>
      <c r="C2370" s="612" t="s">
        <v>12699</v>
      </c>
      <c r="D2370" s="612" t="s">
        <v>12700</v>
      </c>
      <c r="E2370" s="637" t="s">
        <v>12702</v>
      </c>
      <c r="F2370" s="801" t="s">
        <v>12704</v>
      </c>
      <c r="G2370" s="801"/>
      <c r="H2370" s="801" t="s">
        <v>13678</v>
      </c>
      <c r="I2370" s="801"/>
      <c r="J2370" s="801" t="s">
        <v>12705</v>
      </c>
      <c r="K2370" s="801"/>
      <c r="L2370" s="801"/>
    </row>
    <row r="2371" spans="1:12" ht="24" customHeight="1">
      <c r="A2371" s="626" t="s">
        <v>12709</v>
      </c>
      <c r="B2371" s="627" t="s">
        <v>12999</v>
      </c>
      <c r="C2371" s="626" t="s">
        <v>8</v>
      </c>
      <c r="D2371" s="626" t="s">
        <v>11251</v>
      </c>
      <c r="E2371" s="628" t="s">
        <v>23</v>
      </c>
      <c r="F2371" s="816" t="s">
        <v>13681</v>
      </c>
      <c r="G2371" s="816"/>
      <c r="H2371" s="816">
        <v>2.4233688</v>
      </c>
      <c r="I2371" s="816"/>
      <c r="J2371" s="817">
        <v>0.1696</v>
      </c>
      <c r="K2371" s="817"/>
      <c r="L2371" s="817"/>
    </row>
    <row r="2372" spans="1:12" ht="24" customHeight="1">
      <c r="A2372" s="636"/>
      <c r="B2372" s="636"/>
      <c r="C2372" s="636"/>
      <c r="D2372" s="636"/>
      <c r="E2372" s="636"/>
      <c r="F2372" s="636"/>
      <c r="G2372" s="636"/>
      <c r="H2372" s="636"/>
      <c r="I2372" s="636"/>
      <c r="J2372" s="636" t="s">
        <v>13675</v>
      </c>
      <c r="K2372" s="636"/>
      <c r="L2372" s="636" t="s">
        <v>13832</v>
      </c>
    </row>
    <row r="2373" spans="1:12" ht="24" customHeight="1">
      <c r="A2373" s="802" t="s">
        <v>12712</v>
      </c>
      <c r="B2373" s="802"/>
      <c r="C2373" s="802"/>
      <c r="D2373" s="802"/>
      <c r="E2373" s="802"/>
      <c r="F2373" s="802"/>
      <c r="G2373" s="802"/>
      <c r="H2373" s="802"/>
      <c r="I2373" s="612"/>
      <c r="J2373" s="612"/>
      <c r="K2373" s="612"/>
      <c r="L2373" s="612"/>
    </row>
    <row r="2374" spans="1:12" ht="36" customHeight="1">
      <c r="A2374" s="612" t="s">
        <v>13679</v>
      </c>
      <c r="B2374" s="636" t="s">
        <v>12698</v>
      </c>
      <c r="C2374" s="612" t="s">
        <v>12699</v>
      </c>
      <c r="D2374" s="612" t="s">
        <v>12700</v>
      </c>
      <c r="E2374" s="637" t="s">
        <v>12702</v>
      </c>
      <c r="F2374" s="801" t="s">
        <v>12704</v>
      </c>
      <c r="G2374" s="801"/>
      <c r="H2374" s="801" t="s">
        <v>13678</v>
      </c>
      <c r="I2374" s="801"/>
      <c r="J2374" s="801" t="s">
        <v>12705</v>
      </c>
      <c r="K2374" s="801"/>
      <c r="L2374" s="801"/>
    </row>
    <row r="2375" spans="1:12" ht="24" customHeight="1">
      <c r="A2375" s="626" t="s">
        <v>12709</v>
      </c>
      <c r="B2375" s="627" t="s">
        <v>13002</v>
      </c>
      <c r="C2375" s="626" t="s">
        <v>8</v>
      </c>
      <c r="D2375" s="626" t="s">
        <v>9306</v>
      </c>
      <c r="E2375" s="628" t="s">
        <v>23</v>
      </c>
      <c r="F2375" s="816" t="s">
        <v>13677</v>
      </c>
      <c r="G2375" s="816"/>
      <c r="H2375" s="816">
        <v>2.4233688</v>
      </c>
      <c r="I2375" s="816"/>
      <c r="J2375" s="817">
        <v>0.84819999999999995</v>
      </c>
      <c r="K2375" s="817"/>
      <c r="L2375" s="817"/>
    </row>
    <row r="2376" spans="1:12" ht="24" customHeight="1">
      <c r="A2376" s="626" t="s">
        <v>12709</v>
      </c>
      <c r="B2376" s="627" t="s">
        <v>13004</v>
      </c>
      <c r="C2376" s="626" t="s">
        <v>8</v>
      </c>
      <c r="D2376" s="626" t="s">
        <v>7388</v>
      </c>
      <c r="E2376" s="628" t="s">
        <v>23</v>
      </c>
      <c r="F2376" s="816" t="s">
        <v>13676</v>
      </c>
      <c r="G2376" s="816"/>
      <c r="H2376" s="816">
        <v>2.4233688</v>
      </c>
      <c r="I2376" s="816"/>
      <c r="J2376" s="817">
        <v>5.3314000000000004</v>
      </c>
      <c r="K2376" s="817"/>
      <c r="L2376" s="817"/>
    </row>
    <row r="2377" spans="1:12" ht="24" customHeight="1">
      <c r="A2377" s="636"/>
      <c r="B2377" s="636"/>
      <c r="C2377" s="636"/>
      <c r="D2377" s="636"/>
      <c r="E2377" s="636"/>
      <c r="F2377" s="636"/>
      <c r="G2377" s="636"/>
      <c r="H2377" s="636"/>
      <c r="I2377" s="636"/>
      <c r="J2377" s="636" t="s">
        <v>13675</v>
      </c>
      <c r="K2377" s="636"/>
      <c r="L2377" s="636" t="s">
        <v>14203</v>
      </c>
    </row>
    <row r="2378" spans="1:12" ht="24" customHeight="1">
      <c r="A2378" s="612" t="s">
        <v>13673</v>
      </c>
      <c r="B2378" s="612"/>
      <c r="C2378" s="612"/>
      <c r="D2378" s="612"/>
      <c r="E2378" s="612"/>
      <c r="F2378" s="612"/>
      <c r="G2378" s="612"/>
      <c r="H2378" s="612"/>
      <c r="I2378" s="612"/>
      <c r="J2378" s="612"/>
      <c r="K2378" s="612"/>
      <c r="L2378" s="612"/>
    </row>
    <row r="2379" spans="1:12" ht="24" customHeight="1">
      <c r="A2379" s="636"/>
      <c r="B2379" s="636"/>
      <c r="C2379" s="636"/>
      <c r="D2379" s="636"/>
      <c r="E2379" s="636"/>
      <c r="F2379" s="636"/>
      <c r="G2379" s="636"/>
      <c r="H2379" s="636"/>
      <c r="I2379" s="636"/>
      <c r="J2379" s="636" t="s">
        <v>13672</v>
      </c>
      <c r="K2379" s="636"/>
      <c r="L2379" s="636" t="s">
        <v>15068</v>
      </c>
    </row>
    <row r="2380" spans="1:12" ht="17.100000000000001" customHeight="1">
      <c r="A2380" s="636"/>
      <c r="B2380" s="636"/>
      <c r="C2380" s="636"/>
      <c r="D2380" s="636"/>
      <c r="E2380" s="636"/>
      <c r="F2380" s="636"/>
      <c r="G2380" s="636"/>
      <c r="H2380" s="636"/>
      <c r="I2380" s="636"/>
      <c r="J2380" s="636" t="s">
        <v>13671</v>
      </c>
      <c r="K2380" s="636" t="s">
        <v>14461</v>
      </c>
      <c r="L2380" s="636" t="s">
        <v>15069</v>
      </c>
    </row>
    <row r="2381" spans="1:12">
      <c r="A2381" s="636"/>
      <c r="B2381" s="636"/>
      <c r="C2381" s="636"/>
      <c r="D2381" s="636"/>
      <c r="E2381" s="636"/>
      <c r="F2381" s="636"/>
      <c r="G2381" s="636"/>
      <c r="H2381" s="636"/>
      <c r="I2381" s="636"/>
      <c r="J2381" s="636" t="s">
        <v>13670</v>
      </c>
      <c r="K2381" s="636"/>
      <c r="L2381" s="636" t="s">
        <v>15070</v>
      </c>
    </row>
    <row r="2382" spans="1:12" ht="17.100000000000001" customHeight="1">
      <c r="A2382" s="636"/>
      <c r="B2382" s="636"/>
      <c r="C2382" s="636"/>
      <c r="D2382" s="636"/>
      <c r="E2382" s="636"/>
      <c r="F2382" s="636"/>
      <c r="G2382" s="636"/>
      <c r="H2382" s="636"/>
      <c r="I2382" s="636"/>
      <c r="J2382" s="636" t="s">
        <v>13669</v>
      </c>
      <c r="K2382" s="636" t="s">
        <v>13667</v>
      </c>
      <c r="L2382" s="636" t="s">
        <v>15071</v>
      </c>
    </row>
    <row r="2383" spans="1:12" ht="24" customHeight="1">
      <c r="A2383" s="636"/>
      <c r="B2383" s="636"/>
      <c r="C2383" s="636"/>
      <c r="D2383" s="636"/>
      <c r="E2383" s="636"/>
      <c r="F2383" s="636"/>
      <c r="G2383" s="636"/>
      <c r="H2383" s="636"/>
      <c r="I2383" s="636"/>
      <c r="J2383" s="636" t="s">
        <v>13668</v>
      </c>
      <c r="K2383" s="636"/>
      <c r="L2383" s="636" t="s">
        <v>15072</v>
      </c>
    </row>
    <row r="2384" spans="1:12" ht="17.100000000000001" customHeight="1">
      <c r="A2384" s="637"/>
      <c r="B2384" s="637"/>
      <c r="C2384" s="637"/>
      <c r="D2384" s="637"/>
      <c r="E2384" s="637"/>
      <c r="F2384" s="637"/>
      <c r="G2384" s="637"/>
      <c r="H2384" s="637"/>
      <c r="I2384" s="637"/>
      <c r="J2384" s="637"/>
      <c r="K2384" s="637"/>
      <c r="L2384" s="637"/>
    </row>
    <row r="2385" spans="1:12" ht="25.5">
      <c r="A2385" s="616" t="s">
        <v>14202</v>
      </c>
      <c r="B2385" s="617" t="s">
        <v>13611</v>
      </c>
      <c r="C2385" s="616" t="s">
        <v>8</v>
      </c>
      <c r="D2385" s="616" t="s">
        <v>3155</v>
      </c>
      <c r="E2385" s="618" t="s">
        <v>17</v>
      </c>
      <c r="F2385" s="617"/>
      <c r="G2385" s="617"/>
      <c r="H2385" s="617"/>
      <c r="I2385" s="617"/>
      <c r="J2385" s="617"/>
      <c r="K2385" s="617"/>
      <c r="L2385" s="617"/>
    </row>
    <row r="2386" spans="1:12" ht="17.100000000000001" customHeight="1">
      <c r="A2386" s="802" t="s">
        <v>12711</v>
      </c>
      <c r="B2386" s="802"/>
      <c r="C2386" s="802"/>
      <c r="D2386" s="802"/>
      <c r="E2386" s="802"/>
      <c r="F2386" s="802"/>
      <c r="G2386" s="802"/>
      <c r="H2386" s="802"/>
      <c r="I2386" s="612"/>
      <c r="J2386" s="612"/>
      <c r="K2386" s="612"/>
      <c r="L2386" s="612"/>
    </row>
    <row r="2387" spans="1:12" ht="24" customHeight="1">
      <c r="A2387" s="612" t="s">
        <v>13679</v>
      </c>
      <c r="B2387" s="636" t="s">
        <v>12698</v>
      </c>
      <c r="C2387" s="612" t="s">
        <v>12699</v>
      </c>
      <c r="D2387" s="612" t="s">
        <v>12700</v>
      </c>
      <c r="E2387" s="637" t="s">
        <v>12702</v>
      </c>
      <c r="F2387" s="801" t="s">
        <v>12704</v>
      </c>
      <c r="G2387" s="801"/>
      <c r="H2387" s="801" t="s">
        <v>13678</v>
      </c>
      <c r="I2387" s="801"/>
      <c r="J2387" s="801" t="s">
        <v>12705</v>
      </c>
      <c r="K2387" s="801"/>
      <c r="L2387" s="801"/>
    </row>
    <row r="2388" spans="1:12" ht="17.100000000000001" customHeight="1">
      <c r="A2388" s="626" t="s">
        <v>12709</v>
      </c>
      <c r="B2388" s="627" t="s">
        <v>13003</v>
      </c>
      <c r="C2388" s="626" t="s">
        <v>8</v>
      </c>
      <c r="D2388" s="626" t="s">
        <v>9227</v>
      </c>
      <c r="E2388" s="628" t="s">
        <v>23</v>
      </c>
      <c r="F2388" s="816" t="s">
        <v>13732</v>
      </c>
      <c r="G2388" s="816"/>
      <c r="H2388" s="816">
        <v>6.5819100000000005E-2</v>
      </c>
      <c r="I2388" s="816"/>
      <c r="J2388" s="817">
        <v>4.3400000000000001E-2</v>
      </c>
      <c r="K2388" s="817"/>
      <c r="L2388" s="817"/>
    </row>
    <row r="2389" spans="1:12" ht="25.5">
      <c r="A2389" s="626" t="s">
        <v>12709</v>
      </c>
      <c r="B2389" s="627" t="s">
        <v>13001</v>
      </c>
      <c r="C2389" s="626" t="s">
        <v>8</v>
      </c>
      <c r="D2389" s="626" t="s">
        <v>9374</v>
      </c>
      <c r="E2389" s="628" t="s">
        <v>23</v>
      </c>
      <c r="F2389" s="816" t="s">
        <v>13728</v>
      </c>
      <c r="G2389" s="816"/>
      <c r="H2389" s="816">
        <v>6.5819100000000005E-2</v>
      </c>
      <c r="I2389" s="816"/>
      <c r="J2389" s="817">
        <v>6.9999999999999999E-4</v>
      </c>
      <c r="K2389" s="817"/>
      <c r="L2389" s="817"/>
    </row>
    <row r="2390" spans="1:12" ht="17.100000000000001" customHeight="1">
      <c r="A2390" s="626" t="s">
        <v>12709</v>
      </c>
      <c r="B2390" s="627" t="s">
        <v>13032</v>
      </c>
      <c r="C2390" s="626" t="s">
        <v>8</v>
      </c>
      <c r="D2390" s="626" t="s">
        <v>9217</v>
      </c>
      <c r="E2390" s="628" t="s">
        <v>23</v>
      </c>
      <c r="F2390" s="816" t="s">
        <v>13741</v>
      </c>
      <c r="G2390" s="816"/>
      <c r="H2390" s="816">
        <v>0.21007780000000001</v>
      </c>
      <c r="I2390" s="816"/>
      <c r="J2390" s="817">
        <v>0.22689999999999999</v>
      </c>
      <c r="K2390" s="817"/>
      <c r="L2390" s="817"/>
    </row>
    <row r="2391" spans="1:12" ht="24" customHeight="1">
      <c r="A2391" s="626" t="s">
        <v>12709</v>
      </c>
      <c r="B2391" s="627" t="s">
        <v>13031</v>
      </c>
      <c r="C2391" s="626" t="s">
        <v>8</v>
      </c>
      <c r="D2391" s="626" t="s">
        <v>9364</v>
      </c>
      <c r="E2391" s="628" t="s">
        <v>23</v>
      </c>
      <c r="F2391" s="816" t="s">
        <v>13740</v>
      </c>
      <c r="G2391" s="816"/>
      <c r="H2391" s="816">
        <v>0.21007780000000001</v>
      </c>
      <c r="I2391" s="816"/>
      <c r="J2391" s="817">
        <v>7.1400000000000005E-2</v>
      </c>
      <c r="K2391" s="817"/>
      <c r="L2391" s="817"/>
    </row>
    <row r="2392" spans="1:12" ht="24" customHeight="1">
      <c r="A2392" s="626" t="s">
        <v>12709</v>
      </c>
      <c r="B2392" s="627" t="s">
        <v>13052</v>
      </c>
      <c r="C2392" s="626" t="s">
        <v>8</v>
      </c>
      <c r="D2392" s="626" t="s">
        <v>9229</v>
      </c>
      <c r="E2392" s="628" t="s">
        <v>23</v>
      </c>
      <c r="F2392" s="816" t="s">
        <v>13692</v>
      </c>
      <c r="G2392" s="816"/>
      <c r="H2392" s="816">
        <v>0.37964179999999997</v>
      </c>
      <c r="I2392" s="816"/>
      <c r="J2392" s="817">
        <v>0.36449999999999999</v>
      </c>
      <c r="K2392" s="817"/>
      <c r="L2392" s="817"/>
    </row>
    <row r="2393" spans="1:12" ht="17.100000000000001" customHeight="1">
      <c r="A2393" s="626" t="s">
        <v>12709</v>
      </c>
      <c r="B2393" s="627" t="s">
        <v>13051</v>
      </c>
      <c r="C2393" s="626" t="s">
        <v>8</v>
      </c>
      <c r="D2393" s="626" t="s">
        <v>9376</v>
      </c>
      <c r="E2393" s="628" t="s">
        <v>23</v>
      </c>
      <c r="F2393" s="816" t="s">
        <v>13691</v>
      </c>
      <c r="G2393" s="816"/>
      <c r="H2393" s="816">
        <v>0.37964179999999997</v>
      </c>
      <c r="I2393" s="816"/>
      <c r="J2393" s="817">
        <v>0.1898</v>
      </c>
      <c r="K2393" s="817"/>
      <c r="L2393" s="817"/>
    </row>
    <row r="2394" spans="1:12" ht="17.100000000000001" customHeight="1">
      <c r="A2394" s="626" t="s">
        <v>12709</v>
      </c>
      <c r="B2394" s="627" t="s">
        <v>13297</v>
      </c>
      <c r="C2394" s="626" t="s">
        <v>8</v>
      </c>
      <c r="D2394" s="626" t="s">
        <v>7681</v>
      </c>
      <c r="E2394" s="628" t="s">
        <v>35</v>
      </c>
      <c r="F2394" s="816" t="s">
        <v>14527</v>
      </c>
      <c r="G2394" s="816"/>
      <c r="H2394" s="816">
        <v>3.1999999999999999E-6</v>
      </c>
      <c r="I2394" s="816"/>
      <c r="J2394" s="817">
        <v>4.7100000000000003E-2</v>
      </c>
      <c r="K2394" s="817"/>
      <c r="L2394" s="817"/>
    </row>
    <row r="2395" spans="1:12" ht="17.100000000000001" customHeight="1">
      <c r="A2395" s="626" t="s">
        <v>12709</v>
      </c>
      <c r="B2395" s="627" t="s">
        <v>13048</v>
      </c>
      <c r="C2395" s="626" t="s">
        <v>8</v>
      </c>
      <c r="D2395" s="626" t="s">
        <v>9233</v>
      </c>
      <c r="E2395" s="628" t="s">
        <v>23</v>
      </c>
      <c r="F2395" s="816" t="s">
        <v>13690</v>
      </c>
      <c r="G2395" s="816"/>
      <c r="H2395" s="816">
        <v>0.22836980000000001</v>
      </c>
      <c r="I2395" s="816"/>
      <c r="J2395" s="817">
        <v>0.2329</v>
      </c>
      <c r="K2395" s="817"/>
      <c r="L2395" s="817"/>
    </row>
    <row r="2396" spans="1:12" ht="17.100000000000001" customHeight="1">
      <c r="A2396" s="626" t="s">
        <v>12709</v>
      </c>
      <c r="B2396" s="627" t="s">
        <v>13047</v>
      </c>
      <c r="C2396" s="626" t="s">
        <v>8</v>
      </c>
      <c r="D2396" s="626" t="s">
        <v>9380</v>
      </c>
      <c r="E2396" s="628" t="s">
        <v>23</v>
      </c>
      <c r="F2396" s="816" t="s">
        <v>13689</v>
      </c>
      <c r="G2396" s="816"/>
      <c r="H2396" s="816">
        <v>0.22836980000000001</v>
      </c>
      <c r="I2396" s="816"/>
      <c r="J2396" s="817">
        <v>8.6800000000000002E-2</v>
      </c>
      <c r="K2396" s="817"/>
      <c r="L2396" s="817"/>
    </row>
    <row r="2397" spans="1:12" ht="17.100000000000001" customHeight="1">
      <c r="A2397" s="636"/>
      <c r="B2397" s="636"/>
      <c r="C2397" s="636"/>
      <c r="D2397" s="636"/>
      <c r="E2397" s="636"/>
      <c r="F2397" s="636"/>
      <c r="G2397" s="636"/>
      <c r="H2397" s="636"/>
      <c r="I2397" s="636"/>
      <c r="J2397" s="636" t="s">
        <v>13675</v>
      </c>
      <c r="K2397" s="636"/>
      <c r="L2397" s="636" t="s">
        <v>13926</v>
      </c>
    </row>
    <row r="2398" spans="1:12" ht="17.100000000000001" customHeight="1">
      <c r="A2398" s="802" t="s">
        <v>12710</v>
      </c>
      <c r="B2398" s="802"/>
      <c r="C2398" s="802"/>
      <c r="D2398" s="802"/>
      <c r="E2398" s="802"/>
      <c r="F2398" s="802"/>
      <c r="G2398" s="802"/>
      <c r="H2398" s="802"/>
      <c r="I2398" s="612"/>
      <c r="J2398" s="612"/>
      <c r="K2398" s="612"/>
      <c r="L2398" s="612"/>
    </row>
    <row r="2399" spans="1:12" ht="17.100000000000001" customHeight="1">
      <c r="A2399" s="612" t="s">
        <v>13679</v>
      </c>
      <c r="B2399" s="636" t="s">
        <v>12698</v>
      </c>
      <c r="C2399" s="612" t="s">
        <v>12699</v>
      </c>
      <c r="D2399" s="612" t="s">
        <v>12700</v>
      </c>
      <c r="E2399" s="637" t="s">
        <v>12702</v>
      </c>
      <c r="F2399" s="801" t="s">
        <v>12704</v>
      </c>
      <c r="G2399" s="801"/>
      <c r="H2399" s="801" t="s">
        <v>13678</v>
      </c>
      <c r="I2399" s="801"/>
      <c r="J2399" s="801" t="s">
        <v>12705</v>
      </c>
      <c r="K2399" s="801"/>
      <c r="L2399" s="801"/>
    </row>
    <row r="2400" spans="1:12" ht="30" customHeight="1">
      <c r="A2400" s="626" t="s">
        <v>12709</v>
      </c>
      <c r="B2400" s="627" t="s">
        <v>13103</v>
      </c>
      <c r="C2400" s="626" t="s">
        <v>8</v>
      </c>
      <c r="D2400" s="626" t="s">
        <v>10570</v>
      </c>
      <c r="E2400" s="628" t="s">
        <v>23</v>
      </c>
      <c r="F2400" s="816" t="s">
        <v>14289</v>
      </c>
      <c r="G2400" s="816"/>
      <c r="H2400" s="816">
        <v>3.5315600000000003E-2</v>
      </c>
      <c r="I2400" s="816"/>
      <c r="J2400" s="817">
        <v>0.17979999999999999</v>
      </c>
      <c r="K2400" s="817"/>
      <c r="L2400" s="817"/>
    </row>
    <row r="2401" spans="1:12" ht="24" customHeight="1">
      <c r="A2401" s="626" t="s">
        <v>12709</v>
      </c>
      <c r="B2401" s="627" t="s">
        <v>13228</v>
      </c>
      <c r="C2401" s="626" t="s">
        <v>8</v>
      </c>
      <c r="D2401" s="626" t="s">
        <v>8289</v>
      </c>
      <c r="E2401" s="628" t="s">
        <v>23</v>
      </c>
      <c r="F2401" s="816" t="s">
        <v>14199</v>
      </c>
      <c r="G2401" s="816"/>
      <c r="H2401" s="816">
        <v>3.53961E-2</v>
      </c>
      <c r="I2401" s="816"/>
      <c r="J2401" s="817">
        <v>0.19259999999999999</v>
      </c>
      <c r="K2401" s="817"/>
      <c r="L2401" s="817"/>
    </row>
    <row r="2402" spans="1:12" ht="14.25" customHeight="1">
      <c r="A2402" s="626" t="s">
        <v>12709</v>
      </c>
      <c r="B2402" s="627" t="s">
        <v>13212</v>
      </c>
      <c r="C2402" s="626" t="s">
        <v>8</v>
      </c>
      <c r="D2402" s="626" t="s">
        <v>8293</v>
      </c>
      <c r="E2402" s="628" t="s">
        <v>23</v>
      </c>
      <c r="F2402" s="816" t="s">
        <v>14470</v>
      </c>
      <c r="G2402" s="816"/>
      <c r="H2402" s="816">
        <v>0.17577509999999999</v>
      </c>
      <c r="I2402" s="816"/>
      <c r="J2402" s="817">
        <v>1.2145999999999999</v>
      </c>
      <c r="K2402" s="817"/>
      <c r="L2402" s="817"/>
    </row>
    <row r="2403" spans="1:12" ht="17.100000000000001" customHeight="1">
      <c r="A2403" s="626" t="s">
        <v>12709</v>
      </c>
      <c r="B2403" s="627" t="s">
        <v>13230</v>
      </c>
      <c r="C2403" s="626" t="s">
        <v>8</v>
      </c>
      <c r="D2403" s="626" t="s">
        <v>7362</v>
      </c>
      <c r="E2403" s="628" t="s">
        <v>23</v>
      </c>
      <c r="F2403" s="816" t="s">
        <v>14514</v>
      </c>
      <c r="G2403" s="816"/>
      <c r="H2403" s="816">
        <v>2.5363E-3</v>
      </c>
      <c r="I2403" s="816"/>
      <c r="J2403" s="817">
        <v>1.2200000000000001E-2</v>
      </c>
      <c r="K2403" s="817"/>
      <c r="L2403" s="817"/>
    </row>
    <row r="2404" spans="1:12" ht="24" customHeight="1">
      <c r="A2404" s="626" t="s">
        <v>12709</v>
      </c>
      <c r="B2404" s="627" t="s">
        <v>13224</v>
      </c>
      <c r="C2404" s="626" t="s">
        <v>8</v>
      </c>
      <c r="D2404" s="626" t="s">
        <v>7556</v>
      </c>
      <c r="E2404" s="628" t="s">
        <v>23</v>
      </c>
      <c r="F2404" s="816" t="s">
        <v>14470</v>
      </c>
      <c r="G2404" s="816"/>
      <c r="H2404" s="816">
        <v>1.7754099999999998E-2</v>
      </c>
      <c r="I2404" s="816"/>
      <c r="J2404" s="817">
        <v>0.1227</v>
      </c>
      <c r="K2404" s="817"/>
      <c r="L2404" s="817"/>
    </row>
    <row r="2405" spans="1:12" ht="24" customHeight="1">
      <c r="A2405" s="626" t="s">
        <v>12709</v>
      </c>
      <c r="B2405" s="627" t="s">
        <v>13046</v>
      </c>
      <c r="C2405" s="626" t="s">
        <v>8</v>
      </c>
      <c r="D2405" s="626" t="s">
        <v>11281</v>
      </c>
      <c r="E2405" s="628" t="s">
        <v>23</v>
      </c>
      <c r="F2405" s="816" t="s">
        <v>13731</v>
      </c>
      <c r="G2405" s="816"/>
      <c r="H2405" s="816">
        <v>0.23099620000000001</v>
      </c>
      <c r="I2405" s="816"/>
      <c r="J2405" s="817">
        <v>1.1873</v>
      </c>
      <c r="K2405" s="817"/>
      <c r="L2405" s="817"/>
    </row>
    <row r="2406" spans="1:12" ht="24" customHeight="1">
      <c r="A2406" s="626" t="s">
        <v>12709</v>
      </c>
      <c r="B2406" s="627" t="s">
        <v>13116</v>
      </c>
      <c r="C2406" s="626" t="s">
        <v>8</v>
      </c>
      <c r="D2406" s="626" t="s">
        <v>10556</v>
      </c>
      <c r="E2406" s="628" t="s">
        <v>23</v>
      </c>
      <c r="F2406" s="816" t="s">
        <v>13770</v>
      </c>
      <c r="G2406" s="816"/>
      <c r="H2406" s="816">
        <v>3.0753599999999999E-2</v>
      </c>
      <c r="I2406" s="816"/>
      <c r="J2406" s="817">
        <v>0.1467</v>
      </c>
      <c r="K2406" s="817"/>
      <c r="L2406" s="817"/>
    </row>
    <row r="2407" spans="1:12" ht="24" customHeight="1">
      <c r="A2407" s="626" t="s">
        <v>12709</v>
      </c>
      <c r="B2407" s="627" t="s">
        <v>13099</v>
      </c>
      <c r="C2407" s="626" t="s">
        <v>8</v>
      </c>
      <c r="D2407" s="626" t="s">
        <v>10726</v>
      </c>
      <c r="E2407" s="628" t="s">
        <v>23</v>
      </c>
      <c r="F2407" s="816" t="s">
        <v>14470</v>
      </c>
      <c r="G2407" s="816"/>
      <c r="H2407" s="816">
        <v>0.36358269999999998</v>
      </c>
      <c r="I2407" s="816"/>
      <c r="J2407" s="817">
        <v>2.5124</v>
      </c>
      <c r="K2407" s="817"/>
      <c r="L2407" s="817"/>
    </row>
    <row r="2408" spans="1:12" ht="24" customHeight="1">
      <c r="A2408" s="636"/>
      <c r="B2408" s="636"/>
      <c r="C2408" s="636"/>
      <c r="D2408" s="636"/>
      <c r="E2408" s="636"/>
      <c r="F2408" s="636"/>
      <c r="G2408" s="636"/>
      <c r="H2408" s="636"/>
      <c r="I2408" s="636"/>
      <c r="J2408" s="636" t="s">
        <v>13675</v>
      </c>
      <c r="K2408" s="636"/>
      <c r="L2408" s="636" t="s">
        <v>14772</v>
      </c>
    </row>
    <row r="2409" spans="1:12" ht="24" customHeight="1">
      <c r="A2409" s="802" t="s">
        <v>12720</v>
      </c>
      <c r="B2409" s="802"/>
      <c r="C2409" s="802"/>
      <c r="D2409" s="802"/>
      <c r="E2409" s="802"/>
      <c r="F2409" s="802"/>
      <c r="G2409" s="802"/>
      <c r="H2409" s="802"/>
      <c r="I2409" s="612"/>
      <c r="J2409" s="612"/>
      <c r="K2409" s="612"/>
      <c r="L2409" s="612"/>
    </row>
    <row r="2410" spans="1:12" ht="36" customHeight="1">
      <c r="A2410" s="612" t="s">
        <v>13679</v>
      </c>
      <c r="B2410" s="636" t="s">
        <v>12698</v>
      </c>
      <c r="C2410" s="612" t="s">
        <v>12699</v>
      </c>
      <c r="D2410" s="612" t="s">
        <v>12700</v>
      </c>
      <c r="E2410" s="637" t="s">
        <v>12702</v>
      </c>
      <c r="F2410" s="801" t="s">
        <v>12704</v>
      </c>
      <c r="G2410" s="801"/>
      <c r="H2410" s="801" t="s">
        <v>13678</v>
      </c>
      <c r="I2410" s="801"/>
      <c r="J2410" s="801" t="s">
        <v>12705</v>
      </c>
      <c r="K2410" s="801"/>
      <c r="L2410" s="801"/>
    </row>
    <row r="2411" spans="1:12" ht="24" customHeight="1">
      <c r="A2411" s="626" t="s">
        <v>12709</v>
      </c>
      <c r="B2411" s="627" t="s">
        <v>13310</v>
      </c>
      <c r="C2411" s="626" t="s">
        <v>8</v>
      </c>
      <c r="D2411" s="626" t="s">
        <v>9265</v>
      </c>
      <c r="E2411" s="628" t="s">
        <v>35</v>
      </c>
      <c r="F2411" s="816" t="s">
        <v>13875</v>
      </c>
      <c r="G2411" s="816"/>
      <c r="H2411" s="816">
        <v>6</v>
      </c>
      <c r="I2411" s="816"/>
      <c r="J2411" s="817">
        <v>0.78</v>
      </c>
      <c r="K2411" s="817"/>
      <c r="L2411" s="817"/>
    </row>
    <row r="2412" spans="1:12" ht="24" customHeight="1">
      <c r="A2412" s="626" t="s">
        <v>12709</v>
      </c>
      <c r="B2412" s="627" t="s">
        <v>13093</v>
      </c>
      <c r="C2412" s="626" t="s">
        <v>8</v>
      </c>
      <c r="D2412" s="626" t="s">
        <v>8980</v>
      </c>
      <c r="E2412" s="628" t="s">
        <v>58</v>
      </c>
      <c r="F2412" s="816" t="s">
        <v>14502</v>
      </c>
      <c r="G2412" s="816"/>
      <c r="H2412" s="816">
        <v>7.0000000000000001E-3</v>
      </c>
      <c r="I2412" s="816"/>
      <c r="J2412" s="817">
        <v>0.03</v>
      </c>
      <c r="K2412" s="817"/>
      <c r="L2412" s="817"/>
    </row>
    <row r="2413" spans="1:12" ht="17.100000000000001" customHeight="1">
      <c r="A2413" s="626" t="s">
        <v>12709</v>
      </c>
      <c r="B2413" s="627" t="s">
        <v>13194</v>
      </c>
      <c r="C2413" s="626" t="s">
        <v>8</v>
      </c>
      <c r="D2413" s="626" t="s">
        <v>10900</v>
      </c>
      <c r="E2413" s="628" t="s">
        <v>17</v>
      </c>
      <c r="F2413" s="816" t="s">
        <v>14499</v>
      </c>
      <c r="G2413" s="816"/>
      <c r="H2413" s="816">
        <v>0.22</v>
      </c>
      <c r="I2413" s="816"/>
      <c r="J2413" s="817">
        <v>1.22</v>
      </c>
      <c r="K2413" s="817"/>
      <c r="L2413" s="817"/>
    </row>
    <row r="2414" spans="1:12" ht="14.25" customHeight="1">
      <c r="A2414" s="626" t="s">
        <v>12709</v>
      </c>
      <c r="B2414" s="627" t="s">
        <v>13091</v>
      </c>
      <c r="C2414" s="626" t="s">
        <v>8</v>
      </c>
      <c r="D2414" s="626" t="s">
        <v>11248</v>
      </c>
      <c r="E2414" s="628" t="s">
        <v>17</v>
      </c>
      <c r="F2414" s="816" t="s">
        <v>14501</v>
      </c>
      <c r="G2414" s="816"/>
      <c r="H2414" s="816">
        <v>1.6446776000000001</v>
      </c>
      <c r="I2414" s="816"/>
      <c r="J2414" s="817">
        <v>3.2894000000000001</v>
      </c>
      <c r="K2414" s="817"/>
      <c r="L2414" s="817"/>
    </row>
    <row r="2415" spans="1:12" ht="17.100000000000001" customHeight="1">
      <c r="A2415" s="626" t="s">
        <v>12709</v>
      </c>
      <c r="B2415" s="627" t="s">
        <v>13189</v>
      </c>
      <c r="C2415" s="626" t="s">
        <v>8</v>
      </c>
      <c r="D2415" s="626" t="s">
        <v>11363</v>
      </c>
      <c r="E2415" s="628" t="s">
        <v>17</v>
      </c>
      <c r="F2415" s="816" t="s">
        <v>14500</v>
      </c>
      <c r="G2415" s="816"/>
      <c r="H2415" s="816">
        <v>1.4805294</v>
      </c>
      <c r="I2415" s="816"/>
      <c r="J2415" s="817">
        <v>12.9398</v>
      </c>
      <c r="K2415" s="817"/>
      <c r="L2415" s="817"/>
    </row>
    <row r="2416" spans="1:12" ht="24" customHeight="1">
      <c r="A2416" s="626" t="s">
        <v>12709</v>
      </c>
      <c r="B2416" s="627" t="s">
        <v>13190</v>
      </c>
      <c r="C2416" s="626" t="s">
        <v>8</v>
      </c>
      <c r="D2416" s="626" t="s">
        <v>11009</v>
      </c>
      <c r="E2416" s="628" t="s">
        <v>20</v>
      </c>
      <c r="F2416" s="816" t="s">
        <v>13824</v>
      </c>
      <c r="G2416" s="816"/>
      <c r="H2416" s="816">
        <v>1.2381E-2</v>
      </c>
      <c r="I2416" s="816"/>
      <c r="J2416" s="817">
        <v>0.1384</v>
      </c>
      <c r="K2416" s="817"/>
      <c r="L2416" s="817"/>
    </row>
    <row r="2417" spans="1:12" ht="24" customHeight="1">
      <c r="A2417" s="626" t="s">
        <v>12709</v>
      </c>
      <c r="B2417" s="627" t="s">
        <v>13056</v>
      </c>
      <c r="C2417" s="626" t="s">
        <v>8</v>
      </c>
      <c r="D2417" s="626" t="s">
        <v>11277</v>
      </c>
      <c r="E2417" s="628" t="s">
        <v>35</v>
      </c>
      <c r="F2417" s="816" t="s">
        <v>14498</v>
      </c>
      <c r="G2417" s="816"/>
      <c r="H2417" s="816">
        <v>3.9999999999999998E-6</v>
      </c>
      <c r="I2417" s="816"/>
      <c r="J2417" s="817">
        <v>5.0000000000000001E-3</v>
      </c>
      <c r="K2417" s="817"/>
      <c r="L2417" s="817"/>
    </row>
    <row r="2418" spans="1:12" ht="24" customHeight="1">
      <c r="A2418" s="626" t="s">
        <v>12709</v>
      </c>
      <c r="B2418" s="627" t="s">
        <v>12987</v>
      </c>
      <c r="C2418" s="626" t="s">
        <v>8</v>
      </c>
      <c r="D2418" s="626" t="s">
        <v>9192</v>
      </c>
      <c r="E2418" s="628" t="s">
        <v>12923</v>
      </c>
      <c r="F2418" s="816" t="s">
        <v>13999</v>
      </c>
      <c r="G2418" s="816"/>
      <c r="H2418" s="816">
        <v>0.1028423</v>
      </c>
      <c r="I2418" s="816"/>
      <c r="J2418" s="817">
        <v>8.3299999999999999E-2</v>
      </c>
      <c r="K2418" s="817"/>
      <c r="L2418" s="817"/>
    </row>
    <row r="2419" spans="1:12" ht="24" customHeight="1">
      <c r="A2419" s="626" t="s">
        <v>12709</v>
      </c>
      <c r="B2419" s="627" t="s">
        <v>13240</v>
      </c>
      <c r="C2419" s="626" t="s">
        <v>8</v>
      </c>
      <c r="D2419" s="626" t="s">
        <v>7266</v>
      </c>
      <c r="E2419" s="628" t="s">
        <v>20</v>
      </c>
      <c r="F2419" s="816" t="s">
        <v>14757</v>
      </c>
      <c r="G2419" s="816"/>
      <c r="H2419" s="816">
        <v>0.87555720000000004</v>
      </c>
      <c r="I2419" s="816"/>
      <c r="J2419" s="817">
        <v>4.7805</v>
      </c>
      <c r="K2419" s="817"/>
      <c r="L2419" s="817"/>
    </row>
    <row r="2420" spans="1:12" ht="24" customHeight="1">
      <c r="A2420" s="626" t="s">
        <v>12709</v>
      </c>
      <c r="B2420" s="627" t="s">
        <v>13250</v>
      </c>
      <c r="C2420" s="626" t="s">
        <v>8</v>
      </c>
      <c r="D2420" s="626" t="s">
        <v>7526</v>
      </c>
      <c r="E2420" s="628" t="s">
        <v>12730</v>
      </c>
      <c r="F2420" s="816" t="s">
        <v>13747</v>
      </c>
      <c r="G2420" s="816"/>
      <c r="H2420" s="816">
        <v>1.8235999999999999E-2</v>
      </c>
      <c r="I2420" s="816"/>
      <c r="J2420" s="817">
        <v>1.1397999999999999</v>
      </c>
      <c r="K2420" s="817"/>
      <c r="L2420" s="817"/>
    </row>
    <row r="2421" spans="1:12" ht="24" customHeight="1">
      <c r="A2421" s="626" t="s">
        <v>12709</v>
      </c>
      <c r="B2421" s="627" t="s">
        <v>13249</v>
      </c>
      <c r="C2421" s="626" t="s">
        <v>8</v>
      </c>
      <c r="D2421" s="626" t="s">
        <v>8420</v>
      </c>
      <c r="E2421" s="628" t="s">
        <v>20</v>
      </c>
      <c r="F2421" s="816" t="s">
        <v>13700</v>
      </c>
      <c r="G2421" s="816"/>
      <c r="H2421" s="816">
        <v>7.7918900000000004</v>
      </c>
      <c r="I2421" s="816"/>
      <c r="J2421" s="817">
        <v>3.8180000000000001</v>
      </c>
      <c r="K2421" s="817"/>
      <c r="L2421" s="817"/>
    </row>
    <row r="2422" spans="1:12" ht="24" customHeight="1">
      <c r="A2422" s="626" t="s">
        <v>12709</v>
      </c>
      <c r="B2422" s="627" t="s">
        <v>13248</v>
      </c>
      <c r="C2422" s="626" t="s">
        <v>8</v>
      </c>
      <c r="D2422" s="626" t="s">
        <v>10712</v>
      </c>
      <c r="E2422" s="628" t="s">
        <v>12730</v>
      </c>
      <c r="F2422" s="816" t="s">
        <v>13745</v>
      </c>
      <c r="G2422" s="816"/>
      <c r="H2422" s="816">
        <v>1.4162299999999999E-2</v>
      </c>
      <c r="I2422" s="816"/>
      <c r="J2422" s="817">
        <v>1.133</v>
      </c>
      <c r="K2422" s="817"/>
      <c r="L2422" s="817"/>
    </row>
    <row r="2423" spans="1:12" ht="24" customHeight="1">
      <c r="A2423" s="636"/>
      <c r="B2423" s="636"/>
      <c r="C2423" s="636"/>
      <c r="D2423" s="636"/>
      <c r="E2423" s="636"/>
      <c r="F2423" s="636"/>
      <c r="G2423" s="636"/>
      <c r="H2423" s="636"/>
      <c r="I2423" s="636"/>
      <c r="J2423" s="636" t="s">
        <v>13675</v>
      </c>
      <c r="K2423" s="636"/>
      <c r="L2423" s="636" t="s">
        <v>14771</v>
      </c>
    </row>
    <row r="2424" spans="1:12" ht="17.100000000000001" customHeight="1">
      <c r="A2424" s="802" t="s">
        <v>12722</v>
      </c>
      <c r="B2424" s="802"/>
      <c r="C2424" s="802"/>
      <c r="D2424" s="802"/>
      <c r="E2424" s="802"/>
      <c r="F2424" s="802"/>
      <c r="G2424" s="802"/>
      <c r="H2424" s="802"/>
      <c r="I2424" s="612"/>
      <c r="J2424" s="612"/>
      <c r="K2424" s="612"/>
      <c r="L2424" s="612"/>
    </row>
    <row r="2425" spans="1:12">
      <c r="A2425" s="612" t="s">
        <v>13679</v>
      </c>
      <c r="B2425" s="636" t="s">
        <v>12698</v>
      </c>
      <c r="C2425" s="612" t="s">
        <v>12699</v>
      </c>
      <c r="D2425" s="612" t="s">
        <v>12700</v>
      </c>
      <c r="E2425" s="637" t="s">
        <v>12702</v>
      </c>
      <c r="F2425" s="801" t="s">
        <v>12704</v>
      </c>
      <c r="G2425" s="801"/>
      <c r="H2425" s="801" t="s">
        <v>13678</v>
      </c>
      <c r="I2425" s="801"/>
      <c r="J2425" s="801" t="s">
        <v>12705</v>
      </c>
      <c r="K2425" s="801"/>
      <c r="L2425" s="801"/>
    </row>
    <row r="2426" spans="1:12" ht="17.100000000000001" customHeight="1">
      <c r="A2426" s="626" t="s">
        <v>12709</v>
      </c>
      <c r="B2426" s="627" t="s">
        <v>12998</v>
      </c>
      <c r="C2426" s="626" t="s">
        <v>8</v>
      </c>
      <c r="D2426" s="626" t="s">
        <v>11861</v>
      </c>
      <c r="E2426" s="628" t="s">
        <v>23</v>
      </c>
      <c r="F2426" s="816" t="s">
        <v>13683</v>
      </c>
      <c r="G2426" s="816"/>
      <c r="H2426" s="816">
        <v>0.88390840000000004</v>
      </c>
      <c r="I2426" s="816"/>
      <c r="J2426" s="817">
        <v>0.62760000000000005</v>
      </c>
      <c r="K2426" s="817"/>
      <c r="L2426" s="817"/>
    </row>
    <row r="2427" spans="1:12" ht="36" customHeight="1">
      <c r="A2427" s="636"/>
      <c r="B2427" s="636"/>
      <c r="C2427" s="636"/>
      <c r="D2427" s="636"/>
      <c r="E2427" s="636"/>
      <c r="F2427" s="636"/>
      <c r="G2427" s="636"/>
      <c r="H2427" s="636"/>
      <c r="I2427" s="636"/>
      <c r="J2427" s="636" t="s">
        <v>13675</v>
      </c>
      <c r="K2427" s="636"/>
      <c r="L2427" s="636" t="s">
        <v>13674</v>
      </c>
    </row>
    <row r="2428" spans="1:12" ht="24" customHeight="1">
      <c r="A2428" s="802" t="s">
        <v>12713</v>
      </c>
      <c r="B2428" s="802"/>
      <c r="C2428" s="802"/>
      <c r="D2428" s="802"/>
      <c r="E2428" s="802"/>
      <c r="F2428" s="802"/>
      <c r="G2428" s="802"/>
      <c r="H2428" s="802"/>
      <c r="I2428" s="612"/>
      <c r="J2428" s="612"/>
      <c r="K2428" s="612"/>
      <c r="L2428" s="612"/>
    </row>
    <row r="2429" spans="1:12" ht="24" customHeight="1">
      <c r="A2429" s="612" t="s">
        <v>13679</v>
      </c>
      <c r="B2429" s="636" t="s">
        <v>12698</v>
      </c>
      <c r="C2429" s="612" t="s">
        <v>12699</v>
      </c>
      <c r="D2429" s="612" t="s">
        <v>12700</v>
      </c>
      <c r="E2429" s="637" t="s">
        <v>12702</v>
      </c>
      <c r="F2429" s="801" t="s">
        <v>12704</v>
      </c>
      <c r="G2429" s="801"/>
      <c r="H2429" s="801" t="s">
        <v>13678</v>
      </c>
      <c r="I2429" s="801"/>
      <c r="J2429" s="801" t="s">
        <v>12705</v>
      </c>
      <c r="K2429" s="801"/>
      <c r="L2429" s="801"/>
    </row>
    <row r="2430" spans="1:12" ht="24" customHeight="1">
      <c r="A2430" s="626" t="s">
        <v>12709</v>
      </c>
      <c r="B2430" s="627" t="s">
        <v>12999</v>
      </c>
      <c r="C2430" s="626" t="s">
        <v>8</v>
      </c>
      <c r="D2430" s="626" t="s">
        <v>11251</v>
      </c>
      <c r="E2430" s="628" t="s">
        <v>23</v>
      </c>
      <c r="F2430" s="816" t="s">
        <v>13681</v>
      </c>
      <c r="G2430" s="816"/>
      <c r="H2430" s="816">
        <v>0.88390840000000004</v>
      </c>
      <c r="I2430" s="816"/>
      <c r="J2430" s="817">
        <v>6.1899999999999997E-2</v>
      </c>
      <c r="K2430" s="817"/>
      <c r="L2430" s="817"/>
    </row>
    <row r="2431" spans="1:12" ht="24" customHeight="1">
      <c r="A2431" s="636"/>
      <c r="B2431" s="636"/>
      <c r="C2431" s="636"/>
      <c r="D2431" s="636"/>
      <c r="E2431" s="636"/>
      <c r="F2431" s="636"/>
      <c r="G2431" s="636"/>
      <c r="H2431" s="636"/>
      <c r="I2431" s="636"/>
      <c r="J2431" s="636" t="s">
        <v>13675</v>
      </c>
      <c r="K2431" s="636"/>
      <c r="L2431" s="636" t="s">
        <v>13708</v>
      </c>
    </row>
    <row r="2432" spans="1:12" ht="36" customHeight="1">
      <c r="A2432" s="802" t="s">
        <v>12712</v>
      </c>
      <c r="B2432" s="802"/>
      <c r="C2432" s="802"/>
      <c r="D2432" s="802"/>
      <c r="E2432" s="802"/>
      <c r="F2432" s="802"/>
      <c r="G2432" s="802"/>
      <c r="H2432" s="802"/>
      <c r="I2432" s="612"/>
      <c r="J2432" s="612"/>
      <c r="K2432" s="612"/>
      <c r="L2432" s="612"/>
    </row>
    <row r="2433" spans="1:12" ht="24" customHeight="1">
      <c r="A2433" s="612" t="s">
        <v>13679</v>
      </c>
      <c r="B2433" s="636" t="s">
        <v>12698</v>
      </c>
      <c r="C2433" s="612" t="s">
        <v>12699</v>
      </c>
      <c r="D2433" s="612" t="s">
        <v>12700</v>
      </c>
      <c r="E2433" s="637" t="s">
        <v>12702</v>
      </c>
      <c r="F2433" s="801" t="s">
        <v>12704</v>
      </c>
      <c r="G2433" s="801"/>
      <c r="H2433" s="801" t="s">
        <v>13678</v>
      </c>
      <c r="I2433" s="801"/>
      <c r="J2433" s="801" t="s">
        <v>12705</v>
      </c>
      <c r="K2433" s="801"/>
      <c r="L2433" s="801"/>
    </row>
    <row r="2434" spans="1:12" ht="24" customHeight="1">
      <c r="A2434" s="626" t="s">
        <v>12709</v>
      </c>
      <c r="B2434" s="627" t="s">
        <v>13002</v>
      </c>
      <c r="C2434" s="626" t="s">
        <v>8</v>
      </c>
      <c r="D2434" s="626" t="s">
        <v>9306</v>
      </c>
      <c r="E2434" s="628" t="s">
        <v>23</v>
      </c>
      <c r="F2434" s="816" t="s">
        <v>13677</v>
      </c>
      <c r="G2434" s="816"/>
      <c r="H2434" s="816">
        <v>0.88390840000000004</v>
      </c>
      <c r="I2434" s="816"/>
      <c r="J2434" s="817">
        <v>0.30940000000000001</v>
      </c>
      <c r="K2434" s="817"/>
      <c r="L2434" s="817"/>
    </row>
    <row r="2435" spans="1:12" ht="24" customHeight="1">
      <c r="A2435" s="626" t="s">
        <v>12709</v>
      </c>
      <c r="B2435" s="627" t="s">
        <v>13004</v>
      </c>
      <c r="C2435" s="626" t="s">
        <v>8</v>
      </c>
      <c r="D2435" s="626" t="s">
        <v>7388</v>
      </c>
      <c r="E2435" s="628" t="s">
        <v>23</v>
      </c>
      <c r="F2435" s="816" t="s">
        <v>13676</v>
      </c>
      <c r="G2435" s="816"/>
      <c r="H2435" s="816">
        <v>0.88390840000000004</v>
      </c>
      <c r="I2435" s="816"/>
      <c r="J2435" s="817">
        <v>1.9446000000000001</v>
      </c>
      <c r="K2435" s="817"/>
      <c r="L2435" s="817"/>
    </row>
    <row r="2436" spans="1:12" ht="24" customHeight="1">
      <c r="A2436" s="636"/>
      <c r="B2436" s="636"/>
      <c r="C2436" s="636"/>
      <c r="D2436" s="636"/>
      <c r="E2436" s="636"/>
      <c r="F2436" s="636"/>
      <c r="G2436" s="636"/>
      <c r="H2436" s="636"/>
      <c r="I2436" s="636"/>
      <c r="J2436" s="636" t="s">
        <v>13675</v>
      </c>
      <c r="K2436" s="636"/>
      <c r="L2436" s="636" t="s">
        <v>13871</v>
      </c>
    </row>
    <row r="2437" spans="1:12" ht="24" customHeight="1">
      <c r="A2437" s="612" t="s">
        <v>13673</v>
      </c>
      <c r="B2437" s="612"/>
      <c r="C2437" s="612"/>
      <c r="D2437" s="612"/>
      <c r="E2437" s="612"/>
      <c r="F2437" s="612"/>
      <c r="G2437" s="612"/>
      <c r="H2437" s="612"/>
      <c r="I2437" s="612"/>
      <c r="J2437" s="612"/>
      <c r="K2437" s="612"/>
      <c r="L2437" s="612"/>
    </row>
    <row r="2438" spans="1:12" ht="17.100000000000001" customHeight="1">
      <c r="A2438" s="636"/>
      <c r="B2438" s="636"/>
      <c r="C2438" s="636"/>
      <c r="D2438" s="636"/>
      <c r="E2438" s="636"/>
      <c r="F2438" s="636"/>
      <c r="G2438" s="636"/>
      <c r="H2438" s="636"/>
      <c r="I2438" s="636"/>
      <c r="J2438" s="636" t="s">
        <v>13672</v>
      </c>
      <c r="K2438" s="636"/>
      <c r="L2438" s="636" t="s">
        <v>15073</v>
      </c>
    </row>
    <row r="2439" spans="1:12">
      <c r="A2439" s="636"/>
      <c r="B2439" s="636"/>
      <c r="C2439" s="636"/>
      <c r="D2439" s="636"/>
      <c r="E2439" s="636"/>
      <c r="F2439" s="636"/>
      <c r="G2439" s="636"/>
      <c r="H2439" s="636"/>
      <c r="I2439" s="636"/>
      <c r="J2439" s="636" t="s">
        <v>13671</v>
      </c>
      <c r="K2439" s="636" t="s">
        <v>14461</v>
      </c>
      <c r="L2439" s="636" t="s">
        <v>15074</v>
      </c>
    </row>
    <row r="2440" spans="1:12" ht="17.100000000000001" customHeight="1">
      <c r="A2440" s="636"/>
      <c r="B2440" s="636"/>
      <c r="C2440" s="636"/>
      <c r="D2440" s="636"/>
      <c r="E2440" s="636"/>
      <c r="F2440" s="636"/>
      <c r="G2440" s="636"/>
      <c r="H2440" s="636"/>
      <c r="I2440" s="636"/>
      <c r="J2440" s="636" t="s">
        <v>13670</v>
      </c>
      <c r="K2440" s="636"/>
      <c r="L2440" s="636" t="s">
        <v>15075</v>
      </c>
    </row>
    <row r="2441" spans="1:12" ht="24" customHeight="1">
      <c r="A2441" s="636"/>
      <c r="B2441" s="636"/>
      <c r="C2441" s="636"/>
      <c r="D2441" s="636"/>
      <c r="E2441" s="636"/>
      <c r="F2441" s="636"/>
      <c r="G2441" s="636"/>
      <c r="H2441" s="636"/>
      <c r="I2441" s="636"/>
      <c r="J2441" s="636" t="s">
        <v>13669</v>
      </c>
      <c r="K2441" s="636" t="s">
        <v>13667</v>
      </c>
      <c r="L2441" s="636" t="s">
        <v>15076</v>
      </c>
    </row>
    <row r="2442" spans="1:12" ht="17.100000000000001" customHeight="1">
      <c r="A2442" s="636"/>
      <c r="B2442" s="636"/>
      <c r="C2442" s="636"/>
      <c r="D2442" s="636"/>
      <c r="E2442" s="636"/>
      <c r="F2442" s="636"/>
      <c r="G2442" s="636"/>
      <c r="H2442" s="636"/>
      <c r="I2442" s="636"/>
      <c r="J2442" s="636" t="s">
        <v>13668</v>
      </c>
      <c r="K2442" s="636"/>
      <c r="L2442" s="636" t="s">
        <v>15077</v>
      </c>
    </row>
    <row r="2443" spans="1:12">
      <c r="A2443" s="637"/>
      <c r="B2443" s="637"/>
      <c r="C2443" s="637"/>
      <c r="D2443" s="637"/>
      <c r="E2443" s="637"/>
      <c r="F2443" s="637"/>
      <c r="G2443" s="637"/>
      <c r="H2443" s="637"/>
      <c r="I2443" s="637"/>
      <c r="J2443" s="637"/>
      <c r="K2443" s="637"/>
      <c r="L2443" s="637"/>
    </row>
    <row r="2444" spans="1:12" ht="17.100000000000001" customHeight="1">
      <c r="A2444" s="616" t="s">
        <v>14201</v>
      </c>
      <c r="B2444" s="617" t="s">
        <v>13610</v>
      </c>
      <c r="C2444" s="616" t="s">
        <v>8</v>
      </c>
      <c r="D2444" s="616" t="s">
        <v>672</v>
      </c>
      <c r="E2444" s="618" t="s">
        <v>17</v>
      </c>
      <c r="F2444" s="617"/>
      <c r="G2444" s="617"/>
      <c r="H2444" s="617"/>
      <c r="I2444" s="617"/>
      <c r="J2444" s="617"/>
      <c r="K2444" s="617"/>
      <c r="L2444" s="617"/>
    </row>
    <row r="2445" spans="1:12" ht="24" customHeight="1">
      <c r="A2445" s="802" t="s">
        <v>12711</v>
      </c>
      <c r="B2445" s="802"/>
      <c r="C2445" s="802"/>
      <c r="D2445" s="802"/>
      <c r="E2445" s="802"/>
      <c r="F2445" s="802"/>
      <c r="G2445" s="802"/>
      <c r="H2445" s="802"/>
      <c r="I2445" s="612"/>
      <c r="J2445" s="612"/>
      <c r="K2445" s="612"/>
      <c r="L2445" s="612"/>
    </row>
    <row r="2446" spans="1:12" ht="17.100000000000001" customHeight="1">
      <c r="A2446" s="612" t="s">
        <v>13679</v>
      </c>
      <c r="B2446" s="636" t="s">
        <v>12698</v>
      </c>
      <c r="C2446" s="612" t="s">
        <v>12699</v>
      </c>
      <c r="D2446" s="612" t="s">
        <v>12700</v>
      </c>
      <c r="E2446" s="637" t="s">
        <v>12702</v>
      </c>
      <c r="F2446" s="801" t="s">
        <v>12704</v>
      </c>
      <c r="G2446" s="801"/>
      <c r="H2446" s="801" t="s">
        <v>13678</v>
      </c>
      <c r="I2446" s="801"/>
      <c r="J2446" s="801" t="s">
        <v>12705</v>
      </c>
      <c r="K2446" s="801"/>
      <c r="L2446" s="801"/>
    </row>
    <row r="2447" spans="1:12" ht="25.5">
      <c r="A2447" s="626" t="s">
        <v>12709</v>
      </c>
      <c r="B2447" s="627" t="s">
        <v>13003</v>
      </c>
      <c r="C2447" s="626" t="s">
        <v>8</v>
      </c>
      <c r="D2447" s="626" t="s">
        <v>9227</v>
      </c>
      <c r="E2447" s="628" t="s">
        <v>23</v>
      </c>
      <c r="F2447" s="816" t="s">
        <v>13732</v>
      </c>
      <c r="G2447" s="816"/>
      <c r="H2447" s="816">
        <v>6.5828899999999996E-2</v>
      </c>
      <c r="I2447" s="816"/>
      <c r="J2447" s="817">
        <v>4.3400000000000001E-2</v>
      </c>
      <c r="K2447" s="817"/>
      <c r="L2447" s="817"/>
    </row>
    <row r="2448" spans="1:12" ht="17.100000000000001" customHeight="1">
      <c r="A2448" s="626" t="s">
        <v>12709</v>
      </c>
      <c r="B2448" s="627" t="s">
        <v>13001</v>
      </c>
      <c r="C2448" s="626" t="s">
        <v>8</v>
      </c>
      <c r="D2448" s="626" t="s">
        <v>9374</v>
      </c>
      <c r="E2448" s="628" t="s">
        <v>23</v>
      </c>
      <c r="F2448" s="816" t="s">
        <v>13728</v>
      </c>
      <c r="G2448" s="816"/>
      <c r="H2448" s="816">
        <v>6.5828899999999996E-2</v>
      </c>
      <c r="I2448" s="816"/>
      <c r="J2448" s="817">
        <v>6.9999999999999999E-4</v>
      </c>
      <c r="K2448" s="817"/>
      <c r="L2448" s="817"/>
    </row>
    <row r="2449" spans="1:12" ht="24" customHeight="1">
      <c r="A2449" s="626" t="s">
        <v>12709</v>
      </c>
      <c r="B2449" s="627" t="s">
        <v>13032</v>
      </c>
      <c r="C2449" s="626" t="s">
        <v>8</v>
      </c>
      <c r="D2449" s="626" t="s">
        <v>9217</v>
      </c>
      <c r="E2449" s="628" t="s">
        <v>23</v>
      </c>
      <c r="F2449" s="816" t="s">
        <v>13741</v>
      </c>
      <c r="G2449" s="816"/>
      <c r="H2449" s="816">
        <v>0.21010909999999999</v>
      </c>
      <c r="I2449" s="816"/>
      <c r="J2449" s="817">
        <v>0.22689999999999999</v>
      </c>
      <c r="K2449" s="817"/>
      <c r="L2449" s="817"/>
    </row>
    <row r="2450" spans="1:12" ht="24" customHeight="1">
      <c r="A2450" s="626" t="s">
        <v>12709</v>
      </c>
      <c r="B2450" s="627" t="s">
        <v>13031</v>
      </c>
      <c r="C2450" s="626" t="s">
        <v>8</v>
      </c>
      <c r="D2450" s="626" t="s">
        <v>9364</v>
      </c>
      <c r="E2450" s="628" t="s">
        <v>23</v>
      </c>
      <c r="F2450" s="816" t="s">
        <v>13740</v>
      </c>
      <c r="G2450" s="816"/>
      <c r="H2450" s="816">
        <v>0.21010909999999999</v>
      </c>
      <c r="I2450" s="816"/>
      <c r="J2450" s="817">
        <v>7.1400000000000005E-2</v>
      </c>
      <c r="K2450" s="817"/>
      <c r="L2450" s="817"/>
    </row>
    <row r="2451" spans="1:12" ht="17.100000000000001" customHeight="1">
      <c r="A2451" s="626" t="s">
        <v>12709</v>
      </c>
      <c r="B2451" s="627" t="s">
        <v>13052</v>
      </c>
      <c r="C2451" s="626" t="s">
        <v>8</v>
      </c>
      <c r="D2451" s="626" t="s">
        <v>9229</v>
      </c>
      <c r="E2451" s="628" t="s">
        <v>23</v>
      </c>
      <c r="F2451" s="816" t="s">
        <v>13692</v>
      </c>
      <c r="G2451" s="816"/>
      <c r="H2451" s="816">
        <v>0.38294089999999997</v>
      </c>
      <c r="I2451" s="816"/>
      <c r="J2451" s="817">
        <v>0.36759999999999998</v>
      </c>
      <c r="K2451" s="817"/>
      <c r="L2451" s="817"/>
    </row>
    <row r="2452" spans="1:12" ht="17.100000000000001" customHeight="1">
      <c r="A2452" s="626" t="s">
        <v>12709</v>
      </c>
      <c r="B2452" s="627" t="s">
        <v>13051</v>
      </c>
      <c r="C2452" s="626" t="s">
        <v>8</v>
      </c>
      <c r="D2452" s="626" t="s">
        <v>9376</v>
      </c>
      <c r="E2452" s="628" t="s">
        <v>23</v>
      </c>
      <c r="F2452" s="816" t="s">
        <v>13691</v>
      </c>
      <c r="G2452" s="816"/>
      <c r="H2452" s="816">
        <v>0.38294089999999997</v>
      </c>
      <c r="I2452" s="816"/>
      <c r="J2452" s="817">
        <v>0.1915</v>
      </c>
      <c r="K2452" s="817"/>
      <c r="L2452" s="817"/>
    </row>
    <row r="2453" spans="1:12" ht="17.100000000000001" customHeight="1">
      <c r="A2453" s="626" t="s">
        <v>12709</v>
      </c>
      <c r="B2453" s="627" t="s">
        <v>13297</v>
      </c>
      <c r="C2453" s="626" t="s">
        <v>8</v>
      </c>
      <c r="D2453" s="626" t="s">
        <v>7681</v>
      </c>
      <c r="E2453" s="628" t="s">
        <v>35</v>
      </c>
      <c r="F2453" s="816" t="s">
        <v>14527</v>
      </c>
      <c r="G2453" s="816"/>
      <c r="H2453" s="816">
        <v>3.1999999999999999E-6</v>
      </c>
      <c r="I2453" s="816"/>
      <c r="J2453" s="817">
        <v>4.7100000000000003E-2</v>
      </c>
      <c r="K2453" s="817"/>
      <c r="L2453" s="817"/>
    </row>
    <row r="2454" spans="1:12" ht="17.100000000000001" customHeight="1">
      <c r="A2454" s="626" t="s">
        <v>12709</v>
      </c>
      <c r="B2454" s="627" t="s">
        <v>13048</v>
      </c>
      <c r="C2454" s="626" t="s">
        <v>8</v>
      </c>
      <c r="D2454" s="626" t="s">
        <v>9233</v>
      </c>
      <c r="E2454" s="628" t="s">
        <v>23</v>
      </c>
      <c r="F2454" s="816" t="s">
        <v>13690</v>
      </c>
      <c r="G2454" s="816"/>
      <c r="H2454" s="816">
        <v>0.22840379999999999</v>
      </c>
      <c r="I2454" s="816"/>
      <c r="J2454" s="817">
        <v>0.23300000000000001</v>
      </c>
      <c r="K2454" s="817"/>
      <c r="L2454" s="817"/>
    </row>
    <row r="2455" spans="1:12" ht="17.100000000000001" customHeight="1">
      <c r="A2455" s="626" t="s">
        <v>12709</v>
      </c>
      <c r="B2455" s="627" t="s">
        <v>13047</v>
      </c>
      <c r="C2455" s="626" t="s">
        <v>8</v>
      </c>
      <c r="D2455" s="626" t="s">
        <v>9380</v>
      </c>
      <c r="E2455" s="628" t="s">
        <v>23</v>
      </c>
      <c r="F2455" s="816" t="s">
        <v>13689</v>
      </c>
      <c r="G2455" s="816"/>
      <c r="H2455" s="816">
        <v>0.22840379999999999</v>
      </c>
      <c r="I2455" s="816"/>
      <c r="J2455" s="817">
        <v>8.6800000000000002E-2</v>
      </c>
      <c r="K2455" s="817"/>
      <c r="L2455" s="817"/>
    </row>
    <row r="2456" spans="1:12" ht="17.100000000000001" customHeight="1">
      <c r="A2456" s="636"/>
      <c r="B2456" s="636"/>
      <c r="C2456" s="636"/>
      <c r="D2456" s="636"/>
      <c r="E2456" s="636"/>
      <c r="F2456" s="636"/>
      <c r="G2456" s="636"/>
      <c r="H2456" s="636"/>
      <c r="I2456" s="636"/>
      <c r="J2456" s="636" t="s">
        <v>13675</v>
      </c>
      <c r="K2456" s="636"/>
      <c r="L2456" s="636" t="s">
        <v>13929</v>
      </c>
    </row>
    <row r="2457" spans="1:12" ht="17.100000000000001" customHeight="1">
      <c r="A2457" s="802" t="s">
        <v>12710</v>
      </c>
      <c r="B2457" s="802"/>
      <c r="C2457" s="802"/>
      <c r="D2457" s="802"/>
      <c r="E2457" s="802"/>
      <c r="F2457" s="802"/>
      <c r="G2457" s="802"/>
      <c r="H2457" s="802"/>
      <c r="I2457" s="612"/>
      <c r="J2457" s="612"/>
      <c r="K2457" s="612"/>
      <c r="L2457" s="612"/>
    </row>
    <row r="2458" spans="1:12" ht="30" customHeight="1">
      <c r="A2458" s="612" t="s">
        <v>13679</v>
      </c>
      <c r="B2458" s="636" t="s">
        <v>12698</v>
      </c>
      <c r="C2458" s="612" t="s">
        <v>12699</v>
      </c>
      <c r="D2458" s="612" t="s">
        <v>12700</v>
      </c>
      <c r="E2458" s="637" t="s">
        <v>12702</v>
      </c>
      <c r="F2458" s="801" t="s">
        <v>12704</v>
      </c>
      <c r="G2458" s="801"/>
      <c r="H2458" s="801" t="s">
        <v>13678</v>
      </c>
      <c r="I2458" s="801"/>
      <c r="J2458" s="801" t="s">
        <v>12705</v>
      </c>
      <c r="K2458" s="801"/>
      <c r="L2458" s="801"/>
    </row>
    <row r="2459" spans="1:12" ht="60" customHeight="1">
      <c r="A2459" s="626" t="s">
        <v>12709</v>
      </c>
      <c r="B2459" s="627" t="s">
        <v>13103</v>
      </c>
      <c r="C2459" s="626" t="s">
        <v>8</v>
      </c>
      <c r="D2459" s="626" t="s">
        <v>10570</v>
      </c>
      <c r="E2459" s="628" t="s">
        <v>23</v>
      </c>
      <c r="F2459" s="816" t="s">
        <v>14289</v>
      </c>
      <c r="G2459" s="816"/>
      <c r="H2459" s="816">
        <v>3.5348999999999998E-2</v>
      </c>
      <c r="I2459" s="816"/>
      <c r="J2459" s="817">
        <v>0.1799</v>
      </c>
      <c r="K2459" s="817"/>
      <c r="L2459" s="817"/>
    </row>
    <row r="2460" spans="1:12" ht="14.25" customHeight="1">
      <c r="A2460" s="626" t="s">
        <v>12709</v>
      </c>
      <c r="B2460" s="627" t="s">
        <v>13228</v>
      </c>
      <c r="C2460" s="626" t="s">
        <v>8</v>
      </c>
      <c r="D2460" s="626" t="s">
        <v>8289</v>
      </c>
      <c r="E2460" s="628" t="s">
        <v>23</v>
      </c>
      <c r="F2460" s="816" t="s">
        <v>14199</v>
      </c>
      <c r="G2460" s="816"/>
      <c r="H2460" s="816">
        <v>3.5429599999999999E-2</v>
      </c>
      <c r="I2460" s="816"/>
      <c r="J2460" s="817">
        <v>0.19270000000000001</v>
      </c>
      <c r="K2460" s="817"/>
      <c r="L2460" s="817"/>
    </row>
    <row r="2461" spans="1:12" ht="17.100000000000001" customHeight="1">
      <c r="A2461" s="626" t="s">
        <v>12709</v>
      </c>
      <c r="B2461" s="627" t="s">
        <v>13212</v>
      </c>
      <c r="C2461" s="626" t="s">
        <v>8</v>
      </c>
      <c r="D2461" s="626" t="s">
        <v>8293</v>
      </c>
      <c r="E2461" s="628" t="s">
        <v>23</v>
      </c>
      <c r="F2461" s="816" t="s">
        <v>14470</v>
      </c>
      <c r="G2461" s="816"/>
      <c r="H2461" s="816">
        <v>0.17594129999999999</v>
      </c>
      <c r="I2461" s="816"/>
      <c r="J2461" s="817">
        <v>1.2158</v>
      </c>
      <c r="K2461" s="817"/>
      <c r="L2461" s="817"/>
    </row>
    <row r="2462" spans="1:12" ht="36" customHeight="1">
      <c r="A2462" s="626" t="s">
        <v>12709</v>
      </c>
      <c r="B2462" s="627" t="s">
        <v>13230</v>
      </c>
      <c r="C2462" s="626" t="s">
        <v>8</v>
      </c>
      <c r="D2462" s="626" t="s">
        <v>7362</v>
      </c>
      <c r="E2462" s="628" t="s">
        <v>23</v>
      </c>
      <c r="F2462" s="816" t="s">
        <v>14514</v>
      </c>
      <c r="G2462" s="816"/>
      <c r="H2462" s="816">
        <v>2.9031999999999999E-3</v>
      </c>
      <c r="I2462" s="816"/>
      <c r="J2462" s="817">
        <v>1.4E-2</v>
      </c>
      <c r="K2462" s="817"/>
      <c r="L2462" s="817"/>
    </row>
    <row r="2463" spans="1:12" ht="24" customHeight="1">
      <c r="A2463" s="626" t="s">
        <v>12709</v>
      </c>
      <c r="B2463" s="627" t="s">
        <v>13224</v>
      </c>
      <c r="C2463" s="626" t="s">
        <v>8</v>
      </c>
      <c r="D2463" s="626" t="s">
        <v>7556</v>
      </c>
      <c r="E2463" s="628" t="s">
        <v>23</v>
      </c>
      <c r="F2463" s="816" t="s">
        <v>14470</v>
      </c>
      <c r="G2463" s="816"/>
      <c r="H2463" s="816">
        <v>2.0667100000000001E-2</v>
      </c>
      <c r="I2463" s="816"/>
      <c r="J2463" s="817">
        <v>0.14280000000000001</v>
      </c>
      <c r="K2463" s="817"/>
      <c r="L2463" s="817"/>
    </row>
    <row r="2464" spans="1:12" ht="24" customHeight="1">
      <c r="A2464" s="626" t="s">
        <v>12709</v>
      </c>
      <c r="B2464" s="627" t="s">
        <v>13046</v>
      </c>
      <c r="C2464" s="626" t="s">
        <v>8</v>
      </c>
      <c r="D2464" s="626" t="s">
        <v>11281</v>
      </c>
      <c r="E2464" s="628" t="s">
        <v>23</v>
      </c>
      <c r="F2464" s="816" t="s">
        <v>13731</v>
      </c>
      <c r="G2464" s="816"/>
      <c r="H2464" s="816">
        <v>0.23121459999999999</v>
      </c>
      <c r="I2464" s="816"/>
      <c r="J2464" s="817">
        <v>1.1883999999999999</v>
      </c>
      <c r="K2464" s="817"/>
      <c r="L2464" s="817"/>
    </row>
    <row r="2465" spans="1:12" ht="24" customHeight="1">
      <c r="A2465" s="626" t="s">
        <v>12709</v>
      </c>
      <c r="B2465" s="627" t="s">
        <v>13116</v>
      </c>
      <c r="C2465" s="626" t="s">
        <v>8</v>
      </c>
      <c r="D2465" s="626" t="s">
        <v>10556</v>
      </c>
      <c r="E2465" s="628" t="s">
        <v>23</v>
      </c>
      <c r="F2465" s="816" t="s">
        <v>13770</v>
      </c>
      <c r="G2465" s="816"/>
      <c r="H2465" s="816">
        <v>3.07826E-2</v>
      </c>
      <c r="I2465" s="816"/>
      <c r="J2465" s="817">
        <v>0.14680000000000001</v>
      </c>
      <c r="K2465" s="817"/>
      <c r="L2465" s="817"/>
    </row>
    <row r="2466" spans="1:12" ht="24" customHeight="1">
      <c r="A2466" s="626" t="s">
        <v>12709</v>
      </c>
      <c r="B2466" s="627" t="s">
        <v>13099</v>
      </c>
      <c r="C2466" s="626" t="s">
        <v>8</v>
      </c>
      <c r="D2466" s="626" t="s">
        <v>10726</v>
      </c>
      <c r="E2466" s="628" t="s">
        <v>23</v>
      </c>
      <c r="F2466" s="816" t="s">
        <v>14470</v>
      </c>
      <c r="G2466" s="816"/>
      <c r="H2466" s="816">
        <v>0.36392639999999998</v>
      </c>
      <c r="I2466" s="816"/>
      <c r="J2466" s="817">
        <v>2.5146999999999999</v>
      </c>
      <c r="K2466" s="817"/>
      <c r="L2466" s="817"/>
    </row>
    <row r="2467" spans="1:12" ht="24" customHeight="1">
      <c r="A2467" s="636"/>
      <c r="B2467" s="636"/>
      <c r="C2467" s="636"/>
      <c r="D2467" s="636"/>
      <c r="E2467" s="636"/>
      <c r="F2467" s="636"/>
      <c r="G2467" s="636"/>
      <c r="H2467" s="636"/>
      <c r="I2467" s="636"/>
      <c r="J2467" s="636" t="s">
        <v>13675</v>
      </c>
      <c r="K2467" s="636"/>
      <c r="L2467" s="636" t="s">
        <v>14267</v>
      </c>
    </row>
    <row r="2468" spans="1:12" ht="24" customHeight="1">
      <c r="A2468" s="802" t="s">
        <v>12720</v>
      </c>
      <c r="B2468" s="802"/>
      <c r="C2468" s="802"/>
      <c r="D2468" s="802"/>
      <c r="E2468" s="802"/>
      <c r="F2468" s="802"/>
      <c r="G2468" s="802"/>
      <c r="H2468" s="802"/>
      <c r="I2468" s="612"/>
      <c r="J2468" s="612"/>
      <c r="K2468" s="612"/>
      <c r="L2468" s="612"/>
    </row>
    <row r="2469" spans="1:12" ht="17.100000000000001" customHeight="1">
      <c r="A2469" s="612" t="s">
        <v>13679</v>
      </c>
      <c r="B2469" s="636" t="s">
        <v>12698</v>
      </c>
      <c r="C2469" s="612" t="s">
        <v>12699</v>
      </c>
      <c r="D2469" s="612" t="s">
        <v>12700</v>
      </c>
      <c r="E2469" s="637" t="s">
        <v>12702</v>
      </c>
      <c r="F2469" s="801" t="s">
        <v>12704</v>
      </c>
      <c r="G2469" s="801"/>
      <c r="H2469" s="801" t="s">
        <v>13678</v>
      </c>
      <c r="I2469" s="801"/>
      <c r="J2469" s="801" t="s">
        <v>12705</v>
      </c>
      <c r="K2469" s="801"/>
      <c r="L2469" s="801"/>
    </row>
    <row r="2470" spans="1:12" ht="14.25" customHeight="1">
      <c r="A2470" s="626" t="s">
        <v>12709</v>
      </c>
      <c r="B2470" s="627" t="s">
        <v>13310</v>
      </c>
      <c r="C2470" s="626" t="s">
        <v>8</v>
      </c>
      <c r="D2470" s="626" t="s">
        <v>9265</v>
      </c>
      <c r="E2470" s="628" t="s">
        <v>35</v>
      </c>
      <c r="F2470" s="816" t="s">
        <v>13875</v>
      </c>
      <c r="G2470" s="816"/>
      <c r="H2470" s="816">
        <v>6</v>
      </c>
      <c r="I2470" s="816"/>
      <c r="J2470" s="817">
        <v>0.78</v>
      </c>
      <c r="K2470" s="817"/>
      <c r="L2470" s="817"/>
    </row>
    <row r="2471" spans="1:12" ht="17.100000000000001" customHeight="1">
      <c r="A2471" s="626" t="s">
        <v>12709</v>
      </c>
      <c r="B2471" s="627" t="s">
        <v>13093</v>
      </c>
      <c r="C2471" s="626" t="s">
        <v>8</v>
      </c>
      <c r="D2471" s="626" t="s">
        <v>8980</v>
      </c>
      <c r="E2471" s="628" t="s">
        <v>58</v>
      </c>
      <c r="F2471" s="816" t="s">
        <v>14502</v>
      </c>
      <c r="G2471" s="816"/>
      <c r="H2471" s="816">
        <v>7.0000000000000001E-3</v>
      </c>
      <c r="I2471" s="816"/>
      <c r="J2471" s="817">
        <v>0.03</v>
      </c>
      <c r="K2471" s="817"/>
      <c r="L2471" s="817"/>
    </row>
    <row r="2472" spans="1:12" ht="24" customHeight="1">
      <c r="A2472" s="626" t="s">
        <v>12709</v>
      </c>
      <c r="B2472" s="627" t="s">
        <v>13091</v>
      </c>
      <c r="C2472" s="626" t="s">
        <v>8</v>
      </c>
      <c r="D2472" s="626" t="s">
        <v>11248</v>
      </c>
      <c r="E2472" s="628" t="s">
        <v>17</v>
      </c>
      <c r="F2472" s="816" t="s">
        <v>14501</v>
      </c>
      <c r="G2472" s="816"/>
      <c r="H2472" s="816">
        <v>1.6449227</v>
      </c>
      <c r="I2472" s="816"/>
      <c r="J2472" s="817">
        <v>3.2898000000000001</v>
      </c>
      <c r="K2472" s="817"/>
      <c r="L2472" s="817"/>
    </row>
    <row r="2473" spans="1:12" ht="24" customHeight="1">
      <c r="A2473" s="626" t="s">
        <v>12709</v>
      </c>
      <c r="B2473" s="627" t="s">
        <v>13189</v>
      </c>
      <c r="C2473" s="626" t="s">
        <v>8</v>
      </c>
      <c r="D2473" s="626" t="s">
        <v>11363</v>
      </c>
      <c r="E2473" s="628" t="s">
        <v>17</v>
      </c>
      <c r="F2473" s="816" t="s">
        <v>14500</v>
      </c>
      <c r="G2473" s="816"/>
      <c r="H2473" s="816">
        <v>1.48075</v>
      </c>
      <c r="I2473" s="816"/>
      <c r="J2473" s="817">
        <v>12.941800000000001</v>
      </c>
      <c r="K2473" s="817"/>
      <c r="L2473" s="817"/>
    </row>
    <row r="2474" spans="1:12" ht="24" customHeight="1">
      <c r="A2474" s="626" t="s">
        <v>12709</v>
      </c>
      <c r="B2474" s="627" t="s">
        <v>13190</v>
      </c>
      <c r="C2474" s="626" t="s">
        <v>8</v>
      </c>
      <c r="D2474" s="626" t="s">
        <v>11009</v>
      </c>
      <c r="E2474" s="628" t="s">
        <v>20</v>
      </c>
      <c r="F2474" s="816" t="s">
        <v>13824</v>
      </c>
      <c r="G2474" s="816"/>
      <c r="H2474" s="816">
        <v>1.2382900000000001E-2</v>
      </c>
      <c r="I2474" s="816"/>
      <c r="J2474" s="817">
        <v>0.1384</v>
      </c>
      <c r="K2474" s="817"/>
      <c r="L2474" s="817"/>
    </row>
    <row r="2475" spans="1:12" ht="17.100000000000001" customHeight="1">
      <c r="A2475" s="626" t="s">
        <v>12709</v>
      </c>
      <c r="B2475" s="627" t="s">
        <v>13056</v>
      </c>
      <c r="C2475" s="626" t="s">
        <v>8</v>
      </c>
      <c r="D2475" s="626" t="s">
        <v>11277</v>
      </c>
      <c r="E2475" s="628" t="s">
        <v>35</v>
      </c>
      <c r="F2475" s="816" t="s">
        <v>14498</v>
      </c>
      <c r="G2475" s="816"/>
      <c r="H2475" s="816">
        <v>3.9999999999999998E-6</v>
      </c>
      <c r="I2475" s="816"/>
      <c r="J2475" s="817">
        <v>5.0000000000000001E-3</v>
      </c>
      <c r="K2475" s="817"/>
      <c r="L2475" s="817"/>
    </row>
    <row r="2476" spans="1:12" ht="25.5">
      <c r="A2476" s="626" t="s">
        <v>12709</v>
      </c>
      <c r="B2476" s="627" t="s">
        <v>12987</v>
      </c>
      <c r="C2476" s="626" t="s">
        <v>8</v>
      </c>
      <c r="D2476" s="626" t="s">
        <v>9192</v>
      </c>
      <c r="E2476" s="628" t="s">
        <v>12923</v>
      </c>
      <c r="F2476" s="816" t="s">
        <v>13999</v>
      </c>
      <c r="G2476" s="816"/>
      <c r="H2476" s="816">
        <v>0.10285759999999999</v>
      </c>
      <c r="I2476" s="816"/>
      <c r="J2476" s="817">
        <v>8.3299999999999999E-2</v>
      </c>
      <c r="K2476" s="817"/>
      <c r="L2476" s="817"/>
    </row>
    <row r="2477" spans="1:12" ht="17.100000000000001" customHeight="1">
      <c r="A2477" s="626" t="s">
        <v>12709</v>
      </c>
      <c r="B2477" s="627" t="s">
        <v>13242</v>
      </c>
      <c r="C2477" s="626" t="s">
        <v>8</v>
      </c>
      <c r="D2477" s="626" t="s">
        <v>7265</v>
      </c>
      <c r="E2477" s="628" t="s">
        <v>20</v>
      </c>
      <c r="F2477" s="816" t="s">
        <v>14602</v>
      </c>
      <c r="G2477" s="816"/>
      <c r="H2477" s="816">
        <v>0.52357520000000002</v>
      </c>
      <c r="I2477" s="816"/>
      <c r="J2477" s="817">
        <v>2.843</v>
      </c>
      <c r="K2477" s="817"/>
      <c r="L2477" s="817"/>
    </row>
    <row r="2478" spans="1:12" ht="24" customHeight="1">
      <c r="A2478" s="626" t="s">
        <v>12709</v>
      </c>
      <c r="B2478" s="627" t="s">
        <v>13250</v>
      </c>
      <c r="C2478" s="626" t="s">
        <v>8</v>
      </c>
      <c r="D2478" s="626" t="s">
        <v>7526</v>
      </c>
      <c r="E2478" s="628" t="s">
        <v>12730</v>
      </c>
      <c r="F2478" s="816" t="s">
        <v>13747</v>
      </c>
      <c r="G2478" s="816"/>
      <c r="H2478" s="816">
        <v>1.8238799999999999E-2</v>
      </c>
      <c r="I2478" s="816"/>
      <c r="J2478" s="817">
        <v>1.1398999999999999</v>
      </c>
      <c r="K2478" s="817"/>
      <c r="L2478" s="817"/>
    </row>
    <row r="2479" spans="1:12" ht="24" customHeight="1">
      <c r="A2479" s="626" t="s">
        <v>12709</v>
      </c>
      <c r="B2479" s="627" t="s">
        <v>13249</v>
      </c>
      <c r="C2479" s="626" t="s">
        <v>8</v>
      </c>
      <c r="D2479" s="626" t="s">
        <v>8420</v>
      </c>
      <c r="E2479" s="628" t="s">
        <v>20</v>
      </c>
      <c r="F2479" s="816" t="s">
        <v>13700</v>
      </c>
      <c r="G2479" s="816"/>
      <c r="H2479" s="816">
        <v>7.7930511999999998</v>
      </c>
      <c r="I2479" s="816"/>
      <c r="J2479" s="817">
        <v>3.8186</v>
      </c>
      <c r="K2479" s="817"/>
      <c r="L2479" s="817"/>
    </row>
    <row r="2480" spans="1:12" ht="36" customHeight="1">
      <c r="A2480" s="626" t="s">
        <v>12709</v>
      </c>
      <c r="B2480" s="627" t="s">
        <v>13248</v>
      </c>
      <c r="C2480" s="626" t="s">
        <v>8</v>
      </c>
      <c r="D2480" s="626" t="s">
        <v>10712</v>
      </c>
      <c r="E2480" s="628" t="s">
        <v>12730</v>
      </c>
      <c r="F2480" s="816" t="s">
        <v>13745</v>
      </c>
      <c r="G2480" s="816"/>
      <c r="H2480" s="816">
        <v>1.4164400000000001E-2</v>
      </c>
      <c r="I2480" s="816"/>
      <c r="J2480" s="817">
        <v>1.1332</v>
      </c>
      <c r="K2480" s="817"/>
      <c r="L2480" s="817"/>
    </row>
    <row r="2481" spans="1:12" ht="24" customHeight="1">
      <c r="A2481" s="636"/>
      <c r="B2481" s="636"/>
      <c r="C2481" s="636"/>
      <c r="D2481" s="636"/>
      <c r="E2481" s="636"/>
      <c r="F2481" s="636"/>
      <c r="G2481" s="636"/>
      <c r="H2481" s="636"/>
      <c r="I2481" s="636"/>
      <c r="J2481" s="636" t="s">
        <v>13675</v>
      </c>
      <c r="K2481" s="636"/>
      <c r="L2481" s="636" t="s">
        <v>14770</v>
      </c>
    </row>
    <row r="2482" spans="1:12" ht="24" customHeight="1">
      <c r="A2482" s="802" t="s">
        <v>12722</v>
      </c>
      <c r="B2482" s="802"/>
      <c r="C2482" s="802"/>
      <c r="D2482" s="802"/>
      <c r="E2482" s="802"/>
      <c r="F2482" s="802"/>
      <c r="G2482" s="802"/>
      <c r="H2482" s="802"/>
      <c r="I2482" s="612"/>
      <c r="J2482" s="612"/>
      <c r="K2482" s="612"/>
      <c r="L2482" s="612"/>
    </row>
    <row r="2483" spans="1:12" ht="24" customHeight="1">
      <c r="A2483" s="612" t="s">
        <v>13679</v>
      </c>
      <c r="B2483" s="636" t="s">
        <v>12698</v>
      </c>
      <c r="C2483" s="612" t="s">
        <v>12699</v>
      </c>
      <c r="D2483" s="612" t="s">
        <v>12700</v>
      </c>
      <c r="E2483" s="637" t="s">
        <v>12702</v>
      </c>
      <c r="F2483" s="801" t="s">
        <v>12704</v>
      </c>
      <c r="G2483" s="801"/>
      <c r="H2483" s="801" t="s">
        <v>13678</v>
      </c>
      <c r="I2483" s="801"/>
      <c r="J2483" s="801" t="s">
        <v>12705</v>
      </c>
      <c r="K2483" s="801"/>
      <c r="L2483" s="801"/>
    </row>
    <row r="2484" spans="1:12" ht="24" customHeight="1">
      <c r="A2484" s="626" t="s">
        <v>12709</v>
      </c>
      <c r="B2484" s="627" t="s">
        <v>12998</v>
      </c>
      <c r="C2484" s="626" t="s">
        <v>8</v>
      </c>
      <c r="D2484" s="626" t="s">
        <v>11861</v>
      </c>
      <c r="E2484" s="628" t="s">
        <v>23</v>
      </c>
      <c r="F2484" s="816" t="s">
        <v>13683</v>
      </c>
      <c r="G2484" s="816"/>
      <c r="H2484" s="816">
        <v>0.88728260000000003</v>
      </c>
      <c r="I2484" s="816"/>
      <c r="J2484" s="817">
        <v>0.63</v>
      </c>
      <c r="K2484" s="817"/>
      <c r="L2484" s="817"/>
    </row>
    <row r="2485" spans="1:12" ht="17.100000000000001" customHeight="1">
      <c r="A2485" s="636"/>
      <c r="B2485" s="636"/>
      <c r="C2485" s="636"/>
      <c r="D2485" s="636"/>
      <c r="E2485" s="636"/>
      <c r="F2485" s="636"/>
      <c r="G2485" s="636"/>
      <c r="H2485" s="636"/>
      <c r="I2485" s="636"/>
      <c r="J2485" s="636" t="s">
        <v>13675</v>
      </c>
      <c r="K2485" s="636"/>
      <c r="L2485" s="636" t="s">
        <v>13674</v>
      </c>
    </row>
    <row r="2486" spans="1:12">
      <c r="A2486" s="802" t="s">
        <v>12713</v>
      </c>
      <c r="B2486" s="802"/>
      <c r="C2486" s="802"/>
      <c r="D2486" s="802"/>
      <c r="E2486" s="802"/>
      <c r="F2486" s="802"/>
      <c r="G2486" s="802"/>
      <c r="H2486" s="802"/>
      <c r="I2486" s="612"/>
      <c r="J2486" s="612"/>
      <c r="K2486" s="612"/>
      <c r="L2486" s="612"/>
    </row>
    <row r="2487" spans="1:12" ht="17.100000000000001" customHeight="1">
      <c r="A2487" s="612" t="s">
        <v>13679</v>
      </c>
      <c r="B2487" s="636" t="s">
        <v>12698</v>
      </c>
      <c r="C2487" s="612" t="s">
        <v>12699</v>
      </c>
      <c r="D2487" s="612" t="s">
        <v>12700</v>
      </c>
      <c r="E2487" s="637" t="s">
        <v>12702</v>
      </c>
      <c r="F2487" s="801" t="s">
        <v>12704</v>
      </c>
      <c r="G2487" s="801"/>
      <c r="H2487" s="801" t="s">
        <v>13678</v>
      </c>
      <c r="I2487" s="801"/>
      <c r="J2487" s="801" t="s">
        <v>12705</v>
      </c>
      <c r="K2487" s="801"/>
      <c r="L2487" s="801"/>
    </row>
    <row r="2488" spans="1:12" ht="24" customHeight="1">
      <c r="A2488" s="626" t="s">
        <v>12709</v>
      </c>
      <c r="B2488" s="627" t="s">
        <v>12999</v>
      </c>
      <c r="C2488" s="626" t="s">
        <v>8</v>
      </c>
      <c r="D2488" s="626" t="s">
        <v>11251</v>
      </c>
      <c r="E2488" s="628" t="s">
        <v>23</v>
      </c>
      <c r="F2488" s="816" t="s">
        <v>13681</v>
      </c>
      <c r="G2488" s="816"/>
      <c r="H2488" s="816">
        <v>0.88728260000000003</v>
      </c>
      <c r="I2488" s="816"/>
      <c r="J2488" s="817">
        <v>6.2100000000000002E-2</v>
      </c>
      <c r="K2488" s="817"/>
      <c r="L2488" s="817"/>
    </row>
    <row r="2489" spans="1:12" ht="17.100000000000001" customHeight="1">
      <c r="A2489" s="636"/>
      <c r="B2489" s="636"/>
      <c r="C2489" s="636"/>
      <c r="D2489" s="636"/>
      <c r="E2489" s="636"/>
      <c r="F2489" s="636"/>
      <c r="G2489" s="636"/>
      <c r="H2489" s="636"/>
      <c r="I2489" s="636"/>
      <c r="J2489" s="636" t="s">
        <v>13675</v>
      </c>
      <c r="K2489" s="636"/>
      <c r="L2489" s="636" t="s">
        <v>13708</v>
      </c>
    </row>
    <row r="2490" spans="1:12">
      <c r="A2490" s="802" t="s">
        <v>12712</v>
      </c>
      <c r="B2490" s="802"/>
      <c r="C2490" s="802"/>
      <c r="D2490" s="802"/>
      <c r="E2490" s="802"/>
      <c r="F2490" s="802"/>
      <c r="G2490" s="802"/>
      <c r="H2490" s="802"/>
      <c r="I2490" s="612"/>
      <c r="J2490" s="612"/>
      <c r="K2490" s="612"/>
      <c r="L2490" s="612"/>
    </row>
    <row r="2491" spans="1:12" ht="17.100000000000001" customHeight="1">
      <c r="A2491" s="612" t="s">
        <v>13679</v>
      </c>
      <c r="B2491" s="636" t="s">
        <v>12698</v>
      </c>
      <c r="C2491" s="612" t="s">
        <v>12699</v>
      </c>
      <c r="D2491" s="612" t="s">
        <v>12700</v>
      </c>
      <c r="E2491" s="637" t="s">
        <v>12702</v>
      </c>
      <c r="F2491" s="801" t="s">
        <v>12704</v>
      </c>
      <c r="G2491" s="801"/>
      <c r="H2491" s="801" t="s">
        <v>13678</v>
      </c>
      <c r="I2491" s="801"/>
      <c r="J2491" s="801" t="s">
        <v>12705</v>
      </c>
      <c r="K2491" s="801"/>
      <c r="L2491" s="801"/>
    </row>
    <row r="2492" spans="1:12" ht="24" customHeight="1">
      <c r="A2492" s="626" t="s">
        <v>12709</v>
      </c>
      <c r="B2492" s="627" t="s">
        <v>13002</v>
      </c>
      <c r="C2492" s="626" t="s">
        <v>8</v>
      </c>
      <c r="D2492" s="626" t="s">
        <v>9306</v>
      </c>
      <c r="E2492" s="628" t="s">
        <v>23</v>
      </c>
      <c r="F2492" s="816" t="s">
        <v>13677</v>
      </c>
      <c r="G2492" s="816"/>
      <c r="H2492" s="816">
        <v>0.88728260000000003</v>
      </c>
      <c r="I2492" s="816"/>
      <c r="J2492" s="817">
        <v>0.3105</v>
      </c>
      <c r="K2492" s="817"/>
      <c r="L2492" s="817"/>
    </row>
    <row r="2493" spans="1:12" ht="17.100000000000001" customHeight="1">
      <c r="A2493" s="626" t="s">
        <v>12709</v>
      </c>
      <c r="B2493" s="627" t="s">
        <v>13004</v>
      </c>
      <c r="C2493" s="626" t="s">
        <v>8</v>
      </c>
      <c r="D2493" s="626" t="s">
        <v>7388</v>
      </c>
      <c r="E2493" s="628" t="s">
        <v>23</v>
      </c>
      <c r="F2493" s="816" t="s">
        <v>13676</v>
      </c>
      <c r="G2493" s="816"/>
      <c r="H2493" s="816">
        <v>0.88728260000000003</v>
      </c>
      <c r="I2493" s="816"/>
      <c r="J2493" s="817">
        <v>1.952</v>
      </c>
      <c r="K2493" s="817"/>
      <c r="L2493" s="817"/>
    </row>
    <row r="2494" spans="1:12">
      <c r="A2494" s="636"/>
      <c r="B2494" s="636"/>
      <c r="C2494" s="636"/>
      <c r="D2494" s="636"/>
      <c r="E2494" s="636"/>
      <c r="F2494" s="636"/>
      <c r="G2494" s="636"/>
      <c r="H2494" s="636"/>
      <c r="I2494" s="636"/>
      <c r="J2494" s="636" t="s">
        <v>13675</v>
      </c>
      <c r="K2494" s="636"/>
      <c r="L2494" s="636" t="s">
        <v>14198</v>
      </c>
    </row>
    <row r="2495" spans="1:12" ht="17.100000000000001" customHeight="1">
      <c r="A2495" s="612" t="s">
        <v>13673</v>
      </c>
      <c r="B2495" s="612"/>
      <c r="C2495" s="612"/>
      <c r="D2495" s="612"/>
      <c r="E2495" s="612"/>
      <c r="F2495" s="612"/>
      <c r="G2495" s="612"/>
      <c r="H2495" s="612"/>
      <c r="I2495" s="612"/>
      <c r="J2495" s="612"/>
      <c r="K2495" s="612"/>
      <c r="L2495" s="612"/>
    </row>
    <row r="2496" spans="1:12" ht="24" customHeight="1">
      <c r="A2496" s="636"/>
      <c r="B2496" s="636"/>
      <c r="C2496" s="636"/>
      <c r="D2496" s="636"/>
      <c r="E2496" s="636"/>
      <c r="F2496" s="636"/>
      <c r="G2496" s="636"/>
      <c r="H2496" s="636"/>
      <c r="I2496" s="636"/>
      <c r="J2496" s="636" t="s">
        <v>13672</v>
      </c>
      <c r="K2496" s="636"/>
      <c r="L2496" s="636" t="s">
        <v>15078</v>
      </c>
    </row>
    <row r="2497" spans="1:12" ht="24" customHeight="1">
      <c r="A2497" s="636"/>
      <c r="B2497" s="636"/>
      <c r="C2497" s="636"/>
      <c r="D2497" s="636"/>
      <c r="E2497" s="636"/>
      <c r="F2497" s="636"/>
      <c r="G2497" s="636"/>
      <c r="H2497" s="636"/>
      <c r="I2497" s="636"/>
      <c r="J2497" s="636" t="s">
        <v>13671</v>
      </c>
      <c r="K2497" s="636" t="s">
        <v>14461</v>
      </c>
      <c r="L2497" s="636" t="s">
        <v>15079</v>
      </c>
    </row>
    <row r="2498" spans="1:12" ht="17.100000000000001" customHeight="1">
      <c r="A2498" s="636"/>
      <c r="B2498" s="636"/>
      <c r="C2498" s="636"/>
      <c r="D2498" s="636"/>
      <c r="E2498" s="636"/>
      <c r="F2498" s="636"/>
      <c r="G2498" s="636"/>
      <c r="H2498" s="636"/>
      <c r="I2498" s="636"/>
      <c r="J2498" s="636" t="s">
        <v>13670</v>
      </c>
      <c r="K2498" s="636"/>
      <c r="L2498" s="636" t="s">
        <v>15080</v>
      </c>
    </row>
    <row r="2499" spans="1:12" ht="17.100000000000001" customHeight="1">
      <c r="A2499" s="636"/>
      <c r="B2499" s="636"/>
      <c r="C2499" s="636"/>
      <c r="D2499" s="636"/>
      <c r="E2499" s="636"/>
      <c r="F2499" s="636"/>
      <c r="G2499" s="636"/>
      <c r="H2499" s="636"/>
      <c r="I2499" s="636"/>
      <c r="J2499" s="636" t="s">
        <v>13669</v>
      </c>
      <c r="K2499" s="636" t="s">
        <v>13667</v>
      </c>
      <c r="L2499" s="636" t="s">
        <v>15081</v>
      </c>
    </row>
    <row r="2500" spans="1:12" ht="17.100000000000001" customHeight="1">
      <c r="A2500" s="636"/>
      <c r="B2500" s="636"/>
      <c r="C2500" s="636"/>
      <c r="D2500" s="636"/>
      <c r="E2500" s="636"/>
      <c r="F2500" s="636"/>
      <c r="G2500" s="636"/>
      <c r="H2500" s="636"/>
      <c r="I2500" s="636"/>
      <c r="J2500" s="636" t="s">
        <v>13668</v>
      </c>
      <c r="K2500" s="636"/>
      <c r="L2500" s="636" t="s">
        <v>15082</v>
      </c>
    </row>
    <row r="2501" spans="1:12" ht="17.100000000000001" customHeight="1">
      <c r="A2501" s="637"/>
      <c r="B2501" s="637"/>
      <c r="C2501" s="637"/>
      <c r="D2501" s="637"/>
      <c r="E2501" s="637"/>
      <c r="F2501" s="637"/>
      <c r="G2501" s="637"/>
      <c r="H2501" s="637"/>
      <c r="I2501" s="637"/>
      <c r="J2501" s="637"/>
      <c r="K2501" s="637"/>
      <c r="L2501" s="637"/>
    </row>
    <row r="2502" spans="1:12" ht="17.100000000000001" customHeight="1">
      <c r="A2502" s="616" t="s">
        <v>14197</v>
      </c>
      <c r="B2502" s="617" t="s">
        <v>13609</v>
      </c>
      <c r="C2502" s="616" t="s">
        <v>8</v>
      </c>
      <c r="D2502" s="616" t="s">
        <v>1318</v>
      </c>
      <c r="E2502" s="618" t="s">
        <v>12725</v>
      </c>
      <c r="F2502" s="617"/>
      <c r="G2502" s="617"/>
      <c r="H2502" s="617"/>
      <c r="I2502" s="617"/>
      <c r="J2502" s="617"/>
      <c r="K2502" s="617"/>
      <c r="L2502" s="617"/>
    </row>
    <row r="2503" spans="1:12" ht="17.100000000000001" customHeight="1">
      <c r="A2503" s="802" t="s">
        <v>12711</v>
      </c>
      <c r="B2503" s="802"/>
      <c r="C2503" s="802"/>
      <c r="D2503" s="802"/>
      <c r="E2503" s="802"/>
      <c r="F2503" s="802"/>
      <c r="G2503" s="802"/>
      <c r="H2503" s="802"/>
      <c r="I2503" s="612"/>
      <c r="J2503" s="612"/>
      <c r="K2503" s="612"/>
      <c r="L2503" s="612"/>
    </row>
    <row r="2504" spans="1:12" ht="17.100000000000001" customHeight="1">
      <c r="A2504" s="612" t="s">
        <v>13679</v>
      </c>
      <c r="B2504" s="636" t="s">
        <v>12698</v>
      </c>
      <c r="C2504" s="612" t="s">
        <v>12699</v>
      </c>
      <c r="D2504" s="612" t="s">
        <v>12700</v>
      </c>
      <c r="E2504" s="637" t="s">
        <v>12702</v>
      </c>
      <c r="F2504" s="801" t="s">
        <v>12704</v>
      </c>
      <c r="G2504" s="801"/>
      <c r="H2504" s="801" t="s">
        <v>13678</v>
      </c>
      <c r="I2504" s="801"/>
      <c r="J2504" s="801" t="s">
        <v>12705</v>
      </c>
      <c r="K2504" s="801"/>
      <c r="L2504" s="801"/>
    </row>
    <row r="2505" spans="1:12" ht="30" customHeight="1">
      <c r="A2505" s="626" t="s">
        <v>12709</v>
      </c>
      <c r="B2505" s="627" t="s">
        <v>13302</v>
      </c>
      <c r="C2505" s="626" t="s">
        <v>8</v>
      </c>
      <c r="D2505" s="626" t="s">
        <v>7676</v>
      </c>
      <c r="E2505" s="628" t="s">
        <v>35</v>
      </c>
      <c r="F2505" s="816" t="s">
        <v>14526</v>
      </c>
      <c r="G2505" s="816"/>
      <c r="H2505" s="816">
        <v>4.0999999999999997E-6</v>
      </c>
      <c r="I2505" s="816"/>
      <c r="J2505" s="817">
        <v>1.4800000000000001E-2</v>
      </c>
      <c r="K2505" s="817"/>
      <c r="L2505" s="817"/>
    </row>
    <row r="2506" spans="1:12" ht="48" customHeight="1">
      <c r="A2506" s="626" t="s">
        <v>12709</v>
      </c>
      <c r="B2506" s="627" t="s">
        <v>13003</v>
      </c>
      <c r="C2506" s="626" t="s">
        <v>8</v>
      </c>
      <c r="D2506" s="626" t="s">
        <v>9227</v>
      </c>
      <c r="E2506" s="628" t="s">
        <v>23</v>
      </c>
      <c r="F2506" s="816" t="s">
        <v>13732</v>
      </c>
      <c r="G2506" s="816"/>
      <c r="H2506" s="816">
        <v>4.6687300000000001E-2</v>
      </c>
      <c r="I2506" s="816"/>
      <c r="J2506" s="817">
        <v>3.0800000000000001E-2</v>
      </c>
      <c r="K2506" s="817"/>
      <c r="L2506" s="817"/>
    </row>
    <row r="2507" spans="1:12" ht="14.25" customHeight="1">
      <c r="A2507" s="626" t="s">
        <v>12709</v>
      </c>
      <c r="B2507" s="627" t="s">
        <v>13001</v>
      </c>
      <c r="C2507" s="626" t="s">
        <v>8</v>
      </c>
      <c r="D2507" s="626" t="s">
        <v>9374</v>
      </c>
      <c r="E2507" s="628" t="s">
        <v>23</v>
      </c>
      <c r="F2507" s="816" t="s">
        <v>13728</v>
      </c>
      <c r="G2507" s="816"/>
      <c r="H2507" s="816">
        <v>4.6687300000000001E-2</v>
      </c>
      <c r="I2507" s="816"/>
      <c r="J2507" s="817">
        <v>5.0000000000000001E-4</v>
      </c>
      <c r="K2507" s="817"/>
      <c r="L2507" s="817"/>
    </row>
    <row r="2508" spans="1:12" ht="17.100000000000001" customHeight="1">
      <c r="A2508" s="626" t="s">
        <v>12709</v>
      </c>
      <c r="B2508" s="627" t="s">
        <v>13052</v>
      </c>
      <c r="C2508" s="626" t="s">
        <v>8</v>
      </c>
      <c r="D2508" s="626" t="s">
        <v>9229</v>
      </c>
      <c r="E2508" s="628" t="s">
        <v>23</v>
      </c>
      <c r="F2508" s="816" t="s">
        <v>13692</v>
      </c>
      <c r="G2508" s="816"/>
      <c r="H2508" s="816">
        <v>0.47884369999999998</v>
      </c>
      <c r="I2508" s="816"/>
      <c r="J2508" s="817">
        <v>0.4597</v>
      </c>
      <c r="K2508" s="817"/>
      <c r="L2508" s="817"/>
    </row>
    <row r="2509" spans="1:12" ht="36" customHeight="1">
      <c r="A2509" s="626" t="s">
        <v>12709</v>
      </c>
      <c r="B2509" s="627" t="s">
        <v>13051</v>
      </c>
      <c r="C2509" s="626" t="s">
        <v>8</v>
      </c>
      <c r="D2509" s="626" t="s">
        <v>9376</v>
      </c>
      <c r="E2509" s="628" t="s">
        <v>23</v>
      </c>
      <c r="F2509" s="816" t="s">
        <v>13691</v>
      </c>
      <c r="G2509" s="816"/>
      <c r="H2509" s="816">
        <v>0.47884369999999998</v>
      </c>
      <c r="I2509" s="816"/>
      <c r="J2509" s="817">
        <v>0.2394</v>
      </c>
      <c r="K2509" s="817"/>
      <c r="L2509" s="817"/>
    </row>
    <row r="2510" spans="1:12" ht="24" customHeight="1">
      <c r="A2510" s="626" t="s">
        <v>12709</v>
      </c>
      <c r="B2510" s="627" t="s">
        <v>13048</v>
      </c>
      <c r="C2510" s="626" t="s">
        <v>8</v>
      </c>
      <c r="D2510" s="626" t="s">
        <v>9233</v>
      </c>
      <c r="E2510" s="628" t="s">
        <v>23</v>
      </c>
      <c r="F2510" s="816" t="s">
        <v>13690</v>
      </c>
      <c r="G2510" s="816"/>
      <c r="H2510" s="816">
        <v>0.23942189999999999</v>
      </c>
      <c r="I2510" s="816"/>
      <c r="J2510" s="817">
        <v>0.2442</v>
      </c>
      <c r="K2510" s="817"/>
      <c r="L2510" s="817"/>
    </row>
    <row r="2511" spans="1:12" ht="24" customHeight="1">
      <c r="A2511" s="626" t="s">
        <v>12709</v>
      </c>
      <c r="B2511" s="627" t="s">
        <v>13047</v>
      </c>
      <c r="C2511" s="626" t="s">
        <v>8</v>
      </c>
      <c r="D2511" s="626" t="s">
        <v>9380</v>
      </c>
      <c r="E2511" s="628" t="s">
        <v>23</v>
      </c>
      <c r="F2511" s="816" t="s">
        <v>13689</v>
      </c>
      <c r="G2511" s="816"/>
      <c r="H2511" s="816">
        <v>0.23942189999999999</v>
      </c>
      <c r="I2511" s="816"/>
      <c r="J2511" s="817">
        <v>9.0999999999999998E-2</v>
      </c>
      <c r="K2511" s="817"/>
      <c r="L2511" s="817"/>
    </row>
    <row r="2512" spans="1:12" ht="24" customHeight="1">
      <c r="A2512" s="636"/>
      <c r="B2512" s="636"/>
      <c r="C2512" s="636"/>
      <c r="D2512" s="636"/>
      <c r="E2512" s="636"/>
      <c r="F2512" s="636"/>
      <c r="G2512" s="636"/>
      <c r="H2512" s="636"/>
      <c r="I2512" s="636"/>
      <c r="J2512" s="636" t="s">
        <v>13675</v>
      </c>
      <c r="K2512" s="636"/>
      <c r="L2512" s="636" t="s">
        <v>13741</v>
      </c>
    </row>
    <row r="2513" spans="1:12" ht="24" customHeight="1">
      <c r="A2513" s="802" t="s">
        <v>12710</v>
      </c>
      <c r="B2513" s="802"/>
      <c r="C2513" s="802"/>
      <c r="D2513" s="802"/>
      <c r="E2513" s="802"/>
      <c r="F2513" s="802"/>
      <c r="G2513" s="802"/>
      <c r="H2513" s="802"/>
      <c r="I2513" s="612"/>
      <c r="J2513" s="612"/>
      <c r="K2513" s="612"/>
      <c r="L2513" s="612"/>
    </row>
    <row r="2514" spans="1:12" ht="17.100000000000001" customHeight="1">
      <c r="A2514" s="612" t="s">
        <v>13679</v>
      </c>
      <c r="B2514" s="636" t="s">
        <v>12698</v>
      </c>
      <c r="C2514" s="612" t="s">
        <v>12699</v>
      </c>
      <c r="D2514" s="612" t="s">
        <v>12700</v>
      </c>
      <c r="E2514" s="637" t="s">
        <v>12702</v>
      </c>
      <c r="F2514" s="801" t="s">
        <v>12704</v>
      </c>
      <c r="G2514" s="801"/>
      <c r="H2514" s="801" t="s">
        <v>13678</v>
      </c>
      <c r="I2514" s="801"/>
      <c r="J2514" s="801" t="s">
        <v>12705</v>
      </c>
      <c r="K2514" s="801"/>
      <c r="L2514" s="801"/>
    </row>
    <row r="2515" spans="1:12" ht="14.25" customHeight="1">
      <c r="A2515" s="626" t="s">
        <v>12709</v>
      </c>
      <c r="B2515" s="627" t="s">
        <v>13116</v>
      </c>
      <c r="C2515" s="626" t="s">
        <v>8</v>
      </c>
      <c r="D2515" s="626" t="s">
        <v>10556</v>
      </c>
      <c r="E2515" s="628" t="s">
        <v>23</v>
      </c>
      <c r="F2515" s="816" t="s">
        <v>13770</v>
      </c>
      <c r="G2515" s="816"/>
      <c r="H2515" s="816">
        <v>4.6985199999999998E-2</v>
      </c>
      <c r="I2515" s="816"/>
      <c r="J2515" s="817">
        <v>0.22409999999999999</v>
      </c>
      <c r="K2515" s="817"/>
      <c r="L2515" s="817"/>
    </row>
    <row r="2516" spans="1:12" ht="17.100000000000001" customHeight="1">
      <c r="A2516" s="626" t="s">
        <v>12709</v>
      </c>
      <c r="B2516" s="627" t="s">
        <v>13099</v>
      </c>
      <c r="C2516" s="626" t="s">
        <v>8</v>
      </c>
      <c r="D2516" s="626" t="s">
        <v>10726</v>
      </c>
      <c r="E2516" s="628" t="s">
        <v>23</v>
      </c>
      <c r="F2516" s="816" t="s">
        <v>14470</v>
      </c>
      <c r="G2516" s="816"/>
      <c r="H2516" s="816">
        <v>0.48616409999999999</v>
      </c>
      <c r="I2516" s="816"/>
      <c r="J2516" s="817">
        <v>3.3593999999999999</v>
      </c>
      <c r="K2516" s="817"/>
      <c r="L2516" s="817"/>
    </row>
    <row r="2517" spans="1:12" ht="24" customHeight="1">
      <c r="A2517" s="626" t="s">
        <v>12709</v>
      </c>
      <c r="B2517" s="627" t="s">
        <v>13046</v>
      </c>
      <c r="C2517" s="626" t="s">
        <v>8</v>
      </c>
      <c r="D2517" s="626" t="s">
        <v>11281</v>
      </c>
      <c r="E2517" s="628" t="s">
        <v>23</v>
      </c>
      <c r="F2517" s="816" t="s">
        <v>13731</v>
      </c>
      <c r="G2517" s="816"/>
      <c r="H2517" s="816">
        <v>0.24308199999999999</v>
      </c>
      <c r="I2517" s="816"/>
      <c r="J2517" s="817">
        <v>1.2494000000000001</v>
      </c>
      <c r="K2517" s="817"/>
      <c r="L2517" s="817"/>
    </row>
    <row r="2518" spans="1:12" ht="24" customHeight="1">
      <c r="A2518" s="636"/>
      <c r="B2518" s="636"/>
      <c r="C2518" s="636"/>
      <c r="D2518" s="636"/>
      <c r="E2518" s="636"/>
      <c r="F2518" s="636"/>
      <c r="G2518" s="636"/>
      <c r="H2518" s="636"/>
      <c r="I2518" s="636"/>
      <c r="J2518" s="636" t="s">
        <v>13675</v>
      </c>
      <c r="K2518" s="636"/>
      <c r="L2518" s="636" t="s">
        <v>13754</v>
      </c>
    </row>
    <row r="2519" spans="1:12" ht="24" customHeight="1">
      <c r="A2519" s="802" t="s">
        <v>12720</v>
      </c>
      <c r="B2519" s="802"/>
      <c r="C2519" s="802"/>
      <c r="D2519" s="802"/>
      <c r="E2519" s="802"/>
      <c r="F2519" s="802"/>
      <c r="G2519" s="802"/>
      <c r="H2519" s="802"/>
      <c r="I2519" s="612"/>
      <c r="J2519" s="612"/>
      <c r="K2519" s="612"/>
      <c r="L2519" s="612"/>
    </row>
    <row r="2520" spans="1:12" ht="17.100000000000001" customHeight="1">
      <c r="A2520" s="612" t="s">
        <v>13679</v>
      </c>
      <c r="B2520" s="636" t="s">
        <v>12698</v>
      </c>
      <c r="C2520" s="612" t="s">
        <v>12699</v>
      </c>
      <c r="D2520" s="612" t="s">
        <v>12700</v>
      </c>
      <c r="E2520" s="637" t="s">
        <v>12702</v>
      </c>
      <c r="F2520" s="801" t="s">
        <v>12704</v>
      </c>
      <c r="G2520" s="801"/>
      <c r="H2520" s="801" t="s">
        <v>13678</v>
      </c>
      <c r="I2520" s="801"/>
      <c r="J2520" s="801" t="s">
        <v>12705</v>
      </c>
      <c r="K2520" s="801"/>
      <c r="L2520" s="801"/>
    </row>
    <row r="2521" spans="1:12" ht="25.5">
      <c r="A2521" s="626" t="s">
        <v>12709</v>
      </c>
      <c r="B2521" s="627" t="s">
        <v>13608</v>
      </c>
      <c r="C2521" s="626" t="s">
        <v>8</v>
      </c>
      <c r="D2521" s="626" t="s">
        <v>7694</v>
      </c>
      <c r="E2521" s="628" t="s">
        <v>35</v>
      </c>
      <c r="F2521" s="816" t="s">
        <v>13853</v>
      </c>
      <c r="G2521" s="816"/>
      <c r="H2521" s="816">
        <v>13.35</v>
      </c>
      <c r="I2521" s="816"/>
      <c r="J2521" s="817">
        <v>18.690000000000001</v>
      </c>
      <c r="K2521" s="817"/>
      <c r="L2521" s="817"/>
    </row>
    <row r="2522" spans="1:12" ht="17.100000000000001" customHeight="1">
      <c r="A2522" s="626" t="s">
        <v>12709</v>
      </c>
      <c r="B2522" s="627" t="s">
        <v>13607</v>
      </c>
      <c r="C2522" s="626" t="s">
        <v>8</v>
      </c>
      <c r="D2522" s="626" t="s">
        <v>10792</v>
      </c>
      <c r="E2522" s="628" t="s">
        <v>12777</v>
      </c>
      <c r="F2522" s="816" t="s">
        <v>14710</v>
      </c>
      <c r="G2522" s="816"/>
      <c r="H2522" s="816">
        <v>5.0000000000000001E-3</v>
      </c>
      <c r="I2522" s="816"/>
      <c r="J2522" s="817">
        <v>0.16</v>
      </c>
      <c r="K2522" s="817"/>
      <c r="L2522" s="817"/>
    </row>
    <row r="2523" spans="1:12" ht="24" customHeight="1">
      <c r="A2523" s="626" t="s">
        <v>12709</v>
      </c>
      <c r="B2523" s="627" t="s">
        <v>13606</v>
      </c>
      <c r="C2523" s="626" t="s">
        <v>8</v>
      </c>
      <c r="D2523" s="626" t="s">
        <v>11651</v>
      </c>
      <c r="E2523" s="628" t="s">
        <v>17</v>
      </c>
      <c r="F2523" s="816" t="s">
        <v>13711</v>
      </c>
      <c r="G2523" s="816"/>
      <c r="H2523" s="816">
        <v>0.42</v>
      </c>
      <c r="I2523" s="816"/>
      <c r="J2523" s="817">
        <v>0.74</v>
      </c>
      <c r="K2523" s="817"/>
      <c r="L2523" s="817"/>
    </row>
    <row r="2524" spans="1:12" ht="24" customHeight="1">
      <c r="A2524" s="626" t="s">
        <v>12709</v>
      </c>
      <c r="B2524" s="627" t="s">
        <v>13250</v>
      </c>
      <c r="C2524" s="626" t="s">
        <v>8</v>
      </c>
      <c r="D2524" s="626" t="s">
        <v>7526</v>
      </c>
      <c r="E2524" s="628" t="s">
        <v>12730</v>
      </c>
      <c r="F2524" s="816" t="s">
        <v>13747</v>
      </c>
      <c r="G2524" s="816"/>
      <c r="H2524" s="816">
        <v>1.2034899999999999E-2</v>
      </c>
      <c r="I2524" s="816"/>
      <c r="J2524" s="817">
        <v>0.75219999999999998</v>
      </c>
      <c r="K2524" s="817"/>
      <c r="L2524" s="817"/>
    </row>
    <row r="2525" spans="1:12" ht="36" customHeight="1">
      <c r="A2525" s="626" t="s">
        <v>12709</v>
      </c>
      <c r="B2525" s="627" t="s">
        <v>13249</v>
      </c>
      <c r="C2525" s="626" t="s">
        <v>8</v>
      </c>
      <c r="D2525" s="626" t="s">
        <v>8420</v>
      </c>
      <c r="E2525" s="628" t="s">
        <v>20</v>
      </c>
      <c r="F2525" s="816" t="s">
        <v>13700</v>
      </c>
      <c r="G2525" s="816"/>
      <c r="H2525" s="816">
        <v>2.0320372</v>
      </c>
      <c r="I2525" s="816"/>
      <c r="J2525" s="817">
        <v>0.99570000000000003</v>
      </c>
      <c r="K2525" s="817"/>
      <c r="L2525" s="817"/>
    </row>
    <row r="2526" spans="1:12" ht="24" customHeight="1">
      <c r="A2526" s="626" t="s">
        <v>12709</v>
      </c>
      <c r="B2526" s="627" t="s">
        <v>13319</v>
      </c>
      <c r="C2526" s="626" t="s">
        <v>8</v>
      </c>
      <c r="D2526" s="626" t="s">
        <v>8160</v>
      </c>
      <c r="E2526" s="628" t="s">
        <v>20</v>
      </c>
      <c r="F2526" s="816" t="s">
        <v>13729</v>
      </c>
      <c r="G2526" s="816"/>
      <c r="H2526" s="816">
        <v>1.8062783</v>
      </c>
      <c r="I2526" s="816"/>
      <c r="J2526" s="817">
        <v>1.1198999999999999</v>
      </c>
      <c r="K2526" s="817"/>
      <c r="L2526" s="817"/>
    </row>
    <row r="2527" spans="1:12" ht="24" customHeight="1">
      <c r="A2527" s="626" t="s">
        <v>12709</v>
      </c>
      <c r="B2527" s="627" t="s">
        <v>12987</v>
      </c>
      <c r="C2527" s="626" t="s">
        <v>8</v>
      </c>
      <c r="D2527" s="626" t="s">
        <v>9192</v>
      </c>
      <c r="E2527" s="628" t="s">
        <v>12923</v>
      </c>
      <c r="F2527" s="816" t="s">
        <v>13999</v>
      </c>
      <c r="G2527" s="816"/>
      <c r="H2527" s="816">
        <v>1.36171E-2</v>
      </c>
      <c r="I2527" s="816"/>
      <c r="J2527" s="817">
        <v>1.0999999999999999E-2</v>
      </c>
      <c r="K2527" s="817"/>
      <c r="L2527" s="817"/>
    </row>
    <row r="2528" spans="1:12" ht="17.100000000000001" customHeight="1">
      <c r="A2528" s="636"/>
      <c r="B2528" s="636"/>
      <c r="C2528" s="636"/>
      <c r="D2528" s="636"/>
      <c r="E2528" s="636"/>
      <c r="F2528" s="636"/>
      <c r="G2528" s="636"/>
      <c r="H2528" s="636"/>
      <c r="I2528" s="636"/>
      <c r="J2528" s="636" t="s">
        <v>13675</v>
      </c>
      <c r="K2528" s="636"/>
      <c r="L2528" s="636" t="s">
        <v>14709</v>
      </c>
    </row>
    <row r="2529" spans="1:12">
      <c r="A2529" s="802" t="s">
        <v>12722</v>
      </c>
      <c r="B2529" s="802"/>
      <c r="C2529" s="802"/>
      <c r="D2529" s="802"/>
      <c r="E2529" s="802"/>
      <c r="F2529" s="802"/>
      <c r="G2529" s="802"/>
      <c r="H2529" s="802"/>
      <c r="I2529" s="612"/>
      <c r="J2529" s="612"/>
      <c r="K2529" s="612"/>
      <c r="L2529" s="612"/>
    </row>
    <row r="2530" spans="1:12" ht="17.100000000000001" customHeight="1">
      <c r="A2530" s="612" t="s">
        <v>13679</v>
      </c>
      <c r="B2530" s="636" t="s">
        <v>12698</v>
      </c>
      <c r="C2530" s="612" t="s">
        <v>12699</v>
      </c>
      <c r="D2530" s="612" t="s">
        <v>12700</v>
      </c>
      <c r="E2530" s="637" t="s">
        <v>12702</v>
      </c>
      <c r="F2530" s="801" t="s">
        <v>12704</v>
      </c>
      <c r="G2530" s="801"/>
      <c r="H2530" s="801" t="s">
        <v>13678</v>
      </c>
      <c r="I2530" s="801"/>
      <c r="J2530" s="801" t="s">
        <v>12705</v>
      </c>
      <c r="K2530" s="801"/>
      <c r="L2530" s="801"/>
    </row>
    <row r="2531" spans="1:12" ht="24" customHeight="1">
      <c r="A2531" s="626" t="s">
        <v>12709</v>
      </c>
      <c r="B2531" s="627" t="s">
        <v>12998</v>
      </c>
      <c r="C2531" s="626" t="s">
        <v>8</v>
      </c>
      <c r="D2531" s="626" t="s">
        <v>11861</v>
      </c>
      <c r="E2531" s="628" t="s">
        <v>23</v>
      </c>
      <c r="F2531" s="816" t="s">
        <v>13683</v>
      </c>
      <c r="G2531" s="816"/>
      <c r="H2531" s="816">
        <v>0.76495290000000005</v>
      </c>
      <c r="I2531" s="816"/>
      <c r="J2531" s="817">
        <v>0.54310000000000003</v>
      </c>
      <c r="K2531" s="817"/>
      <c r="L2531" s="817"/>
    </row>
    <row r="2532" spans="1:12" ht="17.100000000000001" customHeight="1">
      <c r="A2532" s="636"/>
      <c r="B2532" s="636"/>
      <c r="C2532" s="636"/>
      <c r="D2532" s="636"/>
      <c r="E2532" s="636"/>
      <c r="F2532" s="636"/>
      <c r="G2532" s="636"/>
      <c r="H2532" s="636"/>
      <c r="I2532" s="636"/>
      <c r="J2532" s="636" t="s">
        <v>13675</v>
      </c>
      <c r="K2532" s="636"/>
      <c r="L2532" s="636" t="s">
        <v>13872</v>
      </c>
    </row>
    <row r="2533" spans="1:12">
      <c r="A2533" s="802" t="s">
        <v>12713</v>
      </c>
      <c r="B2533" s="802"/>
      <c r="C2533" s="802"/>
      <c r="D2533" s="802"/>
      <c r="E2533" s="802"/>
      <c r="F2533" s="802"/>
      <c r="G2533" s="802"/>
      <c r="H2533" s="802"/>
      <c r="I2533" s="612"/>
      <c r="J2533" s="612"/>
      <c r="K2533" s="612"/>
      <c r="L2533" s="612"/>
    </row>
    <row r="2534" spans="1:12" ht="17.100000000000001" customHeight="1">
      <c r="A2534" s="612" t="s">
        <v>13679</v>
      </c>
      <c r="B2534" s="636" t="s">
        <v>12698</v>
      </c>
      <c r="C2534" s="612" t="s">
        <v>12699</v>
      </c>
      <c r="D2534" s="612" t="s">
        <v>12700</v>
      </c>
      <c r="E2534" s="637" t="s">
        <v>12702</v>
      </c>
      <c r="F2534" s="801" t="s">
        <v>12704</v>
      </c>
      <c r="G2534" s="801"/>
      <c r="H2534" s="801" t="s">
        <v>13678</v>
      </c>
      <c r="I2534" s="801"/>
      <c r="J2534" s="801" t="s">
        <v>12705</v>
      </c>
      <c r="K2534" s="801"/>
      <c r="L2534" s="801"/>
    </row>
    <row r="2535" spans="1:12" ht="24" customHeight="1">
      <c r="A2535" s="626" t="s">
        <v>12709</v>
      </c>
      <c r="B2535" s="627" t="s">
        <v>12999</v>
      </c>
      <c r="C2535" s="626" t="s">
        <v>8</v>
      </c>
      <c r="D2535" s="626" t="s">
        <v>11251</v>
      </c>
      <c r="E2535" s="628" t="s">
        <v>23</v>
      </c>
      <c r="F2535" s="816" t="s">
        <v>13681</v>
      </c>
      <c r="G2535" s="816"/>
      <c r="H2535" s="816">
        <v>0.76495290000000005</v>
      </c>
      <c r="I2535" s="816"/>
      <c r="J2535" s="817">
        <v>5.3499999999999999E-2</v>
      </c>
      <c r="K2535" s="817"/>
      <c r="L2535" s="817"/>
    </row>
    <row r="2536" spans="1:12" ht="17.100000000000001" customHeight="1">
      <c r="A2536" s="636"/>
      <c r="B2536" s="636"/>
      <c r="C2536" s="636"/>
      <c r="D2536" s="636"/>
      <c r="E2536" s="636"/>
      <c r="F2536" s="636"/>
      <c r="G2536" s="636"/>
      <c r="H2536" s="636"/>
      <c r="I2536" s="636"/>
      <c r="J2536" s="636" t="s">
        <v>13675</v>
      </c>
      <c r="K2536" s="636"/>
      <c r="L2536" s="636" t="s">
        <v>13767</v>
      </c>
    </row>
    <row r="2537" spans="1:12">
      <c r="A2537" s="802" t="s">
        <v>12712</v>
      </c>
      <c r="B2537" s="802"/>
      <c r="C2537" s="802"/>
      <c r="D2537" s="802"/>
      <c r="E2537" s="802"/>
      <c r="F2537" s="802"/>
      <c r="G2537" s="802"/>
      <c r="H2537" s="802"/>
      <c r="I2537" s="612"/>
      <c r="J2537" s="612"/>
      <c r="K2537" s="612"/>
      <c r="L2537" s="612"/>
    </row>
    <row r="2538" spans="1:12" ht="17.100000000000001" customHeight="1">
      <c r="A2538" s="612" t="s">
        <v>13679</v>
      </c>
      <c r="B2538" s="636" t="s">
        <v>12698</v>
      </c>
      <c r="C2538" s="612" t="s">
        <v>12699</v>
      </c>
      <c r="D2538" s="612" t="s">
        <v>12700</v>
      </c>
      <c r="E2538" s="637" t="s">
        <v>12702</v>
      </c>
      <c r="F2538" s="801" t="s">
        <v>12704</v>
      </c>
      <c r="G2538" s="801"/>
      <c r="H2538" s="801" t="s">
        <v>13678</v>
      </c>
      <c r="I2538" s="801"/>
      <c r="J2538" s="801" t="s">
        <v>12705</v>
      </c>
      <c r="K2538" s="801"/>
      <c r="L2538" s="801"/>
    </row>
    <row r="2539" spans="1:12" ht="24" customHeight="1">
      <c r="A2539" s="626" t="s">
        <v>12709</v>
      </c>
      <c r="B2539" s="627" t="s">
        <v>13002</v>
      </c>
      <c r="C2539" s="626" t="s">
        <v>8</v>
      </c>
      <c r="D2539" s="626" t="s">
        <v>9306</v>
      </c>
      <c r="E2539" s="628" t="s">
        <v>23</v>
      </c>
      <c r="F2539" s="816" t="s">
        <v>13677</v>
      </c>
      <c r="G2539" s="816"/>
      <c r="H2539" s="816">
        <v>0.76495290000000005</v>
      </c>
      <c r="I2539" s="816"/>
      <c r="J2539" s="817">
        <v>0.26769999999999999</v>
      </c>
      <c r="K2539" s="817"/>
      <c r="L2539" s="817"/>
    </row>
    <row r="2540" spans="1:12" ht="24" customHeight="1">
      <c r="A2540" s="626" t="s">
        <v>12709</v>
      </c>
      <c r="B2540" s="627" t="s">
        <v>13004</v>
      </c>
      <c r="C2540" s="626" t="s">
        <v>8</v>
      </c>
      <c r="D2540" s="626" t="s">
        <v>7388</v>
      </c>
      <c r="E2540" s="628" t="s">
        <v>23</v>
      </c>
      <c r="F2540" s="816" t="s">
        <v>13676</v>
      </c>
      <c r="G2540" s="816"/>
      <c r="H2540" s="816">
        <v>0.76495290000000005</v>
      </c>
      <c r="I2540" s="816"/>
      <c r="J2540" s="817">
        <v>1.6829000000000001</v>
      </c>
      <c r="K2540" s="817"/>
      <c r="L2540" s="817"/>
    </row>
    <row r="2541" spans="1:12" ht="17.100000000000001" customHeight="1">
      <c r="A2541" s="636"/>
      <c r="B2541" s="636"/>
      <c r="C2541" s="636"/>
      <c r="D2541" s="636"/>
      <c r="E2541" s="636"/>
      <c r="F2541" s="636"/>
      <c r="G2541" s="636"/>
      <c r="H2541" s="636"/>
      <c r="I2541" s="636"/>
      <c r="J2541" s="636" t="s">
        <v>13675</v>
      </c>
      <c r="K2541" s="636"/>
      <c r="L2541" s="636" t="s">
        <v>14099</v>
      </c>
    </row>
    <row r="2542" spans="1:12" ht="17.100000000000001" customHeight="1">
      <c r="A2542" s="612" t="s">
        <v>13673</v>
      </c>
      <c r="B2542" s="612"/>
      <c r="C2542" s="612"/>
      <c r="D2542" s="612"/>
      <c r="E2542" s="612"/>
      <c r="F2542" s="612"/>
      <c r="G2542" s="612"/>
      <c r="H2542" s="612"/>
      <c r="I2542" s="612"/>
      <c r="J2542" s="612"/>
      <c r="K2542" s="612"/>
      <c r="L2542" s="612"/>
    </row>
    <row r="2543" spans="1:12" ht="17.100000000000001" customHeight="1">
      <c r="A2543" s="636"/>
      <c r="B2543" s="636"/>
      <c r="C2543" s="636"/>
      <c r="D2543" s="636"/>
      <c r="E2543" s="636"/>
      <c r="F2543" s="636"/>
      <c r="G2543" s="636"/>
      <c r="H2543" s="636"/>
      <c r="I2543" s="636"/>
      <c r="J2543" s="636" t="s">
        <v>13672</v>
      </c>
      <c r="K2543" s="636"/>
      <c r="L2543" s="636" t="s">
        <v>15083</v>
      </c>
    </row>
    <row r="2544" spans="1:12" ht="17.100000000000001" customHeight="1">
      <c r="A2544" s="636"/>
      <c r="B2544" s="636"/>
      <c r="C2544" s="636"/>
      <c r="D2544" s="636"/>
      <c r="E2544" s="636"/>
      <c r="F2544" s="636"/>
      <c r="G2544" s="636"/>
      <c r="H2544" s="636"/>
      <c r="I2544" s="636"/>
      <c r="J2544" s="636" t="s">
        <v>13671</v>
      </c>
      <c r="K2544" s="636" t="s">
        <v>14461</v>
      </c>
      <c r="L2544" s="636" t="s">
        <v>14939</v>
      </c>
    </row>
    <row r="2545" spans="1:12" ht="17.100000000000001" customHeight="1">
      <c r="A2545" s="636"/>
      <c r="B2545" s="636"/>
      <c r="C2545" s="636"/>
      <c r="D2545" s="636"/>
      <c r="E2545" s="636"/>
      <c r="F2545" s="636"/>
      <c r="G2545" s="636"/>
      <c r="H2545" s="636"/>
      <c r="I2545" s="636"/>
      <c r="J2545" s="636" t="s">
        <v>13670</v>
      </c>
      <c r="K2545" s="636"/>
      <c r="L2545" s="636" t="s">
        <v>15084</v>
      </c>
    </row>
    <row r="2546" spans="1:12" ht="17.100000000000001" customHeight="1">
      <c r="A2546" s="636"/>
      <c r="B2546" s="636"/>
      <c r="C2546" s="636"/>
      <c r="D2546" s="636"/>
      <c r="E2546" s="636"/>
      <c r="F2546" s="636"/>
      <c r="G2546" s="636"/>
      <c r="H2546" s="636"/>
      <c r="I2546" s="636"/>
      <c r="J2546" s="636" t="s">
        <v>13669</v>
      </c>
      <c r="K2546" s="636" t="s">
        <v>13667</v>
      </c>
      <c r="L2546" s="636" t="s">
        <v>15085</v>
      </c>
    </row>
    <row r="2547" spans="1:12" ht="17.100000000000001" customHeight="1">
      <c r="A2547" s="636"/>
      <c r="B2547" s="636"/>
      <c r="C2547" s="636"/>
      <c r="D2547" s="636"/>
      <c r="E2547" s="636"/>
      <c r="F2547" s="636"/>
      <c r="G2547" s="636"/>
      <c r="H2547" s="636"/>
      <c r="I2547" s="636"/>
      <c r="J2547" s="636" t="s">
        <v>13668</v>
      </c>
      <c r="K2547" s="636"/>
      <c r="L2547" s="636" t="s">
        <v>14922</v>
      </c>
    </row>
    <row r="2548" spans="1:12" ht="30" customHeight="1">
      <c r="A2548" s="637"/>
      <c r="B2548" s="637"/>
      <c r="C2548" s="637"/>
      <c r="D2548" s="637"/>
      <c r="E2548" s="637"/>
      <c r="F2548" s="637"/>
      <c r="G2548" s="637"/>
      <c r="H2548" s="637"/>
      <c r="I2548" s="637"/>
      <c r="J2548" s="637"/>
      <c r="K2548" s="637"/>
      <c r="L2548" s="637"/>
    </row>
    <row r="2549" spans="1:12" ht="48" customHeight="1">
      <c r="A2549" s="616" t="s">
        <v>14196</v>
      </c>
      <c r="B2549" s="617" t="s">
        <v>13605</v>
      </c>
      <c r="C2549" s="616" t="s">
        <v>8</v>
      </c>
      <c r="D2549" s="616" t="s">
        <v>2851</v>
      </c>
      <c r="E2549" s="618" t="s">
        <v>35</v>
      </c>
      <c r="F2549" s="617"/>
      <c r="G2549" s="617"/>
      <c r="H2549" s="617"/>
      <c r="I2549" s="617"/>
      <c r="J2549" s="617"/>
      <c r="K2549" s="617"/>
      <c r="L2549" s="617"/>
    </row>
    <row r="2550" spans="1:12" ht="14.25" customHeight="1">
      <c r="A2550" s="802" t="s">
        <v>12711</v>
      </c>
      <c r="B2550" s="802"/>
      <c r="C2550" s="802"/>
      <c r="D2550" s="802"/>
      <c r="E2550" s="802"/>
      <c r="F2550" s="802"/>
      <c r="G2550" s="802"/>
      <c r="H2550" s="802"/>
      <c r="I2550" s="612"/>
      <c r="J2550" s="612"/>
      <c r="K2550" s="612"/>
      <c r="L2550" s="612"/>
    </row>
    <row r="2551" spans="1:12" ht="17.100000000000001" customHeight="1">
      <c r="A2551" s="612" t="s">
        <v>13679</v>
      </c>
      <c r="B2551" s="636" t="s">
        <v>12698</v>
      </c>
      <c r="C2551" s="612" t="s">
        <v>12699</v>
      </c>
      <c r="D2551" s="612" t="s">
        <v>12700</v>
      </c>
      <c r="E2551" s="637" t="s">
        <v>12702</v>
      </c>
      <c r="F2551" s="801" t="s">
        <v>12704</v>
      </c>
      <c r="G2551" s="801"/>
      <c r="H2551" s="801" t="s">
        <v>13678</v>
      </c>
      <c r="I2551" s="801"/>
      <c r="J2551" s="801" t="s">
        <v>12705</v>
      </c>
      <c r="K2551" s="801"/>
      <c r="L2551" s="801"/>
    </row>
    <row r="2552" spans="1:12" ht="36" customHeight="1">
      <c r="A2552" s="626" t="s">
        <v>12709</v>
      </c>
      <c r="B2552" s="627" t="s">
        <v>13174</v>
      </c>
      <c r="C2552" s="626" t="s">
        <v>8</v>
      </c>
      <c r="D2552" s="626" t="s">
        <v>9589</v>
      </c>
      <c r="E2552" s="628" t="s">
        <v>35</v>
      </c>
      <c r="F2552" s="816" t="s">
        <v>14191</v>
      </c>
      <c r="G2552" s="816"/>
      <c r="H2552" s="816">
        <v>2.09E-5</v>
      </c>
      <c r="I2552" s="816"/>
      <c r="J2552" s="817">
        <v>26.5533</v>
      </c>
      <c r="K2552" s="817"/>
      <c r="L2552" s="817"/>
    </row>
    <row r="2553" spans="1:12" ht="24" customHeight="1">
      <c r="A2553" s="626" t="s">
        <v>12709</v>
      </c>
      <c r="B2553" s="627" t="s">
        <v>13003</v>
      </c>
      <c r="C2553" s="626" t="s">
        <v>8</v>
      </c>
      <c r="D2553" s="626" t="s">
        <v>9227</v>
      </c>
      <c r="E2553" s="628" t="s">
        <v>23</v>
      </c>
      <c r="F2553" s="816" t="s">
        <v>13732</v>
      </c>
      <c r="G2553" s="816"/>
      <c r="H2553" s="816">
        <v>11.0401604</v>
      </c>
      <c r="I2553" s="816"/>
      <c r="J2553" s="817">
        <v>7.2865000000000002</v>
      </c>
      <c r="K2553" s="817"/>
      <c r="L2553" s="817"/>
    </row>
    <row r="2554" spans="1:12" ht="24" customHeight="1">
      <c r="A2554" s="626" t="s">
        <v>12709</v>
      </c>
      <c r="B2554" s="627" t="s">
        <v>13001</v>
      </c>
      <c r="C2554" s="626" t="s">
        <v>8</v>
      </c>
      <c r="D2554" s="626" t="s">
        <v>9374</v>
      </c>
      <c r="E2554" s="628" t="s">
        <v>23</v>
      </c>
      <c r="F2554" s="816" t="s">
        <v>13728</v>
      </c>
      <c r="G2554" s="816"/>
      <c r="H2554" s="816">
        <v>11.0401604</v>
      </c>
      <c r="I2554" s="816"/>
      <c r="J2554" s="817">
        <v>0.1104</v>
      </c>
      <c r="K2554" s="817"/>
      <c r="L2554" s="817"/>
    </row>
    <row r="2555" spans="1:12" ht="24" customHeight="1">
      <c r="A2555" s="626" t="s">
        <v>12709</v>
      </c>
      <c r="B2555" s="627" t="s">
        <v>13048</v>
      </c>
      <c r="C2555" s="626" t="s">
        <v>8</v>
      </c>
      <c r="D2555" s="626" t="s">
        <v>9233</v>
      </c>
      <c r="E2555" s="628" t="s">
        <v>23</v>
      </c>
      <c r="F2555" s="816" t="s">
        <v>13690</v>
      </c>
      <c r="G2555" s="816"/>
      <c r="H2555" s="816">
        <v>3.2947801999999999</v>
      </c>
      <c r="I2555" s="816"/>
      <c r="J2555" s="817">
        <v>3.3607</v>
      </c>
      <c r="K2555" s="817"/>
      <c r="L2555" s="817"/>
    </row>
    <row r="2556" spans="1:12" ht="24" customHeight="1">
      <c r="A2556" s="626" t="s">
        <v>12709</v>
      </c>
      <c r="B2556" s="627" t="s">
        <v>13047</v>
      </c>
      <c r="C2556" s="626" t="s">
        <v>8</v>
      </c>
      <c r="D2556" s="626" t="s">
        <v>9380</v>
      </c>
      <c r="E2556" s="628" t="s">
        <v>23</v>
      </c>
      <c r="F2556" s="816" t="s">
        <v>13689</v>
      </c>
      <c r="G2556" s="816"/>
      <c r="H2556" s="816">
        <v>3.2947801999999999</v>
      </c>
      <c r="I2556" s="816"/>
      <c r="J2556" s="817">
        <v>1.252</v>
      </c>
      <c r="K2556" s="817"/>
      <c r="L2556" s="817"/>
    </row>
    <row r="2557" spans="1:12" ht="17.100000000000001" customHeight="1">
      <c r="A2557" s="636"/>
      <c r="B2557" s="636"/>
      <c r="C2557" s="636"/>
      <c r="D2557" s="636"/>
      <c r="E2557" s="636"/>
      <c r="F2557" s="636"/>
      <c r="G2557" s="636"/>
      <c r="H2557" s="636"/>
      <c r="I2557" s="636"/>
      <c r="J2557" s="636" t="s">
        <v>13675</v>
      </c>
      <c r="K2557" s="636"/>
      <c r="L2557" s="636" t="s">
        <v>14768</v>
      </c>
    </row>
    <row r="2558" spans="1:12" ht="14.25" customHeight="1">
      <c r="A2558" s="802" t="s">
        <v>12710</v>
      </c>
      <c r="B2558" s="802"/>
      <c r="C2558" s="802"/>
      <c r="D2558" s="802"/>
      <c r="E2558" s="802"/>
      <c r="F2558" s="802"/>
      <c r="G2558" s="802"/>
      <c r="H2558" s="802"/>
      <c r="I2558" s="612"/>
      <c r="J2558" s="612"/>
      <c r="K2558" s="612"/>
      <c r="L2558" s="612"/>
    </row>
    <row r="2559" spans="1:12" ht="17.100000000000001" customHeight="1">
      <c r="A2559" s="612" t="s">
        <v>13679</v>
      </c>
      <c r="B2559" s="636" t="s">
        <v>12698</v>
      </c>
      <c r="C2559" s="612" t="s">
        <v>12699</v>
      </c>
      <c r="D2559" s="612" t="s">
        <v>12700</v>
      </c>
      <c r="E2559" s="637" t="s">
        <v>12702</v>
      </c>
      <c r="F2559" s="801" t="s">
        <v>12704</v>
      </c>
      <c r="G2559" s="801"/>
      <c r="H2559" s="801" t="s">
        <v>13678</v>
      </c>
      <c r="I2559" s="801"/>
      <c r="J2559" s="801" t="s">
        <v>12705</v>
      </c>
      <c r="K2559" s="801"/>
      <c r="L2559" s="801"/>
    </row>
    <row r="2560" spans="1:12" ht="24" customHeight="1">
      <c r="A2560" s="626" t="s">
        <v>12709</v>
      </c>
      <c r="B2560" s="627" t="s">
        <v>13108</v>
      </c>
      <c r="C2560" s="626" t="s">
        <v>8</v>
      </c>
      <c r="D2560" s="626" t="s">
        <v>10566</v>
      </c>
      <c r="E2560" s="628" t="s">
        <v>23</v>
      </c>
      <c r="F2560" s="816" t="s">
        <v>13754</v>
      </c>
      <c r="G2560" s="816"/>
      <c r="H2560" s="816">
        <v>0.2728508</v>
      </c>
      <c r="I2560" s="816"/>
      <c r="J2560" s="817">
        <v>1.3179000000000001</v>
      </c>
      <c r="K2560" s="817"/>
      <c r="L2560" s="817"/>
    </row>
    <row r="2561" spans="1:12" ht="24" customHeight="1">
      <c r="A2561" s="626" t="s">
        <v>12709</v>
      </c>
      <c r="B2561" s="627" t="s">
        <v>13137</v>
      </c>
      <c r="C2561" s="626" t="s">
        <v>8</v>
      </c>
      <c r="D2561" s="626" t="s">
        <v>10449</v>
      </c>
      <c r="E2561" s="628" t="s">
        <v>23</v>
      </c>
      <c r="F2561" s="816" t="s">
        <v>13799</v>
      </c>
      <c r="G2561" s="816"/>
      <c r="H2561" s="816">
        <v>10.8491693</v>
      </c>
      <c r="I2561" s="816"/>
      <c r="J2561" s="817">
        <v>51.4251</v>
      </c>
      <c r="K2561" s="817"/>
      <c r="L2561" s="817"/>
    </row>
    <row r="2562" spans="1:12" ht="24" customHeight="1">
      <c r="A2562" s="626" t="s">
        <v>12709</v>
      </c>
      <c r="B2562" s="627" t="s">
        <v>13046</v>
      </c>
      <c r="C2562" s="626" t="s">
        <v>8</v>
      </c>
      <c r="D2562" s="626" t="s">
        <v>11281</v>
      </c>
      <c r="E2562" s="628" t="s">
        <v>23</v>
      </c>
      <c r="F2562" s="816" t="s">
        <v>13731</v>
      </c>
      <c r="G2562" s="816"/>
      <c r="H2562" s="816">
        <v>3.3409989000000002</v>
      </c>
      <c r="I2562" s="816"/>
      <c r="J2562" s="817">
        <v>17.172699999999999</v>
      </c>
      <c r="K2562" s="817"/>
      <c r="L2562" s="817"/>
    </row>
    <row r="2563" spans="1:12" ht="17.100000000000001" customHeight="1">
      <c r="A2563" s="636"/>
      <c r="B2563" s="636"/>
      <c r="C2563" s="636"/>
      <c r="D2563" s="636"/>
      <c r="E2563" s="636"/>
      <c r="F2563" s="636"/>
      <c r="G2563" s="636"/>
      <c r="H2563" s="636"/>
      <c r="I2563" s="636"/>
      <c r="J2563" s="636" t="s">
        <v>13675</v>
      </c>
      <c r="K2563" s="636"/>
      <c r="L2563" s="636" t="s">
        <v>14767</v>
      </c>
    </row>
    <row r="2564" spans="1:12">
      <c r="A2564" s="802" t="s">
        <v>12720</v>
      </c>
      <c r="B2564" s="802"/>
      <c r="C2564" s="802"/>
      <c r="D2564" s="802"/>
      <c r="E2564" s="802"/>
      <c r="F2564" s="802"/>
      <c r="G2564" s="802"/>
      <c r="H2564" s="802"/>
      <c r="I2564" s="612"/>
      <c r="J2564" s="612"/>
      <c r="K2564" s="612"/>
      <c r="L2564" s="612"/>
    </row>
    <row r="2565" spans="1:12" ht="17.100000000000001" customHeight="1">
      <c r="A2565" s="612" t="s">
        <v>13679</v>
      </c>
      <c r="B2565" s="636" t="s">
        <v>12698</v>
      </c>
      <c r="C2565" s="612" t="s">
        <v>12699</v>
      </c>
      <c r="D2565" s="612" t="s">
        <v>12700</v>
      </c>
      <c r="E2565" s="637" t="s">
        <v>12702</v>
      </c>
      <c r="F2565" s="801" t="s">
        <v>12704</v>
      </c>
      <c r="G2565" s="801"/>
      <c r="H2565" s="801" t="s">
        <v>13678</v>
      </c>
      <c r="I2565" s="801"/>
      <c r="J2565" s="801" t="s">
        <v>12705</v>
      </c>
      <c r="K2565" s="801"/>
      <c r="L2565" s="801"/>
    </row>
    <row r="2566" spans="1:12" ht="24" customHeight="1">
      <c r="A2566" s="626" t="s">
        <v>12709</v>
      </c>
      <c r="B2566" s="627" t="s">
        <v>13602</v>
      </c>
      <c r="C2566" s="626" t="s">
        <v>8</v>
      </c>
      <c r="D2566" s="626" t="s">
        <v>8223</v>
      </c>
      <c r="E2566" s="628" t="s">
        <v>20</v>
      </c>
      <c r="F2566" s="816" t="s">
        <v>14573</v>
      </c>
      <c r="G2566" s="816"/>
      <c r="H2566" s="816">
        <v>46.54</v>
      </c>
      <c r="I2566" s="816"/>
      <c r="J2566" s="817">
        <v>218.27</v>
      </c>
      <c r="K2566" s="817"/>
      <c r="L2566" s="817"/>
    </row>
    <row r="2567" spans="1:12" ht="24" customHeight="1">
      <c r="A2567" s="626" t="s">
        <v>12709</v>
      </c>
      <c r="B2567" s="627" t="s">
        <v>13601</v>
      </c>
      <c r="C2567" s="626" t="s">
        <v>8</v>
      </c>
      <c r="D2567" s="626" t="s">
        <v>9119</v>
      </c>
      <c r="E2567" s="628" t="s">
        <v>20</v>
      </c>
      <c r="F2567" s="816" t="s">
        <v>14540</v>
      </c>
      <c r="G2567" s="816"/>
      <c r="H2567" s="816">
        <v>0.52200000000000002</v>
      </c>
      <c r="I2567" s="816"/>
      <c r="J2567" s="817">
        <v>6.52</v>
      </c>
      <c r="K2567" s="817"/>
      <c r="L2567" s="817"/>
    </row>
    <row r="2568" spans="1:12" ht="36" customHeight="1">
      <c r="A2568" s="626" t="s">
        <v>12709</v>
      </c>
      <c r="B2568" s="627" t="s">
        <v>13600</v>
      </c>
      <c r="C2568" s="626" t="s">
        <v>8</v>
      </c>
      <c r="D2568" s="626" t="s">
        <v>10770</v>
      </c>
      <c r="E2568" s="628" t="s">
        <v>20</v>
      </c>
      <c r="F2568" s="816" t="s">
        <v>14490</v>
      </c>
      <c r="G2568" s="816"/>
      <c r="H2568" s="816">
        <v>112.86</v>
      </c>
      <c r="I2568" s="816"/>
      <c r="J2568" s="817">
        <v>557.52</v>
      </c>
      <c r="K2568" s="817"/>
      <c r="L2568" s="817"/>
    </row>
    <row r="2569" spans="1:12" ht="24" customHeight="1">
      <c r="A2569" s="626" t="s">
        <v>12709</v>
      </c>
      <c r="B2569" s="627" t="s">
        <v>13165</v>
      </c>
      <c r="C2569" s="626" t="s">
        <v>8</v>
      </c>
      <c r="D2569" s="626" t="s">
        <v>10614</v>
      </c>
      <c r="E2569" s="628" t="s">
        <v>35</v>
      </c>
      <c r="F2569" s="816" t="s">
        <v>13695</v>
      </c>
      <c r="G2569" s="816"/>
      <c r="H2569" s="816">
        <v>11.984650800000001</v>
      </c>
      <c r="I2569" s="816"/>
      <c r="J2569" s="817">
        <v>19.774699999999999</v>
      </c>
      <c r="K2569" s="817"/>
      <c r="L2569" s="817"/>
    </row>
    <row r="2570" spans="1:12" ht="24" customHeight="1">
      <c r="A2570" s="626" t="s">
        <v>12709</v>
      </c>
      <c r="B2570" s="627" t="s">
        <v>12987</v>
      </c>
      <c r="C2570" s="626" t="s">
        <v>8</v>
      </c>
      <c r="D2570" s="626" t="s">
        <v>9192</v>
      </c>
      <c r="E2570" s="628" t="s">
        <v>12923</v>
      </c>
      <c r="F2570" s="816" t="s">
        <v>13999</v>
      </c>
      <c r="G2570" s="816"/>
      <c r="H2570" s="816">
        <v>25.007272199999999</v>
      </c>
      <c r="I2570" s="816"/>
      <c r="J2570" s="817">
        <v>20.2559</v>
      </c>
      <c r="K2570" s="817"/>
      <c r="L2570" s="817"/>
    </row>
    <row r="2571" spans="1:12" ht="17.100000000000001" customHeight="1">
      <c r="A2571" s="636"/>
      <c r="B2571" s="636"/>
      <c r="C2571" s="636"/>
      <c r="D2571" s="636"/>
      <c r="E2571" s="636"/>
      <c r="F2571" s="636"/>
      <c r="G2571" s="636"/>
      <c r="H2571" s="636"/>
      <c r="I2571" s="636"/>
      <c r="J2571" s="636" t="s">
        <v>13675</v>
      </c>
      <c r="K2571" s="636"/>
      <c r="L2571" s="636" t="s">
        <v>14769</v>
      </c>
    </row>
    <row r="2572" spans="1:12">
      <c r="A2572" s="802" t="s">
        <v>12722</v>
      </c>
      <c r="B2572" s="802"/>
      <c r="C2572" s="802"/>
      <c r="D2572" s="802"/>
      <c r="E2572" s="802"/>
      <c r="F2572" s="802"/>
      <c r="G2572" s="802"/>
      <c r="H2572" s="802"/>
      <c r="I2572" s="612"/>
      <c r="J2572" s="612"/>
      <c r="K2572" s="612"/>
      <c r="L2572" s="612"/>
    </row>
    <row r="2573" spans="1:12" ht="17.100000000000001" customHeight="1">
      <c r="A2573" s="612" t="s">
        <v>13679</v>
      </c>
      <c r="B2573" s="636" t="s">
        <v>12698</v>
      </c>
      <c r="C2573" s="612" t="s">
        <v>12699</v>
      </c>
      <c r="D2573" s="612" t="s">
        <v>12700</v>
      </c>
      <c r="E2573" s="637" t="s">
        <v>12702</v>
      </c>
      <c r="F2573" s="801" t="s">
        <v>12704</v>
      </c>
      <c r="G2573" s="801"/>
      <c r="H2573" s="801" t="s">
        <v>13678</v>
      </c>
      <c r="I2573" s="801"/>
      <c r="J2573" s="801" t="s">
        <v>12705</v>
      </c>
      <c r="K2573" s="801"/>
      <c r="L2573" s="801"/>
    </row>
    <row r="2574" spans="1:12" ht="24" customHeight="1">
      <c r="A2574" s="626" t="s">
        <v>12709</v>
      </c>
      <c r="B2574" s="627" t="s">
        <v>12998</v>
      </c>
      <c r="C2574" s="626" t="s">
        <v>8</v>
      </c>
      <c r="D2574" s="626" t="s">
        <v>11861</v>
      </c>
      <c r="E2574" s="628" t="s">
        <v>23</v>
      </c>
      <c r="F2574" s="816" t="s">
        <v>13683</v>
      </c>
      <c r="G2574" s="816"/>
      <c r="H2574" s="816">
        <v>14.334940700000001</v>
      </c>
      <c r="I2574" s="816"/>
      <c r="J2574" s="817">
        <v>10.1778</v>
      </c>
      <c r="K2574" s="817"/>
      <c r="L2574" s="817"/>
    </row>
    <row r="2575" spans="1:12" ht="17.100000000000001" customHeight="1">
      <c r="A2575" s="636"/>
      <c r="B2575" s="636"/>
      <c r="C2575" s="636"/>
      <c r="D2575" s="636"/>
      <c r="E2575" s="636"/>
      <c r="F2575" s="636"/>
      <c r="G2575" s="636"/>
      <c r="H2575" s="636"/>
      <c r="I2575" s="636"/>
      <c r="J2575" s="636" t="s">
        <v>13675</v>
      </c>
      <c r="K2575" s="636"/>
      <c r="L2575" s="636" t="s">
        <v>14194</v>
      </c>
    </row>
    <row r="2576" spans="1:12">
      <c r="A2576" s="802" t="s">
        <v>12713</v>
      </c>
      <c r="B2576" s="802"/>
      <c r="C2576" s="802"/>
      <c r="D2576" s="802"/>
      <c r="E2576" s="802"/>
      <c r="F2576" s="802"/>
      <c r="G2576" s="802"/>
      <c r="H2576" s="802"/>
      <c r="I2576" s="612"/>
      <c r="J2576" s="612"/>
      <c r="K2576" s="612"/>
      <c r="L2576" s="612"/>
    </row>
    <row r="2577" spans="1:12" ht="17.100000000000001" customHeight="1">
      <c r="A2577" s="612" t="s">
        <v>13679</v>
      </c>
      <c r="B2577" s="636" t="s">
        <v>12698</v>
      </c>
      <c r="C2577" s="612" t="s">
        <v>12699</v>
      </c>
      <c r="D2577" s="612" t="s">
        <v>12700</v>
      </c>
      <c r="E2577" s="637" t="s">
        <v>12702</v>
      </c>
      <c r="F2577" s="801" t="s">
        <v>12704</v>
      </c>
      <c r="G2577" s="801"/>
      <c r="H2577" s="801" t="s">
        <v>13678</v>
      </c>
      <c r="I2577" s="801"/>
      <c r="J2577" s="801" t="s">
        <v>12705</v>
      </c>
      <c r="K2577" s="801"/>
      <c r="L2577" s="801"/>
    </row>
    <row r="2578" spans="1:12" ht="24" customHeight="1">
      <c r="A2578" s="626" t="s">
        <v>12709</v>
      </c>
      <c r="B2578" s="627" t="s">
        <v>12999</v>
      </c>
      <c r="C2578" s="626" t="s">
        <v>8</v>
      </c>
      <c r="D2578" s="626" t="s">
        <v>11251</v>
      </c>
      <c r="E2578" s="628" t="s">
        <v>23</v>
      </c>
      <c r="F2578" s="816" t="s">
        <v>13681</v>
      </c>
      <c r="G2578" s="816"/>
      <c r="H2578" s="816">
        <v>14.334940700000001</v>
      </c>
      <c r="I2578" s="816"/>
      <c r="J2578" s="817">
        <v>1.0034000000000001</v>
      </c>
      <c r="K2578" s="817"/>
      <c r="L2578" s="817"/>
    </row>
    <row r="2579" spans="1:12" ht="17.100000000000001" customHeight="1">
      <c r="A2579" s="636"/>
      <c r="B2579" s="636"/>
      <c r="C2579" s="636"/>
      <c r="D2579" s="636"/>
      <c r="E2579" s="636"/>
      <c r="F2579" s="636"/>
      <c r="G2579" s="636"/>
      <c r="H2579" s="636"/>
      <c r="I2579" s="636"/>
      <c r="J2579" s="636" t="s">
        <v>13675</v>
      </c>
      <c r="K2579" s="636"/>
      <c r="L2579" s="636" t="s">
        <v>14193</v>
      </c>
    </row>
    <row r="2580" spans="1:12">
      <c r="A2580" s="802" t="s">
        <v>12712</v>
      </c>
      <c r="B2580" s="802"/>
      <c r="C2580" s="802"/>
      <c r="D2580" s="802"/>
      <c r="E2580" s="802"/>
      <c r="F2580" s="802"/>
      <c r="G2580" s="802"/>
      <c r="H2580" s="802"/>
      <c r="I2580" s="612"/>
      <c r="J2580" s="612"/>
      <c r="K2580" s="612"/>
      <c r="L2580" s="612"/>
    </row>
    <row r="2581" spans="1:12" ht="17.100000000000001" customHeight="1">
      <c r="A2581" s="612" t="s">
        <v>13679</v>
      </c>
      <c r="B2581" s="636" t="s">
        <v>12698</v>
      </c>
      <c r="C2581" s="612" t="s">
        <v>12699</v>
      </c>
      <c r="D2581" s="612" t="s">
        <v>12700</v>
      </c>
      <c r="E2581" s="637" t="s">
        <v>12702</v>
      </c>
      <c r="F2581" s="801" t="s">
        <v>12704</v>
      </c>
      <c r="G2581" s="801"/>
      <c r="H2581" s="801" t="s">
        <v>13678</v>
      </c>
      <c r="I2581" s="801"/>
      <c r="J2581" s="801" t="s">
        <v>12705</v>
      </c>
      <c r="K2581" s="801"/>
      <c r="L2581" s="801"/>
    </row>
    <row r="2582" spans="1:12" ht="24" customHeight="1">
      <c r="A2582" s="626" t="s">
        <v>12709</v>
      </c>
      <c r="B2582" s="627" t="s">
        <v>13002</v>
      </c>
      <c r="C2582" s="626" t="s">
        <v>8</v>
      </c>
      <c r="D2582" s="626" t="s">
        <v>9306</v>
      </c>
      <c r="E2582" s="628" t="s">
        <v>23</v>
      </c>
      <c r="F2582" s="816" t="s">
        <v>13677</v>
      </c>
      <c r="G2582" s="816"/>
      <c r="H2582" s="816">
        <v>14.334940700000001</v>
      </c>
      <c r="I2582" s="816"/>
      <c r="J2582" s="817">
        <v>5.0171999999999999</v>
      </c>
      <c r="K2582" s="817"/>
      <c r="L2582" s="817"/>
    </row>
    <row r="2583" spans="1:12" ht="24" customHeight="1">
      <c r="A2583" s="626" t="s">
        <v>12709</v>
      </c>
      <c r="B2583" s="627" t="s">
        <v>13004</v>
      </c>
      <c r="C2583" s="626" t="s">
        <v>8</v>
      </c>
      <c r="D2583" s="626" t="s">
        <v>7388</v>
      </c>
      <c r="E2583" s="628" t="s">
        <v>23</v>
      </c>
      <c r="F2583" s="816" t="s">
        <v>13676</v>
      </c>
      <c r="G2583" s="816"/>
      <c r="H2583" s="816">
        <v>14.334940700000001</v>
      </c>
      <c r="I2583" s="816"/>
      <c r="J2583" s="817">
        <v>31.536899999999999</v>
      </c>
      <c r="K2583" s="817"/>
      <c r="L2583" s="817"/>
    </row>
    <row r="2584" spans="1:12" ht="17.100000000000001" customHeight="1">
      <c r="A2584" s="636"/>
      <c r="B2584" s="636"/>
      <c r="C2584" s="636"/>
      <c r="D2584" s="636"/>
      <c r="E2584" s="636"/>
      <c r="F2584" s="636"/>
      <c r="G2584" s="636"/>
      <c r="H2584" s="636"/>
      <c r="I2584" s="636"/>
      <c r="J2584" s="636" t="s">
        <v>13675</v>
      </c>
      <c r="K2584" s="636"/>
      <c r="L2584" s="636" t="s">
        <v>14765</v>
      </c>
    </row>
    <row r="2585" spans="1:12" ht="17.100000000000001" customHeight="1">
      <c r="A2585" s="612" t="s">
        <v>13673</v>
      </c>
      <c r="B2585" s="612"/>
      <c r="C2585" s="612"/>
      <c r="D2585" s="612"/>
      <c r="E2585" s="612"/>
      <c r="F2585" s="612"/>
      <c r="G2585" s="612"/>
      <c r="H2585" s="612"/>
      <c r="I2585" s="612"/>
      <c r="J2585" s="612"/>
      <c r="K2585" s="612"/>
      <c r="L2585" s="612"/>
    </row>
    <row r="2586" spans="1:12" ht="17.100000000000001" customHeight="1">
      <c r="A2586" s="636"/>
      <c r="B2586" s="636"/>
      <c r="C2586" s="636"/>
      <c r="D2586" s="636"/>
      <c r="E2586" s="636"/>
      <c r="F2586" s="636"/>
      <c r="G2586" s="636"/>
      <c r="H2586" s="636"/>
      <c r="I2586" s="636"/>
      <c r="J2586" s="636" t="s">
        <v>13672</v>
      </c>
      <c r="K2586" s="636"/>
      <c r="L2586" s="636" t="s">
        <v>15086</v>
      </c>
    </row>
    <row r="2587" spans="1:12" ht="17.100000000000001" customHeight="1">
      <c r="A2587" s="636"/>
      <c r="B2587" s="636"/>
      <c r="C2587" s="636"/>
      <c r="D2587" s="636"/>
      <c r="E2587" s="636"/>
      <c r="F2587" s="636"/>
      <c r="G2587" s="636"/>
      <c r="H2587" s="636"/>
      <c r="I2587" s="636"/>
      <c r="J2587" s="636" t="s">
        <v>13671</v>
      </c>
      <c r="K2587" s="636" t="s">
        <v>14461</v>
      </c>
      <c r="L2587" s="636" t="s">
        <v>15087</v>
      </c>
    </row>
    <row r="2588" spans="1:12" ht="17.100000000000001" customHeight="1">
      <c r="A2588" s="636"/>
      <c r="B2588" s="636"/>
      <c r="C2588" s="636"/>
      <c r="D2588" s="636"/>
      <c r="E2588" s="636"/>
      <c r="F2588" s="636"/>
      <c r="G2588" s="636"/>
      <c r="H2588" s="636"/>
      <c r="I2588" s="636"/>
      <c r="J2588" s="636" t="s">
        <v>13670</v>
      </c>
      <c r="K2588" s="636"/>
      <c r="L2588" s="636" t="s">
        <v>15088</v>
      </c>
    </row>
    <row r="2589" spans="1:12" ht="17.100000000000001" customHeight="1">
      <c r="A2589" s="636"/>
      <c r="B2589" s="636"/>
      <c r="C2589" s="636"/>
      <c r="D2589" s="636"/>
      <c r="E2589" s="636"/>
      <c r="F2589" s="636"/>
      <c r="G2589" s="636"/>
      <c r="H2589" s="636"/>
      <c r="I2589" s="636"/>
      <c r="J2589" s="636" t="s">
        <v>13669</v>
      </c>
      <c r="K2589" s="636" t="s">
        <v>13667</v>
      </c>
      <c r="L2589" s="636" t="s">
        <v>15089</v>
      </c>
    </row>
    <row r="2590" spans="1:12" ht="17.100000000000001" customHeight="1">
      <c r="A2590" s="636"/>
      <c r="B2590" s="636"/>
      <c r="C2590" s="636"/>
      <c r="D2590" s="636"/>
      <c r="E2590" s="636"/>
      <c r="F2590" s="636"/>
      <c r="G2590" s="636"/>
      <c r="H2590" s="636"/>
      <c r="I2590" s="636"/>
      <c r="J2590" s="636" t="s">
        <v>13668</v>
      </c>
      <c r="K2590" s="636"/>
      <c r="L2590" s="636" t="s">
        <v>15090</v>
      </c>
    </row>
    <row r="2591" spans="1:12" ht="30" customHeight="1">
      <c r="A2591" s="637"/>
      <c r="B2591" s="637"/>
      <c r="C2591" s="637"/>
      <c r="D2591" s="637"/>
      <c r="E2591" s="637"/>
      <c r="F2591" s="637"/>
      <c r="G2591" s="637"/>
      <c r="H2591" s="637"/>
      <c r="I2591" s="637"/>
      <c r="J2591" s="637"/>
      <c r="K2591" s="637"/>
      <c r="L2591" s="637"/>
    </row>
    <row r="2592" spans="1:12" ht="48" customHeight="1">
      <c r="A2592" s="616" t="s">
        <v>14195</v>
      </c>
      <c r="B2592" s="617" t="s">
        <v>13604</v>
      </c>
      <c r="C2592" s="616" t="s">
        <v>8</v>
      </c>
      <c r="D2592" s="616" t="s">
        <v>2852</v>
      </c>
      <c r="E2592" s="618" t="s">
        <v>35</v>
      </c>
      <c r="F2592" s="617"/>
      <c r="G2592" s="617"/>
      <c r="H2592" s="617"/>
      <c r="I2592" s="617"/>
      <c r="J2592" s="617"/>
      <c r="K2592" s="617"/>
      <c r="L2592" s="617"/>
    </row>
    <row r="2593" spans="1:12" ht="14.25" customHeight="1">
      <c r="A2593" s="802" t="s">
        <v>12711</v>
      </c>
      <c r="B2593" s="802"/>
      <c r="C2593" s="802"/>
      <c r="D2593" s="802"/>
      <c r="E2593" s="802"/>
      <c r="F2593" s="802"/>
      <c r="G2593" s="802"/>
      <c r="H2593" s="802"/>
      <c r="I2593" s="612"/>
      <c r="J2593" s="612"/>
      <c r="K2593" s="612"/>
      <c r="L2593" s="612"/>
    </row>
    <row r="2594" spans="1:12" ht="17.100000000000001" customHeight="1">
      <c r="A2594" s="612" t="s">
        <v>13679</v>
      </c>
      <c r="B2594" s="636" t="s">
        <v>12698</v>
      </c>
      <c r="C2594" s="612" t="s">
        <v>12699</v>
      </c>
      <c r="D2594" s="612" t="s">
        <v>12700</v>
      </c>
      <c r="E2594" s="637" t="s">
        <v>12702</v>
      </c>
      <c r="F2594" s="801" t="s">
        <v>12704</v>
      </c>
      <c r="G2594" s="801"/>
      <c r="H2594" s="801" t="s">
        <v>13678</v>
      </c>
      <c r="I2594" s="801"/>
      <c r="J2594" s="801" t="s">
        <v>12705</v>
      </c>
      <c r="K2594" s="801"/>
      <c r="L2594" s="801"/>
    </row>
    <row r="2595" spans="1:12" ht="36" customHeight="1">
      <c r="A2595" s="626" t="s">
        <v>12709</v>
      </c>
      <c r="B2595" s="627" t="s">
        <v>13174</v>
      </c>
      <c r="C2595" s="626" t="s">
        <v>8</v>
      </c>
      <c r="D2595" s="626" t="s">
        <v>9589</v>
      </c>
      <c r="E2595" s="628" t="s">
        <v>35</v>
      </c>
      <c r="F2595" s="816" t="s">
        <v>14191</v>
      </c>
      <c r="G2595" s="816"/>
      <c r="H2595" s="816">
        <v>2.09E-5</v>
      </c>
      <c r="I2595" s="816"/>
      <c r="J2595" s="817">
        <v>26.5533</v>
      </c>
      <c r="K2595" s="817"/>
      <c r="L2595" s="817"/>
    </row>
    <row r="2596" spans="1:12" ht="24" customHeight="1">
      <c r="A2596" s="626" t="s">
        <v>12709</v>
      </c>
      <c r="B2596" s="627" t="s">
        <v>13003</v>
      </c>
      <c r="C2596" s="626" t="s">
        <v>8</v>
      </c>
      <c r="D2596" s="626" t="s">
        <v>9227</v>
      </c>
      <c r="E2596" s="628" t="s">
        <v>23</v>
      </c>
      <c r="F2596" s="816" t="s">
        <v>13732</v>
      </c>
      <c r="G2596" s="816"/>
      <c r="H2596" s="816">
        <v>11.0401715</v>
      </c>
      <c r="I2596" s="816"/>
      <c r="J2596" s="817">
        <v>7.2865000000000002</v>
      </c>
      <c r="K2596" s="817"/>
      <c r="L2596" s="817"/>
    </row>
    <row r="2597" spans="1:12" ht="24" customHeight="1">
      <c r="A2597" s="626" t="s">
        <v>12709</v>
      </c>
      <c r="B2597" s="627" t="s">
        <v>13001</v>
      </c>
      <c r="C2597" s="626" t="s">
        <v>8</v>
      </c>
      <c r="D2597" s="626" t="s">
        <v>9374</v>
      </c>
      <c r="E2597" s="628" t="s">
        <v>23</v>
      </c>
      <c r="F2597" s="816" t="s">
        <v>13728</v>
      </c>
      <c r="G2597" s="816"/>
      <c r="H2597" s="816">
        <v>11.0401715</v>
      </c>
      <c r="I2597" s="816"/>
      <c r="J2597" s="817">
        <v>0.1104</v>
      </c>
      <c r="K2597" s="817"/>
      <c r="L2597" s="817"/>
    </row>
    <row r="2598" spans="1:12" ht="24" customHeight="1">
      <c r="A2598" s="626" t="s">
        <v>12709</v>
      </c>
      <c r="B2598" s="627" t="s">
        <v>13048</v>
      </c>
      <c r="C2598" s="626" t="s">
        <v>8</v>
      </c>
      <c r="D2598" s="626" t="s">
        <v>9233</v>
      </c>
      <c r="E2598" s="628" t="s">
        <v>23</v>
      </c>
      <c r="F2598" s="816" t="s">
        <v>13690</v>
      </c>
      <c r="G2598" s="816"/>
      <c r="H2598" s="816">
        <v>3.2947834999999999</v>
      </c>
      <c r="I2598" s="816"/>
      <c r="J2598" s="817">
        <v>3.3607</v>
      </c>
      <c r="K2598" s="817"/>
      <c r="L2598" s="817"/>
    </row>
    <row r="2599" spans="1:12" ht="24" customHeight="1">
      <c r="A2599" s="626" t="s">
        <v>12709</v>
      </c>
      <c r="B2599" s="627" t="s">
        <v>13047</v>
      </c>
      <c r="C2599" s="626" t="s">
        <v>8</v>
      </c>
      <c r="D2599" s="626" t="s">
        <v>9380</v>
      </c>
      <c r="E2599" s="628" t="s">
        <v>23</v>
      </c>
      <c r="F2599" s="816" t="s">
        <v>13689</v>
      </c>
      <c r="G2599" s="816"/>
      <c r="H2599" s="816">
        <v>3.2947834999999999</v>
      </c>
      <c r="I2599" s="816"/>
      <c r="J2599" s="817">
        <v>1.252</v>
      </c>
      <c r="K2599" s="817"/>
      <c r="L2599" s="817"/>
    </row>
    <row r="2600" spans="1:12" ht="17.100000000000001" customHeight="1">
      <c r="A2600" s="636"/>
      <c r="B2600" s="636"/>
      <c r="C2600" s="636"/>
      <c r="D2600" s="636"/>
      <c r="E2600" s="636"/>
      <c r="F2600" s="636"/>
      <c r="G2600" s="636"/>
      <c r="H2600" s="636"/>
      <c r="I2600" s="636"/>
      <c r="J2600" s="636" t="s">
        <v>13675</v>
      </c>
      <c r="K2600" s="636"/>
      <c r="L2600" s="636" t="s">
        <v>14768</v>
      </c>
    </row>
    <row r="2601" spans="1:12" ht="14.25" customHeight="1">
      <c r="A2601" s="802" t="s">
        <v>12710</v>
      </c>
      <c r="B2601" s="802"/>
      <c r="C2601" s="802"/>
      <c r="D2601" s="802"/>
      <c r="E2601" s="802"/>
      <c r="F2601" s="802"/>
      <c r="G2601" s="802"/>
      <c r="H2601" s="802"/>
      <c r="I2601" s="612"/>
      <c r="J2601" s="612"/>
      <c r="K2601" s="612"/>
      <c r="L2601" s="612"/>
    </row>
    <row r="2602" spans="1:12" ht="17.100000000000001" customHeight="1">
      <c r="A2602" s="612" t="s">
        <v>13679</v>
      </c>
      <c r="B2602" s="636" t="s">
        <v>12698</v>
      </c>
      <c r="C2602" s="612" t="s">
        <v>12699</v>
      </c>
      <c r="D2602" s="612" t="s">
        <v>12700</v>
      </c>
      <c r="E2602" s="637" t="s">
        <v>12702</v>
      </c>
      <c r="F2602" s="801" t="s">
        <v>12704</v>
      </c>
      <c r="G2602" s="801"/>
      <c r="H2602" s="801" t="s">
        <v>13678</v>
      </c>
      <c r="I2602" s="801"/>
      <c r="J2602" s="801" t="s">
        <v>12705</v>
      </c>
      <c r="K2602" s="801"/>
      <c r="L2602" s="801"/>
    </row>
    <row r="2603" spans="1:12" ht="24" customHeight="1">
      <c r="A2603" s="626" t="s">
        <v>12709</v>
      </c>
      <c r="B2603" s="627" t="s">
        <v>13108</v>
      </c>
      <c r="C2603" s="626" t="s">
        <v>8</v>
      </c>
      <c r="D2603" s="626" t="s">
        <v>10566</v>
      </c>
      <c r="E2603" s="628" t="s">
        <v>23</v>
      </c>
      <c r="F2603" s="816" t="s">
        <v>13754</v>
      </c>
      <c r="G2603" s="816"/>
      <c r="H2603" s="816">
        <v>0.2728508</v>
      </c>
      <c r="I2603" s="816"/>
      <c r="J2603" s="817">
        <v>1.3179000000000001</v>
      </c>
      <c r="K2603" s="817"/>
      <c r="L2603" s="817"/>
    </row>
    <row r="2604" spans="1:12" ht="24" customHeight="1">
      <c r="A2604" s="626" t="s">
        <v>12709</v>
      </c>
      <c r="B2604" s="627" t="s">
        <v>13137</v>
      </c>
      <c r="C2604" s="626" t="s">
        <v>8</v>
      </c>
      <c r="D2604" s="626" t="s">
        <v>10449</v>
      </c>
      <c r="E2604" s="628" t="s">
        <v>23</v>
      </c>
      <c r="F2604" s="816" t="s">
        <v>13799</v>
      </c>
      <c r="G2604" s="816"/>
      <c r="H2604" s="816">
        <v>10.8491693</v>
      </c>
      <c r="I2604" s="816"/>
      <c r="J2604" s="817">
        <v>51.4251</v>
      </c>
      <c r="K2604" s="817"/>
      <c r="L2604" s="817"/>
    </row>
    <row r="2605" spans="1:12" ht="24" customHeight="1">
      <c r="A2605" s="626" t="s">
        <v>12709</v>
      </c>
      <c r="B2605" s="627" t="s">
        <v>13046</v>
      </c>
      <c r="C2605" s="626" t="s">
        <v>8</v>
      </c>
      <c r="D2605" s="626" t="s">
        <v>11281</v>
      </c>
      <c r="E2605" s="628" t="s">
        <v>23</v>
      </c>
      <c r="F2605" s="816" t="s">
        <v>13731</v>
      </c>
      <c r="G2605" s="816"/>
      <c r="H2605" s="816">
        <v>3.3409989000000002</v>
      </c>
      <c r="I2605" s="816"/>
      <c r="J2605" s="817">
        <v>17.172699999999999</v>
      </c>
      <c r="K2605" s="817"/>
      <c r="L2605" s="817"/>
    </row>
    <row r="2606" spans="1:12" ht="17.100000000000001" customHeight="1">
      <c r="A2606" s="636"/>
      <c r="B2606" s="636"/>
      <c r="C2606" s="636"/>
      <c r="D2606" s="636"/>
      <c r="E2606" s="636"/>
      <c r="F2606" s="636"/>
      <c r="G2606" s="636"/>
      <c r="H2606" s="636"/>
      <c r="I2606" s="636"/>
      <c r="J2606" s="636" t="s">
        <v>13675</v>
      </c>
      <c r="K2606" s="636"/>
      <c r="L2606" s="636" t="s">
        <v>14767</v>
      </c>
    </row>
    <row r="2607" spans="1:12">
      <c r="A2607" s="802" t="s">
        <v>12720</v>
      </c>
      <c r="B2607" s="802"/>
      <c r="C2607" s="802"/>
      <c r="D2607" s="802"/>
      <c r="E2607" s="802"/>
      <c r="F2607" s="802"/>
      <c r="G2607" s="802"/>
      <c r="H2607" s="802"/>
      <c r="I2607" s="612"/>
      <c r="J2607" s="612"/>
      <c r="K2607" s="612"/>
      <c r="L2607" s="612"/>
    </row>
    <row r="2608" spans="1:12" ht="17.100000000000001" customHeight="1">
      <c r="A2608" s="612" t="s">
        <v>13679</v>
      </c>
      <c r="B2608" s="636" t="s">
        <v>12698</v>
      </c>
      <c r="C2608" s="612" t="s">
        <v>12699</v>
      </c>
      <c r="D2608" s="612" t="s">
        <v>12700</v>
      </c>
      <c r="E2608" s="637" t="s">
        <v>12702</v>
      </c>
      <c r="F2608" s="801" t="s">
        <v>12704</v>
      </c>
      <c r="G2608" s="801"/>
      <c r="H2608" s="801" t="s">
        <v>13678</v>
      </c>
      <c r="I2608" s="801"/>
      <c r="J2608" s="801" t="s">
        <v>12705</v>
      </c>
      <c r="K2608" s="801"/>
      <c r="L2608" s="801"/>
    </row>
    <row r="2609" spans="1:12" ht="24" customHeight="1">
      <c r="A2609" s="626" t="s">
        <v>12709</v>
      </c>
      <c r="B2609" s="627" t="s">
        <v>13602</v>
      </c>
      <c r="C2609" s="626" t="s">
        <v>8</v>
      </c>
      <c r="D2609" s="626" t="s">
        <v>8223</v>
      </c>
      <c r="E2609" s="628" t="s">
        <v>20</v>
      </c>
      <c r="F2609" s="816" t="s">
        <v>14573</v>
      </c>
      <c r="G2609" s="816"/>
      <c r="H2609" s="816">
        <v>50.2</v>
      </c>
      <c r="I2609" s="816"/>
      <c r="J2609" s="817">
        <v>235.43</v>
      </c>
      <c r="K2609" s="817"/>
      <c r="L2609" s="817"/>
    </row>
    <row r="2610" spans="1:12" ht="24" customHeight="1">
      <c r="A2610" s="626" t="s">
        <v>12709</v>
      </c>
      <c r="B2610" s="627" t="s">
        <v>13601</v>
      </c>
      <c r="C2610" s="626" t="s">
        <v>8</v>
      </c>
      <c r="D2610" s="626" t="s">
        <v>9119</v>
      </c>
      <c r="E2610" s="628" t="s">
        <v>20</v>
      </c>
      <c r="F2610" s="816" t="s">
        <v>14540</v>
      </c>
      <c r="G2610" s="816"/>
      <c r="H2610" s="816">
        <v>0.52200000000000002</v>
      </c>
      <c r="I2610" s="816"/>
      <c r="J2610" s="817">
        <v>6.52</v>
      </c>
      <c r="K2610" s="817"/>
      <c r="L2610" s="817"/>
    </row>
    <row r="2611" spans="1:12" ht="36" customHeight="1">
      <c r="A2611" s="626" t="s">
        <v>12709</v>
      </c>
      <c r="B2611" s="627" t="s">
        <v>13600</v>
      </c>
      <c r="C2611" s="626" t="s">
        <v>8</v>
      </c>
      <c r="D2611" s="626" t="s">
        <v>10770</v>
      </c>
      <c r="E2611" s="628" t="s">
        <v>20</v>
      </c>
      <c r="F2611" s="816" t="s">
        <v>14490</v>
      </c>
      <c r="G2611" s="816"/>
      <c r="H2611" s="816">
        <v>123.12</v>
      </c>
      <c r="I2611" s="816"/>
      <c r="J2611" s="817">
        <v>608.21</v>
      </c>
      <c r="K2611" s="817"/>
      <c r="L2611" s="817"/>
    </row>
    <row r="2612" spans="1:12" ht="24" customHeight="1">
      <c r="A2612" s="626" t="s">
        <v>12709</v>
      </c>
      <c r="B2612" s="627" t="s">
        <v>13165</v>
      </c>
      <c r="C2612" s="626" t="s">
        <v>8</v>
      </c>
      <c r="D2612" s="626" t="s">
        <v>10614</v>
      </c>
      <c r="E2612" s="628" t="s">
        <v>35</v>
      </c>
      <c r="F2612" s="816" t="s">
        <v>13695</v>
      </c>
      <c r="G2612" s="816"/>
      <c r="H2612" s="816">
        <v>11.984662800000001</v>
      </c>
      <c r="I2612" s="816"/>
      <c r="J2612" s="817">
        <v>19.774699999999999</v>
      </c>
      <c r="K2612" s="817"/>
      <c r="L2612" s="817"/>
    </row>
    <row r="2613" spans="1:12" ht="24" customHeight="1">
      <c r="A2613" s="626" t="s">
        <v>12709</v>
      </c>
      <c r="B2613" s="627" t="s">
        <v>12987</v>
      </c>
      <c r="C2613" s="626" t="s">
        <v>8</v>
      </c>
      <c r="D2613" s="626" t="s">
        <v>9192</v>
      </c>
      <c r="E2613" s="628" t="s">
        <v>12923</v>
      </c>
      <c r="F2613" s="816" t="s">
        <v>13999</v>
      </c>
      <c r="G2613" s="816"/>
      <c r="H2613" s="816">
        <v>25.007297300000001</v>
      </c>
      <c r="I2613" s="816"/>
      <c r="J2613" s="817">
        <v>20.2559</v>
      </c>
      <c r="K2613" s="817"/>
      <c r="L2613" s="817"/>
    </row>
    <row r="2614" spans="1:12" ht="17.100000000000001" customHeight="1">
      <c r="A2614" s="636"/>
      <c r="B2614" s="636"/>
      <c r="C2614" s="636"/>
      <c r="D2614" s="636"/>
      <c r="E2614" s="636"/>
      <c r="F2614" s="636"/>
      <c r="G2614" s="636"/>
      <c r="H2614" s="636"/>
      <c r="I2614" s="636"/>
      <c r="J2614" s="636" t="s">
        <v>13675</v>
      </c>
      <c r="K2614" s="636"/>
      <c r="L2614" s="636" t="s">
        <v>14766</v>
      </c>
    </row>
    <row r="2615" spans="1:12">
      <c r="A2615" s="802" t="s">
        <v>12722</v>
      </c>
      <c r="B2615" s="802"/>
      <c r="C2615" s="802"/>
      <c r="D2615" s="802"/>
      <c r="E2615" s="802"/>
      <c r="F2615" s="802"/>
      <c r="G2615" s="802"/>
      <c r="H2615" s="802"/>
      <c r="I2615" s="612"/>
      <c r="J2615" s="612"/>
      <c r="K2615" s="612"/>
      <c r="L2615" s="612"/>
    </row>
    <row r="2616" spans="1:12" ht="17.100000000000001" customHeight="1">
      <c r="A2616" s="612" t="s">
        <v>13679</v>
      </c>
      <c r="B2616" s="636" t="s">
        <v>12698</v>
      </c>
      <c r="C2616" s="612" t="s">
        <v>12699</v>
      </c>
      <c r="D2616" s="612" t="s">
        <v>12700</v>
      </c>
      <c r="E2616" s="637" t="s">
        <v>12702</v>
      </c>
      <c r="F2616" s="801" t="s">
        <v>12704</v>
      </c>
      <c r="G2616" s="801"/>
      <c r="H2616" s="801" t="s">
        <v>13678</v>
      </c>
      <c r="I2616" s="801"/>
      <c r="J2616" s="801" t="s">
        <v>12705</v>
      </c>
      <c r="K2616" s="801"/>
      <c r="L2616" s="801"/>
    </row>
    <row r="2617" spans="1:12" ht="24" customHeight="1">
      <c r="A2617" s="626" t="s">
        <v>12709</v>
      </c>
      <c r="B2617" s="627" t="s">
        <v>12998</v>
      </c>
      <c r="C2617" s="626" t="s">
        <v>8</v>
      </c>
      <c r="D2617" s="626" t="s">
        <v>11861</v>
      </c>
      <c r="E2617" s="628" t="s">
        <v>23</v>
      </c>
      <c r="F2617" s="816" t="s">
        <v>13683</v>
      </c>
      <c r="G2617" s="816"/>
      <c r="H2617" s="816">
        <v>14.334955000000001</v>
      </c>
      <c r="I2617" s="816"/>
      <c r="J2617" s="817">
        <v>10.1778</v>
      </c>
      <c r="K2617" s="817"/>
      <c r="L2617" s="817"/>
    </row>
    <row r="2618" spans="1:12" ht="17.100000000000001" customHeight="1">
      <c r="A2618" s="636"/>
      <c r="B2618" s="636"/>
      <c r="C2618" s="636"/>
      <c r="D2618" s="636"/>
      <c r="E2618" s="636"/>
      <c r="F2618" s="636"/>
      <c r="G2618" s="636"/>
      <c r="H2618" s="636"/>
      <c r="I2618" s="636"/>
      <c r="J2618" s="636" t="s">
        <v>13675</v>
      </c>
      <c r="K2618" s="636"/>
      <c r="L2618" s="636" t="s">
        <v>14194</v>
      </c>
    </row>
    <row r="2619" spans="1:12">
      <c r="A2619" s="802" t="s">
        <v>12713</v>
      </c>
      <c r="B2619" s="802"/>
      <c r="C2619" s="802"/>
      <c r="D2619" s="802"/>
      <c r="E2619" s="802"/>
      <c r="F2619" s="802"/>
      <c r="G2619" s="802"/>
      <c r="H2619" s="802"/>
      <c r="I2619" s="612"/>
      <c r="J2619" s="612"/>
      <c r="K2619" s="612"/>
      <c r="L2619" s="612"/>
    </row>
    <row r="2620" spans="1:12" ht="17.100000000000001" customHeight="1">
      <c r="A2620" s="612" t="s">
        <v>13679</v>
      </c>
      <c r="B2620" s="636" t="s">
        <v>12698</v>
      </c>
      <c r="C2620" s="612" t="s">
        <v>12699</v>
      </c>
      <c r="D2620" s="612" t="s">
        <v>12700</v>
      </c>
      <c r="E2620" s="637" t="s">
        <v>12702</v>
      </c>
      <c r="F2620" s="801" t="s">
        <v>12704</v>
      </c>
      <c r="G2620" s="801"/>
      <c r="H2620" s="801" t="s">
        <v>13678</v>
      </c>
      <c r="I2620" s="801"/>
      <c r="J2620" s="801" t="s">
        <v>12705</v>
      </c>
      <c r="K2620" s="801"/>
      <c r="L2620" s="801"/>
    </row>
    <row r="2621" spans="1:12" ht="24" customHeight="1">
      <c r="A2621" s="626" t="s">
        <v>12709</v>
      </c>
      <c r="B2621" s="627" t="s">
        <v>12999</v>
      </c>
      <c r="C2621" s="626" t="s">
        <v>8</v>
      </c>
      <c r="D2621" s="626" t="s">
        <v>11251</v>
      </c>
      <c r="E2621" s="628" t="s">
        <v>23</v>
      </c>
      <c r="F2621" s="816" t="s">
        <v>13681</v>
      </c>
      <c r="G2621" s="816"/>
      <c r="H2621" s="816">
        <v>14.334955000000001</v>
      </c>
      <c r="I2621" s="816"/>
      <c r="J2621" s="817">
        <v>1.0034000000000001</v>
      </c>
      <c r="K2621" s="817"/>
      <c r="L2621" s="817"/>
    </row>
    <row r="2622" spans="1:12" ht="17.100000000000001" customHeight="1">
      <c r="A2622" s="636"/>
      <c r="B2622" s="636"/>
      <c r="C2622" s="636"/>
      <c r="D2622" s="636"/>
      <c r="E2622" s="636"/>
      <c r="F2622" s="636"/>
      <c r="G2622" s="636"/>
      <c r="H2622" s="636"/>
      <c r="I2622" s="636"/>
      <c r="J2622" s="636" t="s">
        <v>13675</v>
      </c>
      <c r="K2622" s="636"/>
      <c r="L2622" s="636" t="s">
        <v>14193</v>
      </c>
    </row>
    <row r="2623" spans="1:12">
      <c r="A2623" s="802" t="s">
        <v>12712</v>
      </c>
      <c r="B2623" s="802"/>
      <c r="C2623" s="802"/>
      <c r="D2623" s="802"/>
      <c r="E2623" s="802"/>
      <c r="F2623" s="802"/>
      <c r="G2623" s="802"/>
      <c r="H2623" s="802"/>
      <c r="I2623" s="612"/>
      <c r="J2623" s="612"/>
      <c r="K2623" s="612"/>
      <c r="L2623" s="612"/>
    </row>
    <row r="2624" spans="1:12" ht="17.100000000000001" customHeight="1">
      <c r="A2624" s="612" t="s">
        <v>13679</v>
      </c>
      <c r="B2624" s="636" t="s">
        <v>12698</v>
      </c>
      <c r="C2624" s="612" t="s">
        <v>12699</v>
      </c>
      <c r="D2624" s="612" t="s">
        <v>12700</v>
      </c>
      <c r="E2624" s="637" t="s">
        <v>12702</v>
      </c>
      <c r="F2624" s="801" t="s">
        <v>12704</v>
      </c>
      <c r="G2624" s="801"/>
      <c r="H2624" s="801" t="s">
        <v>13678</v>
      </c>
      <c r="I2624" s="801"/>
      <c r="J2624" s="801" t="s">
        <v>12705</v>
      </c>
      <c r="K2624" s="801"/>
      <c r="L2624" s="801"/>
    </row>
    <row r="2625" spans="1:12" ht="24" customHeight="1">
      <c r="A2625" s="626" t="s">
        <v>12709</v>
      </c>
      <c r="B2625" s="627" t="s">
        <v>13002</v>
      </c>
      <c r="C2625" s="626" t="s">
        <v>8</v>
      </c>
      <c r="D2625" s="626" t="s">
        <v>9306</v>
      </c>
      <c r="E2625" s="628" t="s">
        <v>23</v>
      </c>
      <c r="F2625" s="816" t="s">
        <v>13677</v>
      </c>
      <c r="G2625" s="816"/>
      <c r="H2625" s="816">
        <v>14.334955000000001</v>
      </c>
      <c r="I2625" s="816"/>
      <c r="J2625" s="817">
        <v>5.0171999999999999</v>
      </c>
      <c r="K2625" s="817"/>
      <c r="L2625" s="817"/>
    </row>
    <row r="2626" spans="1:12" ht="24" customHeight="1">
      <c r="A2626" s="626" t="s">
        <v>12709</v>
      </c>
      <c r="B2626" s="627" t="s">
        <v>13004</v>
      </c>
      <c r="C2626" s="626" t="s">
        <v>8</v>
      </c>
      <c r="D2626" s="626" t="s">
        <v>7388</v>
      </c>
      <c r="E2626" s="628" t="s">
        <v>23</v>
      </c>
      <c r="F2626" s="816" t="s">
        <v>13676</v>
      </c>
      <c r="G2626" s="816"/>
      <c r="H2626" s="816">
        <v>14.334955000000001</v>
      </c>
      <c r="I2626" s="816"/>
      <c r="J2626" s="817">
        <v>31.536899999999999</v>
      </c>
      <c r="K2626" s="817"/>
      <c r="L2626" s="817"/>
    </row>
    <row r="2627" spans="1:12" ht="17.100000000000001" customHeight="1">
      <c r="A2627" s="636"/>
      <c r="B2627" s="636"/>
      <c r="C2627" s="636"/>
      <c r="D2627" s="636"/>
      <c r="E2627" s="636"/>
      <c r="F2627" s="636"/>
      <c r="G2627" s="636"/>
      <c r="H2627" s="636"/>
      <c r="I2627" s="636"/>
      <c r="J2627" s="636" t="s">
        <v>13675</v>
      </c>
      <c r="K2627" s="636"/>
      <c r="L2627" s="636" t="s">
        <v>14765</v>
      </c>
    </row>
    <row r="2628" spans="1:12" ht="17.100000000000001" customHeight="1">
      <c r="A2628" s="612" t="s">
        <v>13673</v>
      </c>
      <c r="B2628" s="612"/>
      <c r="C2628" s="612"/>
      <c r="D2628" s="612"/>
      <c r="E2628" s="612"/>
      <c r="F2628" s="612"/>
      <c r="G2628" s="612"/>
      <c r="H2628" s="612"/>
      <c r="I2628" s="612"/>
      <c r="J2628" s="612"/>
      <c r="K2628" s="612"/>
      <c r="L2628" s="612"/>
    </row>
    <row r="2629" spans="1:12" ht="17.100000000000001" customHeight="1">
      <c r="A2629" s="636"/>
      <c r="B2629" s="636"/>
      <c r="C2629" s="636"/>
      <c r="D2629" s="636"/>
      <c r="E2629" s="636"/>
      <c r="F2629" s="636"/>
      <c r="G2629" s="636"/>
      <c r="H2629" s="636"/>
      <c r="I2629" s="636"/>
      <c r="J2629" s="636" t="s">
        <v>13672</v>
      </c>
      <c r="K2629" s="636"/>
      <c r="L2629" s="636" t="s">
        <v>15091</v>
      </c>
    </row>
    <row r="2630" spans="1:12" ht="17.100000000000001" customHeight="1">
      <c r="A2630" s="636"/>
      <c r="B2630" s="636"/>
      <c r="C2630" s="636"/>
      <c r="D2630" s="636"/>
      <c r="E2630" s="636"/>
      <c r="F2630" s="636"/>
      <c r="G2630" s="636"/>
      <c r="H2630" s="636"/>
      <c r="I2630" s="636"/>
      <c r="J2630" s="636" t="s">
        <v>13671</v>
      </c>
      <c r="K2630" s="636" t="s">
        <v>14461</v>
      </c>
      <c r="L2630" s="636" t="s">
        <v>15087</v>
      </c>
    </row>
    <row r="2631" spans="1:12" ht="17.100000000000001" customHeight="1">
      <c r="A2631" s="636"/>
      <c r="B2631" s="636"/>
      <c r="C2631" s="636"/>
      <c r="D2631" s="636"/>
      <c r="E2631" s="636"/>
      <c r="F2631" s="636"/>
      <c r="G2631" s="636"/>
      <c r="H2631" s="636"/>
      <c r="I2631" s="636"/>
      <c r="J2631" s="636" t="s">
        <v>13670</v>
      </c>
      <c r="K2631" s="636"/>
      <c r="L2631" s="636" t="s">
        <v>15092</v>
      </c>
    </row>
    <row r="2632" spans="1:12" ht="17.100000000000001" customHeight="1">
      <c r="A2632" s="636"/>
      <c r="B2632" s="636"/>
      <c r="C2632" s="636"/>
      <c r="D2632" s="636"/>
      <c r="E2632" s="636"/>
      <c r="F2632" s="636"/>
      <c r="G2632" s="636"/>
      <c r="H2632" s="636"/>
      <c r="I2632" s="636"/>
      <c r="J2632" s="636" t="s">
        <v>13669</v>
      </c>
      <c r="K2632" s="636" t="s">
        <v>13667</v>
      </c>
      <c r="L2632" s="636" t="s">
        <v>15093</v>
      </c>
    </row>
    <row r="2633" spans="1:12" ht="17.100000000000001" customHeight="1">
      <c r="A2633" s="636"/>
      <c r="B2633" s="636"/>
      <c r="C2633" s="636"/>
      <c r="D2633" s="636"/>
      <c r="E2633" s="636"/>
      <c r="F2633" s="636"/>
      <c r="G2633" s="636"/>
      <c r="H2633" s="636"/>
      <c r="I2633" s="636"/>
      <c r="J2633" s="636" t="s">
        <v>13668</v>
      </c>
      <c r="K2633" s="636"/>
      <c r="L2633" s="636" t="s">
        <v>15094</v>
      </c>
    </row>
    <row r="2634" spans="1:12" ht="30" customHeight="1">
      <c r="A2634" s="637"/>
      <c r="B2634" s="637"/>
      <c r="C2634" s="637"/>
      <c r="D2634" s="637"/>
      <c r="E2634" s="637"/>
      <c r="F2634" s="637"/>
      <c r="G2634" s="637"/>
      <c r="H2634" s="637"/>
      <c r="I2634" s="637"/>
      <c r="J2634" s="637"/>
      <c r="K2634" s="637"/>
      <c r="L2634" s="637"/>
    </row>
    <row r="2635" spans="1:12" ht="48" customHeight="1">
      <c r="A2635" s="616" t="s">
        <v>14192</v>
      </c>
      <c r="B2635" s="617" t="s">
        <v>13603</v>
      </c>
      <c r="C2635" s="616" t="s">
        <v>8</v>
      </c>
      <c r="D2635" s="616" t="s">
        <v>2848</v>
      </c>
      <c r="E2635" s="618" t="s">
        <v>35</v>
      </c>
      <c r="F2635" s="617"/>
      <c r="G2635" s="617"/>
      <c r="H2635" s="617"/>
      <c r="I2635" s="617"/>
      <c r="J2635" s="617"/>
      <c r="K2635" s="617"/>
      <c r="L2635" s="617"/>
    </row>
    <row r="2636" spans="1:12" ht="14.25" customHeight="1">
      <c r="A2636" s="802" t="s">
        <v>12711</v>
      </c>
      <c r="B2636" s="802"/>
      <c r="C2636" s="802"/>
      <c r="D2636" s="802"/>
      <c r="E2636" s="802"/>
      <c r="F2636" s="802"/>
      <c r="G2636" s="802"/>
      <c r="H2636" s="802"/>
      <c r="I2636" s="612"/>
      <c r="J2636" s="612"/>
      <c r="K2636" s="612"/>
      <c r="L2636" s="612"/>
    </row>
    <row r="2637" spans="1:12" ht="17.100000000000001" customHeight="1">
      <c r="A2637" s="612" t="s">
        <v>13679</v>
      </c>
      <c r="B2637" s="636" t="s">
        <v>12698</v>
      </c>
      <c r="C2637" s="612" t="s">
        <v>12699</v>
      </c>
      <c r="D2637" s="612" t="s">
        <v>12700</v>
      </c>
      <c r="E2637" s="637" t="s">
        <v>12702</v>
      </c>
      <c r="F2637" s="801" t="s">
        <v>12704</v>
      </c>
      <c r="G2637" s="801"/>
      <c r="H2637" s="801" t="s">
        <v>13678</v>
      </c>
      <c r="I2637" s="801"/>
      <c r="J2637" s="801" t="s">
        <v>12705</v>
      </c>
      <c r="K2637" s="801"/>
      <c r="L2637" s="801"/>
    </row>
    <row r="2638" spans="1:12" ht="24" customHeight="1">
      <c r="A2638" s="626" t="s">
        <v>12709</v>
      </c>
      <c r="B2638" s="627" t="s">
        <v>13174</v>
      </c>
      <c r="C2638" s="626" t="s">
        <v>8</v>
      </c>
      <c r="D2638" s="626" t="s">
        <v>9589</v>
      </c>
      <c r="E2638" s="628" t="s">
        <v>35</v>
      </c>
      <c r="F2638" s="816" t="s">
        <v>14191</v>
      </c>
      <c r="G2638" s="816"/>
      <c r="H2638" s="816">
        <v>2.09E-5</v>
      </c>
      <c r="I2638" s="816"/>
      <c r="J2638" s="817">
        <v>26.5533</v>
      </c>
      <c r="K2638" s="817"/>
      <c r="L2638" s="817"/>
    </row>
    <row r="2639" spans="1:12" ht="24" customHeight="1">
      <c r="A2639" s="626" t="s">
        <v>12709</v>
      </c>
      <c r="B2639" s="627" t="s">
        <v>13003</v>
      </c>
      <c r="C2639" s="626" t="s">
        <v>8</v>
      </c>
      <c r="D2639" s="626" t="s">
        <v>9227</v>
      </c>
      <c r="E2639" s="628" t="s">
        <v>23</v>
      </c>
      <c r="F2639" s="816" t="s">
        <v>13732</v>
      </c>
      <c r="G2639" s="816"/>
      <c r="H2639" s="816">
        <v>6.4750300999999997</v>
      </c>
      <c r="I2639" s="816"/>
      <c r="J2639" s="817">
        <v>4.2735000000000003</v>
      </c>
      <c r="K2639" s="817"/>
      <c r="L2639" s="817"/>
    </row>
    <row r="2640" spans="1:12" ht="24" customHeight="1">
      <c r="A2640" s="626" t="s">
        <v>12709</v>
      </c>
      <c r="B2640" s="627" t="s">
        <v>13001</v>
      </c>
      <c r="C2640" s="626" t="s">
        <v>8</v>
      </c>
      <c r="D2640" s="626" t="s">
        <v>9374</v>
      </c>
      <c r="E2640" s="628" t="s">
        <v>23</v>
      </c>
      <c r="F2640" s="816" t="s">
        <v>13728</v>
      </c>
      <c r="G2640" s="816"/>
      <c r="H2640" s="816">
        <v>6.4750300999999997</v>
      </c>
      <c r="I2640" s="816"/>
      <c r="J2640" s="817">
        <v>6.4799999999999996E-2</v>
      </c>
      <c r="K2640" s="817"/>
      <c r="L2640" s="817"/>
    </row>
    <row r="2641" spans="1:12" ht="24" customHeight="1">
      <c r="A2641" s="626" t="s">
        <v>12709</v>
      </c>
      <c r="B2641" s="627" t="s">
        <v>13048</v>
      </c>
      <c r="C2641" s="626" t="s">
        <v>8</v>
      </c>
      <c r="D2641" s="626" t="s">
        <v>9233</v>
      </c>
      <c r="E2641" s="628" t="s">
        <v>23</v>
      </c>
      <c r="F2641" s="816" t="s">
        <v>13690</v>
      </c>
      <c r="G2641" s="816"/>
      <c r="H2641" s="816">
        <v>2.2414833999999999</v>
      </c>
      <c r="I2641" s="816"/>
      <c r="J2641" s="817">
        <v>2.2863000000000002</v>
      </c>
      <c r="K2641" s="817"/>
      <c r="L2641" s="817"/>
    </row>
    <row r="2642" spans="1:12" ht="24" customHeight="1">
      <c r="A2642" s="626" t="s">
        <v>12709</v>
      </c>
      <c r="B2642" s="627" t="s">
        <v>13047</v>
      </c>
      <c r="C2642" s="626" t="s">
        <v>8</v>
      </c>
      <c r="D2642" s="626" t="s">
        <v>9380</v>
      </c>
      <c r="E2642" s="628" t="s">
        <v>23</v>
      </c>
      <c r="F2642" s="816" t="s">
        <v>13689</v>
      </c>
      <c r="G2642" s="816"/>
      <c r="H2642" s="816">
        <v>2.2414833999999999</v>
      </c>
      <c r="I2642" s="816"/>
      <c r="J2642" s="817">
        <v>0.8518</v>
      </c>
      <c r="K2642" s="817"/>
      <c r="L2642" s="817"/>
    </row>
    <row r="2643" spans="1:12" ht="17.100000000000001" customHeight="1">
      <c r="A2643" s="636"/>
      <c r="B2643" s="636"/>
      <c r="C2643" s="636"/>
      <c r="D2643" s="636"/>
      <c r="E2643" s="636"/>
      <c r="F2643" s="636"/>
      <c r="G2643" s="636"/>
      <c r="H2643" s="636"/>
      <c r="I2643" s="636"/>
      <c r="J2643" s="636" t="s">
        <v>13675</v>
      </c>
      <c r="K2643" s="636"/>
      <c r="L2643" s="636" t="s">
        <v>14190</v>
      </c>
    </row>
    <row r="2644" spans="1:12" ht="14.25" customHeight="1">
      <c r="A2644" s="802" t="s">
        <v>12710</v>
      </c>
      <c r="B2644" s="802"/>
      <c r="C2644" s="802"/>
      <c r="D2644" s="802"/>
      <c r="E2644" s="802"/>
      <c r="F2644" s="802"/>
      <c r="G2644" s="802"/>
      <c r="H2644" s="802"/>
      <c r="I2644" s="612"/>
      <c r="J2644" s="612"/>
      <c r="K2644" s="612"/>
      <c r="L2644" s="612"/>
    </row>
    <row r="2645" spans="1:12" ht="17.100000000000001" customHeight="1">
      <c r="A2645" s="612" t="s">
        <v>13679</v>
      </c>
      <c r="B2645" s="636" t="s">
        <v>12698</v>
      </c>
      <c r="C2645" s="612" t="s">
        <v>12699</v>
      </c>
      <c r="D2645" s="612" t="s">
        <v>12700</v>
      </c>
      <c r="E2645" s="637" t="s">
        <v>12702</v>
      </c>
      <c r="F2645" s="801" t="s">
        <v>12704</v>
      </c>
      <c r="G2645" s="801"/>
      <c r="H2645" s="801" t="s">
        <v>13678</v>
      </c>
      <c r="I2645" s="801"/>
      <c r="J2645" s="801" t="s">
        <v>12705</v>
      </c>
      <c r="K2645" s="801"/>
      <c r="L2645" s="801"/>
    </row>
    <row r="2646" spans="1:12" ht="24" customHeight="1">
      <c r="A2646" s="626" t="s">
        <v>12709</v>
      </c>
      <c r="B2646" s="627" t="s">
        <v>13108</v>
      </c>
      <c r="C2646" s="626" t="s">
        <v>8</v>
      </c>
      <c r="D2646" s="626" t="s">
        <v>10566</v>
      </c>
      <c r="E2646" s="628" t="s">
        <v>23</v>
      </c>
      <c r="F2646" s="816" t="s">
        <v>13754</v>
      </c>
      <c r="G2646" s="816"/>
      <c r="H2646" s="816">
        <v>0.27281070000000002</v>
      </c>
      <c r="I2646" s="816"/>
      <c r="J2646" s="817">
        <v>1.3177000000000001</v>
      </c>
      <c r="K2646" s="817"/>
      <c r="L2646" s="817"/>
    </row>
    <row r="2647" spans="1:12" ht="24" customHeight="1">
      <c r="A2647" s="626" t="s">
        <v>12709</v>
      </c>
      <c r="B2647" s="627" t="s">
        <v>13137</v>
      </c>
      <c r="C2647" s="626" t="s">
        <v>8</v>
      </c>
      <c r="D2647" s="626" t="s">
        <v>10449</v>
      </c>
      <c r="E2647" s="628" t="s">
        <v>23</v>
      </c>
      <c r="F2647" s="816" t="s">
        <v>13799</v>
      </c>
      <c r="G2647" s="816"/>
      <c r="H2647" s="816">
        <v>6.2486205999999997</v>
      </c>
      <c r="I2647" s="816"/>
      <c r="J2647" s="817">
        <v>29.618500000000001</v>
      </c>
      <c r="K2647" s="817"/>
      <c r="L2647" s="817"/>
    </row>
    <row r="2648" spans="1:12" ht="24" customHeight="1">
      <c r="A2648" s="626" t="s">
        <v>12709</v>
      </c>
      <c r="B2648" s="627" t="s">
        <v>13046</v>
      </c>
      <c r="C2648" s="626" t="s">
        <v>8</v>
      </c>
      <c r="D2648" s="626" t="s">
        <v>11281</v>
      </c>
      <c r="E2648" s="628" t="s">
        <v>23</v>
      </c>
      <c r="F2648" s="816" t="s">
        <v>13731</v>
      </c>
      <c r="G2648" s="816"/>
      <c r="H2648" s="816">
        <v>2.2722335999999999</v>
      </c>
      <c r="I2648" s="816"/>
      <c r="J2648" s="817">
        <v>11.6793</v>
      </c>
      <c r="K2648" s="817"/>
      <c r="L2648" s="817"/>
    </row>
    <row r="2649" spans="1:12" ht="17.100000000000001" customHeight="1">
      <c r="A2649" s="636"/>
      <c r="B2649" s="636"/>
      <c r="C2649" s="636"/>
      <c r="D2649" s="636"/>
      <c r="E2649" s="636"/>
      <c r="F2649" s="636"/>
      <c r="G2649" s="636"/>
      <c r="H2649" s="636"/>
      <c r="I2649" s="636"/>
      <c r="J2649" s="636" t="s">
        <v>13675</v>
      </c>
      <c r="K2649" s="636"/>
      <c r="L2649" s="636" t="s">
        <v>14764</v>
      </c>
    </row>
    <row r="2650" spans="1:12">
      <c r="A2650" s="802" t="s">
        <v>12720</v>
      </c>
      <c r="B2650" s="802"/>
      <c r="C2650" s="802"/>
      <c r="D2650" s="802"/>
      <c r="E2650" s="802"/>
      <c r="F2650" s="802"/>
      <c r="G2650" s="802"/>
      <c r="H2650" s="802"/>
      <c r="I2650" s="612"/>
      <c r="J2650" s="612"/>
      <c r="K2650" s="612"/>
      <c r="L2650" s="612"/>
    </row>
    <row r="2651" spans="1:12" ht="17.100000000000001" customHeight="1">
      <c r="A2651" s="612" t="s">
        <v>13679</v>
      </c>
      <c r="B2651" s="636" t="s">
        <v>12698</v>
      </c>
      <c r="C2651" s="612" t="s">
        <v>12699</v>
      </c>
      <c r="D2651" s="612" t="s">
        <v>12700</v>
      </c>
      <c r="E2651" s="637" t="s">
        <v>12702</v>
      </c>
      <c r="F2651" s="801" t="s">
        <v>12704</v>
      </c>
      <c r="G2651" s="801"/>
      <c r="H2651" s="801" t="s">
        <v>13678</v>
      </c>
      <c r="I2651" s="801"/>
      <c r="J2651" s="801" t="s">
        <v>12705</v>
      </c>
      <c r="K2651" s="801"/>
      <c r="L2651" s="801"/>
    </row>
    <row r="2652" spans="1:12" ht="24" customHeight="1">
      <c r="A2652" s="626" t="s">
        <v>12709</v>
      </c>
      <c r="B2652" s="627" t="s">
        <v>13602</v>
      </c>
      <c r="C2652" s="626" t="s">
        <v>8</v>
      </c>
      <c r="D2652" s="626" t="s">
        <v>8223</v>
      </c>
      <c r="E2652" s="628" t="s">
        <v>20</v>
      </c>
      <c r="F2652" s="816" t="s">
        <v>14573</v>
      </c>
      <c r="G2652" s="816"/>
      <c r="H2652" s="816">
        <v>27.62</v>
      </c>
      <c r="I2652" s="816"/>
      <c r="J2652" s="817">
        <v>129.53</v>
      </c>
      <c r="K2652" s="817"/>
      <c r="L2652" s="817"/>
    </row>
    <row r="2653" spans="1:12" ht="36" customHeight="1">
      <c r="A2653" s="626" t="s">
        <v>12709</v>
      </c>
      <c r="B2653" s="627" t="s">
        <v>13601</v>
      </c>
      <c r="C2653" s="626" t="s">
        <v>8</v>
      </c>
      <c r="D2653" s="626" t="s">
        <v>9119</v>
      </c>
      <c r="E2653" s="628" t="s">
        <v>20</v>
      </c>
      <c r="F2653" s="816" t="s">
        <v>14540</v>
      </c>
      <c r="G2653" s="816"/>
      <c r="H2653" s="816">
        <v>0.378</v>
      </c>
      <c r="I2653" s="816"/>
      <c r="J2653" s="817">
        <v>4.72</v>
      </c>
      <c r="K2653" s="817"/>
      <c r="L2653" s="817"/>
    </row>
    <row r="2654" spans="1:12" ht="24" customHeight="1">
      <c r="A2654" s="626" t="s">
        <v>12709</v>
      </c>
      <c r="B2654" s="627" t="s">
        <v>13600</v>
      </c>
      <c r="C2654" s="626" t="s">
        <v>8</v>
      </c>
      <c r="D2654" s="626" t="s">
        <v>10770</v>
      </c>
      <c r="E2654" s="628" t="s">
        <v>20</v>
      </c>
      <c r="F2654" s="816" t="s">
        <v>14490</v>
      </c>
      <c r="G2654" s="816"/>
      <c r="H2654" s="816">
        <v>82.08</v>
      </c>
      <c r="I2654" s="816"/>
      <c r="J2654" s="817">
        <v>405.47</v>
      </c>
      <c r="K2654" s="817"/>
      <c r="L2654" s="817"/>
    </row>
    <row r="2655" spans="1:12" ht="17.100000000000001" customHeight="1">
      <c r="A2655" s="626" t="s">
        <v>12709</v>
      </c>
      <c r="B2655" s="627" t="s">
        <v>13165</v>
      </c>
      <c r="C2655" s="626" t="s">
        <v>8</v>
      </c>
      <c r="D2655" s="626" t="s">
        <v>10614</v>
      </c>
      <c r="E2655" s="628" t="s">
        <v>35</v>
      </c>
      <c r="F2655" s="816" t="s">
        <v>13695</v>
      </c>
      <c r="G2655" s="816"/>
      <c r="H2655" s="816">
        <v>11.986542</v>
      </c>
      <c r="I2655" s="816"/>
      <c r="J2655" s="817">
        <v>19.777799999999999</v>
      </c>
      <c r="K2655" s="817"/>
      <c r="L2655" s="817"/>
    </row>
    <row r="2656" spans="1:12" ht="25.5">
      <c r="A2656" s="626" t="s">
        <v>12709</v>
      </c>
      <c r="B2656" s="627" t="s">
        <v>12987</v>
      </c>
      <c r="C2656" s="626" t="s">
        <v>8</v>
      </c>
      <c r="D2656" s="626" t="s">
        <v>9192</v>
      </c>
      <c r="E2656" s="628" t="s">
        <v>12923</v>
      </c>
      <c r="F2656" s="816" t="s">
        <v>13999</v>
      </c>
      <c r="G2656" s="816"/>
      <c r="H2656" s="816">
        <v>25.011218400000001</v>
      </c>
      <c r="I2656" s="816"/>
      <c r="J2656" s="817">
        <v>20.2591</v>
      </c>
      <c r="K2656" s="817"/>
      <c r="L2656" s="817"/>
    </row>
    <row r="2657" spans="1:12" ht="17.100000000000001" customHeight="1">
      <c r="A2657" s="636"/>
      <c r="B2657" s="636"/>
      <c r="C2657" s="636"/>
      <c r="D2657" s="636"/>
      <c r="E2657" s="636"/>
      <c r="F2657" s="636"/>
      <c r="G2657" s="636"/>
      <c r="H2657" s="636"/>
      <c r="I2657" s="636"/>
      <c r="J2657" s="636" t="s">
        <v>13675</v>
      </c>
      <c r="K2657" s="636"/>
      <c r="L2657" s="636" t="s">
        <v>14763</v>
      </c>
    </row>
    <row r="2658" spans="1:12" ht="24" customHeight="1">
      <c r="A2658" s="802" t="s">
        <v>12722</v>
      </c>
      <c r="B2658" s="802"/>
      <c r="C2658" s="802"/>
      <c r="D2658" s="802"/>
      <c r="E2658" s="802"/>
      <c r="F2658" s="802"/>
      <c r="G2658" s="802"/>
      <c r="H2658" s="802"/>
      <c r="I2658" s="612"/>
      <c r="J2658" s="612"/>
      <c r="K2658" s="612"/>
      <c r="L2658" s="612"/>
    </row>
    <row r="2659" spans="1:12" ht="17.100000000000001" customHeight="1">
      <c r="A2659" s="612" t="s">
        <v>13679</v>
      </c>
      <c r="B2659" s="636" t="s">
        <v>12698</v>
      </c>
      <c r="C2659" s="612" t="s">
        <v>12699</v>
      </c>
      <c r="D2659" s="612" t="s">
        <v>12700</v>
      </c>
      <c r="E2659" s="637" t="s">
        <v>12702</v>
      </c>
      <c r="F2659" s="801" t="s">
        <v>12704</v>
      </c>
      <c r="G2659" s="801"/>
      <c r="H2659" s="801" t="s">
        <v>13678</v>
      </c>
      <c r="I2659" s="801"/>
      <c r="J2659" s="801" t="s">
        <v>12705</v>
      </c>
      <c r="K2659" s="801"/>
      <c r="L2659" s="801"/>
    </row>
    <row r="2660" spans="1:12" ht="25.5">
      <c r="A2660" s="626" t="s">
        <v>12709</v>
      </c>
      <c r="B2660" s="627" t="s">
        <v>12998</v>
      </c>
      <c r="C2660" s="626" t="s">
        <v>8</v>
      </c>
      <c r="D2660" s="626" t="s">
        <v>11861</v>
      </c>
      <c r="E2660" s="628" t="s">
        <v>23</v>
      </c>
      <c r="F2660" s="816" t="s">
        <v>13683</v>
      </c>
      <c r="G2660" s="816"/>
      <c r="H2660" s="816">
        <v>8.7165134999999996</v>
      </c>
      <c r="I2660" s="816"/>
      <c r="J2660" s="817">
        <v>6.1886999999999999</v>
      </c>
      <c r="K2660" s="817"/>
      <c r="L2660" s="817"/>
    </row>
    <row r="2661" spans="1:12" ht="17.100000000000001" customHeight="1">
      <c r="A2661" s="636"/>
      <c r="B2661" s="636"/>
      <c r="C2661" s="636"/>
      <c r="D2661" s="636"/>
      <c r="E2661" s="636"/>
      <c r="F2661" s="636"/>
      <c r="G2661" s="636"/>
      <c r="H2661" s="636"/>
      <c r="I2661" s="636"/>
      <c r="J2661" s="636" t="s">
        <v>13675</v>
      </c>
      <c r="K2661" s="636"/>
      <c r="L2661" s="636" t="s">
        <v>14189</v>
      </c>
    </row>
    <row r="2662" spans="1:12" ht="24" customHeight="1">
      <c r="A2662" s="802" t="s">
        <v>12713</v>
      </c>
      <c r="B2662" s="802"/>
      <c r="C2662" s="802"/>
      <c r="D2662" s="802"/>
      <c r="E2662" s="802"/>
      <c r="F2662" s="802"/>
      <c r="G2662" s="802"/>
      <c r="H2662" s="802"/>
      <c r="I2662" s="612"/>
      <c r="J2662" s="612"/>
      <c r="K2662" s="612"/>
      <c r="L2662" s="612"/>
    </row>
    <row r="2663" spans="1:12" ht="17.100000000000001" customHeight="1">
      <c r="A2663" s="612" t="s">
        <v>13679</v>
      </c>
      <c r="B2663" s="636" t="s">
        <v>12698</v>
      </c>
      <c r="C2663" s="612" t="s">
        <v>12699</v>
      </c>
      <c r="D2663" s="612" t="s">
        <v>12700</v>
      </c>
      <c r="E2663" s="637" t="s">
        <v>12702</v>
      </c>
      <c r="F2663" s="801" t="s">
        <v>12704</v>
      </c>
      <c r="G2663" s="801"/>
      <c r="H2663" s="801" t="s">
        <v>13678</v>
      </c>
      <c r="I2663" s="801"/>
      <c r="J2663" s="801" t="s">
        <v>12705</v>
      </c>
      <c r="K2663" s="801"/>
      <c r="L2663" s="801"/>
    </row>
    <row r="2664" spans="1:12" ht="25.5">
      <c r="A2664" s="626" t="s">
        <v>12709</v>
      </c>
      <c r="B2664" s="627" t="s">
        <v>12999</v>
      </c>
      <c r="C2664" s="626" t="s">
        <v>8</v>
      </c>
      <c r="D2664" s="626" t="s">
        <v>11251</v>
      </c>
      <c r="E2664" s="628" t="s">
        <v>23</v>
      </c>
      <c r="F2664" s="816" t="s">
        <v>13681</v>
      </c>
      <c r="G2664" s="816"/>
      <c r="H2664" s="816">
        <v>8.7165134999999996</v>
      </c>
      <c r="I2664" s="816"/>
      <c r="J2664" s="817">
        <v>0.61019999999999996</v>
      </c>
      <c r="K2664" s="817"/>
      <c r="L2664" s="817"/>
    </row>
    <row r="2665" spans="1:12" ht="17.100000000000001" customHeight="1">
      <c r="A2665" s="636"/>
      <c r="B2665" s="636"/>
      <c r="C2665" s="636"/>
      <c r="D2665" s="636"/>
      <c r="E2665" s="636"/>
      <c r="F2665" s="636"/>
      <c r="G2665" s="636"/>
      <c r="H2665" s="636"/>
      <c r="I2665" s="636"/>
      <c r="J2665" s="636" t="s">
        <v>13675</v>
      </c>
      <c r="K2665" s="636"/>
      <c r="L2665" s="636" t="s">
        <v>14159</v>
      </c>
    </row>
    <row r="2666" spans="1:12" ht="24" customHeight="1">
      <c r="A2666" s="802" t="s">
        <v>12712</v>
      </c>
      <c r="B2666" s="802"/>
      <c r="C2666" s="802"/>
      <c r="D2666" s="802"/>
      <c r="E2666" s="802"/>
      <c r="F2666" s="802"/>
      <c r="G2666" s="802"/>
      <c r="H2666" s="802"/>
      <c r="I2666" s="612"/>
      <c r="J2666" s="612"/>
      <c r="K2666" s="612"/>
      <c r="L2666" s="612"/>
    </row>
    <row r="2667" spans="1:12" ht="24" customHeight="1">
      <c r="A2667" s="612" t="s">
        <v>13679</v>
      </c>
      <c r="B2667" s="636" t="s">
        <v>12698</v>
      </c>
      <c r="C2667" s="612" t="s">
        <v>12699</v>
      </c>
      <c r="D2667" s="612" t="s">
        <v>12700</v>
      </c>
      <c r="E2667" s="637" t="s">
        <v>12702</v>
      </c>
      <c r="F2667" s="801" t="s">
        <v>12704</v>
      </c>
      <c r="G2667" s="801"/>
      <c r="H2667" s="801" t="s">
        <v>13678</v>
      </c>
      <c r="I2667" s="801"/>
      <c r="J2667" s="801" t="s">
        <v>12705</v>
      </c>
      <c r="K2667" s="801"/>
      <c r="L2667" s="801"/>
    </row>
    <row r="2668" spans="1:12" ht="17.100000000000001" customHeight="1">
      <c r="A2668" s="626" t="s">
        <v>12709</v>
      </c>
      <c r="B2668" s="627" t="s">
        <v>13002</v>
      </c>
      <c r="C2668" s="626" t="s">
        <v>8</v>
      </c>
      <c r="D2668" s="626" t="s">
        <v>9306</v>
      </c>
      <c r="E2668" s="628" t="s">
        <v>23</v>
      </c>
      <c r="F2668" s="816" t="s">
        <v>13677</v>
      </c>
      <c r="G2668" s="816"/>
      <c r="H2668" s="816">
        <v>8.7165134999999996</v>
      </c>
      <c r="I2668" s="816"/>
      <c r="J2668" s="817">
        <v>3.0508000000000002</v>
      </c>
      <c r="K2668" s="817"/>
      <c r="L2668" s="817"/>
    </row>
    <row r="2669" spans="1:12" ht="17.100000000000001" customHeight="1">
      <c r="A2669" s="626" t="s">
        <v>12709</v>
      </c>
      <c r="B2669" s="627" t="s">
        <v>13004</v>
      </c>
      <c r="C2669" s="626" t="s">
        <v>8</v>
      </c>
      <c r="D2669" s="626" t="s">
        <v>7388</v>
      </c>
      <c r="E2669" s="628" t="s">
        <v>23</v>
      </c>
      <c r="F2669" s="816" t="s">
        <v>13676</v>
      </c>
      <c r="G2669" s="816"/>
      <c r="H2669" s="816">
        <v>8.7165134999999996</v>
      </c>
      <c r="I2669" s="816"/>
      <c r="J2669" s="817">
        <v>19.176300000000001</v>
      </c>
      <c r="K2669" s="817"/>
      <c r="L2669" s="817"/>
    </row>
    <row r="2670" spans="1:12" ht="17.100000000000001" customHeight="1">
      <c r="A2670" s="636"/>
      <c r="B2670" s="636"/>
      <c r="C2670" s="636"/>
      <c r="D2670" s="636"/>
      <c r="E2670" s="636"/>
      <c r="F2670" s="636"/>
      <c r="G2670" s="636"/>
      <c r="H2670" s="636"/>
      <c r="I2670" s="636"/>
      <c r="J2670" s="636" t="s">
        <v>13675</v>
      </c>
      <c r="K2670" s="636"/>
      <c r="L2670" s="636" t="s">
        <v>14188</v>
      </c>
    </row>
    <row r="2671" spans="1:12" ht="17.100000000000001" customHeight="1">
      <c r="A2671" s="612" t="s">
        <v>13673</v>
      </c>
      <c r="B2671" s="612"/>
      <c r="C2671" s="612"/>
      <c r="D2671" s="612"/>
      <c r="E2671" s="612"/>
      <c r="F2671" s="612"/>
      <c r="G2671" s="612"/>
      <c r="H2671" s="612"/>
      <c r="I2671" s="612"/>
      <c r="J2671" s="612"/>
      <c r="K2671" s="612"/>
      <c r="L2671" s="612"/>
    </row>
    <row r="2672" spans="1:12" ht="17.100000000000001" customHeight="1">
      <c r="A2672" s="636"/>
      <c r="B2672" s="636"/>
      <c r="C2672" s="636"/>
      <c r="D2672" s="636"/>
      <c r="E2672" s="636"/>
      <c r="F2672" s="636"/>
      <c r="G2672" s="636"/>
      <c r="H2672" s="636"/>
      <c r="I2672" s="636"/>
      <c r="J2672" s="636" t="s">
        <v>13672</v>
      </c>
      <c r="K2672" s="636"/>
      <c r="L2672" s="636" t="s">
        <v>15095</v>
      </c>
    </row>
    <row r="2673" spans="1:12" ht="17.100000000000001" customHeight="1">
      <c r="A2673" s="636"/>
      <c r="B2673" s="636"/>
      <c r="C2673" s="636"/>
      <c r="D2673" s="636"/>
      <c r="E2673" s="636"/>
      <c r="F2673" s="636"/>
      <c r="G2673" s="636"/>
      <c r="H2673" s="636"/>
      <c r="I2673" s="636"/>
      <c r="J2673" s="636" t="s">
        <v>13671</v>
      </c>
      <c r="K2673" s="636" t="s">
        <v>14461</v>
      </c>
      <c r="L2673" s="636" t="s">
        <v>15096</v>
      </c>
    </row>
    <row r="2674" spans="1:12" ht="17.100000000000001" customHeight="1">
      <c r="A2674" s="636"/>
      <c r="B2674" s="636"/>
      <c r="C2674" s="636"/>
      <c r="D2674" s="636"/>
      <c r="E2674" s="636"/>
      <c r="F2674" s="636"/>
      <c r="G2674" s="636"/>
      <c r="H2674" s="636"/>
      <c r="I2674" s="636"/>
      <c r="J2674" s="636" t="s">
        <v>13670</v>
      </c>
      <c r="K2674" s="636"/>
      <c r="L2674" s="636" t="s">
        <v>15097</v>
      </c>
    </row>
    <row r="2675" spans="1:12" ht="30" customHeight="1">
      <c r="A2675" s="636"/>
      <c r="B2675" s="636"/>
      <c r="C2675" s="636"/>
      <c r="D2675" s="636"/>
      <c r="E2675" s="636"/>
      <c r="F2675" s="636"/>
      <c r="G2675" s="636"/>
      <c r="H2675" s="636"/>
      <c r="I2675" s="636"/>
      <c r="J2675" s="636" t="s">
        <v>13669</v>
      </c>
      <c r="K2675" s="636" t="s">
        <v>13667</v>
      </c>
      <c r="L2675" s="636" t="s">
        <v>15098</v>
      </c>
    </row>
    <row r="2676" spans="1:12" ht="36" customHeight="1">
      <c r="A2676" s="636"/>
      <c r="B2676" s="636"/>
      <c r="C2676" s="636"/>
      <c r="D2676" s="636"/>
      <c r="E2676" s="636"/>
      <c r="F2676" s="636"/>
      <c r="G2676" s="636"/>
      <c r="H2676" s="636"/>
      <c r="I2676" s="636"/>
      <c r="J2676" s="636" t="s">
        <v>13668</v>
      </c>
      <c r="K2676" s="636"/>
      <c r="L2676" s="636" t="s">
        <v>15099</v>
      </c>
    </row>
    <row r="2677" spans="1:12" ht="14.25" customHeight="1">
      <c r="A2677" s="637"/>
      <c r="B2677" s="637"/>
      <c r="C2677" s="637"/>
      <c r="D2677" s="637"/>
      <c r="E2677" s="637"/>
      <c r="F2677" s="637"/>
      <c r="G2677" s="637"/>
      <c r="H2677" s="637"/>
      <c r="I2677" s="637"/>
      <c r="J2677" s="637"/>
      <c r="K2677" s="637"/>
      <c r="L2677" s="637"/>
    </row>
    <row r="2678" spans="1:12" ht="17.100000000000001" customHeight="1">
      <c r="A2678" s="616" t="s">
        <v>14187</v>
      </c>
      <c r="B2678" s="617" t="s">
        <v>13599</v>
      </c>
      <c r="C2678" s="616" t="s">
        <v>8</v>
      </c>
      <c r="D2678" s="616" t="s">
        <v>5452</v>
      </c>
      <c r="E2678" s="618" t="s">
        <v>12725</v>
      </c>
      <c r="F2678" s="617"/>
      <c r="G2678" s="617"/>
      <c r="H2678" s="617"/>
      <c r="I2678" s="617"/>
      <c r="J2678" s="617"/>
      <c r="K2678" s="617"/>
      <c r="L2678" s="617"/>
    </row>
    <row r="2679" spans="1:12" ht="36" customHeight="1">
      <c r="A2679" s="802" t="s">
        <v>12711</v>
      </c>
      <c r="B2679" s="802"/>
      <c r="C2679" s="802"/>
      <c r="D2679" s="802"/>
      <c r="E2679" s="802"/>
      <c r="F2679" s="802"/>
      <c r="G2679" s="802"/>
      <c r="H2679" s="802"/>
      <c r="I2679" s="612"/>
      <c r="J2679" s="612"/>
      <c r="K2679" s="612"/>
      <c r="L2679" s="612"/>
    </row>
    <row r="2680" spans="1:12" ht="24" customHeight="1">
      <c r="A2680" s="612" t="s">
        <v>13679</v>
      </c>
      <c r="B2680" s="636" t="s">
        <v>12698</v>
      </c>
      <c r="C2680" s="612" t="s">
        <v>12699</v>
      </c>
      <c r="D2680" s="612" t="s">
        <v>12700</v>
      </c>
      <c r="E2680" s="637" t="s">
        <v>12702</v>
      </c>
      <c r="F2680" s="801" t="s">
        <v>12704</v>
      </c>
      <c r="G2680" s="801"/>
      <c r="H2680" s="801" t="s">
        <v>13678</v>
      </c>
      <c r="I2680" s="801"/>
      <c r="J2680" s="801" t="s">
        <v>12705</v>
      </c>
      <c r="K2680" s="801"/>
      <c r="L2680" s="801"/>
    </row>
    <row r="2681" spans="1:12" ht="24" customHeight="1">
      <c r="A2681" s="626" t="s">
        <v>12709</v>
      </c>
      <c r="B2681" s="627" t="s">
        <v>13180</v>
      </c>
      <c r="C2681" s="626" t="s">
        <v>8</v>
      </c>
      <c r="D2681" s="626" t="s">
        <v>9587</v>
      </c>
      <c r="E2681" s="628" t="s">
        <v>35</v>
      </c>
      <c r="F2681" s="816" t="s">
        <v>13772</v>
      </c>
      <c r="G2681" s="816"/>
      <c r="H2681" s="816">
        <v>1.5999999999999999E-6</v>
      </c>
      <c r="I2681" s="816"/>
      <c r="J2681" s="817">
        <v>7.0000000000000001E-3</v>
      </c>
      <c r="K2681" s="817"/>
      <c r="L2681" s="817"/>
    </row>
    <row r="2682" spans="1:12" ht="17.100000000000001" customHeight="1">
      <c r="A2682" s="626" t="s">
        <v>12709</v>
      </c>
      <c r="B2682" s="627" t="s">
        <v>13003</v>
      </c>
      <c r="C2682" s="626" t="s">
        <v>8</v>
      </c>
      <c r="D2682" s="626" t="s">
        <v>9227</v>
      </c>
      <c r="E2682" s="628" t="s">
        <v>23</v>
      </c>
      <c r="F2682" s="816" t="s">
        <v>13732</v>
      </c>
      <c r="G2682" s="816"/>
      <c r="H2682" s="816">
        <v>0.2266165</v>
      </c>
      <c r="I2682" s="816"/>
      <c r="J2682" s="817">
        <v>0.14960000000000001</v>
      </c>
      <c r="K2682" s="817"/>
      <c r="L2682" s="817"/>
    </row>
    <row r="2683" spans="1:12" ht="14.25" customHeight="1">
      <c r="A2683" s="626" t="s">
        <v>12709</v>
      </c>
      <c r="B2683" s="627" t="s">
        <v>13001</v>
      </c>
      <c r="C2683" s="626" t="s">
        <v>8</v>
      </c>
      <c r="D2683" s="626" t="s">
        <v>9374</v>
      </c>
      <c r="E2683" s="628" t="s">
        <v>23</v>
      </c>
      <c r="F2683" s="816" t="s">
        <v>13728</v>
      </c>
      <c r="G2683" s="816"/>
      <c r="H2683" s="816">
        <v>0.2266165</v>
      </c>
      <c r="I2683" s="816"/>
      <c r="J2683" s="817">
        <v>2.3E-3</v>
      </c>
      <c r="K2683" s="817"/>
      <c r="L2683" s="817"/>
    </row>
    <row r="2684" spans="1:12" ht="17.100000000000001" customHeight="1">
      <c r="A2684" s="626" t="s">
        <v>12709</v>
      </c>
      <c r="B2684" s="627" t="s">
        <v>13048</v>
      </c>
      <c r="C2684" s="626" t="s">
        <v>8</v>
      </c>
      <c r="D2684" s="626" t="s">
        <v>9233</v>
      </c>
      <c r="E2684" s="628" t="s">
        <v>23</v>
      </c>
      <c r="F2684" s="816" t="s">
        <v>13690</v>
      </c>
      <c r="G2684" s="816"/>
      <c r="H2684" s="816">
        <v>0.1048052</v>
      </c>
      <c r="I2684" s="816"/>
      <c r="J2684" s="817">
        <v>0.1069</v>
      </c>
      <c r="K2684" s="817"/>
      <c r="L2684" s="817"/>
    </row>
    <row r="2685" spans="1:12" ht="24" customHeight="1">
      <c r="A2685" s="626" t="s">
        <v>12709</v>
      </c>
      <c r="B2685" s="627" t="s">
        <v>13047</v>
      </c>
      <c r="C2685" s="626" t="s">
        <v>8</v>
      </c>
      <c r="D2685" s="626" t="s">
        <v>9380</v>
      </c>
      <c r="E2685" s="628" t="s">
        <v>23</v>
      </c>
      <c r="F2685" s="816" t="s">
        <v>13689</v>
      </c>
      <c r="G2685" s="816"/>
      <c r="H2685" s="816">
        <v>0.1048052</v>
      </c>
      <c r="I2685" s="816"/>
      <c r="J2685" s="817">
        <v>3.9800000000000002E-2</v>
      </c>
      <c r="K2685" s="817"/>
      <c r="L2685" s="817"/>
    </row>
    <row r="2686" spans="1:12" ht="17.100000000000001" customHeight="1">
      <c r="A2686" s="636"/>
      <c r="B2686" s="636"/>
      <c r="C2686" s="636"/>
      <c r="D2686" s="636"/>
      <c r="E2686" s="636"/>
      <c r="F2686" s="636"/>
      <c r="G2686" s="636"/>
      <c r="H2686" s="636"/>
      <c r="I2686" s="636"/>
      <c r="J2686" s="636" t="s">
        <v>13675</v>
      </c>
      <c r="K2686" s="636"/>
      <c r="L2686" s="636" t="s">
        <v>13913</v>
      </c>
    </row>
    <row r="2687" spans="1:12">
      <c r="A2687" s="802" t="s">
        <v>12710</v>
      </c>
      <c r="B2687" s="802"/>
      <c r="C2687" s="802"/>
      <c r="D2687" s="802"/>
      <c r="E2687" s="802"/>
      <c r="F2687" s="802"/>
      <c r="G2687" s="802"/>
      <c r="H2687" s="802"/>
      <c r="I2687" s="612"/>
      <c r="J2687" s="612"/>
      <c r="K2687" s="612"/>
      <c r="L2687" s="612"/>
    </row>
    <row r="2688" spans="1:12" ht="17.100000000000001" customHeight="1">
      <c r="A2688" s="612" t="s">
        <v>13679</v>
      </c>
      <c r="B2688" s="636" t="s">
        <v>12698</v>
      </c>
      <c r="C2688" s="612" t="s">
        <v>12699</v>
      </c>
      <c r="D2688" s="612" t="s">
        <v>12700</v>
      </c>
      <c r="E2688" s="637" t="s">
        <v>12702</v>
      </c>
      <c r="F2688" s="801" t="s">
        <v>12704</v>
      </c>
      <c r="G2688" s="801"/>
      <c r="H2688" s="801" t="s">
        <v>13678</v>
      </c>
      <c r="I2688" s="801"/>
      <c r="J2688" s="801" t="s">
        <v>12705</v>
      </c>
      <c r="K2688" s="801"/>
      <c r="L2688" s="801"/>
    </row>
    <row r="2689" spans="1:12" ht="24" customHeight="1">
      <c r="A2689" s="626" t="s">
        <v>12709</v>
      </c>
      <c r="B2689" s="627" t="s">
        <v>13111</v>
      </c>
      <c r="C2689" s="626" t="s">
        <v>8</v>
      </c>
      <c r="D2689" s="626" t="s">
        <v>10564</v>
      </c>
      <c r="E2689" s="628" t="s">
        <v>23</v>
      </c>
      <c r="F2689" s="816" t="s">
        <v>14514</v>
      </c>
      <c r="G2689" s="816"/>
      <c r="H2689" s="816">
        <v>1.6271999999999998E-2</v>
      </c>
      <c r="I2689" s="816"/>
      <c r="J2689" s="817">
        <v>7.8299999999999995E-2</v>
      </c>
      <c r="K2689" s="817"/>
      <c r="L2689" s="817"/>
    </row>
    <row r="2690" spans="1:12" ht="24" customHeight="1">
      <c r="A2690" s="626" t="s">
        <v>12709</v>
      </c>
      <c r="B2690" s="627" t="s">
        <v>13137</v>
      </c>
      <c r="C2690" s="626" t="s">
        <v>8</v>
      </c>
      <c r="D2690" s="626" t="s">
        <v>10449</v>
      </c>
      <c r="E2690" s="628" t="s">
        <v>23</v>
      </c>
      <c r="F2690" s="816" t="s">
        <v>13799</v>
      </c>
      <c r="G2690" s="816"/>
      <c r="H2690" s="816">
        <v>0.21322759999999999</v>
      </c>
      <c r="I2690" s="816"/>
      <c r="J2690" s="817">
        <v>1.0106999999999999</v>
      </c>
      <c r="K2690" s="817"/>
      <c r="L2690" s="817"/>
    </row>
    <row r="2691" spans="1:12" ht="24" customHeight="1">
      <c r="A2691" s="626" t="s">
        <v>12709</v>
      </c>
      <c r="B2691" s="627" t="s">
        <v>13046</v>
      </c>
      <c r="C2691" s="626" t="s">
        <v>8</v>
      </c>
      <c r="D2691" s="626" t="s">
        <v>11281</v>
      </c>
      <c r="E2691" s="628" t="s">
        <v>23</v>
      </c>
      <c r="F2691" s="816" t="s">
        <v>13731</v>
      </c>
      <c r="G2691" s="816"/>
      <c r="H2691" s="816">
        <v>0.1068187</v>
      </c>
      <c r="I2691" s="816"/>
      <c r="J2691" s="817">
        <v>0.54900000000000004</v>
      </c>
      <c r="K2691" s="817"/>
      <c r="L2691" s="817"/>
    </row>
    <row r="2692" spans="1:12" ht="17.100000000000001" customHeight="1">
      <c r="A2692" s="636"/>
      <c r="B2692" s="636"/>
      <c r="C2692" s="636"/>
      <c r="D2692" s="636"/>
      <c r="E2692" s="636"/>
      <c r="F2692" s="636"/>
      <c r="G2692" s="636"/>
      <c r="H2692" s="636"/>
      <c r="I2692" s="636"/>
      <c r="J2692" s="636" t="s">
        <v>13675</v>
      </c>
      <c r="K2692" s="636"/>
      <c r="L2692" s="636" t="s">
        <v>13866</v>
      </c>
    </row>
    <row r="2693" spans="1:12">
      <c r="A2693" s="802" t="s">
        <v>12720</v>
      </c>
      <c r="B2693" s="802"/>
      <c r="C2693" s="802"/>
      <c r="D2693" s="802"/>
      <c r="E2693" s="802"/>
      <c r="F2693" s="802"/>
      <c r="G2693" s="802"/>
      <c r="H2693" s="802"/>
      <c r="I2693" s="612"/>
      <c r="J2693" s="612"/>
      <c r="K2693" s="612"/>
      <c r="L2693" s="612"/>
    </row>
    <row r="2694" spans="1:12" ht="17.100000000000001" customHeight="1">
      <c r="A2694" s="612" t="s">
        <v>13679</v>
      </c>
      <c r="B2694" s="636" t="s">
        <v>12698</v>
      </c>
      <c r="C2694" s="612" t="s">
        <v>12699</v>
      </c>
      <c r="D2694" s="612" t="s">
        <v>12700</v>
      </c>
      <c r="E2694" s="637" t="s">
        <v>12702</v>
      </c>
      <c r="F2694" s="801" t="s">
        <v>12704</v>
      </c>
      <c r="G2694" s="801"/>
      <c r="H2694" s="801" t="s">
        <v>13678</v>
      </c>
      <c r="I2694" s="801"/>
      <c r="J2694" s="801" t="s">
        <v>12705</v>
      </c>
      <c r="K2694" s="801"/>
      <c r="L2694" s="801"/>
    </row>
    <row r="2695" spans="1:12" ht="24" customHeight="1">
      <c r="A2695" s="626" t="s">
        <v>12709</v>
      </c>
      <c r="B2695" s="627" t="s">
        <v>13598</v>
      </c>
      <c r="C2695" s="626" t="s">
        <v>8</v>
      </c>
      <c r="D2695" s="626" t="s">
        <v>10681</v>
      </c>
      <c r="E2695" s="628" t="s">
        <v>12777</v>
      </c>
      <c r="F2695" s="816" t="s">
        <v>14186</v>
      </c>
      <c r="G2695" s="816"/>
      <c r="H2695" s="816">
        <v>7.0000000000000001E-3</v>
      </c>
      <c r="I2695" s="816"/>
      <c r="J2695" s="817">
        <v>0.89</v>
      </c>
      <c r="K2695" s="817"/>
      <c r="L2695" s="817"/>
    </row>
    <row r="2696" spans="1:12" ht="17.100000000000001" customHeight="1">
      <c r="A2696" s="626" t="s">
        <v>12709</v>
      </c>
      <c r="B2696" s="627" t="s">
        <v>13597</v>
      </c>
      <c r="C2696" s="626" t="s">
        <v>8</v>
      </c>
      <c r="D2696" s="626" t="s">
        <v>10746</v>
      </c>
      <c r="E2696" s="628" t="s">
        <v>20</v>
      </c>
      <c r="F2696" s="816" t="s">
        <v>13890</v>
      </c>
      <c r="G2696" s="816"/>
      <c r="H2696" s="816">
        <v>4.3330000000000002</v>
      </c>
      <c r="I2696" s="816"/>
      <c r="J2696" s="817">
        <v>21.92</v>
      </c>
      <c r="K2696" s="817"/>
      <c r="L2696" s="817"/>
    </row>
    <row r="2697" spans="1:12" ht="25.5">
      <c r="A2697" s="626" t="s">
        <v>12709</v>
      </c>
      <c r="B2697" s="627" t="s">
        <v>12987</v>
      </c>
      <c r="C2697" s="626" t="s">
        <v>8</v>
      </c>
      <c r="D2697" s="626" t="s">
        <v>9192</v>
      </c>
      <c r="E2697" s="628" t="s">
        <v>12923</v>
      </c>
      <c r="F2697" s="816" t="s">
        <v>13999</v>
      </c>
      <c r="G2697" s="816"/>
      <c r="H2697" s="816">
        <v>5.2442000000000001E-3</v>
      </c>
      <c r="I2697" s="816"/>
      <c r="J2697" s="817">
        <v>4.1999999999999997E-3</v>
      </c>
      <c r="K2697" s="817"/>
      <c r="L2697" s="817"/>
    </row>
    <row r="2698" spans="1:12" ht="17.100000000000001" customHeight="1">
      <c r="A2698" s="636"/>
      <c r="B2698" s="636"/>
      <c r="C2698" s="636"/>
      <c r="D2698" s="636"/>
      <c r="E2698" s="636"/>
      <c r="F2698" s="636"/>
      <c r="G2698" s="636"/>
      <c r="H2698" s="636"/>
      <c r="I2698" s="636"/>
      <c r="J2698" s="636" t="s">
        <v>13675</v>
      </c>
      <c r="K2698" s="636"/>
      <c r="L2698" s="636" t="s">
        <v>14762</v>
      </c>
    </row>
    <row r="2699" spans="1:12" ht="24" customHeight="1">
      <c r="A2699" s="802" t="s">
        <v>12722</v>
      </c>
      <c r="B2699" s="802"/>
      <c r="C2699" s="802"/>
      <c r="D2699" s="802"/>
      <c r="E2699" s="802"/>
      <c r="F2699" s="802"/>
      <c r="G2699" s="802"/>
      <c r="H2699" s="802"/>
      <c r="I2699" s="612"/>
      <c r="J2699" s="612"/>
      <c r="K2699" s="612"/>
      <c r="L2699" s="612"/>
    </row>
    <row r="2700" spans="1:12" ht="17.100000000000001" customHeight="1">
      <c r="A2700" s="612" t="s">
        <v>13679</v>
      </c>
      <c r="B2700" s="636" t="s">
        <v>12698</v>
      </c>
      <c r="C2700" s="612" t="s">
        <v>12699</v>
      </c>
      <c r="D2700" s="612" t="s">
        <v>12700</v>
      </c>
      <c r="E2700" s="637" t="s">
        <v>12702</v>
      </c>
      <c r="F2700" s="801" t="s">
        <v>12704</v>
      </c>
      <c r="G2700" s="801"/>
      <c r="H2700" s="801" t="s">
        <v>13678</v>
      </c>
      <c r="I2700" s="801"/>
      <c r="J2700" s="801" t="s">
        <v>12705</v>
      </c>
      <c r="K2700" s="801"/>
      <c r="L2700" s="801"/>
    </row>
    <row r="2701" spans="1:12" ht="25.5">
      <c r="A2701" s="626" t="s">
        <v>12709</v>
      </c>
      <c r="B2701" s="627" t="s">
        <v>12998</v>
      </c>
      <c r="C2701" s="626" t="s">
        <v>8</v>
      </c>
      <c r="D2701" s="626" t="s">
        <v>11861</v>
      </c>
      <c r="E2701" s="628" t="s">
        <v>23</v>
      </c>
      <c r="F2701" s="816" t="s">
        <v>13683</v>
      </c>
      <c r="G2701" s="816"/>
      <c r="H2701" s="816">
        <v>0.33142169999999999</v>
      </c>
      <c r="I2701" s="816"/>
      <c r="J2701" s="817">
        <v>0.23530000000000001</v>
      </c>
      <c r="K2701" s="817"/>
      <c r="L2701" s="817"/>
    </row>
    <row r="2702" spans="1:12" ht="17.100000000000001" customHeight="1">
      <c r="A2702" s="636"/>
      <c r="B2702" s="636"/>
      <c r="C2702" s="636"/>
      <c r="D2702" s="636"/>
      <c r="E2702" s="636"/>
      <c r="F2702" s="636"/>
      <c r="G2702" s="636"/>
      <c r="H2702" s="636"/>
      <c r="I2702" s="636"/>
      <c r="J2702" s="636" t="s">
        <v>13675</v>
      </c>
      <c r="K2702" s="636"/>
      <c r="L2702" s="636" t="s">
        <v>13704</v>
      </c>
    </row>
    <row r="2703" spans="1:12" ht="24" customHeight="1">
      <c r="A2703" s="802" t="s">
        <v>12713</v>
      </c>
      <c r="B2703" s="802"/>
      <c r="C2703" s="802"/>
      <c r="D2703" s="802"/>
      <c r="E2703" s="802"/>
      <c r="F2703" s="802"/>
      <c r="G2703" s="802"/>
      <c r="H2703" s="802"/>
      <c r="I2703" s="612"/>
      <c r="J2703" s="612"/>
      <c r="K2703" s="612"/>
      <c r="L2703" s="612"/>
    </row>
    <row r="2704" spans="1:12" ht="24" customHeight="1">
      <c r="A2704" s="612" t="s">
        <v>13679</v>
      </c>
      <c r="B2704" s="636" t="s">
        <v>12698</v>
      </c>
      <c r="C2704" s="612" t="s">
        <v>12699</v>
      </c>
      <c r="D2704" s="612" t="s">
        <v>12700</v>
      </c>
      <c r="E2704" s="637" t="s">
        <v>12702</v>
      </c>
      <c r="F2704" s="801" t="s">
        <v>12704</v>
      </c>
      <c r="G2704" s="801"/>
      <c r="H2704" s="801" t="s">
        <v>13678</v>
      </c>
      <c r="I2704" s="801"/>
      <c r="J2704" s="801" t="s">
        <v>12705</v>
      </c>
      <c r="K2704" s="801"/>
      <c r="L2704" s="801"/>
    </row>
    <row r="2705" spans="1:12" ht="17.100000000000001" customHeight="1">
      <c r="A2705" s="626" t="s">
        <v>12709</v>
      </c>
      <c r="B2705" s="627" t="s">
        <v>12999</v>
      </c>
      <c r="C2705" s="626" t="s">
        <v>8</v>
      </c>
      <c r="D2705" s="626" t="s">
        <v>11251</v>
      </c>
      <c r="E2705" s="628" t="s">
        <v>23</v>
      </c>
      <c r="F2705" s="816" t="s">
        <v>13681</v>
      </c>
      <c r="G2705" s="816"/>
      <c r="H2705" s="816">
        <v>0.33142169999999999</v>
      </c>
      <c r="I2705" s="816"/>
      <c r="J2705" s="817">
        <v>2.3199999999999998E-2</v>
      </c>
      <c r="K2705" s="817"/>
      <c r="L2705" s="817"/>
    </row>
    <row r="2706" spans="1:12" ht="17.100000000000001" customHeight="1">
      <c r="A2706" s="636"/>
      <c r="B2706" s="636"/>
      <c r="C2706" s="636"/>
      <c r="D2706" s="636"/>
      <c r="E2706" s="636"/>
      <c r="F2706" s="636"/>
      <c r="G2706" s="636"/>
      <c r="H2706" s="636"/>
      <c r="I2706" s="636"/>
      <c r="J2706" s="636" t="s">
        <v>13675</v>
      </c>
      <c r="K2706" s="636"/>
      <c r="L2706" s="636" t="s">
        <v>13680</v>
      </c>
    </row>
    <row r="2707" spans="1:12" ht="17.100000000000001" customHeight="1">
      <c r="A2707" s="802" t="s">
        <v>12712</v>
      </c>
      <c r="B2707" s="802"/>
      <c r="C2707" s="802"/>
      <c r="D2707" s="802"/>
      <c r="E2707" s="802"/>
      <c r="F2707" s="802"/>
      <c r="G2707" s="802"/>
      <c r="H2707" s="802"/>
      <c r="I2707" s="612"/>
      <c r="J2707" s="612"/>
      <c r="K2707" s="612"/>
      <c r="L2707" s="612"/>
    </row>
    <row r="2708" spans="1:12" ht="17.100000000000001" customHeight="1">
      <c r="A2708" s="612" t="s">
        <v>13679</v>
      </c>
      <c r="B2708" s="636" t="s">
        <v>12698</v>
      </c>
      <c r="C2708" s="612" t="s">
        <v>12699</v>
      </c>
      <c r="D2708" s="612" t="s">
        <v>12700</v>
      </c>
      <c r="E2708" s="637" t="s">
        <v>12702</v>
      </c>
      <c r="F2708" s="801" t="s">
        <v>12704</v>
      </c>
      <c r="G2708" s="801"/>
      <c r="H2708" s="801" t="s">
        <v>13678</v>
      </c>
      <c r="I2708" s="801"/>
      <c r="J2708" s="801" t="s">
        <v>12705</v>
      </c>
      <c r="K2708" s="801"/>
      <c r="L2708" s="801"/>
    </row>
    <row r="2709" spans="1:12" ht="17.100000000000001" customHeight="1">
      <c r="A2709" s="626" t="s">
        <v>12709</v>
      </c>
      <c r="B2709" s="627" t="s">
        <v>13002</v>
      </c>
      <c r="C2709" s="626" t="s">
        <v>8</v>
      </c>
      <c r="D2709" s="626" t="s">
        <v>9306</v>
      </c>
      <c r="E2709" s="628" t="s">
        <v>23</v>
      </c>
      <c r="F2709" s="816" t="s">
        <v>13677</v>
      </c>
      <c r="G2709" s="816"/>
      <c r="H2709" s="816">
        <v>0.33142169999999999</v>
      </c>
      <c r="I2709" s="816"/>
      <c r="J2709" s="817">
        <v>0.11600000000000001</v>
      </c>
      <c r="K2709" s="817"/>
      <c r="L2709" s="817"/>
    </row>
    <row r="2710" spans="1:12" ht="17.100000000000001" customHeight="1">
      <c r="A2710" s="626" t="s">
        <v>12709</v>
      </c>
      <c r="B2710" s="627" t="s">
        <v>13004</v>
      </c>
      <c r="C2710" s="626" t="s">
        <v>8</v>
      </c>
      <c r="D2710" s="626" t="s">
        <v>7388</v>
      </c>
      <c r="E2710" s="628" t="s">
        <v>23</v>
      </c>
      <c r="F2710" s="816" t="s">
        <v>13676</v>
      </c>
      <c r="G2710" s="816"/>
      <c r="H2710" s="816">
        <v>0.33142169999999999</v>
      </c>
      <c r="I2710" s="816"/>
      <c r="J2710" s="817">
        <v>0.72909999999999997</v>
      </c>
      <c r="K2710" s="817"/>
      <c r="L2710" s="817"/>
    </row>
    <row r="2711" spans="1:12" ht="17.100000000000001" customHeight="1">
      <c r="A2711" s="636"/>
      <c r="B2711" s="636"/>
      <c r="C2711" s="636"/>
      <c r="D2711" s="636"/>
      <c r="E2711" s="636"/>
      <c r="F2711" s="636"/>
      <c r="G2711" s="636"/>
      <c r="H2711" s="636"/>
      <c r="I2711" s="636"/>
      <c r="J2711" s="636" t="s">
        <v>13675</v>
      </c>
      <c r="K2711" s="636"/>
      <c r="L2711" s="636" t="s">
        <v>13906</v>
      </c>
    </row>
    <row r="2712" spans="1:12" ht="30" customHeight="1">
      <c r="A2712" s="612" t="s">
        <v>13673</v>
      </c>
      <c r="B2712" s="612"/>
      <c r="C2712" s="612"/>
      <c r="D2712" s="612"/>
      <c r="E2712" s="612"/>
      <c r="F2712" s="612"/>
      <c r="G2712" s="612"/>
      <c r="H2712" s="612"/>
      <c r="I2712" s="612"/>
      <c r="J2712" s="612"/>
      <c r="K2712" s="612"/>
      <c r="L2712" s="612"/>
    </row>
    <row r="2713" spans="1:12" ht="36" customHeight="1">
      <c r="A2713" s="636"/>
      <c r="B2713" s="636"/>
      <c r="C2713" s="636"/>
      <c r="D2713" s="636"/>
      <c r="E2713" s="636"/>
      <c r="F2713" s="636"/>
      <c r="G2713" s="636"/>
      <c r="H2713" s="636"/>
      <c r="I2713" s="636"/>
      <c r="J2713" s="636" t="s">
        <v>13672</v>
      </c>
      <c r="K2713" s="636"/>
      <c r="L2713" s="636" t="s">
        <v>15100</v>
      </c>
    </row>
    <row r="2714" spans="1:12" ht="14.25" customHeight="1">
      <c r="A2714" s="636"/>
      <c r="B2714" s="636"/>
      <c r="C2714" s="636"/>
      <c r="D2714" s="636"/>
      <c r="E2714" s="636"/>
      <c r="F2714" s="636"/>
      <c r="G2714" s="636"/>
      <c r="H2714" s="636"/>
      <c r="I2714" s="636"/>
      <c r="J2714" s="636" t="s">
        <v>13671</v>
      </c>
      <c r="K2714" s="636" t="s">
        <v>14461</v>
      </c>
      <c r="L2714" s="636" t="s">
        <v>15101</v>
      </c>
    </row>
    <row r="2715" spans="1:12" ht="17.100000000000001" customHeight="1">
      <c r="A2715" s="636"/>
      <c r="B2715" s="636"/>
      <c r="C2715" s="636"/>
      <c r="D2715" s="636"/>
      <c r="E2715" s="636"/>
      <c r="F2715" s="636"/>
      <c r="G2715" s="636"/>
      <c r="H2715" s="636"/>
      <c r="I2715" s="636"/>
      <c r="J2715" s="636" t="s">
        <v>13670</v>
      </c>
      <c r="K2715" s="636"/>
      <c r="L2715" s="636" t="s">
        <v>15102</v>
      </c>
    </row>
    <row r="2716" spans="1:12" ht="24" customHeight="1">
      <c r="A2716" s="636"/>
      <c r="B2716" s="636"/>
      <c r="C2716" s="636"/>
      <c r="D2716" s="636"/>
      <c r="E2716" s="636"/>
      <c r="F2716" s="636"/>
      <c r="G2716" s="636"/>
      <c r="H2716" s="636"/>
      <c r="I2716" s="636"/>
      <c r="J2716" s="636" t="s">
        <v>13669</v>
      </c>
      <c r="K2716" s="636" t="s">
        <v>13667</v>
      </c>
      <c r="L2716" s="636" t="s">
        <v>15103</v>
      </c>
    </row>
    <row r="2717" spans="1:12" ht="24" customHeight="1">
      <c r="A2717" s="636"/>
      <c r="B2717" s="636"/>
      <c r="C2717" s="636"/>
      <c r="D2717" s="636"/>
      <c r="E2717" s="636"/>
      <c r="F2717" s="636"/>
      <c r="G2717" s="636"/>
      <c r="H2717" s="636"/>
      <c r="I2717" s="636"/>
      <c r="J2717" s="636" t="s">
        <v>13668</v>
      </c>
      <c r="K2717" s="636"/>
      <c r="L2717" s="636" t="s">
        <v>15104</v>
      </c>
    </row>
    <row r="2718" spans="1:12" ht="24" customHeight="1">
      <c r="A2718" s="637"/>
      <c r="B2718" s="637"/>
      <c r="C2718" s="637"/>
      <c r="D2718" s="637"/>
      <c r="E2718" s="637"/>
      <c r="F2718" s="637"/>
      <c r="G2718" s="637"/>
      <c r="H2718" s="637"/>
      <c r="I2718" s="637"/>
      <c r="J2718" s="637"/>
      <c r="K2718" s="637"/>
      <c r="L2718" s="637"/>
    </row>
    <row r="2719" spans="1:12" ht="24" customHeight="1">
      <c r="A2719" s="616" t="s">
        <v>14185</v>
      </c>
      <c r="B2719" s="617" t="s">
        <v>13596</v>
      </c>
      <c r="C2719" s="616" t="s">
        <v>8</v>
      </c>
      <c r="D2719" s="616" t="s">
        <v>7016</v>
      </c>
      <c r="E2719" s="618" t="s">
        <v>12725</v>
      </c>
      <c r="F2719" s="617"/>
      <c r="G2719" s="617"/>
      <c r="H2719" s="617"/>
      <c r="I2719" s="617"/>
      <c r="J2719" s="617"/>
      <c r="K2719" s="617"/>
      <c r="L2719" s="617"/>
    </row>
    <row r="2720" spans="1:12" ht="24" customHeight="1">
      <c r="A2720" s="802" t="s">
        <v>12711</v>
      </c>
      <c r="B2720" s="802"/>
      <c r="C2720" s="802"/>
      <c r="D2720" s="802"/>
      <c r="E2720" s="802"/>
      <c r="F2720" s="802"/>
      <c r="G2720" s="802"/>
      <c r="H2720" s="802"/>
      <c r="I2720" s="612"/>
      <c r="J2720" s="612"/>
      <c r="K2720" s="612"/>
      <c r="L2720" s="612"/>
    </row>
    <row r="2721" spans="1:12" ht="24" customHeight="1">
      <c r="A2721" s="612" t="s">
        <v>13679</v>
      </c>
      <c r="B2721" s="636" t="s">
        <v>12698</v>
      </c>
      <c r="C2721" s="612" t="s">
        <v>12699</v>
      </c>
      <c r="D2721" s="612" t="s">
        <v>12700</v>
      </c>
      <c r="E2721" s="637" t="s">
        <v>12702</v>
      </c>
      <c r="F2721" s="801" t="s">
        <v>12704</v>
      </c>
      <c r="G2721" s="801"/>
      <c r="H2721" s="801" t="s">
        <v>13678</v>
      </c>
      <c r="I2721" s="801"/>
      <c r="J2721" s="801" t="s">
        <v>12705</v>
      </c>
      <c r="K2721" s="801"/>
      <c r="L2721" s="801"/>
    </row>
    <row r="2722" spans="1:12" ht="24" customHeight="1">
      <c r="A2722" s="626" t="s">
        <v>12709</v>
      </c>
      <c r="B2722" s="627" t="s">
        <v>13264</v>
      </c>
      <c r="C2722" s="626" t="s">
        <v>8</v>
      </c>
      <c r="D2722" s="626" t="s">
        <v>8460</v>
      </c>
      <c r="E2722" s="628" t="s">
        <v>35</v>
      </c>
      <c r="F2722" s="816" t="s">
        <v>14090</v>
      </c>
      <c r="G2722" s="816"/>
      <c r="H2722" s="816">
        <v>4.21E-5</v>
      </c>
      <c r="I2722" s="816"/>
      <c r="J2722" s="817">
        <v>9.1200000000000003E-2</v>
      </c>
      <c r="K2722" s="817"/>
      <c r="L2722" s="817"/>
    </row>
    <row r="2723" spans="1:12" ht="17.100000000000001" customHeight="1">
      <c r="A2723" s="626" t="s">
        <v>12709</v>
      </c>
      <c r="B2723" s="627" t="s">
        <v>13088</v>
      </c>
      <c r="C2723" s="626" t="s">
        <v>8</v>
      </c>
      <c r="D2723" s="626" t="s">
        <v>9231</v>
      </c>
      <c r="E2723" s="628" t="s">
        <v>23</v>
      </c>
      <c r="F2723" s="816" t="s">
        <v>13713</v>
      </c>
      <c r="G2723" s="816"/>
      <c r="H2723" s="816">
        <v>0.52463499999999996</v>
      </c>
      <c r="I2723" s="816"/>
      <c r="J2723" s="817">
        <v>0.76600000000000001</v>
      </c>
      <c r="K2723" s="817"/>
      <c r="L2723" s="817"/>
    </row>
    <row r="2724" spans="1:12" ht="14.25" customHeight="1">
      <c r="A2724" s="626" t="s">
        <v>12709</v>
      </c>
      <c r="B2724" s="627" t="s">
        <v>13087</v>
      </c>
      <c r="C2724" s="626" t="s">
        <v>8</v>
      </c>
      <c r="D2724" s="626" t="s">
        <v>9378</v>
      </c>
      <c r="E2724" s="628" t="s">
        <v>23</v>
      </c>
      <c r="F2724" s="816" t="s">
        <v>13712</v>
      </c>
      <c r="G2724" s="816"/>
      <c r="H2724" s="816">
        <v>0.52463499999999996</v>
      </c>
      <c r="I2724" s="816"/>
      <c r="J2724" s="817">
        <v>0.61380000000000001</v>
      </c>
      <c r="K2724" s="817"/>
      <c r="L2724" s="817"/>
    </row>
    <row r="2725" spans="1:12" ht="17.100000000000001" customHeight="1">
      <c r="A2725" s="636"/>
      <c r="B2725" s="636"/>
      <c r="C2725" s="636"/>
      <c r="D2725" s="636"/>
      <c r="E2725" s="636"/>
      <c r="F2725" s="636"/>
      <c r="G2725" s="636"/>
      <c r="H2725" s="636"/>
      <c r="I2725" s="636"/>
      <c r="J2725" s="636" t="s">
        <v>13675</v>
      </c>
      <c r="K2725" s="636"/>
      <c r="L2725" s="636" t="s">
        <v>14184</v>
      </c>
    </row>
    <row r="2726" spans="1:12" ht="24" customHeight="1">
      <c r="A2726" s="802" t="s">
        <v>12710</v>
      </c>
      <c r="B2726" s="802"/>
      <c r="C2726" s="802"/>
      <c r="D2726" s="802"/>
      <c r="E2726" s="802"/>
      <c r="F2726" s="802"/>
      <c r="G2726" s="802"/>
      <c r="H2726" s="802"/>
      <c r="I2726" s="612"/>
      <c r="J2726" s="612"/>
      <c r="K2726" s="612"/>
      <c r="L2726" s="612"/>
    </row>
    <row r="2727" spans="1:12" ht="24" customHeight="1">
      <c r="A2727" s="612" t="s">
        <v>13679</v>
      </c>
      <c r="B2727" s="636" t="s">
        <v>12698</v>
      </c>
      <c r="C2727" s="612" t="s">
        <v>12699</v>
      </c>
      <c r="D2727" s="612" t="s">
        <v>12700</v>
      </c>
      <c r="E2727" s="637" t="s">
        <v>12702</v>
      </c>
      <c r="F2727" s="801" t="s">
        <v>12704</v>
      </c>
      <c r="G2727" s="801"/>
      <c r="H2727" s="801" t="s">
        <v>13678</v>
      </c>
      <c r="I2727" s="801"/>
      <c r="J2727" s="801" t="s">
        <v>12705</v>
      </c>
      <c r="K2727" s="801"/>
      <c r="L2727" s="801"/>
    </row>
    <row r="2728" spans="1:12" ht="24" customHeight="1">
      <c r="A2728" s="626" t="s">
        <v>12709</v>
      </c>
      <c r="B2728" s="627" t="s">
        <v>13086</v>
      </c>
      <c r="C2728" s="626" t="s">
        <v>8</v>
      </c>
      <c r="D2728" s="626" t="s">
        <v>10798</v>
      </c>
      <c r="E2728" s="628" t="s">
        <v>23</v>
      </c>
      <c r="F2728" s="816" t="s">
        <v>14470</v>
      </c>
      <c r="G2728" s="816"/>
      <c r="H2728" s="816">
        <v>0.53199320000000005</v>
      </c>
      <c r="I2728" s="816"/>
      <c r="J2728" s="817">
        <v>3.6760999999999999</v>
      </c>
      <c r="K2728" s="817"/>
      <c r="L2728" s="817"/>
    </row>
    <row r="2729" spans="1:12" ht="17.100000000000001" customHeight="1">
      <c r="A2729" s="636"/>
      <c r="B2729" s="636"/>
      <c r="C2729" s="636"/>
      <c r="D2729" s="636"/>
      <c r="E2729" s="636"/>
      <c r="F2729" s="636"/>
      <c r="G2729" s="636"/>
      <c r="H2729" s="636"/>
      <c r="I2729" s="636"/>
      <c r="J2729" s="636" t="s">
        <v>13675</v>
      </c>
      <c r="K2729" s="636"/>
      <c r="L2729" s="636" t="s">
        <v>14006</v>
      </c>
    </row>
    <row r="2730" spans="1:12">
      <c r="A2730" s="802" t="s">
        <v>12720</v>
      </c>
      <c r="B2730" s="802"/>
      <c r="C2730" s="802"/>
      <c r="D2730" s="802"/>
      <c r="E2730" s="802"/>
      <c r="F2730" s="802"/>
      <c r="G2730" s="802"/>
      <c r="H2730" s="802"/>
      <c r="I2730" s="612"/>
      <c r="J2730" s="612"/>
      <c r="K2730" s="612"/>
      <c r="L2730" s="612"/>
    </row>
    <row r="2731" spans="1:12" ht="17.100000000000001" customHeight="1">
      <c r="A2731" s="612" t="s">
        <v>13679</v>
      </c>
      <c r="B2731" s="636" t="s">
        <v>12698</v>
      </c>
      <c r="C2731" s="612" t="s">
        <v>12699</v>
      </c>
      <c r="D2731" s="612" t="s">
        <v>12700</v>
      </c>
      <c r="E2731" s="637" t="s">
        <v>12702</v>
      </c>
      <c r="F2731" s="801" t="s">
        <v>12704</v>
      </c>
      <c r="G2731" s="801"/>
      <c r="H2731" s="801" t="s">
        <v>13678</v>
      </c>
      <c r="I2731" s="801"/>
      <c r="J2731" s="801" t="s">
        <v>12705</v>
      </c>
      <c r="K2731" s="801"/>
      <c r="L2731" s="801"/>
    </row>
    <row r="2732" spans="1:12" ht="36" customHeight="1">
      <c r="A2732" s="626" t="s">
        <v>12709</v>
      </c>
      <c r="B2732" s="627" t="s">
        <v>13595</v>
      </c>
      <c r="C2732" s="626" t="s">
        <v>8</v>
      </c>
      <c r="D2732" s="626" t="s">
        <v>11024</v>
      </c>
      <c r="E2732" s="628" t="s">
        <v>12785</v>
      </c>
      <c r="F2732" s="816" t="s">
        <v>14761</v>
      </c>
      <c r="G2732" s="816"/>
      <c r="H2732" s="816">
        <v>1.15E-2</v>
      </c>
      <c r="I2732" s="816"/>
      <c r="J2732" s="817">
        <v>5.59</v>
      </c>
      <c r="K2732" s="817"/>
      <c r="L2732" s="817"/>
    </row>
    <row r="2733" spans="1:12" ht="60" customHeight="1">
      <c r="A2733" s="626" t="s">
        <v>12709</v>
      </c>
      <c r="B2733" s="627" t="s">
        <v>13551</v>
      </c>
      <c r="C2733" s="626" t="s">
        <v>8</v>
      </c>
      <c r="D2733" s="626" t="s">
        <v>11317</v>
      </c>
      <c r="E2733" s="628" t="s">
        <v>58</v>
      </c>
      <c r="F2733" s="816" t="s">
        <v>14704</v>
      </c>
      <c r="G2733" s="816"/>
      <c r="H2733" s="816">
        <v>6.1899999999999997E-2</v>
      </c>
      <c r="I2733" s="816"/>
      <c r="J2733" s="817">
        <v>0.75</v>
      </c>
      <c r="K2733" s="817"/>
      <c r="L2733" s="817"/>
    </row>
    <row r="2734" spans="1:12" ht="24" customHeight="1">
      <c r="A2734" s="626" t="s">
        <v>12709</v>
      </c>
      <c r="B2734" s="627" t="s">
        <v>12987</v>
      </c>
      <c r="C2734" s="626" t="s">
        <v>8</v>
      </c>
      <c r="D2734" s="626" t="s">
        <v>9192</v>
      </c>
      <c r="E2734" s="628" t="s">
        <v>12923</v>
      </c>
      <c r="F2734" s="816" t="s">
        <v>13999</v>
      </c>
      <c r="G2734" s="816"/>
      <c r="H2734" s="816">
        <v>0.19409100000000001</v>
      </c>
      <c r="I2734" s="816"/>
      <c r="J2734" s="817">
        <v>0.15720000000000001</v>
      </c>
      <c r="K2734" s="817"/>
      <c r="L2734" s="817"/>
    </row>
    <row r="2735" spans="1:12" ht="17.100000000000001" customHeight="1">
      <c r="A2735" s="636"/>
      <c r="B2735" s="636"/>
      <c r="C2735" s="636"/>
      <c r="D2735" s="636"/>
      <c r="E2735" s="636"/>
      <c r="F2735" s="636"/>
      <c r="G2735" s="636"/>
      <c r="H2735" s="636"/>
      <c r="I2735" s="636"/>
      <c r="J2735" s="636" t="s">
        <v>13675</v>
      </c>
      <c r="K2735" s="636"/>
      <c r="L2735" s="636" t="s">
        <v>13939</v>
      </c>
    </row>
    <row r="2736" spans="1:12">
      <c r="A2736" s="802" t="s">
        <v>12722</v>
      </c>
      <c r="B2736" s="802"/>
      <c r="C2736" s="802"/>
      <c r="D2736" s="802"/>
      <c r="E2736" s="802"/>
      <c r="F2736" s="802"/>
      <c r="G2736" s="802"/>
      <c r="H2736" s="802"/>
      <c r="I2736" s="612"/>
      <c r="J2736" s="612"/>
      <c r="K2736" s="612"/>
      <c r="L2736" s="612"/>
    </row>
    <row r="2737" spans="1:12" ht="17.100000000000001" customHeight="1">
      <c r="A2737" s="612" t="s">
        <v>13679</v>
      </c>
      <c r="B2737" s="636" t="s">
        <v>12698</v>
      </c>
      <c r="C2737" s="612" t="s">
        <v>12699</v>
      </c>
      <c r="D2737" s="612" t="s">
        <v>12700</v>
      </c>
      <c r="E2737" s="637" t="s">
        <v>12702</v>
      </c>
      <c r="F2737" s="801" t="s">
        <v>12704</v>
      </c>
      <c r="G2737" s="801"/>
      <c r="H2737" s="801" t="s">
        <v>13678</v>
      </c>
      <c r="I2737" s="801"/>
      <c r="J2737" s="801" t="s">
        <v>12705</v>
      </c>
      <c r="K2737" s="801"/>
      <c r="L2737" s="801"/>
    </row>
    <row r="2738" spans="1:12" ht="24" customHeight="1">
      <c r="A2738" s="626" t="s">
        <v>12709</v>
      </c>
      <c r="B2738" s="627" t="s">
        <v>12998</v>
      </c>
      <c r="C2738" s="626" t="s">
        <v>8</v>
      </c>
      <c r="D2738" s="626" t="s">
        <v>11861</v>
      </c>
      <c r="E2738" s="628" t="s">
        <v>23</v>
      </c>
      <c r="F2738" s="816" t="s">
        <v>13683</v>
      </c>
      <c r="G2738" s="816"/>
      <c r="H2738" s="816">
        <v>0.52463499999999996</v>
      </c>
      <c r="I2738" s="816"/>
      <c r="J2738" s="817">
        <v>0.3725</v>
      </c>
      <c r="K2738" s="817"/>
      <c r="L2738" s="817"/>
    </row>
    <row r="2739" spans="1:12" ht="17.100000000000001" customHeight="1">
      <c r="A2739" s="636"/>
      <c r="B2739" s="636"/>
      <c r="C2739" s="636"/>
      <c r="D2739" s="636"/>
      <c r="E2739" s="636"/>
      <c r="F2739" s="636"/>
      <c r="G2739" s="636"/>
      <c r="H2739" s="636"/>
      <c r="I2739" s="636"/>
      <c r="J2739" s="636" t="s">
        <v>13675</v>
      </c>
      <c r="K2739" s="636"/>
      <c r="L2739" s="636" t="s">
        <v>13798</v>
      </c>
    </row>
    <row r="2740" spans="1:12">
      <c r="A2740" s="802" t="s">
        <v>12713</v>
      </c>
      <c r="B2740" s="802"/>
      <c r="C2740" s="802"/>
      <c r="D2740" s="802"/>
      <c r="E2740" s="802"/>
      <c r="F2740" s="802"/>
      <c r="G2740" s="802"/>
      <c r="H2740" s="802"/>
      <c r="I2740" s="612"/>
      <c r="J2740" s="612"/>
      <c r="K2740" s="612"/>
      <c r="L2740" s="612"/>
    </row>
    <row r="2741" spans="1:12" ht="17.100000000000001" customHeight="1">
      <c r="A2741" s="612" t="s">
        <v>13679</v>
      </c>
      <c r="B2741" s="636" t="s">
        <v>12698</v>
      </c>
      <c r="C2741" s="612" t="s">
        <v>12699</v>
      </c>
      <c r="D2741" s="612" t="s">
        <v>12700</v>
      </c>
      <c r="E2741" s="637" t="s">
        <v>12702</v>
      </c>
      <c r="F2741" s="801" t="s">
        <v>12704</v>
      </c>
      <c r="G2741" s="801"/>
      <c r="H2741" s="801" t="s">
        <v>13678</v>
      </c>
      <c r="I2741" s="801"/>
      <c r="J2741" s="801" t="s">
        <v>12705</v>
      </c>
      <c r="K2741" s="801"/>
      <c r="L2741" s="801"/>
    </row>
    <row r="2742" spans="1:12" ht="24" customHeight="1">
      <c r="A2742" s="626" t="s">
        <v>12709</v>
      </c>
      <c r="B2742" s="627" t="s">
        <v>12999</v>
      </c>
      <c r="C2742" s="626" t="s">
        <v>8</v>
      </c>
      <c r="D2742" s="626" t="s">
        <v>11251</v>
      </c>
      <c r="E2742" s="628" t="s">
        <v>23</v>
      </c>
      <c r="F2742" s="816" t="s">
        <v>13681</v>
      </c>
      <c r="G2742" s="816"/>
      <c r="H2742" s="816">
        <v>0.52463499999999996</v>
      </c>
      <c r="I2742" s="816"/>
      <c r="J2742" s="817">
        <v>3.6700000000000003E-2</v>
      </c>
      <c r="K2742" s="817"/>
      <c r="L2742" s="817"/>
    </row>
    <row r="2743" spans="1:12" ht="17.100000000000001" customHeight="1">
      <c r="A2743" s="636"/>
      <c r="B2743" s="636"/>
      <c r="C2743" s="636"/>
      <c r="D2743" s="636"/>
      <c r="E2743" s="636"/>
      <c r="F2743" s="636"/>
      <c r="G2743" s="636"/>
      <c r="H2743" s="636"/>
      <c r="I2743" s="636"/>
      <c r="J2743" s="636" t="s">
        <v>13675</v>
      </c>
      <c r="K2743" s="636"/>
      <c r="L2743" s="636" t="s">
        <v>13716</v>
      </c>
    </row>
    <row r="2744" spans="1:12">
      <c r="A2744" s="802" t="s">
        <v>12712</v>
      </c>
      <c r="B2744" s="802"/>
      <c r="C2744" s="802"/>
      <c r="D2744" s="802"/>
      <c r="E2744" s="802"/>
      <c r="F2744" s="802"/>
      <c r="G2744" s="802"/>
      <c r="H2744" s="802"/>
      <c r="I2744" s="612"/>
      <c r="J2744" s="612"/>
      <c r="K2744" s="612"/>
      <c r="L2744" s="612"/>
    </row>
    <row r="2745" spans="1:12" ht="17.100000000000001" customHeight="1">
      <c r="A2745" s="612" t="s">
        <v>13679</v>
      </c>
      <c r="B2745" s="636" t="s">
        <v>12698</v>
      </c>
      <c r="C2745" s="612" t="s">
        <v>12699</v>
      </c>
      <c r="D2745" s="612" t="s">
        <v>12700</v>
      </c>
      <c r="E2745" s="637" t="s">
        <v>12702</v>
      </c>
      <c r="F2745" s="801" t="s">
        <v>12704</v>
      </c>
      <c r="G2745" s="801"/>
      <c r="H2745" s="801" t="s">
        <v>13678</v>
      </c>
      <c r="I2745" s="801"/>
      <c r="J2745" s="801" t="s">
        <v>12705</v>
      </c>
      <c r="K2745" s="801"/>
      <c r="L2745" s="801"/>
    </row>
    <row r="2746" spans="1:12" ht="24" customHeight="1">
      <c r="A2746" s="626" t="s">
        <v>12709</v>
      </c>
      <c r="B2746" s="627" t="s">
        <v>13002</v>
      </c>
      <c r="C2746" s="626" t="s">
        <v>8</v>
      </c>
      <c r="D2746" s="626" t="s">
        <v>9306</v>
      </c>
      <c r="E2746" s="628" t="s">
        <v>23</v>
      </c>
      <c r="F2746" s="816" t="s">
        <v>13677</v>
      </c>
      <c r="G2746" s="816"/>
      <c r="H2746" s="816">
        <v>0.52463499999999996</v>
      </c>
      <c r="I2746" s="816"/>
      <c r="J2746" s="817">
        <v>0.18360000000000001</v>
      </c>
      <c r="K2746" s="817"/>
      <c r="L2746" s="817"/>
    </row>
    <row r="2747" spans="1:12" ht="24" customHeight="1">
      <c r="A2747" s="626" t="s">
        <v>12709</v>
      </c>
      <c r="B2747" s="627" t="s">
        <v>13004</v>
      </c>
      <c r="C2747" s="626" t="s">
        <v>8</v>
      </c>
      <c r="D2747" s="626" t="s">
        <v>7388</v>
      </c>
      <c r="E2747" s="628" t="s">
        <v>23</v>
      </c>
      <c r="F2747" s="816" t="s">
        <v>13676</v>
      </c>
      <c r="G2747" s="816"/>
      <c r="H2747" s="816">
        <v>0.52463499999999996</v>
      </c>
      <c r="I2747" s="816"/>
      <c r="J2747" s="817">
        <v>1.1541999999999999</v>
      </c>
      <c r="K2747" s="817"/>
      <c r="L2747" s="817"/>
    </row>
    <row r="2748" spans="1:12" ht="17.100000000000001" customHeight="1">
      <c r="A2748" s="636"/>
      <c r="B2748" s="636"/>
      <c r="C2748" s="636"/>
      <c r="D2748" s="636"/>
      <c r="E2748" s="636"/>
      <c r="F2748" s="636"/>
      <c r="G2748" s="636"/>
      <c r="H2748" s="636"/>
      <c r="I2748" s="636"/>
      <c r="J2748" s="636" t="s">
        <v>13675</v>
      </c>
      <c r="K2748" s="636"/>
      <c r="L2748" s="636" t="s">
        <v>13807</v>
      </c>
    </row>
    <row r="2749" spans="1:12" ht="17.100000000000001" customHeight="1">
      <c r="A2749" s="612" t="s">
        <v>13673</v>
      </c>
      <c r="B2749" s="612"/>
      <c r="C2749" s="612"/>
      <c r="D2749" s="612"/>
      <c r="E2749" s="612"/>
      <c r="F2749" s="612"/>
      <c r="G2749" s="612"/>
      <c r="H2749" s="612"/>
      <c r="I2749" s="612"/>
      <c r="J2749" s="612"/>
      <c r="K2749" s="612"/>
      <c r="L2749" s="612"/>
    </row>
    <row r="2750" spans="1:12" ht="17.100000000000001" customHeight="1">
      <c r="A2750" s="636"/>
      <c r="B2750" s="636"/>
      <c r="C2750" s="636"/>
      <c r="D2750" s="636"/>
      <c r="E2750" s="636"/>
      <c r="F2750" s="636"/>
      <c r="G2750" s="636"/>
      <c r="H2750" s="636"/>
      <c r="I2750" s="636"/>
      <c r="J2750" s="636" t="s">
        <v>13672</v>
      </c>
      <c r="K2750" s="636"/>
      <c r="L2750" s="636" t="s">
        <v>15105</v>
      </c>
    </row>
    <row r="2751" spans="1:12" ht="17.100000000000001" customHeight="1">
      <c r="A2751" s="636"/>
      <c r="B2751" s="636"/>
      <c r="C2751" s="636"/>
      <c r="D2751" s="636"/>
      <c r="E2751" s="636"/>
      <c r="F2751" s="636"/>
      <c r="G2751" s="636"/>
      <c r="H2751" s="636"/>
      <c r="I2751" s="636"/>
      <c r="J2751" s="636" t="s">
        <v>13671</v>
      </c>
      <c r="K2751" s="636" t="s">
        <v>14461</v>
      </c>
      <c r="L2751" s="636" t="s">
        <v>15106</v>
      </c>
    </row>
    <row r="2752" spans="1:12" ht="17.100000000000001" customHeight="1">
      <c r="A2752" s="636"/>
      <c r="B2752" s="636"/>
      <c r="C2752" s="636"/>
      <c r="D2752" s="636"/>
      <c r="E2752" s="636"/>
      <c r="F2752" s="636"/>
      <c r="G2752" s="636"/>
      <c r="H2752" s="636"/>
      <c r="I2752" s="636"/>
      <c r="J2752" s="636" t="s">
        <v>13670</v>
      </c>
      <c r="K2752" s="636"/>
      <c r="L2752" s="636" t="s">
        <v>15107</v>
      </c>
    </row>
    <row r="2753" spans="1:12" ht="17.100000000000001" customHeight="1">
      <c r="A2753" s="636"/>
      <c r="B2753" s="636"/>
      <c r="C2753" s="636"/>
      <c r="D2753" s="636"/>
      <c r="E2753" s="636"/>
      <c r="F2753" s="636"/>
      <c r="G2753" s="636"/>
      <c r="H2753" s="636"/>
      <c r="I2753" s="636"/>
      <c r="J2753" s="636" t="s">
        <v>13669</v>
      </c>
      <c r="K2753" s="636" t="s">
        <v>13667</v>
      </c>
      <c r="L2753" s="636" t="s">
        <v>15108</v>
      </c>
    </row>
    <row r="2754" spans="1:12" ht="17.100000000000001" customHeight="1">
      <c r="A2754" s="636"/>
      <c r="B2754" s="636"/>
      <c r="C2754" s="636"/>
      <c r="D2754" s="636"/>
      <c r="E2754" s="636"/>
      <c r="F2754" s="636"/>
      <c r="G2754" s="636"/>
      <c r="H2754" s="636"/>
      <c r="I2754" s="636"/>
      <c r="J2754" s="636" t="s">
        <v>13668</v>
      </c>
      <c r="K2754" s="636"/>
      <c r="L2754" s="636" t="s">
        <v>15109</v>
      </c>
    </row>
    <row r="2755" spans="1:12" ht="30" customHeight="1">
      <c r="A2755" s="637"/>
      <c r="B2755" s="637"/>
      <c r="C2755" s="637"/>
      <c r="D2755" s="637"/>
      <c r="E2755" s="637"/>
      <c r="F2755" s="637"/>
      <c r="G2755" s="637"/>
      <c r="H2755" s="637"/>
      <c r="I2755" s="637"/>
      <c r="J2755" s="637"/>
      <c r="K2755" s="637"/>
      <c r="L2755" s="637"/>
    </row>
    <row r="2756" spans="1:12" ht="24" customHeight="1">
      <c r="A2756" s="616" t="s">
        <v>14183</v>
      </c>
      <c r="B2756" s="617" t="s">
        <v>13594</v>
      </c>
      <c r="C2756" s="616" t="s">
        <v>8</v>
      </c>
      <c r="D2756" s="616" t="s">
        <v>5416</v>
      </c>
      <c r="E2756" s="618" t="s">
        <v>12725</v>
      </c>
      <c r="F2756" s="617"/>
      <c r="G2756" s="617"/>
      <c r="H2756" s="617"/>
      <c r="I2756" s="617"/>
      <c r="J2756" s="617"/>
      <c r="K2756" s="617"/>
      <c r="L2756" s="617"/>
    </row>
    <row r="2757" spans="1:12" ht="14.25" customHeight="1">
      <c r="A2757" s="802" t="s">
        <v>12711</v>
      </c>
      <c r="B2757" s="802"/>
      <c r="C2757" s="802"/>
      <c r="D2757" s="802"/>
      <c r="E2757" s="802"/>
      <c r="F2757" s="802"/>
      <c r="G2757" s="802"/>
      <c r="H2757" s="802"/>
      <c r="I2757" s="612"/>
      <c r="J2757" s="612"/>
      <c r="K2757" s="612"/>
      <c r="L2757" s="612"/>
    </row>
    <row r="2758" spans="1:12" ht="17.100000000000001" customHeight="1">
      <c r="A2758" s="612" t="s">
        <v>13679</v>
      </c>
      <c r="B2758" s="636" t="s">
        <v>12698</v>
      </c>
      <c r="C2758" s="612" t="s">
        <v>12699</v>
      </c>
      <c r="D2758" s="612" t="s">
        <v>12700</v>
      </c>
      <c r="E2758" s="637" t="s">
        <v>12702</v>
      </c>
      <c r="F2758" s="801" t="s">
        <v>12704</v>
      </c>
      <c r="G2758" s="801"/>
      <c r="H2758" s="801" t="s">
        <v>13678</v>
      </c>
      <c r="I2758" s="801"/>
      <c r="J2758" s="801" t="s">
        <v>12705</v>
      </c>
      <c r="K2758" s="801"/>
      <c r="L2758" s="801"/>
    </row>
    <row r="2759" spans="1:12" ht="24" customHeight="1">
      <c r="A2759" s="626" t="s">
        <v>12709</v>
      </c>
      <c r="B2759" s="627" t="s">
        <v>13180</v>
      </c>
      <c r="C2759" s="626" t="s">
        <v>8</v>
      </c>
      <c r="D2759" s="626" t="s">
        <v>9587</v>
      </c>
      <c r="E2759" s="628" t="s">
        <v>35</v>
      </c>
      <c r="F2759" s="816" t="s">
        <v>13772</v>
      </c>
      <c r="G2759" s="816"/>
      <c r="H2759" s="816">
        <v>2.9999999999999999E-7</v>
      </c>
      <c r="I2759" s="816"/>
      <c r="J2759" s="817">
        <v>1.2999999999999999E-3</v>
      </c>
      <c r="K2759" s="817"/>
      <c r="L2759" s="817"/>
    </row>
    <row r="2760" spans="1:12" ht="24" customHeight="1">
      <c r="A2760" s="626" t="s">
        <v>12709</v>
      </c>
      <c r="B2760" s="627" t="s">
        <v>13003</v>
      </c>
      <c r="C2760" s="626" t="s">
        <v>8</v>
      </c>
      <c r="D2760" s="626" t="s">
        <v>9227</v>
      </c>
      <c r="E2760" s="628" t="s">
        <v>23</v>
      </c>
      <c r="F2760" s="816" t="s">
        <v>13732</v>
      </c>
      <c r="G2760" s="816"/>
      <c r="H2760" s="816">
        <v>2.0661999999999998E-3</v>
      </c>
      <c r="I2760" s="816"/>
      <c r="J2760" s="817">
        <v>1.4E-3</v>
      </c>
      <c r="K2760" s="817"/>
      <c r="L2760" s="817"/>
    </row>
    <row r="2761" spans="1:12" ht="24" customHeight="1">
      <c r="A2761" s="626" t="s">
        <v>12709</v>
      </c>
      <c r="B2761" s="627" t="s">
        <v>13001</v>
      </c>
      <c r="C2761" s="626" t="s">
        <v>8</v>
      </c>
      <c r="D2761" s="626" t="s">
        <v>9374</v>
      </c>
      <c r="E2761" s="628" t="s">
        <v>23</v>
      </c>
      <c r="F2761" s="816" t="s">
        <v>13728</v>
      </c>
      <c r="G2761" s="816"/>
      <c r="H2761" s="816">
        <v>2.0661999999999998E-3</v>
      </c>
      <c r="I2761" s="816"/>
      <c r="J2761" s="817">
        <v>0</v>
      </c>
      <c r="K2761" s="817"/>
      <c r="L2761" s="817"/>
    </row>
    <row r="2762" spans="1:12" ht="24" customHeight="1">
      <c r="A2762" s="626" t="s">
        <v>12709</v>
      </c>
      <c r="B2762" s="627" t="s">
        <v>13048</v>
      </c>
      <c r="C2762" s="626" t="s">
        <v>8</v>
      </c>
      <c r="D2762" s="626" t="s">
        <v>9233</v>
      </c>
      <c r="E2762" s="628" t="s">
        <v>23</v>
      </c>
      <c r="F2762" s="816" t="s">
        <v>13690</v>
      </c>
      <c r="G2762" s="816"/>
      <c r="H2762" s="816">
        <v>6.1001E-2</v>
      </c>
      <c r="I2762" s="816"/>
      <c r="J2762" s="817">
        <v>6.2199999999999998E-2</v>
      </c>
      <c r="K2762" s="817"/>
      <c r="L2762" s="817"/>
    </row>
    <row r="2763" spans="1:12" ht="24" customHeight="1">
      <c r="A2763" s="626" t="s">
        <v>12709</v>
      </c>
      <c r="B2763" s="627" t="s">
        <v>13047</v>
      </c>
      <c r="C2763" s="626" t="s">
        <v>8</v>
      </c>
      <c r="D2763" s="626" t="s">
        <v>9380</v>
      </c>
      <c r="E2763" s="628" t="s">
        <v>23</v>
      </c>
      <c r="F2763" s="816" t="s">
        <v>13689</v>
      </c>
      <c r="G2763" s="816"/>
      <c r="H2763" s="816">
        <v>6.1001E-2</v>
      </c>
      <c r="I2763" s="816"/>
      <c r="J2763" s="817">
        <v>2.3199999999999998E-2</v>
      </c>
      <c r="K2763" s="817"/>
      <c r="L2763" s="817"/>
    </row>
    <row r="2764" spans="1:12" ht="24" customHeight="1">
      <c r="A2764" s="626" t="s">
        <v>12709</v>
      </c>
      <c r="B2764" s="627" t="s">
        <v>13032</v>
      </c>
      <c r="C2764" s="626" t="s">
        <v>8</v>
      </c>
      <c r="D2764" s="626" t="s">
        <v>9217</v>
      </c>
      <c r="E2764" s="628" t="s">
        <v>23</v>
      </c>
      <c r="F2764" s="816" t="s">
        <v>13741</v>
      </c>
      <c r="G2764" s="816"/>
      <c r="H2764" s="816">
        <v>5.5097699999999999E-2</v>
      </c>
      <c r="I2764" s="816"/>
      <c r="J2764" s="817">
        <v>5.9499999999999997E-2</v>
      </c>
      <c r="K2764" s="817"/>
      <c r="L2764" s="817"/>
    </row>
    <row r="2765" spans="1:12" ht="36" customHeight="1">
      <c r="A2765" s="626" t="s">
        <v>12709</v>
      </c>
      <c r="B2765" s="627" t="s">
        <v>13031</v>
      </c>
      <c r="C2765" s="626" t="s">
        <v>8</v>
      </c>
      <c r="D2765" s="626" t="s">
        <v>9364</v>
      </c>
      <c r="E2765" s="628" t="s">
        <v>23</v>
      </c>
      <c r="F2765" s="816" t="s">
        <v>13740</v>
      </c>
      <c r="G2765" s="816"/>
      <c r="H2765" s="816">
        <v>5.5097699999999999E-2</v>
      </c>
      <c r="I2765" s="816"/>
      <c r="J2765" s="817">
        <v>1.8700000000000001E-2</v>
      </c>
      <c r="K2765" s="817"/>
      <c r="L2765" s="817"/>
    </row>
    <row r="2766" spans="1:12" ht="24" customHeight="1">
      <c r="A2766" s="636"/>
      <c r="B2766" s="636"/>
      <c r="C2766" s="636"/>
      <c r="D2766" s="636"/>
      <c r="E2766" s="636"/>
      <c r="F2766" s="636"/>
      <c r="G2766" s="636"/>
      <c r="H2766" s="636"/>
      <c r="I2766" s="636"/>
      <c r="J2766" s="636" t="s">
        <v>13675</v>
      </c>
      <c r="K2766" s="636"/>
      <c r="L2766" s="636" t="s">
        <v>13832</v>
      </c>
    </row>
    <row r="2767" spans="1:12" ht="24" customHeight="1">
      <c r="A2767" s="802" t="s">
        <v>12710</v>
      </c>
      <c r="B2767" s="802"/>
      <c r="C2767" s="802"/>
      <c r="D2767" s="802"/>
      <c r="E2767" s="802"/>
      <c r="F2767" s="802"/>
      <c r="G2767" s="802"/>
      <c r="H2767" s="802"/>
      <c r="I2767" s="612"/>
      <c r="J2767" s="612"/>
      <c r="K2767" s="612"/>
      <c r="L2767" s="612"/>
    </row>
    <row r="2768" spans="1:12" ht="17.100000000000001" customHeight="1">
      <c r="A2768" s="612" t="s">
        <v>13679</v>
      </c>
      <c r="B2768" s="636" t="s">
        <v>12698</v>
      </c>
      <c r="C2768" s="612" t="s">
        <v>12699</v>
      </c>
      <c r="D2768" s="612" t="s">
        <v>12700</v>
      </c>
      <c r="E2768" s="637" t="s">
        <v>12702</v>
      </c>
      <c r="F2768" s="801" t="s">
        <v>12704</v>
      </c>
      <c r="G2768" s="801"/>
      <c r="H2768" s="801" t="s">
        <v>13678</v>
      </c>
      <c r="I2768" s="801"/>
      <c r="J2768" s="801" t="s">
        <v>12705</v>
      </c>
      <c r="K2768" s="801"/>
      <c r="L2768" s="801"/>
    </row>
    <row r="2769" spans="1:12" ht="14.25" customHeight="1">
      <c r="A2769" s="626" t="s">
        <v>12709</v>
      </c>
      <c r="B2769" s="627" t="s">
        <v>13111</v>
      </c>
      <c r="C2769" s="626" t="s">
        <v>8</v>
      </c>
      <c r="D2769" s="626" t="s">
        <v>10564</v>
      </c>
      <c r="E2769" s="628" t="s">
        <v>23</v>
      </c>
      <c r="F2769" s="816" t="s">
        <v>14514</v>
      </c>
      <c r="G2769" s="816"/>
      <c r="H2769" s="816">
        <v>2.0872E-3</v>
      </c>
      <c r="I2769" s="816"/>
      <c r="J2769" s="817">
        <v>0.01</v>
      </c>
      <c r="K2769" s="817"/>
      <c r="L2769" s="817"/>
    </row>
    <row r="2770" spans="1:12" ht="17.100000000000001" customHeight="1">
      <c r="A2770" s="626" t="s">
        <v>12709</v>
      </c>
      <c r="B2770" s="627" t="s">
        <v>13046</v>
      </c>
      <c r="C2770" s="626" t="s">
        <v>8</v>
      </c>
      <c r="D2770" s="626" t="s">
        <v>11281</v>
      </c>
      <c r="E2770" s="628" t="s">
        <v>23</v>
      </c>
      <c r="F2770" s="816" t="s">
        <v>13731</v>
      </c>
      <c r="G2770" s="816"/>
      <c r="H2770" s="816">
        <v>6.1819899999999997E-2</v>
      </c>
      <c r="I2770" s="816"/>
      <c r="J2770" s="817">
        <v>0.31780000000000003</v>
      </c>
      <c r="K2770" s="817"/>
      <c r="L2770" s="817"/>
    </row>
    <row r="2771" spans="1:12" ht="24" customHeight="1">
      <c r="A2771" s="626" t="s">
        <v>12709</v>
      </c>
      <c r="B2771" s="627" t="s">
        <v>13030</v>
      </c>
      <c r="C2771" s="626" t="s">
        <v>8</v>
      </c>
      <c r="D2771" s="626" t="s">
        <v>11729</v>
      </c>
      <c r="E2771" s="628" t="s">
        <v>23</v>
      </c>
      <c r="F2771" s="816" t="s">
        <v>14513</v>
      </c>
      <c r="G2771" s="816"/>
      <c r="H2771" s="816">
        <v>5.54686E-2</v>
      </c>
      <c r="I2771" s="816"/>
      <c r="J2771" s="817">
        <v>0.41820000000000002</v>
      </c>
      <c r="K2771" s="817"/>
      <c r="L2771" s="817"/>
    </row>
    <row r="2772" spans="1:12" ht="24" customHeight="1">
      <c r="A2772" s="636"/>
      <c r="B2772" s="636"/>
      <c r="C2772" s="636"/>
      <c r="D2772" s="636"/>
      <c r="E2772" s="636"/>
      <c r="F2772" s="636"/>
      <c r="G2772" s="636"/>
      <c r="H2772" s="636"/>
      <c r="I2772" s="636"/>
      <c r="J2772" s="636" t="s">
        <v>13675</v>
      </c>
      <c r="K2772" s="636"/>
      <c r="L2772" s="636" t="s">
        <v>14088</v>
      </c>
    </row>
    <row r="2773" spans="1:12" ht="24" customHeight="1">
      <c r="A2773" s="802" t="s">
        <v>12720</v>
      </c>
      <c r="B2773" s="802"/>
      <c r="C2773" s="802"/>
      <c r="D2773" s="802"/>
      <c r="E2773" s="802"/>
      <c r="F2773" s="802"/>
      <c r="G2773" s="802"/>
      <c r="H2773" s="802"/>
      <c r="I2773" s="612"/>
      <c r="J2773" s="612"/>
      <c r="K2773" s="612"/>
      <c r="L2773" s="612"/>
    </row>
    <row r="2774" spans="1:12" ht="24" customHeight="1">
      <c r="A2774" s="612" t="s">
        <v>13679</v>
      </c>
      <c r="B2774" s="636" t="s">
        <v>12698</v>
      </c>
      <c r="C2774" s="612" t="s">
        <v>12699</v>
      </c>
      <c r="D2774" s="612" t="s">
        <v>12700</v>
      </c>
      <c r="E2774" s="637" t="s">
        <v>12702</v>
      </c>
      <c r="F2774" s="801" t="s">
        <v>12704</v>
      </c>
      <c r="G2774" s="801"/>
      <c r="H2774" s="801" t="s">
        <v>13678</v>
      </c>
      <c r="I2774" s="801"/>
      <c r="J2774" s="801" t="s">
        <v>12705</v>
      </c>
      <c r="K2774" s="801"/>
      <c r="L2774" s="801"/>
    </row>
    <row r="2775" spans="1:12" ht="24" customHeight="1">
      <c r="A2775" s="626" t="s">
        <v>12709</v>
      </c>
      <c r="B2775" s="627" t="s">
        <v>13593</v>
      </c>
      <c r="C2775" s="626" t="s">
        <v>8</v>
      </c>
      <c r="D2775" s="626" t="s">
        <v>9601</v>
      </c>
      <c r="E2775" s="628" t="s">
        <v>12787</v>
      </c>
      <c r="F2775" s="816" t="s">
        <v>14668</v>
      </c>
      <c r="G2775" s="816"/>
      <c r="H2775" s="816">
        <v>4.1500000000000004</v>
      </c>
      <c r="I2775" s="816"/>
      <c r="J2775" s="817">
        <v>4.5999999999999996</v>
      </c>
      <c r="K2775" s="817"/>
      <c r="L2775" s="817"/>
    </row>
    <row r="2776" spans="1:12" ht="24" customHeight="1">
      <c r="A2776" s="626" t="s">
        <v>12709</v>
      </c>
      <c r="B2776" s="627" t="s">
        <v>14457</v>
      </c>
      <c r="C2776" s="626" t="s">
        <v>8</v>
      </c>
      <c r="D2776" s="626" t="s">
        <v>12942</v>
      </c>
      <c r="E2776" s="628" t="s">
        <v>12725</v>
      </c>
      <c r="F2776" s="816" t="s">
        <v>14760</v>
      </c>
      <c r="G2776" s="816"/>
      <c r="H2776" s="816">
        <v>1.1459999999999999</v>
      </c>
      <c r="I2776" s="816"/>
      <c r="J2776" s="817">
        <v>118.14</v>
      </c>
      <c r="K2776" s="817"/>
      <c r="L2776" s="817"/>
    </row>
    <row r="2777" spans="1:12" ht="24" customHeight="1">
      <c r="A2777" s="626" t="s">
        <v>12709</v>
      </c>
      <c r="B2777" s="627" t="s">
        <v>12987</v>
      </c>
      <c r="C2777" s="626" t="s">
        <v>8</v>
      </c>
      <c r="D2777" s="626" t="s">
        <v>9192</v>
      </c>
      <c r="E2777" s="628" t="s">
        <v>12923</v>
      </c>
      <c r="F2777" s="816" t="s">
        <v>13999</v>
      </c>
      <c r="G2777" s="816"/>
      <c r="H2777" s="816">
        <v>6.9070000000000004E-4</v>
      </c>
      <c r="I2777" s="816"/>
      <c r="J2777" s="817">
        <v>5.9999999999999995E-4</v>
      </c>
      <c r="K2777" s="817"/>
      <c r="L2777" s="817"/>
    </row>
    <row r="2778" spans="1:12" ht="24" customHeight="1">
      <c r="A2778" s="636"/>
      <c r="B2778" s="636"/>
      <c r="C2778" s="636"/>
      <c r="D2778" s="636"/>
      <c r="E2778" s="636"/>
      <c r="F2778" s="636"/>
      <c r="G2778" s="636"/>
      <c r="H2778" s="636"/>
      <c r="I2778" s="636"/>
      <c r="J2778" s="636" t="s">
        <v>13675</v>
      </c>
      <c r="K2778" s="636"/>
      <c r="L2778" s="636" t="s">
        <v>14759</v>
      </c>
    </row>
    <row r="2779" spans="1:12" ht="17.100000000000001" customHeight="1">
      <c r="A2779" s="802" t="s">
        <v>12722</v>
      </c>
      <c r="B2779" s="802"/>
      <c r="C2779" s="802"/>
      <c r="D2779" s="802"/>
      <c r="E2779" s="802"/>
      <c r="F2779" s="802"/>
      <c r="G2779" s="802"/>
      <c r="H2779" s="802"/>
      <c r="I2779" s="612"/>
      <c r="J2779" s="612"/>
      <c r="K2779" s="612"/>
      <c r="L2779" s="612"/>
    </row>
    <row r="2780" spans="1:12">
      <c r="A2780" s="612" t="s">
        <v>13679</v>
      </c>
      <c r="B2780" s="636" t="s">
        <v>12698</v>
      </c>
      <c r="C2780" s="612" t="s">
        <v>12699</v>
      </c>
      <c r="D2780" s="612" t="s">
        <v>12700</v>
      </c>
      <c r="E2780" s="637" t="s">
        <v>12702</v>
      </c>
      <c r="F2780" s="801" t="s">
        <v>12704</v>
      </c>
      <c r="G2780" s="801"/>
      <c r="H2780" s="801" t="s">
        <v>13678</v>
      </c>
      <c r="I2780" s="801"/>
      <c r="J2780" s="801" t="s">
        <v>12705</v>
      </c>
      <c r="K2780" s="801"/>
      <c r="L2780" s="801"/>
    </row>
    <row r="2781" spans="1:12" ht="17.100000000000001" customHeight="1">
      <c r="A2781" s="626" t="s">
        <v>12709</v>
      </c>
      <c r="B2781" s="627" t="s">
        <v>12998</v>
      </c>
      <c r="C2781" s="626" t="s">
        <v>8</v>
      </c>
      <c r="D2781" s="626" t="s">
        <v>11861</v>
      </c>
      <c r="E2781" s="628" t="s">
        <v>23</v>
      </c>
      <c r="F2781" s="816" t="s">
        <v>13683</v>
      </c>
      <c r="G2781" s="816"/>
      <c r="H2781" s="816">
        <v>0.1181649</v>
      </c>
      <c r="I2781" s="816"/>
      <c r="J2781" s="817">
        <v>8.3900000000000002E-2</v>
      </c>
      <c r="K2781" s="817"/>
      <c r="L2781" s="817"/>
    </row>
    <row r="2782" spans="1:12" ht="36" customHeight="1">
      <c r="A2782" s="636"/>
      <c r="B2782" s="636"/>
      <c r="C2782" s="636"/>
      <c r="D2782" s="636"/>
      <c r="E2782" s="636"/>
      <c r="F2782" s="636"/>
      <c r="G2782" s="636"/>
      <c r="H2782" s="636"/>
      <c r="I2782" s="636"/>
      <c r="J2782" s="636" t="s">
        <v>13675</v>
      </c>
      <c r="K2782" s="636"/>
      <c r="L2782" s="636" t="s">
        <v>13892</v>
      </c>
    </row>
    <row r="2783" spans="1:12" ht="24" customHeight="1">
      <c r="A2783" s="802" t="s">
        <v>12713</v>
      </c>
      <c r="B2783" s="802"/>
      <c r="C2783" s="802"/>
      <c r="D2783" s="802"/>
      <c r="E2783" s="802"/>
      <c r="F2783" s="802"/>
      <c r="G2783" s="802"/>
      <c r="H2783" s="802"/>
      <c r="I2783" s="612"/>
      <c r="J2783" s="612"/>
      <c r="K2783" s="612"/>
      <c r="L2783" s="612"/>
    </row>
    <row r="2784" spans="1:12" ht="24" customHeight="1">
      <c r="A2784" s="612" t="s">
        <v>13679</v>
      </c>
      <c r="B2784" s="636" t="s">
        <v>12698</v>
      </c>
      <c r="C2784" s="612" t="s">
        <v>12699</v>
      </c>
      <c r="D2784" s="612" t="s">
        <v>12700</v>
      </c>
      <c r="E2784" s="637" t="s">
        <v>12702</v>
      </c>
      <c r="F2784" s="801" t="s">
        <v>12704</v>
      </c>
      <c r="G2784" s="801"/>
      <c r="H2784" s="801" t="s">
        <v>13678</v>
      </c>
      <c r="I2784" s="801"/>
      <c r="J2784" s="801" t="s">
        <v>12705</v>
      </c>
      <c r="K2784" s="801"/>
      <c r="L2784" s="801"/>
    </row>
    <row r="2785" spans="1:12" ht="24" customHeight="1">
      <c r="A2785" s="626" t="s">
        <v>12709</v>
      </c>
      <c r="B2785" s="627" t="s">
        <v>12999</v>
      </c>
      <c r="C2785" s="626" t="s">
        <v>8</v>
      </c>
      <c r="D2785" s="626" t="s">
        <v>11251</v>
      </c>
      <c r="E2785" s="628" t="s">
        <v>23</v>
      </c>
      <c r="F2785" s="816" t="s">
        <v>13681</v>
      </c>
      <c r="G2785" s="816"/>
      <c r="H2785" s="816">
        <v>0.1181649</v>
      </c>
      <c r="I2785" s="816"/>
      <c r="J2785" s="817">
        <v>8.3000000000000001E-3</v>
      </c>
      <c r="K2785" s="817"/>
      <c r="L2785" s="817"/>
    </row>
    <row r="2786" spans="1:12" ht="24" customHeight="1">
      <c r="A2786" s="636"/>
      <c r="B2786" s="636"/>
      <c r="C2786" s="636"/>
      <c r="D2786" s="636"/>
      <c r="E2786" s="636"/>
      <c r="F2786" s="636"/>
      <c r="G2786" s="636"/>
      <c r="H2786" s="636"/>
      <c r="I2786" s="636"/>
      <c r="J2786" s="636" t="s">
        <v>13675</v>
      </c>
      <c r="K2786" s="636"/>
      <c r="L2786" s="636" t="s">
        <v>13728</v>
      </c>
    </row>
    <row r="2787" spans="1:12" ht="36" customHeight="1">
      <c r="A2787" s="802" t="s">
        <v>12712</v>
      </c>
      <c r="B2787" s="802"/>
      <c r="C2787" s="802"/>
      <c r="D2787" s="802"/>
      <c r="E2787" s="802"/>
      <c r="F2787" s="802"/>
      <c r="G2787" s="802"/>
      <c r="H2787" s="802"/>
      <c r="I2787" s="612"/>
      <c r="J2787" s="612"/>
      <c r="K2787" s="612"/>
      <c r="L2787" s="612"/>
    </row>
    <row r="2788" spans="1:12" ht="24" customHeight="1">
      <c r="A2788" s="612" t="s">
        <v>13679</v>
      </c>
      <c r="B2788" s="636" t="s">
        <v>12698</v>
      </c>
      <c r="C2788" s="612" t="s">
        <v>12699</v>
      </c>
      <c r="D2788" s="612" t="s">
        <v>12700</v>
      </c>
      <c r="E2788" s="637" t="s">
        <v>12702</v>
      </c>
      <c r="F2788" s="801" t="s">
        <v>12704</v>
      </c>
      <c r="G2788" s="801"/>
      <c r="H2788" s="801" t="s">
        <v>13678</v>
      </c>
      <c r="I2788" s="801"/>
      <c r="J2788" s="801" t="s">
        <v>12705</v>
      </c>
      <c r="K2788" s="801"/>
      <c r="L2788" s="801"/>
    </row>
    <row r="2789" spans="1:12" ht="24" customHeight="1">
      <c r="A2789" s="626" t="s">
        <v>12709</v>
      </c>
      <c r="B2789" s="627" t="s">
        <v>13002</v>
      </c>
      <c r="C2789" s="626" t="s">
        <v>8</v>
      </c>
      <c r="D2789" s="626" t="s">
        <v>9306</v>
      </c>
      <c r="E2789" s="628" t="s">
        <v>23</v>
      </c>
      <c r="F2789" s="816" t="s">
        <v>13677</v>
      </c>
      <c r="G2789" s="816"/>
      <c r="H2789" s="816">
        <v>0.1181649</v>
      </c>
      <c r="I2789" s="816"/>
      <c r="J2789" s="817">
        <v>4.1399999999999999E-2</v>
      </c>
      <c r="K2789" s="817"/>
      <c r="L2789" s="817"/>
    </row>
    <row r="2790" spans="1:12" ht="24" customHeight="1">
      <c r="A2790" s="626" t="s">
        <v>12709</v>
      </c>
      <c r="B2790" s="627" t="s">
        <v>13004</v>
      </c>
      <c r="C2790" s="626" t="s">
        <v>8</v>
      </c>
      <c r="D2790" s="626" t="s">
        <v>7388</v>
      </c>
      <c r="E2790" s="628" t="s">
        <v>23</v>
      </c>
      <c r="F2790" s="816" t="s">
        <v>13676</v>
      </c>
      <c r="G2790" s="816"/>
      <c r="H2790" s="816">
        <v>0.1181649</v>
      </c>
      <c r="I2790" s="816"/>
      <c r="J2790" s="817">
        <v>0.26</v>
      </c>
      <c r="K2790" s="817"/>
      <c r="L2790" s="817"/>
    </row>
    <row r="2791" spans="1:12" ht="24" customHeight="1">
      <c r="A2791" s="636"/>
      <c r="B2791" s="636"/>
      <c r="C2791" s="636"/>
      <c r="D2791" s="636"/>
      <c r="E2791" s="636"/>
      <c r="F2791" s="636"/>
      <c r="G2791" s="636"/>
      <c r="H2791" s="636"/>
      <c r="I2791" s="636"/>
      <c r="J2791" s="636" t="s">
        <v>13675</v>
      </c>
      <c r="K2791" s="636"/>
      <c r="L2791" s="636" t="s">
        <v>13758</v>
      </c>
    </row>
    <row r="2792" spans="1:12" ht="24" customHeight="1">
      <c r="A2792" s="612" t="s">
        <v>13673</v>
      </c>
      <c r="B2792" s="612"/>
      <c r="C2792" s="612"/>
      <c r="D2792" s="612"/>
      <c r="E2792" s="612"/>
      <c r="F2792" s="612"/>
      <c r="G2792" s="612"/>
      <c r="H2792" s="612"/>
      <c r="I2792" s="612"/>
      <c r="J2792" s="612"/>
      <c r="K2792" s="612"/>
      <c r="L2792" s="612"/>
    </row>
    <row r="2793" spans="1:12" ht="17.100000000000001" customHeight="1">
      <c r="A2793" s="636"/>
      <c r="B2793" s="636"/>
      <c r="C2793" s="636"/>
      <c r="D2793" s="636"/>
      <c r="E2793" s="636"/>
      <c r="F2793" s="636"/>
      <c r="G2793" s="636"/>
      <c r="H2793" s="636"/>
      <c r="I2793" s="636"/>
      <c r="J2793" s="636" t="s">
        <v>13672</v>
      </c>
      <c r="K2793" s="636"/>
      <c r="L2793" s="636" t="s">
        <v>15110</v>
      </c>
    </row>
    <row r="2794" spans="1:12">
      <c r="A2794" s="636"/>
      <c r="B2794" s="636"/>
      <c r="C2794" s="636"/>
      <c r="D2794" s="636"/>
      <c r="E2794" s="636"/>
      <c r="F2794" s="636"/>
      <c r="G2794" s="636"/>
      <c r="H2794" s="636"/>
      <c r="I2794" s="636"/>
      <c r="J2794" s="636" t="s">
        <v>13671</v>
      </c>
      <c r="K2794" s="636" t="s">
        <v>14461</v>
      </c>
      <c r="L2794" s="636" t="s">
        <v>15111</v>
      </c>
    </row>
    <row r="2795" spans="1:12" ht="17.100000000000001" customHeight="1">
      <c r="A2795" s="636"/>
      <c r="B2795" s="636"/>
      <c r="C2795" s="636"/>
      <c r="D2795" s="636"/>
      <c r="E2795" s="636"/>
      <c r="F2795" s="636"/>
      <c r="G2795" s="636"/>
      <c r="H2795" s="636"/>
      <c r="I2795" s="636"/>
      <c r="J2795" s="636" t="s">
        <v>13670</v>
      </c>
      <c r="K2795" s="636"/>
      <c r="L2795" s="636" t="s">
        <v>15112</v>
      </c>
    </row>
    <row r="2796" spans="1:12" ht="24" customHeight="1">
      <c r="A2796" s="636"/>
      <c r="B2796" s="636"/>
      <c r="C2796" s="636"/>
      <c r="D2796" s="636"/>
      <c r="E2796" s="636"/>
      <c r="F2796" s="636"/>
      <c r="G2796" s="636"/>
      <c r="H2796" s="636"/>
      <c r="I2796" s="636"/>
      <c r="J2796" s="636" t="s">
        <v>13669</v>
      </c>
      <c r="K2796" s="636" t="s">
        <v>13667</v>
      </c>
      <c r="L2796" s="636" t="s">
        <v>15113</v>
      </c>
    </row>
    <row r="2797" spans="1:12" ht="17.100000000000001" customHeight="1">
      <c r="A2797" s="636"/>
      <c r="B2797" s="636"/>
      <c r="C2797" s="636"/>
      <c r="D2797" s="636"/>
      <c r="E2797" s="636"/>
      <c r="F2797" s="636"/>
      <c r="G2797" s="636"/>
      <c r="H2797" s="636"/>
      <c r="I2797" s="636"/>
      <c r="J2797" s="636" t="s">
        <v>13668</v>
      </c>
      <c r="K2797" s="636"/>
      <c r="L2797" s="636" t="s">
        <v>15114</v>
      </c>
    </row>
    <row r="2798" spans="1:12">
      <c r="A2798" s="637"/>
      <c r="B2798" s="637"/>
      <c r="C2798" s="637"/>
      <c r="D2798" s="637"/>
      <c r="E2798" s="637"/>
      <c r="F2798" s="637"/>
      <c r="G2798" s="637"/>
      <c r="H2798" s="637"/>
      <c r="I2798" s="637"/>
      <c r="J2798" s="637"/>
      <c r="K2798" s="637"/>
      <c r="L2798" s="637"/>
    </row>
    <row r="2799" spans="1:12" ht="17.100000000000001" customHeight="1">
      <c r="A2799" s="616" t="s">
        <v>14181</v>
      </c>
      <c r="B2799" s="617" t="s">
        <v>13592</v>
      </c>
      <c r="C2799" s="616" t="s">
        <v>8</v>
      </c>
      <c r="D2799" s="616" t="s">
        <v>3168</v>
      </c>
      <c r="E2799" s="618" t="s">
        <v>17</v>
      </c>
      <c r="F2799" s="617"/>
      <c r="G2799" s="617"/>
      <c r="H2799" s="617"/>
      <c r="I2799" s="617"/>
      <c r="J2799" s="617"/>
      <c r="K2799" s="617"/>
      <c r="L2799" s="617"/>
    </row>
    <row r="2800" spans="1:12" ht="24" customHeight="1">
      <c r="A2800" s="802" t="s">
        <v>12711</v>
      </c>
      <c r="B2800" s="802"/>
      <c r="C2800" s="802"/>
      <c r="D2800" s="802"/>
      <c r="E2800" s="802"/>
      <c r="F2800" s="802"/>
      <c r="G2800" s="802"/>
      <c r="H2800" s="802"/>
      <c r="I2800" s="612"/>
      <c r="J2800" s="612"/>
      <c r="K2800" s="612"/>
      <c r="L2800" s="612"/>
    </row>
    <row r="2801" spans="1:12" ht="17.100000000000001" customHeight="1">
      <c r="A2801" s="612" t="s">
        <v>13679</v>
      </c>
      <c r="B2801" s="636" t="s">
        <v>12698</v>
      </c>
      <c r="C2801" s="612" t="s">
        <v>12699</v>
      </c>
      <c r="D2801" s="612" t="s">
        <v>12700</v>
      </c>
      <c r="E2801" s="637" t="s">
        <v>12702</v>
      </c>
      <c r="F2801" s="801" t="s">
        <v>12704</v>
      </c>
      <c r="G2801" s="801"/>
      <c r="H2801" s="801" t="s">
        <v>13678</v>
      </c>
      <c r="I2801" s="801"/>
      <c r="J2801" s="801" t="s">
        <v>12705</v>
      </c>
      <c r="K2801" s="801"/>
      <c r="L2801" s="801"/>
    </row>
    <row r="2802" spans="1:12" ht="25.5">
      <c r="A2802" s="626" t="s">
        <v>12709</v>
      </c>
      <c r="B2802" s="627" t="s">
        <v>13003</v>
      </c>
      <c r="C2802" s="626" t="s">
        <v>8</v>
      </c>
      <c r="D2802" s="626" t="s">
        <v>9227</v>
      </c>
      <c r="E2802" s="628" t="s">
        <v>23</v>
      </c>
      <c r="F2802" s="816" t="s">
        <v>13732</v>
      </c>
      <c r="G2802" s="816"/>
      <c r="H2802" s="816">
        <v>3.7235799999999999E-2</v>
      </c>
      <c r="I2802" s="816"/>
      <c r="J2802" s="817">
        <v>2.46E-2</v>
      </c>
      <c r="K2802" s="817"/>
      <c r="L2802" s="817"/>
    </row>
    <row r="2803" spans="1:12" ht="17.100000000000001" customHeight="1">
      <c r="A2803" s="626" t="s">
        <v>12709</v>
      </c>
      <c r="B2803" s="627" t="s">
        <v>13001</v>
      </c>
      <c r="C2803" s="626" t="s">
        <v>8</v>
      </c>
      <c r="D2803" s="626" t="s">
        <v>9374</v>
      </c>
      <c r="E2803" s="628" t="s">
        <v>23</v>
      </c>
      <c r="F2803" s="816" t="s">
        <v>13728</v>
      </c>
      <c r="G2803" s="816"/>
      <c r="H2803" s="816">
        <v>3.7235799999999999E-2</v>
      </c>
      <c r="I2803" s="816"/>
      <c r="J2803" s="817">
        <v>4.0000000000000002E-4</v>
      </c>
      <c r="K2803" s="817"/>
      <c r="L2803" s="817"/>
    </row>
    <row r="2804" spans="1:12" ht="24" customHeight="1">
      <c r="A2804" s="626" t="s">
        <v>12709</v>
      </c>
      <c r="B2804" s="627" t="s">
        <v>13032</v>
      </c>
      <c r="C2804" s="626" t="s">
        <v>8</v>
      </c>
      <c r="D2804" s="626" t="s">
        <v>9217</v>
      </c>
      <c r="E2804" s="628" t="s">
        <v>23</v>
      </c>
      <c r="F2804" s="816" t="s">
        <v>13741</v>
      </c>
      <c r="G2804" s="816"/>
      <c r="H2804" s="816">
        <v>0.1049851</v>
      </c>
      <c r="I2804" s="816"/>
      <c r="J2804" s="817">
        <v>0.1134</v>
      </c>
      <c r="K2804" s="817"/>
      <c r="L2804" s="817"/>
    </row>
    <row r="2805" spans="1:12" ht="24" customHeight="1">
      <c r="A2805" s="626" t="s">
        <v>12709</v>
      </c>
      <c r="B2805" s="627" t="s">
        <v>13031</v>
      </c>
      <c r="C2805" s="626" t="s">
        <v>8</v>
      </c>
      <c r="D2805" s="626" t="s">
        <v>9364</v>
      </c>
      <c r="E2805" s="628" t="s">
        <v>23</v>
      </c>
      <c r="F2805" s="816" t="s">
        <v>13740</v>
      </c>
      <c r="G2805" s="816"/>
      <c r="H2805" s="816">
        <v>0.1049851</v>
      </c>
      <c r="I2805" s="816"/>
      <c r="J2805" s="817">
        <v>3.5700000000000003E-2</v>
      </c>
      <c r="K2805" s="817"/>
      <c r="L2805" s="817"/>
    </row>
    <row r="2806" spans="1:12" ht="17.100000000000001" customHeight="1">
      <c r="A2806" s="626" t="s">
        <v>12709</v>
      </c>
      <c r="B2806" s="627" t="s">
        <v>13052</v>
      </c>
      <c r="C2806" s="626" t="s">
        <v>8</v>
      </c>
      <c r="D2806" s="626" t="s">
        <v>9229</v>
      </c>
      <c r="E2806" s="628" t="s">
        <v>23</v>
      </c>
      <c r="F2806" s="816" t="s">
        <v>13692</v>
      </c>
      <c r="G2806" s="816"/>
      <c r="H2806" s="816">
        <v>0.37944739999999999</v>
      </c>
      <c r="I2806" s="816"/>
      <c r="J2806" s="817">
        <v>0.36430000000000001</v>
      </c>
      <c r="K2806" s="817"/>
      <c r="L2806" s="817"/>
    </row>
    <row r="2807" spans="1:12" ht="17.100000000000001" customHeight="1">
      <c r="A2807" s="626" t="s">
        <v>12709</v>
      </c>
      <c r="B2807" s="627" t="s">
        <v>13051</v>
      </c>
      <c r="C2807" s="626" t="s">
        <v>8</v>
      </c>
      <c r="D2807" s="626" t="s">
        <v>9376</v>
      </c>
      <c r="E2807" s="628" t="s">
        <v>23</v>
      </c>
      <c r="F2807" s="816" t="s">
        <v>13691</v>
      </c>
      <c r="G2807" s="816"/>
      <c r="H2807" s="816">
        <v>0.37944739999999999</v>
      </c>
      <c r="I2807" s="816"/>
      <c r="J2807" s="817">
        <v>0.18970000000000001</v>
      </c>
      <c r="K2807" s="817"/>
      <c r="L2807" s="817"/>
    </row>
    <row r="2808" spans="1:12" ht="17.100000000000001" customHeight="1">
      <c r="A2808" s="626" t="s">
        <v>12709</v>
      </c>
      <c r="B2808" s="627" t="s">
        <v>13297</v>
      </c>
      <c r="C2808" s="626" t="s">
        <v>8</v>
      </c>
      <c r="D2808" s="626" t="s">
        <v>7681</v>
      </c>
      <c r="E2808" s="628" t="s">
        <v>35</v>
      </c>
      <c r="F2808" s="816" t="s">
        <v>14527</v>
      </c>
      <c r="G2808" s="816"/>
      <c r="H2808" s="816">
        <v>2.0999999999999998E-6</v>
      </c>
      <c r="I2808" s="816"/>
      <c r="J2808" s="817">
        <v>3.09E-2</v>
      </c>
      <c r="K2808" s="817"/>
      <c r="L2808" s="817"/>
    </row>
    <row r="2809" spans="1:12" ht="17.100000000000001" customHeight="1">
      <c r="A2809" s="626" t="s">
        <v>12709</v>
      </c>
      <c r="B2809" s="627" t="s">
        <v>13048</v>
      </c>
      <c r="C2809" s="626" t="s">
        <v>8</v>
      </c>
      <c r="D2809" s="626" t="s">
        <v>9233</v>
      </c>
      <c r="E2809" s="628" t="s">
        <v>23</v>
      </c>
      <c r="F2809" s="816" t="s">
        <v>13690</v>
      </c>
      <c r="G2809" s="816"/>
      <c r="H2809" s="816">
        <v>0.2108305</v>
      </c>
      <c r="I2809" s="816"/>
      <c r="J2809" s="817">
        <v>0.215</v>
      </c>
      <c r="K2809" s="817"/>
      <c r="L2809" s="817"/>
    </row>
    <row r="2810" spans="1:12" ht="17.100000000000001" customHeight="1">
      <c r="A2810" s="626" t="s">
        <v>12709</v>
      </c>
      <c r="B2810" s="627" t="s">
        <v>13047</v>
      </c>
      <c r="C2810" s="626" t="s">
        <v>8</v>
      </c>
      <c r="D2810" s="626" t="s">
        <v>9380</v>
      </c>
      <c r="E2810" s="628" t="s">
        <v>23</v>
      </c>
      <c r="F2810" s="816" t="s">
        <v>13689</v>
      </c>
      <c r="G2810" s="816"/>
      <c r="H2810" s="816">
        <v>0.2108305</v>
      </c>
      <c r="I2810" s="816"/>
      <c r="J2810" s="817">
        <v>8.0100000000000005E-2</v>
      </c>
      <c r="K2810" s="817"/>
      <c r="L2810" s="817"/>
    </row>
    <row r="2811" spans="1:12" ht="17.100000000000001" customHeight="1">
      <c r="A2811" s="636"/>
      <c r="B2811" s="636"/>
      <c r="C2811" s="636"/>
      <c r="D2811" s="636"/>
      <c r="E2811" s="636"/>
      <c r="F2811" s="636"/>
      <c r="G2811" s="636"/>
      <c r="H2811" s="636"/>
      <c r="I2811" s="636"/>
      <c r="J2811" s="636" t="s">
        <v>13675</v>
      </c>
      <c r="K2811" s="636"/>
      <c r="L2811" s="636" t="s">
        <v>14010</v>
      </c>
    </row>
    <row r="2812" spans="1:12" ht="17.100000000000001" customHeight="1">
      <c r="A2812" s="802" t="s">
        <v>12710</v>
      </c>
      <c r="B2812" s="802"/>
      <c r="C2812" s="802"/>
      <c r="D2812" s="802"/>
      <c r="E2812" s="802"/>
      <c r="F2812" s="802"/>
      <c r="G2812" s="802"/>
      <c r="H2812" s="802"/>
      <c r="I2812" s="612"/>
      <c r="J2812" s="612"/>
      <c r="K2812" s="612"/>
      <c r="L2812" s="612"/>
    </row>
    <row r="2813" spans="1:12" ht="30" customHeight="1">
      <c r="A2813" s="612" t="s">
        <v>13679</v>
      </c>
      <c r="B2813" s="636" t="s">
        <v>12698</v>
      </c>
      <c r="C2813" s="612" t="s">
        <v>12699</v>
      </c>
      <c r="D2813" s="612" t="s">
        <v>12700</v>
      </c>
      <c r="E2813" s="637" t="s">
        <v>12702</v>
      </c>
      <c r="F2813" s="801" t="s">
        <v>12704</v>
      </c>
      <c r="G2813" s="801"/>
      <c r="H2813" s="801" t="s">
        <v>13678</v>
      </c>
      <c r="I2813" s="801"/>
      <c r="J2813" s="801" t="s">
        <v>12705</v>
      </c>
      <c r="K2813" s="801"/>
      <c r="L2813" s="801"/>
    </row>
    <row r="2814" spans="1:12" ht="36" customHeight="1">
      <c r="A2814" s="626" t="s">
        <v>12709</v>
      </c>
      <c r="B2814" s="627" t="s">
        <v>13103</v>
      </c>
      <c r="C2814" s="626" t="s">
        <v>8</v>
      </c>
      <c r="D2814" s="626" t="s">
        <v>10570</v>
      </c>
      <c r="E2814" s="628" t="s">
        <v>23</v>
      </c>
      <c r="F2814" s="816" t="s">
        <v>14289</v>
      </c>
      <c r="G2814" s="816"/>
      <c r="H2814" s="816">
        <v>1.7642499999999998E-2</v>
      </c>
      <c r="I2814" s="816"/>
      <c r="J2814" s="817">
        <v>8.9800000000000005E-2</v>
      </c>
      <c r="K2814" s="817"/>
      <c r="L2814" s="817"/>
    </row>
    <row r="2815" spans="1:12" ht="14.25" customHeight="1">
      <c r="A2815" s="626" t="s">
        <v>12709</v>
      </c>
      <c r="B2815" s="627" t="s">
        <v>13228</v>
      </c>
      <c r="C2815" s="626" t="s">
        <v>8</v>
      </c>
      <c r="D2815" s="626" t="s">
        <v>8289</v>
      </c>
      <c r="E2815" s="628" t="s">
        <v>23</v>
      </c>
      <c r="F2815" s="816" t="s">
        <v>14199</v>
      </c>
      <c r="G2815" s="816"/>
      <c r="H2815" s="816">
        <v>1.7682799999999999E-2</v>
      </c>
      <c r="I2815" s="816"/>
      <c r="J2815" s="817">
        <v>9.6199999999999994E-2</v>
      </c>
      <c r="K2815" s="817"/>
      <c r="L2815" s="817"/>
    </row>
    <row r="2816" spans="1:12" ht="17.100000000000001" customHeight="1">
      <c r="A2816" s="626" t="s">
        <v>12709</v>
      </c>
      <c r="B2816" s="627" t="s">
        <v>13212</v>
      </c>
      <c r="C2816" s="626" t="s">
        <v>8</v>
      </c>
      <c r="D2816" s="626" t="s">
        <v>8293</v>
      </c>
      <c r="E2816" s="628" t="s">
        <v>23</v>
      </c>
      <c r="F2816" s="816" t="s">
        <v>14470</v>
      </c>
      <c r="G2816" s="816"/>
      <c r="H2816" s="816">
        <v>8.7811799999999995E-2</v>
      </c>
      <c r="I2816" s="816"/>
      <c r="J2816" s="817">
        <v>0.60680000000000001</v>
      </c>
      <c r="K2816" s="817"/>
      <c r="L2816" s="817"/>
    </row>
    <row r="2817" spans="1:12" ht="24" customHeight="1">
      <c r="A2817" s="626" t="s">
        <v>12709</v>
      </c>
      <c r="B2817" s="627" t="s">
        <v>13230</v>
      </c>
      <c r="C2817" s="626" t="s">
        <v>8</v>
      </c>
      <c r="D2817" s="626" t="s">
        <v>7362</v>
      </c>
      <c r="E2817" s="628" t="s">
        <v>23</v>
      </c>
      <c r="F2817" s="816" t="s">
        <v>14514</v>
      </c>
      <c r="G2817" s="816"/>
      <c r="H2817" s="816">
        <v>2.5341000000000001E-3</v>
      </c>
      <c r="I2817" s="816"/>
      <c r="J2817" s="817">
        <v>1.2200000000000001E-2</v>
      </c>
      <c r="K2817" s="817"/>
      <c r="L2817" s="817"/>
    </row>
    <row r="2818" spans="1:12" ht="24" customHeight="1">
      <c r="A2818" s="626" t="s">
        <v>12709</v>
      </c>
      <c r="B2818" s="627" t="s">
        <v>13224</v>
      </c>
      <c r="C2818" s="626" t="s">
        <v>8</v>
      </c>
      <c r="D2818" s="626" t="s">
        <v>7556</v>
      </c>
      <c r="E2818" s="628" t="s">
        <v>23</v>
      </c>
      <c r="F2818" s="816" t="s">
        <v>14470</v>
      </c>
      <c r="G2818" s="816"/>
      <c r="H2818" s="816">
        <v>1.7738799999999999E-2</v>
      </c>
      <c r="I2818" s="816"/>
      <c r="J2818" s="817">
        <v>0.1226</v>
      </c>
      <c r="K2818" s="817"/>
      <c r="L2818" s="817"/>
    </row>
    <row r="2819" spans="1:12" ht="24" customHeight="1">
      <c r="A2819" s="626" t="s">
        <v>12709</v>
      </c>
      <c r="B2819" s="627" t="s">
        <v>13046</v>
      </c>
      <c r="C2819" s="626" t="s">
        <v>8</v>
      </c>
      <c r="D2819" s="626" t="s">
        <v>11281</v>
      </c>
      <c r="E2819" s="628" t="s">
        <v>23</v>
      </c>
      <c r="F2819" s="816" t="s">
        <v>13731</v>
      </c>
      <c r="G2819" s="816"/>
      <c r="H2819" s="816">
        <v>0.2131806</v>
      </c>
      <c r="I2819" s="816"/>
      <c r="J2819" s="817">
        <v>1.0956999999999999</v>
      </c>
      <c r="K2819" s="817"/>
      <c r="L2819" s="817"/>
    </row>
    <row r="2820" spans="1:12" ht="24" customHeight="1">
      <c r="A2820" s="626" t="s">
        <v>12709</v>
      </c>
      <c r="B2820" s="627" t="s">
        <v>13116</v>
      </c>
      <c r="C2820" s="626" t="s">
        <v>8</v>
      </c>
      <c r="D2820" s="626" t="s">
        <v>10556</v>
      </c>
      <c r="E2820" s="628" t="s">
        <v>23</v>
      </c>
      <c r="F2820" s="816" t="s">
        <v>13770</v>
      </c>
      <c r="G2820" s="816"/>
      <c r="H2820" s="816">
        <v>1.9716600000000001E-2</v>
      </c>
      <c r="I2820" s="816"/>
      <c r="J2820" s="817">
        <v>9.4E-2</v>
      </c>
      <c r="K2820" s="817"/>
      <c r="L2820" s="817"/>
    </row>
    <row r="2821" spans="1:12" ht="17.100000000000001" customHeight="1">
      <c r="A2821" s="626" t="s">
        <v>12709</v>
      </c>
      <c r="B2821" s="627" t="s">
        <v>13099</v>
      </c>
      <c r="C2821" s="626" t="s">
        <v>8</v>
      </c>
      <c r="D2821" s="626" t="s">
        <v>10726</v>
      </c>
      <c r="E2821" s="628" t="s">
        <v>23</v>
      </c>
      <c r="F2821" s="816" t="s">
        <v>14470</v>
      </c>
      <c r="G2821" s="816"/>
      <c r="H2821" s="816">
        <v>0.36326950000000002</v>
      </c>
      <c r="I2821" s="816"/>
      <c r="J2821" s="817">
        <v>2.5102000000000002</v>
      </c>
      <c r="K2821" s="817"/>
      <c r="L2821" s="817"/>
    </row>
    <row r="2822" spans="1:12" ht="14.25" customHeight="1">
      <c r="A2822" s="636"/>
      <c r="B2822" s="636"/>
      <c r="C2822" s="636"/>
      <c r="D2822" s="636"/>
      <c r="E2822" s="636"/>
      <c r="F2822" s="636"/>
      <c r="G2822" s="636"/>
      <c r="H2822" s="636"/>
      <c r="I2822" s="636"/>
      <c r="J2822" s="636" t="s">
        <v>13675</v>
      </c>
      <c r="K2822" s="636"/>
      <c r="L2822" s="636" t="s">
        <v>14758</v>
      </c>
    </row>
    <row r="2823" spans="1:12" ht="17.100000000000001" customHeight="1">
      <c r="A2823" s="802" t="s">
        <v>12720</v>
      </c>
      <c r="B2823" s="802"/>
      <c r="C2823" s="802"/>
      <c r="D2823" s="802"/>
      <c r="E2823" s="802"/>
      <c r="F2823" s="802"/>
      <c r="G2823" s="802"/>
      <c r="H2823" s="802"/>
      <c r="I2823" s="612"/>
      <c r="J2823" s="612"/>
      <c r="K2823" s="612"/>
      <c r="L2823" s="612"/>
    </row>
    <row r="2824" spans="1:12" ht="24" customHeight="1">
      <c r="A2824" s="612" t="s">
        <v>13679</v>
      </c>
      <c r="B2824" s="636" t="s">
        <v>12698</v>
      </c>
      <c r="C2824" s="612" t="s">
        <v>12699</v>
      </c>
      <c r="D2824" s="612" t="s">
        <v>12700</v>
      </c>
      <c r="E2824" s="637" t="s">
        <v>12702</v>
      </c>
      <c r="F2824" s="801" t="s">
        <v>12704</v>
      </c>
      <c r="G2824" s="801"/>
      <c r="H2824" s="801" t="s">
        <v>13678</v>
      </c>
      <c r="I2824" s="801"/>
      <c r="J2824" s="801" t="s">
        <v>12705</v>
      </c>
      <c r="K2824" s="801"/>
      <c r="L2824" s="801"/>
    </row>
    <row r="2825" spans="1:12" ht="24" customHeight="1">
      <c r="A2825" s="626" t="s">
        <v>12709</v>
      </c>
      <c r="B2825" s="627" t="s">
        <v>13310</v>
      </c>
      <c r="C2825" s="626" t="s">
        <v>8</v>
      </c>
      <c r="D2825" s="626" t="s">
        <v>9265</v>
      </c>
      <c r="E2825" s="628" t="s">
        <v>35</v>
      </c>
      <c r="F2825" s="816" t="s">
        <v>13875</v>
      </c>
      <c r="G2825" s="816"/>
      <c r="H2825" s="816">
        <v>6</v>
      </c>
      <c r="I2825" s="816"/>
      <c r="J2825" s="817">
        <v>0.78</v>
      </c>
      <c r="K2825" s="817"/>
      <c r="L2825" s="817"/>
    </row>
    <row r="2826" spans="1:12" ht="17.100000000000001" customHeight="1">
      <c r="A2826" s="626" t="s">
        <v>12709</v>
      </c>
      <c r="B2826" s="627" t="s">
        <v>13093</v>
      </c>
      <c r="C2826" s="626" t="s">
        <v>8</v>
      </c>
      <c r="D2826" s="626" t="s">
        <v>8980</v>
      </c>
      <c r="E2826" s="628" t="s">
        <v>58</v>
      </c>
      <c r="F2826" s="816" t="s">
        <v>14502</v>
      </c>
      <c r="G2826" s="816"/>
      <c r="H2826" s="816">
        <v>3.5000000000000001E-3</v>
      </c>
      <c r="I2826" s="816"/>
      <c r="J2826" s="817">
        <v>0.01</v>
      </c>
      <c r="K2826" s="817"/>
      <c r="L2826" s="817"/>
    </row>
    <row r="2827" spans="1:12" ht="25.5">
      <c r="A2827" s="626" t="s">
        <v>12709</v>
      </c>
      <c r="B2827" s="627" t="s">
        <v>13091</v>
      </c>
      <c r="C2827" s="626" t="s">
        <v>8</v>
      </c>
      <c r="D2827" s="626" t="s">
        <v>11248</v>
      </c>
      <c r="E2827" s="628" t="s">
        <v>17</v>
      </c>
      <c r="F2827" s="816" t="s">
        <v>14501</v>
      </c>
      <c r="G2827" s="816"/>
      <c r="H2827" s="816">
        <v>0.82191780000000003</v>
      </c>
      <c r="I2827" s="816"/>
      <c r="J2827" s="817">
        <v>1.6437999999999999</v>
      </c>
      <c r="K2827" s="817"/>
      <c r="L2827" s="817"/>
    </row>
    <row r="2828" spans="1:12" ht="17.100000000000001" customHeight="1">
      <c r="A2828" s="626" t="s">
        <v>12709</v>
      </c>
      <c r="B2828" s="627" t="s">
        <v>13189</v>
      </c>
      <c r="C2828" s="626" t="s">
        <v>8</v>
      </c>
      <c r="D2828" s="626" t="s">
        <v>11363</v>
      </c>
      <c r="E2828" s="628" t="s">
        <v>17</v>
      </c>
      <c r="F2828" s="816" t="s">
        <v>14500</v>
      </c>
      <c r="G2828" s="816"/>
      <c r="H2828" s="816">
        <v>0.73988569999999998</v>
      </c>
      <c r="I2828" s="816"/>
      <c r="J2828" s="817">
        <v>6.4665999999999997</v>
      </c>
      <c r="K2828" s="817"/>
      <c r="L2828" s="817"/>
    </row>
    <row r="2829" spans="1:12" ht="24" customHeight="1">
      <c r="A2829" s="626" t="s">
        <v>12709</v>
      </c>
      <c r="B2829" s="627" t="s">
        <v>13190</v>
      </c>
      <c r="C2829" s="626" t="s">
        <v>8</v>
      </c>
      <c r="D2829" s="626" t="s">
        <v>11009</v>
      </c>
      <c r="E2829" s="628" t="s">
        <v>20</v>
      </c>
      <c r="F2829" s="816" t="s">
        <v>13824</v>
      </c>
      <c r="G2829" s="816"/>
      <c r="H2829" s="816">
        <v>6.1872999999999997E-3</v>
      </c>
      <c r="I2829" s="816"/>
      <c r="J2829" s="817">
        <v>6.9199999999999998E-2</v>
      </c>
      <c r="K2829" s="817"/>
      <c r="L2829" s="817"/>
    </row>
    <row r="2830" spans="1:12" ht="24" customHeight="1">
      <c r="A2830" s="626" t="s">
        <v>12709</v>
      </c>
      <c r="B2830" s="627" t="s">
        <v>13056</v>
      </c>
      <c r="C2830" s="626" t="s">
        <v>8</v>
      </c>
      <c r="D2830" s="626" t="s">
        <v>11277</v>
      </c>
      <c r="E2830" s="628" t="s">
        <v>35</v>
      </c>
      <c r="F2830" s="816" t="s">
        <v>14498</v>
      </c>
      <c r="G2830" s="816"/>
      <c r="H2830" s="816">
        <v>1.9E-6</v>
      </c>
      <c r="I2830" s="816"/>
      <c r="J2830" s="817">
        <v>2.3999999999999998E-3</v>
      </c>
      <c r="K2830" s="817"/>
      <c r="L2830" s="817"/>
    </row>
    <row r="2831" spans="1:12" ht="17.100000000000001" customHeight="1">
      <c r="A2831" s="626" t="s">
        <v>12709</v>
      </c>
      <c r="B2831" s="627" t="s">
        <v>12987</v>
      </c>
      <c r="C2831" s="626" t="s">
        <v>8</v>
      </c>
      <c r="D2831" s="626" t="s">
        <v>9192</v>
      </c>
      <c r="E2831" s="628" t="s">
        <v>12923</v>
      </c>
      <c r="F2831" s="816" t="s">
        <v>13999</v>
      </c>
      <c r="G2831" s="816"/>
      <c r="H2831" s="816">
        <v>5.69934E-2</v>
      </c>
      <c r="I2831" s="816"/>
      <c r="J2831" s="817">
        <v>4.6199999999999998E-2</v>
      </c>
      <c r="K2831" s="817"/>
      <c r="L2831" s="817"/>
    </row>
    <row r="2832" spans="1:12" ht="25.5">
      <c r="A2832" s="626" t="s">
        <v>12709</v>
      </c>
      <c r="B2832" s="627" t="s">
        <v>13240</v>
      </c>
      <c r="C2832" s="626" t="s">
        <v>8</v>
      </c>
      <c r="D2832" s="626" t="s">
        <v>7266</v>
      </c>
      <c r="E2832" s="628" t="s">
        <v>20</v>
      </c>
      <c r="F2832" s="816" t="s">
        <v>14757</v>
      </c>
      <c r="G2832" s="816"/>
      <c r="H2832" s="816">
        <v>0.87510889999999997</v>
      </c>
      <c r="I2832" s="816"/>
      <c r="J2832" s="817">
        <v>4.7781000000000002</v>
      </c>
      <c r="K2832" s="817"/>
      <c r="L2832" s="817"/>
    </row>
    <row r="2833" spans="1:12" ht="17.100000000000001" customHeight="1">
      <c r="A2833" s="626" t="s">
        <v>12709</v>
      </c>
      <c r="B2833" s="627" t="s">
        <v>13250</v>
      </c>
      <c r="C2833" s="626" t="s">
        <v>8</v>
      </c>
      <c r="D2833" s="626" t="s">
        <v>7526</v>
      </c>
      <c r="E2833" s="628" t="s">
        <v>12730</v>
      </c>
      <c r="F2833" s="816" t="s">
        <v>13747</v>
      </c>
      <c r="G2833" s="816"/>
      <c r="H2833" s="816">
        <v>1.1695499999999999E-2</v>
      </c>
      <c r="I2833" s="816"/>
      <c r="J2833" s="817">
        <v>0.73099999999999998</v>
      </c>
      <c r="K2833" s="817"/>
      <c r="L2833" s="817"/>
    </row>
    <row r="2834" spans="1:12" ht="24" customHeight="1">
      <c r="A2834" s="626" t="s">
        <v>12709</v>
      </c>
      <c r="B2834" s="627" t="s">
        <v>13249</v>
      </c>
      <c r="C2834" s="626" t="s">
        <v>8</v>
      </c>
      <c r="D2834" s="626" t="s">
        <v>8420</v>
      </c>
      <c r="E2834" s="628" t="s">
        <v>20</v>
      </c>
      <c r="F2834" s="816" t="s">
        <v>13700</v>
      </c>
      <c r="G2834" s="816"/>
      <c r="H2834" s="816">
        <v>4.9972363</v>
      </c>
      <c r="I2834" s="816"/>
      <c r="J2834" s="817">
        <v>2.4485999999999999</v>
      </c>
      <c r="K2834" s="817"/>
      <c r="L2834" s="817"/>
    </row>
    <row r="2835" spans="1:12" ht="17.100000000000001" customHeight="1">
      <c r="A2835" s="626" t="s">
        <v>12709</v>
      </c>
      <c r="B2835" s="627" t="s">
        <v>13248</v>
      </c>
      <c r="C2835" s="626" t="s">
        <v>8</v>
      </c>
      <c r="D2835" s="626" t="s">
        <v>10712</v>
      </c>
      <c r="E2835" s="628" t="s">
        <v>12730</v>
      </c>
      <c r="F2835" s="816" t="s">
        <v>13745</v>
      </c>
      <c r="G2835" s="816"/>
      <c r="H2835" s="816">
        <v>9.0828000000000002E-3</v>
      </c>
      <c r="I2835" s="816"/>
      <c r="J2835" s="817">
        <v>0.72660000000000002</v>
      </c>
      <c r="K2835" s="817"/>
      <c r="L2835" s="817"/>
    </row>
    <row r="2836" spans="1:12">
      <c r="A2836" s="636"/>
      <c r="B2836" s="636"/>
      <c r="C2836" s="636"/>
      <c r="D2836" s="636"/>
      <c r="E2836" s="636"/>
      <c r="F2836" s="636"/>
      <c r="G2836" s="636"/>
      <c r="H2836" s="636"/>
      <c r="I2836" s="636"/>
      <c r="J2836" s="636" t="s">
        <v>13675</v>
      </c>
      <c r="K2836" s="636"/>
      <c r="L2836" s="636" t="s">
        <v>14756</v>
      </c>
    </row>
    <row r="2837" spans="1:12" ht="17.100000000000001" customHeight="1">
      <c r="A2837" s="802" t="s">
        <v>12722</v>
      </c>
      <c r="B2837" s="802"/>
      <c r="C2837" s="802"/>
      <c r="D2837" s="802"/>
      <c r="E2837" s="802"/>
      <c r="F2837" s="802"/>
      <c r="G2837" s="802"/>
      <c r="H2837" s="802"/>
      <c r="I2837" s="612"/>
      <c r="J2837" s="612"/>
      <c r="K2837" s="612"/>
      <c r="L2837" s="612"/>
    </row>
    <row r="2838" spans="1:12" ht="24" customHeight="1">
      <c r="A2838" s="612" t="s">
        <v>13679</v>
      </c>
      <c r="B2838" s="636" t="s">
        <v>12698</v>
      </c>
      <c r="C2838" s="612" t="s">
        <v>12699</v>
      </c>
      <c r="D2838" s="612" t="s">
        <v>12700</v>
      </c>
      <c r="E2838" s="637" t="s">
        <v>12702</v>
      </c>
      <c r="F2838" s="801" t="s">
        <v>12704</v>
      </c>
      <c r="G2838" s="801"/>
      <c r="H2838" s="801" t="s">
        <v>13678</v>
      </c>
      <c r="I2838" s="801"/>
      <c r="J2838" s="801" t="s">
        <v>12705</v>
      </c>
      <c r="K2838" s="801"/>
      <c r="L2838" s="801"/>
    </row>
    <row r="2839" spans="1:12" ht="17.100000000000001" customHeight="1">
      <c r="A2839" s="626" t="s">
        <v>12709</v>
      </c>
      <c r="B2839" s="627" t="s">
        <v>12998</v>
      </c>
      <c r="C2839" s="626" t="s">
        <v>8</v>
      </c>
      <c r="D2839" s="626" t="s">
        <v>11861</v>
      </c>
      <c r="E2839" s="628" t="s">
        <v>23</v>
      </c>
      <c r="F2839" s="816" t="s">
        <v>13683</v>
      </c>
      <c r="G2839" s="816"/>
      <c r="H2839" s="816">
        <v>0.73249880000000001</v>
      </c>
      <c r="I2839" s="816"/>
      <c r="J2839" s="817">
        <v>0.52010000000000001</v>
      </c>
      <c r="K2839" s="817"/>
      <c r="L2839" s="817"/>
    </row>
    <row r="2840" spans="1:12">
      <c r="A2840" s="636"/>
      <c r="B2840" s="636"/>
      <c r="C2840" s="636"/>
      <c r="D2840" s="636"/>
      <c r="E2840" s="636"/>
      <c r="F2840" s="636"/>
      <c r="G2840" s="636"/>
      <c r="H2840" s="636"/>
      <c r="I2840" s="636"/>
      <c r="J2840" s="636" t="s">
        <v>13675</v>
      </c>
      <c r="K2840" s="636"/>
      <c r="L2840" s="636" t="s">
        <v>13896</v>
      </c>
    </row>
    <row r="2841" spans="1:12" ht="17.100000000000001" customHeight="1">
      <c r="A2841" s="802" t="s">
        <v>12713</v>
      </c>
      <c r="B2841" s="802"/>
      <c r="C2841" s="802"/>
      <c r="D2841" s="802"/>
      <c r="E2841" s="802"/>
      <c r="F2841" s="802"/>
      <c r="G2841" s="802"/>
      <c r="H2841" s="802"/>
      <c r="I2841" s="612"/>
      <c r="J2841" s="612"/>
      <c r="K2841" s="612"/>
      <c r="L2841" s="612"/>
    </row>
    <row r="2842" spans="1:12" ht="24" customHeight="1">
      <c r="A2842" s="612" t="s">
        <v>13679</v>
      </c>
      <c r="B2842" s="636" t="s">
        <v>12698</v>
      </c>
      <c r="C2842" s="612" t="s">
        <v>12699</v>
      </c>
      <c r="D2842" s="612" t="s">
        <v>12700</v>
      </c>
      <c r="E2842" s="637" t="s">
        <v>12702</v>
      </c>
      <c r="F2842" s="801" t="s">
        <v>12704</v>
      </c>
      <c r="G2842" s="801"/>
      <c r="H2842" s="801" t="s">
        <v>13678</v>
      </c>
      <c r="I2842" s="801"/>
      <c r="J2842" s="801" t="s">
        <v>12705</v>
      </c>
      <c r="K2842" s="801"/>
      <c r="L2842" s="801"/>
    </row>
    <row r="2843" spans="1:12" ht="24" customHeight="1">
      <c r="A2843" s="626" t="s">
        <v>12709</v>
      </c>
      <c r="B2843" s="627" t="s">
        <v>12999</v>
      </c>
      <c r="C2843" s="626" t="s">
        <v>8</v>
      </c>
      <c r="D2843" s="626" t="s">
        <v>11251</v>
      </c>
      <c r="E2843" s="628" t="s">
        <v>23</v>
      </c>
      <c r="F2843" s="816" t="s">
        <v>13681</v>
      </c>
      <c r="G2843" s="816"/>
      <c r="H2843" s="816">
        <v>0.73249880000000001</v>
      </c>
      <c r="I2843" s="816"/>
      <c r="J2843" s="817">
        <v>5.1299999999999998E-2</v>
      </c>
      <c r="K2843" s="817"/>
      <c r="L2843" s="817"/>
    </row>
    <row r="2844" spans="1:12" ht="17.100000000000001" customHeight="1">
      <c r="A2844" s="636"/>
      <c r="B2844" s="636"/>
      <c r="C2844" s="636"/>
      <c r="D2844" s="636"/>
      <c r="E2844" s="636"/>
      <c r="F2844" s="636"/>
      <c r="G2844" s="636"/>
      <c r="H2844" s="636"/>
      <c r="I2844" s="636"/>
      <c r="J2844" s="636" t="s">
        <v>13675</v>
      </c>
      <c r="K2844" s="636"/>
      <c r="L2844" s="636" t="s">
        <v>13767</v>
      </c>
    </row>
    <row r="2845" spans="1:12" ht="17.100000000000001" customHeight="1">
      <c r="A2845" s="802" t="s">
        <v>12712</v>
      </c>
      <c r="B2845" s="802"/>
      <c r="C2845" s="802"/>
      <c r="D2845" s="802"/>
      <c r="E2845" s="802"/>
      <c r="F2845" s="802"/>
      <c r="G2845" s="802"/>
      <c r="H2845" s="802"/>
      <c r="I2845" s="612"/>
      <c r="J2845" s="612"/>
      <c r="K2845" s="612"/>
      <c r="L2845" s="612"/>
    </row>
    <row r="2846" spans="1:12" ht="17.100000000000001" customHeight="1">
      <c r="A2846" s="612" t="s">
        <v>13679</v>
      </c>
      <c r="B2846" s="636" t="s">
        <v>12698</v>
      </c>
      <c r="C2846" s="612" t="s">
        <v>12699</v>
      </c>
      <c r="D2846" s="612" t="s">
        <v>12700</v>
      </c>
      <c r="E2846" s="637" t="s">
        <v>12702</v>
      </c>
      <c r="F2846" s="801" t="s">
        <v>12704</v>
      </c>
      <c r="G2846" s="801"/>
      <c r="H2846" s="801" t="s">
        <v>13678</v>
      </c>
      <c r="I2846" s="801"/>
      <c r="J2846" s="801" t="s">
        <v>12705</v>
      </c>
      <c r="K2846" s="801"/>
      <c r="L2846" s="801"/>
    </row>
    <row r="2847" spans="1:12" ht="17.100000000000001" customHeight="1">
      <c r="A2847" s="626" t="s">
        <v>12709</v>
      </c>
      <c r="B2847" s="627" t="s">
        <v>13002</v>
      </c>
      <c r="C2847" s="626" t="s">
        <v>8</v>
      </c>
      <c r="D2847" s="626" t="s">
        <v>9306</v>
      </c>
      <c r="E2847" s="628" t="s">
        <v>23</v>
      </c>
      <c r="F2847" s="816" t="s">
        <v>13677</v>
      </c>
      <c r="G2847" s="816"/>
      <c r="H2847" s="816">
        <v>0.73249880000000001</v>
      </c>
      <c r="I2847" s="816"/>
      <c r="J2847" s="817">
        <v>0.25640000000000002</v>
      </c>
      <c r="K2847" s="817"/>
      <c r="L2847" s="817"/>
    </row>
    <row r="2848" spans="1:12" ht="17.100000000000001" customHeight="1">
      <c r="A2848" s="626" t="s">
        <v>12709</v>
      </c>
      <c r="B2848" s="627" t="s">
        <v>13004</v>
      </c>
      <c r="C2848" s="626" t="s">
        <v>8</v>
      </c>
      <c r="D2848" s="626" t="s">
        <v>7388</v>
      </c>
      <c r="E2848" s="628" t="s">
        <v>23</v>
      </c>
      <c r="F2848" s="816" t="s">
        <v>13676</v>
      </c>
      <c r="G2848" s="816"/>
      <c r="H2848" s="816">
        <v>0.73249880000000001</v>
      </c>
      <c r="I2848" s="816"/>
      <c r="J2848" s="817">
        <v>1.6114999999999999</v>
      </c>
      <c r="K2848" s="817"/>
      <c r="L2848" s="817"/>
    </row>
    <row r="2849" spans="1:12" ht="17.100000000000001" customHeight="1">
      <c r="A2849" s="636"/>
      <c r="B2849" s="636"/>
      <c r="C2849" s="636"/>
      <c r="D2849" s="636"/>
      <c r="E2849" s="636"/>
      <c r="F2849" s="636"/>
      <c r="G2849" s="636"/>
      <c r="H2849" s="636"/>
      <c r="I2849" s="636"/>
      <c r="J2849" s="636" t="s">
        <v>13675</v>
      </c>
      <c r="K2849" s="636"/>
      <c r="L2849" s="636" t="s">
        <v>14177</v>
      </c>
    </row>
    <row r="2850" spans="1:12" ht="17.100000000000001" customHeight="1">
      <c r="A2850" s="612" t="s">
        <v>13673</v>
      </c>
      <c r="B2850" s="612"/>
      <c r="C2850" s="612"/>
      <c r="D2850" s="612"/>
      <c r="E2850" s="612"/>
      <c r="F2850" s="612"/>
      <c r="G2850" s="612"/>
      <c r="H2850" s="612"/>
      <c r="I2850" s="612"/>
      <c r="J2850" s="612"/>
      <c r="K2850" s="612"/>
      <c r="L2850" s="612"/>
    </row>
    <row r="2851" spans="1:12" ht="30" customHeight="1">
      <c r="A2851" s="636"/>
      <c r="B2851" s="636"/>
      <c r="C2851" s="636"/>
      <c r="D2851" s="636"/>
      <c r="E2851" s="636"/>
      <c r="F2851" s="636"/>
      <c r="G2851" s="636"/>
      <c r="H2851" s="636"/>
      <c r="I2851" s="636"/>
      <c r="J2851" s="636" t="s">
        <v>13672</v>
      </c>
      <c r="K2851" s="636"/>
      <c r="L2851" s="636" t="s">
        <v>15115</v>
      </c>
    </row>
    <row r="2852" spans="1:12" ht="60" customHeight="1">
      <c r="A2852" s="636"/>
      <c r="B2852" s="636"/>
      <c r="C2852" s="636"/>
      <c r="D2852" s="636"/>
      <c r="E2852" s="636"/>
      <c r="F2852" s="636"/>
      <c r="G2852" s="636"/>
      <c r="H2852" s="636"/>
      <c r="I2852" s="636"/>
      <c r="J2852" s="636" t="s">
        <v>13671</v>
      </c>
      <c r="K2852" s="636" t="s">
        <v>14461</v>
      </c>
      <c r="L2852" s="636" t="s">
        <v>15116</v>
      </c>
    </row>
    <row r="2853" spans="1:12" ht="14.25" customHeight="1">
      <c r="A2853" s="636"/>
      <c r="B2853" s="636"/>
      <c r="C2853" s="636"/>
      <c r="D2853" s="636"/>
      <c r="E2853" s="636"/>
      <c r="F2853" s="636"/>
      <c r="G2853" s="636"/>
      <c r="H2853" s="636"/>
      <c r="I2853" s="636"/>
      <c r="J2853" s="636" t="s">
        <v>13670</v>
      </c>
      <c r="K2853" s="636"/>
      <c r="L2853" s="636" t="s">
        <v>15117</v>
      </c>
    </row>
    <row r="2854" spans="1:12" ht="17.100000000000001" customHeight="1">
      <c r="A2854" s="636"/>
      <c r="B2854" s="636"/>
      <c r="C2854" s="636"/>
      <c r="D2854" s="636"/>
      <c r="E2854" s="636"/>
      <c r="F2854" s="636"/>
      <c r="G2854" s="636"/>
      <c r="H2854" s="636"/>
      <c r="I2854" s="636"/>
      <c r="J2854" s="636" t="s">
        <v>13669</v>
      </c>
      <c r="K2854" s="636" t="s">
        <v>13667</v>
      </c>
      <c r="L2854" s="636" t="s">
        <v>15118</v>
      </c>
    </row>
    <row r="2855" spans="1:12" ht="24" customHeight="1">
      <c r="A2855" s="636"/>
      <c r="B2855" s="636"/>
      <c r="C2855" s="636"/>
      <c r="D2855" s="636"/>
      <c r="E2855" s="636"/>
      <c r="F2855" s="636"/>
      <c r="G2855" s="636"/>
      <c r="H2855" s="636"/>
      <c r="I2855" s="636"/>
      <c r="J2855" s="636" t="s">
        <v>13668</v>
      </c>
      <c r="K2855" s="636"/>
      <c r="L2855" s="636" t="s">
        <v>15119</v>
      </c>
    </row>
    <row r="2856" spans="1:12" ht="24" customHeight="1">
      <c r="A2856" s="637"/>
      <c r="B2856" s="637"/>
      <c r="C2856" s="637"/>
      <c r="D2856" s="637"/>
      <c r="E2856" s="637"/>
      <c r="F2856" s="637"/>
      <c r="G2856" s="637"/>
      <c r="H2856" s="637"/>
      <c r="I2856" s="637"/>
      <c r="J2856" s="637"/>
      <c r="K2856" s="637"/>
      <c r="L2856" s="637"/>
    </row>
    <row r="2857" spans="1:12" ht="24" customHeight="1">
      <c r="A2857" s="616" t="s">
        <v>14755</v>
      </c>
      <c r="B2857" s="617" t="s">
        <v>12931</v>
      </c>
      <c r="C2857" s="616" t="s">
        <v>8</v>
      </c>
      <c r="D2857" s="616" t="s">
        <v>4382</v>
      </c>
      <c r="E2857" s="618" t="s">
        <v>17</v>
      </c>
      <c r="F2857" s="617"/>
      <c r="G2857" s="617"/>
      <c r="H2857" s="617"/>
      <c r="I2857" s="617"/>
      <c r="J2857" s="617"/>
      <c r="K2857" s="617"/>
      <c r="L2857" s="617"/>
    </row>
    <row r="2858" spans="1:12" ht="24" customHeight="1">
      <c r="A2858" s="802" t="s">
        <v>12711</v>
      </c>
      <c r="B2858" s="802"/>
      <c r="C2858" s="802"/>
      <c r="D2858" s="802"/>
      <c r="E2858" s="802"/>
      <c r="F2858" s="802"/>
      <c r="G2858" s="802"/>
      <c r="H2858" s="802"/>
      <c r="I2858" s="612"/>
      <c r="J2858" s="612"/>
      <c r="K2858" s="612"/>
      <c r="L2858" s="612"/>
    </row>
    <row r="2859" spans="1:12" ht="24" customHeight="1">
      <c r="A2859" s="612" t="s">
        <v>13679</v>
      </c>
      <c r="B2859" s="636" t="s">
        <v>12698</v>
      </c>
      <c r="C2859" s="612" t="s">
        <v>12699</v>
      </c>
      <c r="D2859" s="612" t="s">
        <v>12700</v>
      </c>
      <c r="E2859" s="637" t="s">
        <v>12702</v>
      </c>
      <c r="F2859" s="801" t="s">
        <v>12704</v>
      </c>
      <c r="G2859" s="801"/>
      <c r="H2859" s="801" t="s">
        <v>13678</v>
      </c>
      <c r="I2859" s="801"/>
      <c r="J2859" s="801" t="s">
        <v>12705</v>
      </c>
      <c r="K2859" s="801"/>
      <c r="L2859" s="801"/>
    </row>
    <row r="2860" spans="1:12" ht="24" customHeight="1">
      <c r="A2860" s="626" t="s">
        <v>12709</v>
      </c>
      <c r="B2860" s="627" t="s">
        <v>13052</v>
      </c>
      <c r="C2860" s="626" t="s">
        <v>8</v>
      </c>
      <c r="D2860" s="626" t="s">
        <v>9229</v>
      </c>
      <c r="E2860" s="628" t="s">
        <v>23</v>
      </c>
      <c r="F2860" s="816" t="s">
        <v>13692</v>
      </c>
      <c r="G2860" s="816"/>
      <c r="H2860" s="816">
        <v>0.14895610000000001</v>
      </c>
      <c r="I2860" s="816"/>
      <c r="J2860" s="817">
        <v>0.14299999999999999</v>
      </c>
      <c r="K2860" s="817"/>
      <c r="L2860" s="817"/>
    </row>
    <row r="2861" spans="1:12" ht="17.100000000000001" customHeight="1">
      <c r="A2861" s="626" t="s">
        <v>12709</v>
      </c>
      <c r="B2861" s="627" t="s">
        <v>13051</v>
      </c>
      <c r="C2861" s="626" t="s">
        <v>8</v>
      </c>
      <c r="D2861" s="626" t="s">
        <v>9376</v>
      </c>
      <c r="E2861" s="628" t="s">
        <v>23</v>
      </c>
      <c r="F2861" s="816" t="s">
        <v>13691</v>
      </c>
      <c r="G2861" s="816"/>
      <c r="H2861" s="816">
        <v>0.14895610000000001</v>
      </c>
      <c r="I2861" s="816"/>
      <c r="J2861" s="817">
        <v>7.4499999999999997E-2</v>
      </c>
      <c r="K2861" s="817"/>
      <c r="L2861" s="817"/>
    </row>
    <row r="2862" spans="1:12" ht="14.25" customHeight="1">
      <c r="A2862" s="626" t="s">
        <v>12709</v>
      </c>
      <c r="B2862" s="627" t="s">
        <v>13048</v>
      </c>
      <c r="C2862" s="626" t="s">
        <v>8</v>
      </c>
      <c r="D2862" s="626" t="s">
        <v>9233</v>
      </c>
      <c r="E2862" s="628" t="s">
        <v>23</v>
      </c>
      <c r="F2862" s="816" t="s">
        <v>13690</v>
      </c>
      <c r="G2862" s="816"/>
      <c r="H2862" s="816">
        <v>9.9304100000000006E-2</v>
      </c>
      <c r="I2862" s="816"/>
      <c r="J2862" s="817">
        <v>0.1013</v>
      </c>
      <c r="K2862" s="817"/>
      <c r="L2862" s="817"/>
    </row>
    <row r="2863" spans="1:12" ht="17.100000000000001" customHeight="1">
      <c r="A2863" s="626" t="s">
        <v>12709</v>
      </c>
      <c r="B2863" s="627" t="s">
        <v>13047</v>
      </c>
      <c r="C2863" s="626" t="s">
        <v>8</v>
      </c>
      <c r="D2863" s="626" t="s">
        <v>9380</v>
      </c>
      <c r="E2863" s="628" t="s">
        <v>23</v>
      </c>
      <c r="F2863" s="816" t="s">
        <v>13689</v>
      </c>
      <c r="G2863" s="816"/>
      <c r="H2863" s="816">
        <v>9.9304100000000006E-2</v>
      </c>
      <c r="I2863" s="816"/>
      <c r="J2863" s="817">
        <v>3.7699999999999997E-2</v>
      </c>
      <c r="K2863" s="817"/>
      <c r="L2863" s="817"/>
    </row>
    <row r="2864" spans="1:12" ht="24" customHeight="1">
      <c r="A2864" s="636"/>
      <c r="B2864" s="636"/>
      <c r="C2864" s="636"/>
      <c r="D2864" s="636"/>
      <c r="E2864" s="636"/>
      <c r="F2864" s="636"/>
      <c r="G2864" s="636"/>
      <c r="H2864" s="636"/>
      <c r="I2864" s="636"/>
      <c r="J2864" s="636" t="s">
        <v>13675</v>
      </c>
      <c r="K2864" s="636"/>
      <c r="L2864" s="636" t="s">
        <v>13688</v>
      </c>
    </row>
    <row r="2865" spans="1:12" ht="24" customHeight="1">
      <c r="A2865" s="802" t="s">
        <v>12710</v>
      </c>
      <c r="B2865" s="802"/>
      <c r="C2865" s="802"/>
      <c r="D2865" s="802"/>
      <c r="E2865" s="802"/>
      <c r="F2865" s="802"/>
      <c r="G2865" s="802"/>
      <c r="H2865" s="802"/>
      <c r="I2865" s="612"/>
      <c r="J2865" s="612"/>
      <c r="K2865" s="612"/>
      <c r="L2865" s="612"/>
    </row>
    <row r="2866" spans="1:12" ht="24" customHeight="1">
      <c r="A2866" s="612" t="s">
        <v>13679</v>
      </c>
      <c r="B2866" s="636" t="s">
        <v>12698</v>
      </c>
      <c r="C2866" s="612" t="s">
        <v>12699</v>
      </c>
      <c r="D2866" s="612" t="s">
        <v>12700</v>
      </c>
      <c r="E2866" s="637" t="s">
        <v>12702</v>
      </c>
      <c r="F2866" s="801" t="s">
        <v>12704</v>
      </c>
      <c r="G2866" s="801"/>
      <c r="H2866" s="801" t="s">
        <v>13678</v>
      </c>
      <c r="I2866" s="801"/>
      <c r="J2866" s="801" t="s">
        <v>12705</v>
      </c>
      <c r="K2866" s="801"/>
      <c r="L2866" s="801"/>
    </row>
    <row r="2867" spans="1:12" ht="17.100000000000001" customHeight="1">
      <c r="A2867" s="626" t="s">
        <v>12709</v>
      </c>
      <c r="B2867" s="627" t="s">
        <v>13099</v>
      </c>
      <c r="C2867" s="626" t="s">
        <v>8</v>
      </c>
      <c r="D2867" s="626" t="s">
        <v>10726</v>
      </c>
      <c r="E2867" s="628" t="s">
        <v>23</v>
      </c>
      <c r="F2867" s="816" t="s">
        <v>14470</v>
      </c>
      <c r="G2867" s="816"/>
      <c r="H2867" s="816">
        <v>0.15166760000000001</v>
      </c>
      <c r="I2867" s="816"/>
      <c r="J2867" s="817">
        <v>1.048</v>
      </c>
      <c r="K2867" s="817"/>
      <c r="L2867" s="817"/>
    </row>
    <row r="2868" spans="1:12" ht="25.5">
      <c r="A2868" s="626" t="s">
        <v>12709</v>
      </c>
      <c r="B2868" s="627" t="s">
        <v>13046</v>
      </c>
      <c r="C2868" s="626" t="s">
        <v>8</v>
      </c>
      <c r="D2868" s="626" t="s">
        <v>11281</v>
      </c>
      <c r="E2868" s="628" t="s">
        <v>23</v>
      </c>
      <c r="F2868" s="816" t="s">
        <v>13731</v>
      </c>
      <c r="G2868" s="816"/>
      <c r="H2868" s="816">
        <v>0.1011117</v>
      </c>
      <c r="I2868" s="816"/>
      <c r="J2868" s="817">
        <v>0.51970000000000005</v>
      </c>
      <c r="K2868" s="817"/>
      <c r="L2868" s="817"/>
    </row>
    <row r="2869" spans="1:12" ht="17.100000000000001" customHeight="1">
      <c r="A2869" s="636"/>
      <c r="B2869" s="636"/>
      <c r="C2869" s="636"/>
      <c r="D2869" s="636"/>
      <c r="E2869" s="636"/>
      <c r="F2869" s="636"/>
      <c r="G2869" s="636"/>
      <c r="H2869" s="636"/>
      <c r="I2869" s="636"/>
      <c r="J2869" s="636" t="s">
        <v>13675</v>
      </c>
      <c r="K2869" s="636"/>
      <c r="L2869" s="636" t="s">
        <v>14058</v>
      </c>
    </row>
    <row r="2870" spans="1:12" ht="36" customHeight="1">
      <c r="A2870" s="802" t="s">
        <v>12720</v>
      </c>
      <c r="B2870" s="802"/>
      <c r="C2870" s="802"/>
      <c r="D2870" s="802"/>
      <c r="E2870" s="802"/>
      <c r="F2870" s="802"/>
      <c r="G2870" s="802"/>
      <c r="H2870" s="802"/>
      <c r="I2870" s="612"/>
      <c r="J2870" s="612"/>
      <c r="K2870" s="612"/>
      <c r="L2870" s="612"/>
    </row>
    <row r="2871" spans="1:12" ht="24" customHeight="1">
      <c r="A2871" s="612" t="s">
        <v>13679</v>
      </c>
      <c r="B2871" s="636" t="s">
        <v>12698</v>
      </c>
      <c r="C2871" s="612" t="s">
        <v>12699</v>
      </c>
      <c r="D2871" s="612" t="s">
        <v>12700</v>
      </c>
      <c r="E2871" s="637" t="s">
        <v>12702</v>
      </c>
      <c r="F2871" s="801" t="s">
        <v>12704</v>
      </c>
      <c r="G2871" s="801"/>
      <c r="H2871" s="801" t="s">
        <v>13678</v>
      </c>
      <c r="I2871" s="801"/>
      <c r="J2871" s="801" t="s">
        <v>12705</v>
      </c>
      <c r="K2871" s="801"/>
      <c r="L2871" s="801"/>
    </row>
    <row r="2872" spans="1:12" ht="36" customHeight="1">
      <c r="A2872" s="626" t="s">
        <v>12709</v>
      </c>
      <c r="B2872" s="627" t="s">
        <v>12797</v>
      </c>
      <c r="C2872" s="626" t="s">
        <v>8</v>
      </c>
      <c r="D2872" s="626" t="s">
        <v>7530</v>
      </c>
      <c r="E2872" s="628" t="s">
        <v>20</v>
      </c>
      <c r="F2872" s="816" t="s">
        <v>13738</v>
      </c>
      <c r="G2872" s="816"/>
      <c r="H2872" s="816">
        <v>0.13500000000000001</v>
      </c>
      <c r="I2872" s="816"/>
      <c r="J2872" s="817">
        <v>0.08</v>
      </c>
      <c r="K2872" s="817"/>
      <c r="L2872" s="817"/>
    </row>
    <row r="2873" spans="1:12" ht="24" customHeight="1">
      <c r="A2873" s="626" t="s">
        <v>12709</v>
      </c>
      <c r="B2873" s="627" t="s">
        <v>12932</v>
      </c>
      <c r="C2873" s="626" t="s">
        <v>8</v>
      </c>
      <c r="D2873" s="626" t="s">
        <v>11313</v>
      </c>
      <c r="E2873" s="628" t="s">
        <v>17</v>
      </c>
      <c r="F2873" s="816" t="s">
        <v>14754</v>
      </c>
      <c r="G2873" s="816"/>
      <c r="H2873" s="816">
        <v>1</v>
      </c>
      <c r="I2873" s="816"/>
      <c r="J2873" s="817">
        <v>29.97</v>
      </c>
      <c r="K2873" s="817"/>
      <c r="L2873" s="817"/>
    </row>
    <row r="2874" spans="1:12" ht="24" customHeight="1">
      <c r="A2874" s="636"/>
      <c r="B2874" s="636"/>
      <c r="C2874" s="636"/>
      <c r="D2874" s="636"/>
      <c r="E2874" s="636"/>
      <c r="F2874" s="636"/>
      <c r="G2874" s="636"/>
      <c r="H2874" s="636"/>
      <c r="I2874" s="636"/>
      <c r="J2874" s="636" t="s">
        <v>13675</v>
      </c>
      <c r="K2874" s="636"/>
      <c r="L2874" s="636" t="s">
        <v>14753</v>
      </c>
    </row>
    <row r="2875" spans="1:12" ht="48" customHeight="1">
      <c r="A2875" s="802" t="s">
        <v>12722</v>
      </c>
      <c r="B2875" s="802"/>
      <c r="C2875" s="802"/>
      <c r="D2875" s="802"/>
      <c r="E2875" s="802"/>
      <c r="F2875" s="802"/>
      <c r="G2875" s="802"/>
      <c r="H2875" s="802"/>
      <c r="I2875" s="612"/>
      <c r="J2875" s="612"/>
      <c r="K2875" s="612"/>
      <c r="L2875" s="612"/>
    </row>
    <row r="2876" spans="1:12" ht="24" customHeight="1">
      <c r="A2876" s="612" t="s">
        <v>13679</v>
      </c>
      <c r="B2876" s="636" t="s">
        <v>12698</v>
      </c>
      <c r="C2876" s="612" t="s">
        <v>12699</v>
      </c>
      <c r="D2876" s="612" t="s">
        <v>12700</v>
      </c>
      <c r="E2876" s="637" t="s">
        <v>12702</v>
      </c>
      <c r="F2876" s="801" t="s">
        <v>12704</v>
      </c>
      <c r="G2876" s="801"/>
      <c r="H2876" s="801" t="s">
        <v>13678</v>
      </c>
      <c r="I2876" s="801"/>
      <c r="J2876" s="801" t="s">
        <v>12705</v>
      </c>
      <c r="K2876" s="801"/>
      <c r="L2876" s="801"/>
    </row>
    <row r="2877" spans="1:12" ht="24" customHeight="1">
      <c r="A2877" s="626" t="s">
        <v>12709</v>
      </c>
      <c r="B2877" s="627" t="s">
        <v>12998</v>
      </c>
      <c r="C2877" s="626" t="s">
        <v>8</v>
      </c>
      <c r="D2877" s="626" t="s">
        <v>11861</v>
      </c>
      <c r="E2877" s="628" t="s">
        <v>23</v>
      </c>
      <c r="F2877" s="816" t="s">
        <v>13683</v>
      </c>
      <c r="G2877" s="816"/>
      <c r="H2877" s="816">
        <v>0.24826019999999999</v>
      </c>
      <c r="I2877" s="816"/>
      <c r="J2877" s="817">
        <v>0.17630000000000001</v>
      </c>
      <c r="K2877" s="817"/>
      <c r="L2877" s="817"/>
    </row>
    <row r="2878" spans="1:12" ht="24" customHeight="1">
      <c r="A2878" s="636"/>
      <c r="B2878" s="636"/>
      <c r="C2878" s="636"/>
      <c r="D2878" s="636"/>
      <c r="E2878" s="636"/>
      <c r="F2878" s="636"/>
      <c r="G2878" s="636"/>
      <c r="H2878" s="636"/>
      <c r="I2878" s="636"/>
      <c r="J2878" s="636" t="s">
        <v>13675</v>
      </c>
      <c r="K2878" s="636"/>
      <c r="L2878" s="636" t="s">
        <v>13682</v>
      </c>
    </row>
    <row r="2879" spans="1:12" ht="24" customHeight="1">
      <c r="A2879" s="802" t="s">
        <v>12713</v>
      </c>
      <c r="B2879" s="802"/>
      <c r="C2879" s="802"/>
      <c r="D2879" s="802"/>
      <c r="E2879" s="802"/>
      <c r="F2879" s="802"/>
      <c r="G2879" s="802"/>
      <c r="H2879" s="802"/>
      <c r="I2879" s="612"/>
      <c r="J2879" s="612"/>
      <c r="K2879" s="612"/>
      <c r="L2879" s="612"/>
    </row>
    <row r="2880" spans="1:12" ht="36" customHeight="1">
      <c r="A2880" s="612" t="s">
        <v>13679</v>
      </c>
      <c r="B2880" s="636" t="s">
        <v>12698</v>
      </c>
      <c r="C2880" s="612" t="s">
        <v>12699</v>
      </c>
      <c r="D2880" s="612" t="s">
        <v>12700</v>
      </c>
      <c r="E2880" s="637" t="s">
        <v>12702</v>
      </c>
      <c r="F2880" s="801" t="s">
        <v>12704</v>
      </c>
      <c r="G2880" s="801"/>
      <c r="H2880" s="801" t="s">
        <v>13678</v>
      </c>
      <c r="I2880" s="801"/>
      <c r="J2880" s="801" t="s">
        <v>12705</v>
      </c>
      <c r="K2880" s="801"/>
      <c r="L2880" s="801"/>
    </row>
    <row r="2881" spans="1:12" ht="24" customHeight="1">
      <c r="A2881" s="626" t="s">
        <v>12709</v>
      </c>
      <c r="B2881" s="627" t="s">
        <v>12999</v>
      </c>
      <c r="C2881" s="626" t="s">
        <v>8</v>
      </c>
      <c r="D2881" s="626" t="s">
        <v>11251</v>
      </c>
      <c r="E2881" s="628" t="s">
        <v>23</v>
      </c>
      <c r="F2881" s="816" t="s">
        <v>13681</v>
      </c>
      <c r="G2881" s="816"/>
      <c r="H2881" s="816">
        <v>0.24826019999999999</v>
      </c>
      <c r="I2881" s="816"/>
      <c r="J2881" s="817">
        <v>1.7399999999999999E-2</v>
      </c>
      <c r="K2881" s="817"/>
      <c r="L2881" s="817"/>
    </row>
    <row r="2882" spans="1:12" ht="17.100000000000001" customHeight="1">
      <c r="A2882" s="636"/>
      <c r="B2882" s="636"/>
      <c r="C2882" s="636"/>
      <c r="D2882" s="636"/>
      <c r="E2882" s="636"/>
      <c r="F2882" s="636"/>
      <c r="G2882" s="636"/>
      <c r="H2882" s="636"/>
      <c r="I2882" s="636"/>
      <c r="J2882" s="636" t="s">
        <v>13675</v>
      </c>
      <c r="K2882" s="636"/>
      <c r="L2882" s="636" t="s">
        <v>13680</v>
      </c>
    </row>
    <row r="2883" spans="1:12">
      <c r="A2883" s="802" t="s">
        <v>12712</v>
      </c>
      <c r="B2883" s="802"/>
      <c r="C2883" s="802"/>
      <c r="D2883" s="802"/>
      <c r="E2883" s="802"/>
      <c r="F2883" s="802"/>
      <c r="G2883" s="802"/>
      <c r="H2883" s="802"/>
      <c r="I2883" s="612"/>
      <c r="J2883" s="612"/>
      <c r="K2883" s="612"/>
      <c r="L2883" s="612"/>
    </row>
    <row r="2884" spans="1:12" ht="17.100000000000001" customHeight="1">
      <c r="A2884" s="612" t="s">
        <v>13679</v>
      </c>
      <c r="B2884" s="636" t="s">
        <v>12698</v>
      </c>
      <c r="C2884" s="612" t="s">
        <v>12699</v>
      </c>
      <c r="D2884" s="612" t="s">
        <v>12700</v>
      </c>
      <c r="E2884" s="637" t="s">
        <v>12702</v>
      </c>
      <c r="F2884" s="801" t="s">
        <v>12704</v>
      </c>
      <c r="G2884" s="801"/>
      <c r="H2884" s="801" t="s">
        <v>13678</v>
      </c>
      <c r="I2884" s="801"/>
      <c r="J2884" s="801" t="s">
        <v>12705</v>
      </c>
      <c r="K2884" s="801"/>
      <c r="L2884" s="801"/>
    </row>
    <row r="2885" spans="1:12" ht="24" customHeight="1">
      <c r="A2885" s="626" t="s">
        <v>12709</v>
      </c>
      <c r="B2885" s="627" t="s">
        <v>13002</v>
      </c>
      <c r="C2885" s="626" t="s">
        <v>8</v>
      </c>
      <c r="D2885" s="626" t="s">
        <v>9306</v>
      </c>
      <c r="E2885" s="628" t="s">
        <v>23</v>
      </c>
      <c r="F2885" s="816" t="s">
        <v>13677</v>
      </c>
      <c r="G2885" s="816"/>
      <c r="H2885" s="816">
        <v>0.24826019999999999</v>
      </c>
      <c r="I2885" s="816"/>
      <c r="J2885" s="817">
        <v>8.6900000000000005E-2</v>
      </c>
      <c r="K2885" s="817"/>
      <c r="L2885" s="817"/>
    </row>
    <row r="2886" spans="1:12" ht="17.100000000000001" customHeight="1">
      <c r="A2886" s="626" t="s">
        <v>12709</v>
      </c>
      <c r="B2886" s="627" t="s">
        <v>13004</v>
      </c>
      <c r="C2886" s="626" t="s">
        <v>8</v>
      </c>
      <c r="D2886" s="626" t="s">
        <v>7388</v>
      </c>
      <c r="E2886" s="628" t="s">
        <v>23</v>
      </c>
      <c r="F2886" s="816" t="s">
        <v>13676</v>
      </c>
      <c r="G2886" s="816"/>
      <c r="H2886" s="816">
        <v>0.24826019999999999</v>
      </c>
      <c r="I2886" s="816"/>
      <c r="J2886" s="817">
        <v>0.54620000000000002</v>
      </c>
      <c r="K2886" s="817"/>
      <c r="L2886" s="817"/>
    </row>
    <row r="2887" spans="1:12">
      <c r="A2887" s="636"/>
      <c r="B2887" s="636"/>
      <c r="C2887" s="636"/>
      <c r="D2887" s="636"/>
      <c r="E2887" s="636"/>
      <c r="F2887" s="636"/>
      <c r="G2887" s="636"/>
      <c r="H2887" s="636"/>
      <c r="I2887" s="636"/>
      <c r="J2887" s="636" t="s">
        <v>13675</v>
      </c>
      <c r="K2887" s="636"/>
      <c r="L2887" s="636" t="s">
        <v>13674</v>
      </c>
    </row>
    <row r="2888" spans="1:12" ht="17.100000000000001" customHeight="1">
      <c r="A2888" s="612" t="s">
        <v>13673</v>
      </c>
      <c r="B2888" s="612"/>
      <c r="C2888" s="612"/>
      <c r="D2888" s="612"/>
      <c r="E2888" s="612"/>
      <c r="F2888" s="612"/>
      <c r="G2888" s="612"/>
      <c r="H2888" s="612"/>
      <c r="I2888" s="612"/>
      <c r="J2888" s="612"/>
      <c r="K2888" s="612"/>
      <c r="L2888" s="612"/>
    </row>
    <row r="2889" spans="1:12" ht="24" customHeight="1">
      <c r="A2889" s="636"/>
      <c r="B2889" s="636"/>
      <c r="C2889" s="636"/>
      <c r="D2889" s="636"/>
      <c r="E2889" s="636"/>
      <c r="F2889" s="636"/>
      <c r="G2889" s="636"/>
      <c r="H2889" s="636"/>
      <c r="I2889" s="636"/>
      <c r="J2889" s="636" t="s">
        <v>13672</v>
      </c>
      <c r="K2889" s="636"/>
      <c r="L2889" s="636" t="s">
        <v>15120</v>
      </c>
    </row>
    <row r="2890" spans="1:12" ht="17.100000000000001" customHeight="1">
      <c r="A2890" s="636"/>
      <c r="B2890" s="636"/>
      <c r="C2890" s="636"/>
      <c r="D2890" s="636"/>
      <c r="E2890" s="636"/>
      <c r="F2890" s="636"/>
      <c r="G2890" s="636"/>
      <c r="H2890" s="636"/>
      <c r="I2890" s="636"/>
      <c r="J2890" s="636" t="s">
        <v>13671</v>
      </c>
      <c r="K2890" s="636" t="s">
        <v>14461</v>
      </c>
      <c r="L2890" s="636" t="s">
        <v>15121</v>
      </c>
    </row>
    <row r="2891" spans="1:12">
      <c r="A2891" s="636"/>
      <c r="B2891" s="636"/>
      <c r="C2891" s="636"/>
      <c r="D2891" s="636"/>
      <c r="E2891" s="636"/>
      <c r="F2891" s="636"/>
      <c r="G2891" s="636"/>
      <c r="H2891" s="636"/>
      <c r="I2891" s="636"/>
      <c r="J2891" s="636" t="s">
        <v>13670</v>
      </c>
      <c r="K2891" s="636"/>
      <c r="L2891" s="636" t="s">
        <v>15122</v>
      </c>
    </row>
    <row r="2892" spans="1:12" ht="17.100000000000001" customHeight="1">
      <c r="A2892" s="636"/>
      <c r="B2892" s="636"/>
      <c r="C2892" s="636"/>
      <c r="D2892" s="636"/>
      <c r="E2892" s="636"/>
      <c r="F2892" s="636"/>
      <c r="G2892" s="636"/>
      <c r="H2892" s="636"/>
      <c r="I2892" s="636"/>
      <c r="J2892" s="636" t="s">
        <v>13669</v>
      </c>
      <c r="K2892" s="636" t="s">
        <v>13667</v>
      </c>
      <c r="L2892" s="636" t="s">
        <v>15123</v>
      </c>
    </row>
    <row r="2893" spans="1:12" ht="24" customHeight="1">
      <c r="A2893" s="636"/>
      <c r="B2893" s="636"/>
      <c r="C2893" s="636"/>
      <c r="D2893" s="636"/>
      <c r="E2893" s="636"/>
      <c r="F2893" s="636"/>
      <c r="G2893" s="636"/>
      <c r="H2893" s="636"/>
      <c r="I2893" s="636"/>
      <c r="J2893" s="636" t="s">
        <v>13668</v>
      </c>
      <c r="K2893" s="636"/>
      <c r="L2893" s="636" t="s">
        <v>15124</v>
      </c>
    </row>
    <row r="2894" spans="1:12" ht="24" customHeight="1">
      <c r="A2894" s="637"/>
      <c r="B2894" s="637"/>
      <c r="C2894" s="637"/>
      <c r="D2894" s="637"/>
      <c r="E2894" s="637"/>
      <c r="F2894" s="637"/>
      <c r="G2894" s="637"/>
      <c r="H2894" s="637"/>
      <c r="I2894" s="637"/>
      <c r="J2894" s="637"/>
      <c r="K2894" s="637"/>
      <c r="L2894" s="637"/>
    </row>
    <row r="2895" spans="1:12" ht="17.100000000000001" customHeight="1">
      <c r="A2895" s="616" t="s">
        <v>15125</v>
      </c>
      <c r="B2895" s="617" t="s">
        <v>14836</v>
      </c>
      <c r="C2895" s="616" t="s">
        <v>8</v>
      </c>
      <c r="D2895" s="616" t="s">
        <v>6720</v>
      </c>
      <c r="E2895" s="618" t="s">
        <v>12725</v>
      </c>
      <c r="F2895" s="617"/>
      <c r="G2895" s="617"/>
      <c r="H2895" s="617"/>
      <c r="I2895" s="617"/>
      <c r="J2895" s="617"/>
      <c r="K2895" s="617"/>
      <c r="L2895" s="617"/>
    </row>
    <row r="2896" spans="1:12" ht="17.100000000000001" customHeight="1">
      <c r="A2896" s="802" t="s">
        <v>12711</v>
      </c>
      <c r="B2896" s="802"/>
      <c r="C2896" s="802"/>
      <c r="D2896" s="802"/>
      <c r="E2896" s="802"/>
      <c r="F2896" s="802"/>
      <c r="G2896" s="802"/>
      <c r="H2896" s="802"/>
      <c r="I2896" s="612"/>
      <c r="J2896" s="612"/>
      <c r="K2896" s="612"/>
      <c r="L2896" s="612"/>
    </row>
    <row r="2897" spans="1:12" ht="17.100000000000001" customHeight="1">
      <c r="A2897" s="612" t="s">
        <v>13679</v>
      </c>
      <c r="B2897" s="636" t="s">
        <v>12698</v>
      </c>
      <c r="C2897" s="612" t="s">
        <v>12699</v>
      </c>
      <c r="D2897" s="612" t="s">
        <v>12700</v>
      </c>
      <c r="E2897" s="637" t="s">
        <v>12702</v>
      </c>
      <c r="F2897" s="801" t="s">
        <v>12704</v>
      </c>
      <c r="G2897" s="801"/>
      <c r="H2897" s="801" t="s">
        <v>13678</v>
      </c>
      <c r="I2897" s="801"/>
      <c r="J2897" s="801" t="s">
        <v>12705</v>
      </c>
      <c r="K2897" s="801"/>
      <c r="L2897" s="801"/>
    </row>
    <row r="2898" spans="1:12" ht="17.100000000000001" customHeight="1">
      <c r="A2898" s="626" t="s">
        <v>12709</v>
      </c>
      <c r="B2898" s="627" t="s">
        <v>13052</v>
      </c>
      <c r="C2898" s="626" t="s">
        <v>8</v>
      </c>
      <c r="D2898" s="626" t="s">
        <v>9229</v>
      </c>
      <c r="E2898" s="628" t="s">
        <v>23</v>
      </c>
      <c r="F2898" s="816" t="s">
        <v>13692</v>
      </c>
      <c r="G2898" s="816"/>
      <c r="H2898" s="816">
        <v>0.38071179999999999</v>
      </c>
      <c r="I2898" s="816"/>
      <c r="J2898" s="817">
        <v>0.36549999999999999</v>
      </c>
      <c r="K2898" s="817"/>
      <c r="L2898" s="817"/>
    </row>
    <row r="2899" spans="1:12" ht="17.100000000000001" customHeight="1">
      <c r="A2899" s="626" t="s">
        <v>12709</v>
      </c>
      <c r="B2899" s="627" t="s">
        <v>13051</v>
      </c>
      <c r="C2899" s="626" t="s">
        <v>8</v>
      </c>
      <c r="D2899" s="626" t="s">
        <v>9376</v>
      </c>
      <c r="E2899" s="628" t="s">
        <v>23</v>
      </c>
      <c r="F2899" s="816" t="s">
        <v>13691</v>
      </c>
      <c r="G2899" s="816"/>
      <c r="H2899" s="816">
        <v>0.38071179999999999</v>
      </c>
      <c r="I2899" s="816"/>
      <c r="J2899" s="817">
        <v>0.19040000000000001</v>
      </c>
      <c r="K2899" s="817"/>
      <c r="L2899" s="817"/>
    </row>
    <row r="2900" spans="1:12" ht="17.100000000000001" customHeight="1">
      <c r="A2900" s="626" t="s">
        <v>12709</v>
      </c>
      <c r="B2900" s="627" t="s">
        <v>13048</v>
      </c>
      <c r="C2900" s="626" t="s">
        <v>8</v>
      </c>
      <c r="D2900" s="626" t="s">
        <v>9233</v>
      </c>
      <c r="E2900" s="628" t="s">
        <v>23</v>
      </c>
      <c r="F2900" s="816" t="s">
        <v>13690</v>
      </c>
      <c r="G2900" s="816"/>
      <c r="H2900" s="816">
        <v>0.19005739999999999</v>
      </c>
      <c r="I2900" s="816"/>
      <c r="J2900" s="817">
        <v>0.19389999999999999</v>
      </c>
      <c r="K2900" s="817"/>
      <c r="L2900" s="817"/>
    </row>
    <row r="2901" spans="1:12" ht="17.100000000000001" customHeight="1">
      <c r="A2901" s="626" t="s">
        <v>12709</v>
      </c>
      <c r="B2901" s="627" t="s">
        <v>13047</v>
      </c>
      <c r="C2901" s="626" t="s">
        <v>8</v>
      </c>
      <c r="D2901" s="626" t="s">
        <v>9380</v>
      </c>
      <c r="E2901" s="628" t="s">
        <v>23</v>
      </c>
      <c r="F2901" s="816" t="s">
        <v>13689</v>
      </c>
      <c r="G2901" s="816"/>
      <c r="H2901" s="816">
        <v>0.19005739999999999</v>
      </c>
      <c r="I2901" s="816"/>
      <c r="J2901" s="817">
        <v>7.22E-2</v>
      </c>
      <c r="K2901" s="817"/>
      <c r="L2901" s="817"/>
    </row>
    <row r="2902" spans="1:12" ht="30" customHeight="1">
      <c r="A2902" s="636"/>
      <c r="B2902" s="636"/>
      <c r="C2902" s="636"/>
      <c r="D2902" s="636"/>
      <c r="E2902" s="636"/>
      <c r="F2902" s="636"/>
      <c r="G2902" s="636"/>
      <c r="H2902" s="636"/>
      <c r="I2902" s="636"/>
      <c r="J2902" s="636" t="s">
        <v>13675</v>
      </c>
      <c r="K2902" s="636"/>
      <c r="L2902" s="636" t="s">
        <v>15126</v>
      </c>
    </row>
    <row r="2903" spans="1:12" ht="48" customHeight="1">
      <c r="A2903" s="802" t="s">
        <v>12710</v>
      </c>
      <c r="B2903" s="802"/>
      <c r="C2903" s="802"/>
      <c r="D2903" s="802"/>
      <c r="E2903" s="802"/>
      <c r="F2903" s="802"/>
      <c r="G2903" s="802"/>
      <c r="H2903" s="802"/>
      <c r="I2903" s="612"/>
      <c r="J2903" s="612"/>
      <c r="K2903" s="612"/>
      <c r="L2903" s="612"/>
    </row>
    <row r="2904" spans="1:12" ht="14.25" customHeight="1">
      <c r="A2904" s="612" t="s">
        <v>13679</v>
      </c>
      <c r="B2904" s="636" t="s">
        <v>12698</v>
      </c>
      <c r="C2904" s="612" t="s">
        <v>12699</v>
      </c>
      <c r="D2904" s="612" t="s">
        <v>12700</v>
      </c>
      <c r="E2904" s="637" t="s">
        <v>12702</v>
      </c>
      <c r="F2904" s="801" t="s">
        <v>12704</v>
      </c>
      <c r="G2904" s="801"/>
      <c r="H2904" s="801" t="s">
        <v>13678</v>
      </c>
      <c r="I2904" s="801"/>
      <c r="J2904" s="801" t="s">
        <v>12705</v>
      </c>
      <c r="K2904" s="801"/>
      <c r="L2904" s="801"/>
    </row>
    <row r="2905" spans="1:12" ht="17.100000000000001" customHeight="1">
      <c r="A2905" s="626" t="s">
        <v>12709</v>
      </c>
      <c r="B2905" s="627" t="s">
        <v>13099</v>
      </c>
      <c r="C2905" s="626" t="s">
        <v>8</v>
      </c>
      <c r="D2905" s="626" t="s">
        <v>10726</v>
      </c>
      <c r="E2905" s="628" t="s">
        <v>23</v>
      </c>
      <c r="F2905" s="816" t="s">
        <v>14470</v>
      </c>
      <c r="G2905" s="816"/>
      <c r="H2905" s="816">
        <v>0.38793640000000001</v>
      </c>
      <c r="I2905" s="816"/>
      <c r="J2905" s="817">
        <v>2.6806000000000001</v>
      </c>
      <c r="K2905" s="817"/>
      <c r="L2905" s="817"/>
    </row>
    <row r="2906" spans="1:12" ht="24" customHeight="1">
      <c r="A2906" s="626" t="s">
        <v>12709</v>
      </c>
      <c r="B2906" s="627" t="s">
        <v>13046</v>
      </c>
      <c r="C2906" s="626" t="s">
        <v>8</v>
      </c>
      <c r="D2906" s="626" t="s">
        <v>11281</v>
      </c>
      <c r="E2906" s="628" t="s">
        <v>23</v>
      </c>
      <c r="F2906" s="816" t="s">
        <v>13731</v>
      </c>
      <c r="G2906" s="816"/>
      <c r="H2906" s="816">
        <v>0.193664</v>
      </c>
      <c r="I2906" s="816"/>
      <c r="J2906" s="817">
        <v>0.99539999999999995</v>
      </c>
      <c r="K2906" s="817"/>
      <c r="L2906" s="817"/>
    </row>
    <row r="2907" spans="1:12" ht="24" customHeight="1">
      <c r="A2907" s="636"/>
      <c r="B2907" s="636"/>
      <c r="C2907" s="636"/>
      <c r="D2907" s="636"/>
      <c r="E2907" s="636"/>
      <c r="F2907" s="636"/>
      <c r="G2907" s="636"/>
      <c r="H2907" s="636"/>
      <c r="I2907" s="636"/>
      <c r="J2907" s="636" t="s">
        <v>13675</v>
      </c>
      <c r="K2907" s="636"/>
      <c r="L2907" s="636" t="s">
        <v>14006</v>
      </c>
    </row>
    <row r="2908" spans="1:12" ht="24" customHeight="1">
      <c r="A2908" s="802" t="s">
        <v>12720</v>
      </c>
      <c r="B2908" s="802"/>
      <c r="C2908" s="802"/>
      <c r="D2908" s="802"/>
      <c r="E2908" s="802"/>
      <c r="F2908" s="802"/>
      <c r="G2908" s="802"/>
      <c r="H2908" s="802"/>
      <c r="I2908" s="612"/>
      <c r="J2908" s="612"/>
      <c r="K2908" s="612"/>
      <c r="L2908" s="612"/>
    </row>
    <row r="2909" spans="1:12" ht="24" customHeight="1">
      <c r="A2909" s="612" t="s">
        <v>13679</v>
      </c>
      <c r="B2909" s="636" t="s">
        <v>12698</v>
      </c>
      <c r="C2909" s="612" t="s">
        <v>12699</v>
      </c>
      <c r="D2909" s="612" t="s">
        <v>12700</v>
      </c>
      <c r="E2909" s="637" t="s">
        <v>12702</v>
      </c>
      <c r="F2909" s="801" t="s">
        <v>12704</v>
      </c>
      <c r="G2909" s="801"/>
      <c r="H2909" s="801" t="s">
        <v>13678</v>
      </c>
      <c r="I2909" s="801"/>
      <c r="J2909" s="801" t="s">
        <v>12705</v>
      </c>
      <c r="K2909" s="801"/>
      <c r="L2909" s="801"/>
    </row>
    <row r="2910" spans="1:12" ht="17.100000000000001" customHeight="1">
      <c r="A2910" s="626" t="s">
        <v>12709</v>
      </c>
      <c r="B2910" s="627" t="s">
        <v>13356</v>
      </c>
      <c r="C2910" s="626" t="s">
        <v>8</v>
      </c>
      <c r="D2910" s="626" t="s">
        <v>11261</v>
      </c>
      <c r="E2910" s="628" t="s">
        <v>12913</v>
      </c>
      <c r="F2910" s="816" t="s">
        <v>14510</v>
      </c>
      <c r="G2910" s="816"/>
      <c r="H2910" s="816">
        <v>0.88290000000000002</v>
      </c>
      <c r="I2910" s="816"/>
      <c r="J2910" s="817">
        <v>21.33</v>
      </c>
      <c r="K2910" s="817"/>
      <c r="L2910" s="817"/>
    </row>
    <row r="2911" spans="1:12" ht="14.25" customHeight="1">
      <c r="A2911" s="626" t="s">
        <v>12709</v>
      </c>
      <c r="B2911" s="627" t="s">
        <v>14837</v>
      </c>
      <c r="C2911" s="626" t="s">
        <v>8</v>
      </c>
      <c r="D2911" s="626" t="s">
        <v>7791</v>
      </c>
      <c r="E2911" s="628" t="s">
        <v>35</v>
      </c>
      <c r="F2911" s="816" t="s">
        <v>13717</v>
      </c>
      <c r="G2911" s="816"/>
      <c r="H2911" s="816">
        <v>4.8166000000000002</v>
      </c>
      <c r="I2911" s="816"/>
      <c r="J2911" s="817">
        <v>2.0699999999999998</v>
      </c>
      <c r="K2911" s="817"/>
      <c r="L2911" s="817"/>
    </row>
    <row r="2912" spans="1:12" ht="17.100000000000001" customHeight="1">
      <c r="A2912" s="626" t="s">
        <v>12709</v>
      </c>
      <c r="B2912" s="627" t="s">
        <v>14838</v>
      </c>
      <c r="C2912" s="626" t="s">
        <v>8</v>
      </c>
      <c r="D2912" s="626" t="s">
        <v>9584</v>
      </c>
      <c r="E2912" s="628" t="s">
        <v>17</v>
      </c>
      <c r="F2912" s="816" t="s">
        <v>15127</v>
      </c>
      <c r="G2912" s="816"/>
      <c r="H2912" s="816">
        <v>6.8503999999999996</v>
      </c>
      <c r="I2912" s="816"/>
      <c r="J2912" s="817">
        <v>52.06</v>
      </c>
      <c r="K2912" s="817"/>
      <c r="L2912" s="817"/>
    </row>
    <row r="2913" spans="1:12" ht="24" customHeight="1">
      <c r="A2913" s="626" t="s">
        <v>12709</v>
      </c>
      <c r="B2913" s="627" t="s">
        <v>14839</v>
      </c>
      <c r="C2913" s="626" t="s">
        <v>8</v>
      </c>
      <c r="D2913" s="626" t="s">
        <v>10919</v>
      </c>
      <c r="E2913" s="628" t="s">
        <v>35</v>
      </c>
      <c r="F2913" s="816" t="s">
        <v>15128</v>
      </c>
      <c r="G2913" s="816"/>
      <c r="H2913" s="816">
        <v>0.54730000000000001</v>
      </c>
      <c r="I2913" s="816"/>
      <c r="J2913" s="817">
        <v>512.26</v>
      </c>
      <c r="K2913" s="817"/>
      <c r="L2913" s="817"/>
    </row>
    <row r="2914" spans="1:12" ht="24" customHeight="1">
      <c r="A2914" s="636"/>
      <c r="B2914" s="636"/>
      <c r="C2914" s="636"/>
      <c r="D2914" s="636"/>
      <c r="E2914" s="636"/>
      <c r="F2914" s="636"/>
      <c r="G2914" s="636"/>
      <c r="H2914" s="636"/>
      <c r="I2914" s="636"/>
      <c r="J2914" s="636" t="s">
        <v>13675</v>
      </c>
      <c r="K2914" s="636"/>
      <c r="L2914" s="636" t="s">
        <v>15129</v>
      </c>
    </row>
    <row r="2915" spans="1:12" ht="17.100000000000001" customHeight="1">
      <c r="A2915" s="802" t="s">
        <v>12722</v>
      </c>
      <c r="B2915" s="802"/>
      <c r="C2915" s="802"/>
      <c r="D2915" s="802"/>
      <c r="E2915" s="802"/>
      <c r="F2915" s="802"/>
      <c r="G2915" s="802"/>
      <c r="H2915" s="802"/>
      <c r="I2915" s="612"/>
      <c r="J2915" s="612"/>
      <c r="K2915" s="612"/>
      <c r="L2915" s="612"/>
    </row>
    <row r="2916" spans="1:12">
      <c r="A2916" s="612" t="s">
        <v>13679</v>
      </c>
      <c r="B2916" s="636" t="s">
        <v>12698</v>
      </c>
      <c r="C2916" s="612" t="s">
        <v>12699</v>
      </c>
      <c r="D2916" s="612" t="s">
        <v>12700</v>
      </c>
      <c r="E2916" s="637" t="s">
        <v>12702</v>
      </c>
      <c r="F2916" s="801" t="s">
        <v>12704</v>
      </c>
      <c r="G2916" s="801"/>
      <c r="H2916" s="801" t="s">
        <v>13678</v>
      </c>
      <c r="I2916" s="801"/>
      <c r="J2916" s="801" t="s">
        <v>12705</v>
      </c>
      <c r="K2916" s="801"/>
      <c r="L2916" s="801"/>
    </row>
    <row r="2917" spans="1:12" ht="17.100000000000001" customHeight="1">
      <c r="A2917" s="626" t="s">
        <v>12709</v>
      </c>
      <c r="B2917" s="627" t="s">
        <v>12998</v>
      </c>
      <c r="C2917" s="626" t="s">
        <v>8</v>
      </c>
      <c r="D2917" s="626" t="s">
        <v>11861</v>
      </c>
      <c r="E2917" s="628" t="s">
        <v>23</v>
      </c>
      <c r="F2917" s="816" t="s">
        <v>13683</v>
      </c>
      <c r="G2917" s="816"/>
      <c r="H2917" s="816">
        <v>0.57076910000000003</v>
      </c>
      <c r="I2917" s="816"/>
      <c r="J2917" s="817">
        <v>0.4052</v>
      </c>
      <c r="K2917" s="817"/>
      <c r="L2917" s="817"/>
    </row>
    <row r="2918" spans="1:12" ht="48" customHeight="1">
      <c r="A2918" s="636"/>
      <c r="B2918" s="636"/>
      <c r="C2918" s="636"/>
      <c r="D2918" s="636"/>
      <c r="E2918" s="636"/>
      <c r="F2918" s="636"/>
      <c r="G2918" s="636"/>
      <c r="H2918" s="636"/>
      <c r="I2918" s="636"/>
      <c r="J2918" s="636" t="s">
        <v>13675</v>
      </c>
      <c r="K2918" s="636"/>
      <c r="L2918" s="636" t="s">
        <v>13905</v>
      </c>
    </row>
    <row r="2919" spans="1:12" ht="24" customHeight="1">
      <c r="A2919" s="802" t="s">
        <v>12713</v>
      </c>
      <c r="B2919" s="802"/>
      <c r="C2919" s="802"/>
      <c r="D2919" s="802"/>
      <c r="E2919" s="802"/>
      <c r="F2919" s="802"/>
      <c r="G2919" s="802"/>
      <c r="H2919" s="802"/>
      <c r="I2919" s="612"/>
      <c r="J2919" s="612"/>
      <c r="K2919" s="612"/>
      <c r="L2919" s="612"/>
    </row>
    <row r="2920" spans="1:12" ht="24" customHeight="1">
      <c r="A2920" s="612" t="s">
        <v>13679</v>
      </c>
      <c r="B2920" s="636" t="s">
        <v>12698</v>
      </c>
      <c r="C2920" s="612" t="s">
        <v>12699</v>
      </c>
      <c r="D2920" s="612" t="s">
        <v>12700</v>
      </c>
      <c r="E2920" s="637" t="s">
        <v>12702</v>
      </c>
      <c r="F2920" s="801" t="s">
        <v>12704</v>
      </c>
      <c r="G2920" s="801"/>
      <c r="H2920" s="801" t="s">
        <v>13678</v>
      </c>
      <c r="I2920" s="801"/>
      <c r="J2920" s="801" t="s">
        <v>12705</v>
      </c>
      <c r="K2920" s="801"/>
      <c r="L2920" s="801"/>
    </row>
    <row r="2921" spans="1:12" ht="17.100000000000001" customHeight="1">
      <c r="A2921" s="626" t="s">
        <v>12709</v>
      </c>
      <c r="B2921" s="627" t="s">
        <v>12999</v>
      </c>
      <c r="C2921" s="626" t="s">
        <v>8</v>
      </c>
      <c r="D2921" s="626" t="s">
        <v>11251</v>
      </c>
      <c r="E2921" s="628" t="s">
        <v>23</v>
      </c>
      <c r="F2921" s="816" t="s">
        <v>13681</v>
      </c>
      <c r="G2921" s="816"/>
      <c r="H2921" s="816">
        <v>0.57076910000000003</v>
      </c>
      <c r="I2921" s="816"/>
      <c r="J2921" s="817">
        <v>0.04</v>
      </c>
      <c r="K2921" s="817"/>
      <c r="L2921" s="817"/>
    </row>
    <row r="2922" spans="1:12">
      <c r="A2922" s="636"/>
      <c r="B2922" s="636"/>
      <c r="C2922" s="636"/>
      <c r="D2922" s="636"/>
      <c r="E2922" s="636"/>
      <c r="F2922" s="636"/>
      <c r="G2922" s="636"/>
      <c r="H2922" s="636"/>
      <c r="I2922" s="636"/>
      <c r="J2922" s="636" t="s">
        <v>13675</v>
      </c>
      <c r="K2922" s="636"/>
      <c r="L2922" s="636" t="s">
        <v>13716</v>
      </c>
    </row>
    <row r="2923" spans="1:12" ht="17.100000000000001" customHeight="1">
      <c r="A2923" s="802" t="s">
        <v>12712</v>
      </c>
      <c r="B2923" s="802"/>
      <c r="C2923" s="802"/>
      <c r="D2923" s="802"/>
      <c r="E2923" s="802"/>
      <c r="F2923" s="802"/>
      <c r="G2923" s="802"/>
      <c r="H2923" s="802"/>
      <c r="I2923" s="612"/>
      <c r="J2923" s="612"/>
      <c r="K2923" s="612"/>
      <c r="L2923" s="612"/>
    </row>
    <row r="2924" spans="1:12" ht="24" customHeight="1">
      <c r="A2924" s="612" t="s">
        <v>13679</v>
      </c>
      <c r="B2924" s="636" t="s">
        <v>12698</v>
      </c>
      <c r="C2924" s="612" t="s">
        <v>12699</v>
      </c>
      <c r="D2924" s="612" t="s">
        <v>12700</v>
      </c>
      <c r="E2924" s="637" t="s">
        <v>12702</v>
      </c>
      <c r="F2924" s="801" t="s">
        <v>12704</v>
      </c>
      <c r="G2924" s="801"/>
      <c r="H2924" s="801" t="s">
        <v>13678</v>
      </c>
      <c r="I2924" s="801"/>
      <c r="J2924" s="801" t="s">
        <v>12705</v>
      </c>
      <c r="K2924" s="801"/>
      <c r="L2924" s="801"/>
    </row>
    <row r="2925" spans="1:12" ht="17.100000000000001" customHeight="1">
      <c r="A2925" s="626" t="s">
        <v>12709</v>
      </c>
      <c r="B2925" s="627" t="s">
        <v>13002</v>
      </c>
      <c r="C2925" s="626" t="s">
        <v>8</v>
      </c>
      <c r="D2925" s="626" t="s">
        <v>9306</v>
      </c>
      <c r="E2925" s="628" t="s">
        <v>23</v>
      </c>
      <c r="F2925" s="816" t="s">
        <v>13677</v>
      </c>
      <c r="G2925" s="816"/>
      <c r="H2925" s="816">
        <v>0.57076910000000003</v>
      </c>
      <c r="I2925" s="816"/>
      <c r="J2925" s="817">
        <v>0.19980000000000001</v>
      </c>
      <c r="K2925" s="817"/>
      <c r="L2925" s="817"/>
    </row>
    <row r="2926" spans="1:12" ht="25.5">
      <c r="A2926" s="626" t="s">
        <v>12709</v>
      </c>
      <c r="B2926" s="627" t="s">
        <v>13004</v>
      </c>
      <c r="C2926" s="626" t="s">
        <v>8</v>
      </c>
      <c r="D2926" s="626" t="s">
        <v>7388</v>
      </c>
      <c r="E2926" s="628" t="s">
        <v>23</v>
      </c>
      <c r="F2926" s="816" t="s">
        <v>13676</v>
      </c>
      <c r="G2926" s="816"/>
      <c r="H2926" s="816">
        <v>0.57076910000000003</v>
      </c>
      <c r="I2926" s="816"/>
      <c r="J2926" s="817">
        <v>1.2557</v>
      </c>
      <c r="K2926" s="817"/>
      <c r="L2926" s="817"/>
    </row>
    <row r="2927" spans="1:12" ht="17.100000000000001" customHeight="1">
      <c r="A2927" s="636"/>
      <c r="B2927" s="636"/>
      <c r="C2927" s="636"/>
      <c r="D2927" s="636"/>
      <c r="E2927" s="636"/>
      <c r="F2927" s="636"/>
      <c r="G2927" s="636"/>
      <c r="H2927" s="636"/>
      <c r="I2927" s="636"/>
      <c r="J2927" s="636" t="s">
        <v>13675</v>
      </c>
      <c r="K2927" s="636"/>
      <c r="L2927" s="636" t="s">
        <v>13713</v>
      </c>
    </row>
    <row r="2928" spans="1:12" ht="24" customHeight="1">
      <c r="A2928" s="612" t="s">
        <v>13673</v>
      </c>
      <c r="B2928" s="612"/>
      <c r="C2928" s="612"/>
      <c r="D2928" s="612"/>
      <c r="E2928" s="612"/>
      <c r="F2928" s="612"/>
      <c r="G2928" s="612"/>
      <c r="H2928" s="612"/>
      <c r="I2928" s="612"/>
      <c r="J2928" s="612"/>
      <c r="K2928" s="612"/>
      <c r="L2928" s="612"/>
    </row>
    <row r="2929" spans="1:12" ht="17.100000000000001" customHeight="1">
      <c r="A2929" s="636"/>
      <c r="B2929" s="636"/>
      <c r="C2929" s="636"/>
      <c r="D2929" s="636"/>
      <c r="E2929" s="636"/>
      <c r="F2929" s="636"/>
      <c r="G2929" s="636"/>
      <c r="H2929" s="636"/>
      <c r="I2929" s="636"/>
      <c r="J2929" s="636" t="s">
        <v>13672</v>
      </c>
      <c r="K2929" s="636"/>
      <c r="L2929" s="636" t="s">
        <v>15130</v>
      </c>
    </row>
    <row r="2930" spans="1:12">
      <c r="A2930" s="636"/>
      <c r="B2930" s="636"/>
      <c r="C2930" s="636"/>
      <c r="D2930" s="636"/>
      <c r="E2930" s="636"/>
      <c r="F2930" s="636"/>
      <c r="G2930" s="636"/>
      <c r="H2930" s="636"/>
      <c r="I2930" s="636"/>
      <c r="J2930" s="636" t="s">
        <v>13671</v>
      </c>
      <c r="K2930" s="636" t="s">
        <v>14461</v>
      </c>
      <c r="L2930" s="636" t="s">
        <v>15106</v>
      </c>
    </row>
    <row r="2931" spans="1:12" ht="17.100000000000001" customHeight="1">
      <c r="A2931" s="636"/>
      <c r="B2931" s="636"/>
      <c r="C2931" s="636"/>
      <c r="D2931" s="636"/>
      <c r="E2931" s="636"/>
      <c r="F2931" s="636"/>
      <c r="G2931" s="636"/>
      <c r="H2931" s="636"/>
      <c r="I2931" s="636"/>
      <c r="J2931" s="636" t="s">
        <v>13670</v>
      </c>
      <c r="K2931" s="636"/>
      <c r="L2931" s="636" t="s">
        <v>15131</v>
      </c>
    </row>
    <row r="2932" spans="1:12" ht="24" customHeight="1">
      <c r="A2932" s="636"/>
      <c r="B2932" s="636"/>
      <c r="C2932" s="636"/>
      <c r="D2932" s="636"/>
      <c r="E2932" s="636"/>
      <c r="F2932" s="636"/>
      <c r="G2932" s="636"/>
      <c r="H2932" s="636"/>
      <c r="I2932" s="636"/>
      <c r="J2932" s="636" t="s">
        <v>13669</v>
      </c>
      <c r="K2932" s="636" t="s">
        <v>13667</v>
      </c>
      <c r="L2932" s="636" t="s">
        <v>15132</v>
      </c>
    </row>
    <row r="2933" spans="1:12" ht="24" customHeight="1">
      <c r="A2933" s="636"/>
      <c r="B2933" s="636"/>
      <c r="C2933" s="636"/>
      <c r="D2933" s="636"/>
      <c r="E2933" s="636"/>
      <c r="F2933" s="636"/>
      <c r="G2933" s="636"/>
      <c r="H2933" s="636"/>
      <c r="I2933" s="636"/>
      <c r="J2933" s="636" t="s">
        <v>13668</v>
      </c>
      <c r="K2933" s="636"/>
      <c r="L2933" s="636" t="s">
        <v>15133</v>
      </c>
    </row>
    <row r="2934" spans="1:12" ht="17.100000000000001" customHeight="1">
      <c r="A2934" s="637"/>
      <c r="B2934" s="637"/>
      <c r="C2934" s="637"/>
      <c r="D2934" s="637"/>
      <c r="E2934" s="637"/>
      <c r="F2934" s="637"/>
      <c r="G2934" s="637"/>
      <c r="H2934" s="637"/>
      <c r="I2934" s="637"/>
      <c r="J2934" s="637"/>
      <c r="K2934" s="637"/>
      <c r="L2934" s="637"/>
    </row>
    <row r="2935" spans="1:12" ht="17.100000000000001" customHeight="1">
      <c r="A2935" s="616" t="s">
        <v>14180</v>
      </c>
      <c r="B2935" s="617" t="s">
        <v>14840</v>
      </c>
      <c r="C2935" s="616" t="s">
        <v>8</v>
      </c>
      <c r="D2935" s="616" t="s">
        <v>6736</v>
      </c>
      <c r="E2935" s="618" t="s">
        <v>12725</v>
      </c>
      <c r="F2935" s="617"/>
      <c r="G2935" s="617"/>
      <c r="H2935" s="617"/>
      <c r="I2935" s="617"/>
      <c r="J2935" s="617"/>
      <c r="K2935" s="617"/>
      <c r="L2935" s="617"/>
    </row>
    <row r="2936" spans="1:12" ht="17.100000000000001" customHeight="1">
      <c r="A2936" s="802" t="s">
        <v>12711</v>
      </c>
      <c r="B2936" s="802"/>
      <c r="C2936" s="802"/>
      <c r="D2936" s="802"/>
      <c r="E2936" s="802"/>
      <c r="F2936" s="802"/>
      <c r="G2936" s="802"/>
      <c r="H2936" s="802"/>
      <c r="I2936" s="612"/>
      <c r="J2936" s="612"/>
      <c r="K2936" s="612"/>
      <c r="L2936" s="612"/>
    </row>
    <row r="2937" spans="1:12" ht="17.100000000000001" customHeight="1">
      <c r="A2937" s="612" t="s">
        <v>13679</v>
      </c>
      <c r="B2937" s="636" t="s">
        <v>12698</v>
      </c>
      <c r="C2937" s="612" t="s">
        <v>12699</v>
      </c>
      <c r="D2937" s="612" t="s">
        <v>12700</v>
      </c>
      <c r="E2937" s="637" t="s">
        <v>12702</v>
      </c>
      <c r="F2937" s="801" t="s">
        <v>12704</v>
      </c>
      <c r="G2937" s="801"/>
      <c r="H2937" s="801" t="s">
        <v>13678</v>
      </c>
      <c r="I2937" s="801"/>
      <c r="J2937" s="801" t="s">
        <v>12705</v>
      </c>
      <c r="K2937" s="801"/>
      <c r="L2937" s="801"/>
    </row>
    <row r="2938" spans="1:12" ht="17.100000000000001" customHeight="1">
      <c r="A2938" s="626" t="s">
        <v>12709</v>
      </c>
      <c r="B2938" s="627" t="s">
        <v>13052</v>
      </c>
      <c r="C2938" s="626" t="s">
        <v>8</v>
      </c>
      <c r="D2938" s="626" t="s">
        <v>9229</v>
      </c>
      <c r="E2938" s="628" t="s">
        <v>23</v>
      </c>
      <c r="F2938" s="816" t="s">
        <v>13692</v>
      </c>
      <c r="G2938" s="816"/>
      <c r="H2938" s="816">
        <v>0.9578892</v>
      </c>
      <c r="I2938" s="816"/>
      <c r="J2938" s="817">
        <v>0.91959999999999997</v>
      </c>
      <c r="K2938" s="817"/>
      <c r="L2938" s="817"/>
    </row>
    <row r="2939" spans="1:12" ht="17.100000000000001" customHeight="1">
      <c r="A2939" s="626" t="s">
        <v>12709</v>
      </c>
      <c r="B2939" s="627" t="s">
        <v>13051</v>
      </c>
      <c r="C2939" s="626" t="s">
        <v>8</v>
      </c>
      <c r="D2939" s="626" t="s">
        <v>9376</v>
      </c>
      <c r="E2939" s="628" t="s">
        <v>23</v>
      </c>
      <c r="F2939" s="816" t="s">
        <v>13691</v>
      </c>
      <c r="G2939" s="816"/>
      <c r="H2939" s="816">
        <v>0.9578892</v>
      </c>
      <c r="I2939" s="816"/>
      <c r="J2939" s="817">
        <v>0.47889999999999999</v>
      </c>
      <c r="K2939" s="817"/>
      <c r="L2939" s="817"/>
    </row>
    <row r="2940" spans="1:12" ht="17.100000000000001" customHeight="1">
      <c r="A2940" s="626" t="s">
        <v>12709</v>
      </c>
      <c r="B2940" s="627" t="s">
        <v>13048</v>
      </c>
      <c r="C2940" s="626" t="s">
        <v>8</v>
      </c>
      <c r="D2940" s="626" t="s">
        <v>9233</v>
      </c>
      <c r="E2940" s="628" t="s">
        <v>23</v>
      </c>
      <c r="F2940" s="816" t="s">
        <v>13690</v>
      </c>
      <c r="G2940" s="816"/>
      <c r="H2940" s="816">
        <v>0.4789446</v>
      </c>
      <c r="I2940" s="816"/>
      <c r="J2940" s="817">
        <v>0.48849999999999999</v>
      </c>
      <c r="K2940" s="817"/>
      <c r="L2940" s="817"/>
    </row>
    <row r="2941" spans="1:12" ht="30" customHeight="1">
      <c r="A2941" s="626" t="s">
        <v>12709</v>
      </c>
      <c r="B2941" s="627" t="s">
        <v>13047</v>
      </c>
      <c r="C2941" s="626" t="s">
        <v>8</v>
      </c>
      <c r="D2941" s="626" t="s">
        <v>9380</v>
      </c>
      <c r="E2941" s="628" t="s">
        <v>23</v>
      </c>
      <c r="F2941" s="816" t="s">
        <v>13689</v>
      </c>
      <c r="G2941" s="816"/>
      <c r="H2941" s="816">
        <v>0.4789446</v>
      </c>
      <c r="I2941" s="816"/>
      <c r="J2941" s="817">
        <v>0.182</v>
      </c>
      <c r="K2941" s="817"/>
      <c r="L2941" s="817"/>
    </row>
    <row r="2942" spans="1:12" ht="36" customHeight="1">
      <c r="A2942" s="636"/>
      <c r="B2942" s="636"/>
      <c r="C2942" s="636"/>
      <c r="D2942" s="636"/>
      <c r="E2942" s="636"/>
      <c r="F2942" s="636"/>
      <c r="G2942" s="636"/>
      <c r="H2942" s="636"/>
      <c r="I2942" s="636"/>
      <c r="J2942" s="636" t="s">
        <v>13675</v>
      </c>
      <c r="K2942" s="636"/>
      <c r="L2942" s="636" t="s">
        <v>13860</v>
      </c>
    </row>
    <row r="2943" spans="1:12" ht="14.25" customHeight="1">
      <c r="A2943" s="802" t="s">
        <v>12710</v>
      </c>
      <c r="B2943" s="802"/>
      <c r="C2943" s="802"/>
      <c r="D2943" s="802"/>
      <c r="E2943" s="802"/>
      <c r="F2943" s="802"/>
      <c r="G2943" s="802"/>
      <c r="H2943" s="802"/>
      <c r="I2943" s="612"/>
      <c r="J2943" s="612"/>
      <c r="K2943" s="612"/>
      <c r="L2943" s="612"/>
    </row>
    <row r="2944" spans="1:12" ht="17.100000000000001" customHeight="1">
      <c r="A2944" s="612" t="s">
        <v>13679</v>
      </c>
      <c r="B2944" s="636" t="s">
        <v>12698</v>
      </c>
      <c r="C2944" s="612" t="s">
        <v>12699</v>
      </c>
      <c r="D2944" s="612" t="s">
        <v>12700</v>
      </c>
      <c r="E2944" s="637" t="s">
        <v>12702</v>
      </c>
      <c r="F2944" s="801" t="s">
        <v>12704</v>
      </c>
      <c r="G2944" s="801"/>
      <c r="H2944" s="801" t="s">
        <v>13678</v>
      </c>
      <c r="I2944" s="801"/>
      <c r="J2944" s="801" t="s">
        <v>12705</v>
      </c>
      <c r="K2944" s="801"/>
      <c r="L2944" s="801"/>
    </row>
    <row r="2945" spans="1:12" ht="24" customHeight="1">
      <c r="A2945" s="626" t="s">
        <v>12709</v>
      </c>
      <c r="B2945" s="627" t="s">
        <v>13099</v>
      </c>
      <c r="C2945" s="626" t="s">
        <v>8</v>
      </c>
      <c r="D2945" s="626" t="s">
        <v>10726</v>
      </c>
      <c r="E2945" s="628" t="s">
        <v>23</v>
      </c>
      <c r="F2945" s="816" t="s">
        <v>14470</v>
      </c>
      <c r="G2945" s="816"/>
      <c r="H2945" s="816">
        <v>0.97342030000000002</v>
      </c>
      <c r="I2945" s="816"/>
      <c r="J2945" s="817">
        <v>6.7263000000000002</v>
      </c>
      <c r="K2945" s="817"/>
      <c r="L2945" s="817"/>
    </row>
    <row r="2946" spans="1:12" ht="24" customHeight="1">
      <c r="A2946" s="626" t="s">
        <v>12709</v>
      </c>
      <c r="B2946" s="627" t="s">
        <v>13046</v>
      </c>
      <c r="C2946" s="626" t="s">
        <v>8</v>
      </c>
      <c r="D2946" s="626" t="s">
        <v>11281</v>
      </c>
      <c r="E2946" s="628" t="s">
        <v>23</v>
      </c>
      <c r="F2946" s="816" t="s">
        <v>13731</v>
      </c>
      <c r="G2946" s="816"/>
      <c r="H2946" s="816">
        <v>0.48671019999999998</v>
      </c>
      <c r="I2946" s="816"/>
      <c r="J2946" s="817">
        <v>2.5017</v>
      </c>
      <c r="K2946" s="817"/>
      <c r="L2946" s="817"/>
    </row>
    <row r="2947" spans="1:12" ht="24" customHeight="1">
      <c r="A2947" s="636"/>
      <c r="B2947" s="636"/>
      <c r="C2947" s="636"/>
      <c r="D2947" s="636"/>
      <c r="E2947" s="636"/>
      <c r="F2947" s="636"/>
      <c r="G2947" s="636"/>
      <c r="H2947" s="636"/>
      <c r="I2947" s="636"/>
      <c r="J2947" s="636" t="s">
        <v>13675</v>
      </c>
      <c r="K2947" s="636"/>
      <c r="L2947" s="636" t="s">
        <v>15134</v>
      </c>
    </row>
    <row r="2948" spans="1:12" ht="24" customHeight="1">
      <c r="A2948" s="802" t="s">
        <v>12720</v>
      </c>
      <c r="B2948" s="802"/>
      <c r="C2948" s="802"/>
      <c r="D2948" s="802"/>
      <c r="E2948" s="802"/>
      <c r="F2948" s="802"/>
      <c r="G2948" s="802"/>
      <c r="H2948" s="802"/>
      <c r="I2948" s="612"/>
      <c r="J2948" s="612"/>
      <c r="K2948" s="612"/>
      <c r="L2948" s="612"/>
    </row>
    <row r="2949" spans="1:12" ht="17.100000000000001" customHeight="1">
      <c r="A2949" s="612" t="s">
        <v>13679</v>
      </c>
      <c r="B2949" s="636" t="s">
        <v>12698</v>
      </c>
      <c r="C2949" s="612" t="s">
        <v>12699</v>
      </c>
      <c r="D2949" s="612" t="s">
        <v>12700</v>
      </c>
      <c r="E2949" s="637" t="s">
        <v>12702</v>
      </c>
      <c r="F2949" s="801" t="s">
        <v>12704</v>
      </c>
      <c r="G2949" s="801"/>
      <c r="H2949" s="801" t="s">
        <v>13678</v>
      </c>
      <c r="I2949" s="801"/>
      <c r="J2949" s="801" t="s">
        <v>12705</v>
      </c>
      <c r="K2949" s="801"/>
      <c r="L2949" s="801"/>
    </row>
    <row r="2950" spans="1:12" ht="14.25" customHeight="1">
      <c r="A2950" s="626" t="s">
        <v>12709</v>
      </c>
      <c r="B2950" s="627" t="s">
        <v>13589</v>
      </c>
      <c r="C2950" s="626" t="s">
        <v>8</v>
      </c>
      <c r="D2950" s="626" t="s">
        <v>10616</v>
      </c>
      <c r="E2950" s="628" t="s">
        <v>35</v>
      </c>
      <c r="F2950" s="816" t="s">
        <v>13875</v>
      </c>
      <c r="G2950" s="816"/>
      <c r="H2950" s="816">
        <v>7.3</v>
      </c>
      <c r="I2950" s="816"/>
      <c r="J2950" s="817">
        <v>0.94</v>
      </c>
      <c r="K2950" s="817"/>
      <c r="L2950" s="817"/>
    </row>
    <row r="2951" spans="1:12" ht="17.100000000000001" customHeight="1">
      <c r="A2951" s="626" t="s">
        <v>12709</v>
      </c>
      <c r="B2951" s="627" t="s">
        <v>13588</v>
      </c>
      <c r="C2951" s="626" t="s">
        <v>8</v>
      </c>
      <c r="D2951" s="626" t="s">
        <v>11294</v>
      </c>
      <c r="E2951" s="628" t="s">
        <v>35</v>
      </c>
      <c r="F2951" s="816" t="s">
        <v>14750</v>
      </c>
      <c r="G2951" s="816"/>
      <c r="H2951" s="816">
        <v>0.56000000000000005</v>
      </c>
      <c r="I2951" s="816"/>
      <c r="J2951" s="817">
        <v>8.94</v>
      </c>
      <c r="K2951" s="817"/>
      <c r="L2951" s="817"/>
    </row>
    <row r="2952" spans="1:12" ht="24" customHeight="1">
      <c r="A2952" s="626" t="s">
        <v>12709</v>
      </c>
      <c r="B2952" s="627" t="s">
        <v>14841</v>
      </c>
      <c r="C2952" s="626" t="s">
        <v>8</v>
      </c>
      <c r="D2952" s="626" t="s">
        <v>9680</v>
      </c>
      <c r="E2952" s="628" t="s">
        <v>35</v>
      </c>
      <c r="F2952" s="816" t="s">
        <v>15135</v>
      </c>
      <c r="G2952" s="816"/>
      <c r="H2952" s="816">
        <v>0.55600000000000005</v>
      </c>
      <c r="I2952" s="816"/>
      <c r="J2952" s="817">
        <v>267.66000000000003</v>
      </c>
      <c r="K2952" s="817"/>
      <c r="L2952" s="817"/>
    </row>
    <row r="2953" spans="1:12" ht="24" customHeight="1">
      <c r="A2953" s="636"/>
      <c r="B2953" s="636"/>
      <c r="C2953" s="636"/>
      <c r="D2953" s="636"/>
      <c r="E2953" s="636"/>
      <c r="F2953" s="636"/>
      <c r="G2953" s="636"/>
      <c r="H2953" s="636"/>
      <c r="I2953" s="636"/>
      <c r="J2953" s="636" t="s">
        <v>13675</v>
      </c>
      <c r="K2953" s="636"/>
      <c r="L2953" s="636" t="s">
        <v>15136</v>
      </c>
    </row>
    <row r="2954" spans="1:12" ht="17.100000000000001" customHeight="1">
      <c r="A2954" s="802" t="s">
        <v>12722</v>
      </c>
      <c r="B2954" s="802"/>
      <c r="C2954" s="802"/>
      <c r="D2954" s="802"/>
      <c r="E2954" s="802"/>
      <c r="F2954" s="802"/>
      <c r="G2954" s="802"/>
      <c r="H2954" s="802"/>
      <c r="I2954" s="612"/>
      <c r="J2954" s="612"/>
      <c r="K2954" s="612"/>
      <c r="L2954" s="612"/>
    </row>
    <row r="2955" spans="1:12">
      <c r="A2955" s="612" t="s">
        <v>13679</v>
      </c>
      <c r="B2955" s="636" t="s">
        <v>12698</v>
      </c>
      <c r="C2955" s="612" t="s">
        <v>12699</v>
      </c>
      <c r="D2955" s="612" t="s">
        <v>12700</v>
      </c>
      <c r="E2955" s="637" t="s">
        <v>12702</v>
      </c>
      <c r="F2955" s="801" t="s">
        <v>12704</v>
      </c>
      <c r="G2955" s="801"/>
      <c r="H2955" s="801" t="s">
        <v>13678</v>
      </c>
      <c r="I2955" s="801"/>
      <c r="J2955" s="801" t="s">
        <v>12705</v>
      </c>
      <c r="K2955" s="801"/>
      <c r="L2955" s="801"/>
    </row>
    <row r="2956" spans="1:12" ht="17.100000000000001" customHeight="1">
      <c r="A2956" s="626" t="s">
        <v>12709</v>
      </c>
      <c r="B2956" s="627" t="s">
        <v>12998</v>
      </c>
      <c r="C2956" s="626" t="s">
        <v>8</v>
      </c>
      <c r="D2956" s="626" t="s">
        <v>11861</v>
      </c>
      <c r="E2956" s="628" t="s">
        <v>23</v>
      </c>
      <c r="F2956" s="816" t="s">
        <v>13683</v>
      </c>
      <c r="G2956" s="816"/>
      <c r="H2956" s="816">
        <v>1.4368337</v>
      </c>
      <c r="I2956" s="816"/>
      <c r="J2956" s="817">
        <v>1.0202</v>
      </c>
      <c r="K2956" s="817"/>
      <c r="L2956" s="817"/>
    </row>
    <row r="2957" spans="1:12" ht="36" customHeight="1">
      <c r="A2957" s="636"/>
      <c r="B2957" s="636"/>
      <c r="C2957" s="636"/>
      <c r="D2957" s="636"/>
      <c r="E2957" s="636"/>
      <c r="F2957" s="636"/>
      <c r="G2957" s="636"/>
      <c r="H2957" s="636"/>
      <c r="I2957" s="636"/>
      <c r="J2957" s="636" t="s">
        <v>13675</v>
      </c>
      <c r="K2957" s="636"/>
      <c r="L2957" s="636" t="s">
        <v>13690</v>
      </c>
    </row>
    <row r="2958" spans="1:12" ht="36" customHeight="1">
      <c r="A2958" s="802" t="s">
        <v>12713</v>
      </c>
      <c r="B2958" s="802"/>
      <c r="C2958" s="802"/>
      <c r="D2958" s="802"/>
      <c r="E2958" s="802"/>
      <c r="F2958" s="802"/>
      <c r="G2958" s="802"/>
      <c r="H2958" s="802"/>
      <c r="I2958" s="612"/>
      <c r="J2958" s="612"/>
      <c r="K2958" s="612"/>
      <c r="L2958" s="612"/>
    </row>
    <row r="2959" spans="1:12" ht="24" customHeight="1">
      <c r="A2959" s="612" t="s">
        <v>13679</v>
      </c>
      <c r="B2959" s="636" t="s">
        <v>12698</v>
      </c>
      <c r="C2959" s="612" t="s">
        <v>12699</v>
      </c>
      <c r="D2959" s="612" t="s">
        <v>12700</v>
      </c>
      <c r="E2959" s="637" t="s">
        <v>12702</v>
      </c>
      <c r="F2959" s="801" t="s">
        <v>12704</v>
      </c>
      <c r="G2959" s="801"/>
      <c r="H2959" s="801" t="s">
        <v>13678</v>
      </c>
      <c r="I2959" s="801"/>
      <c r="J2959" s="801" t="s">
        <v>12705</v>
      </c>
      <c r="K2959" s="801"/>
      <c r="L2959" s="801"/>
    </row>
    <row r="2960" spans="1:12" ht="17.100000000000001" customHeight="1">
      <c r="A2960" s="626" t="s">
        <v>12709</v>
      </c>
      <c r="B2960" s="627" t="s">
        <v>12999</v>
      </c>
      <c r="C2960" s="626" t="s">
        <v>8</v>
      </c>
      <c r="D2960" s="626" t="s">
        <v>11251</v>
      </c>
      <c r="E2960" s="628" t="s">
        <v>23</v>
      </c>
      <c r="F2960" s="816" t="s">
        <v>13681</v>
      </c>
      <c r="G2960" s="816"/>
      <c r="H2960" s="816">
        <v>1.4368337</v>
      </c>
      <c r="I2960" s="816"/>
      <c r="J2960" s="817">
        <v>0.10059999999999999</v>
      </c>
      <c r="K2960" s="817"/>
      <c r="L2960" s="817"/>
    </row>
    <row r="2961" spans="1:12">
      <c r="A2961" s="636"/>
      <c r="B2961" s="636"/>
      <c r="C2961" s="636"/>
      <c r="D2961" s="636"/>
      <c r="E2961" s="636"/>
      <c r="F2961" s="636"/>
      <c r="G2961" s="636"/>
      <c r="H2961" s="636"/>
      <c r="I2961" s="636"/>
      <c r="J2961" s="636" t="s">
        <v>13675</v>
      </c>
      <c r="K2961" s="636"/>
      <c r="L2961" s="636" t="s">
        <v>13882</v>
      </c>
    </row>
    <row r="2962" spans="1:12" ht="17.100000000000001" customHeight="1">
      <c r="A2962" s="802" t="s">
        <v>12712</v>
      </c>
      <c r="B2962" s="802"/>
      <c r="C2962" s="802"/>
      <c r="D2962" s="802"/>
      <c r="E2962" s="802"/>
      <c r="F2962" s="802"/>
      <c r="G2962" s="802"/>
      <c r="H2962" s="802"/>
      <c r="I2962" s="612"/>
      <c r="J2962" s="612"/>
      <c r="K2962" s="612"/>
      <c r="L2962" s="612"/>
    </row>
    <row r="2963" spans="1:12" ht="24" customHeight="1">
      <c r="A2963" s="612" t="s">
        <v>13679</v>
      </c>
      <c r="B2963" s="636" t="s">
        <v>12698</v>
      </c>
      <c r="C2963" s="612" t="s">
        <v>12699</v>
      </c>
      <c r="D2963" s="612" t="s">
        <v>12700</v>
      </c>
      <c r="E2963" s="637" t="s">
        <v>12702</v>
      </c>
      <c r="F2963" s="801" t="s">
        <v>12704</v>
      </c>
      <c r="G2963" s="801"/>
      <c r="H2963" s="801" t="s">
        <v>13678</v>
      </c>
      <c r="I2963" s="801"/>
      <c r="J2963" s="801" t="s">
        <v>12705</v>
      </c>
      <c r="K2963" s="801"/>
      <c r="L2963" s="801"/>
    </row>
    <row r="2964" spans="1:12" ht="17.100000000000001" customHeight="1">
      <c r="A2964" s="626" t="s">
        <v>12709</v>
      </c>
      <c r="B2964" s="627" t="s">
        <v>13002</v>
      </c>
      <c r="C2964" s="626" t="s">
        <v>8</v>
      </c>
      <c r="D2964" s="626" t="s">
        <v>9306</v>
      </c>
      <c r="E2964" s="628" t="s">
        <v>23</v>
      </c>
      <c r="F2964" s="816" t="s">
        <v>13677</v>
      </c>
      <c r="G2964" s="816"/>
      <c r="H2964" s="816">
        <v>1.4368337</v>
      </c>
      <c r="I2964" s="816"/>
      <c r="J2964" s="817">
        <v>0.50290000000000001</v>
      </c>
      <c r="K2964" s="817"/>
      <c r="L2964" s="817"/>
    </row>
    <row r="2965" spans="1:12" ht="25.5">
      <c r="A2965" s="626" t="s">
        <v>12709</v>
      </c>
      <c r="B2965" s="627" t="s">
        <v>13004</v>
      </c>
      <c r="C2965" s="626" t="s">
        <v>8</v>
      </c>
      <c r="D2965" s="626" t="s">
        <v>7388</v>
      </c>
      <c r="E2965" s="628" t="s">
        <v>23</v>
      </c>
      <c r="F2965" s="816" t="s">
        <v>13676</v>
      </c>
      <c r="G2965" s="816"/>
      <c r="H2965" s="816">
        <v>1.4368337</v>
      </c>
      <c r="I2965" s="816"/>
      <c r="J2965" s="817">
        <v>3.161</v>
      </c>
      <c r="K2965" s="817"/>
      <c r="L2965" s="817"/>
    </row>
    <row r="2966" spans="1:12" ht="17.100000000000001" customHeight="1">
      <c r="A2966" s="636"/>
      <c r="B2966" s="636"/>
      <c r="C2966" s="636"/>
      <c r="D2966" s="636"/>
      <c r="E2966" s="636"/>
      <c r="F2966" s="636"/>
      <c r="G2966" s="636"/>
      <c r="H2966" s="636"/>
      <c r="I2966" s="636"/>
      <c r="J2966" s="636" t="s">
        <v>13675</v>
      </c>
      <c r="K2966" s="636"/>
      <c r="L2966" s="636" t="s">
        <v>15137</v>
      </c>
    </row>
    <row r="2967" spans="1:12" ht="24" customHeight="1">
      <c r="A2967" s="612" t="s">
        <v>13673</v>
      </c>
      <c r="B2967" s="612"/>
      <c r="C2967" s="612"/>
      <c r="D2967" s="612"/>
      <c r="E2967" s="612"/>
      <c r="F2967" s="612"/>
      <c r="G2967" s="612"/>
      <c r="H2967" s="612"/>
      <c r="I2967" s="612"/>
      <c r="J2967" s="612"/>
      <c r="K2967" s="612"/>
      <c r="L2967" s="612"/>
    </row>
    <row r="2968" spans="1:12" ht="17.100000000000001" customHeight="1">
      <c r="A2968" s="636"/>
      <c r="B2968" s="636"/>
      <c r="C2968" s="636"/>
      <c r="D2968" s="636"/>
      <c r="E2968" s="636"/>
      <c r="F2968" s="636"/>
      <c r="G2968" s="636"/>
      <c r="H2968" s="636"/>
      <c r="I2968" s="636"/>
      <c r="J2968" s="636" t="s">
        <v>13672</v>
      </c>
      <c r="K2968" s="636"/>
      <c r="L2968" s="636" t="s">
        <v>15138</v>
      </c>
    </row>
    <row r="2969" spans="1:12">
      <c r="A2969" s="636"/>
      <c r="B2969" s="636"/>
      <c r="C2969" s="636"/>
      <c r="D2969" s="636"/>
      <c r="E2969" s="636"/>
      <c r="F2969" s="636"/>
      <c r="G2969" s="636"/>
      <c r="H2969" s="636"/>
      <c r="I2969" s="636"/>
      <c r="J2969" s="636" t="s">
        <v>13671</v>
      </c>
      <c r="K2969" s="636" t="s">
        <v>14461</v>
      </c>
      <c r="L2969" s="636" t="s">
        <v>15139</v>
      </c>
    </row>
    <row r="2970" spans="1:12" ht="17.100000000000001" customHeight="1">
      <c r="A2970" s="636"/>
      <c r="B2970" s="636"/>
      <c r="C2970" s="636"/>
      <c r="D2970" s="636"/>
      <c r="E2970" s="636"/>
      <c r="F2970" s="636"/>
      <c r="G2970" s="636"/>
      <c r="H2970" s="636"/>
      <c r="I2970" s="636"/>
      <c r="J2970" s="636" t="s">
        <v>13670</v>
      </c>
      <c r="K2970" s="636"/>
      <c r="L2970" s="636" t="s">
        <v>15140</v>
      </c>
    </row>
    <row r="2971" spans="1:12" ht="24" customHeight="1">
      <c r="A2971" s="636"/>
      <c r="B2971" s="636"/>
      <c r="C2971" s="636"/>
      <c r="D2971" s="636"/>
      <c r="E2971" s="636"/>
      <c r="F2971" s="636"/>
      <c r="G2971" s="636"/>
      <c r="H2971" s="636"/>
      <c r="I2971" s="636"/>
      <c r="J2971" s="636" t="s">
        <v>13669</v>
      </c>
      <c r="K2971" s="636" t="s">
        <v>13667</v>
      </c>
      <c r="L2971" s="636" t="s">
        <v>15141</v>
      </c>
    </row>
    <row r="2972" spans="1:12" ht="24" customHeight="1">
      <c r="A2972" s="636"/>
      <c r="B2972" s="636"/>
      <c r="C2972" s="636"/>
      <c r="D2972" s="636"/>
      <c r="E2972" s="636"/>
      <c r="F2972" s="636"/>
      <c r="G2972" s="636"/>
      <c r="H2972" s="636"/>
      <c r="I2972" s="636"/>
      <c r="J2972" s="636" t="s">
        <v>13668</v>
      </c>
      <c r="K2972" s="636"/>
      <c r="L2972" s="636" t="s">
        <v>15142</v>
      </c>
    </row>
    <row r="2973" spans="1:12" ht="17.100000000000001" customHeight="1">
      <c r="A2973" s="637"/>
      <c r="B2973" s="637"/>
      <c r="C2973" s="637"/>
      <c r="D2973" s="637"/>
      <c r="E2973" s="637"/>
      <c r="F2973" s="637"/>
      <c r="G2973" s="637"/>
      <c r="H2973" s="637"/>
      <c r="I2973" s="637"/>
      <c r="J2973" s="637"/>
      <c r="K2973" s="637"/>
      <c r="L2973" s="637"/>
    </row>
    <row r="2974" spans="1:12" ht="17.100000000000001" customHeight="1">
      <c r="A2974" s="616" t="s">
        <v>14179</v>
      </c>
      <c r="B2974" s="617" t="s">
        <v>13591</v>
      </c>
      <c r="C2974" s="616" t="s">
        <v>8</v>
      </c>
      <c r="D2974" s="616" t="s">
        <v>6733</v>
      </c>
      <c r="E2974" s="618" t="s">
        <v>12725</v>
      </c>
      <c r="F2974" s="617"/>
      <c r="G2974" s="617"/>
      <c r="H2974" s="617"/>
      <c r="I2974" s="617"/>
      <c r="J2974" s="617"/>
      <c r="K2974" s="617"/>
      <c r="L2974" s="617"/>
    </row>
    <row r="2975" spans="1:12" ht="17.100000000000001" customHeight="1">
      <c r="A2975" s="802" t="s">
        <v>12711</v>
      </c>
      <c r="B2975" s="802"/>
      <c r="C2975" s="802"/>
      <c r="D2975" s="802"/>
      <c r="E2975" s="802"/>
      <c r="F2975" s="802"/>
      <c r="G2975" s="802"/>
      <c r="H2975" s="802"/>
      <c r="I2975" s="612"/>
      <c r="J2975" s="612"/>
      <c r="K2975" s="612"/>
      <c r="L2975" s="612"/>
    </row>
    <row r="2976" spans="1:12" ht="17.100000000000001" customHeight="1">
      <c r="A2976" s="612" t="s">
        <v>13679</v>
      </c>
      <c r="B2976" s="636" t="s">
        <v>12698</v>
      </c>
      <c r="C2976" s="612" t="s">
        <v>12699</v>
      </c>
      <c r="D2976" s="612" t="s">
        <v>12700</v>
      </c>
      <c r="E2976" s="637" t="s">
        <v>12702</v>
      </c>
      <c r="F2976" s="801" t="s">
        <v>12704</v>
      </c>
      <c r="G2976" s="801"/>
      <c r="H2976" s="801" t="s">
        <v>13678</v>
      </c>
      <c r="I2976" s="801"/>
      <c r="J2976" s="801" t="s">
        <v>12705</v>
      </c>
      <c r="K2976" s="801"/>
      <c r="L2976" s="801"/>
    </row>
    <row r="2977" spans="1:12" ht="17.100000000000001" customHeight="1">
      <c r="A2977" s="626" t="s">
        <v>12709</v>
      </c>
      <c r="B2977" s="627" t="s">
        <v>13052</v>
      </c>
      <c r="C2977" s="626" t="s">
        <v>8</v>
      </c>
      <c r="D2977" s="626" t="s">
        <v>9229</v>
      </c>
      <c r="E2977" s="628" t="s">
        <v>23</v>
      </c>
      <c r="F2977" s="816" t="s">
        <v>13692</v>
      </c>
      <c r="G2977" s="816"/>
      <c r="H2977" s="816">
        <v>1.7052491000000001</v>
      </c>
      <c r="I2977" s="816"/>
      <c r="J2977" s="817">
        <v>1.637</v>
      </c>
      <c r="K2977" s="817"/>
      <c r="L2977" s="817"/>
    </row>
    <row r="2978" spans="1:12" ht="17.100000000000001" customHeight="1">
      <c r="A2978" s="626" t="s">
        <v>12709</v>
      </c>
      <c r="B2978" s="627" t="s">
        <v>13051</v>
      </c>
      <c r="C2978" s="626" t="s">
        <v>8</v>
      </c>
      <c r="D2978" s="626" t="s">
        <v>9376</v>
      </c>
      <c r="E2978" s="628" t="s">
        <v>23</v>
      </c>
      <c r="F2978" s="816" t="s">
        <v>13691</v>
      </c>
      <c r="G2978" s="816"/>
      <c r="H2978" s="816">
        <v>1.7052491000000001</v>
      </c>
      <c r="I2978" s="816"/>
      <c r="J2978" s="817">
        <v>0.85260000000000002</v>
      </c>
      <c r="K2978" s="817"/>
      <c r="L2978" s="817"/>
    </row>
    <row r="2979" spans="1:12" ht="17.100000000000001" customHeight="1">
      <c r="A2979" s="626" t="s">
        <v>12709</v>
      </c>
      <c r="B2979" s="627" t="s">
        <v>13048</v>
      </c>
      <c r="C2979" s="626" t="s">
        <v>8</v>
      </c>
      <c r="D2979" s="626" t="s">
        <v>9233</v>
      </c>
      <c r="E2979" s="628" t="s">
        <v>23</v>
      </c>
      <c r="F2979" s="816" t="s">
        <v>13690</v>
      </c>
      <c r="G2979" s="816"/>
      <c r="H2979" s="816">
        <v>0.85212509999999997</v>
      </c>
      <c r="I2979" s="816"/>
      <c r="J2979" s="817">
        <v>0.86919999999999997</v>
      </c>
      <c r="K2979" s="817"/>
      <c r="L2979" s="817"/>
    </row>
    <row r="2980" spans="1:12" ht="30" customHeight="1">
      <c r="A2980" s="626" t="s">
        <v>12709</v>
      </c>
      <c r="B2980" s="627" t="s">
        <v>13047</v>
      </c>
      <c r="C2980" s="626" t="s">
        <v>8</v>
      </c>
      <c r="D2980" s="626" t="s">
        <v>9380</v>
      </c>
      <c r="E2980" s="628" t="s">
        <v>23</v>
      </c>
      <c r="F2980" s="816" t="s">
        <v>13689</v>
      </c>
      <c r="G2980" s="816"/>
      <c r="H2980" s="816">
        <v>0.85212509999999997</v>
      </c>
      <c r="I2980" s="816"/>
      <c r="J2980" s="817">
        <v>0.32379999999999998</v>
      </c>
      <c r="K2980" s="817"/>
      <c r="L2980" s="817"/>
    </row>
    <row r="2981" spans="1:12" ht="24" customHeight="1">
      <c r="A2981" s="636"/>
      <c r="B2981" s="636"/>
      <c r="C2981" s="636"/>
      <c r="D2981" s="636"/>
      <c r="E2981" s="636"/>
      <c r="F2981" s="636"/>
      <c r="G2981" s="636"/>
      <c r="H2981" s="636"/>
      <c r="I2981" s="636"/>
      <c r="J2981" s="636" t="s">
        <v>13675</v>
      </c>
      <c r="K2981" s="636"/>
      <c r="L2981" s="636" t="s">
        <v>14006</v>
      </c>
    </row>
    <row r="2982" spans="1:12" ht="14.25" customHeight="1">
      <c r="A2982" s="802" t="s">
        <v>12710</v>
      </c>
      <c r="B2982" s="802"/>
      <c r="C2982" s="802"/>
      <c r="D2982" s="802"/>
      <c r="E2982" s="802"/>
      <c r="F2982" s="802"/>
      <c r="G2982" s="802"/>
      <c r="H2982" s="802"/>
      <c r="I2982" s="612"/>
      <c r="J2982" s="612"/>
      <c r="K2982" s="612"/>
      <c r="L2982" s="612"/>
    </row>
    <row r="2983" spans="1:12" ht="17.100000000000001" customHeight="1">
      <c r="A2983" s="612" t="s">
        <v>13679</v>
      </c>
      <c r="B2983" s="636" t="s">
        <v>12698</v>
      </c>
      <c r="C2983" s="612" t="s">
        <v>12699</v>
      </c>
      <c r="D2983" s="612" t="s">
        <v>12700</v>
      </c>
      <c r="E2983" s="637" t="s">
        <v>12702</v>
      </c>
      <c r="F2983" s="801" t="s">
        <v>12704</v>
      </c>
      <c r="G2983" s="801"/>
      <c r="H2983" s="801" t="s">
        <v>13678</v>
      </c>
      <c r="I2983" s="801"/>
      <c r="J2983" s="801" t="s">
        <v>12705</v>
      </c>
      <c r="K2983" s="801"/>
      <c r="L2983" s="801"/>
    </row>
    <row r="2984" spans="1:12" ht="24" customHeight="1">
      <c r="A2984" s="626" t="s">
        <v>12709</v>
      </c>
      <c r="B2984" s="627" t="s">
        <v>13099</v>
      </c>
      <c r="C2984" s="626" t="s">
        <v>8</v>
      </c>
      <c r="D2984" s="626" t="s">
        <v>10726</v>
      </c>
      <c r="E2984" s="628" t="s">
        <v>23</v>
      </c>
      <c r="F2984" s="816" t="s">
        <v>14470</v>
      </c>
      <c r="G2984" s="816"/>
      <c r="H2984" s="816">
        <v>1.73099</v>
      </c>
      <c r="I2984" s="816"/>
      <c r="J2984" s="817">
        <v>11.9611</v>
      </c>
      <c r="K2984" s="817"/>
      <c r="L2984" s="817"/>
    </row>
    <row r="2985" spans="1:12" ht="24" customHeight="1">
      <c r="A2985" s="626" t="s">
        <v>12709</v>
      </c>
      <c r="B2985" s="627" t="s">
        <v>13046</v>
      </c>
      <c r="C2985" s="626" t="s">
        <v>8</v>
      </c>
      <c r="D2985" s="626" t="s">
        <v>11281</v>
      </c>
      <c r="E2985" s="628" t="s">
        <v>23</v>
      </c>
      <c r="F2985" s="816" t="s">
        <v>13731</v>
      </c>
      <c r="G2985" s="816"/>
      <c r="H2985" s="816">
        <v>0.86498799999999998</v>
      </c>
      <c r="I2985" s="816"/>
      <c r="J2985" s="817">
        <v>4.4459999999999997</v>
      </c>
      <c r="K2985" s="817"/>
      <c r="L2985" s="817"/>
    </row>
    <row r="2986" spans="1:12" ht="24" customHeight="1">
      <c r="A2986" s="636"/>
      <c r="B2986" s="636"/>
      <c r="C2986" s="636"/>
      <c r="D2986" s="636"/>
      <c r="E2986" s="636"/>
      <c r="F2986" s="636"/>
      <c r="G2986" s="636"/>
      <c r="H2986" s="636"/>
      <c r="I2986" s="636"/>
      <c r="J2986" s="636" t="s">
        <v>13675</v>
      </c>
      <c r="K2986" s="636"/>
      <c r="L2986" s="636" t="s">
        <v>14752</v>
      </c>
    </row>
    <row r="2987" spans="1:12" ht="24" customHeight="1">
      <c r="A2987" s="802" t="s">
        <v>12720</v>
      </c>
      <c r="B2987" s="802"/>
      <c r="C2987" s="802"/>
      <c r="D2987" s="802"/>
      <c r="E2987" s="802"/>
      <c r="F2987" s="802"/>
      <c r="G2987" s="802"/>
      <c r="H2987" s="802"/>
      <c r="I2987" s="612"/>
      <c r="J2987" s="612"/>
      <c r="K2987" s="612"/>
      <c r="L2987" s="612"/>
    </row>
    <row r="2988" spans="1:12" ht="17.100000000000001" customHeight="1">
      <c r="A2988" s="612" t="s">
        <v>13679</v>
      </c>
      <c r="B2988" s="636" t="s">
        <v>12698</v>
      </c>
      <c r="C2988" s="612" t="s">
        <v>12699</v>
      </c>
      <c r="D2988" s="612" t="s">
        <v>12700</v>
      </c>
      <c r="E2988" s="637" t="s">
        <v>12702</v>
      </c>
      <c r="F2988" s="801" t="s">
        <v>12704</v>
      </c>
      <c r="G2988" s="801"/>
      <c r="H2988" s="801" t="s">
        <v>13678</v>
      </c>
      <c r="I2988" s="801"/>
      <c r="J2988" s="801" t="s">
        <v>12705</v>
      </c>
      <c r="K2988" s="801"/>
      <c r="L2988" s="801"/>
    </row>
    <row r="2989" spans="1:12" ht="14.25" customHeight="1">
      <c r="A2989" s="626" t="s">
        <v>12709</v>
      </c>
      <c r="B2989" s="627" t="s">
        <v>13590</v>
      </c>
      <c r="C2989" s="626" t="s">
        <v>8</v>
      </c>
      <c r="D2989" s="626" t="s">
        <v>9688</v>
      </c>
      <c r="E2989" s="628" t="s">
        <v>12725</v>
      </c>
      <c r="F2989" s="816" t="s">
        <v>14751</v>
      </c>
      <c r="G2989" s="816"/>
      <c r="H2989" s="816">
        <v>1</v>
      </c>
      <c r="I2989" s="816"/>
      <c r="J2989" s="817">
        <v>350.84</v>
      </c>
      <c r="K2989" s="817"/>
      <c r="L2989" s="817"/>
    </row>
    <row r="2990" spans="1:12" ht="17.100000000000001" customHeight="1">
      <c r="A2990" s="626" t="s">
        <v>12709</v>
      </c>
      <c r="B2990" s="627" t="s">
        <v>13589</v>
      </c>
      <c r="C2990" s="626" t="s">
        <v>8</v>
      </c>
      <c r="D2990" s="626" t="s">
        <v>10616</v>
      </c>
      <c r="E2990" s="628" t="s">
        <v>35</v>
      </c>
      <c r="F2990" s="816" t="s">
        <v>13875</v>
      </c>
      <c r="G2990" s="816"/>
      <c r="H2990" s="816">
        <v>24.4</v>
      </c>
      <c r="I2990" s="816"/>
      <c r="J2990" s="817">
        <v>3.17</v>
      </c>
      <c r="K2990" s="817"/>
      <c r="L2990" s="817"/>
    </row>
    <row r="2991" spans="1:12" ht="24" customHeight="1">
      <c r="A2991" s="626" t="s">
        <v>12709</v>
      </c>
      <c r="B2991" s="627" t="s">
        <v>13588</v>
      </c>
      <c r="C2991" s="626" t="s">
        <v>8</v>
      </c>
      <c r="D2991" s="626" t="s">
        <v>11294</v>
      </c>
      <c r="E2991" s="628" t="s">
        <v>35</v>
      </c>
      <c r="F2991" s="816" t="s">
        <v>14750</v>
      </c>
      <c r="G2991" s="816"/>
      <c r="H2991" s="816">
        <v>1.2466999999999999</v>
      </c>
      <c r="I2991" s="816"/>
      <c r="J2991" s="817">
        <v>19.899999999999999</v>
      </c>
      <c r="K2991" s="817"/>
      <c r="L2991" s="817"/>
    </row>
    <row r="2992" spans="1:12" ht="24" customHeight="1">
      <c r="A2992" s="636"/>
      <c r="B2992" s="636"/>
      <c r="C2992" s="636"/>
      <c r="D2992" s="636"/>
      <c r="E2992" s="636"/>
      <c r="F2992" s="636"/>
      <c r="G2992" s="636"/>
      <c r="H2992" s="636"/>
      <c r="I2992" s="636"/>
      <c r="J2992" s="636" t="s">
        <v>13675</v>
      </c>
      <c r="K2992" s="636"/>
      <c r="L2992" s="636" t="s">
        <v>14749</v>
      </c>
    </row>
    <row r="2993" spans="1:12" ht="17.100000000000001" customHeight="1">
      <c r="A2993" s="802" t="s">
        <v>12722</v>
      </c>
      <c r="B2993" s="802"/>
      <c r="C2993" s="802"/>
      <c r="D2993" s="802"/>
      <c r="E2993" s="802"/>
      <c r="F2993" s="802"/>
      <c r="G2993" s="802"/>
      <c r="H2993" s="802"/>
      <c r="I2993" s="612"/>
      <c r="J2993" s="612"/>
      <c r="K2993" s="612"/>
      <c r="L2993" s="612"/>
    </row>
    <row r="2994" spans="1:12">
      <c r="A2994" s="612" t="s">
        <v>13679</v>
      </c>
      <c r="B2994" s="636" t="s">
        <v>12698</v>
      </c>
      <c r="C2994" s="612" t="s">
        <v>12699</v>
      </c>
      <c r="D2994" s="612" t="s">
        <v>12700</v>
      </c>
      <c r="E2994" s="637" t="s">
        <v>12702</v>
      </c>
      <c r="F2994" s="801" t="s">
        <v>12704</v>
      </c>
      <c r="G2994" s="801"/>
      <c r="H2994" s="801" t="s">
        <v>13678</v>
      </c>
      <c r="I2994" s="801"/>
      <c r="J2994" s="801" t="s">
        <v>12705</v>
      </c>
      <c r="K2994" s="801"/>
      <c r="L2994" s="801"/>
    </row>
    <row r="2995" spans="1:12" ht="17.100000000000001" customHeight="1">
      <c r="A2995" s="626" t="s">
        <v>12709</v>
      </c>
      <c r="B2995" s="627" t="s">
        <v>12998</v>
      </c>
      <c r="C2995" s="626" t="s">
        <v>8</v>
      </c>
      <c r="D2995" s="626" t="s">
        <v>11861</v>
      </c>
      <c r="E2995" s="628" t="s">
        <v>23</v>
      </c>
      <c r="F2995" s="816" t="s">
        <v>13683</v>
      </c>
      <c r="G2995" s="816"/>
      <c r="H2995" s="816">
        <v>2.5573741999999999</v>
      </c>
      <c r="I2995" s="816"/>
      <c r="J2995" s="817">
        <v>1.8157000000000001</v>
      </c>
      <c r="K2995" s="817"/>
      <c r="L2995" s="817"/>
    </row>
    <row r="2996" spans="1:12" ht="24" customHeight="1">
      <c r="A2996" s="636"/>
      <c r="B2996" s="636"/>
      <c r="C2996" s="636"/>
      <c r="D2996" s="636"/>
      <c r="E2996" s="636"/>
      <c r="F2996" s="636"/>
      <c r="G2996" s="636"/>
      <c r="H2996" s="636"/>
      <c r="I2996" s="636"/>
      <c r="J2996" s="636" t="s">
        <v>13675</v>
      </c>
      <c r="K2996" s="636"/>
      <c r="L2996" s="636" t="s">
        <v>14097</v>
      </c>
    </row>
    <row r="2997" spans="1:12" ht="36" customHeight="1">
      <c r="A2997" s="802" t="s">
        <v>12713</v>
      </c>
      <c r="B2997" s="802"/>
      <c r="C2997" s="802"/>
      <c r="D2997" s="802"/>
      <c r="E2997" s="802"/>
      <c r="F2997" s="802"/>
      <c r="G2997" s="802"/>
      <c r="H2997" s="802"/>
      <c r="I2997" s="612"/>
      <c r="J2997" s="612"/>
      <c r="K2997" s="612"/>
      <c r="L2997" s="612"/>
    </row>
    <row r="2998" spans="1:12" ht="24" customHeight="1">
      <c r="A2998" s="612" t="s">
        <v>13679</v>
      </c>
      <c r="B2998" s="636" t="s">
        <v>12698</v>
      </c>
      <c r="C2998" s="612" t="s">
        <v>12699</v>
      </c>
      <c r="D2998" s="612" t="s">
        <v>12700</v>
      </c>
      <c r="E2998" s="637" t="s">
        <v>12702</v>
      </c>
      <c r="F2998" s="801" t="s">
        <v>12704</v>
      </c>
      <c r="G2998" s="801"/>
      <c r="H2998" s="801" t="s">
        <v>13678</v>
      </c>
      <c r="I2998" s="801"/>
      <c r="J2998" s="801" t="s">
        <v>12705</v>
      </c>
      <c r="K2998" s="801"/>
      <c r="L2998" s="801"/>
    </row>
    <row r="2999" spans="1:12" ht="24" customHeight="1">
      <c r="A2999" s="626" t="s">
        <v>12709</v>
      </c>
      <c r="B2999" s="627" t="s">
        <v>12999</v>
      </c>
      <c r="C2999" s="626" t="s">
        <v>8</v>
      </c>
      <c r="D2999" s="626" t="s">
        <v>11251</v>
      </c>
      <c r="E2999" s="628" t="s">
        <v>23</v>
      </c>
      <c r="F2999" s="816" t="s">
        <v>13681</v>
      </c>
      <c r="G2999" s="816"/>
      <c r="H2999" s="816">
        <v>2.5573741999999999</v>
      </c>
      <c r="I2999" s="816"/>
      <c r="J2999" s="817">
        <v>0.17899999999999999</v>
      </c>
      <c r="K2999" s="817"/>
      <c r="L2999" s="817"/>
    </row>
    <row r="3000" spans="1:12" ht="17.100000000000001" customHeight="1">
      <c r="A3000" s="636"/>
      <c r="B3000" s="636"/>
      <c r="C3000" s="636"/>
      <c r="D3000" s="636"/>
      <c r="E3000" s="636"/>
      <c r="F3000" s="636"/>
      <c r="G3000" s="636"/>
      <c r="H3000" s="636"/>
      <c r="I3000" s="636"/>
      <c r="J3000" s="636" t="s">
        <v>13675</v>
      </c>
      <c r="K3000" s="636"/>
      <c r="L3000" s="636" t="s">
        <v>13682</v>
      </c>
    </row>
    <row r="3001" spans="1:12">
      <c r="A3001" s="802" t="s">
        <v>12712</v>
      </c>
      <c r="B3001" s="802"/>
      <c r="C3001" s="802"/>
      <c r="D3001" s="802"/>
      <c r="E3001" s="802"/>
      <c r="F3001" s="802"/>
      <c r="G3001" s="802"/>
      <c r="H3001" s="802"/>
      <c r="I3001" s="612"/>
      <c r="J3001" s="612"/>
      <c r="K3001" s="612"/>
      <c r="L3001" s="612"/>
    </row>
    <row r="3002" spans="1:12" ht="17.100000000000001" customHeight="1">
      <c r="A3002" s="612" t="s">
        <v>13679</v>
      </c>
      <c r="B3002" s="636" t="s">
        <v>12698</v>
      </c>
      <c r="C3002" s="612" t="s">
        <v>12699</v>
      </c>
      <c r="D3002" s="612" t="s">
        <v>12700</v>
      </c>
      <c r="E3002" s="637" t="s">
        <v>12702</v>
      </c>
      <c r="F3002" s="801" t="s">
        <v>12704</v>
      </c>
      <c r="G3002" s="801"/>
      <c r="H3002" s="801" t="s">
        <v>13678</v>
      </c>
      <c r="I3002" s="801"/>
      <c r="J3002" s="801" t="s">
        <v>12705</v>
      </c>
      <c r="K3002" s="801"/>
      <c r="L3002" s="801"/>
    </row>
    <row r="3003" spans="1:12" ht="24" customHeight="1">
      <c r="A3003" s="626" t="s">
        <v>12709</v>
      </c>
      <c r="B3003" s="627" t="s">
        <v>13002</v>
      </c>
      <c r="C3003" s="626" t="s">
        <v>8</v>
      </c>
      <c r="D3003" s="626" t="s">
        <v>9306</v>
      </c>
      <c r="E3003" s="628" t="s">
        <v>23</v>
      </c>
      <c r="F3003" s="816" t="s">
        <v>13677</v>
      </c>
      <c r="G3003" s="816"/>
      <c r="H3003" s="816">
        <v>2.5573741999999999</v>
      </c>
      <c r="I3003" s="816"/>
      <c r="J3003" s="817">
        <v>0.89510000000000001</v>
      </c>
      <c r="K3003" s="817"/>
      <c r="L3003" s="817"/>
    </row>
    <row r="3004" spans="1:12" ht="17.100000000000001" customHeight="1">
      <c r="A3004" s="626" t="s">
        <v>12709</v>
      </c>
      <c r="B3004" s="627" t="s">
        <v>13004</v>
      </c>
      <c r="C3004" s="626" t="s">
        <v>8</v>
      </c>
      <c r="D3004" s="626" t="s">
        <v>7388</v>
      </c>
      <c r="E3004" s="628" t="s">
        <v>23</v>
      </c>
      <c r="F3004" s="816" t="s">
        <v>13676</v>
      </c>
      <c r="G3004" s="816"/>
      <c r="H3004" s="816">
        <v>2.5573741999999999</v>
      </c>
      <c r="I3004" s="816"/>
      <c r="J3004" s="817">
        <v>5.6261999999999999</v>
      </c>
      <c r="K3004" s="817"/>
      <c r="L3004" s="817"/>
    </row>
    <row r="3005" spans="1:12">
      <c r="A3005" s="636"/>
      <c r="B3005" s="636"/>
      <c r="C3005" s="636"/>
      <c r="D3005" s="636"/>
      <c r="E3005" s="636"/>
      <c r="F3005" s="636"/>
      <c r="G3005" s="636"/>
      <c r="H3005" s="636"/>
      <c r="I3005" s="636"/>
      <c r="J3005" s="636" t="s">
        <v>13675</v>
      </c>
      <c r="K3005" s="636"/>
      <c r="L3005" s="636" t="s">
        <v>14175</v>
      </c>
    </row>
    <row r="3006" spans="1:12" ht="17.100000000000001" customHeight="1">
      <c r="A3006" s="612" t="s">
        <v>13673</v>
      </c>
      <c r="B3006" s="612"/>
      <c r="C3006" s="612"/>
      <c r="D3006" s="612"/>
      <c r="E3006" s="612"/>
      <c r="F3006" s="612"/>
      <c r="G3006" s="612"/>
      <c r="H3006" s="612"/>
      <c r="I3006" s="612"/>
      <c r="J3006" s="612"/>
      <c r="K3006" s="612"/>
      <c r="L3006" s="612"/>
    </row>
    <row r="3007" spans="1:12" ht="24" customHeight="1">
      <c r="A3007" s="636"/>
      <c r="B3007" s="636"/>
      <c r="C3007" s="636"/>
      <c r="D3007" s="636"/>
      <c r="E3007" s="636"/>
      <c r="F3007" s="636"/>
      <c r="G3007" s="636"/>
      <c r="H3007" s="636"/>
      <c r="I3007" s="636"/>
      <c r="J3007" s="636" t="s">
        <v>13672</v>
      </c>
      <c r="K3007" s="636"/>
      <c r="L3007" s="636" t="s">
        <v>15143</v>
      </c>
    </row>
    <row r="3008" spans="1:12" ht="17.100000000000001" customHeight="1">
      <c r="A3008" s="636"/>
      <c r="B3008" s="636"/>
      <c r="C3008" s="636"/>
      <c r="D3008" s="636"/>
      <c r="E3008" s="636"/>
      <c r="F3008" s="636"/>
      <c r="G3008" s="636"/>
      <c r="H3008" s="636"/>
      <c r="I3008" s="636"/>
      <c r="J3008" s="636" t="s">
        <v>13671</v>
      </c>
      <c r="K3008" s="636" t="s">
        <v>14461</v>
      </c>
      <c r="L3008" s="636" t="s">
        <v>15144</v>
      </c>
    </row>
    <row r="3009" spans="1:12">
      <c r="A3009" s="636"/>
      <c r="B3009" s="636"/>
      <c r="C3009" s="636"/>
      <c r="D3009" s="636"/>
      <c r="E3009" s="636"/>
      <c r="F3009" s="636"/>
      <c r="G3009" s="636"/>
      <c r="H3009" s="636"/>
      <c r="I3009" s="636"/>
      <c r="J3009" s="636" t="s">
        <v>13670</v>
      </c>
      <c r="K3009" s="636"/>
      <c r="L3009" s="636" t="s">
        <v>15145</v>
      </c>
    </row>
    <row r="3010" spans="1:12" ht="17.100000000000001" customHeight="1">
      <c r="A3010" s="636"/>
      <c r="B3010" s="636"/>
      <c r="C3010" s="636"/>
      <c r="D3010" s="636"/>
      <c r="E3010" s="636"/>
      <c r="F3010" s="636"/>
      <c r="G3010" s="636"/>
      <c r="H3010" s="636"/>
      <c r="I3010" s="636"/>
      <c r="J3010" s="636" t="s">
        <v>13669</v>
      </c>
      <c r="K3010" s="636" t="s">
        <v>13667</v>
      </c>
      <c r="L3010" s="636" t="s">
        <v>15146</v>
      </c>
    </row>
    <row r="3011" spans="1:12" ht="24" customHeight="1">
      <c r="A3011" s="636"/>
      <c r="B3011" s="636"/>
      <c r="C3011" s="636"/>
      <c r="D3011" s="636"/>
      <c r="E3011" s="636"/>
      <c r="F3011" s="636"/>
      <c r="G3011" s="636"/>
      <c r="H3011" s="636"/>
      <c r="I3011" s="636"/>
      <c r="J3011" s="636" t="s">
        <v>13668</v>
      </c>
      <c r="K3011" s="636"/>
      <c r="L3011" s="636" t="s">
        <v>15147</v>
      </c>
    </row>
    <row r="3012" spans="1:12" ht="24" customHeight="1">
      <c r="A3012" s="637"/>
      <c r="B3012" s="637"/>
      <c r="C3012" s="637"/>
      <c r="D3012" s="637"/>
      <c r="E3012" s="637"/>
      <c r="F3012" s="637"/>
      <c r="G3012" s="637"/>
      <c r="H3012" s="637"/>
      <c r="I3012" s="637"/>
      <c r="J3012" s="637"/>
      <c r="K3012" s="637"/>
      <c r="L3012" s="637"/>
    </row>
    <row r="3013" spans="1:12" ht="17.100000000000001" customHeight="1">
      <c r="A3013" s="616" t="s">
        <v>14176</v>
      </c>
      <c r="B3013" s="617" t="s">
        <v>13591</v>
      </c>
      <c r="C3013" s="616" t="s">
        <v>8</v>
      </c>
      <c r="D3013" s="616" t="s">
        <v>6733</v>
      </c>
      <c r="E3013" s="618" t="s">
        <v>12725</v>
      </c>
      <c r="F3013" s="617"/>
      <c r="G3013" s="617"/>
      <c r="H3013" s="617"/>
      <c r="I3013" s="617"/>
      <c r="J3013" s="617"/>
      <c r="K3013" s="617"/>
      <c r="L3013" s="617"/>
    </row>
    <row r="3014" spans="1:12" ht="17.100000000000001" customHeight="1">
      <c r="A3014" s="802" t="s">
        <v>12711</v>
      </c>
      <c r="B3014" s="802"/>
      <c r="C3014" s="802"/>
      <c r="D3014" s="802"/>
      <c r="E3014" s="802"/>
      <c r="F3014" s="802"/>
      <c r="G3014" s="802"/>
      <c r="H3014" s="802"/>
      <c r="I3014" s="612"/>
      <c r="J3014" s="612"/>
      <c r="K3014" s="612"/>
      <c r="L3014" s="612"/>
    </row>
    <row r="3015" spans="1:12" ht="17.100000000000001" customHeight="1">
      <c r="A3015" s="612" t="s">
        <v>13679</v>
      </c>
      <c r="B3015" s="636" t="s">
        <v>12698</v>
      </c>
      <c r="C3015" s="612" t="s">
        <v>12699</v>
      </c>
      <c r="D3015" s="612" t="s">
        <v>12700</v>
      </c>
      <c r="E3015" s="637" t="s">
        <v>12702</v>
      </c>
      <c r="F3015" s="801" t="s">
        <v>12704</v>
      </c>
      <c r="G3015" s="801"/>
      <c r="H3015" s="801" t="s">
        <v>13678</v>
      </c>
      <c r="I3015" s="801"/>
      <c r="J3015" s="801" t="s">
        <v>12705</v>
      </c>
      <c r="K3015" s="801"/>
      <c r="L3015" s="801"/>
    </row>
    <row r="3016" spans="1:12" ht="17.100000000000001" customHeight="1">
      <c r="A3016" s="626" t="s">
        <v>12709</v>
      </c>
      <c r="B3016" s="627" t="s">
        <v>13052</v>
      </c>
      <c r="C3016" s="626" t="s">
        <v>8</v>
      </c>
      <c r="D3016" s="626" t="s">
        <v>9229</v>
      </c>
      <c r="E3016" s="628" t="s">
        <v>23</v>
      </c>
      <c r="F3016" s="816" t="s">
        <v>13692</v>
      </c>
      <c r="G3016" s="816"/>
      <c r="H3016" s="816">
        <v>1.7052491000000001</v>
      </c>
      <c r="I3016" s="816"/>
      <c r="J3016" s="817">
        <v>1.637</v>
      </c>
      <c r="K3016" s="817"/>
      <c r="L3016" s="817"/>
    </row>
    <row r="3017" spans="1:12" ht="17.100000000000001" customHeight="1">
      <c r="A3017" s="626" t="s">
        <v>12709</v>
      </c>
      <c r="B3017" s="627" t="s">
        <v>13051</v>
      </c>
      <c r="C3017" s="626" t="s">
        <v>8</v>
      </c>
      <c r="D3017" s="626" t="s">
        <v>9376</v>
      </c>
      <c r="E3017" s="628" t="s">
        <v>23</v>
      </c>
      <c r="F3017" s="816" t="s">
        <v>13691</v>
      </c>
      <c r="G3017" s="816"/>
      <c r="H3017" s="816">
        <v>1.7052491000000001</v>
      </c>
      <c r="I3017" s="816"/>
      <c r="J3017" s="817">
        <v>0.85260000000000002</v>
      </c>
      <c r="K3017" s="817"/>
      <c r="L3017" s="817"/>
    </row>
    <row r="3018" spans="1:12" ht="17.100000000000001" customHeight="1">
      <c r="A3018" s="626" t="s">
        <v>12709</v>
      </c>
      <c r="B3018" s="627" t="s">
        <v>13048</v>
      </c>
      <c r="C3018" s="626" t="s">
        <v>8</v>
      </c>
      <c r="D3018" s="626" t="s">
        <v>9233</v>
      </c>
      <c r="E3018" s="628" t="s">
        <v>23</v>
      </c>
      <c r="F3018" s="816" t="s">
        <v>13690</v>
      </c>
      <c r="G3018" s="816"/>
      <c r="H3018" s="816">
        <v>0.85212509999999997</v>
      </c>
      <c r="I3018" s="816"/>
      <c r="J3018" s="817">
        <v>0.86919999999999997</v>
      </c>
      <c r="K3018" s="817"/>
      <c r="L3018" s="817"/>
    </row>
    <row r="3019" spans="1:12" ht="17.100000000000001" customHeight="1">
      <c r="A3019" s="626" t="s">
        <v>12709</v>
      </c>
      <c r="B3019" s="627" t="s">
        <v>13047</v>
      </c>
      <c r="C3019" s="626" t="s">
        <v>8</v>
      </c>
      <c r="D3019" s="626" t="s">
        <v>9380</v>
      </c>
      <c r="E3019" s="628" t="s">
        <v>23</v>
      </c>
      <c r="F3019" s="816" t="s">
        <v>13689</v>
      </c>
      <c r="G3019" s="816"/>
      <c r="H3019" s="816">
        <v>0.85212509999999997</v>
      </c>
      <c r="I3019" s="816"/>
      <c r="J3019" s="817">
        <v>0.32379999999999998</v>
      </c>
      <c r="K3019" s="817"/>
      <c r="L3019" s="817"/>
    </row>
    <row r="3020" spans="1:12" ht="30" customHeight="1">
      <c r="A3020" s="636"/>
      <c r="B3020" s="636"/>
      <c r="C3020" s="636"/>
      <c r="D3020" s="636"/>
      <c r="E3020" s="636"/>
      <c r="F3020" s="636"/>
      <c r="G3020" s="636"/>
      <c r="H3020" s="636"/>
      <c r="I3020" s="636"/>
      <c r="J3020" s="636" t="s">
        <v>13675</v>
      </c>
      <c r="K3020" s="636"/>
      <c r="L3020" s="636" t="s">
        <v>14006</v>
      </c>
    </row>
    <row r="3021" spans="1:12" ht="24" customHeight="1">
      <c r="A3021" s="802" t="s">
        <v>12710</v>
      </c>
      <c r="B3021" s="802"/>
      <c r="C3021" s="802"/>
      <c r="D3021" s="802"/>
      <c r="E3021" s="802"/>
      <c r="F3021" s="802"/>
      <c r="G3021" s="802"/>
      <c r="H3021" s="802"/>
      <c r="I3021" s="612"/>
      <c r="J3021" s="612"/>
      <c r="K3021" s="612"/>
      <c r="L3021" s="612"/>
    </row>
    <row r="3022" spans="1:12" ht="14.25" customHeight="1">
      <c r="A3022" s="612" t="s">
        <v>13679</v>
      </c>
      <c r="B3022" s="636" t="s">
        <v>12698</v>
      </c>
      <c r="C3022" s="612" t="s">
        <v>12699</v>
      </c>
      <c r="D3022" s="612" t="s">
        <v>12700</v>
      </c>
      <c r="E3022" s="637" t="s">
        <v>12702</v>
      </c>
      <c r="F3022" s="801" t="s">
        <v>12704</v>
      </c>
      <c r="G3022" s="801"/>
      <c r="H3022" s="801" t="s">
        <v>13678</v>
      </c>
      <c r="I3022" s="801"/>
      <c r="J3022" s="801" t="s">
        <v>12705</v>
      </c>
      <c r="K3022" s="801"/>
      <c r="L3022" s="801"/>
    </row>
    <row r="3023" spans="1:12" ht="17.100000000000001" customHeight="1">
      <c r="A3023" s="626" t="s">
        <v>12709</v>
      </c>
      <c r="B3023" s="627" t="s">
        <v>13099</v>
      </c>
      <c r="C3023" s="626" t="s">
        <v>8</v>
      </c>
      <c r="D3023" s="626" t="s">
        <v>10726</v>
      </c>
      <c r="E3023" s="628" t="s">
        <v>23</v>
      </c>
      <c r="F3023" s="816" t="s">
        <v>14470</v>
      </c>
      <c r="G3023" s="816"/>
      <c r="H3023" s="816">
        <v>1.73099</v>
      </c>
      <c r="I3023" s="816"/>
      <c r="J3023" s="817">
        <v>11.9611</v>
      </c>
      <c r="K3023" s="817"/>
      <c r="L3023" s="817"/>
    </row>
    <row r="3024" spans="1:12" ht="36" customHeight="1">
      <c r="A3024" s="626" t="s">
        <v>12709</v>
      </c>
      <c r="B3024" s="627" t="s">
        <v>13046</v>
      </c>
      <c r="C3024" s="626" t="s">
        <v>8</v>
      </c>
      <c r="D3024" s="626" t="s">
        <v>11281</v>
      </c>
      <c r="E3024" s="628" t="s">
        <v>23</v>
      </c>
      <c r="F3024" s="816" t="s">
        <v>13731</v>
      </c>
      <c r="G3024" s="816"/>
      <c r="H3024" s="816">
        <v>0.86498799999999998</v>
      </c>
      <c r="I3024" s="816"/>
      <c r="J3024" s="817">
        <v>4.4459999999999997</v>
      </c>
      <c r="K3024" s="817"/>
      <c r="L3024" s="817"/>
    </row>
    <row r="3025" spans="1:12" ht="24" customHeight="1">
      <c r="A3025" s="636"/>
      <c r="B3025" s="636"/>
      <c r="C3025" s="636"/>
      <c r="D3025" s="636"/>
      <c r="E3025" s="636"/>
      <c r="F3025" s="636"/>
      <c r="G3025" s="636"/>
      <c r="H3025" s="636"/>
      <c r="I3025" s="636"/>
      <c r="J3025" s="636" t="s">
        <v>13675</v>
      </c>
      <c r="K3025" s="636"/>
      <c r="L3025" s="636" t="s">
        <v>14752</v>
      </c>
    </row>
    <row r="3026" spans="1:12" ht="24" customHeight="1">
      <c r="A3026" s="802" t="s">
        <v>12720</v>
      </c>
      <c r="B3026" s="802"/>
      <c r="C3026" s="802"/>
      <c r="D3026" s="802"/>
      <c r="E3026" s="802"/>
      <c r="F3026" s="802"/>
      <c r="G3026" s="802"/>
      <c r="H3026" s="802"/>
      <c r="I3026" s="612"/>
      <c r="J3026" s="612"/>
      <c r="K3026" s="612"/>
      <c r="L3026" s="612"/>
    </row>
    <row r="3027" spans="1:12" ht="24" customHeight="1">
      <c r="A3027" s="612" t="s">
        <v>13679</v>
      </c>
      <c r="B3027" s="636" t="s">
        <v>12698</v>
      </c>
      <c r="C3027" s="612" t="s">
        <v>12699</v>
      </c>
      <c r="D3027" s="612" t="s">
        <v>12700</v>
      </c>
      <c r="E3027" s="637" t="s">
        <v>12702</v>
      </c>
      <c r="F3027" s="801" t="s">
        <v>12704</v>
      </c>
      <c r="G3027" s="801"/>
      <c r="H3027" s="801" t="s">
        <v>13678</v>
      </c>
      <c r="I3027" s="801"/>
      <c r="J3027" s="801" t="s">
        <v>12705</v>
      </c>
      <c r="K3027" s="801"/>
      <c r="L3027" s="801"/>
    </row>
    <row r="3028" spans="1:12" ht="24" customHeight="1">
      <c r="A3028" s="626" t="s">
        <v>12709</v>
      </c>
      <c r="B3028" s="627" t="s">
        <v>13590</v>
      </c>
      <c r="C3028" s="626" t="s">
        <v>8</v>
      </c>
      <c r="D3028" s="626" t="s">
        <v>9688</v>
      </c>
      <c r="E3028" s="628" t="s">
        <v>12725</v>
      </c>
      <c r="F3028" s="816" t="s">
        <v>14751</v>
      </c>
      <c r="G3028" s="816"/>
      <c r="H3028" s="816">
        <v>1</v>
      </c>
      <c r="I3028" s="816"/>
      <c r="J3028" s="817">
        <v>350.84</v>
      </c>
      <c r="K3028" s="817"/>
      <c r="L3028" s="817"/>
    </row>
    <row r="3029" spans="1:12" ht="24" customHeight="1">
      <c r="A3029" s="626" t="s">
        <v>12709</v>
      </c>
      <c r="B3029" s="627" t="s">
        <v>13589</v>
      </c>
      <c r="C3029" s="626" t="s">
        <v>8</v>
      </c>
      <c r="D3029" s="626" t="s">
        <v>10616</v>
      </c>
      <c r="E3029" s="628" t="s">
        <v>35</v>
      </c>
      <c r="F3029" s="816" t="s">
        <v>13875</v>
      </c>
      <c r="G3029" s="816"/>
      <c r="H3029" s="816">
        <v>24.4</v>
      </c>
      <c r="I3029" s="816"/>
      <c r="J3029" s="817">
        <v>3.17</v>
      </c>
      <c r="K3029" s="817"/>
      <c r="L3029" s="817"/>
    </row>
    <row r="3030" spans="1:12" ht="24" customHeight="1">
      <c r="A3030" s="626" t="s">
        <v>12709</v>
      </c>
      <c r="B3030" s="627" t="s">
        <v>13588</v>
      </c>
      <c r="C3030" s="626" t="s">
        <v>8</v>
      </c>
      <c r="D3030" s="626" t="s">
        <v>11294</v>
      </c>
      <c r="E3030" s="628" t="s">
        <v>35</v>
      </c>
      <c r="F3030" s="816" t="s">
        <v>14750</v>
      </c>
      <c r="G3030" s="816"/>
      <c r="H3030" s="816">
        <v>1.2466999999999999</v>
      </c>
      <c r="I3030" s="816"/>
      <c r="J3030" s="817">
        <v>19.899999999999999</v>
      </c>
      <c r="K3030" s="817"/>
      <c r="L3030" s="817"/>
    </row>
    <row r="3031" spans="1:12" ht="17.100000000000001" customHeight="1">
      <c r="A3031" s="636"/>
      <c r="B3031" s="636"/>
      <c r="C3031" s="636"/>
      <c r="D3031" s="636"/>
      <c r="E3031" s="636"/>
      <c r="F3031" s="636"/>
      <c r="G3031" s="636"/>
      <c r="H3031" s="636"/>
      <c r="I3031" s="636"/>
      <c r="J3031" s="636" t="s">
        <v>13675</v>
      </c>
      <c r="K3031" s="636"/>
      <c r="L3031" s="636" t="s">
        <v>14749</v>
      </c>
    </row>
    <row r="3032" spans="1:12" ht="14.25" customHeight="1">
      <c r="A3032" s="802" t="s">
        <v>12722</v>
      </c>
      <c r="B3032" s="802"/>
      <c r="C3032" s="802"/>
      <c r="D3032" s="802"/>
      <c r="E3032" s="802"/>
      <c r="F3032" s="802"/>
      <c r="G3032" s="802"/>
      <c r="H3032" s="802"/>
      <c r="I3032" s="612"/>
      <c r="J3032" s="612"/>
      <c r="K3032" s="612"/>
      <c r="L3032" s="612"/>
    </row>
    <row r="3033" spans="1:12" ht="17.100000000000001" customHeight="1">
      <c r="A3033" s="612" t="s">
        <v>13679</v>
      </c>
      <c r="B3033" s="636" t="s">
        <v>12698</v>
      </c>
      <c r="C3033" s="612" t="s">
        <v>12699</v>
      </c>
      <c r="D3033" s="612" t="s">
        <v>12700</v>
      </c>
      <c r="E3033" s="637" t="s">
        <v>12702</v>
      </c>
      <c r="F3033" s="801" t="s">
        <v>12704</v>
      </c>
      <c r="G3033" s="801"/>
      <c r="H3033" s="801" t="s">
        <v>13678</v>
      </c>
      <c r="I3033" s="801"/>
      <c r="J3033" s="801" t="s">
        <v>12705</v>
      </c>
      <c r="K3033" s="801"/>
      <c r="L3033" s="801"/>
    </row>
    <row r="3034" spans="1:12" ht="24" customHeight="1">
      <c r="A3034" s="626" t="s">
        <v>12709</v>
      </c>
      <c r="B3034" s="627" t="s">
        <v>12998</v>
      </c>
      <c r="C3034" s="626" t="s">
        <v>8</v>
      </c>
      <c r="D3034" s="626" t="s">
        <v>11861</v>
      </c>
      <c r="E3034" s="628" t="s">
        <v>23</v>
      </c>
      <c r="F3034" s="816" t="s">
        <v>13683</v>
      </c>
      <c r="G3034" s="816"/>
      <c r="H3034" s="816">
        <v>2.5573741999999999</v>
      </c>
      <c r="I3034" s="816"/>
      <c r="J3034" s="817">
        <v>1.8157000000000001</v>
      </c>
      <c r="K3034" s="817"/>
      <c r="L3034" s="817"/>
    </row>
    <row r="3035" spans="1:12" ht="24" customHeight="1">
      <c r="A3035" s="636"/>
      <c r="B3035" s="636"/>
      <c r="C3035" s="636"/>
      <c r="D3035" s="636"/>
      <c r="E3035" s="636"/>
      <c r="F3035" s="636"/>
      <c r="G3035" s="636"/>
      <c r="H3035" s="636"/>
      <c r="I3035" s="636"/>
      <c r="J3035" s="636" t="s">
        <v>13675</v>
      </c>
      <c r="K3035" s="636"/>
      <c r="L3035" s="636" t="s">
        <v>14097</v>
      </c>
    </row>
    <row r="3036" spans="1:12" ht="24" customHeight="1">
      <c r="A3036" s="802" t="s">
        <v>12713</v>
      </c>
      <c r="B3036" s="802"/>
      <c r="C3036" s="802"/>
      <c r="D3036" s="802"/>
      <c r="E3036" s="802"/>
      <c r="F3036" s="802"/>
      <c r="G3036" s="802"/>
      <c r="H3036" s="802"/>
      <c r="I3036" s="612"/>
      <c r="J3036" s="612"/>
      <c r="K3036" s="612"/>
      <c r="L3036" s="612"/>
    </row>
    <row r="3037" spans="1:12" ht="17.100000000000001" customHeight="1">
      <c r="A3037" s="612" t="s">
        <v>13679</v>
      </c>
      <c r="B3037" s="636" t="s">
        <v>12698</v>
      </c>
      <c r="C3037" s="612" t="s">
        <v>12699</v>
      </c>
      <c r="D3037" s="612" t="s">
        <v>12700</v>
      </c>
      <c r="E3037" s="637" t="s">
        <v>12702</v>
      </c>
      <c r="F3037" s="801" t="s">
        <v>12704</v>
      </c>
      <c r="G3037" s="801"/>
      <c r="H3037" s="801" t="s">
        <v>13678</v>
      </c>
      <c r="I3037" s="801"/>
      <c r="J3037" s="801" t="s">
        <v>12705</v>
      </c>
      <c r="K3037" s="801"/>
      <c r="L3037" s="801"/>
    </row>
    <row r="3038" spans="1:12" ht="25.5">
      <c r="A3038" s="626" t="s">
        <v>12709</v>
      </c>
      <c r="B3038" s="627" t="s">
        <v>12999</v>
      </c>
      <c r="C3038" s="626" t="s">
        <v>8</v>
      </c>
      <c r="D3038" s="626" t="s">
        <v>11251</v>
      </c>
      <c r="E3038" s="628" t="s">
        <v>23</v>
      </c>
      <c r="F3038" s="816" t="s">
        <v>13681</v>
      </c>
      <c r="G3038" s="816"/>
      <c r="H3038" s="816">
        <v>2.5573741999999999</v>
      </c>
      <c r="I3038" s="816"/>
      <c r="J3038" s="817">
        <v>0.17899999999999999</v>
      </c>
      <c r="K3038" s="817"/>
      <c r="L3038" s="817"/>
    </row>
    <row r="3039" spans="1:12" ht="17.100000000000001" customHeight="1">
      <c r="A3039" s="636"/>
      <c r="B3039" s="636"/>
      <c r="C3039" s="636"/>
      <c r="D3039" s="636"/>
      <c r="E3039" s="636"/>
      <c r="F3039" s="636"/>
      <c r="G3039" s="636"/>
      <c r="H3039" s="636"/>
      <c r="I3039" s="636"/>
      <c r="J3039" s="636" t="s">
        <v>13675</v>
      </c>
      <c r="K3039" s="636"/>
      <c r="L3039" s="636" t="s">
        <v>13682</v>
      </c>
    </row>
    <row r="3040" spans="1:12" ht="24" customHeight="1">
      <c r="A3040" s="802" t="s">
        <v>12712</v>
      </c>
      <c r="B3040" s="802"/>
      <c r="C3040" s="802"/>
      <c r="D3040" s="802"/>
      <c r="E3040" s="802"/>
      <c r="F3040" s="802"/>
      <c r="G3040" s="802"/>
      <c r="H3040" s="802"/>
      <c r="I3040" s="612"/>
      <c r="J3040" s="612"/>
      <c r="K3040" s="612"/>
      <c r="L3040" s="612"/>
    </row>
    <row r="3041" spans="1:12" ht="24" customHeight="1">
      <c r="A3041" s="612" t="s">
        <v>13679</v>
      </c>
      <c r="B3041" s="636" t="s">
        <v>12698</v>
      </c>
      <c r="C3041" s="612" t="s">
        <v>12699</v>
      </c>
      <c r="D3041" s="612" t="s">
        <v>12700</v>
      </c>
      <c r="E3041" s="637" t="s">
        <v>12702</v>
      </c>
      <c r="F3041" s="801" t="s">
        <v>12704</v>
      </c>
      <c r="G3041" s="801"/>
      <c r="H3041" s="801" t="s">
        <v>13678</v>
      </c>
      <c r="I3041" s="801"/>
      <c r="J3041" s="801" t="s">
        <v>12705</v>
      </c>
      <c r="K3041" s="801"/>
      <c r="L3041" s="801"/>
    </row>
    <row r="3042" spans="1:12" ht="24" customHeight="1">
      <c r="A3042" s="626" t="s">
        <v>12709</v>
      </c>
      <c r="B3042" s="627" t="s">
        <v>13002</v>
      </c>
      <c r="C3042" s="626" t="s">
        <v>8</v>
      </c>
      <c r="D3042" s="626" t="s">
        <v>9306</v>
      </c>
      <c r="E3042" s="628" t="s">
        <v>23</v>
      </c>
      <c r="F3042" s="816" t="s">
        <v>13677</v>
      </c>
      <c r="G3042" s="816"/>
      <c r="H3042" s="816">
        <v>2.5573741999999999</v>
      </c>
      <c r="I3042" s="816"/>
      <c r="J3042" s="817">
        <v>0.89510000000000001</v>
      </c>
      <c r="K3042" s="817"/>
      <c r="L3042" s="817"/>
    </row>
    <row r="3043" spans="1:12" ht="24" customHeight="1">
      <c r="A3043" s="626" t="s">
        <v>12709</v>
      </c>
      <c r="B3043" s="627" t="s">
        <v>13004</v>
      </c>
      <c r="C3043" s="626" t="s">
        <v>8</v>
      </c>
      <c r="D3043" s="626" t="s">
        <v>7388</v>
      </c>
      <c r="E3043" s="628" t="s">
        <v>23</v>
      </c>
      <c r="F3043" s="816" t="s">
        <v>13676</v>
      </c>
      <c r="G3043" s="816"/>
      <c r="H3043" s="816">
        <v>2.5573741999999999</v>
      </c>
      <c r="I3043" s="816"/>
      <c r="J3043" s="817">
        <v>5.6261999999999999</v>
      </c>
      <c r="K3043" s="817"/>
      <c r="L3043" s="817"/>
    </row>
    <row r="3044" spans="1:12" ht="17.100000000000001" customHeight="1">
      <c r="A3044" s="636"/>
      <c r="B3044" s="636"/>
      <c r="C3044" s="636"/>
      <c r="D3044" s="636"/>
      <c r="E3044" s="636"/>
      <c r="F3044" s="636"/>
      <c r="G3044" s="636"/>
      <c r="H3044" s="636"/>
      <c r="I3044" s="636"/>
      <c r="J3044" s="636" t="s">
        <v>13675</v>
      </c>
      <c r="K3044" s="636"/>
      <c r="L3044" s="636" t="s">
        <v>14175</v>
      </c>
    </row>
    <row r="3045" spans="1:12">
      <c r="A3045" s="612" t="s">
        <v>13673</v>
      </c>
      <c r="B3045" s="612"/>
      <c r="C3045" s="612"/>
      <c r="D3045" s="612"/>
      <c r="E3045" s="612"/>
      <c r="F3045" s="612"/>
      <c r="G3045" s="612"/>
      <c r="H3045" s="612"/>
      <c r="I3045" s="612"/>
      <c r="J3045" s="612"/>
      <c r="K3045" s="612"/>
      <c r="L3045" s="612"/>
    </row>
    <row r="3046" spans="1:12" ht="17.100000000000001" customHeight="1">
      <c r="A3046" s="636"/>
      <c r="B3046" s="636"/>
      <c r="C3046" s="636"/>
      <c r="D3046" s="636"/>
      <c r="E3046" s="636"/>
      <c r="F3046" s="636"/>
      <c r="G3046" s="636"/>
      <c r="H3046" s="636"/>
      <c r="I3046" s="636"/>
      <c r="J3046" s="636" t="s">
        <v>13672</v>
      </c>
      <c r="K3046" s="636"/>
      <c r="L3046" s="636" t="s">
        <v>15143</v>
      </c>
    </row>
    <row r="3047" spans="1:12" ht="24" customHeight="1">
      <c r="A3047" s="636"/>
      <c r="B3047" s="636"/>
      <c r="C3047" s="636"/>
      <c r="D3047" s="636"/>
      <c r="E3047" s="636"/>
      <c r="F3047" s="636"/>
      <c r="G3047" s="636"/>
      <c r="H3047" s="636"/>
      <c r="I3047" s="636"/>
      <c r="J3047" s="636" t="s">
        <v>13671</v>
      </c>
      <c r="K3047" s="636" t="s">
        <v>14461</v>
      </c>
      <c r="L3047" s="636" t="s">
        <v>15144</v>
      </c>
    </row>
    <row r="3048" spans="1:12" ht="17.100000000000001" customHeight="1">
      <c r="A3048" s="636"/>
      <c r="B3048" s="636"/>
      <c r="C3048" s="636"/>
      <c r="D3048" s="636"/>
      <c r="E3048" s="636"/>
      <c r="F3048" s="636"/>
      <c r="G3048" s="636"/>
      <c r="H3048" s="636"/>
      <c r="I3048" s="636"/>
      <c r="J3048" s="636" t="s">
        <v>13670</v>
      </c>
      <c r="K3048" s="636"/>
      <c r="L3048" s="636" t="s">
        <v>15145</v>
      </c>
    </row>
    <row r="3049" spans="1:12">
      <c r="A3049" s="636"/>
      <c r="B3049" s="636"/>
      <c r="C3049" s="636"/>
      <c r="D3049" s="636"/>
      <c r="E3049" s="636"/>
      <c r="F3049" s="636"/>
      <c r="G3049" s="636"/>
      <c r="H3049" s="636"/>
      <c r="I3049" s="636"/>
      <c r="J3049" s="636" t="s">
        <v>13669</v>
      </c>
      <c r="K3049" s="636" t="s">
        <v>13667</v>
      </c>
      <c r="L3049" s="636" t="s">
        <v>15146</v>
      </c>
    </row>
    <row r="3050" spans="1:12" ht="17.100000000000001" customHeight="1">
      <c r="A3050" s="636"/>
      <c r="B3050" s="636"/>
      <c r="C3050" s="636"/>
      <c r="D3050" s="636"/>
      <c r="E3050" s="636"/>
      <c r="F3050" s="636"/>
      <c r="G3050" s="636"/>
      <c r="H3050" s="636"/>
      <c r="I3050" s="636"/>
      <c r="J3050" s="636" t="s">
        <v>13668</v>
      </c>
      <c r="K3050" s="636"/>
      <c r="L3050" s="636" t="s">
        <v>15147</v>
      </c>
    </row>
    <row r="3051" spans="1:12" ht="24" customHeight="1">
      <c r="A3051" s="637"/>
      <c r="B3051" s="637"/>
      <c r="C3051" s="637"/>
      <c r="D3051" s="637"/>
      <c r="E3051" s="637"/>
      <c r="F3051" s="637"/>
      <c r="G3051" s="637"/>
      <c r="H3051" s="637"/>
      <c r="I3051" s="637"/>
      <c r="J3051" s="637"/>
      <c r="K3051" s="637"/>
      <c r="L3051" s="637"/>
    </row>
    <row r="3052" spans="1:12" ht="17.100000000000001" customHeight="1">
      <c r="A3052" s="616" t="s">
        <v>14174</v>
      </c>
      <c r="B3052" s="617" t="s">
        <v>13587</v>
      </c>
      <c r="C3052" s="616" t="s">
        <v>8</v>
      </c>
      <c r="D3052" s="616" t="s">
        <v>1222</v>
      </c>
      <c r="E3052" s="618" t="s">
        <v>12725</v>
      </c>
      <c r="F3052" s="617"/>
      <c r="G3052" s="617"/>
      <c r="H3052" s="617"/>
      <c r="I3052" s="617"/>
      <c r="J3052" s="617"/>
      <c r="K3052" s="617"/>
      <c r="L3052" s="617"/>
    </row>
    <row r="3053" spans="1:12">
      <c r="A3053" s="802" t="s">
        <v>12711</v>
      </c>
      <c r="B3053" s="802"/>
      <c r="C3053" s="802"/>
      <c r="D3053" s="802"/>
      <c r="E3053" s="802"/>
      <c r="F3053" s="802"/>
      <c r="G3053" s="802"/>
      <c r="H3053" s="802"/>
      <c r="I3053" s="612"/>
      <c r="J3053" s="612"/>
      <c r="K3053" s="612"/>
      <c r="L3053" s="612"/>
    </row>
    <row r="3054" spans="1:12" ht="17.100000000000001" customHeight="1">
      <c r="A3054" s="612" t="s">
        <v>13679</v>
      </c>
      <c r="B3054" s="636" t="s">
        <v>12698</v>
      </c>
      <c r="C3054" s="612" t="s">
        <v>12699</v>
      </c>
      <c r="D3054" s="612" t="s">
        <v>12700</v>
      </c>
      <c r="E3054" s="637" t="s">
        <v>12702</v>
      </c>
      <c r="F3054" s="801" t="s">
        <v>12704</v>
      </c>
      <c r="G3054" s="801"/>
      <c r="H3054" s="801" t="s">
        <v>13678</v>
      </c>
      <c r="I3054" s="801"/>
      <c r="J3054" s="801" t="s">
        <v>12705</v>
      </c>
      <c r="K3054" s="801"/>
      <c r="L3054" s="801"/>
    </row>
    <row r="3055" spans="1:12" ht="24" customHeight="1">
      <c r="A3055" s="626" t="s">
        <v>12709</v>
      </c>
      <c r="B3055" s="627" t="s">
        <v>13048</v>
      </c>
      <c r="C3055" s="626" t="s">
        <v>8</v>
      </c>
      <c r="D3055" s="626" t="s">
        <v>9233</v>
      </c>
      <c r="E3055" s="628" t="s">
        <v>23</v>
      </c>
      <c r="F3055" s="816" t="s">
        <v>13690</v>
      </c>
      <c r="G3055" s="816"/>
      <c r="H3055" s="816">
        <v>0.51985389999999998</v>
      </c>
      <c r="I3055" s="816"/>
      <c r="J3055" s="817">
        <v>0.53029999999999999</v>
      </c>
      <c r="K3055" s="817"/>
      <c r="L3055" s="817"/>
    </row>
    <row r="3056" spans="1:12" ht="24" customHeight="1">
      <c r="A3056" s="626" t="s">
        <v>12709</v>
      </c>
      <c r="B3056" s="627" t="s">
        <v>13047</v>
      </c>
      <c r="C3056" s="626" t="s">
        <v>8</v>
      </c>
      <c r="D3056" s="626" t="s">
        <v>9380</v>
      </c>
      <c r="E3056" s="628" t="s">
        <v>23</v>
      </c>
      <c r="F3056" s="816" t="s">
        <v>13689</v>
      </c>
      <c r="G3056" s="816"/>
      <c r="H3056" s="816">
        <v>0.51985389999999998</v>
      </c>
      <c r="I3056" s="816"/>
      <c r="J3056" s="817">
        <v>0.19750000000000001</v>
      </c>
      <c r="K3056" s="817"/>
      <c r="L3056" s="817"/>
    </row>
    <row r="3057" spans="1:12" ht="17.100000000000001" customHeight="1">
      <c r="A3057" s="626" t="s">
        <v>12709</v>
      </c>
      <c r="B3057" s="627" t="s">
        <v>13052</v>
      </c>
      <c r="C3057" s="626" t="s">
        <v>8</v>
      </c>
      <c r="D3057" s="626" t="s">
        <v>9229</v>
      </c>
      <c r="E3057" s="628" t="s">
        <v>23</v>
      </c>
      <c r="F3057" s="816" t="s">
        <v>13692</v>
      </c>
      <c r="G3057" s="816"/>
      <c r="H3057" s="816">
        <v>0.59937039999999997</v>
      </c>
      <c r="I3057" s="816"/>
      <c r="J3057" s="817">
        <v>0.57540000000000002</v>
      </c>
      <c r="K3057" s="817"/>
      <c r="L3057" s="817"/>
    </row>
    <row r="3058" spans="1:12" ht="17.100000000000001" customHeight="1">
      <c r="A3058" s="626" t="s">
        <v>12709</v>
      </c>
      <c r="B3058" s="627" t="s">
        <v>13051</v>
      </c>
      <c r="C3058" s="626" t="s">
        <v>8</v>
      </c>
      <c r="D3058" s="626" t="s">
        <v>9376</v>
      </c>
      <c r="E3058" s="628" t="s">
        <v>23</v>
      </c>
      <c r="F3058" s="816" t="s">
        <v>13691</v>
      </c>
      <c r="G3058" s="816"/>
      <c r="H3058" s="816">
        <v>0.59937039999999997</v>
      </c>
      <c r="I3058" s="816"/>
      <c r="J3058" s="817">
        <v>0.29970000000000002</v>
      </c>
      <c r="K3058" s="817"/>
      <c r="L3058" s="817"/>
    </row>
    <row r="3059" spans="1:12" ht="17.100000000000001" customHeight="1">
      <c r="A3059" s="636"/>
      <c r="B3059" s="636"/>
      <c r="C3059" s="636"/>
      <c r="D3059" s="636"/>
      <c r="E3059" s="636"/>
      <c r="F3059" s="636"/>
      <c r="G3059" s="636"/>
      <c r="H3059" s="636"/>
      <c r="I3059" s="636"/>
      <c r="J3059" s="636" t="s">
        <v>13675</v>
      </c>
      <c r="K3059" s="636"/>
      <c r="L3059" s="636" t="s">
        <v>14037</v>
      </c>
    </row>
    <row r="3060" spans="1:12" ht="17.100000000000001" customHeight="1">
      <c r="A3060" s="802" t="s">
        <v>12710</v>
      </c>
      <c r="B3060" s="802"/>
      <c r="C3060" s="802"/>
      <c r="D3060" s="802"/>
      <c r="E3060" s="802"/>
      <c r="F3060" s="802"/>
      <c r="G3060" s="802"/>
      <c r="H3060" s="802"/>
      <c r="I3060" s="612"/>
      <c r="J3060" s="612"/>
      <c r="K3060" s="612"/>
      <c r="L3060" s="612"/>
    </row>
    <row r="3061" spans="1:12" ht="17.100000000000001" customHeight="1">
      <c r="A3061" s="612" t="s">
        <v>13679</v>
      </c>
      <c r="B3061" s="636" t="s">
        <v>12698</v>
      </c>
      <c r="C3061" s="612" t="s">
        <v>12699</v>
      </c>
      <c r="D3061" s="612" t="s">
        <v>12700</v>
      </c>
      <c r="E3061" s="637" t="s">
        <v>12702</v>
      </c>
      <c r="F3061" s="801" t="s">
        <v>12704</v>
      </c>
      <c r="G3061" s="801"/>
      <c r="H3061" s="801" t="s">
        <v>13678</v>
      </c>
      <c r="I3061" s="801"/>
      <c r="J3061" s="801" t="s">
        <v>12705</v>
      </c>
      <c r="K3061" s="801"/>
      <c r="L3061" s="801"/>
    </row>
    <row r="3062" spans="1:12" ht="17.100000000000001" customHeight="1">
      <c r="A3062" s="626" t="s">
        <v>12709</v>
      </c>
      <c r="B3062" s="627" t="s">
        <v>13046</v>
      </c>
      <c r="C3062" s="626" t="s">
        <v>8</v>
      </c>
      <c r="D3062" s="626" t="s">
        <v>11281</v>
      </c>
      <c r="E3062" s="628" t="s">
        <v>23</v>
      </c>
      <c r="F3062" s="816" t="s">
        <v>13731</v>
      </c>
      <c r="G3062" s="816"/>
      <c r="H3062" s="816">
        <v>0.5275263</v>
      </c>
      <c r="I3062" s="816"/>
      <c r="J3062" s="817">
        <v>2.7115</v>
      </c>
      <c r="K3062" s="817"/>
      <c r="L3062" s="817"/>
    </row>
    <row r="3063" spans="1:12" ht="17.100000000000001" customHeight="1">
      <c r="A3063" s="626" t="s">
        <v>12709</v>
      </c>
      <c r="B3063" s="627" t="s">
        <v>13099</v>
      </c>
      <c r="C3063" s="626" t="s">
        <v>8</v>
      </c>
      <c r="D3063" s="626" t="s">
        <v>10726</v>
      </c>
      <c r="E3063" s="628" t="s">
        <v>23</v>
      </c>
      <c r="F3063" s="816" t="s">
        <v>14470</v>
      </c>
      <c r="G3063" s="816"/>
      <c r="H3063" s="816">
        <v>0.60821639999999999</v>
      </c>
      <c r="I3063" s="816"/>
      <c r="J3063" s="817">
        <v>4.2027999999999999</v>
      </c>
      <c r="K3063" s="817"/>
      <c r="L3063" s="817"/>
    </row>
    <row r="3064" spans="1:12" ht="30" customHeight="1">
      <c r="A3064" s="636"/>
      <c r="B3064" s="636"/>
      <c r="C3064" s="636"/>
      <c r="D3064" s="636"/>
      <c r="E3064" s="636"/>
      <c r="F3064" s="636"/>
      <c r="G3064" s="636"/>
      <c r="H3064" s="636"/>
      <c r="I3064" s="636"/>
      <c r="J3064" s="636" t="s">
        <v>13675</v>
      </c>
      <c r="K3064" s="636"/>
      <c r="L3064" s="636" t="s">
        <v>14470</v>
      </c>
    </row>
    <row r="3065" spans="1:12" ht="48" customHeight="1">
      <c r="A3065" s="802" t="s">
        <v>12720</v>
      </c>
      <c r="B3065" s="802"/>
      <c r="C3065" s="802"/>
      <c r="D3065" s="802"/>
      <c r="E3065" s="802"/>
      <c r="F3065" s="802"/>
      <c r="G3065" s="802"/>
      <c r="H3065" s="802"/>
      <c r="I3065" s="612"/>
      <c r="J3065" s="612"/>
      <c r="K3065" s="612"/>
      <c r="L3065" s="612"/>
    </row>
    <row r="3066" spans="1:12" ht="14.25" customHeight="1">
      <c r="A3066" s="612" t="s">
        <v>13679</v>
      </c>
      <c r="B3066" s="636" t="s">
        <v>12698</v>
      </c>
      <c r="C3066" s="612" t="s">
        <v>12699</v>
      </c>
      <c r="D3066" s="612" t="s">
        <v>12700</v>
      </c>
      <c r="E3066" s="637" t="s">
        <v>12702</v>
      </c>
      <c r="F3066" s="801" t="s">
        <v>12704</v>
      </c>
      <c r="G3066" s="801"/>
      <c r="H3066" s="801" t="s">
        <v>13678</v>
      </c>
      <c r="I3066" s="801"/>
      <c r="J3066" s="801" t="s">
        <v>12705</v>
      </c>
      <c r="K3066" s="801"/>
      <c r="L3066" s="801"/>
    </row>
    <row r="3067" spans="1:12" ht="17.100000000000001" customHeight="1">
      <c r="A3067" s="626" t="s">
        <v>12709</v>
      </c>
      <c r="B3067" s="627" t="s">
        <v>13586</v>
      </c>
      <c r="C3067" s="626" t="s">
        <v>8</v>
      </c>
      <c r="D3067" s="626" t="s">
        <v>9887</v>
      </c>
      <c r="E3067" s="628" t="s">
        <v>17</v>
      </c>
      <c r="F3067" s="816" t="s">
        <v>13900</v>
      </c>
      <c r="G3067" s="816"/>
      <c r="H3067" s="816">
        <v>1</v>
      </c>
      <c r="I3067" s="816"/>
      <c r="J3067" s="817">
        <v>0.88</v>
      </c>
      <c r="K3067" s="817"/>
      <c r="L3067" s="817"/>
    </row>
    <row r="3068" spans="1:12" ht="36" customHeight="1">
      <c r="A3068" s="626" t="s">
        <v>12709</v>
      </c>
      <c r="B3068" s="627" t="s">
        <v>13585</v>
      </c>
      <c r="C3068" s="626" t="s">
        <v>8</v>
      </c>
      <c r="D3068" s="626" t="s">
        <v>10813</v>
      </c>
      <c r="E3068" s="628" t="s">
        <v>12725</v>
      </c>
      <c r="F3068" s="816" t="s">
        <v>14748</v>
      </c>
      <c r="G3068" s="816"/>
      <c r="H3068" s="816">
        <v>1</v>
      </c>
      <c r="I3068" s="816"/>
      <c r="J3068" s="817">
        <v>71</v>
      </c>
      <c r="K3068" s="817"/>
      <c r="L3068" s="817"/>
    </row>
    <row r="3069" spans="1:12" ht="24" customHeight="1">
      <c r="A3069" s="626" t="s">
        <v>12709</v>
      </c>
      <c r="B3069" s="627" t="s">
        <v>13250</v>
      </c>
      <c r="C3069" s="626" t="s">
        <v>8</v>
      </c>
      <c r="D3069" s="626" t="s">
        <v>7526</v>
      </c>
      <c r="E3069" s="628" t="s">
        <v>12730</v>
      </c>
      <c r="F3069" s="816" t="s">
        <v>13747</v>
      </c>
      <c r="G3069" s="816"/>
      <c r="H3069" s="816">
        <v>2.6971700000000001E-2</v>
      </c>
      <c r="I3069" s="816"/>
      <c r="J3069" s="817">
        <v>1.6857</v>
      </c>
      <c r="K3069" s="817"/>
      <c r="L3069" s="817"/>
    </row>
    <row r="3070" spans="1:12" ht="24" customHeight="1">
      <c r="A3070" s="626" t="s">
        <v>12709</v>
      </c>
      <c r="B3070" s="627" t="s">
        <v>13249</v>
      </c>
      <c r="C3070" s="626" t="s">
        <v>8</v>
      </c>
      <c r="D3070" s="626" t="s">
        <v>8420</v>
      </c>
      <c r="E3070" s="628" t="s">
        <v>20</v>
      </c>
      <c r="F3070" s="816" t="s">
        <v>13700</v>
      </c>
      <c r="G3070" s="816"/>
      <c r="H3070" s="816">
        <v>9.0820592999999992</v>
      </c>
      <c r="I3070" s="816"/>
      <c r="J3070" s="817">
        <v>4.4501999999999997</v>
      </c>
      <c r="K3070" s="817"/>
      <c r="L3070" s="817"/>
    </row>
    <row r="3071" spans="1:12" ht="24" customHeight="1">
      <c r="A3071" s="636"/>
      <c r="B3071" s="636"/>
      <c r="C3071" s="636"/>
      <c r="D3071" s="636"/>
      <c r="E3071" s="636"/>
      <c r="F3071" s="636"/>
      <c r="G3071" s="636"/>
      <c r="H3071" s="636"/>
      <c r="I3071" s="636"/>
      <c r="J3071" s="636" t="s">
        <v>13675</v>
      </c>
      <c r="K3071" s="636"/>
      <c r="L3071" s="636" t="s">
        <v>14747</v>
      </c>
    </row>
    <row r="3072" spans="1:12" ht="24" customHeight="1">
      <c r="A3072" s="802" t="s">
        <v>12722</v>
      </c>
      <c r="B3072" s="802"/>
      <c r="C3072" s="802"/>
      <c r="D3072" s="802"/>
      <c r="E3072" s="802"/>
      <c r="F3072" s="802"/>
      <c r="G3072" s="802"/>
      <c r="H3072" s="802"/>
      <c r="I3072" s="612"/>
      <c r="J3072" s="612"/>
      <c r="K3072" s="612"/>
      <c r="L3072" s="612"/>
    </row>
    <row r="3073" spans="1:12" ht="24" customHeight="1">
      <c r="A3073" s="612" t="s">
        <v>13679</v>
      </c>
      <c r="B3073" s="636" t="s">
        <v>12698</v>
      </c>
      <c r="C3073" s="612" t="s">
        <v>12699</v>
      </c>
      <c r="D3073" s="612" t="s">
        <v>12700</v>
      </c>
      <c r="E3073" s="637" t="s">
        <v>12702</v>
      </c>
      <c r="F3073" s="801" t="s">
        <v>12704</v>
      </c>
      <c r="G3073" s="801"/>
      <c r="H3073" s="801" t="s">
        <v>13678</v>
      </c>
      <c r="I3073" s="801"/>
      <c r="J3073" s="801" t="s">
        <v>12705</v>
      </c>
      <c r="K3073" s="801"/>
      <c r="L3073" s="801"/>
    </row>
    <row r="3074" spans="1:12" ht="24" customHeight="1">
      <c r="A3074" s="626" t="s">
        <v>12709</v>
      </c>
      <c r="B3074" s="627" t="s">
        <v>12998</v>
      </c>
      <c r="C3074" s="626" t="s">
        <v>8</v>
      </c>
      <c r="D3074" s="626" t="s">
        <v>11861</v>
      </c>
      <c r="E3074" s="628" t="s">
        <v>23</v>
      </c>
      <c r="F3074" s="816" t="s">
        <v>13683</v>
      </c>
      <c r="G3074" s="816"/>
      <c r="H3074" s="816">
        <v>1.1192242999999999</v>
      </c>
      <c r="I3074" s="816"/>
      <c r="J3074" s="817">
        <v>0.79459999999999997</v>
      </c>
      <c r="K3074" s="817"/>
      <c r="L3074" s="817"/>
    </row>
    <row r="3075" spans="1:12" ht="17.100000000000001" customHeight="1">
      <c r="A3075" s="636"/>
      <c r="B3075" s="636"/>
      <c r="C3075" s="636"/>
      <c r="D3075" s="636"/>
      <c r="E3075" s="636"/>
      <c r="F3075" s="636"/>
      <c r="G3075" s="636"/>
      <c r="H3075" s="636"/>
      <c r="I3075" s="636"/>
      <c r="J3075" s="636" t="s">
        <v>13675</v>
      </c>
      <c r="K3075" s="636"/>
      <c r="L3075" s="636" t="s">
        <v>13893</v>
      </c>
    </row>
    <row r="3076" spans="1:12" ht="14.25" customHeight="1">
      <c r="A3076" s="802" t="s">
        <v>12713</v>
      </c>
      <c r="B3076" s="802"/>
      <c r="C3076" s="802"/>
      <c r="D3076" s="802"/>
      <c r="E3076" s="802"/>
      <c r="F3076" s="802"/>
      <c r="G3076" s="802"/>
      <c r="H3076" s="802"/>
      <c r="I3076" s="612"/>
      <c r="J3076" s="612"/>
      <c r="K3076" s="612"/>
      <c r="L3076" s="612"/>
    </row>
    <row r="3077" spans="1:12" ht="17.100000000000001" customHeight="1">
      <c r="A3077" s="612" t="s">
        <v>13679</v>
      </c>
      <c r="B3077" s="636" t="s">
        <v>12698</v>
      </c>
      <c r="C3077" s="612" t="s">
        <v>12699</v>
      </c>
      <c r="D3077" s="612" t="s">
        <v>12700</v>
      </c>
      <c r="E3077" s="637" t="s">
        <v>12702</v>
      </c>
      <c r="F3077" s="801" t="s">
        <v>12704</v>
      </c>
      <c r="G3077" s="801"/>
      <c r="H3077" s="801" t="s">
        <v>13678</v>
      </c>
      <c r="I3077" s="801"/>
      <c r="J3077" s="801" t="s">
        <v>12705</v>
      </c>
      <c r="K3077" s="801"/>
      <c r="L3077" s="801"/>
    </row>
    <row r="3078" spans="1:12" ht="24" customHeight="1">
      <c r="A3078" s="626" t="s">
        <v>12709</v>
      </c>
      <c r="B3078" s="627" t="s">
        <v>12999</v>
      </c>
      <c r="C3078" s="626" t="s">
        <v>8</v>
      </c>
      <c r="D3078" s="626" t="s">
        <v>11251</v>
      </c>
      <c r="E3078" s="628" t="s">
        <v>23</v>
      </c>
      <c r="F3078" s="816" t="s">
        <v>13681</v>
      </c>
      <c r="G3078" s="816"/>
      <c r="H3078" s="816">
        <v>1.1192242999999999</v>
      </c>
      <c r="I3078" s="816"/>
      <c r="J3078" s="817">
        <v>7.8299999999999995E-2</v>
      </c>
      <c r="K3078" s="817"/>
      <c r="L3078" s="817"/>
    </row>
    <row r="3079" spans="1:12" ht="24" customHeight="1">
      <c r="A3079" s="636"/>
      <c r="B3079" s="636"/>
      <c r="C3079" s="636"/>
      <c r="D3079" s="636"/>
      <c r="E3079" s="636"/>
      <c r="F3079" s="636"/>
      <c r="G3079" s="636"/>
      <c r="H3079" s="636"/>
      <c r="I3079" s="636"/>
      <c r="J3079" s="636" t="s">
        <v>13675</v>
      </c>
      <c r="K3079" s="636"/>
      <c r="L3079" s="636" t="s">
        <v>13892</v>
      </c>
    </row>
    <row r="3080" spans="1:12" ht="24" customHeight="1">
      <c r="A3080" s="802" t="s">
        <v>12712</v>
      </c>
      <c r="B3080" s="802"/>
      <c r="C3080" s="802"/>
      <c r="D3080" s="802"/>
      <c r="E3080" s="802"/>
      <c r="F3080" s="802"/>
      <c r="G3080" s="802"/>
      <c r="H3080" s="802"/>
      <c r="I3080" s="612"/>
      <c r="J3080" s="612"/>
      <c r="K3080" s="612"/>
      <c r="L3080" s="612"/>
    </row>
    <row r="3081" spans="1:12" ht="17.100000000000001" customHeight="1">
      <c r="A3081" s="612" t="s">
        <v>13679</v>
      </c>
      <c r="B3081" s="636" t="s">
        <v>12698</v>
      </c>
      <c r="C3081" s="612" t="s">
        <v>12699</v>
      </c>
      <c r="D3081" s="612" t="s">
        <v>12700</v>
      </c>
      <c r="E3081" s="637" t="s">
        <v>12702</v>
      </c>
      <c r="F3081" s="801" t="s">
        <v>12704</v>
      </c>
      <c r="G3081" s="801"/>
      <c r="H3081" s="801" t="s">
        <v>13678</v>
      </c>
      <c r="I3081" s="801"/>
      <c r="J3081" s="801" t="s">
        <v>12705</v>
      </c>
      <c r="K3081" s="801"/>
      <c r="L3081" s="801"/>
    </row>
    <row r="3082" spans="1:12" ht="25.5">
      <c r="A3082" s="626" t="s">
        <v>12709</v>
      </c>
      <c r="B3082" s="627" t="s">
        <v>13002</v>
      </c>
      <c r="C3082" s="626" t="s">
        <v>8</v>
      </c>
      <c r="D3082" s="626" t="s">
        <v>9306</v>
      </c>
      <c r="E3082" s="628" t="s">
        <v>23</v>
      </c>
      <c r="F3082" s="816" t="s">
        <v>13677</v>
      </c>
      <c r="G3082" s="816"/>
      <c r="H3082" s="816">
        <v>1.1192242999999999</v>
      </c>
      <c r="I3082" s="816"/>
      <c r="J3082" s="817">
        <v>0.39169999999999999</v>
      </c>
      <c r="K3082" s="817"/>
      <c r="L3082" s="817"/>
    </row>
    <row r="3083" spans="1:12" ht="17.100000000000001" customHeight="1">
      <c r="A3083" s="626" t="s">
        <v>12709</v>
      </c>
      <c r="B3083" s="627" t="s">
        <v>13004</v>
      </c>
      <c r="C3083" s="626" t="s">
        <v>8</v>
      </c>
      <c r="D3083" s="626" t="s">
        <v>7388</v>
      </c>
      <c r="E3083" s="628" t="s">
        <v>23</v>
      </c>
      <c r="F3083" s="816" t="s">
        <v>13676</v>
      </c>
      <c r="G3083" s="816"/>
      <c r="H3083" s="816">
        <v>1.1192242999999999</v>
      </c>
      <c r="I3083" s="816"/>
      <c r="J3083" s="817">
        <v>2.4622999999999999</v>
      </c>
      <c r="K3083" s="817"/>
      <c r="L3083" s="817"/>
    </row>
    <row r="3084" spans="1:12" ht="24" customHeight="1">
      <c r="A3084" s="636"/>
      <c r="B3084" s="636"/>
      <c r="C3084" s="636"/>
      <c r="D3084" s="636"/>
      <c r="E3084" s="636"/>
      <c r="F3084" s="636"/>
      <c r="G3084" s="636"/>
      <c r="H3084" s="636"/>
      <c r="I3084" s="636"/>
      <c r="J3084" s="636" t="s">
        <v>13675</v>
      </c>
      <c r="K3084" s="636"/>
      <c r="L3084" s="636" t="s">
        <v>14696</v>
      </c>
    </row>
    <row r="3085" spans="1:12" ht="24" customHeight="1">
      <c r="A3085" s="612" t="s">
        <v>13673</v>
      </c>
      <c r="B3085" s="612"/>
      <c r="C3085" s="612"/>
      <c r="D3085" s="612"/>
      <c r="E3085" s="612"/>
      <c r="F3085" s="612"/>
      <c r="G3085" s="612"/>
      <c r="H3085" s="612"/>
      <c r="I3085" s="612"/>
      <c r="J3085" s="612"/>
      <c r="K3085" s="612"/>
      <c r="L3085" s="612"/>
    </row>
    <row r="3086" spans="1:12" ht="24" customHeight="1">
      <c r="A3086" s="636"/>
      <c r="B3086" s="636"/>
      <c r="C3086" s="636"/>
      <c r="D3086" s="636"/>
      <c r="E3086" s="636"/>
      <c r="F3086" s="636"/>
      <c r="G3086" s="636"/>
      <c r="H3086" s="636"/>
      <c r="I3086" s="636"/>
      <c r="J3086" s="636" t="s">
        <v>13672</v>
      </c>
      <c r="K3086" s="636"/>
      <c r="L3086" s="636" t="s">
        <v>15148</v>
      </c>
    </row>
    <row r="3087" spans="1:12" ht="24" customHeight="1">
      <c r="A3087" s="636"/>
      <c r="B3087" s="636"/>
      <c r="C3087" s="636"/>
      <c r="D3087" s="636"/>
      <c r="E3087" s="636"/>
      <c r="F3087" s="636"/>
      <c r="G3087" s="636"/>
      <c r="H3087" s="636"/>
      <c r="I3087" s="636"/>
      <c r="J3087" s="636" t="s">
        <v>13671</v>
      </c>
      <c r="K3087" s="636" t="s">
        <v>14461</v>
      </c>
      <c r="L3087" s="636" t="s">
        <v>15149</v>
      </c>
    </row>
    <row r="3088" spans="1:12" ht="17.100000000000001" customHeight="1">
      <c r="A3088" s="636"/>
      <c r="B3088" s="636"/>
      <c r="C3088" s="636"/>
      <c r="D3088" s="636"/>
      <c r="E3088" s="636"/>
      <c r="F3088" s="636"/>
      <c r="G3088" s="636"/>
      <c r="H3088" s="636"/>
      <c r="I3088" s="636"/>
      <c r="J3088" s="636" t="s">
        <v>13670</v>
      </c>
      <c r="K3088" s="636"/>
      <c r="L3088" s="636" t="s">
        <v>15150</v>
      </c>
    </row>
    <row r="3089" spans="1:12">
      <c r="A3089" s="636"/>
      <c r="B3089" s="636"/>
      <c r="C3089" s="636"/>
      <c r="D3089" s="636"/>
      <c r="E3089" s="636"/>
      <c r="F3089" s="636"/>
      <c r="G3089" s="636"/>
      <c r="H3089" s="636"/>
      <c r="I3089" s="636"/>
      <c r="J3089" s="636" t="s">
        <v>13669</v>
      </c>
      <c r="K3089" s="636" t="s">
        <v>13667</v>
      </c>
      <c r="L3089" s="636" t="s">
        <v>15151</v>
      </c>
    </row>
    <row r="3090" spans="1:12" ht="17.100000000000001" customHeight="1">
      <c r="A3090" s="636"/>
      <c r="B3090" s="636"/>
      <c r="C3090" s="636"/>
      <c r="D3090" s="636"/>
      <c r="E3090" s="636"/>
      <c r="F3090" s="636"/>
      <c r="G3090" s="636"/>
      <c r="H3090" s="636"/>
      <c r="I3090" s="636"/>
      <c r="J3090" s="636" t="s">
        <v>13668</v>
      </c>
      <c r="K3090" s="636"/>
      <c r="L3090" s="636" t="s">
        <v>15152</v>
      </c>
    </row>
    <row r="3091" spans="1:12" ht="24" customHeight="1">
      <c r="A3091" s="637"/>
      <c r="B3091" s="637"/>
      <c r="C3091" s="637"/>
      <c r="D3091" s="637"/>
      <c r="E3091" s="637"/>
      <c r="F3091" s="637"/>
      <c r="G3091" s="637"/>
      <c r="H3091" s="637"/>
      <c r="I3091" s="637"/>
      <c r="J3091" s="637"/>
      <c r="K3091" s="637"/>
      <c r="L3091" s="637"/>
    </row>
    <row r="3092" spans="1:12" ht="17.100000000000001" customHeight="1">
      <c r="A3092" s="616" t="s">
        <v>14173</v>
      </c>
      <c r="B3092" s="617" t="s">
        <v>13584</v>
      </c>
      <c r="C3092" s="616" t="s">
        <v>8</v>
      </c>
      <c r="D3092" s="616" t="s">
        <v>4841</v>
      </c>
      <c r="E3092" s="618" t="s">
        <v>12725</v>
      </c>
      <c r="F3092" s="617"/>
      <c r="G3092" s="617"/>
      <c r="H3092" s="617"/>
      <c r="I3092" s="617"/>
      <c r="J3092" s="617"/>
      <c r="K3092" s="617"/>
      <c r="L3092" s="617"/>
    </row>
    <row r="3093" spans="1:12">
      <c r="A3093" s="802" t="s">
        <v>12711</v>
      </c>
      <c r="B3093" s="802"/>
      <c r="C3093" s="802"/>
      <c r="D3093" s="802"/>
      <c r="E3093" s="802"/>
      <c r="F3093" s="802"/>
      <c r="G3093" s="802"/>
      <c r="H3093" s="802"/>
      <c r="I3093" s="612"/>
      <c r="J3093" s="612"/>
      <c r="K3093" s="612"/>
      <c r="L3093" s="612"/>
    </row>
    <row r="3094" spans="1:12" ht="17.100000000000001" customHeight="1">
      <c r="A3094" s="612" t="s">
        <v>13679</v>
      </c>
      <c r="B3094" s="636" t="s">
        <v>12698</v>
      </c>
      <c r="C3094" s="612" t="s">
        <v>12699</v>
      </c>
      <c r="D3094" s="612" t="s">
        <v>12700</v>
      </c>
      <c r="E3094" s="637" t="s">
        <v>12702</v>
      </c>
      <c r="F3094" s="801" t="s">
        <v>12704</v>
      </c>
      <c r="G3094" s="801"/>
      <c r="H3094" s="801" t="s">
        <v>13678</v>
      </c>
      <c r="I3094" s="801"/>
      <c r="J3094" s="801" t="s">
        <v>12705</v>
      </c>
      <c r="K3094" s="801"/>
      <c r="L3094" s="801"/>
    </row>
    <row r="3095" spans="1:12" ht="24" customHeight="1">
      <c r="A3095" s="626" t="s">
        <v>12709</v>
      </c>
      <c r="B3095" s="627" t="s">
        <v>13297</v>
      </c>
      <c r="C3095" s="626" t="s">
        <v>8</v>
      </c>
      <c r="D3095" s="626" t="s">
        <v>7681</v>
      </c>
      <c r="E3095" s="628" t="s">
        <v>35</v>
      </c>
      <c r="F3095" s="816" t="s">
        <v>14527</v>
      </c>
      <c r="G3095" s="816"/>
      <c r="H3095" s="816">
        <v>7.7999999999999999E-6</v>
      </c>
      <c r="I3095" s="816"/>
      <c r="J3095" s="817">
        <v>0.1149</v>
      </c>
      <c r="K3095" s="817"/>
      <c r="L3095" s="817"/>
    </row>
    <row r="3096" spans="1:12" ht="17.100000000000001" customHeight="1">
      <c r="A3096" s="626" t="s">
        <v>12709</v>
      </c>
      <c r="B3096" s="627" t="s">
        <v>13048</v>
      </c>
      <c r="C3096" s="626" t="s">
        <v>8</v>
      </c>
      <c r="D3096" s="626" t="s">
        <v>9233</v>
      </c>
      <c r="E3096" s="628" t="s">
        <v>23</v>
      </c>
      <c r="F3096" s="816" t="s">
        <v>13690</v>
      </c>
      <c r="G3096" s="816"/>
      <c r="H3096" s="816">
        <v>0.19314519999999999</v>
      </c>
      <c r="I3096" s="816"/>
      <c r="J3096" s="817">
        <v>0.19700000000000001</v>
      </c>
      <c r="K3096" s="817"/>
      <c r="L3096" s="817"/>
    </row>
    <row r="3097" spans="1:12" ht="25.5">
      <c r="A3097" s="626" t="s">
        <v>12709</v>
      </c>
      <c r="B3097" s="627" t="s">
        <v>13047</v>
      </c>
      <c r="C3097" s="626" t="s">
        <v>8</v>
      </c>
      <c r="D3097" s="626" t="s">
        <v>9380</v>
      </c>
      <c r="E3097" s="628" t="s">
        <v>23</v>
      </c>
      <c r="F3097" s="816" t="s">
        <v>13689</v>
      </c>
      <c r="G3097" s="816"/>
      <c r="H3097" s="816">
        <v>0.19314519999999999</v>
      </c>
      <c r="I3097" s="816"/>
      <c r="J3097" s="817">
        <v>7.3400000000000007E-2</v>
      </c>
      <c r="K3097" s="817"/>
      <c r="L3097" s="817"/>
    </row>
    <row r="3098" spans="1:12" ht="17.100000000000001" customHeight="1">
      <c r="A3098" s="626" t="s">
        <v>12709</v>
      </c>
      <c r="B3098" s="627" t="s">
        <v>13003</v>
      </c>
      <c r="C3098" s="626" t="s">
        <v>8</v>
      </c>
      <c r="D3098" s="626" t="s">
        <v>9227</v>
      </c>
      <c r="E3098" s="628" t="s">
        <v>23</v>
      </c>
      <c r="F3098" s="816" t="s">
        <v>13732</v>
      </c>
      <c r="G3098" s="816"/>
      <c r="H3098" s="816">
        <v>7.5079000000000007E-2</v>
      </c>
      <c r="I3098" s="816"/>
      <c r="J3098" s="817">
        <v>4.9599999999999998E-2</v>
      </c>
      <c r="K3098" s="817"/>
      <c r="L3098" s="817"/>
    </row>
    <row r="3099" spans="1:12" ht="24" customHeight="1">
      <c r="A3099" s="626" t="s">
        <v>12709</v>
      </c>
      <c r="B3099" s="627" t="s">
        <v>13001</v>
      </c>
      <c r="C3099" s="626" t="s">
        <v>8</v>
      </c>
      <c r="D3099" s="626" t="s">
        <v>9374</v>
      </c>
      <c r="E3099" s="628" t="s">
        <v>23</v>
      </c>
      <c r="F3099" s="816" t="s">
        <v>13728</v>
      </c>
      <c r="G3099" s="816"/>
      <c r="H3099" s="816">
        <v>7.5079000000000007E-2</v>
      </c>
      <c r="I3099" s="816"/>
      <c r="J3099" s="817">
        <v>8.0000000000000004E-4</v>
      </c>
      <c r="K3099" s="817"/>
      <c r="L3099" s="817"/>
    </row>
    <row r="3100" spans="1:12" ht="24" customHeight="1">
      <c r="A3100" s="626" t="s">
        <v>12709</v>
      </c>
      <c r="B3100" s="627" t="s">
        <v>13052</v>
      </c>
      <c r="C3100" s="626" t="s">
        <v>8</v>
      </c>
      <c r="D3100" s="626" t="s">
        <v>9229</v>
      </c>
      <c r="E3100" s="628" t="s">
        <v>23</v>
      </c>
      <c r="F3100" s="816" t="s">
        <v>13692</v>
      </c>
      <c r="G3100" s="816"/>
      <c r="H3100" s="816">
        <v>0.27156130000000001</v>
      </c>
      <c r="I3100" s="816"/>
      <c r="J3100" s="817">
        <v>0.26069999999999999</v>
      </c>
      <c r="K3100" s="817"/>
      <c r="L3100" s="817"/>
    </row>
    <row r="3101" spans="1:12" ht="17.100000000000001" customHeight="1">
      <c r="A3101" s="626" t="s">
        <v>12709</v>
      </c>
      <c r="B3101" s="627" t="s">
        <v>13051</v>
      </c>
      <c r="C3101" s="626" t="s">
        <v>8</v>
      </c>
      <c r="D3101" s="626" t="s">
        <v>9376</v>
      </c>
      <c r="E3101" s="628" t="s">
        <v>23</v>
      </c>
      <c r="F3101" s="816" t="s">
        <v>13691</v>
      </c>
      <c r="G3101" s="816"/>
      <c r="H3101" s="816">
        <v>0.27156130000000001</v>
      </c>
      <c r="I3101" s="816"/>
      <c r="J3101" s="817">
        <v>0.1358</v>
      </c>
      <c r="K3101" s="817"/>
      <c r="L3101" s="817"/>
    </row>
    <row r="3102" spans="1:12" ht="17.100000000000001" customHeight="1">
      <c r="A3102" s="636"/>
      <c r="B3102" s="636"/>
      <c r="C3102" s="636"/>
      <c r="D3102" s="636"/>
      <c r="E3102" s="636"/>
      <c r="F3102" s="636"/>
      <c r="G3102" s="636"/>
      <c r="H3102" s="636"/>
      <c r="I3102" s="636"/>
      <c r="J3102" s="636" t="s">
        <v>13675</v>
      </c>
      <c r="K3102" s="636"/>
      <c r="L3102" s="636" t="s">
        <v>13705</v>
      </c>
    </row>
    <row r="3103" spans="1:12" ht="17.100000000000001" customHeight="1">
      <c r="A3103" s="802" t="s">
        <v>12710</v>
      </c>
      <c r="B3103" s="802"/>
      <c r="C3103" s="802"/>
      <c r="D3103" s="802"/>
      <c r="E3103" s="802"/>
      <c r="F3103" s="802"/>
      <c r="G3103" s="802"/>
      <c r="H3103" s="802"/>
      <c r="I3103" s="612"/>
      <c r="J3103" s="612"/>
      <c r="K3103" s="612"/>
      <c r="L3103" s="612"/>
    </row>
    <row r="3104" spans="1:12" ht="17.100000000000001" customHeight="1">
      <c r="A3104" s="612" t="s">
        <v>13679</v>
      </c>
      <c r="B3104" s="636" t="s">
        <v>12698</v>
      </c>
      <c r="C3104" s="612" t="s">
        <v>12699</v>
      </c>
      <c r="D3104" s="612" t="s">
        <v>12700</v>
      </c>
      <c r="E3104" s="637" t="s">
        <v>12702</v>
      </c>
      <c r="F3104" s="801" t="s">
        <v>12704</v>
      </c>
      <c r="G3104" s="801"/>
      <c r="H3104" s="801" t="s">
        <v>13678</v>
      </c>
      <c r="I3104" s="801"/>
      <c r="J3104" s="801" t="s">
        <v>12705</v>
      </c>
      <c r="K3104" s="801"/>
      <c r="L3104" s="801"/>
    </row>
    <row r="3105" spans="1:12" ht="17.100000000000001" customHeight="1">
      <c r="A3105" s="626" t="s">
        <v>12709</v>
      </c>
      <c r="B3105" s="627" t="s">
        <v>13046</v>
      </c>
      <c r="C3105" s="626" t="s">
        <v>8</v>
      </c>
      <c r="D3105" s="626" t="s">
        <v>11281</v>
      </c>
      <c r="E3105" s="628" t="s">
        <v>23</v>
      </c>
      <c r="F3105" s="816" t="s">
        <v>13731</v>
      </c>
      <c r="G3105" s="816"/>
      <c r="H3105" s="816">
        <v>0.19559989999999999</v>
      </c>
      <c r="I3105" s="816"/>
      <c r="J3105" s="817">
        <v>1.0054000000000001</v>
      </c>
      <c r="K3105" s="817"/>
      <c r="L3105" s="817"/>
    </row>
    <row r="3106" spans="1:12" ht="17.100000000000001" customHeight="1">
      <c r="A3106" s="626" t="s">
        <v>12709</v>
      </c>
      <c r="B3106" s="627" t="s">
        <v>13116</v>
      </c>
      <c r="C3106" s="626" t="s">
        <v>8</v>
      </c>
      <c r="D3106" s="626" t="s">
        <v>10556</v>
      </c>
      <c r="E3106" s="628" t="s">
        <v>23</v>
      </c>
      <c r="F3106" s="816" t="s">
        <v>13770</v>
      </c>
      <c r="G3106" s="816"/>
      <c r="H3106" s="816">
        <v>7.5366199999999994E-2</v>
      </c>
      <c r="I3106" s="816"/>
      <c r="J3106" s="817">
        <v>0.35949999999999999</v>
      </c>
      <c r="K3106" s="817"/>
      <c r="L3106" s="817"/>
    </row>
    <row r="3107" spans="1:12" ht="17.100000000000001" customHeight="1">
      <c r="A3107" s="626" t="s">
        <v>12709</v>
      </c>
      <c r="B3107" s="627" t="s">
        <v>13099</v>
      </c>
      <c r="C3107" s="626" t="s">
        <v>8</v>
      </c>
      <c r="D3107" s="626" t="s">
        <v>10726</v>
      </c>
      <c r="E3107" s="628" t="s">
        <v>23</v>
      </c>
      <c r="F3107" s="816" t="s">
        <v>14470</v>
      </c>
      <c r="G3107" s="816"/>
      <c r="H3107" s="816">
        <v>0.2750126</v>
      </c>
      <c r="I3107" s="816"/>
      <c r="J3107" s="817">
        <v>1.9003000000000001</v>
      </c>
      <c r="K3107" s="817"/>
      <c r="L3107" s="817"/>
    </row>
    <row r="3108" spans="1:12" ht="30" customHeight="1">
      <c r="A3108" s="636"/>
      <c r="B3108" s="636"/>
      <c r="C3108" s="636"/>
      <c r="D3108" s="636"/>
      <c r="E3108" s="636"/>
      <c r="F3108" s="636"/>
      <c r="G3108" s="636"/>
      <c r="H3108" s="636"/>
      <c r="I3108" s="636"/>
      <c r="J3108" s="636" t="s">
        <v>13675</v>
      </c>
      <c r="K3108" s="636"/>
      <c r="L3108" s="636" t="s">
        <v>14746</v>
      </c>
    </row>
    <row r="3109" spans="1:12" ht="36" customHeight="1">
      <c r="A3109" s="802" t="s">
        <v>12720</v>
      </c>
      <c r="B3109" s="802"/>
      <c r="C3109" s="802"/>
      <c r="D3109" s="802"/>
      <c r="E3109" s="802"/>
      <c r="F3109" s="802"/>
      <c r="G3109" s="802"/>
      <c r="H3109" s="802"/>
      <c r="I3109" s="612"/>
      <c r="J3109" s="612"/>
      <c r="K3109" s="612"/>
      <c r="L3109" s="612"/>
    </row>
    <row r="3110" spans="1:12" ht="14.25" customHeight="1">
      <c r="A3110" s="612" t="s">
        <v>13679</v>
      </c>
      <c r="B3110" s="636" t="s">
        <v>12698</v>
      </c>
      <c r="C3110" s="612" t="s">
        <v>12699</v>
      </c>
      <c r="D3110" s="612" t="s">
        <v>12700</v>
      </c>
      <c r="E3110" s="637" t="s">
        <v>12702</v>
      </c>
      <c r="F3110" s="801" t="s">
        <v>12704</v>
      </c>
      <c r="G3110" s="801"/>
      <c r="H3110" s="801" t="s">
        <v>13678</v>
      </c>
      <c r="I3110" s="801"/>
      <c r="J3110" s="801" t="s">
        <v>12705</v>
      </c>
      <c r="K3110" s="801"/>
      <c r="L3110" s="801"/>
    </row>
    <row r="3111" spans="1:12" ht="17.100000000000001" customHeight="1">
      <c r="A3111" s="626" t="s">
        <v>12709</v>
      </c>
      <c r="B3111" s="627" t="s">
        <v>13250</v>
      </c>
      <c r="C3111" s="626" t="s">
        <v>8</v>
      </c>
      <c r="D3111" s="626" t="s">
        <v>7526</v>
      </c>
      <c r="E3111" s="628" t="s">
        <v>12730</v>
      </c>
      <c r="F3111" s="816" t="s">
        <v>13747</v>
      </c>
      <c r="G3111" s="816"/>
      <c r="H3111" s="816">
        <v>4.69667E-2</v>
      </c>
      <c r="I3111" s="816"/>
      <c r="J3111" s="817">
        <v>2.9354</v>
      </c>
      <c r="K3111" s="817"/>
      <c r="L3111" s="817"/>
    </row>
    <row r="3112" spans="1:12" ht="24" customHeight="1">
      <c r="A3112" s="626" t="s">
        <v>12709</v>
      </c>
      <c r="B3112" s="627" t="s">
        <v>13249</v>
      </c>
      <c r="C3112" s="626" t="s">
        <v>8</v>
      </c>
      <c r="D3112" s="626" t="s">
        <v>8420</v>
      </c>
      <c r="E3112" s="628" t="s">
        <v>20</v>
      </c>
      <c r="F3112" s="816" t="s">
        <v>13700</v>
      </c>
      <c r="G3112" s="816"/>
      <c r="H3112" s="816">
        <v>12.0493316</v>
      </c>
      <c r="I3112" s="816"/>
      <c r="J3112" s="817">
        <v>5.9042000000000003</v>
      </c>
      <c r="K3112" s="817"/>
      <c r="L3112" s="817"/>
    </row>
    <row r="3113" spans="1:12" ht="24" customHeight="1">
      <c r="A3113" s="626" t="s">
        <v>12709</v>
      </c>
      <c r="B3113" s="627" t="s">
        <v>13248</v>
      </c>
      <c r="C3113" s="626" t="s">
        <v>8</v>
      </c>
      <c r="D3113" s="626" t="s">
        <v>10712</v>
      </c>
      <c r="E3113" s="628" t="s">
        <v>12730</v>
      </c>
      <c r="F3113" s="816" t="s">
        <v>13745</v>
      </c>
      <c r="G3113" s="816"/>
      <c r="H3113" s="816">
        <v>3.2854099999999997E-2</v>
      </c>
      <c r="I3113" s="816"/>
      <c r="J3113" s="817">
        <v>2.6282999999999999</v>
      </c>
      <c r="K3113" s="817"/>
      <c r="L3113" s="817"/>
    </row>
    <row r="3114" spans="1:12" ht="24" customHeight="1">
      <c r="A3114" s="626" t="s">
        <v>12709</v>
      </c>
      <c r="B3114" s="627" t="s">
        <v>12987</v>
      </c>
      <c r="C3114" s="626" t="s">
        <v>8</v>
      </c>
      <c r="D3114" s="626" t="s">
        <v>9192</v>
      </c>
      <c r="E3114" s="628" t="s">
        <v>12923</v>
      </c>
      <c r="F3114" s="816" t="s">
        <v>13999</v>
      </c>
      <c r="G3114" s="816"/>
      <c r="H3114" s="816">
        <v>9.7376900000000002E-2</v>
      </c>
      <c r="I3114" s="816"/>
      <c r="J3114" s="817">
        <v>7.8899999999999998E-2</v>
      </c>
      <c r="K3114" s="817"/>
      <c r="L3114" s="817"/>
    </row>
    <row r="3115" spans="1:12" ht="24" customHeight="1">
      <c r="A3115" s="636"/>
      <c r="B3115" s="636"/>
      <c r="C3115" s="636"/>
      <c r="D3115" s="636"/>
      <c r="E3115" s="636"/>
      <c r="F3115" s="636"/>
      <c r="G3115" s="636"/>
      <c r="H3115" s="636"/>
      <c r="I3115" s="636"/>
      <c r="J3115" s="636" t="s">
        <v>13675</v>
      </c>
      <c r="K3115" s="636"/>
      <c r="L3115" s="636" t="s">
        <v>13973</v>
      </c>
    </row>
    <row r="3116" spans="1:12" ht="17.100000000000001" customHeight="1">
      <c r="A3116" s="802" t="s">
        <v>12722</v>
      </c>
      <c r="B3116" s="802"/>
      <c r="C3116" s="802"/>
      <c r="D3116" s="802"/>
      <c r="E3116" s="802"/>
      <c r="F3116" s="802"/>
      <c r="G3116" s="802"/>
      <c r="H3116" s="802"/>
      <c r="I3116" s="612"/>
      <c r="J3116" s="612"/>
      <c r="K3116" s="612"/>
      <c r="L3116" s="612"/>
    </row>
    <row r="3117" spans="1:12" ht="14.25" customHeight="1">
      <c r="A3117" s="612" t="s">
        <v>13679</v>
      </c>
      <c r="B3117" s="636" t="s">
        <v>12698</v>
      </c>
      <c r="C3117" s="612" t="s">
        <v>12699</v>
      </c>
      <c r="D3117" s="612" t="s">
        <v>12700</v>
      </c>
      <c r="E3117" s="637" t="s">
        <v>12702</v>
      </c>
      <c r="F3117" s="801" t="s">
        <v>12704</v>
      </c>
      <c r="G3117" s="801"/>
      <c r="H3117" s="801" t="s">
        <v>13678</v>
      </c>
      <c r="I3117" s="801"/>
      <c r="J3117" s="801" t="s">
        <v>12705</v>
      </c>
      <c r="K3117" s="801"/>
      <c r="L3117" s="801"/>
    </row>
    <row r="3118" spans="1:12" ht="17.100000000000001" customHeight="1">
      <c r="A3118" s="626" t="s">
        <v>12709</v>
      </c>
      <c r="B3118" s="627" t="s">
        <v>12998</v>
      </c>
      <c r="C3118" s="626" t="s">
        <v>8</v>
      </c>
      <c r="D3118" s="626" t="s">
        <v>11861</v>
      </c>
      <c r="E3118" s="628" t="s">
        <v>23</v>
      </c>
      <c r="F3118" s="816" t="s">
        <v>13683</v>
      </c>
      <c r="G3118" s="816"/>
      <c r="H3118" s="816">
        <v>0.53978539999999997</v>
      </c>
      <c r="I3118" s="816"/>
      <c r="J3118" s="817">
        <v>0.38319999999999999</v>
      </c>
      <c r="K3118" s="817"/>
      <c r="L3118" s="817"/>
    </row>
    <row r="3119" spans="1:12" ht="24" customHeight="1">
      <c r="A3119" s="636"/>
      <c r="B3119" s="636"/>
      <c r="C3119" s="636"/>
      <c r="D3119" s="636"/>
      <c r="E3119" s="636"/>
      <c r="F3119" s="636"/>
      <c r="G3119" s="636"/>
      <c r="H3119" s="636"/>
      <c r="I3119" s="636"/>
      <c r="J3119" s="636" t="s">
        <v>13675</v>
      </c>
      <c r="K3119" s="636"/>
      <c r="L3119" s="636" t="s">
        <v>13689</v>
      </c>
    </row>
    <row r="3120" spans="1:12" ht="24" customHeight="1">
      <c r="A3120" s="802" t="s">
        <v>12713</v>
      </c>
      <c r="B3120" s="802"/>
      <c r="C3120" s="802"/>
      <c r="D3120" s="802"/>
      <c r="E3120" s="802"/>
      <c r="F3120" s="802"/>
      <c r="G3120" s="802"/>
      <c r="H3120" s="802"/>
      <c r="I3120" s="612"/>
      <c r="J3120" s="612"/>
      <c r="K3120" s="612"/>
      <c r="L3120" s="612"/>
    </row>
    <row r="3121" spans="1:12" ht="17.100000000000001" customHeight="1">
      <c r="A3121" s="612" t="s">
        <v>13679</v>
      </c>
      <c r="B3121" s="636" t="s">
        <v>12698</v>
      </c>
      <c r="C3121" s="612" t="s">
        <v>12699</v>
      </c>
      <c r="D3121" s="612" t="s">
        <v>12700</v>
      </c>
      <c r="E3121" s="637" t="s">
        <v>12702</v>
      </c>
      <c r="F3121" s="801" t="s">
        <v>12704</v>
      </c>
      <c r="G3121" s="801"/>
      <c r="H3121" s="801" t="s">
        <v>13678</v>
      </c>
      <c r="I3121" s="801"/>
      <c r="J3121" s="801" t="s">
        <v>12705</v>
      </c>
      <c r="K3121" s="801"/>
      <c r="L3121" s="801"/>
    </row>
    <row r="3122" spans="1:12" ht="25.5">
      <c r="A3122" s="626" t="s">
        <v>12709</v>
      </c>
      <c r="B3122" s="627" t="s">
        <v>12999</v>
      </c>
      <c r="C3122" s="626" t="s">
        <v>8</v>
      </c>
      <c r="D3122" s="626" t="s">
        <v>11251</v>
      </c>
      <c r="E3122" s="628" t="s">
        <v>23</v>
      </c>
      <c r="F3122" s="816" t="s">
        <v>13681</v>
      </c>
      <c r="G3122" s="816"/>
      <c r="H3122" s="816">
        <v>0.53978539999999997</v>
      </c>
      <c r="I3122" s="816"/>
      <c r="J3122" s="817">
        <v>3.78E-2</v>
      </c>
      <c r="K3122" s="817"/>
      <c r="L3122" s="817"/>
    </row>
    <row r="3123" spans="1:12" ht="17.100000000000001" customHeight="1">
      <c r="A3123" s="636"/>
      <c r="B3123" s="636"/>
      <c r="C3123" s="636"/>
      <c r="D3123" s="636"/>
      <c r="E3123" s="636"/>
      <c r="F3123" s="636"/>
      <c r="G3123" s="636"/>
      <c r="H3123" s="636"/>
      <c r="I3123" s="636"/>
      <c r="J3123" s="636" t="s">
        <v>13675</v>
      </c>
      <c r="K3123" s="636"/>
      <c r="L3123" s="636" t="s">
        <v>13716</v>
      </c>
    </row>
    <row r="3124" spans="1:12" ht="24" customHeight="1">
      <c r="A3124" s="802" t="s">
        <v>12712</v>
      </c>
      <c r="B3124" s="802"/>
      <c r="C3124" s="802"/>
      <c r="D3124" s="802"/>
      <c r="E3124" s="802"/>
      <c r="F3124" s="802"/>
      <c r="G3124" s="802"/>
      <c r="H3124" s="802"/>
      <c r="I3124" s="612"/>
      <c r="J3124" s="612"/>
      <c r="K3124" s="612"/>
      <c r="L3124" s="612"/>
    </row>
    <row r="3125" spans="1:12" ht="24" customHeight="1">
      <c r="A3125" s="612" t="s">
        <v>13679</v>
      </c>
      <c r="B3125" s="636" t="s">
        <v>12698</v>
      </c>
      <c r="C3125" s="612" t="s">
        <v>12699</v>
      </c>
      <c r="D3125" s="612" t="s">
        <v>12700</v>
      </c>
      <c r="E3125" s="637" t="s">
        <v>12702</v>
      </c>
      <c r="F3125" s="801" t="s">
        <v>12704</v>
      </c>
      <c r="G3125" s="801"/>
      <c r="H3125" s="801" t="s">
        <v>13678</v>
      </c>
      <c r="I3125" s="801"/>
      <c r="J3125" s="801" t="s">
        <v>12705</v>
      </c>
      <c r="K3125" s="801"/>
      <c r="L3125" s="801"/>
    </row>
    <row r="3126" spans="1:12" ht="24" customHeight="1">
      <c r="A3126" s="626" t="s">
        <v>12709</v>
      </c>
      <c r="B3126" s="627" t="s">
        <v>13002</v>
      </c>
      <c r="C3126" s="626" t="s">
        <v>8</v>
      </c>
      <c r="D3126" s="626" t="s">
        <v>9306</v>
      </c>
      <c r="E3126" s="628" t="s">
        <v>23</v>
      </c>
      <c r="F3126" s="816" t="s">
        <v>13677</v>
      </c>
      <c r="G3126" s="816"/>
      <c r="H3126" s="816">
        <v>0.53978539999999997</v>
      </c>
      <c r="I3126" s="816"/>
      <c r="J3126" s="817">
        <v>0.18890000000000001</v>
      </c>
      <c r="K3126" s="817"/>
      <c r="L3126" s="817"/>
    </row>
    <row r="3127" spans="1:12" ht="17.100000000000001" customHeight="1">
      <c r="A3127" s="626" t="s">
        <v>12709</v>
      </c>
      <c r="B3127" s="627" t="s">
        <v>13004</v>
      </c>
      <c r="C3127" s="626" t="s">
        <v>8</v>
      </c>
      <c r="D3127" s="626" t="s">
        <v>7388</v>
      </c>
      <c r="E3127" s="628" t="s">
        <v>23</v>
      </c>
      <c r="F3127" s="816" t="s">
        <v>13676</v>
      </c>
      <c r="G3127" s="816"/>
      <c r="H3127" s="816">
        <v>0.53978539999999997</v>
      </c>
      <c r="I3127" s="816"/>
      <c r="J3127" s="817">
        <v>1.1875</v>
      </c>
      <c r="K3127" s="817"/>
      <c r="L3127" s="817"/>
    </row>
    <row r="3128" spans="1:12">
      <c r="A3128" s="636"/>
      <c r="B3128" s="636"/>
      <c r="C3128" s="636"/>
      <c r="D3128" s="636"/>
      <c r="E3128" s="636"/>
      <c r="F3128" s="636"/>
      <c r="G3128" s="636"/>
      <c r="H3128" s="636"/>
      <c r="I3128" s="636"/>
      <c r="J3128" s="636" t="s">
        <v>13675</v>
      </c>
      <c r="K3128" s="636"/>
      <c r="L3128" s="636" t="s">
        <v>13851</v>
      </c>
    </row>
    <row r="3129" spans="1:12" ht="17.100000000000001" customHeight="1">
      <c r="A3129" s="612" t="s">
        <v>13673</v>
      </c>
      <c r="B3129" s="612"/>
      <c r="C3129" s="612"/>
      <c r="D3129" s="612"/>
      <c r="E3129" s="612"/>
      <c r="F3129" s="612"/>
      <c r="G3129" s="612"/>
      <c r="H3129" s="612"/>
      <c r="I3129" s="612"/>
      <c r="J3129" s="612"/>
      <c r="K3129" s="612"/>
      <c r="L3129" s="612"/>
    </row>
    <row r="3130" spans="1:12" ht="24" customHeight="1">
      <c r="A3130" s="636"/>
      <c r="B3130" s="636"/>
      <c r="C3130" s="636"/>
      <c r="D3130" s="636"/>
      <c r="E3130" s="636"/>
      <c r="F3130" s="636"/>
      <c r="G3130" s="636"/>
      <c r="H3130" s="636"/>
      <c r="I3130" s="636"/>
      <c r="J3130" s="636" t="s">
        <v>13672</v>
      </c>
      <c r="K3130" s="636"/>
      <c r="L3130" s="636" t="s">
        <v>15153</v>
      </c>
    </row>
    <row r="3131" spans="1:12" ht="17.100000000000001" customHeight="1">
      <c r="A3131" s="636"/>
      <c r="B3131" s="636"/>
      <c r="C3131" s="636"/>
      <c r="D3131" s="636"/>
      <c r="E3131" s="636"/>
      <c r="F3131" s="636"/>
      <c r="G3131" s="636"/>
      <c r="H3131" s="636"/>
      <c r="I3131" s="636"/>
      <c r="J3131" s="636" t="s">
        <v>13671</v>
      </c>
      <c r="K3131" s="636" t="s">
        <v>14461</v>
      </c>
      <c r="L3131" s="636" t="s">
        <v>15154</v>
      </c>
    </row>
    <row r="3132" spans="1:12">
      <c r="A3132" s="636"/>
      <c r="B3132" s="636"/>
      <c r="C3132" s="636"/>
      <c r="D3132" s="636"/>
      <c r="E3132" s="636"/>
      <c r="F3132" s="636"/>
      <c r="G3132" s="636"/>
      <c r="H3132" s="636"/>
      <c r="I3132" s="636"/>
      <c r="J3132" s="636" t="s">
        <v>13670</v>
      </c>
      <c r="K3132" s="636"/>
      <c r="L3132" s="636" t="s">
        <v>15155</v>
      </c>
    </row>
    <row r="3133" spans="1:12" ht="17.100000000000001" customHeight="1">
      <c r="A3133" s="636"/>
      <c r="B3133" s="636"/>
      <c r="C3133" s="636"/>
      <c r="D3133" s="636"/>
      <c r="E3133" s="636"/>
      <c r="F3133" s="636"/>
      <c r="G3133" s="636"/>
      <c r="H3133" s="636"/>
      <c r="I3133" s="636"/>
      <c r="J3133" s="636" t="s">
        <v>13669</v>
      </c>
      <c r="K3133" s="636" t="s">
        <v>13667</v>
      </c>
      <c r="L3133" s="636" t="s">
        <v>15156</v>
      </c>
    </row>
    <row r="3134" spans="1:12" ht="24" customHeight="1">
      <c r="A3134" s="636"/>
      <c r="B3134" s="636"/>
      <c r="C3134" s="636"/>
      <c r="D3134" s="636"/>
      <c r="E3134" s="636"/>
      <c r="F3134" s="636"/>
      <c r="G3134" s="636"/>
      <c r="H3134" s="636"/>
      <c r="I3134" s="636"/>
      <c r="J3134" s="636" t="s">
        <v>13668</v>
      </c>
      <c r="K3134" s="636"/>
      <c r="L3134" s="636" t="s">
        <v>15157</v>
      </c>
    </row>
    <row r="3135" spans="1:12" ht="17.100000000000001" customHeight="1">
      <c r="A3135" s="637"/>
      <c r="B3135" s="637"/>
      <c r="C3135" s="637"/>
      <c r="D3135" s="637"/>
      <c r="E3135" s="637"/>
      <c r="F3135" s="637"/>
      <c r="G3135" s="637"/>
      <c r="H3135" s="637"/>
      <c r="I3135" s="637"/>
      <c r="J3135" s="637"/>
      <c r="K3135" s="637"/>
      <c r="L3135" s="637"/>
    </row>
    <row r="3136" spans="1:12" ht="38.25">
      <c r="A3136" s="616" t="s">
        <v>14171</v>
      </c>
      <c r="B3136" s="617" t="s">
        <v>13583</v>
      </c>
      <c r="C3136" s="616" t="s">
        <v>8</v>
      </c>
      <c r="D3136" s="616" t="s">
        <v>1400</v>
      </c>
      <c r="E3136" s="618" t="s">
        <v>12725</v>
      </c>
      <c r="F3136" s="617"/>
      <c r="G3136" s="617"/>
      <c r="H3136" s="617"/>
      <c r="I3136" s="617"/>
      <c r="J3136" s="617"/>
      <c r="K3136" s="617"/>
      <c r="L3136" s="617"/>
    </row>
    <row r="3137" spans="1:12" ht="17.100000000000001" customHeight="1">
      <c r="A3137" s="802" t="s">
        <v>12711</v>
      </c>
      <c r="B3137" s="802"/>
      <c r="C3137" s="802"/>
      <c r="D3137" s="802"/>
      <c r="E3137" s="802"/>
      <c r="F3137" s="802"/>
      <c r="G3137" s="802"/>
      <c r="H3137" s="802"/>
      <c r="I3137" s="612"/>
      <c r="J3137" s="612"/>
      <c r="K3137" s="612"/>
      <c r="L3137" s="612"/>
    </row>
    <row r="3138" spans="1:12" ht="24" customHeight="1">
      <c r="A3138" s="612" t="s">
        <v>13679</v>
      </c>
      <c r="B3138" s="636" t="s">
        <v>12698</v>
      </c>
      <c r="C3138" s="612" t="s">
        <v>12699</v>
      </c>
      <c r="D3138" s="612" t="s">
        <v>12700</v>
      </c>
      <c r="E3138" s="637" t="s">
        <v>12702</v>
      </c>
      <c r="F3138" s="801" t="s">
        <v>12704</v>
      </c>
      <c r="G3138" s="801"/>
      <c r="H3138" s="801" t="s">
        <v>13678</v>
      </c>
      <c r="I3138" s="801"/>
      <c r="J3138" s="801" t="s">
        <v>12705</v>
      </c>
      <c r="K3138" s="801"/>
      <c r="L3138" s="801"/>
    </row>
    <row r="3139" spans="1:12" ht="24" customHeight="1">
      <c r="A3139" s="626" t="s">
        <v>12709</v>
      </c>
      <c r="B3139" s="627" t="s">
        <v>13302</v>
      </c>
      <c r="C3139" s="626" t="s">
        <v>8</v>
      </c>
      <c r="D3139" s="626" t="s">
        <v>7676</v>
      </c>
      <c r="E3139" s="628" t="s">
        <v>35</v>
      </c>
      <c r="F3139" s="816" t="s">
        <v>14526</v>
      </c>
      <c r="G3139" s="816"/>
      <c r="H3139" s="816">
        <v>2.1999999999999999E-5</v>
      </c>
      <c r="I3139" s="816"/>
      <c r="J3139" s="817">
        <v>7.9699999999999993E-2</v>
      </c>
      <c r="K3139" s="817"/>
      <c r="L3139" s="817"/>
    </row>
    <row r="3140" spans="1:12" ht="17.100000000000001" customHeight="1">
      <c r="A3140" s="626" t="s">
        <v>12709</v>
      </c>
      <c r="B3140" s="627" t="s">
        <v>13003</v>
      </c>
      <c r="C3140" s="626" t="s">
        <v>8</v>
      </c>
      <c r="D3140" s="626" t="s">
        <v>9227</v>
      </c>
      <c r="E3140" s="628" t="s">
        <v>23</v>
      </c>
      <c r="F3140" s="816" t="s">
        <v>13732</v>
      </c>
      <c r="G3140" s="816"/>
      <c r="H3140" s="816">
        <v>0.25680389999999997</v>
      </c>
      <c r="I3140" s="816"/>
      <c r="J3140" s="817">
        <v>0.16950000000000001</v>
      </c>
      <c r="K3140" s="817"/>
      <c r="L3140" s="817"/>
    </row>
    <row r="3141" spans="1:12" ht="17.100000000000001" customHeight="1">
      <c r="A3141" s="626" t="s">
        <v>12709</v>
      </c>
      <c r="B3141" s="627" t="s">
        <v>13001</v>
      </c>
      <c r="C3141" s="626" t="s">
        <v>8</v>
      </c>
      <c r="D3141" s="626" t="s">
        <v>9374</v>
      </c>
      <c r="E3141" s="628" t="s">
        <v>23</v>
      </c>
      <c r="F3141" s="816" t="s">
        <v>13728</v>
      </c>
      <c r="G3141" s="816"/>
      <c r="H3141" s="816">
        <v>0.25680389999999997</v>
      </c>
      <c r="I3141" s="816"/>
      <c r="J3141" s="817">
        <v>2.5999999999999999E-3</v>
      </c>
      <c r="K3141" s="817"/>
      <c r="L3141" s="817"/>
    </row>
    <row r="3142" spans="1:12" ht="17.100000000000001" customHeight="1">
      <c r="A3142" s="626" t="s">
        <v>12709</v>
      </c>
      <c r="B3142" s="627" t="s">
        <v>13052</v>
      </c>
      <c r="C3142" s="626" t="s">
        <v>8</v>
      </c>
      <c r="D3142" s="626" t="s">
        <v>9229</v>
      </c>
      <c r="E3142" s="628" t="s">
        <v>23</v>
      </c>
      <c r="F3142" s="816" t="s">
        <v>13692</v>
      </c>
      <c r="G3142" s="816"/>
      <c r="H3142" s="816">
        <v>0.35965540000000001</v>
      </c>
      <c r="I3142" s="816"/>
      <c r="J3142" s="817">
        <v>0.3453</v>
      </c>
      <c r="K3142" s="817"/>
      <c r="L3142" s="817"/>
    </row>
    <row r="3143" spans="1:12" ht="17.100000000000001" customHeight="1">
      <c r="A3143" s="626" t="s">
        <v>12709</v>
      </c>
      <c r="B3143" s="627" t="s">
        <v>13051</v>
      </c>
      <c r="C3143" s="626" t="s">
        <v>8</v>
      </c>
      <c r="D3143" s="626" t="s">
        <v>9376</v>
      </c>
      <c r="E3143" s="628" t="s">
        <v>23</v>
      </c>
      <c r="F3143" s="816" t="s">
        <v>13691</v>
      </c>
      <c r="G3143" s="816"/>
      <c r="H3143" s="816">
        <v>0.35965540000000001</v>
      </c>
      <c r="I3143" s="816"/>
      <c r="J3143" s="817">
        <v>0.17979999999999999</v>
      </c>
      <c r="K3143" s="817"/>
      <c r="L3143" s="817"/>
    </row>
    <row r="3144" spans="1:12" ht="17.100000000000001" customHeight="1">
      <c r="A3144" s="626" t="s">
        <v>12709</v>
      </c>
      <c r="B3144" s="627" t="s">
        <v>13048</v>
      </c>
      <c r="C3144" s="626" t="s">
        <v>8</v>
      </c>
      <c r="D3144" s="626" t="s">
        <v>9233</v>
      </c>
      <c r="E3144" s="628" t="s">
        <v>23</v>
      </c>
      <c r="F3144" s="816" t="s">
        <v>13690</v>
      </c>
      <c r="G3144" s="816"/>
      <c r="H3144" s="816">
        <v>0.17982770000000001</v>
      </c>
      <c r="I3144" s="816"/>
      <c r="J3144" s="817">
        <v>0.18340000000000001</v>
      </c>
      <c r="K3144" s="817"/>
      <c r="L3144" s="817"/>
    </row>
    <row r="3145" spans="1:12" ht="17.100000000000001" customHeight="1">
      <c r="A3145" s="626" t="s">
        <v>12709</v>
      </c>
      <c r="B3145" s="627" t="s">
        <v>13047</v>
      </c>
      <c r="C3145" s="626" t="s">
        <v>8</v>
      </c>
      <c r="D3145" s="626" t="s">
        <v>9380</v>
      </c>
      <c r="E3145" s="628" t="s">
        <v>23</v>
      </c>
      <c r="F3145" s="816" t="s">
        <v>13689</v>
      </c>
      <c r="G3145" s="816"/>
      <c r="H3145" s="816">
        <v>0.17982770000000001</v>
      </c>
      <c r="I3145" s="816"/>
      <c r="J3145" s="817">
        <v>6.83E-2</v>
      </c>
      <c r="K3145" s="817"/>
      <c r="L3145" s="817"/>
    </row>
    <row r="3146" spans="1:12" ht="17.100000000000001" customHeight="1">
      <c r="A3146" s="636"/>
      <c r="B3146" s="636"/>
      <c r="C3146" s="636"/>
      <c r="D3146" s="636"/>
      <c r="E3146" s="636"/>
      <c r="F3146" s="636"/>
      <c r="G3146" s="636"/>
      <c r="H3146" s="636"/>
      <c r="I3146" s="636"/>
      <c r="J3146" s="636" t="s">
        <v>13675</v>
      </c>
      <c r="K3146" s="636"/>
      <c r="L3146" s="636" t="s">
        <v>14170</v>
      </c>
    </row>
    <row r="3147" spans="1:12" ht="30" customHeight="1">
      <c r="A3147" s="802" t="s">
        <v>12710</v>
      </c>
      <c r="B3147" s="802"/>
      <c r="C3147" s="802"/>
      <c r="D3147" s="802"/>
      <c r="E3147" s="802"/>
      <c r="F3147" s="802"/>
      <c r="G3147" s="802"/>
      <c r="H3147" s="802"/>
      <c r="I3147" s="612"/>
      <c r="J3147" s="612"/>
      <c r="K3147" s="612"/>
      <c r="L3147" s="612"/>
    </row>
    <row r="3148" spans="1:12" ht="24" customHeight="1">
      <c r="A3148" s="612" t="s">
        <v>13679</v>
      </c>
      <c r="B3148" s="636" t="s">
        <v>12698</v>
      </c>
      <c r="C3148" s="612" t="s">
        <v>12699</v>
      </c>
      <c r="D3148" s="612" t="s">
        <v>12700</v>
      </c>
      <c r="E3148" s="637" t="s">
        <v>12702</v>
      </c>
      <c r="F3148" s="801" t="s">
        <v>12704</v>
      </c>
      <c r="G3148" s="801"/>
      <c r="H3148" s="801" t="s">
        <v>13678</v>
      </c>
      <c r="I3148" s="801"/>
      <c r="J3148" s="801" t="s">
        <v>12705</v>
      </c>
      <c r="K3148" s="801"/>
      <c r="L3148" s="801"/>
    </row>
    <row r="3149" spans="1:12" ht="14.25" customHeight="1">
      <c r="A3149" s="626" t="s">
        <v>12709</v>
      </c>
      <c r="B3149" s="627" t="s">
        <v>13116</v>
      </c>
      <c r="C3149" s="626" t="s">
        <v>8</v>
      </c>
      <c r="D3149" s="626" t="s">
        <v>10556</v>
      </c>
      <c r="E3149" s="628" t="s">
        <v>23</v>
      </c>
      <c r="F3149" s="816" t="s">
        <v>13770</v>
      </c>
      <c r="G3149" s="816"/>
      <c r="H3149" s="816">
        <v>0.25803340000000002</v>
      </c>
      <c r="I3149" s="816"/>
      <c r="J3149" s="817">
        <v>1.2307999999999999</v>
      </c>
      <c r="K3149" s="817"/>
      <c r="L3149" s="817"/>
    </row>
    <row r="3150" spans="1:12" ht="17.100000000000001" customHeight="1">
      <c r="A3150" s="626" t="s">
        <v>12709</v>
      </c>
      <c r="B3150" s="627" t="s">
        <v>13099</v>
      </c>
      <c r="C3150" s="626" t="s">
        <v>8</v>
      </c>
      <c r="D3150" s="626" t="s">
        <v>10726</v>
      </c>
      <c r="E3150" s="628" t="s">
        <v>23</v>
      </c>
      <c r="F3150" s="816" t="s">
        <v>14470</v>
      </c>
      <c r="G3150" s="816"/>
      <c r="H3150" s="816">
        <v>0.36457529999999999</v>
      </c>
      <c r="I3150" s="816"/>
      <c r="J3150" s="817">
        <v>2.5192000000000001</v>
      </c>
      <c r="K3150" s="817"/>
      <c r="L3150" s="817"/>
    </row>
    <row r="3151" spans="1:12" ht="24" customHeight="1">
      <c r="A3151" s="626" t="s">
        <v>12709</v>
      </c>
      <c r="B3151" s="627" t="s">
        <v>13046</v>
      </c>
      <c r="C3151" s="626" t="s">
        <v>8</v>
      </c>
      <c r="D3151" s="626" t="s">
        <v>11281</v>
      </c>
      <c r="E3151" s="628" t="s">
        <v>23</v>
      </c>
      <c r="F3151" s="816" t="s">
        <v>13731</v>
      </c>
      <c r="G3151" s="816"/>
      <c r="H3151" s="816">
        <v>0.18228759999999999</v>
      </c>
      <c r="I3151" s="816"/>
      <c r="J3151" s="817">
        <v>0.93700000000000006</v>
      </c>
      <c r="K3151" s="817"/>
      <c r="L3151" s="817"/>
    </row>
    <row r="3152" spans="1:12" ht="24" customHeight="1">
      <c r="A3152" s="636"/>
      <c r="B3152" s="636"/>
      <c r="C3152" s="636"/>
      <c r="D3152" s="636"/>
      <c r="E3152" s="636"/>
      <c r="F3152" s="636"/>
      <c r="G3152" s="636"/>
      <c r="H3152" s="636"/>
      <c r="I3152" s="636"/>
      <c r="J3152" s="636" t="s">
        <v>13675</v>
      </c>
      <c r="K3152" s="636"/>
      <c r="L3152" s="636" t="s">
        <v>14573</v>
      </c>
    </row>
    <row r="3153" spans="1:12" ht="24" customHeight="1">
      <c r="A3153" s="802" t="s">
        <v>12720</v>
      </c>
      <c r="B3153" s="802"/>
      <c r="C3153" s="802"/>
      <c r="D3153" s="802"/>
      <c r="E3153" s="802"/>
      <c r="F3153" s="802"/>
      <c r="G3153" s="802"/>
      <c r="H3153" s="802"/>
      <c r="I3153" s="612"/>
      <c r="J3153" s="612"/>
      <c r="K3153" s="612"/>
      <c r="L3153" s="612"/>
    </row>
    <row r="3154" spans="1:12" ht="24" customHeight="1">
      <c r="A3154" s="612" t="s">
        <v>13679</v>
      </c>
      <c r="B3154" s="636" t="s">
        <v>12698</v>
      </c>
      <c r="C3154" s="612" t="s">
        <v>12699</v>
      </c>
      <c r="D3154" s="612" t="s">
        <v>12700</v>
      </c>
      <c r="E3154" s="637" t="s">
        <v>12702</v>
      </c>
      <c r="F3154" s="801" t="s">
        <v>12704</v>
      </c>
      <c r="G3154" s="801"/>
      <c r="H3154" s="801" t="s">
        <v>13678</v>
      </c>
      <c r="I3154" s="801"/>
      <c r="J3154" s="801" t="s">
        <v>12705</v>
      </c>
      <c r="K3154" s="801"/>
      <c r="L3154" s="801"/>
    </row>
    <row r="3155" spans="1:12" ht="17.100000000000001" customHeight="1">
      <c r="A3155" s="626" t="s">
        <v>12709</v>
      </c>
      <c r="B3155" s="627" t="s">
        <v>13249</v>
      </c>
      <c r="C3155" s="626" t="s">
        <v>8</v>
      </c>
      <c r="D3155" s="626" t="s">
        <v>8420</v>
      </c>
      <c r="E3155" s="628" t="s">
        <v>20</v>
      </c>
      <c r="F3155" s="816" t="s">
        <v>13700</v>
      </c>
      <c r="G3155" s="816"/>
      <c r="H3155" s="816">
        <v>24.848240000000001</v>
      </c>
      <c r="I3155" s="816"/>
      <c r="J3155" s="817">
        <v>12.175599999999999</v>
      </c>
      <c r="K3155" s="817"/>
      <c r="L3155" s="817"/>
    </row>
    <row r="3156" spans="1:12" ht="14.25" customHeight="1">
      <c r="A3156" s="626" t="s">
        <v>12709</v>
      </c>
      <c r="B3156" s="627" t="s">
        <v>13582</v>
      </c>
      <c r="C3156" s="626" t="s">
        <v>8</v>
      </c>
      <c r="D3156" s="626" t="s">
        <v>7346</v>
      </c>
      <c r="E3156" s="628" t="s">
        <v>58</v>
      </c>
      <c r="F3156" s="816" t="s">
        <v>13987</v>
      </c>
      <c r="G3156" s="816"/>
      <c r="H3156" s="816">
        <v>0.435</v>
      </c>
      <c r="I3156" s="816"/>
      <c r="J3156" s="817">
        <v>3.37</v>
      </c>
      <c r="K3156" s="817"/>
      <c r="L3156" s="817"/>
    </row>
    <row r="3157" spans="1:12" ht="17.100000000000001" customHeight="1">
      <c r="A3157" s="626" t="s">
        <v>12709</v>
      </c>
      <c r="B3157" s="627" t="s">
        <v>13250</v>
      </c>
      <c r="C3157" s="626" t="s">
        <v>8</v>
      </c>
      <c r="D3157" s="626" t="s">
        <v>7526</v>
      </c>
      <c r="E3157" s="628" t="s">
        <v>12730</v>
      </c>
      <c r="F3157" s="816" t="s">
        <v>13747</v>
      </c>
      <c r="G3157" s="816"/>
      <c r="H3157" s="816">
        <v>7.2011000000000006E-2</v>
      </c>
      <c r="I3157" s="816"/>
      <c r="J3157" s="817">
        <v>4.5007000000000001</v>
      </c>
      <c r="K3157" s="817"/>
      <c r="L3157" s="817"/>
    </row>
    <row r="3158" spans="1:12" ht="24" customHeight="1">
      <c r="A3158" s="626" t="s">
        <v>12709</v>
      </c>
      <c r="B3158" s="627" t="s">
        <v>12987</v>
      </c>
      <c r="C3158" s="626" t="s">
        <v>8</v>
      </c>
      <c r="D3158" s="626" t="s">
        <v>9192</v>
      </c>
      <c r="E3158" s="628" t="s">
        <v>12923</v>
      </c>
      <c r="F3158" s="816" t="s">
        <v>13999</v>
      </c>
      <c r="G3158" s="816"/>
      <c r="H3158" s="816">
        <v>7.4790800000000004E-2</v>
      </c>
      <c r="I3158" s="816"/>
      <c r="J3158" s="817">
        <v>6.0600000000000001E-2</v>
      </c>
      <c r="K3158" s="817"/>
      <c r="L3158" s="817"/>
    </row>
    <row r="3159" spans="1:12" ht="24" customHeight="1">
      <c r="A3159" s="636"/>
      <c r="B3159" s="636"/>
      <c r="C3159" s="636"/>
      <c r="D3159" s="636"/>
      <c r="E3159" s="636"/>
      <c r="F3159" s="636"/>
      <c r="G3159" s="636"/>
      <c r="H3159" s="636"/>
      <c r="I3159" s="636"/>
      <c r="J3159" s="636" t="s">
        <v>13675</v>
      </c>
      <c r="K3159" s="636"/>
      <c r="L3159" s="636" t="s">
        <v>14745</v>
      </c>
    </row>
    <row r="3160" spans="1:12" ht="17.100000000000001" customHeight="1">
      <c r="A3160" s="802" t="s">
        <v>12722</v>
      </c>
      <c r="B3160" s="802"/>
      <c r="C3160" s="802"/>
      <c r="D3160" s="802"/>
      <c r="E3160" s="802"/>
      <c r="F3160" s="802"/>
      <c r="G3160" s="802"/>
      <c r="H3160" s="802"/>
      <c r="I3160" s="612"/>
      <c r="J3160" s="612"/>
      <c r="K3160" s="612"/>
      <c r="L3160" s="612"/>
    </row>
    <row r="3161" spans="1:12">
      <c r="A3161" s="612" t="s">
        <v>13679</v>
      </c>
      <c r="B3161" s="636" t="s">
        <v>12698</v>
      </c>
      <c r="C3161" s="612" t="s">
        <v>12699</v>
      </c>
      <c r="D3161" s="612" t="s">
        <v>12700</v>
      </c>
      <c r="E3161" s="637" t="s">
        <v>12702</v>
      </c>
      <c r="F3161" s="801" t="s">
        <v>12704</v>
      </c>
      <c r="G3161" s="801"/>
      <c r="H3161" s="801" t="s">
        <v>13678</v>
      </c>
      <c r="I3161" s="801"/>
      <c r="J3161" s="801" t="s">
        <v>12705</v>
      </c>
      <c r="K3161" s="801"/>
      <c r="L3161" s="801"/>
    </row>
    <row r="3162" spans="1:12" ht="17.100000000000001" customHeight="1">
      <c r="A3162" s="626" t="s">
        <v>12709</v>
      </c>
      <c r="B3162" s="627" t="s">
        <v>12998</v>
      </c>
      <c r="C3162" s="626" t="s">
        <v>8</v>
      </c>
      <c r="D3162" s="626" t="s">
        <v>11861</v>
      </c>
      <c r="E3162" s="628" t="s">
        <v>23</v>
      </c>
      <c r="F3162" s="816" t="s">
        <v>13683</v>
      </c>
      <c r="G3162" s="816"/>
      <c r="H3162" s="816">
        <v>0.79628699999999997</v>
      </c>
      <c r="I3162" s="816"/>
      <c r="J3162" s="817">
        <v>0.56540000000000001</v>
      </c>
      <c r="K3162" s="817"/>
      <c r="L3162" s="817"/>
    </row>
    <row r="3163" spans="1:12" ht="24" customHeight="1">
      <c r="A3163" s="636"/>
      <c r="B3163" s="636"/>
      <c r="C3163" s="636"/>
      <c r="D3163" s="636"/>
      <c r="E3163" s="636"/>
      <c r="F3163" s="636"/>
      <c r="G3163" s="636"/>
      <c r="H3163" s="636"/>
      <c r="I3163" s="636"/>
      <c r="J3163" s="636" t="s">
        <v>13675</v>
      </c>
      <c r="K3163" s="636"/>
      <c r="L3163" s="636" t="s">
        <v>13849</v>
      </c>
    </row>
    <row r="3164" spans="1:12" ht="24" customHeight="1">
      <c r="A3164" s="802" t="s">
        <v>12713</v>
      </c>
      <c r="B3164" s="802"/>
      <c r="C3164" s="802"/>
      <c r="D3164" s="802"/>
      <c r="E3164" s="802"/>
      <c r="F3164" s="802"/>
      <c r="G3164" s="802"/>
      <c r="H3164" s="802"/>
      <c r="I3164" s="612"/>
      <c r="J3164" s="612"/>
      <c r="K3164" s="612"/>
      <c r="L3164" s="612"/>
    </row>
    <row r="3165" spans="1:12" ht="24" customHeight="1">
      <c r="A3165" s="612" t="s">
        <v>13679</v>
      </c>
      <c r="B3165" s="636" t="s">
        <v>12698</v>
      </c>
      <c r="C3165" s="612" t="s">
        <v>12699</v>
      </c>
      <c r="D3165" s="612" t="s">
        <v>12700</v>
      </c>
      <c r="E3165" s="637" t="s">
        <v>12702</v>
      </c>
      <c r="F3165" s="801" t="s">
        <v>12704</v>
      </c>
      <c r="G3165" s="801"/>
      <c r="H3165" s="801" t="s">
        <v>13678</v>
      </c>
      <c r="I3165" s="801"/>
      <c r="J3165" s="801" t="s">
        <v>12705</v>
      </c>
      <c r="K3165" s="801"/>
      <c r="L3165" s="801"/>
    </row>
    <row r="3166" spans="1:12" ht="17.100000000000001" customHeight="1">
      <c r="A3166" s="626" t="s">
        <v>12709</v>
      </c>
      <c r="B3166" s="627" t="s">
        <v>12999</v>
      </c>
      <c r="C3166" s="626" t="s">
        <v>8</v>
      </c>
      <c r="D3166" s="626" t="s">
        <v>11251</v>
      </c>
      <c r="E3166" s="628" t="s">
        <v>23</v>
      </c>
      <c r="F3166" s="816" t="s">
        <v>13681</v>
      </c>
      <c r="G3166" s="816"/>
      <c r="H3166" s="816">
        <v>0.79628699999999997</v>
      </c>
      <c r="I3166" s="816"/>
      <c r="J3166" s="817">
        <v>5.57E-2</v>
      </c>
      <c r="K3166" s="817"/>
      <c r="L3166" s="817"/>
    </row>
    <row r="3167" spans="1:12">
      <c r="A3167" s="636"/>
      <c r="B3167" s="636"/>
      <c r="C3167" s="636"/>
      <c r="D3167" s="636"/>
      <c r="E3167" s="636"/>
      <c r="F3167" s="636"/>
      <c r="G3167" s="636"/>
      <c r="H3167" s="636"/>
      <c r="I3167" s="636"/>
      <c r="J3167" s="636" t="s">
        <v>13675</v>
      </c>
      <c r="K3167" s="636"/>
      <c r="L3167" s="636" t="s">
        <v>13708</v>
      </c>
    </row>
    <row r="3168" spans="1:12" ht="17.100000000000001" customHeight="1">
      <c r="A3168" s="802" t="s">
        <v>12712</v>
      </c>
      <c r="B3168" s="802"/>
      <c r="C3168" s="802"/>
      <c r="D3168" s="802"/>
      <c r="E3168" s="802"/>
      <c r="F3168" s="802"/>
      <c r="G3168" s="802"/>
      <c r="H3168" s="802"/>
      <c r="I3168" s="612"/>
      <c r="J3168" s="612"/>
      <c r="K3168" s="612"/>
      <c r="L3168" s="612"/>
    </row>
    <row r="3169" spans="1:12" ht="24" customHeight="1">
      <c r="A3169" s="612" t="s">
        <v>13679</v>
      </c>
      <c r="B3169" s="636" t="s">
        <v>12698</v>
      </c>
      <c r="C3169" s="612" t="s">
        <v>12699</v>
      </c>
      <c r="D3169" s="612" t="s">
        <v>12700</v>
      </c>
      <c r="E3169" s="637" t="s">
        <v>12702</v>
      </c>
      <c r="F3169" s="801" t="s">
        <v>12704</v>
      </c>
      <c r="G3169" s="801"/>
      <c r="H3169" s="801" t="s">
        <v>13678</v>
      </c>
      <c r="I3169" s="801"/>
      <c r="J3169" s="801" t="s">
        <v>12705</v>
      </c>
      <c r="K3169" s="801"/>
      <c r="L3169" s="801"/>
    </row>
    <row r="3170" spans="1:12" ht="17.100000000000001" customHeight="1">
      <c r="A3170" s="626" t="s">
        <v>12709</v>
      </c>
      <c r="B3170" s="627" t="s">
        <v>13002</v>
      </c>
      <c r="C3170" s="626" t="s">
        <v>8</v>
      </c>
      <c r="D3170" s="626" t="s">
        <v>9306</v>
      </c>
      <c r="E3170" s="628" t="s">
        <v>23</v>
      </c>
      <c r="F3170" s="816" t="s">
        <v>13677</v>
      </c>
      <c r="G3170" s="816"/>
      <c r="H3170" s="816">
        <v>0.79628699999999997</v>
      </c>
      <c r="I3170" s="816"/>
      <c r="J3170" s="817">
        <v>0.2787</v>
      </c>
      <c r="K3170" s="817"/>
      <c r="L3170" s="817"/>
    </row>
    <row r="3171" spans="1:12" ht="25.5">
      <c r="A3171" s="626" t="s">
        <v>12709</v>
      </c>
      <c r="B3171" s="627" t="s">
        <v>13004</v>
      </c>
      <c r="C3171" s="626" t="s">
        <v>8</v>
      </c>
      <c r="D3171" s="626" t="s">
        <v>7388</v>
      </c>
      <c r="E3171" s="628" t="s">
        <v>23</v>
      </c>
      <c r="F3171" s="816" t="s">
        <v>13676</v>
      </c>
      <c r="G3171" s="816"/>
      <c r="H3171" s="816">
        <v>0.79628699999999997</v>
      </c>
      <c r="I3171" s="816"/>
      <c r="J3171" s="817">
        <v>1.7518</v>
      </c>
      <c r="K3171" s="817"/>
      <c r="L3171" s="817"/>
    </row>
    <row r="3172" spans="1:12" ht="17.100000000000001" customHeight="1">
      <c r="A3172" s="636"/>
      <c r="B3172" s="636"/>
      <c r="C3172" s="636"/>
      <c r="D3172" s="636"/>
      <c r="E3172" s="636"/>
      <c r="F3172" s="636"/>
      <c r="G3172" s="636"/>
      <c r="H3172" s="636"/>
      <c r="I3172" s="636"/>
      <c r="J3172" s="636" t="s">
        <v>13675</v>
      </c>
      <c r="K3172" s="636"/>
      <c r="L3172" s="636" t="s">
        <v>14169</v>
      </c>
    </row>
    <row r="3173" spans="1:12" ht="24" customHeight="1">
      <c r="A3173" s="612" t="s">
        <v>13673</v>
      </c>
      <c r="B3173" s="612"/>
      <c r="C3173" s="612"/>
      <c r="D3173" s="612"/>
      <c r="E3173" s="612"/>
      <c r="F3173" s="612"/>
      <c r="G3173" s="612"/>
      <c r="H3173" s="612"/>
      <c r="I3173" s="612"/>
      <c r="J3173" s="612"/>
      <c r="K3173" s="612"/>
      <c r="L3173" s="612"/>
    </row>
    <row r="3174" spans="1:12" ht="17.100000000000001" customHeight="1">
      <c r="A3174" s="636"/>
      <c r="B3174" s="636"/>
      <c r="C3174" s="636"/>
      <c r="D3174" s="636"/>
      <c r="E3174" s="636"/>
      <c r="F3174" s="636"/>
      <c r="G3174" s="636"/>
      <c r="H3174" s="636"/>
      <c r="I3174" s="636"/>
      <c r="J3174" s="636" t="s">
        <v>13672</v>
      </c>
      <c r="K3174" s="636"/>
      <c r="L3174" s="636" t="s">
        <v>15158</v>
      </c>
    </row>
    <row r="3175" spans="1:12">
      <c r="A3175" s="636"/>
      <c r="B3175" s="636"/>
      <c r="C3175" s="636"/>
      <c r="D3175" s="636"/>
      <c r="E3175" s="636"/>
      <c r="F3175" s="636"/>
      <c r="G3175" s="636"/>
      <c r="H3175" s="636"/>
      <c r="I3175" s="636"/>
      <c r="J3175" s="636" t="s">
        <v>13671</v>
      </c>
      <c r="K3175" s="636" t="s">
        <v>14461</v>
      </c>
      <c r="L3175" s="636" t="s">
        <v>15159</v>
      </c>
    </row>
    <row r="3176" spans="1:12" ht="17.100000000000001" customHeight="1">
      <c r="A3176" s="636"/>
      <c r="B3176" s="636"/>
      <c r="C3176" s="636"/>
      <c r="D3176" s="636"/>
      <c r="E3176" s="636"/>
      <c r="F3176" s="636"/>
      <c r="G3176" s="636"/>
      <c r="H3176" s="636"/>
      <c r="I3176" s="636"/>
      <c r="J3176" s="636" t="s">
        <v>13670</v>
      </c>
      <c r="K3176" s="636"/>
      <c r="L3176" s="636" t="s">
        <v>15160</v>
      </c>
    </row>
    <row r="3177" spans="1:12" ht="24" customHeight="1">
      <c r="A3177" s="636"/>
      <c r="B3177" s="636"/>
      <c r="C3177" s="636"/>
      <c r="D3177" s="636"/>
      <c r="E3177" s="636"/>
      <c r="F3177" s="636"/>
      <c r="G3177" s="636"/>
      <c r="H3177" s="636"/>
      <c r="I3177" s="636"/>
      <c r="J3177" s="636" t="s">
        <v>13669</v>
      </c>
      <c r="K3177" s="636" t="s">
        <v>13667</v>
      </c>
      <c r="L3177" s="636" t="s">
        <v>15161</v>
      </c>
    </row>
    <row r="3178" spans="1:12" ht="24" customHeight="1">
      <c r="A3178" s="636"/>
      <c r="B3178" s="636"/>
      <c r="C3178" s="636"/>
      <c r="D3178" s="636"/>
      <c r="E3178" s="636"/>
      <c r="F3178" s="636"/>
      <c r="G3178" s="636"/>
      <c r="H3178" s="636"/>
      <c r="I3178" s="636"/>
      <c r="J3178" s="636" t="s">
        <v>13668</v>
      </c>
      <c r="K3178" s="636"/>
      <c r="L3178" s="636" t="s">
        <v>15162</v>
      </c>
    </row>
    <row r="3179" spans="1:12" ht="17.100000000000001" customHeight="1">
      <c r="A3179" s="637"/>
      <c r="B3179" s="637"/>
      <c r="C3179" s="637"/>
      <c r="D3179" s="637"/>
      <c r="E3179" s="637"/>
      <c r="F3179" s="637"/>
      <c r="G3179" s="637"/>
      <c r="H3179" s="637"/>
      <c r="I3179" s="637"/>
      <c r="J3179" s="637"/>
      <c r="K3179" s="637"/>
      <c r="L3179" s="637"/>
    </row>
    <row r="3180" spans="1:12" ht="17.100000000000001" customHeight="1">
      <c r="A3180" s="616" t="s">
        <v>14168</v>
      </c>
      <c r="B3180" s="617" t="s">
        <v>13581</v>
      </c>
      <c r="C3180" s="616" t="s">
        <v>8</v>
      </c>
      <c r="D3180" s="616" t="s">
        <v>1240</v>
      </c>
      <c r="E3180" s="618" t="s">
        <v>12725</v>
      </c>
      <c r="F3180" s="617"/>
      <c r="G3180" s="617"/>
      <c r="H3180" s="617"/>
      <c r="I3180" s="617"/>
      <c r="J3180" s="617"/>
      <c r="K3180" s="617"/>
      <c r="L3180" s="617"/>
    </row>
    <row r="3181" spans="1:12" ht="17.100000000000001" customHeight="1">
      <c r="A3181" s="802" t="s">
        <v>12711</v>
      </c>
      <c r="B3181" s="802"/>
      <c r="C3181" s="802"/>
      <c r="D3181" s="802"/>
      <c r="E3181" s="802"/>
      <c r="F3181" s="802"/>
      <c r="G3181" s="802"/>
      <c r="H3181" s="802"/>
      <c r="I3181" s="612"/>
      <c r="J3181" s="612"/>
      <c r="K3181" s="612"/>
      <c r="L3181" s="612"/>
    </row>
    <row r="3182" spans="1:12" ht="17.100000000000001" customHeight="1">
      <c r="A3182" s="612" t="s">
        <v>13679</v>
      </c>
      <c r="B3182" s="636" t="s">
        <v>12698</v>
      </c>
      <c r="C3182" s="612" t="s">
        <v>12699</v>
      </c>
      <c r="D3182" s="612" t="s">
        <v>12700</v>
      </c>
      <c r="E3182" s="637" t="s">
        <v>12702</v>
      </c>
      <c r="F3182" s="801" t="s">
        <v>12704</v>
      </c>
      <c r="G3182" s="801"/>
      <c r="H3182" s="801" t="s">
        <v>13678</v>
      </c>
      <c r="I3182" s="801"/>
      <c r="J3182" s="801" t="s">
        <v>12705</v>
      </c>
      <c r="K3182" s="801"/>
      <c r="L3182" s="801"/>
    </row>
    <row r="3183" spans="1:12" ht="17.100000000000001" customHeight="1">
      <c r="A3183" s="626" t="s">
        <v>12709</v>
      </c>
      <c r="B3183" s="627" t="s">
        <v>13052</v>
      </c>
      <c r="C3183" s="626" t="s">
        <v>8</v>
      </c>
      <c r="D3183" s="626" t="s">
        <v>9229</v>
      </c>
      <c r="E3183" s="628" t="s">
        <v>23</v>
      </c>
      <c r="F3183" s="816" t="s">
        <v>13692</v>
      </c>
      <c r="G3183" s="816"/>
      <c r="H3183" s="816">
        <v>0.30900559999999999</v>
      </c>
      <c r="I3183" s="816"/>
      <c r="J3183" s="817">
        <v>0.29659999999999997</v>
      </c>
      <c r="K3183" s="817"/>
      <c r="L3183" s="817"/>
    </row>
    <row r="3184" spans="1:12" ht="17.100000000000001" customHeight="1">
      <c r="A3184" s="626" t="s">
        <v>12709</v>
      </c>
      <c r="B3184" s="627" t="s">
        <v>13051</v>
      </c>
      <c r="C3184" s="626" t="s">
        <v>8</v>
      </c>
      <c r="D3184" s="626" t="s">
        <v>9376</v>
      </c>
      <c r="E3184" s="628" t="s">
        <v>23</v>
      </c>
      <c r="F3184" s="816" t="s">
        <v>13691</v>
      </c>
      <c r="G3184" s="816"/>
      <c r="H3184" s="816">
        <v>0.30900559999999999</v>
      </c>
      <c r="I3184" s="816"/>
      <c r="J3184" s="817">
        <v>0.1545</v>
      </c>
      <c r="K3184" s="817"/>
      <c r="L3184" s="817"/>
    </row>
    <row r="3185" spans="1:12" ht="17.100000000000001" customHeight="1">
      <c r="A3185" s="626" t="s">
        <v>12709</v>
      </c>
      <c r="B3185" s="627" t="s">
        <v>13048</v>
      </c>
      <c r="C3185" s="626" t="s">
        <v>8</v>
      </c>
      <c r="D3185" s="626" t="s">
        <v>9233</v>
      </c>
      <c r="E3185" s="628" t="s">
        <v>23</v>
      </c>
      <c r="F3185" s="816" t="s">
        <v>13690</v>
      </c>
      <c r="G3185" s="816"/>
      <c r="H3185" s="816">
        <v>0.16945470000000001</v>
      </c>
      <c r="I3185" s="816"/>
      <c r="J3185" s="817">
        <v>0.17280000000000001</v>
      </c>
      <c r="K3185" s="817"/>
      <c r="L3185" s="817"/>
    </row>
    <row r="3186" spans="1:12" ht="30" customHeight="1">
      <c r="A3186" s="626" t="s">
        <v>12709</v>
      </c>
      <c r="B3186" s="627" t="s">
        <v>13047</v>
      </c>
      <c r="C3186" s="626" t="s">
        <v>8</v>
      </c>
      <c r="D3186" s="626" t="s">
        <v>9380</v>
      </c>
      <c r="E3186" s="628" t="s">
        <v>23</v>
      </c>
      <c r="F3186" s="816" t="s">
        <v>13689</v>
      </c>
      <c r="G3186" s="816"/>
      <c r="H3186" s="816">
        <v>0.16945470000000001</v>
      </c>
      <c r="I3186" s="816"/>
      <c r="J3186" s="817">
        <v>6.4399999999999999E-2</v>
      </c>
      <c r="K3186" s="817"/>
      <c r="L3186" s="817"/>
    </row>
    <row r="3187" spans="1:12" ht="48" customHeight="1">
      <c r="A3187" s="636"/>
      <c r="B3187" s="636"/>
      <c r="C3187" s="636"/>
      <c r="D3187" s="636"/>
      <c r="E3187" s="636"/>
      <c r="F3187" s="636"/>
      <c r="G3187" s="636"/>
      <c r="H3187" s="636"/>
      <c r="I3187" s="636"/>
      <c r="J3187" s="636" t="s">
        <v>13675</v>
      </c>
      <c r="K3187" s="636"/>
      <c r="L3187" s="636" t="s">
        <v>13963</v>
      </c>
    </row>
    <row r="3188" spans="1:12" ht="14.25" customHeight="1">
      <c r="A3188" s="802" t="s">
        <v>12710</v>
      </c>
      <c r="B3188" s="802"/>
      <c r="C3188" s="802"/>
      <c r="D3188" s="802"/>
      <c r="E3188" s="802"/>
      <c r="F3188" s="802"/>
      <c r="G3188" s="802"/>
      <c r="H3188" s="802"/>
      <c r="I3188" s="612"/>
      <c r="J3188" s="612"/>
      <c r="K3188" s="612"/>
      <c r="L3188" s="612"/>
    </row>
    <row r="3189" spans="1:12" ht="17.100000000000001" customHeight="1">
      <c r="A3189" s="612" t="s">
        <v>13679</v>
      </c>
      <c r="B3189" s="636" t="s">
        <v>12698</v>
      </c>
      <c r="C3189" s="612" t="s">
        <v>12699</v>
      </c>
      <c r="D3189" s="612" t="s">
        <v>12700</v>
      </c>
      <c r="E3189" s="637" t="s">
        <v>12702</v>
      </c>
      <c r="F3189" s="801" t="s">
        <v>12704</v>
      </c>
      <c r="G3189" s="801"/>
      <c r="H3189" s="801" t="s">
        <v>13678</v>
      </c>
      <c r="I3189" s="801"/>
      <c r="J3189" s="801" t="s">
        <v>12705</v>
      </c>
      <c r="K3189" s="801"/>
      <c r="L3189" s="801"/>
    </row>
    <row r="3190" spans="1:12" ht="36" customHeight="1">
      <c r="A3190" s="626" t="s">
        <v>12709</v>
      </c>
      <c r="B3190" s="627" t="s">
        <v>13216</v>
      </c>
      <c r="C3190" s="626" t="s">
        <v>8</v>
      </c>
      <c r="D3190" s="626" t="s">
        <v>7609</v>
      </c>
      <c r="E3190" s="628" t="s">
        <v>23</v>
      </c>
      <c r="F3190" s="816" t="s">
        <v>14470</v>
      </c>
      <c r="G3190" s="816"/>
      <c r="H3190" s="816">
        <v>0.31245010000000001</v>
      </c>
      <c r="I3190" s="816"/>
      <c r="J3190" s="817">
        <v>2.1589999999999998</v>
      </c>
      <c r="K3190" s="817"/>
      <c r="L3190" s="817"/>
    </row>
    <row r="3191" spans="1:12" ht="24" customHeight="1">
      <c r="A3191" s="626" t="s">
        <v>12709</v>
      </c>
      <c r="B3191" s="627" t="s">
        <v>13046</v>
      </c>
      <c r="C3191" s="626" t="s">
        <v>8</v>
      </c>
      <c r="D3191" s="626" t="s">
        <v>11281</v>
      </c>
      <c r="E3191" s="628" t="s">
        <v>23</v>
      </c>
      <c r="F3191" s="816" t="s">
        <v>13731</v>
      </c>
      <c r="G3191" s="816"/>
      <c r="H3191" s="816">
        <v>0.17208989999999999</v>
      </c>
      <c r="I3191" s="816"/>
      <c r="J3191" s="817">
        <v>0.88449999999999995</v>
      </c>
      <c r="K3191" s="817"/>
      <c r="L3191" s="817"/>
    </row>
    <row r="3192" spans="1:12" ht="24" customHeight="1">
      <c r="A3192" s="636"/>
      <c r="B3192" s="636"/>
      <c r="C3192" s="636"/>
      <c r="D3192" s="636"/>
      <c r="E3192" s="636"/>
      <c r="F3192" s="636"/>
      <c r="G3192" s="636"/>
      <c r="H3192" s="636"/>
      <c r="I3192" s="636"/>
      <c r="J3192" s="636" t="s">
        <v>13675</v>
      </c>
      <c r="K3192" s="636"/>
      <c r="L3192" s="636" t="s">
        <v>14116</v>
      </c>
    </row>
    <row r="3193" spans="1:12" ht="24" customHeight="1">
      <c r="A3193" s="802" t="s">
        <v>12720</v>
      </c>
      <c r="B3193" s="802"/>
      <c r="C3193" s="802"/>
      <c r="D3193" s="802"/>
      <c r="E3193" s="802"/>
      <c r="F3193" s="802"/>
      <c r="G3193" s="802"/>
      <c r="H3193" s="802"/>
      <c r="I3193" s="612"/>
      <c r="J3193" s="612"/>
      <c r="K3193" s="612"/>
      <c r="L3193" s="612"/>
    </row>
    <row r="3194" spans="1:12" ht="24" customHeight="1">
      <c r="A3194" s="612" t="s">
        <v>13679</v>
      </c>
      <c r="B3194" s="636" t="s">
        <v>12698</v>
      </c>
      <c r="C3194" s="612" t="s">
        <v>12699</v>
      </c>
      <c r="D3194" s="612" t="s">
        <v>12700</v>
      </c>
      <c r="E3194" s="637" t="s">
        <v>12702</v>
      </c>
      <c r="F3194" s="801" t="s">
        <v>12704</v>
      </c>
      <c r="G3194" s="801"/>
      <c r="H3194" s="801" t="s">
        <v>13678</v>
      </c>
      <c r="I3194" s="801"/>
      <c r="J3194" s="801" t="s">
        <v>12705</v>
      </c>
      <c r="K3194" s="801"/>
      <c r="L3194" s="801"/>
    </row>
    <row r="3195" spans="1:12" ht="24" customHeight="1">
      <c r="A3195" s="626" t="s">
        <v>12709</v>
      </c>
      <c r="B3195" s="627" t="s">
        <v>12797</v>
      </c>
      <c r="C3195" s="626" t="s">
        <v>8</v>
      </c>
      <c r="D3195" s="626" t="s">
        <v>7530</v>
      </c>
      <c r="E3195" s="628" t="s">
        <v>20</v>
      </c>
      <c r="F3195" s="816" t="s">
        <v>13738</v>
      </c>
      <c r="G3195" s="816"/>
      <c r="H3195" s="816">
        <v>8.6199999999999992</v>
      </c>
      <c r="I3195" s="816"/>
      <c r="J3195" s="817">
        <v>5.6</v>
      </c>
      <c r="K3195" s="817"/>
      <c r="L3195" s="817"/>
    </row>
    <row r="3196" spans="1:12" ht="24" customHeight="1">
      <c r="A3196" s="626" t="s">
        <v>12709</v>
      </c>
      <c r="B3196" s="627" t="s">
        <v>13579</v>
      </c>
      <c r="C3196" s="626" t="s">
        <v>8</v>
      </c>
      <c r="D3196" s="626" t="s">
        <v>10810</v>
      </c>
      <c r="E3196" s="628" t="s">
        <v>12725</v>
      </c>
      <c r="F3196" s="816" t="s">
        <v>14743</v>
      </c>
      <c r="G3196" s="816"/>
      <c r="H3196" s="816">
        <v>1.07</v>
      </c>
      <c r="I3196" s="816"/>
      <c r="J3196" s="817">
        <v>35.979999999999997</v>
      </c>
      <c r="K3196" s="817"/>
      <c r="L3196" s="817"/>
    </row>
    <row r="3197" spans="1:12" ht="24" customHeight="1">
      <c r="A3197" s="626" t="s">
        <v>12709</v>
      </c>
      <c r="B3197" s="627" t="s">
        <v>13569</v>
      </c>
      <c r="C3197" s="626" t="s">
        <v>8</v>
      </c>
      <c r="D3197" s="626" t="s">
        <v>11173</v>
      </c>
      <c r="E3197" s="628" t="s">
        <v>20</v>
      </c>
      <c r="F3197" s="816" t="s">
        <v>14736</v>
      </c>
      <c r="G3197" s="816"/>
      <c r="H3197" s="816">
        <v>0.14000000000000001</v>
      </c>
      <c r="I3197" s="816"/>
      <c r="J3197" s="817">
        <v>0.56999999999999995</v>
      </c>
      <c r="K3197" s="817"/>
      <c r="L3197" s="817"/>
    </row>
    <row r="3198" spans="1:12" ht="24" customHeight="1">
      <c r="A3198" s="636"/>
      <c r="B3198" s="636"/>
      <c r="C3198" s="636"/>
      <c r="D3198" s="636"/>
      <c r="E3198" s="636"/>
      <c r="F3198" s="636"/>
      <c r="G3198" s="636"/>
      <c r="H3198" s="636"/>
      <c r="I3198" s="636"/>
      <c r="J3198" s="636" t="s">
        <v>13675</v>
      </c>
      <c r="K3198" s="636"/>
      <c r="L3198" s="636" t="s">
        <v>14744</v>
      </c>
    </row>
    <row r="3199" spans="1:12" ht="17.100000000000001" customHeight="1">
      <c r="A3199" s="802" t="s">
        <v>12722</v>
      </c>
      <c r="B3199" s="802"/>
      <c r="C3199" s="802"/>
      <c r="D3199" s="802"/>
      <c r="E3199" s="802"/>
      <c r="F3199" s="802"/>
      <c r="G3199" s="802"/>
      <c r="H3199" s="802"/>
      <c r="I3199" s="612"/>
      <c r="J3199" s="612"/>
      <c r="K3199" s="612"/>
      <c r="L3199" s="612"/>
    </row>
    <row r="3200" spans="1:12" ht="14.25" customHeight="1">
      <c r="A3200" s="612" t="s">
        <v>13679</v>
      </c>
      <c r="B3200" s="636" t="s">
        <v>12698</v>
      </c>
      <c r="C3200" s="612" t="s">
        <v>12699</v>
      </c>
      <c r="D3200" s="612" t="s">
        <v>12700</v>
      </c>
      <c r="E3200" s="637" t="s">
        <v>12702</v>
      </c>
      <c r="F3200" s="801" t="s">
        <v>12704</v>
      </c>
      <c r="G3200" s="801"/>
      <c r="H3200" s="801" t="s">
        <v>13678</v>
      </c>
      <c r="I3200" s="801"/>
      <c r="J3200" s="801" t="s">
        <v>12705</v>
      </c>
      <c r="K3200" s="801"/>
      <c r="L3200" s="801"/>
    </row>
    <row r="3201" spans="1:12" ht="17.100000000000001" customHeight="1">
      <c r="A3201" s="626" t="s">
        <v>12709</v>
      </c>
      <c r="B3201" s="627" t="s">
        <v>12998</v>
      </c>
      <c r="C3201" s="626" t="s">
        <v>8</v>
      </c>
      <c r="D3201" s="626" t="s">
        <v>11861</v>
      </c>
      <c r="E3201" s="628" t="s">
        <v>23</v>
      </c>
      <c r="F3201" s="816" t="s">
        <v>13683</v>
      </c>
      <c r="G3201" s="816"/>
      <c r="H3201" s="816">
        <v>0.47846030000000001</v>
      </c>
      <c r="I3201" s="816"/>
      <c r="J3201" s="817">
        <v>0.3397</v>
      </c>
      <c r="K3201" s="817"/>
      <c r="L3201" s="817"/>
    </row>
    <row r="3202" spans="1:12" ht="24" customHeight="1">
      <c r="A3202" s="636"/>
      <c r="B3202" s="636"/>
      <c r="C3202" s="636"/>
      <c r="D3202" s="636"/>
      <c r="E3202" s="636"/>
      <c r="F3202" s="636"/>
      <c r="G3202" s="636"/>
      <c r="H3202" s="636"/>
      <c r="I3202" s="636"/>
      <c r="J3202" s="636" t="s">
        <v>13675</v>
      </c>
      <c r="K3202" s="636"/>
      <c r="L3202" s="636" t="s">
        <v>13740</v>
      </c>
    </row>
    <row r="3203" spans="1:12" ht="24" customHeight="1">
      <c r="A3203" s="802" t="s">
        <v>12713</v>
      </c>
      <c r="B3203" s="802"/>
      <c r="C3203" s="802"/>
      <c r="D3203" s="802"/>
      <c r="E3203" s="802"/>
      <c r="F3203" s="802"/>
      <c r="G3203" s="802"/>
      <c r="H3203" s="802"/>
      <c r="I3203" s="612"/>
      <c r="J3203" s="612"/>
      <c r="K3203" s="612"/>
      <c r="L3203" s="612"/>
    </row>
    <row r="3204" spans="1:12" ht="24" customHeight="1">
      <c r="A3204" s="612" t="s">
        <v>13679</v>
      </c>
      <c r="B3204" s="636" t="s">
        <v>12698</v>
      </c>
      <c r="C3204" s="612" t="s">
        <v>12699</v>
      </c>
      <c r="D3204" s="612" t="s">
        <v>12700</v>
      </c>
      <c r="E3204" s="637" t="s">
        <v>12702</v>
      </c>
      <c r="F3204" s="801" t="s">
        <v>12704</v>
      </c>
      <c r="G3204" s="801"/>
      <c r="H3204" s="801" t="s">
        <v>13678</v>
      </c>
      <c r="I3204" s="801"/>
      <c r="J3204" s="801" t="s">
        <v>12705</v>
      </c>
      <c r="K3204" s="801"/>
      <c r="L3204" s="801"/>
    </row>
    <row r="3205" spans="1:12" ht="24" customHeight="1">
      <c r="A3205" s="626" t="s">
        <v>12709</v>
      </c>
      <c r="B3205" s="627" t="s">
        <v>12999</v>
      </c>
      <c r="C3205" s="626" t="s">
        <v>8</v>
      </c>
      <c r="D3205" s="626" t="s">
        <v>11251</v>
      </c>
      <c r="E3205" s="628" t="s">
        <v>23</v>
      </c>
      <c r="F3205" s="816" t="s">
        <v>13681</v>
      </c>
      <c r="G3205" s="816"/>
      <c r="H3205" s="816">
        <v>0.47846030000000001</v>
      </c>
      <c r="I3205" s="816"/>
      <c r="J3205" s="817">
        <v>3.3500000000000002E-2</v>
      </c>
      <c r="K3205" s="817"/>
      <c r="L3205" s="817"/>
    </row>
    <row r="3206" spans="1:12" ht="17.100000000000001" customHeight="1">
      <c r="A3206" s="636"/>
      <c r="B3206" s="636"/>
      <c r="C3206" s="636"/>
      <c r="D3206" s="636"/>
      <c r="E3206" s="636"/>
      <c r="F3206" s="636"/>
      <c r="G3206" s="636"/>
      <c r="H3206" s="636"/>
      <c r="I3206" s="636"/>
      <c r="J3206" s="636" t="s">
        <v>13675</v>
      </c>
      <c r="K3206" s="636"/>
      <c r="L3206" s="636" t="s">
        <v>13726</v>
      </c>
    </row>
    <row r="3207" spans="1:12">
      <c r="A3207" s="802" t="s">
        <v>12712</v>
      </c>
      <c r="B3207" s="802"/>
      <c r="C3207" s="802"/>
      <c r="D3207" s="802"/>
      <c r="E3207" s="802"/>
      <c r="F3207" s="802"/>
      <c r="G3207" s="802"/>
      <c r="H3207" s="802"/>
      <c r="I3207" s="612"/>
      <c r="J3207" s="612"/>
      <c r="K3207" s="612"/>
      <c r="L3207" s="612"/>
    </row>
    <row r="3208" spans="1:12" ht="17.100000000000001" customHeight="1">
      <c r="A3208" s="612" t="s">
        <v>13679</v>
      </c>
      <c r="B3208" s="636" t="s">
        <v>12698</v>
      </c>
      <c r="C3208" s="612" t="s">
        <v>12699</v>
      </c>
      <c r="D3208" s="612" t="s">
        <v>12700</v>
      </c>
      <c r="E3208" s="637" t="s">
        <v>12702</v>
      </c>
      <c r="F3208" s="801" t="s">
        <v>12704</v>
      </c>
      <c r="G3208" s="801"/>
      <c r="H3208" s="801" t="s">
        <v>13678</v>
      </c>
      <c r="I3208" s="801"/>
      <c r="J3208" s="801" t="s">
        <v>12705</v>
      </c>
      <c r="K3208" s="801"/>
      <c r="L3208" s="801"/>
    </row>
    <row r="3209" spans="1:12" ht="24" customHeight="1">
      <c r="A3209" s="626" t="s">
        <v>12709</v>
      </c>
      <c r="B3209" s="627" t="s">
        <v>13002</v>
      </c>
      <c r="C3209" s="626" t="s">
        <v>8</v>
      </c>
      <c r="D3209" s="626" t="s">
        <v>9306</v>
      </c>
      <c r="E3209" s="628" t="s">
        <v>23</v>
      </c>
      <c r="F3209" s="816" t="s">
        <v>13677</v>
      </c>
      <c r="G3209" s="816"/>
      <c r="H3209" s="816">
        <v>0.47846030000000001</v>
      </c>
      <c r="I3209" s="816"/>
      <c r="J3209" s="817">
        <v>0.16750000000000001</v>
      </c>
      <c r="K3209" s="817"/>
      <c r="L3209" s="817"/>
    </row>
    <row r="3210" spans="1:12" ht="24" customHeight="1">
      <c r="A3210" s="626" t="s">
        <v>12709</v>
      </c>
      <c r="B3210" s="627" t="s">
        <v>13004</v>
      </c>
      <c r="C3210" s="626" t="s">
        <v>8</v>
      </c>
      <c r="D3210" s="626" t="s">
        <v>7388</v>
      </c>
      <c r="E3210" s="628" t="s">
        <v>23</v>
      </c>
      <c r="F3210" s="816" t="s">
        <v>13676</v>
      </c>
      <c r="G3210" s="816"/>
      <c r="H3210" s="816">
        <v>0.47846030000000001</v>
      </c>
      <c r="I3210" s="816"/>
      <c r="J3210" s="817">
        <v>1.0526</v>
      </c>
      <c r="K3210" s="817"/>
      <c r="L3210" s="817"/>
    </row>
    <row r="3211" spans="1:12" ht="36" customHeight="1">
      <c r="A3211" s="636"/>
      <c r="B3211" s="636"/>
      <c r="C3211" s="636"/>
      <c r="D3211" s="636"/>
      <c r="E3211" s="636"/>
      <c r="F3211" s="636"/>
      <c r="G3211" s="636"/>
      <c r="H3211" s="636"/>
      <c r="I3211" s="636"/>
      <c r="J3211" s="636" t="s">
        <v>13675</v>
      </c>
      <c r="K3211" s="636"/>
      <c r="L3211" s="636" t="s">
        <v>14016</v>
      </c>
    </row>
    <row r="3212" spans="1:12" ht="24" customHeight="1">
      <c r="A3212" s="612" t="s">
        <v>13673</v>
      </c>
      <c r="B3212" s="612"/>
      <c r="C3212" s="612"/>
      <c r="D3212" s="612"/>
      <c r="E3212" s="612"/>
      <c r="F3212" s="612"/>
      <c r="G3212" s="612"/>
      <c r="H3212" s="612"/>
      <c r="I3212" s="612"/>
      <c r="J3212" s="612"/>
      <c r="K3212" s="612"/>
      <c r="L3212" s="612"/>
    </row>
    <row r="3213" spans="1:12" ht="24" customHeight="1">
      <c r="A3213" s="636"/>
      <c r="B3213" s="636"/>
      <c r="C3213" s="636"/>
      <c r="D3213" s="636"/>
      <c r="E3213" s="636"/>
      <c r="F3213" s="636"/>
      <c r="G3213" s="636"/>
      <c r="H3213" s="636"/>
      <c r="I3213" s="636"/>
      <c r="J3213" s="636" t="s">
        <v>13672</v>
      </c>
      <c r="K3213" s="636"/>
      <c r="L3213" s="636" t="s">
        <v>15163</v>
      </c>
    </row>
    <row r="3214" spans="1:12" ht="24" customHeight="1">
      <c r="A3214" s="636"/>
      <c r="B3214" s="636"/>
      <c r="C3214" s="636"/>
      <c r="D3214" s="636"/>
      <c r="E3214" s="636"/>
      <c r="F3214" s="636"/>
      <c r="G3214" s="636"/>
      <c r="H3214" s="636"/>
      <c r="I3214" s="636"/>
      <c r="J3214" s="636" t="s">
        <v>13671</v>
      </c>
      <c r="K3214" s="636" t="s">
        <v>14461</v>
      </c>
      <c r="L3214" s="636" t="s">
        <v>15164</v>
      </c>
    </row>
    <row r="3215" spans="1:12" ht="24" customHeight="1">
      <c r="A3215" s="636"/>
      <c r="B3215" s="636"/>
      <c r="C3215" s="636"/>
      <c r="D3215" s="636"/>
      <c r="E3215" s="636"/>
      <c r="F3215" s="636"/>
      <c r="G3215" s="636"/>
      <c r="H3215" s="636"/>
      <c r="I3215" s="636"/>
      <c r="J3215" s="636" t="s">
        <v>13670</v>
      </c>
      <c r="K3215" s="636"/>
      <c r="L3215" s="636" t="s">
        <v>15165</v>
      </c>
    </row>
    <row r="3216" spans="1:12" ht="17.100000000000001" customHeight="1">
      <c r="A3216" s="636"/>
      <c r="B3216" s="636"/>
      <c r="C3216" s="636"/>
      <c r="D3216" s="636"/>
      <c r="E3216" s="636"/>
      <c r="F3216" s="636"/>
      <c r="G3216" s="636"/>
      <c r="H3216" s="636"/>
      <c r="I3216" s="636"/>
      <c r="J3216" s="636" t="s">
        <v>13669</v>
      </c>
      <c r="K3216" s="636" t="s">
        <v>13667</v>
      </c>
      <c r="L3216" s="636" t="s">
        <v>15166</v>
      </c>
    </row>
    <row r="3217" spans="1:12">
      <c r="A3217" s="636"/>
      <c r="B3217" s="636"/>
      <c r="C3217" s="636"/>
      <c r="D3217" s="636"/>
      <c r="E3217" s="636"/>
      <c r="F3217" s="636"/>
      <c r="G3217" s="636"/>
      <c r="H3217" s="636"/>
      <c r="I3217" s="636"/>
      <c r="J3217" s="636" t="s">
        <v>13668</v>
      </c>
      <c r="K3217" s="636"/>
      <c r="L3217" s="636" t="s">
        <v>15167</v>
      </c>
    </row>
    <row r="3218" spans="1:12" ht="17.100000000000001" customHeight="1">
      <c r="A3218" s="637"/>
      <c r="B3218" s="637"/>
      <c r="C3218" s="637"/>
      <c r="D3218" s="637"/>
      <c r="E3218" s="637"/>
      <c r="F3218" s="637"/>
      <c r="G3218" s="637"/>
      <c r="H3218" s="637"/>
      <c r="I3218" s="637"/>
      <c r="J3218" s="637"/>
      <c r="K3218" s="637"/>
      <c r="L3218" s="637"/>
    </row>
    <row r="3219" spans="1:12" ht="24" customHeight="1">
      <c r="A3219" s="616" t="s">
        <v>14166</v>
      </c>
      <c r="B3219" s="617" t="s">
        <v>13580</v>
      </c>
      <c r="C3219" s="616" t="s">
        <v>8</v>
      </c>
      <c r="D3219" s="616" t="s">
        <v>1570</v>
      </c>
      <c r="E3219" s="618" t="s">
        <v>17</v>
      </c>
      <c r="F3219" s="617"/>
      <c r="G3219" s="617"/>
      <c r="H3219" s="617"/>
      <c r="I3219" s="617"/>
      <c r="J3219" s="617"/>
      <c r="K3219" s="617"/>
      <c r="L3219" s="617"/>
    </row>
    <row r="3220" spans="1:12" ht="17.100000000000001" customHeight="1">
      <c r="A3220" s="802" t="s">
        <v>12711</v>
      </c>
      <c r="B3220" s="802"/>
      <c r="C3220" s="802"/>
      <c r="D3220" s="802"/>
      <c r="E3220" s="802"/>
      <c r="F3220" s="802"/>
      <c r="G3220" s="802"/>
      <c r="H3220" s="802"/>
      <c r="I3220" s="612"/>
      <c r="J3220" s="612"/>
      <c r="K3220" s="612"/>
      <c r="L3220" s="612"/>
    </row>
    <row r="3221" spans="1:12">
      <c r="A3221" s="612" t="s">
        <v>13679</v>
      </c>
      <c r="B3221" s="636" t="s">
        <v>12698</v>
      </c>
      <c r="C3221" s="612" t="s">
        <v>12699</v>
      </c>
      <c r="D3221" s="612" t="s">
        <v>12700</v>
      </c>
      <c r="E3221" s="637" t="s">
        <v>12702</v>
      </c>
      <c r="F3221" s="801" t="s">
        <v>12704</v>
      </c>
      <c r="G3221" s="801"/>
      <c r="H3221" s="801" t="s">
        <v>13678</v>
      </c>
      <c r="I3221" s="801"/>
      <c r="J3221" s="801" t="s">
        <v>12705</v>
      </c>
      <c r="K3221" s="801"/>
      <c r="L3221" s="801"/>
    </row>
    <row r="3222" spans="1:12" ht="17.100000000000001" customHeight="1">
      <c r="A3222" s="626" t="s">
        <v>12709</v>
      </c>
      <c r="B3222" s="627" t="s">
        <v>13052</v>
      </c>
      <c r="C3222" s="626" t="s">
        <v>8</v>
      </c>
      <c r="D3222" s="626" t="s">
        <v>9229</v>
      </c>
      <c r="E3222" s="628" t="s">
        <v>23</v>
      </c>
      <c r="F3222" s="816" t="s">
        <v>13692</v>
      </c>
      <c r="G3222" s="816"/>
      <c r="H3222" s="816">
        <v>8.3590499999999998E-2</v>
      </c>
      <c r="I3222" s="816"/>
      <c r="J3222" s="817">
        <v>8.0199999999999994E-2</v>
      </c>
      <c r="K3222" s="817"/>
      <c r="L3222" s="817"/>
    </row>
    <row r="3223" spans="1:12" ht="24" customHeight="1">
      <c r="A3223" s="626" t="s">
        <v>12709</v>
      </c>
      <c r="B3223" s="627" t="s">
        <v>13051</v>
      </c>
      <c r="C3223" s="626" t="s">
        <v>8</v>
      </c>
      <c r="D3223" s="626" t="s">
        <v>9376</v>
      </c>
      <c r="E3223" s="628" t="s">
        <v>23</v>
      </c>
      <c r="F3223" s="816" t="s">
        <v>13691</v>
      </c>
      <c r="G3223" s="816"/>
      <c r="H3223" s="816">
        <v>8.3590499999999998E-2</v>
      </c>
      <c r="I3223" s="816"/>
      <c r="J3223" s="817">
        <v>4.1799999999999997E-2</v>
      </c>
      <c r="K3223" s="817"/>
      <c r="L3223" s="817"/>
    </row>
    <row r="3224" spans="1:12" ht="17.100000000000001" customHeight="1">
      <c r="A3224" s="626" t="s">
        <v>12709</v>
      </c>
      <c r="B3224" s="627" t="s">
        <v>13048</v>
      </c>
      <c r="C3224" s="626" t="s">
        <v>8</v>
      </c>
      <c r="D3224" s="626" t="s">
        <v>9233</v>
      </c>
      <c r="E3224" s="628" t="s">
        <v>23</v>
      </c>
      <c r="F3224" s="816" t="s">
        <v>13690</v>
      </c>
      <c r="G3224" s="816"/>
      <c r="H3224" s="816">
        <v>3.04859E-2</v>
      </c>
      <c r="I3224" s="816"/>
      <c r="J3224" s="817">
        <v>3.1099999999999999E-2</v>
      </c>
      <c r="K3224" s="817"/>
      <c r="L3224" s="817"/>
    </row>
    <row r="3225" spans="1:12" ht="25.5">
      <c r="A3225" s="626" t="s">
        <v>12709</v>
      </c>
      <c r="B3225" s="627" t="s">
        <v>13047</v>
      </c>
      <c r="C3225" s="626" t="s">
        <v>8</v>
      </c>
      <c r="D3225" s="626" t="s">
        <v>9380</v>
      </c>
      <c r="E3225" s="628" t="s">
        <v>23</v>
      </c>
      <c r="F3225" s="816" t="s">
        <v>13689</v>
      </c>
      <c r="G3225" s="816"/>
      <c r="H3225" s="816">
        <v>3.04859E-2</v>
      </c>
      <c r="I3225" s="816"/>
      <c r="J3225" s="817">
        <v>1.1599999999999999E-2</v>
      </c>
      <c r="K3225" s="817"/>
      <c r="L3225" s="817"/>
    </row>
    <row r="3226" spans="1:12" ht="17.100000000000001" customHeight="1">
      <c r="A3226" s="636"/>
      <c r="B3226" s="636"/>
      <c r="C3226" s="636"/>
      <c r="D3226" s="636"/>
      <c r="E3226" s="636"/>
      <c r="F3226" s="636"/>
      <c r="G3226" s="636"/>
      <c r="H3226" s="636"/>
      <c r="I3226" s="636"/>
      <c r="J3226" s="636" t="s">
        <v>13675</v>
      </c>
      <c r="K3226" s="636"/>
      <c r="L3226" s="636" t="s">
        <v>13850</v>
      </c>
    </row>
    <row r="3227" spans="1:12" ht="24" customHeight="1">
      <c r="A3227" s="802" t="s">
        <v>12710</v>
      </c>
      <c r="B3227" s="802"/>
      <c r="C3227" s="802"/>
      <c r="D3227" s="802"/>
      <c r="E3227" s="802"/>
      <c r="F3227" s="802"/>
      <c r="G3227" s="802"/>
      <c r="H3227" s="802"/>
      <c r="I3227" s="612"/>
      <c r="J3227" s="612"/>
      <c r="K3227" s="612"/>
      <c r="L3227" s="612"/>
    </row>
    <row r="3228" spans="1:12" ht="24" customHeight="1">
      <c r="A3228" s="612" t="s">
        <v>13679</v>
      </c>
      <c r="B3228" s="636" t="s">
        <v>12698</v>
      </c>
      <c r="C3228" s="612" t="s">
        <v>12699</v>
      </c>
      <c r="D3228" s="612" t="s">
        <v>12700</v>
      </c>
      <c r="E3228" s="637" t="s">
        <v>12702</v>
      </c>
      <c r="F3228" s="801" t="s">
        <v>12704</v>
      </c>
      <c r="G3228" s="801"/>
      <c r="H3228" s="801" t="s">
        <v>13678</v>
      </c>
      <c r="I3228" s="801"/>
      <c r="J3228" s="801" t="s">
        <v>12705</v>
      </c>
      <c r="K3228" s="801"/>
      <c r="L3228" s="801"/>
    </row>
    <row r="3229" spans="1:12" ht="17.100000000000001" customHeight="1">
      <c r="A3229" s="626" t="s">
        <v>12709</v>
      </c>
      <c r="B3229" s="627" t="s">
        <v>13216</v>
      </c>
      <c r="C3229" s="626" t="s">
        <v>8</v>
      </c>
      <c r="D3229" s="626" t="s">
        <v>7609</v>
      </c>
      <c r="E3229" s="628" t="s">
        <v>23</v>
      </c>
      <c r="F3229" s="816" t="s">
        <v>14470</v>
      </c>
      <c r="G3229" s="816"/>
      <c r="H3229" s="816">
        <v>8.4845599999999993E-2</v>
      </c>
      <c r="I3229" s="816"/>
      <c r="J3229" s="817">
        <v>0.58630000000000004</v>
      </c>
      <c r="K3229" s="817"/>
      <c r="L3229" s="817"/>
    </row>
    <row r="3230" spans="1:12" ht="17.100000000000001" customHeight="1">
      <c r="A3230" s="626" t="s">
        <v>12709</v>
      </c>
      <c r="B3230" s="627" t="s">
        <v>13046</v>
      </c>
      <c r="C3230" s="626" t="s">
        <v>8</v>
      </c>
      <c r="D3230" s="626" t="s">
        <v>11281</v>
      </c>
      <c r="E3230" s="628" t="s">
        <v>23</v>
      </c>
      <c r="F3230" s="816" t="s">
        <v>13731</v>
      </c>
      <c r="G3230" s="816"/>
      <c r="H3230" s="816">
        <v>3.1078499999999998E-2</v>
      </c>
      <c r="I3230" s="816"/>
      <c r="J3230" s="817">
        <v>0.15970000000000001</v>
      </c>
      <c r="K3230" s="817"/>
      <c r="L3230" s="817"/>
    </row>
    <row r="3231" spans="1:12" ht="17.100000000000001" customHeight="1">
      <c r="A3231" s="636"/>
      <c r="B3231" s="636"/>
      <c r="C3231" s="636"/>
      <c r="D3231" s="636"/>
      <c r="E3231" s="636"/>
      <c r="F3231" s="636"/>
      <c r="G3231" s="636"/>
      <c r="H3231" s="636"/>
      <c r="I3231" s="636"/>
      <c r="J3231" s="636" t="s">
        <v>13675</v>
      </c>
      <c r="K3231" s="636"/>
      <c r="L3231" s="636" t="s">
        <v>14088</v>
      </c>
    </row>
    <row r="3232" spans="1:12" ht="17.100000000000001" customHeight="1">
      <c r="A3232" s="802" t="s">
        <v>12720</v>
      </c>
      <c r="B3232" s="802"/>
      <c r="C3232" s="802"/>
      <c r="D3232" s="802"/>
      <c r="E3232" s="802"/>
      <c r="F3232" s="802"/>
      <c r="G3232" s="802"/>
      <c r="H3232" s="802"/>
      <c r="I3232" s="612"/>
      <c r="J3232" s="612"/>
      <c r="K3232" s="612"/>
      <c r="L3232" s="612"/>
    </row>
    <row r="3233" spans="1:12" ht="17.100000000000001" customHeight="1">
      <c r="A3233" s="612" t="s">
        <v>13679</v>
      </c>
      <c r="B3233" s="636" t="s">
        <v>12698</v>
      </c>
      <c r="C3233" s="612" t="s">
        <v>12699</v>
      </c>
      <c r="D3233" s="612" t="s">
        <v>12700</v>
      </c>
      <c r="E3233" s="637" t="s">
        <v>12702</v>
      </c>
      <c r="F3233" s="801" t="s">
        <v>12704</v>
      </c>
      <c r="G3233" s="801"/>
      <c r="H3233" s="801" t="s">
        <v>13678</v>
      </c>
      <c r="I3233" s="801"/>
      <c r="J3233" s="801" t="s">
        <v>12705</v>
      </c>
      <c r="K3233" s="801"/>
      <c r="L3233" s="801"/>
    </row>
    <row r="3234" spans="1:12" ht="17.100000000000001" customHeight="1">
      <c r="A3234" s="626" t="s">
        <v>12709</v>
      </c>
      <c r="B3234" s="627" t="s">
        <v>12797</v>
      </c>
      <c r="C3234" s="626" t="s">
        <v>8</v>
      </c>
      <c r="D3234" s="626" t="s">
        <v>7530</v>
      </c>
      <c r="E3234" s="628" t="s">
        <v>20</v>
      </c>
      <c r="F3234" s="816" t="s">
        <v>13738</v>
      </c>
      <c r="G3234" s="816"/>
      <c r="H3234" s="816">
        <v>0.60299999999999998</v>
      </c>
      <c r="I3234" s="816"/>
      <c r="J3234" s="817">
        <v>0.39</v>
      </c>
      <c r="K3234" s="817"/>
      <c r="L3234" s="817"/>
    </row>
    <row r="3235" spans="1:12" ht="17.100000000000001" customHeight="1">
      <c r="A3235" s="626" t="s">
        <v>12709</v>
      </c>
      <c r="B3235" s="627" t="s">
        <v>13579</v>
      </c>
      <c r="C3235" s="626" t="s">
        <v>8</v>
      </c>
      <c r="D3235" s="626" t="s">
        <v>10810</v>
      </c>
      <c r="E3235" s="628" t="s">
        <v>12725</v>
      </c>
      <c r="F3235" s="816" t="s">
        <v>14743</v>
      </c>
      <c r="G3235" s="816"/>
      <c r="H3235" s="816">
        <v>0.188</v>
      </c>
      <c r="I3235" s="816"/>
      <c r="J3235" s="817">
        <v>6.32</v>
      </c>
      <c r="K3235" s="817"/>
      <c r="L3235" s="817"/>
    </row>
    <row r="3236" spans="1:12" ht="30" customHeight="1">
      <c r="A3236" s="626" t="s">
        <v>12709</v>
      </c>
      <c r="B3236" s="627" t="s">
        <v>13569</v>
      </c>
      <c r="C3236" s="626" t="s">
        <v>8</v>
      </c>
      <c r="D3236" s="626" t="s">
        <v>11173</v>
      </c>
      <c r="E3236" s="628" t="s">
        <v>20</v>
      </c>
      <c r="F3236" s="816" t="s">
        <v>14736</v>
      </c>
      <c r="G3236" s="816"/>
      <c r="H3236" s="816">
        <v>8.4000000000000005E-2</v>
      </c>
      <c r="I3236" s="816"/>
      <c r="J3236" s="817">
        <v>0.34</v>
      </c>
      <c r="K3236" s="817"/>
      <c r="L3236" s="817"/>
    </row>
    <row r="3237" spans="1:12" ht="48" customHeight="1">
      <c r="A3237" s="636"/>
      <c r="B3237" s="636"/>
      <c r="C3237" s="636"/>
      <c r="D3237" s="636"/>
      <c r="E3237" s="636"/>
      <c r="F3237" s="636"/>
      <c r="G3237" s="636"/>
      <c r="H3237" s="636"/>
      <c r="I3237" s="636"/>
      <c r="J3237" s="636" t="s">
        <v>13675</v>
      </c>
      <c r="K3237" s="636"/>
      <c r="L3237" s="636" t="s">
        <v>14124</v>
      </c>
    </row>
    <row r="3238" spans="1:12" ht="14.25" customHeight="1">
      <c r="A3238" s="802" t="s">
        <v>12722</v>
      </c>
      <c r="B3238" s="802"/>
      <c r="C3238" s="802"/>
      <c r="D3238" s="802"/>
      <c r="E3238" s="802"/>
      <c r="F3238" s="802"/>
      <c r="G3238" s="802"/>
      <c r="H3238" s="802"/>
      <c r="I3238" s="612"/>
      <c r="J3238" s="612"/>
      <c r="K3238" s="612"/>
      <c r="L3238" s="612"/>
    </row>
    <row r="3239" spans="1:12" ht="17.100000000000001" customHeight="1">
      <c r="A3239" s="612" t="s">
        <v>13679</v>
      </c>
      <c r="B3239" s="636" t="s">
        <v>12698</v>
      </c>
      <c r="C3239" s="612" t="s">
        <v>12699</v>
      </c>
      <c r="D3239" s="612" t="s">
        <v>12700</v>
      </c>
      <c r="E3239" s="637" t="s">
        <v>12702</v>
      </c>
      <c r="F3239" s="801" t="s">
        <v>12704</v>
      </c>
      <c r="G3239" s="801"/>
      <c r="H3239" s="801" t="s">
        <v>13678</v>
      </c>
      <c r="I3239" s="801"/>
      <c r="J3239" s="801" t="s">
        <v>12705</v>
      </c>
      <c r="K3239" s="801"/>
      <c r="L3239" s="801"/>
    </row>
    <row r="3240" spans="1:12" ht="24" customHeight="1">
      <c r="A3240" s="626" t="s">
        <v>12709</v>
      </c>
      <c r="B3240" s="627" t="s">
        <v>12998</v>
      </c>
      <c r="C3240" s="626" t="s">
        <v>8</v>
      </c>
      <c r="D3240" s="626" t="s">
        <v>11861</v>
      </c>
      <c r="E3240" s="628" t="s">
        <v>23</v>
      </c>
      <c r="F3240" s="816" t="s">
        <v>13683</v>
      </c>
      <c r="G3240" s="816"/>
      <c r="H3240" s="816">
        <v>0.1140765</v>
      </c>
      <c r="I3240" s="816"/>
      <c r="J3240" s="817">
        <v>8.1000000000000003E-2</v>
      </c>
      <c r="K3240" s="817"/>
      <c r="L3240" s="817"/>
    </row>
    <row r="3241" spans="1:12" ht="24" customHeight="1">
      <c r="A3241" s="636"/>
      <c r="B3241" s="636"/>
      <c r="C3241" s="636"/>
      <c r="D3241" s="636"/>
      <c r="E3241" s="636"/>
      <c r="F3241" s="636"/>
      <c r="G3241" s="636"/>
      <c r="H3241" s="636"/>
      <c r="I3241" s="636"/>
      <c r="J3241" s="636" t="s">
        <v>13675</v>
      </c>
      <c r="K3241" s="636"/>
      <c r="L3241" s="636" t="s">
        <v>13892</v>
      </c>
    </row>
    <row r="3242" spans="1:12" ht="24" customHeight="1">
      <c r="A3242" s="802" t="s">
        <v>12713</v>
      </c>
      <c r="B3242" s="802"/>
      <c r="C3242" s="802"/>
      <c r="D3242" s="802"/>
      <c r="E3242" s="802"/>
      <c r="F3242" s="802"/>
      <c r="G3242" s="802"/>
      <c r="H3242" s="802"/>
      <c r="I3242" s="612"/>
      <c r="J3242" s="612"/>
      <c r="K3242" s="612"/>
      <c r="L3242" s="612"/>
    </row>
    <row r="3243" spans="1:12" ht="24" customHeight="1">
      <c r="A3243" s="612" t="s">
        <v>13679</v>
      </c>
      <c r="B3243" s="636" t="s">
        <v>12698</v>
      </c>
      <c r="C3243" s="612" t="s">
        <v>12699</v>
      </c>
      <c r="D3243" s="612" t="s">
        <v>12700</v>
      </c>
      <c r="E3243" s="637" t="s">
        <v>12702</v>
      </c>
      <c r="F3243" s="801" t="s">
        <v>12704</v>
      </c>
      <c r="G3243" s="801"/>
      <c r="H3243" s="801" t="s">
        <v>13678</v>
      </c>
      <c r="I3243" s="801"/>
      <c r="J3243" s="801" t="s">
        <v>12705</v>
      </c>
      <c r="K3243" s="801"/>
      <c r="L3243" s="801"/>
    </row>
    <row r="3244" spans="1:12" ht="17.100000000000001" customHeight="1">
      <c r="A3244" s="626" t="s">
        <v>12709</v>
      </c>
      <c r="B3244" s="627" t="s">
        <v>12999</v>
      </c>
      <c r="C3244" s="626" t="s">
        <v>8</v>
      </c>
      <c r="D3244" s="626" t="s">
        <v>11251</v>
      </c>
      <c r="E3244" s="628" t="s">
        <v>23</v>
      </c>
      <c r="F3244" s="816" t="s">
        <v>13681</v>
      </c>
      <c r="G3244" s="816"/>
      <c r="H3244" s="816">
        <v>0.1140765</v>
      </c>
      <c r="I3244" s="816"/>
      <c r="J3244" s="817">
        <v>8.0000000000000002E-3</v>
      </c>
      <c r="K3244" s="817"/>
      <c r="L3244" s="817"/>
    </row>
    <row r="3245" spans="1:12" ht="14.25" customHeight="1">
      <c r="A3245" s="636"/>
      <c r="B3245" s="636"/>
      <c r="C3245" s="636"/>
      <c r="D3245" s="636"/>
      <c r="E3245" s="636"/>
      <c r="F3245" s="636"/>
      <c r="G3245" s="636"/>
      <c r="H3245" s="636"/>
      <c r="I3245" s="636"/>
      <c r="J3245" s="636" t="s">
        <v>13675</v>
      </c>
      <c r="K3245" s="636"/>
      <c r="L3245" s="636" t="s">
        <v>13728</v>
      </c>
    </row>
    <row r="3246" spans="1:12" ht="17.100000000000001" customHeight="1">
      <c r="A3246" s="802" t="s">
        <v>12712</v>
      </c>
      <c r="B3246" s="802"/>
      <c r="C3246" s="802"/>
      <c r="D3246" s="802"/>
      <c r="E3246" s="802"/>
      <c r="F3246" s="802"/>
      <c r="G3246" s="802"/>
      <c r="H3246" s="802"/>
      <c r="I3246" s="612"/>
      <c r="J3246" s="612"/>
      <c r="K3246" s="612"/>
      <c r="L3246" s="612"/>
    </row>
    <row r="3247" spans="1:12" ht="24" customHeight="1">
      <c r="A3247" s="612" t="s">
        <v>13679</v>
      </c>
      <c r="B3247" s="636" t="s">
        <v>12698</v>
      </c>
      <c r="C3247" s="612" t="s">
        <v>12699</v>
      </c>
      <c r="D3247" s="612" t="s">
        <v>12700</v>
      </c>
      <c r="E3247" s="637" t="s">
        <v>12702</v>
      </c>
      <c r="F3247" s="801" t="s">
        <v>12704</v>
      </c>
      <c r="G3247" s="801"/>
      <c r="H3247" s="801" t="s">
        <v>13678</v>
      </c>
      <c r="I3247" s="801"/>
      <c r="J3247" s="801" t="s">
        <v>12705</v>
      </c>
      <c r="K3247" s="801"/>
      <c r="L3247" s="801"/>
    </row>
    <row r="3248" spans="1:12" ht="24" customHeight="1">
      <c r="A3248" s="626" t="s">
        <v>12709</v>
      </c>
      <c r="B3248" s="627" t="s">
        <v>13002</v>
      </c>
      <c r="C3248" s="626" t="s">
        <v>8</v>
      </c>
      <c r="D3248" s="626" t="s">
        <v>9306</v>
      </c>
      <c r="E3248" s="628" t="s">
        <v>23</v>
      </c>
      <c r="F3248" s="816" t="s">
        <v>13677</v>
      </c>
      <c r="G3248" s="816"/>
      <c r="H3248" s="816">
        <v>0.1140765</v>
      </c>
      <c r="I3248" s="816"/>
      <c r="J3248" s="817">
        <v>3.9899999999999998E-2</v>
      </c>
      <c r="K3248" s="817"/>
      <c r="L3248" s="817"/>
    </row>
    <row r="3249" spans="1:12" ht="24" customHeight="1">
      <c r="A3249" s="626" t="s">
        <v>12709</v>
      </c>
      <c r="B3249" s="627" t="s">
        <v>13004</v>
      </c>
      <c r="C3249" s="626" t="s">
        <v>8</v>
      </c>
      <c r="D3249" s="626" t="s">
        <v>7388</v>
      </c>
      <c r="E3249" s="628" t="s">
        <v>23</v>
      </c>
      <c r="F3249" s="816" t="s">
        <v>13676</v>
      </c>
      <c r="G3249" s="816"/>
      <c r="H3249" s="816">
        <v>0.1140765</v>
      </c>
      <c r="I3249" s="816"/>
      <c r="J3249" s="817">
        <v>0.251</v>
      </c>
      <c r="K3249" s="817"/>
      <c r="L3249" s="817"/>
    </row>
    <row r="3250" spans="1:12" ht="17.100000000000001" customHeight="1">
      <c r="A3250" s="636"/>
      <c r="B3250" s="636"/>
      <c r="C3250" s="636"/>
      <c r="D3250" s="636"/>
      <c r="E3250" s="636"/>
      <c r="F3250" s="636"/>
      <c r="G3250" s="636"/>
      <c r="H3250" s="636"/>
      <c r="I3250" s="636"/>
      <c r="J3250" s="636" t="s">
        <v>13675</v>
      </c>
      <c r="K3250" s="636"/>
      <c r="L3250" s="636" t="s">
        <v>13854</v>
      </c>
    </row>
    <row r="3251" spans="1:12">
      <c r="A3251" s="612" t="s">
        <v>13673</v>
      </c>
      <c r="B3251" s="612"/>
      <c r="C3251" s="612"/>
      <c r="D3251" s="612"/>
      <c r="E3251" s="612"/>
      <c r="F3251" s="612"/>
      <c r="G3251" s="612"/>
      <c r="H3251" s="612"/>
      <c r="I3251" s="612"/>
      <c r="J3251" s="612"/>
      <c r="K3251" s="612"/>
      <c r="L3251" s="612"/>
    </row>
    <row r="3252" spans="1:12" ht="17.100000000000001" customHeight="1">
      <c r="A3252" s="636"/>
      <c r="B3252" s="636"/>
      <c r="C3252" s="636"/>
      <c r="D3252" s="636"/>
      <c r="E3252" s="636"/>
      <c r="F3252" s="636"/>
      <c r="G3252" s="636"/>
      <c r="H3252" s="636"/>
      <c r="I3252" s="636"/>
      <c r="J3252" s="636" t="s">
        <v>13672</v>
      </c>
      <c r="K3252" s="636"/>
      <c r="L3252" s="636" t="s">
        <v>15168</v>
      </c>
    </row>
    <row r="3253" spans="1:12" ht="24" customHeight="1">
      <c r="A3253" s="636"/>
      <c r="B3253" s="636"/>
      <c r="C3253" s="636"/>
      <c r="D3253" s="636"/>
      <c r="E3253" s="636"/>
      <c r="F3253" s="636"/>
      <c r="G3253" s="636"/>
      <c r="H3253" s="636"/>
      <c r="I3253" s="636"/>
      <c r="J3253" s="636" t="s">
        <v>13671</v>
      </c>
      <c r="K3253" s="636" t="s">
        <v>14461</v>
      </c>
      <c r="L3253" s="636" t="s">
        <v>15111</v>
      </c>
    </row>
    <row r="3254" spans="1:12" ht="36" customHeight="1">
      <c r="A3254" s="636"/>
      <c r="B3254" s="636"/>
      <c r="C3254" s="636"/>
      <c r="D3254" s="636"/>
      <c r="E3254" s="636"/>
      <c r="F3254" s="636"/>
      <c r="G3254" s="636"/>
      <c r="H3254" s="636"/>
      <c r="I3254" s="636"/>
      <c r="J3254" s="636" t="s">
        <v>13670</v>
      </c>
      <c r="K3254" s="636"/>
      <c r="L3254" s="636" t="s">
        <v>15169</v>
      </c>
    </row>
    <row r="3255" spans="1:12" ht="24" customHeight="1">
      <c r="A3255" s="636"/>
      <c r="B3255" s="636"/>
      <c r="C3255" s="636"/>
      <c r="D3255" s="636"/>
      <c r="E3255" s="636"/>
      <c r="F3255" s="636"/>
      <c r="G3255" s="636"/>
      <c r="H3255" s="636"/>
      <c r="I3255" s="636"/>
      <c r="J3255" s="636" t="s">
        <v>13669</v>
      </c>
      <c r="K3255" s="636" t="s">
        <v>13667</v>
      </c>
      <c r="L3255" s="636" t="s">
        <v>15170</v>
      </c>
    </row>
    <row r="3256" spans="1:12" ht="24" customHeight="1">
      <c r="A3256" s="636"/>
      <c r="B3256" s="636"/>
      <c r="C3256" s="636"/>
      <c r="D3256" s="636"/>
      <c r="E3256" s="636"/>
      <c r="F3256" s="636"/>
      <c r="G3256" s="636"/>
      <c r="H3256" s="636"/>
      <c r="I3256" s="636"/>
      <c r="J3256" s="636" t="s">
        <v>13668</v>
      </c>
      <c r="K3256" s="636"/>
      <c r="L3256" s="636" t="s">
        <v>15081</v>
      </c>
    </row>
    <row r="3257" spans="1:12" ht="24" customHeight="1">
      <c r="A3257" s="637"/>
      <c r="B3257" s="637"/>
      <c r="C3257" s="637"/>
      <c r="D3257" s="637"/>
      <c r="E3257" s="637"/>
      <c r="F3257" s="637"/>
      <c r="G3257" s="637"/>
      <c r="H3257" s="637"/>
      <c r="I3257" s="637"/>
      <c r="J3257" s="637"/>
      <c r="K3257" s="637"/>
      <c r="L3257" s="637"/>
    </row>
    <row r="3258" spans="1:12" ht="17.100000000000001" customHeight="1">
      <c r="A3258" s="616" t="s">
        <v>14165</v>
      </c>
      <c r="B3258" s="617" t="s">
        <v>13578</v>
      </c>
      <c r="C3258" s="616" t="s">
        <v>8</v>
      </c>
      <c r="D3258" s="616" t="s">
        <v>3554</v>
      </c>
      <c r="E3258" s="618" t="s">
        <v>12725</v>
      </c>
      <c r="F3258" s="617"/>
      <c r="G3258" s="617"/>
      <c r="H3258" s="617"/>
      <c r="I3258" s="617"/>
      <c r="J3258" s="617"/>
      <c r="K3258" s="617"/>
      <c r="L3258" s="617"/>
    </row>
    <row r="3259" spans="1:12">
      <c r="A3259" s="802" t="s">
        <v>12711</v>
      </c>
      <c r="B3259" s="802"/>
      <c r="C3259" s="802"/>
      <c r="D3259" s="802"/>
      <c r="E3259" s="802"/>
      <c r="F3259" s="802"/>
      <c r="G3259" s="802"/>
      <c r="H3259" s="802"/>
      <c r="I3259" s="612"/>
      <c r="J3259" s="612"/>
      <c r="K3259" s="612"/>
      <c r="L3259" s="612"/>
    </row>
    <row r="3260" spans="1:12" ht="17.100000000000001" customHeight="1">
      <c r="A3260" s="612" t="s">
        <v>13679</v>
      </c>
      <c r="B3260" s="636" t="s">
        <v>12698</v>
      </c>
      <c r="C3260" s="612" t="s">
        <v>12699</v>
      </c>
      <c r="D3260" s="612" t="s">
        <v>12700</v>
      </c>
      <c r="E3260" s="637" t="s">
        <v>12702</v>
      </c>
      <c r="F3260" s="801" t="s">
        <v>12704</v>
      </c>
      <c r="G3260" s="801"/>
      <c r="H3260" s="801" t="s">
        <v>13678</v>
      </c>
      <c r="I3260" s="801"/>
      <c r="J3260" s="801" t="s">
        <v>12705</v>
      </c>
      <c r="K3260" s="801"/>
      <c r="L3260" s="801"/>
    </row>
    <row r="3261" spans="1:12" ht="24" customHeight="1">
      <c r="A3261" s="626" t="s">
        <v>12709</v>
      </c>
      <c r="B3261" s="627" t="s">
        <v>13302</v>
      </c>
      <c r="C3261" s="626" t="s">
        <v>8</v>
      </c>
      <c r="D3261" s="626" t="s">
        <v>7676</v>
      </c>
      <c r="E3261" s="628" t="s">
        <v>35</v>
      </c>
      <c r="F3261" s="816" t="s">
        <v>14526</v>
      </c>
      <c r="G3261" s="816"/>
      <c r="H3261" s="816">
        <v>1.2E-5</v>
      </c>
      <c r="I3261" s="816"/>
      <c r="J3261" s="817">
        <v>4.3499999999999997E-2</v>
      </c>
      <c r="K3261" s="817"/>
      <c r="L3261" s="817"/>
    </row>
    <row r="3262" spans="1:12" ht="17.100000000000001" customHeight="1">
      <c r="A3262" s="626" t="s">
        <v>12709</v>
      </c>
      <c r="B3262" s="627" t="s">
        <v>13048</v>
      </c>
      <c r="C3262" s="626" t="s">
        <v>8</v>
      </c>
      <c r="D3262" s="626" t="s">
        <v>9233</v>
      </c>
      <c r="E3262" s="628" t="s">
        <v>23</v>
      </c>
      <c r="F3262" s="816" t="s">
        <v>13690</v>
      </c>
      <c r="G3262" s="816"/>
      <c r="H3262" s="816">
        <v>0.54048350000000001</v>
      </c>
      <c r="I3262" s="816"/>
      <c r="J3262" s="817">
        <v>0.55130000000000001</v>
      </c>
      <c r="K3262" s="817"/>
      <c r="L3262" s="817"/>
    </row>
    <row r="3263" spans="1:12" ht="25.5">
      <c r="A3263" s="626" t="s">
        <v>12709</v>
      </c>
      <c r="B3263" s="627" t="s">
        <v>13047</v>
      </c>
      <c r="C3263" s="626" t="s">
        <v>8</v>
      </c>
      <c r="D3263" s="626" t="s">
        <v>9380</v>
      </c>
      <c r="E3263" s="628" t="s">
        <v>23</v>
      </c>
      <c r="F3263" s="816" t="s">
        <v>13689</v>
      </c>
      <c r="G3263" s="816"/>
      <c r="H3263" s="816">
        <v>0.54048350000000001</v>
      </c>
      <c r="I3263" s="816"/>
      <c r="J3263" s="817">
        <v>0.2054</v>
      </c>
      <c r="K3263" s="817"/>
      <c r="L3263" s="817"/>
    </row>
    <row r="3264" spans="1:12" ht="17.100000000000001" customHeight="1">
      <c r="A3264" s="626" t="s">
        <v>12709</v>
      </c>
      <c r="B3264" s="627" t="s">
        <v>13003</v>
      </c>
      <c r="C3264" s="626" t="s">
        <v>8</v>
      </c>
      <c r="D3264" s="626" t="s">
        <v>9227</v>
      </c>
      <c r="E3264" s="628" t="s">
        <v>23</v>
      </c>
      <c r="F3264" s="816" t="s">
        <v>13732</v>
      </c>
      <c r="G3264" s="816"/>
      <c r="H3264" s="816">
        <v>0.11632919999999999</v>
      </c>
      <c r="I3264" s="816"/>
      <c r="J3264" s="817">
        <v>7.6799999999999993E-2</v>
      </c>
      <c r="K3264" s="817"/>
      <c r="L3264" s="817"/>
    </row>
    <row r="3265" spans="1:12" ht="24" customHeight="1">
      <c r="A3265" s="626" t="s">
        <v>12709</v>
      </c>
      <c r="B3265" s="627" t="s">
        <v>13001</v>
      </c>
      <c r="C3265" s="626" t="s">
        <v>8</v>
      </c>
      <c r="D3265" s="626" t="s">
        <v>9374</v>
      </c>
      <c r="E3265" s="628" t="s">
        <v>23</v>
      </c>
      <c r="F3265" s="816" t="s">
        <v>13728</v>
      </c>
      <c r="G3265" s="816"/>
      <c r="H3265" s="816">
        <v>0.11632919999999999</v>
      </c>
      <c r="I3265" s="816"/>
      <c r="J3265" s="817">
        <v>1.1999999999999999E-3</v>
      </c>
      <c r="K3265" s="817"/>
      <c r="L3265" s="817"/>
    </row>
    <row r="3266" spans="1:12" ht="17.100000000000001" customHeight="1">
      <c r="A3266" s="626" t="s">
        <v>12709</v>
      </c>
      <c r="B3266" s="627" t="s">
        <v>13032</v>
      </c>
      <c r="C3266" s="626" t="s">
        <v>8</v>
      </c>
      <c r="D3266" s="626" t="s">
        <v>9217</v>
      </c>
      <c r="E3266" s="628" t="s">
        <v>23</v>
      </c>
      <c r="F3266" s="816" t="s">
        <v>13741</v>
      </c>
      <c r="G3266" s="816"/>
      <c r="H3266" s="816">
        <v>0.13522480000000001</v>
      </c>
      <c r="I3266" s="816"/>
      <c r="J3266" s="817">
        <v>0.14599999999999999</v>
      </c>
      <c r="K3266" s="817"/>
      <c r="L3266" s="817"/>
    </row>
    <row r="3267" spans="1:12" ht="25.5">
      <c r="A3267" s="626" t="s">
        <v>12709</v>
      </c>
      <c r="B3267" s="627" t="s">
        <v>13031</v>
      </c>
      <c r="C3267" s="626" t="s">
        <v>8</v>
      </c>
      <c r="D3267" s="626" t="s">
        <v>9364</v>
      </c>
      <c r="E3267" s="628" t="s">
        <v>23</v>
      </c>
      <c r="F3267" s="816" t="s">
        <v>13740</v>
      </c>
      <c r="G3267" s="816"/>
      <c r="H3267" s="816">
        <v>0.13522480000000001</v>
      </c>
      <c r="I3267" s="816"/>
      <c r="J3267" s="817">
        <v>4.5999999999999999E-2</v>
      </c>
      <c r="K3267" s="817"/>
      <c r="L3267" s="817"/>
    </row>
    <row r="3268" spans="1:12" ht="17.100000000000001" customHeight="1">
      <c r="A3268" s="626" t="s">
        <v>12709</v>
      </c>
      <c r="B3268" s="627" t="s">
        <v>13052</v>
      </c>
      <c r="C3268" s="626" t="s">
        <v>8</v>
      </c>
      <c r="D3268" s="626" t="s">
        <v>9229</v>
      </c>
      <c r="E3268" s="628" t="s">
        <v>23</v>
      </c>
      <c r="F3268" s="816" t="s">
        <v>13692</v>
      </c>
      <c r="G3268" s="816"/>
      <c r="H3268" s="816">
        <v>0.2214131</v>
      </c>
      <c r="I3268" s="816"/>
      <c r="J3268" s="817">
        <v>0.21260000000000001</v>
      </c>
      <c r="K3268" s="817"/>
      <c r="L3268" s="817"/>
    </row>
    <row r="3269" spans="1:12" ht="24" customHeight="1">
      <c r="A3269" s="626" t="s">
        <v>12709</v>
      </c>
      <c r="B3269" s="627" t="s">
        <v>13051</v>
      </c>
      <c r="C3269" s="626" t="s">
        <v>8</v>
      </c>
      <c r="D3269" s="626" t="s">
        <v>9376</v>
      </c>
      <c r="E3269" s="628" t="s">
        <v>23</v>
      </c>
      <c r="F3269" s="816" t="s">
        <v>13691</v>
      </c>
      <c r="G3269" s="816"/>
      <c r="H3269" s="816">
        <v>0.2214131</v>
      </c>
      <c r="I3269" s="816"/>
      <c r="J3269" s="817">
        <v>0.11070000000000001</v>
      </c>
      <c r="K3269" s="817"/>
      <c r="L3269" s="817"/>
    </row>
    <row r="3270" spans="1:12" ht="24" customHeight="1">
      <c r="A3270" s="636"/>
      <c r="B3270" s="636"/>
      <c r="C3270" s="636"/>
      <c r="D3270" s="636"/>
      <c r="E3270" s="636"/>
      <c r="F3270" s="636"/>
      <c r="G3270" s="636"/>
      <c r="H3270" s="636"/>
      <c r="I3270" s="636"/>
      <c r="J3270" s="636" t="s">
        <v>13675</v>
      </c>
      <c r="K3270" s="636"/>
      <c r="L3270" s="636" t="s">
        <v>13888</v>
      </c>
    </row>
    <row r="3271" spans="1:12" ht="17.100000000000001" customHeight="1">
      <c r="A3271" s="802" t="s">
        <v>12710</v>
      </c>
      <c r="B3271" s="802"/>
      <c r="C3271" s="802"/>
      <c r="D3271" s="802"/>
      <c r="E3271" s="802"/>
      <c r="F3271" s="802"/>
      <c r="G3271" s="802"/>
      <c r="H3271" s="802"/>
      <c r="I3271" s="612"/>
      <c r="J3271" s="612"/>
      <c r="K3271" s="612"/>
      <c r="L3271" s="612"/>
    </row>
    <row r="3272" spans="1:12" ht="17.100000000000001" customHeight="1">
      <c r="A3272" s="612" t="s">
        <v>13679</v>
      </c>
      <c r="B3272" s="636" t="s">
        <v>12698</v>
      </c>
      <c r="C3272" s="612" t="s">
        <v>12699</v>
      </c>
      <c r="D3272" s="612" t="s">
        <v>12700</v>
      </c>
      <c r="E3272" s="637" t="s">
        <v>12702</v>
      </c>
      <c r="F3272" s="801" t="s">
        <v>12704</v>
      </c>
      <c r="G3272" s="801"/>
      <c r="H3272" s="801" t="s">
        <v>13678</v>
      </c>
      <c r="I3272" s="801"/>
      <c r="J3272" s="801" t="s">
        <v>12705</v>
      </c>
      <c r="K3272" s="801"/>
      <c r="L3272" s="801"/>
    </row>
    <row r="3273" spans="1:12" ht="17.100000000000001" customHeight="1">
      <c r="A3273" s="626" t="s">
        <v>12709</v>
      </c>
      <c r="B3273" s="627" t="s">
        <v>13046</v>
      </c>
      <c r="C3273" s="626" t="s">
        <v>8</v>
      </c>
      <c r="D3273" s="626" t="s">
        <v>11281</v>
      </c>
      <c r="E3273" s="628" t="s">
        <v>23</v>
      </c>
      <c r="F3273" s="816" t="s">
        <v>13731</v>
      </c>
      <c r="G3273" s="816"/>
      <c r="H3273" s="816">
        <v>0.54788079999999995</v>
      </c>
      <c r="I3273" s="816"/>
      <c r="J3273" s="817">
        <v>2.8161</v>
      </c>
      <c r="K3273" s="817"/>
      <c r="L3273" s="817"/>
    </row>
    <row r="3274" spans="1:12" ht="17.100000000000001" customHeight="1">
      <c r="A3274" s="626" t="s">
        <v>12709</v>
      </c>
      <c r="B3274" s="627" t="s">
        <v>13116</v>
      </c>
      <c r="C3274" s="626" t="s">
        <v>8</v>
      </c>
      <c r="D3274" s="626" t="s">
        <v>10556</v>
      </c>
      <c r="E3274" s="628" t="s">
        <v>23</v>
      </c>
      <c r="F3274" s="816" t="s">
        <v>13770</v>
      </c>
      <c r="G3274" s="816"/>
      <c r="H3274" s="816">
        <v>0.1168869</v>
      </c>
      <c r="I3274" s="816"/>
      <c r="J3274" s="817">
        <v>0.55759999999999998</v>
      </c>
      <c r="K3274" s="817"/>
      <c r="L3274" s="817"/>
    </row>
    <row r="3275" spans="1:12" ht="17.100000000000001" customHeight="1">
      <c r="A3275" s="626" t="s">
        <v>12709</v>
      </c>
      <c r="B3275" s="627" t="s">
        <v>13212</v>
      </c>
      <c r="C3275" s="626" t="s">
        <v>8</v>
      </c>
      <c r="D3275" s="626" t="s">
        <v>8293</v>
      </c>
      <c r="E3275" s="628" t="s">
        <v>23</v>
      </c>
      <c r="F3275" s="816" t="s">
        <v>14470</v>
      </c>
      <c r="G3275" s="816"/>
      <c r="H3275" s="816">
        <v>0.13617029999999999</v>
      </c>
      <c r="I3275" s="816"/>
      <c r="J3275" s="817">
        <v>0.94089999999999996</v>
      </c>
      <c r="K3275" s="817"/>
      <c r="L3275" s="817"/>
    </row>
    <row r="3276" spans="1:12" ht="17.100000000000001" customHeight="1">
      <c r="A3276" s="626" t="s">
        <v>12709</v>
      </c>
      <c r="B3276" s="627" t="s">
        <v>13099</v>
      </c>
      <c r="C3276" s="626" t="s">
        <v>8</v>
      </c>
      <c r="D3276" s="626" t="s">
        <v>10726</v>
      </c>
      <c r="E3276" s="628" t="s">
        <v>23</v>
      </c>
      <c r="F3276" s="816" t="s">
        <v>14470</v>
      </c>
      <c r="G3276" s="816"/>
      <c r="H3276" s="816">
        <v>0.22444339999999999</v>
      </c>
      <c r="I3276" s="816"/>
      <c r="J3276" s="817">
        <v>1.5508999999999999</v>
      </c>
      <c r="K3276" s="817"/>
      <c r="L3276" s="817"/>
    </row>
    <row r="3277" spans="1:12" ht="17.100000000000001" customHeight="1">
      <c r="A3277" s="636"/>
      <c r="B3277" s="636"/>
      <c r="C3277" s="636"/>
      <c r="D3277" s="636"/>
      <c r="E3277" s="636"/>
      <c r="F3277" s="636"/>
      <c r="G3277" s="636"/>
      <c r="H3277" s="636"/>
      <c r="I3277" s="636"/>
      <c r="J3277" s="636" t="s">
        <v>13675</v>
      </c>
      <c r="K3277" s="636"/>
      <c r="L3277" s="636" t="s">
        <v>14742</v>
      </c>
    </row>
    <row r="3278" spans="1:12" ht="30" customHeight="1">
      <c r="A3278" s="802" t="s">
        <v>12720</v>
      </c>
      <c r="B3278" s="802"/>
      <c r="C3278" s="802"/>
      <c r="D3278" s="802"/>
      <c r="E3278" s="802"/>
      <c r="F3278" s="802"/>
      <c r="G3278" s="802"/>
      <c r="H3278" s="802"/>
      <c r="I3278" s="612"/>
      <c r="J3278" s="612"/>
      <c r="K3278" s="612"/>
      <c r="L3278" s="612"/>
    </row>
    <row r="3279" spans="1:12" ht="48" customHeight="1">
      <c r="A3279" s="612" t="s">
        <v>13679</v>
      </c>
      <c r="B3279" s="636" t="s">
        <v>12698</v>
      </c>
      <c r="C3279" s="612" t="s">
        <v>12699</v>
      </c>
      <c r="D3279" s="612" t="s">
        <v>12700</v>
      </c>
      <c r="E3279" s="637" t="s">
        <v>12702</v>
      </c>
      <c r="F3279" s="801" t="s">
        <v>12704</v>
      </c>
      <c r="G3279" s="801"/>
      <c r="H3279" s="801" t="s">
        <v>13678</v>
      </c>
      <c r="I3279" s="801"/>
      <c r="J3279" s="801" t="s">
        <v>12705</v>
      </c>
      <c r="K3279" s="801"/>
      <c r="L3279" s="801"/>
    </row>
    <row r="3280" spans="1:12" ht="14.25" customHeight="1">
      <c r="A3280" s="626" t="s">
        <v>12709</v>
      </c>
      <c r="B3280" s="627" t="s">
        <v>13091</v>
      </c>
      <c r="C3280" s="626" t="s">
        <v>8</v>
      </c>
      <c r="D3280" s="626" t="s">
        <v>11248</v>
      </c>
      <c r="E3280" s="628" t="s">
        <v>17</v>
      </c>
      <c r="F3280" s="816" t="s">
        <v>14501</v>
      </c>
      <c r="G3280" s="816"/>
      <c r="H3280" s="816">
        <v>0.45</v>
      </c>
      <c r="I3280" s="816"/>
      <c r="J3280" s="817">
        <v>0.9</v>
      </c>
      <c r="K3280" s="817"/>
      <c r="L3280" s="817"/>
    </row>
    <row r="3281" spans="1:12" ht="17.100000000000001" customHeight="1">
      <c r="A3281" s="626" t="s">
        <v>12709</v>
      </c>
      <c r="B3281" s="627" t="s">
        <v>13577</v>
      </c>
      <c r="C3281" s="626" t="s">
        <v>8</v>
      </c>
      <c r="D3281" s="626" t="s">
        <v>10023</v>
      </c>
      <c r="E3281" s="628" t="s">
        <v>12725</v>
      </c>
      <c r="F3281" s="816" t="s">
        <v>13868</v>
      </c>
      <c r="G3281" s="816"/>
      <c r="H3281" s="816">
        <v>1.1279999999999999</v>
      </c>
      <c r="I3281" s="816"/>
      <c r="J3281" s="817">
        <v>1.03</v>
      </c>
      <c r="K3281" s="817"/>
      <c r="L3281" s="817"/>
    </row>
    <row r="3282" spans="1:12" ht="36" customHeight="1">
      <c r="A3282" s="626" t="s">
        <v>12709</v>
      </c>
      <c r="B3282" s="627" t="s">
        <v>13576</v>
      </c>
      <c r="C3282" s="626" t="s">
        <v>8</v>
      </c>
      <c r="D3282" s="626" t="s">
        <v>11657</v>
      </c>
      <c r="E3282" s="628" t="s">
        <v>12725</v>
      </c>
      <c r="F3282" s="816" t="s">
        <v>14741</v>
      </c>
      <c r="G3282" s="816"/>
      <c r="H3282" s="816">
        <v>1.1224000000000001</v>
      </c>
      <c r="I3282" s="816"/>
      <c r="J3282" s="817">
        <v>22.48</v>
      </c>
      <c r="K3282" s="817"/>
      <c r="L3282" s="817"/>
    </row>
    <row r="3283" spans="1:12" ht="24" customHeight="1">
      <c r="A3283" s="626" t="s">
        <v>12709</v>
      </c>
      <c r="B3283" s="627" t="s">
        <v>13250</v>
      </c>
      <c r="C3283" s="626" t="s">
        <v>8</v>
      </c>
      <c r="D3283" s="626" t="s">
        <v>7526</v>
      </c>
      <c r="E3283" s="628" t="s">
        <v>12730</v>
      </c>
      <c r="F3283" s="816" t="s">
        <v>13747</v>
      </c>
      <c r="G3283" s="816"/>
      <c r="H3283" s="816">
        <v>5.4951E-2</v>
      </c>
      <c r="I3283" s="816"/>
      <c r="J3283" s="817">
        <v>3.4344000000000001</v>
      </c>
      <c r="K3283" s="817"/>
      <c r="L3283" s="817"/>
    </row>
    <row r="3284" spans="1:12" ht="24" customHeight="1">
      <c r="A3284" s="626" t="s">
        <v>12709</v>
      </c>
      <c r="B3284" s="627" t="s">
        <v>13249</v>
      </c>
      <c r="C3284" s="626" t="s">
        <v>8</v>
      </c>
      <c r="D3284" s="626" t="s">
        <v>8420</v>
      </c>
      <c r="E3284" s="628" t="s">
        <v>20</v>
      </c>
      <c r="F3284" s="816" t="s">
        <v>13700</v>
      </c>
      <c r="G3284" s="816"/>
      <c r="H3284" s="816">
        <v>23.482511200000001</v>
      </c>
      <c r="I3284" s="816"/>
      <c r="J3284" s="817">
        <v>11.506399999999999</v>
      </c>
      <c r="K3284" s="817"/>
      <c r="L3284" s="817"/>
    </row>
    <row r="3285" spans="1:12" ht="24" customHeight="1">
      <c r="A3285" s="626" t="s">
        <v>12709</v>
      </c>
      <c r="B3285" s="627" t="s">
        <v>13248</v>
      </c>
      <c r="C3285" s="626" t="s">
        <v>8</v>
      </c>
      <c r="D3285" s="626" t="s">
        <v>10712</v>
      </c>
      <c r="E3285" s="628" t="s">
        <v>12730</v>
      </c>
      <c r="F3285" s="816" t="s">
        <v>13745</v>
      </c>
      <c r="G3285" s="816"/>
      <c r="H3285" s="816">
        <v>4.2678300000000002E-2</v>
      </c>
      <c r="I3285" s="816"/>
      <c r="J3285" s="817">
        <v>3.4142999999999999</v>
      </c>
      <c r="K3285" s="817"/>
      <c r="L3285" s="817"/>
    </row>
    <row r="3286" spans="1:12" ht="24" customHeight="1">
      <c r="A3286" s="626" t="s">
        <v>12709</v>
      </c>
      <c r="B3286" s="627" t="s">
        <v>12987</v>
      </c>
      <c r="C3286" s="626" t="s">
        <v>8</v>
      </c>
      <c r="D3286" s="626" t="s">
        <v>9192</v>
      </c>
      <c r="E3286" s="628" t="s">
        <v>12923</v>
      </c>
      <c r="F3286" s="816" t="s">
        <v>13999</v>
      </c>
      <c r="G3286" s="816"/>
      <c r="H3286" s="816">
        <v>7.5432200000000005E-2</v>
      </c>
      <c r="I3286" s="816"/>
      <c r="J3286" s="817">
        <v>6.1100000000000002E-2</v>
      </c>
      <c r="K3286" s="817"/>
      <c r="L3286" s="817"/>
    </row>
    <row r="3287" spans="1:12" ht="24" customHeight="1">
      <c r="A3287" s="636"/>
      <c r="B3287" s="636"/>
      <c r="C3287" s="636"/>
      <c r="D3287" s="636"/>
      <c r="E3287" s="636"/>
      <c r="F3287" s="636"/>
      <c r="G3287" s="636"/>
      <c r="H3287" s="636"/>
      <c r="I3287" s="636"/>
      <c r="J3287" s="636" t="s">
        <v>13675</v>
      </c>
      <c r="K3287" s="636"/>
      <c r="L3287" s="636" t="s">
        <v>14740</v>
      </c>
    </row>
    <row r="3288" spans="1:12" ht="24" customHeight="1">
      <c r="A3288" s="802" t="s">
        <v>12722</v>
      </c>
      <c r="B3288" s="802"/>
      <c r="C3288" s="802"/>
      <c r="D3288" s="802"/>
      <c r="E3288" s="802"/>
      <c r="F3288" s="802"/>
      <c r="G3288" s="802"/>
      <c r="H3288" s="802"/>
      <c r="I3288" s="612"/>
      <c r="J3288" s="612"/>
      <c r="K3288" s="612"/>
      <c r="L3288" s="612"/>
    </row>
    <row r="3289" spans="1:12" ht="17.100000000000001" customHeight="1">
      <c r="A3289" s="612" t="s">
        <v>13679</v>
      </c>
      <c r="B3289" s="636" t="s">
        <v>12698</v>
      </c>
      <c r="C3289" s="612" t="s">
        <v>12699</v>
      </c>
      <c r="D3289" s="612" t="s">
        <v>12700</v>
      </c>
      <c r="E3289" s="637" t="s">
        <v>12702</v>
      </c>
      <c r="F3289" s="801" t="s">
        <v>12704</v>
      </c>
      <c r="G3289" s="801"/>
      <c r="H3289" s="801" t="s">
        <v>13678</v>
      </c>
      <c r="I3289" s="801"/>
      <c r="J3289" s="801" t="s">
        <v>12705</v>
      </c>
      <c r="K3289" s="801"/>
      <c r="L3289" s="801"/>
    </row>
    <row r="3290" spans="1:12" ht="14.25" customHeight="1">
      <c r="A3290" s="626" t="s">
        <v>12709</v>
      </c>
      <c r="B3290" s="627" t="s">
        <v>12998</v>
      </c>
      <c r="C3290" s="626" t="s">
        <v>8</v>
      </c>
      <c r="D3290" s="626" t="s">
        <v>11861</v>
      </c>
      <c r="E3290" s="628" t="s">
        <v>23</v>
      </c>
      <c r="F3290" s="816" t="s">
        <v>13683</v>
      </c>
      <c r="G3290" s="816"/>
      <c r="H3290" s="816">
        <v>1.0134506000000001</v>
      </c>
      <c r="I3290" s="816"/>
      <c r="J3290" s="817">
        <v>0.71950000000000003</v>
      </c>
      <c r="K3290" s="817"/>
      <c r="L3290" s="817"/>
    </row>
    <row r="3291" spans="1:12" ht="17.100000000000001" customHeight="1">
      <c r="A3291" s="636"/>
      <c r="B3291" s="636"/>
      <c r="C3291" s="636"/>
      <c r="D3291" s="636"/>
      <c r="E3291" s="636"/>
      <c r="F3291" s="636"/>
      <c r="G3291" s="636"/>
      <c r="H3291" s="636"/>
      <c r="I3291" s="636"/>
      <c r="J3291" s="636" t="s">
        <v>13675</v>
      </c>
      <c r="K3291" s="636"/>
      <c r="L3291" s="636" t="s">
        <v>14041</v>
      </c>
    </row>
    <row r="3292" spans="1:12" ht="24" customHeight="1">
      <c r="A3292" s="802" t="s">
        <v>12713</v>
      </c>
      <c r="B3292" s="802"/>
      <c r="C3292" s="802"/>
      <c r="D3292" s="802"/>
      <c r="E3292" s="802"/>
      <c r="F3292" s="802"/>
      <c r="G3292" s="802"/>
      <c r="H3292" s="802"/>
      <c r="I3292" s="612"/>
      <c r="J3292" s="612"/>
      <c r="K3292" s="612"/>
      <c r="L3292" s="612"/>
    </row>
    <row r="3293" spans="1:12" ht="24" customHeight="1">
      <c r="A3293" s="612" t="s">
        <v>13679</v>
      </c>
      <c r="B3293" s="636" t="s">
        <v>12698</v>
      </c>
      <c r="C3293" s="612" t="s">
        <v>12699</v>
      </c>
      <c r="D3293" s="612" t="s">
        <v>12700</v>
      </c>
      <c r="E3293" s="637" t="s">
        <v>12702</v>
      </c>
      <c r="F3293" s="801" t="s">
        <v>12704</v>
      </c>
      <c r="G3293" s="801"/>
      <c r="H3293" s="801" t="s">
        <v>13678</v>
      </c>
      <c r="I3293" s="801"/>
      <c r="J3293" s="801" t="s">
        <v>12705</v>
      </c>
      <c r="K3293" s="801"/>
      <c r="L3293" s="801"/>
    </row>
    <row r="3294" spans="1:12" ht="24" customHeight="1">
      <c r="A3294" s="626" t="s">
        <v>12709</v>
      </c>
      <c r="B3294" s="627" t="s">
        <v>12999</v>
      </c>
      <c r="C3294" s="626" t="s">
        <v>8</v>
      </c>
      <c r="D3294" s="626" t="s">
        <v>11251</v>
      </c>
      <c r="E3294" s="628" t="s">
        <v>23</v>
      </c>
      <c r="F3294" s="816" t="s">
        <v>13681</v>
      </c>
      <c r="G3294" s="816"/>
      <c r="H3294" s="816">
        <v>1.0134506000000001</v>
      </c>
      <c r="I3294" s="816"/>
      <c r="J3294" s="817">
        <v>7.0900000000000005E-2</v>
      </c>
      <c r="K3294" s="817"/>
      <c r="L3294" s="817"/>
    </row>
    <row r="3295" spans="1:12" ht="17.100000000000001" customHeight="1">
      <c r="A3295" s="636"/>
      <c r="B3295" s="636"/>
      <c r="C3295" s="636"/>
      <c r="D3295" s="636"/>
      <c r="E3295" s="636"/>
      <c r="F3295" s="636"/>
      <c r="G3295" s="636"/>
      <c r="H3295" s="636"/>
      <c r="I3295" s="636"/>
      <c r="J3295" s="636" t="s">
        <v>13675</v>
      </c>
      <c r="K3295" s="636"/>
      <c r="L3295" s="636" t="s">
        <v>13681</v>
      </c>
    </row>
    <row r="3296" spans="1:12">
      <c r="A3296" s="802" t="s">
        <v>12712</v>
      </c>
      <c r="B3296" s="802"/>
      <c r="C3296" s="802"/>
      <c r="D3296" s="802"/>
      <c r="E3296" s="802"/>
      <c r="F3296" s="802"/>
      <c r="G3296" s="802"/>
      <c r="H3296" s="802"/>
      <c r="I3296" s="612"/>
      <c r="J3296" s="612"/>
      <c r="K3296" s="612"/>
      <c r="L3296" s="612"/>
    </row>
    <row r="3297" spans="1:12" ht="17.100000000000001" customHeight="1">
      <c r="A3297" s="612" t="s">
        <v>13679</v>
      </c>
      <c r="B3297" s="636" t="s">
        <v>12698</v>
      </c>
      <c r="C3297" s="612" t="s">
        <v>12699</v>
      </c>
      <c r="D3297" s="612" t="s">
        <v>12700</v>
      </c>
      <c r="E3297" s="637" t="s">
        <v>12702</v>
      </c>
      <c r="F3297" s="801" t="s">
        <v>12704</v>
      </c>
      <c r="G3297" s="801"/>
      <c r="H3297" s="801" t="s">
        <v>13678</v>
      </c>
      <c r="I3297" s="801"/>
      <c r="J3297" s="801" t="s">
        <v>12705</v>
      </c>
      <c r="K3297" s="801"/>
      <c r="L3297" s="801"/>
    </row>
    <row r="3298" spans="1:12" ht="24" customHeight="1">
      <c r="A3298" s="626" t="s">
        <v>12709</v>
      </c>
      <c r="B3298" s="627" t="s">
        <v>13002</v>
      </c>
      <c r="C3298" s="626" t="s">
        <v>8</v>
      </c>
      <c r="D3298" s="626" t="s">
        <v>9306</v>
      </c>
      <c r="E3298" s="628" t="s">
        <v>23</v>
      </c>
      <c r="F3298" s="816" t="s">
        <v>13677</v>
      </c>
      <c r="G3298" s="816"/>
      <c r="H3298" s="816">
        <v>1.0134506000000001</v>
      </c>
      <c r="I3298" s="816"/>
      <c r="J3298" s="817">
        <v>0.35470000000000002</v>
      </c>
      <c r="K3298" s="817"/>
      <c r="L3298" s="817"/>
    </row>
    <row r="3299" spans="1:12" ht="24" customHeight="1">
      <c r="A3299" s="626" t="s">
        <v>12709</v>
      </c>
      <c r="B3299" s="627" t="s">
        <v>13004</v>
      </c>
      <c r="C3299" s="626" t="s">
        <v>8</v>
      </c>
      <c r="D3299" s="626" t="s">
        <v>7388</v>
      </c>
      <c r="E3299" s="628" t="s">
        <v>23</v>
      </c>
      <c r="F3299" s="816" t="s">
        <v>13676</v>
      </c>
      <c r="G3299" s="816"/>
      <c r="H3299" s="816">
        <v>1.0134506000000001</v>
      </c>
      <c r="I3299" s="816"/>
      <c r="J3299" s="817">
        <v>2.2296</v>
      </c>
      <c r="K3299" s="817"/>
      <c r="L3299" s="817"/>
    </row>
    <row r="3300" spans="1:12" ht="24" customHeight="1">
      <c r="A3300" s="636"/>
      <c r="B3300" s="636"/>
      <c r="C3300" s="636"/>
      <c r="D3300" s="636"/>
      <c r="E3300" s="636"/>
      <c r="F3300" s="636"/>
      <c r="G3300" s="636"/>
      <c r="H3300" s="636"/>
      <c r="I3300" s="636"/>
      <c r="J3300" s="636" t="s">
        <v>13675</v>
      </c>
      <c r="K3300" s="636"/>
      <c r="L3300" s="636" t="s">
        <v>14164</v>
      </c>
    </row>
    <row r="3301" spans="1:12" ht="17.100000000000001" customHeight="1">
      <c r="A3301" s="612" t="s">
        <v>13673</v>
      </c>
      <c r="B3301" s="612"/>
      <c r="C3301" s="612"/>
      <c r="D3301" s="612"/>
      <c r="E3301" s="612"/>
      <c r="F3301" s="612"/>
      <c r="G3301" s="612"/>
      <c r="H3301" s="612"/>
      <c r="I3301" s="612"/>
      <c r="J3301" s="612"/>
      <c r="K3301" s="612"/>
      <c r="L3301" s="612"/>
    </row>
    <row r="3302" spans="1:12">
      <c r="A3302" s="636"/>
      <c r="B3302" s="636"/>
      <c r="C3302" s="636"/>
      <c r="D3302" s="636"/>
      <c r="E3302" s="636"/>
      <c r="F3302" s="636"/>
      <c r="G3302" s="636"/>
      <c r="H3302" s="636"/>
      <c r="I3302" s="636"/>
      <c r="J3302" s="636" t="s">
        <v>13672</v>
      </c>
      <c r="K3302" s="636"/>
      <c r="L3302" s="636" t="s">
        <v>15171</v>
      </c>
    </row>
    <row r="3303" spans="1:12" ht="17.100000000000001" customHeight="1">
      <c r="A3303" s="636"/>
      <c r="B3303" s="636"/>
      <c r="C3303" s="636"/>
      <c r="D3303" s="636"/>
      <c r="E3303" s="636"/>
      <c r="F3303" s="636"/>
      <c r="G3303" s="636"/>
      <c r="H3303" s="636"/>
      <c r="I3303" s="636"/>
      <c r="J3303" s="636" t="s">
        <v>13671</v>
      </c>
      <c r="K3303" s="636" t="s">
        <v>14461</v>
      </c>
      <c r="L3303" s="636" t="s">
        <v>14916</v>
      </c>
    </row>
    <row r="3304" spans="1:12" ht="24" customHeight="1">
      <c r="A3304" s="636"/>
      <c r="B3304" s="636"/>
      <c r="C3304" s="636"/>
      <c r="D3304" s="636"/>
      <c r="E3304" s="636"/>
      <c r="F3304" s="636"/>
      <c r="G3304" s="636"/>
      <c r="H3304" s="636"/>
      <c r="I3304" s="636"/>
      <c r="J3304" s="636" t="s">
        <v>13670</v>
      </c>
      <c r="K3304" s="636"/>
      <c r="L3304" s="636" t="s">
        <v>15172</v>
      </c>
    </row>
    <row r="3305" spans="1:12" ht="17.100000000000001" customHeight="1">
      <c r="A3305" s="636"/>
      <c r="B3305" s="636"/>
      <c r="C3305" s="636"/>
      <c r="D3305" s="636"/>
      <c r="E3305" s="636"/>
      <c r="F3305" s="636"/>
      <c r="G3305" s="636"/>
      <c r="H3305" s="636"/>
      <c r="I3305" s="636"/>
      <c r="J3305" s="636" t="s">
        <v>13669</v>
      </c>
      <c r="K3305" s="636" t="s">
        <v>13667</v>
      </c>
      <c r="L3305" s="636" t="s">
        <v>15107</v>
      </c>
    </row>
    <row r="3306" spans="1:12">
      <c r="A3306" s="636"/>
      <c r="B3306" s="636"/>
      <c r="C3306" s="636"/>
      <c r="D3306" s="636"/>
      <c r="E3306" s="636"/>
      <c r="F3306" s="636"/>
      <c r="G3306" s="636"/>
      <c r="H3306" s="636"/>
      <c r="I3306" s="636"/>
      <c r="J3306" s="636" t="s">
        <v>13668</v>
      </c>
      <c r="K3306" s="636"/>
      <c r="L3306" s="636" t="s">
        <v>15173</v>
      </c>
    </row>
    <row r="3307" spans="1:12" ht="17.100000000000001" customHeight="1">
      <c r="A3307" s="637"/>
      <c r="B3307" s="637"/>
      <c r="C3307" s="637"/>
      <c r="D3307" s="637"/>
      <c r="E3307" s="637"/>
      <c r="F3307" s="637"/>
      <c r="G3307" s="637"/>
      <c r="H3307" s="637"/>
      <c r="I3307" s="637"/>
      <c r="J3307" s="637"/>
      <c r="K3307" s="637"/>
      <c r="L3307" s="637"/>
    </row>
    <row r="3308" spans="1:12" ht="24" customHeight="1">
      <c r="A3308" s="616" t="s">
        <v>14163</v>
      </c>
      <c r="B3308" s="617" t="s">
        <v>13575</v>
      </c>
      <c r="C3308" s="616" t="s">
        <v>8</v>
      </c>
      <c r="D3308" s="616" t="s">
        <v>5576</v>
      </c>
      <c r="E3308" s="618" t="s">
        <v>17</v>
      </c>
      <c r="F3308" s="617"/>
      <c r="G3308" s="617"/>
      <c r="H3308" s="617"/>
      <c r="I3308" s="617"/>
      <c r="J3308" s="617"/>
      <c r="K3308" s="617"/>
      <c r="L3308" s="617"/>
    </row>
    <row r="3309" spans="1:12" ht="17.100000000000001" customHeight="1">
      <c r="A3309" s="802" t="s">
        <v>12711</v>
      </c>
      <c r="B3309" s="802"/>
      <c r="C3309" s="802"/>
      <c r="D3309" s="802"/>
      <c r="E3309" s="802"/>
      <c r="F3309" s="802"/>
      <c r="G3309" s="802"/>
      <c r="H3309" s="802"/>
      <c r="I3309" s="612"/>
      <c r="J3309" s="612"/>
      <c r="K3309" s="612"/>
      <c r="L3309" s="612"/>
    </row>
    <row r="3310" spans="1:12">
      <c r="A3310" s="612" t="s">
        <v>13679</v>
      </c>
      <c r="B3310" s="636" t="s">
        <v>12698</v>
      </c>
      <c r="C3310" s="612" t="s">
        <v>12699</v>
      </c>
      <c r="D3310" s="612" t="s">
        <v>12700</v>
      </c>
      <c r="E3310" s="637" t="s">
        <v>12702</v>
      </c>
      <c r="F3310" s="801" t="s">
        <v>12704</v>
      </c>
      <c r="G3310" s="801"/>
      <c r="H3310" s="801" t="s">
        <v>13678</v>
      </c>
      <c r="I3310" s="801"/>
      <c r="J3310" s="801" t="s">
        <v>12705</v>
      </c>
      <c r="K3310" s="801"/>
      <c r="L3310" s="801"/>
    </row>
    <row r="3311" spans="1:12" ht="17.100000000000001" customHeight="1">
      <c r="A3311" s="626" t="s">
        <v>12709</v>
      </c>
      <c r="B3311" s="627" t="s">
        <v>13048</v>
      </c>
      <c r="C3311" s="626" t="s">
        <v>8</v>
      </c>
      <c r="D3311" s="626" t="s">
        <v>9233</v>
      </c>
      <c r="E3311" s="628" t="s">
        <v>23</v>
      </c>
      <c r="F3311" s="816" t="s">
        <v>13690</v>
      </c>
      <c r="G3311" s="816"/>
      <c r="H3311" s="816">
        <v>0.61772669999999996</v>
      </c>
      <c r="I3311" s="816"/>
      <c r="J3311" s="817">
        <v>0.63009999999999999</v>
      </c>
      <c r="K3311" s="817"/>
      <c r="L3311" s="817"/>
    </row>
    <row r="3312" spans="1:12" ht="24" customHeight="1">
      <c r="A3312" s="626" t="s">
        <v>12709</v>
      </c>
      <c r="B3312" s="627" t="s">
        <v>13047</v>
      </c>
      <c r="C3312" s="626" t="s">
        <v>8</v>
      </c>
      <c r="D3312" s="626" t="s">
        <v>9380</v>
      </c>
      <c r="E3312" s="628" t="s">
        <v>23</v>
      </c>
      <c r="F3312" s="816" t="s">
        <v>13689</v>
      </c>
      <c r="G3312" s="816"/>
      <c r="H3312" s="816">
        <v>0.61772669999999996</v>
      </c>
      <c r="I3312" s="816"/>
      <c r="J3312" s="817">
        <v>0.23469999999999999</v>
      </c>
      <c r="K3312" s="817"/>
      <c r="L3312" s="817"/>
    </row>
    <row r="3313" spans="1:12" ht="24" customHeight="1">
      <c r="A3313" s="626" t="s">
        <v>12709</v>
      </c>
      <c r="B3313" s="627" t="s">
        <v>13052</v>
      </c>
      <c r="C3313" s="626" t="s">
        <v>8</v>
      </c>
      <c r="D3313" s="626" t="s">
        <v>9229</v>
      </c>
      <c r="E3313" s="628" t="s">
        <v>23</v>
      </c>
      <c r="F3313" s="816" t="s">
        <v>13692</v>
      </c>
      <c r="G3313" s="816"/>
      <c r="H3313" s="816">
        <v>0.2427647</v>
      </c>
      <c r="I3313" s="816"/>
      <c r="J3313" s="817">
        <v>0.2331</v>
      </c>
      <c r="K3313" s="817"/>
      <c r="L3313" s="817"/>
    </row>
    <row r="3314" spans="1:12" ht="17.100000000000001" customHeight="1">
      <c r="A3314" s="626" t="s">
        <v>12709</v>
      </c>
      <c r="B3314" s="627" t="s">
        <v>13051</v>
      </c>
      <c r="C3314" s="626" t="s">
        <v>8</v>
      </c>
      <c r="D3314" s="626" t="s">
        <v>9376</v>
      </c>
      <c r="E3314" s="628" t="s">
        <v>23</v>
      </c>
      <c r="F3314" s="816" t="s">
        <v>13691</v>
      </c>
      <c r="G3314" s="816"/>
      <c r="H3314" s="816">
        <v>0.2427647</v>
      </c>
      <c r="I3314" s="816"/>
      <c r="J3314" s="817">
        <v>0.12139999999999999</v>
      </c>
      <c r="K3314" s="817"/>
      <c r="L3314" s="817"/>
    </row>
    <row r="3315" spans="1:12" ht="17.100000000000001" customHeight="1">
      <c r="A3315" s="636"/>
      <c r="B3315" s="636"/>
      <c r="C3315" s="636"/>
      <c r="D3315" s="636"/>
      <c r="E3315" s="636"/>
      <c r="F3315" s="636"/>
      <c r="G3315" s="636"/>
      <c r="H3315" s="636"/>
      <c r="I3315" s="636"/>
      <c r="J3315" s="636" t="s">
        <v>13675</v>
      </c>
      <c r="K3315" s="636"/>
      <c r="L3315" s="636" t="s">
        <v>14016</v>
      </c>
    </row>
    <row r="3316" spans="1:12" ht="17.100000000000001" customHeight="1">
      <c r="A3316" s="802" t="s">
        <v>12710</v>
      </c>
      <c r="B3316" s="802"/>
      <c r="C3316" s="802"/>
      <c r="D3316" s="802"/>
      <c r="E3316" s="802"/>
      <c r="F3316" s="802"/>
      <c r="G3316" s="802"/>
      <c r="H3316" s="802"/>
      <c r="I3316" s="612"/>
      <c r="J3316" s="612"/>
      <c r="K3316" s="612"/>
      <c r="L3316" s="612"/>
    </row>
    <row r="3317" spans="1:12" ht="17.100000000000001" customHeight="1">
      <c r="A3317" s="612" t="s">
        <v>13679</v>
      </c>
      <c r="B3317" s="636" t="s">
        <v>12698</v>
      </c>
      <c r="C3317" s="612" t="s">
        <v>12699</v>
      </c>
      <c r="D3317" s="612" t="s">
        <v>12700</v>
      </c>
      <c r="E3317" s="637" t="s">
        <v>12702</v>
      </c>
      <c r="F3317" s="801" t="s">
        <v>12704</v>
      </c>
      <c r="G3317" s="801"/>
      <c r="H3317" s="801" t="s">
        <v>13678</v>
      </c>
      <c r="I3317" s="801"/>
      <c r="J3317" s="801" t="s">
        <v>12705</v>
      </c>
      <c r="K3317" s="801"/>
      <c r="L3317" s="801"/>
    </row>
    <row r="3318" spans="1:12" ht="17.100000000000001" customHeight="1">
      <c r="A3318" s="626" t="s">
        <v>12709</v>
      </c>
      <c r="B3318" s="627" t="s">
        <v>13046</v>
      </c>
      <c r="C3318" s="626" t="s">
        <v>8</v>
      </c>
      <c r="D3318" s="626" t="s">
        <v>11281</v>
      </c>
      <c r="E3318" s="628" t="s">
        <v>23</v>
      </c>
      <c r="F3318" s="816" t="s">
        <v>13731</v>
      </c>
      <c r="G3318" s="816"/>
      <c r="H3318" s="816">
        <v>0.51781909999999998</v>
      </c>
      <c r="I3318" s="816"/>
      <c r="J3318" s="817">
        <v>2.6616</v>
      </c>
      <c r="K3318" s="817"/>
      <c r="L3318" s="817"/>
    </row>
    <row r="3319" spans="1:12" ht="17.100000000000001" customHeight="1">
      <c r="A3319" s="626" t="s">
        <v>12709</v>
      </c>
      <c r="B3319" s="627" t="s">
        <v>13226</v>
      </c>
      <c r="C3319" s="626" t="s">
        <v>8</v>
      </c>
      <c r="D3319" s="626" t="s">
        <v>7374</v>
      </c>
      <c r="E3319" s="628" t="s">
        <v>23</v>
      </c>
      <c r="F3319" s="816" t="s">
        <v>14702</v>
      </c>
      <c r="G3319" s="816"/>
      <c r="H3319" s="816">
        <v>0.1095387</v>
      </c>
      <c r="I3319" s="816"/>
      <c r="J3319" s="817">
        <v>0.73060000000000003</v>
      </c>
      <c r="K3319" s="817"/>
      <c r="L3319" s="817"/>
    </row>
    <row r="3320" spans="1:12" ht="17.100000000000001" customHeight="1">
      <c r="A3320" s="626" t="s">
        <v>12709</v>
      </c>
      <c r="B3320" s="627" t="s">
        <v>13099</v>
      </c>
      <c r="C3320" s="626" t="s">
        <v>8</v>
      </c>
      <c r="D3320" s="626" t="s">
        <v>10726</v>
      </c>
      <c r="E3320" s="628" t="s">
        <v>23</v>
      </c>
      <c r="F3320" s="816" t="s">
        <v>14470</v>
      </c>
      <c r="G3320" s="816"/>
      <c r="H3320" s="816">
        <v>0.24683579999999999</v>
      </c>
      <c r="I3320" s="816"/>
      <c r="J3320" s="817">
        <v>1.7056</v>
      </c>
      <c r="K3320" s="817"/>
      <c r="L3320" s="817"/>
    </row>
    <row r="3321" spans="1:12" ht="30" customHeight="1">
      <c r="A3321" s="636"/>
      <c r="B3321" s="636"/>
      <c r="C3321" s="636"/>
      <c r="D3321" s="636"/>
      <c r="E3321" s="636"/>
      <c r="F3321" s="636"/>
      <c r="G3321" s="636"/>
      <c r="H3321" s="636"/>
      <c r="I3321" s="636"/>
      <c r="J3321" s="636" t="s">
        <v>13675</v>
      </c>
      <c r="K3321" s="636"/>
      <c r="L3321" s="636" t="s">
        <v>13686</v>
      </c>
    </row>
    <row r="3322" spans="1:12" ht="60" customHeight="1">
      <c r="A3322" s="802" t="s">
        <v>12720</v>
      </c>
      <c r="B3322" s="802"/>
      <c r="C3322" s="802"/>
      <c r="D3322" s="802"/>
      <c r="E3322" s="802"/>
      <c r="F3322" s="802"/>
      <c r="G3322" s="802"/>
      <c r="H3322" s="802"/>
      <c r="I3322" s="612"/>
      <c r="J3322" s="612"/>
      <c r="K3322" s="612"/>
      <c r="L3322" s="612"/>
    </row>
    <row r="3323" spans="1:12" ht="14.25" customHeight="1">
      <c r="A3323" s="612" t="s">
        <v>13679</v>
      </c>
      <c r="B3323" s="636" t="s">
        <v>12698</v>
      </c>
      <c r="C3323" s="612" t="s">
        <v>12699</v>
      </c>
      <c r="D3323" s="612" t="s">
        <v>12700</v>
      </c>
      <c r="E3323" s="637" t="s">
        <v>12702</v>
      </c>
      <c r="F3323" s="801" t="s">
        <v>12704</v>
      </c>
      <c r="G3323" s="801"/>
      <c r="H3323" s="801" t="s">
        <v>13678</v>
      </c>
      <c r="I3323" s="801"/>
      <c r="J3323" s="801" t="s">
        <v>12705</v>
      </c>
      <c r="K3323" s="801"/>
      <c r="L3323" s="801"/>
    </row>
    <row r="3324" spans="1:12" ht="17.100000000000001" customHeight="1">
      <c r="A3324" s="626" t="s">
        <v>12709</v>
      </c>
      <c r="B3324" s="627" t="s">
        <v>13250</v>
      </c>
      <c r="C3324" s="626" t="s">
        <v>8</v>
      </c>
      <c r="D3324" s="626" t="s">
        <v>7526</v>
      </c>
      <c r="E3324" s="628" t="s">
        <v>12730</v>
      </c>
      <c r="F3324" s="816" t="s">
        <v>13747</v>
      </c>
      <c r="G3324" s="816"/>
      <c r="H3324" s="816">
        <v>1.8356600000000001E-2</v>
      </c>
      <c r="I3324" s="816"/>
      <c r="J3324" s="817">
        <v>1.1473</v>
      </c>
      <c r="K3324" s="817"/>
      <c r="L3324" s="817"/>
    </row>
    <row r="3325" spans="1:12" ht="24" customHeight="1">
      <c r="A3325" s="626" t="s">
        <v>12709</v>
      </c>
      <c r="B3325" s="627" t="s">
        <v>13574</v>
      </c>
      <c r="C3325" s="626" t="s">
        <v>8</v>
      </c>
      <c r="D3325" s="626" t="s">
        <v>8470</v>
      </c>
      <c r="E3325" s="628" t="s">
        <v>12730</v>
      </c>
      <c r="F3325" s="816" t="s">
        <v>14739</v>
      </c>
      <c r="G3325" s="816"/>
      <c r="H3325" s="816">
        <v>6.3E-2</v>
      </c>
      <c r="I3325" s="816"/>
      <c r="J3325" s="817">
        <v>20.9</v>
      </c>
      <c r="K3325" s="817"/>
      <c r="L3325" s="817"/>
    </row>
    <row r="3326" spans="1:12" ht="24" customHeight="1">
      <c r="A3326" s="626" t="s">
        <v>12709</v>
      </c>
      <c r="B3326" s="627" t="s">
        <v>13120</v>
      </c>
      <c r="C3326" s="626" t="s">
        <v>8</v>
      </c>
      <c r="D3326" s="626" t="s">
        <v>10354</v>
      </c>
      <c r="E3326" s="628" t="s">
        <v>35</v>
      </c>
      <c r="F3326" s="816" t="s">
        <v>14162</v>
      </c>
      <c r="G3326" s="816"/>
      <c r="H3326" s="816">
        <v>9.0999999999999993E-6</v>
      </c>
      <c r="I3326" s="816"/>
      <c r="J3326" s="817">
        <v>0.53449999999999998</v>
      </c>
      <c r="K3326" s="817"/>
      <c r="L3326" s="817"/>
    </row>
    <row r="3327" spans="1:12" ht="24" customHeight="1">
      <c r="A3327" s="626" t="s">
        <v>12709</v>
      </c>
      <c r="B3327" s="627" t="s">
        <v>13007</v>
      </c>
      <c r="C3327" s="626" t="s">
        <v>8</v>
      </c>
      <c r="D3327" s="626" t="s">
        <v>10549</v>
      </c>
      <c r="E3327" s="628" t="s">
        <v>58</v>
      </c>
      <c r="F3327" s="816" t="s">
        <v>14172</v>
      </c>
      <c r="G3327" s="816"/>
      <c r="H3327" s="816">
        <v>2.77588E-2</v>
      </c>
      <c r="I3327" s="816"/>
      <c r="J3327" s="817">
        <v>8.9899999999999994E-2</v>
      </c>
      <c r="K3327" s="817"/>
      <c r="L3327" s="817"/>
    </row>
    <row r="3328" spans="1:12" ht="24" customHeight="1">
      <c r="A3328" s="626" t="s">
        <v>12709</v>
      </c>
      <c r="B3328" s="627" t="s">
        <v>13249</v>
      </c>
      <c r="C3328" s="626" t="s">
        <v>8</v>
      </c>
      <c r="D3328" s="626" t="s">
        <v>8420</v>
      </c>
      <c r="E3328" s="628" t="s">
        <v>20</v>
      </c>
      <c r="F3328" s="816" t="s">
        <v>13700</v>
      </c>
      <c r="G3328" s="816"/>
      <c r="H3328" s="816">
        <v>1.1627035999999999</v>
      </c>
      <c r="I3328" s="816"/>
      <c r="J3328" s="817">
        <v>0.56969999999999998</v>
      </c>
      <c r="K3328" s="817"/>
      <c r="L3328" s="817"/>
    </row>
    <row r="3329" spans="1:12" ht="17.100000000000001" customHeight="1">
      <c r="A3329" s="636"/>
      <c r="B3329" s="636"/>
      <c r="C3329" s="636"/>
      <c r="D3329" s="636"/>
      <c r="E3329" s="636"/>
      <c r="F3329" s="636"/>
      <c r="G3329" s="636"/>
      <c r="H3329" s="636"/>
      <c r="I3329" s="636"/>
      <c r="J3329" s="636" t="s">
        <v>13675</v>
      </c>
      <c r="K3329" s="636"/>
      <c r="L3329" s="636" t="s">
        <v>14100</v>
      </c>
    </row>
    <row r="3330" spans="1:12" ht="14.25" customHeight="1">
      <c r="A3330" s="802" t="s">
        <v>12722</v>
      </c>
      <c r="B3330" s="802"/>
      <c r="C3330" s="802"/>
      <c r="D3330" s="802"/>
      <c r="E3330" s="802"/>
      <c r="F3330" s="802"/>
      <c r="G3330" s="802"/>
      <c r="H3330" s="802"/>
      <c r="I3330" s="612"/>
      <c r="J3330" s="612"/>
      <c r="K3330" s="612"/>
      <c r="L3330" s="612"/>
    </row>
    <row r="3331" spans="1:12" ht="17.100000000000001" customHeight="1">
      <c r="A3331" s="612" t="s">
        <v>13679</v>
      </c>
      <c r="B3331" s="636" t="s">
        <v>12698</v>
      </c>
      <c r="C3331" s="612" t="s">
        <v>12699</v>
      </c>
      <c r="D3331" s="612" t="s">
        <v>12700</v>
      </c>
      <c r="E3331" s="637" t="s">
        <v>12702</v>
      </c>
      <c r="F3331" s="801" t="s">
        <v>12704</v>
      </c>
      <c r="G3331" s="801"/>
      <c r="H3331" s="801" t="s">
        <v>13678</v>
      </c>
      <c r="I3331" s="801"/>
      <c r="J3331" s="801" t="s">
        <v>12705</v>
      </c>
      <c r="K3331" s="801"/>
      <c r="L3331" s="801"/>
    </row>
    <row r="3332" spans="1:12" ht="24" customHeight="1">
      <c r="A3332" s="626" t="s">
        <v>12709</v>
      </c>
      <c r="B3332" s="627" t="s">
        <v>12998</v>
      </c>
      <c r="C3332" s="626" t="s">
        <v>8</v>
      </c>
      <c r="D3332" s="626" t="s">
        <v>11861</v>
      </c>
      <c r="E3332" s="628" t="s">
        <v>23</v>
      </c>
      <c r="F3332" s="816" t="s">
        <v>13683</v>
      </c>
      <c r="G3332" s="816"/>
      <c r="H3332" s="816">
        <v>0.86049140000000002</v>
      </c>
      <c r="I3332" s="816"/>
      <c r="J3332" s="817">
        <v>0.6109</v>
      </c>
      <c r="K3332" s="817"/>
      <c r="L3332" s="817"/>
    </row>
    <row r="3333" spans="1:12" ht="24" customHeight="1">
      <c r="A3333" s="636"/>
      <c r="B3333" s="636"/>
      <c r="C3333" s="636"/>
      <c r="D3333" s="636"/>
      <c r="E3333" s="636"/>
      <c r="F3333" s="636"/>
      <c r="G3333" s="636"/>
      <c r="H3333" s="636"/>
      <c r="I3333" s="636"/>
      <c r="J3333" s="636" t="s">
        <v>13675</v>
      </c>
      <c r="K3333" s="636"/>
      <c r="L3333" s="636" t="s">
        <v>14159</v>
      </c>
    </row>
    <row r="3334" spans="1:12" ht="17.100000000000001" customHeight="1">
      <c r="A3334" s="802" t="s">
        <v>12713</v>
      </c>
      <c r="B3334" s="802"/>
      <c r="C3334" s="802"/>
      <c r="D3334" s="802"/>
      <c r="E3334" s="802"/>
      <c r="F3334" s="802"/>
      <c r="G3334" s="802"/>
      <c r="H3334" s="802"/>
      <c r="I3334" s="612"/>
      <c r="J3334" s="612"/>
      <c r="K3334" s="612"/>
      <c r="L3334" s="612"/>
    </row>
    <row r="3335" spans="1:12">
      <c r="A3335" s="612" t="s">
        <v>13679</v>
      </c>
      <c r="B3335" s="636" t="s">
        <v>12698</v>
      </c>
      <c r="C3335" s="612" t="s">
        <v>12699</v>
      </c>
      <c r="D3335" s="612" t="s">
        <v>12700</v>
      </c>
      <c r="E3335" s="637" t="s">
        <v>12702</v>
      </c>
      <c r="F3335" s="801" t="s">
        <v>12704</v>
      </c>
      <c r="G3335" s="801"/>
      <c r="H3335" s="801" t="s">
        <v>13678</v>
      </c>
      <c r="I3335" s="801"/>
      <c r="J3335" s="801" t="s">
        <v>12705</v>
      </c>
      <c r="K3335" s="801"/>
      <c r="L3335" s="801"/>
    </row>
    <row r="3336" spans="1:12" ht="17.100000000000001" customHeight="1">
      <c r="A3336" s="626" t="s">
        <v>12709</v>
      </c>
      <c r="B3336" s="627" t="s">
        <v>12999</v>
      </c>
      <c r="C3336" s="626" t="s">
        <v>8</v>
      </c>
      <c r="D3336" s="626" t="s">
        <v>11251</v>
      </c>
      <c r="E3336" s="628" t="s">
        <v>23</v>
      </c>
      <c r="F3336" s="816" t="s">
        <v>13681</v>
      </c>
      <c r="G3336" s="816"/>
      <c r="H3336" s="816">
        <v>0.86049140000000002</v>
      </c>
      <c r="I3336" s="816"/>
      <c r="J3336" s="817">
        <v>6.0199999999999997E-2</v>
      </c>
      <c r="K3336" s="817"/>
      <c r="L3336" s="817"/>
    </row>
    <row r="3337" spans="1:12" ht="24" customHeight="1">
      <c r="A3337" s="636"/>
      <c r="B3337" s="636"/>
      <c r="C3337" s="636"/>
      <c r="D3337" s="636"/>
      <c r="E3337" s="636"/>
      <c r="F3337" s="636"/>
      <c r="G3337" s="636"/>
      <c r="H3337" s="636"/>
      <c r="I3337" s="636"/>
      <c r="J3337" s="636" t="s">
        <v>13675</v>
      </c>
      <c r="K3337" s="636"/>
      <c r="L3337" s="636" t="s">
        <v>13708</v>
      </c>
    </row>
    <row r="3338" spans="1:12" ht="24" customHeight="1">
      <c r="A3338" s="802" t="s">
        <v>12712</v>
      </c>
      <c r="B3338" s="802"/>
      <c r="C3338" s="802"/>
      <c r="D3338" s="802"/>
      <c r="E3338" s="802"/>
      <c r="F3338" s="802"/>
      <c r="G3338" s="802"/>
      <c r="H3338" s="802"/>
      <c r="I3338" s="612"/>
      <c r="J3338" s="612"/>
      <c r="K3338" s="612"/>
      <c r="L3338" s="612"/>
    </row>
    <row r="3339" spans="1:12" ht="24" customHeight="1">
      <c r="A3339" s="612" t="s">
        <v>13679</v>
      </c>
      <c r="B3339" s="636" t="s">
        <v>12698</v>
      </c>
      <c r="C3339" s="612" t="s">
        <v>12699</v>
      </c>
      <c r="D3339" s="612" t="s">
        <v>12700</v>
      </c>
      <c r="E3339" s="637" t="s">
        <v>12702</v>
      </c>
      <c r="F3339" s="801" t="s">
        <v>12704</v>
      </c>
      <c r="G3339" s="801"/>
      <c r="H3339" s="801" t="s">
        <v>13678</v>
      </c>
      <c r="I3339" s="801"/>
      <c r="J3339" s="801" t="s">
        <v>12705</v>
      </c>
      <c r="K3339" s="801"/>
      <c r="L3339" s="801"/>
    </row>
    <row r="3340" spans="1:12" ht="17.100000000000001" customHeight="1">
      <c r="A3340" s="626" t="s">
        <v>12709</v>
      </c>
      <c r="B3340" s="627" t="s">
        <v>13002</v>
      </c>
      <c r="C3340" s="626" t="s">
        <v>8</v>
      </c>
      <c r="D3340" s="626" t="s">
        <v>9306</v>
      </c>
      <c r="E3340" s="628" t="s">
        <v>23</v>
      </c>
      <c r="F3340" s="816" t="s">
        <v>13677</v>
      </c>
      <c r="G3340" s="816"/>
      <c r="H3340" s="816">
        <v>0.86049140000000002</v>
      </c>
      <c r="I3340" s="816"/>
      <c r="J3340" s="817">
        <v>0.30120000000000002</v>
      </c>
      <c r="K3340" s="817"/>
      <c r="L3340" s="817"/>
    </row>
    <row r="3341" spans="1:12" ht="25.5">
      <c r="A3341" s="626" t="s">
        <v>12709</v>
      </c>
      <c r="B3341" s="627" t="s">
        <v>13004</v>
      </c>
      <c r="C3341" s="626" t="s">
        <v>8</v>
      </c>
      <c r="D3341" s="626" t="s">
        <v>7388</v>
      </c>
      <c r="E3341" s="628" t="s">
        <v>23</v>
      </c>
      <c r="F3341" s="816" t="s">
        <v>13676</v>
      </c>
      <c r="G3341" s="816"/>
      <c r="H3341" s="816">
        <v>0.86049140000000002</v>
      </c>
      <c r="I3341" s="816"/>
      <c r="J3341" s="817">
        <v>1.8931</v>
      </c>
      <c r="K3341" s="817"/>
      <c r="L3341" s="817"/>
    </row>
    <row r="3342" spans="1:12" ht="17.100000000000001" customHeight="1">
      <c r="A3342" s="636"/>
      <c r="B3342" s="636"/>
      <c r="C3342" s="636"/>
      <c r="D3342" s="636"/>
      <c r="E3342" s="636"/>
      <c r="F3342" s="636"/>
      <c r="G3342" s="636"/>
      <c r="H3342" s="636"/>
      <c r="I3342" s="636"/>
      <c r="J3342" s="636" t="s">
        <v>13675</v>
      </c>
      <c r="K3342" s="636"/>
      <c r="L3342" s="636" t="s">
        <v>13817</v>
      </c>
    </row>
    <row r="3343" spans="1:12" ht="24" customHeight="1">
      <c r="A3343" s="612" t="s">
        <v>13673</v>
      </c>
      <c r="B3343" s="612"/>
      <c r="C3343" s="612"/>
      <c r="D3343" s="612"/>
      <c r="E3343" s="612"/>
      <c r="F3343" s="612"/>
      <c r="G3343" s="612"/>
      <c r="H3343" s="612"/>
      <c r="I3343" s="612"/>
      <c r="J3343" s="612"/>
      <c r="K3343" s="612"/>
      <c r="L3343" s="612"/>
    </row>
    <row r="3344" spans="1:12" ht="17.100000000000001" customHeight="1">
      <c r="A3344" s="636"/>
      <c r="B3344" s="636"/>
      <c r="C3344" s="636"/>
      <c r="D3344" s="636"/>
      <c r="E3344" s="636"/>
      <c r="F3344" s="636"/>
      <c r="G3344" s="636"/>
      <c r="H3344" s="636"/>
      <c r="I3344" s="636"/>
      <c r="J3344" s="636" t="s">
        <v>13672</v>
      </c>
      <c r="K3344" s="636"/>
      <c r="L3344" s="636" t="s">
        <v>15174</v>
      </c>
    </row>
    <row r="3345" spans="1:12">
      <c r="A3345" s="636"/>
      <c r="B3345" s="636"/>
      <c r="C3345" s="636"/>
      <c r="D3345" s="636"/>
      <c r="E3345" s="636"/>
      <c r="F3345" s="636"/>
      <c r="G3345" s="636"/>
      <c r="H3345" s="636"/>
      <c r="I3345" s="636"/>
      <c r="J3345" s="636" t="s">
        <v>13671</v>
      </c>
      <c r="K3345" s="636" t="s">
        <v>14461</v>
      </c>
      <c r="L3345" s="636" t="s">
        <v>15175</v>
      </c>
    </row>
    <row r="3346" spans="1:12" ht="17.100000000000001" customHeight="1">
      <c r="A3346" s="636"/>
      <c r="B3346" s="636"/>
      <c r="C3346" s="636"/>
      <c r="D3346" s="636"/>
      <c r="E3346" s="636"/>
      <c r="F3346" s="636"/>
      <c r="G3346" s="636"/>
      <c r="H3346" s="636"/>
      <c r="I3346" s="636"/>
      <c r="J3346" s="636" t="s">
        <v>13670</v>
      </c>
      <c r="K3346" s="636"/>
      <c r="L3346" s="636" t="s">
        <v>15176</v>
      </c>
    </row>
    <row r="3347" spans="1:12" ht="24" customHeight="1">
      <c r="A3347" s="636"/>
      <c r="B3347" s="636"/>
      <c r="C3347" s="636"/>
      <c r="D3347" s="636"/>
      <c r="E3347" s="636"/>
      <c r="F3347" s="636"/>
      <c r="G3347" s="636"/>
      <c r="H3347" s="636"/>
      <c r="I3347" s="636"/>
      <c r="J3347" s="636" t="s">
        <v>13669</v>
      </c>
      <c r="K3347" s="636" t="s">
        <v>13667</v>
      </c>
      <c r="L3347" s="636" t="s">
        <v>15177</v>
      </c>
    </row>
    <row r="3348" spans="1:12" ht="17.100000000000001" customHeight="1">
      <c r="A3348" s="636"/>
      <c r="B3348" s="636"/>
      <c r="C3348" s="636"/>
      <c r="D3348" s="636"/>
      <c r="E3348" s="636"/>
      <c r="F3348" s="636"/>
      <c r="G3348" s="636"/>
      <c r="H3348" s="636"/>
      <c r="I3348" s="636"/>
      <c r="J3348" s="636" t="s">
        <v>13668</v>
      </c>
      <c r="K3348" s="636"/>
      <c r="L3348" s="636" t="s">
        <v>15178</v>
      </c>
    </row>
    <row r="3349" spans="1:12">
      <c r="A3349" s="637"/>
      <c r="B3349" s="637"/>
      <c r="C3349" s="637"/>
      <c r="D3349" s="637"/>
      <c r="E3349" s="637"/>
      <c r="F3349" s="637"/>
      <c r="G3349" s="637"/>
      <c r="H3349" s="637"/>
      <c r="I3349" s="637"/>
      <c r="J3349" s="637"/>
      <c r="K3349" s="637"/>
      <c r="L3349" s="637"/>
    </row>
    <row r="3350" spans="1:12" ht="17.100000000000001" customHeight="1">
      <c r="A3350" s="616" t="s">
        <v>14161</v>
      </c>
      <c r="B3350" s="617" t="s">
        <v>13573</v>
      </c>
      <c r="C3350" s="616" t="s">
        <v>8</v>
      </c>
      <c r="D3350" s="616" t="s">
        <v>233</v>
      </c>
      <c r="E3350" s="618" t="s">
        <v>12725</v>
      </c>
      <c r="F3350" s="617"/>
      <c r="G3350" s="617"/>
      <c r="H3350" s="617"/>
      <c r="I3350" s="617"/>
      <c r="J3350" s="617"/>
      <c r="K3350" s="617"/>
      <c r="L3350" s="617"/>
    </row>
    <row r="3351" spans="1:12" ht="24" customHeight="1">
      <c r="A3351" s="802" t="s">
        <v>12711</v>
      </c>
      <c r="B3351" s="802"/>
      <c r="C3351" s="802"/>
      <c r="D3351" s="802"/>
      <c r="E3351" s="802"/>
      <c r="F3351" s="802"/>
      <c r="G3351" s="802"/>
      <c r="H3351" s="802"/>
      <c r="I3351" s="612"/>
      <c r="J3351" s="612"/>
      <c r="K3351" s="612"/>
      <c r="L3351" s="612"/>
    </row>
    <row r="3352" spans="1:12" ht="24" customHeight="1">
      <c r="A3352" s="612" t="s">
        <v>13679</v>
      </c>
      <c r="B3352" s="636" t="s">
        <v>12698</v>
      </c>
      <c r="C3352" s="612" t="s">
        <v>12699</v>
      </c>
      <c r="D3352" s="612" t="s">
        <v>12700</v>
      </c>
      <c r="E3352" s="637" t="s">
        <v>12702</v>
      </c>
      <c r="F3352" s="801" t="s">
        <v>12704</v>
      </c>
      <c r="G3352" s="801"/>
      <c r="H3352" s="801" t="s">
        <v>13678</v>
      </c>
      <c r="I3352" s="801"/>
      <c r="J3352" s="801" t="s">
        <v>12705</v>
      </c>
      <c r="K3352" s="801"/>
      <c r="L3352" s="801"/>
    </row>
    <row r="3353" spans="1:12" ht="17.100000000000001" customHeight="1">
      <c r="A3353" s="626" t="s">
        <v>12709</v>
      </c>
      <c r="B3353" s="627" t="s">
        <v>13302</v>
      </c>
      <c r="C3353" s="626" t="s">
        <v>8</v>
      </c>
      <c r="D3353" s="626" t="s">
        <v>7676</v>
      </c>
      <c r="E3353" s="628" t="s">
        <v>35</v>
      </c>
      <c r="F3353" s="816" t="s">
        <v>14526</v>
      </c>
      <c r="G3353" s="816"/>
      <c r="H3353" s="816">
        <v>1.5999999999999999E-6</v>
      </c>
      <c r="I3353" s="816"/>
      <c r="J3353" s="817">
        <v>5.7999999999999996E-3</v>
      </c>
      <c r="K3353" s="817"/>
      <c r="L3353" s="817"/>
    </row>
    <row r="3354" spans="1:12" ht="17.100000000000001" customHeight="1">
      <c r="A3354" s="626" t="s">
        <v>12709</v>
      </c>
      <c r="B3354" s="627" t="s">
        <v>13003</v>
      </c>
      <c r="C3354" s="626" t="s">
        <v>8</v>
      </c>
      <c r="D3354" s="626" t="s">
        <v>9227</v>
      </c>
      <c r="E3354" s="628" t="s">
        <v>23</v>
      </c>
      <c r="F3354" s="816" t="s">
        <v>13732</v>
      </c>
      <c r="G3354" s="816"/>
      <c r="H3354" s="816">
        <v>1.8082399999999998E-2</v>
      </c>
      <c r="I3354" s="816"/>
      <c r="J3354" s="817">
        <v>1.1900000000000001E-2</v>
      </c>
      <c r="K3354" s="817"/>
      <c r="L3354" s="817"/>
    </row>
    <row r="3355" spans="1:12" ht="17.100000000000001" customHeight="1">
      <c r="A3355" s="626" t="s">
        <v>12709</v>
      </c>
      <c r="B3355" s="627" t="s">
        <v>13001</v>
      </c>
      <c r="C3355" s="626" t="s">
        <v>8</v>
      </c>
      <c r="D3355" s="626" t="s">
        <v>9374</v>
      </c>
      <c r="E3355" s="628" t="s">
        <v>23</v>
      </c>
      <c r="F3355" s="816" t="s">
        <v>13728</v>
      </c>
      <c r="G3355" s="816"/>
      <c r="H3355" s="816">
        <v>1.8082399999999998E-2</v>
      </c>
      <c r="I3355" s="816"/>
      <c r="J3355" s="817">
        <v>2.0000000000000001E-4</v>
      </c>
      <c r="K3355" s="817"/>
      <c r="L3355" s="817"/>
    </row>
    <row r="3356" spans="1:12" ht="17.100000000000001" customHeight="1">
      <c r="A3356" s="626" t="s">
        <v>12709</v>
      </c>
      <c r="B3356" s="627" t="s">
        <v>13052</v>
      </c>
      <c r="C3356" s="626" t="s">
        <v>8</v>
      </c>
      <c r="D3356" s="626" t="s">
        <v>9229</v>
      </c>
      <c r="E3356" s="628" t="s">
        <v>23</v>
      </c>
      <c r="F3356" s="816" t="s">
        <v>13692</v>
      </c>
      <c r="G3356" s="816"/>
      <c r="H3356" s="816">
        <v>0.1823787</v>
      </c>
      <c r="I3356" s="816"/>
      <c r="J3356" s="817">
        <v>0.17510000000000001</v>
      </c>
      <c r="K3356" s="817"/>
      <c r="L3356" s="817"/>
    </row>
    <row r="3357" spans="1:12" ht="17.100000000000001" customHeight="1">
      <c r="A3357" s="626" t="s">
        <v>12709</v>
      </c>
      <c r="B3357" s="627" t="s">
        <v>13051</v>
      </c>
      <c r="C3357" s="626" t="s">
        <v>8</v>
      </c>
      <c r="D3357" s="626" t="s">
        <v>9376</v>
      </c>
      <c r="E3357" s="628" t="s">
        <v>23</v>
      </c>
      <c r="F3357" s="816" t="s">
        <v>13691</v>
      </c>
      <c r="G3357" s="816"/>
      <c r="H3357" s="816">
        <v>0.1823787</v>
      </c>
      <c r="I3357" s="816"/>
      <c r="J3357" s="817">
        <v>9.1200000000000003E-2</v>
      </c>
      <c r="K3357" s="817"/>
      <c r="L3357" s="817"/>
    </row>
    <row r="3358" spans="1:12" ht="17.100000000000001" customHeight="1">
      <c r="A3358" s="626" t="s">
        <v>12709</v>
      </c>
      <c r="B3358" s="627" t="s">
        <v>13048</v>
      </c>
      <c r="C3358" s="626" t="s">
        <v>8</v>
      </c>
      <c r="D3358" s="626" t="s">
        <v>9233</v>
      </c>
      <c r="E3358" s="628" t="s">
        <v>23</v>
      </c>
      <c r="F3358" s="816" t="s">
        <v>13690</v>
      </c>
      <c r="G3358" s="816"/>
      <c r="H3358" s="816">
        <v>9.0691099999999997E-2</v>
      </c>
      <c r="I3358" s="816"/>
      <c r="J3358" s="817">
        <v>9.2499999999999999E-2</v>
      </c>
      <c r="K3358" s="817"/>
      <c r="L3358" s="817"/>
    </row>
    <row r="3359" spans="1:12" ht="17.100000000000001" customHeight="1">
      <c r="A3359" s="626" t="s">
        <v>12709</v>
      </c>
      <c r="B3359" s="627" t="s">
        <v>13047</v>
      </c>
      <c r="C3359" s="626" t="s">
        <v>8</v>
      </c>
      <c r="D3359" s="626" t="s">
        <v>9380</v>
      </c>
      <c r="E3359" s="628" t="s">
        <v>23</v>
      </c>
      <c r="F3359" s="816" t="s">
        <v>13689</v>
      </c>
      <c r="G3359" s="816"/>
      <c r="H3359" s="816">
        <v>9.0691099999999997E-2</v>
      </c>
      <c r="I3359" s="816"/>
      <c r="J3359" s="817">
        <v>3.4500000000000003E-2</v>
      </c>
      <c r="K3359" s="817"/>
      <c r="L3359" s="817"/>
    </row>
    <row r="3360" spans="1:12" ht="30" customHeight="1">
      <c r="A3360" s="636"/>
      <c r="B3360" s="636"/>
      <c r="C3360" s="636"/>
      <c r="D3360" s="636"/>
      <c r="E3360" s="636"/>
      <c r="F3360" s="636"/>
      <c r="G3360" s="636"/>
      <c r="H3360" s="636"/>
      <c r="I3360" s="636"/>
      <c r="J3360" s="636" t="s">
        <v>13675</v>
      </c>
      <c r="K3360" s="636"/>
      <c r="L3360" s="636" t="s">
        <v>13905</v>
      </c>
    </row>
    <row r="3361" spans="1:12" ht="60" customHeight="1">
      <c r="A3361" s="802" t="s">
        <v>12710</v>
      </c>
      <c r="B3361" s="802"/>
      <c r="C3361" s="802"/>
      <c r="D3361" s="802"/>
      <c r="E3361" s="802"/>
      <c r="F3361" s="802"/>
      <c r="G3361" s="802"/>
      <c r="H3361" s="802"/>
      <c r="I3361" s="612"/>
      <c r="J3361" s="612"/>
      <c r="K3361" s="612"/>
      <c r="L3361" s="612"/>
    </row>
    <row r="3362" spans="1:12" ht="14.25" customHeight="1">
      <c r="A3362" s="612" t="s">
        <v>13679</v>
      </c>
      <c r="B3362" s="636" t="s">
        <v>12698</v>
      </c>
      <c r="C3362" s="612" t="s">
        <v>12699</v>
      </c>
      <c r="D3362" s="612" t="s">
        <v>12700</v>
      </c>
      <c r="E3362" s="637" t="s">
        <v>12702</v>
      </c>
      <c r="F3362" s="801" t="s">
        <v>12704</v>
      </c>
      <c r="G3362" s="801"/>
      <c r="H3362" s="801" t="s">
        <v>13678</v>
      </c>
      <c r="I3362" s="801"/>
      <c r="J3362" s="801" t="s">
        <v>12705</v>
      </c>
      <c r="K3362" s="801"/>
      <c r="L3362" s="801"/>
    </row>
    <row r="3363" spans="1:12" ht="17.100000000000001" customHeight="1">
      <c r="A3363" s="626" t="s">
        <v>12709</v>
      </c>
      <c r="B3363" s="627" t="s">
        <v>13116</v>
      </c>
      <c r="C3363" s="626" t="s">
        <v>8</v>
      </c>
      <c r="D3363" s="626" t="s">
        <v>10556</v>
      </c>
      <c r="E3363" s="628" t="s">
        <v>23</v>
      </c>
      <c r="F3363" s="816" t="s">
        <v>13770</v>
      </c>
      <c r="G3363" s="816"/>
      <c r="H3363" s="816">
        <v>1.8182500000000001E-2</v>
      </c>
      <c r="I3363" s="816"/>
      <c r="J3363" s="817">
        <v>8.6699999999999999E-2</v>
      </c>
      <c r="K3363" s="817"/>
      <c r="L3363" s="817"/>
    </row>
    <row r="3364" spans="1:12" ht="36" customHeight="1">
      <c r="A3364" s="626" t="s">
        <v>12709</v>
      </c>
      <c r="B3364" s="627" t="s">
        <v>13099</v>
      </c>
      <c r="C3364" s="626" t="s">
        <v>8</v>
      </c>
      <c r="D3364" s="626" t="s">
        <v>10726</v>
      </c>
      <c r="E3364" s="628" t="s">
        <v>23</v>
      </c>
      <c r="F3364" s="816" t="s">
        <v>14470</v>
      </c>
      <c r="G3364" s="816"/>
      <c r="H3364" s="816">
        <v>0.18501100000000001</v>
      </c>
      <c r="I3364" s="816"/>
      <c r="J3364" s="817">
        <v>1.2784</v>
      </c>
      <c r="K3364" s="817"/>
      <c r="L3364" s="817"/>
    </row>
    <row r="3365" spans="1:12" ht="24" customHeight="1">
      <c r="A3365" s="626" t="s">
        <v>12709</v>
      </c>
      <c r="B3365" s="627" t="s">
        <v>13046</v>
      </c>
      <c r="C3365" s="626" t="s">
        <v>8</v>
      </c>
      <c r="D3365" s="626" t="s">
        <v>11281</v>
      </c>
      <c r="E3365" s="628" t="s">
        <v>23</v>
      </c>
      <c r="F3365" s="816" t="s">
        <v>13731</v>
      </c>
      <c r="G3365" s="816"/>
      <c r="H3365" s="816">
        <v>9.1999999999999998E-2</v>
      </c>
      <c r="I3365" s="816"/>
      <c r="J3365" s="817">
        <v>0.47289999999999999</v>
      </c>
      <c r="K3365" s="817"/>
      <c r="L3365" s="817"/>
    </row>
    <row r="3366" spans="1:12" ht="24" customHeight="1">
      <c r="A3366" s="636"/>
      <c r="B3366" s="636"/>
      <c r="C3366" s="636"/>
      <c r="D3366" s="636"/>
      <c r="E3366" s="636"/>
      <c r="F3366" s="636"/>
      <c r="G3366" s="636"/>
      <c r="H3366" s="636"/>
      <c r="I3366" s="636"/>
      <c r="J3366" s="636" t="s">
        <v>13675</v>
      </c>
      <c r="K3366" s="636"/>
      <c r="L3366" s="636" t="s">
        <v>14599</v>
      </c>
    </row>
    <row r="3367" spans="1:12" ht="24" customHeight="1">
      <c r="A3367" s="802" t="s">
        <v>12720</v>
      </c>
      <c r="B3367" s="802"/>
      <c r="C3367" s="802"/>
      <c r="D3367" s="802"/>
      <c r="E3367" s="802"/>
      <c r="F3367" s="802"/>
      <c r="G3367" s="802"/>
      <c r="H3367" s="802"/>
      <c r="I3367" s="612"/>
      <c r="J3367" s="612"/>
      <c r="K3367" s="612"/>
      <c r="L3367" s="612"/>
    </row>
    <row r="3368" spans="1:12" ht="24" customHeight="1">
      <c r="A3368" s="612" t="s">
        <v>13679</v>
      </c>
      <c r="B3368" s="636" t="s">
        <v>12698</v>
      </c>
      <c r="C3368" s="612" t="s">
        <v>12699</v>
      </c>
      <c r="D3368" s="612" t="s">
        <v>12700</v>
      </c>
      <c r="E3368" s="637" t="s">
        <v>12702</v>
      </c>
      <c r="F3368" s="801" t="s">
        <v>12704</v>
      </c>
      <c r="G3368" s="801"/>
      <c r="H3368" s="801" t="s">
        <v>13678</v>
      </c>
      <c r="I3368" s="801"/>
      <c r="J3368" s="801" t="s">
        <v>12705</v>
      </c>
      <c r="K3368" s="801"/>
      <c r="L3368" s="801"/>
    </row>
    <row r="3369" spans="1:12" ht="24" customHeight="1">
      <c r="A3369" s="626" t="s">
        <v>12709</v>
      </c>
      <c r="B3369" s="627" t="s">
        <v>13249</v>
      </c>
      <c r="C3369" s="626" t="s">
        <v>8</v>
      </c>
      <c r="D3369" s="626" t="s">
        <v>8420</v>
      </c>
      <c r="E3369" s="628" t="s">
        <v>20</v>
      </c>
      <c r="F3369" s="816" t="s">
        <v>13700</v>
      </c>
      <c r="G3369" s="816"/>
      <c r="H3369" s="816">
        <v>1.7851769</v>
      </c>
      <c r="I3369" s="816"/>
      <c r="J3369" s="817">
        <v>0.87470000000000003</v>
      </c>
      <c r="K3369" s="817"/>
      <c r="L3369" s="817"/>
    </row>
    <row r="3370" spans="1:12" ht="24" customHeight="1">
      <c r="A3370" s="626" t="s">
        <v>12709</v>
      </c>
      <c r="B3370" s="627" t="s">
        <v>13315</v>
      </c>
      <c r="C3370" s="626" t="s">
        <v>8</v>
      </c>
      <c r="D3370" s="626" t="s">
        <v>7525</v>
      </c>
      <c r="E3370" s="628" t="s">
        <v>12730</v>
      </c>
      <c r="F3370" s="816" t="s">
        <v>14519</v>
      </c>
      <c r="G3370" s="816"/>
      <c r="H3370" s="816">
        <v>3.9765E-3</v>
      </c>
      <c r="I3370" s="816"/>
      <c r="J3370" s="817">
        <v>0.26440000000000002</v>
      </c>
      <c r="K3370" s="817"/>
      <c r="L3370" s="817"/>
    </row>
    <row r="3371" spans="1:12" ht="17.100000000000001" customHeight="1">
      <c r="A3371" s="626" t="s">
        <v>12709</v>
      </c>
      <c r="B3371" s="627" t="s">
        <v>12987</v>
      </c>
      <c r="C3371" s="626" t="s">
        <v>8</v>
      </c>
      <c r="D3371" s="626" t="s">
        <v>9192</v>
      </c>
      <c r="E3371" s="628" t="s">
        <v>12923</v>
      </c>
      <c r="F3371" s="816" t="s">
        <v>13999</v>
      </c>
      <c r="G3371" s="816"/>
      <c r="H3371" s="816">
        <v>5.2845000000000001E-3</v>
      </c>
      <c r="I3371" s="816"/>
      <c r="J3371" s="817">
        <v>4.3E-3</v>
      </c>
      <c r="K3371" s="817"/>
      <c r="L3371" s="817"/>
    </row>
    <row r="3372" spans="1:12" ht="14.25" customHeight="1">
      <c r="A3372" s="636"/>
      <c r="B3372" s="636"/>
      <c r="C3372" s="636"/>
      <c r="D3372" s="636"/>
      <c r="E3372" s="636"/>
      <c r="F3372" s="636"/>
      <c r="G3372" s="636"/>
      <c r="H3372" s="636"/>
      <c r="I3372" s="636"/>
      <c r="J3372" s="636" t="s">
        <v>13675</v>
      </c>
      <c r="K3372" s="636"/>
      <c r="L3372" s="636" t="s">
        <v>14182</v>
      </c>
    </row>
    <row r="3373" spans="1:12" ht="17.100000000000001" customHeight="1">
      <c r="A3373" s="802" t="s">
        <v>12722</v>
      </c>
      <c r="B3373" s="802"/>
      <c r="C3373" s="802"/>
      <c r="D3373" s="802"/>
      <c r="E3373" s="802"/>
      <c r="F3373" s="802"/>
      <c r="G3373" s="802"/>
      <c r="H3373" s="802"/>
      <c r="I3373" s="612"/>
      <c r="J3373" s="612"/>
      <c r="K3373" s="612"/>
      <c r="L3373" s="612"/>
    </row>
    <row r="3374" spans="1:12" ht="24" customHeight="1">
      <c r="A3374" s="612" t="s">
        <v>13679</v>
      </c>
      <c r="B3374" s="636" t="s">
        <v>12698</v>
      </c>
      <c r="C3374" s="612" t="s">
        <v>12699</v>
      </c>
      <c r="D3374" s="612" t="s">
        <v>12700</v>
      </c>
      <c r="E3374" s="637" t="s">
        <v>12702</v>
      </c>
      <c r="F3374" s="801" t="s">
        <v>12704</v>
      </c>
      <c r="G3374" s="801"/>
      <c r="H3374" s="801" t="s">
        <v>13678</v>
      </c>
      <c r="I3374" s="801"/>
      <c r="J3374" s="801" t="s">
        <v>12705</v>
      </c>
      <c r="K3374" s="801"/>
      <c r="L3374" s="801"/>
    </row>
    <row r="3375" spans="1:12" ht="24" customHeight="1">
      <c r="A3375" s="626" t="s">
        <v>12709</v>
      </c>
      <c r="B3375" s="627" t="s">
        <v>12998</v>
      </c>
      <c r="C3375" s="626" t="s">
        <v>8</v>
      </c>
      <c r="D3375" s="626" t="s">
        <v>11861</v>
      </c>
      <c r="E3375" s="628" t="s">
        <v>23</v>
      </c>
      <c r="F3375" s="816" t="s">
        <v>13683</v>
      </c>
      <c r="G3375" s="816"/>
      <c r="H3375" s="816">
        <v>0.29115220000000003</v>
      </c>
      <c r="I3375" s="816"/>
      <c r="J3375" s="817">
        <v>0.20669999999999999</v>
      </c>
      <c r="K3375" s="817"/>
      <c r="L3375" s="817"/>
    </row>
    <row r="3376" spans="1:12" ht="24" customHeight="1">
      <c r="A3376" s="636"/>
      <c r="B3376" s="636"/>
      <c r="C3376" s="636"/>
      <c r="D3376" s="636"/>
      <c r="E3376" s="636"/>
      <c r="F3376" s="636"/>
      <c r="G3376" s="636"/>
      <c r="H3376" s="636"/>
      <c r="I3376" s="636"/>
      <c r="J3376" s="636" t="s">
        <v>13675</v>
      </c>
      <c r="K3376" s="636"/>
      <c r="L3376" s="636" t="s">
        <v>13775</v>
      </c>
    </row>
    <row r="3377" spans="1:12" ht="17.100000000000001" customHeight="1">
      <c r="A3377" s="802" t="s">
        <v>12713</v>
      </c>
      <c r="B3377" s="802"/>
      <c r="C3377" s="802"/>
      <c r="D3377" s="802"/>
      <c r="E3377" s="802"/>
      <c r="F3377" s="802"/>
      <c r="G3377" s="802"/>
      <c r="H3377" s="802"/>
      <c r="I3377" s="612"/>
      <c r="J3377" s="612"/>
      <c r="K3377" s="612"/>
      <c r="L3377" s="612"/>
    </row>
    <row r="3378" spans="1:12">
      <c r="A3378" s="612" t="s">
        <v>13679</v>
      </c>
      <c r="B3378" s="636" t="s">
        <v>12698</v>
      </c>
      <c r="C3378" s="612" t="s">
        <v>12699</v>
      </c>
      <c r="D3378" s="612" t="s">
        <v>12700</v>
      </c>
      <c r="E3378" s="637" t="s">
        <v>12702</v>
      </c>
      <c r="F3378" s="801" t="s">
        <v>12704</v>
      </c>
      <c r="G3378" s="801"/>
      <c r="H3378" s="801" t="s">
        <v>13678</v>
      </c>
      <c r="I3378" s="801"/>
      <c r="J3378" s="801" t="s">
        <v>12705</v>
      </c>
      <c r="K3378" s="801"/>
      <c r="L3378" s="801"/>
    </row>
    <row r="3379" spans="1:12" ht="17.100000000000001" customHeight="1">
      <c r="A3379" s="626" t="s">
        <v>12709</v>
      </c>
      <c r="B3379" s="627" t="s">
        <v>12999</v>
      </c>
      <c r="C3379" s="626" t="s">
        <v>8</v>
      </c>
      <c r="D3379" s="626" t="s">
        <v>11251</v>
      </c>
      <c r="E3379" s="628" t="s">
        <v>23</v>
      </c>
      <c r="F3379" s="816" t="s">
        <v>13681</v>
      </c>
      <c r="G3379" s="816"/>
      <c r="H3379" s="816">
        <v>0.29115220000000003</v>
      </c>
      <c r="I3379" s="816"/>
      <c r="J3379" s="817">
        <v>2.0400000000000001E-2</v>
      </c>
      <c r="K3379" s="817"/>
      <c r="L3379" s="817"/>
    </row>
    <row r="3380" spans="1:12" ht="24" customHeight="1">
      <c r="A3380" s="636"/>
      <c r="B3380" s="636"/>
      <c r="C3380" s="636"/>
      <c r="D3380" s="636"/>
      <c r="E3380" s="636"/>
      <c r="F3380" s="636"/>
      <c r="G3380" s="636"/>
      <c r="H3380" s="636"/>
      <c r="I3380" s="636"/>
      <c r="J3380" s="636" t="s">
        <v>13675</v>
      </c>
      <c r="K3380" s="636"/>
      <c r="L3380" s="636" t="s">
        <v>13680</v>
      </c>
    </row>
    <row r="3381" spans="1:12" ht="24" customHeight="1">
      <c r="A3381" s="802" t="s">
        <v>12712</v>
      </c>
      <c r="B3381" s="802"/>
      <c r="C3381" s="802"/>
      <c r="D3381" s="802"/>
      <c r="E3381" s="802"/>
      <c r="F3381" s="802"/>
      <c r="G3381" s="802"/>
      <c r="H3381" s="802"/>
      <c r="I3381" s="612"/>
      <c r="J3381" s="612"/>
      <c r="K3381" s="612"/>
      <c r="L3381" s="612"/>
    </row>
    <row r="3382" spans="1:12" ht="24" customHeight="1">
      <c r="A3382" s="612" t="s">
        <v>13679</v>
      </c>
      <c r="B3382" s="636" t="s">
        <v>12698</v>
      </c>
      <c r="C3382" s="612" t="s">
        <v>12699</v>
      </c>
      <c r="D3382" s="612" t="s">
        <v>12700</v>
      </c>
      <c r="E3382" s="637" t="s">
        <v>12702</v>
      </c>
      <c r="F3382" s="801" t="s">
        <v>12704</v>
      </c>
      <c r="G3382" s="801"/>
      <c r="H3382" s="801" t="s">
        <v>13678</v>
      </c>
      <c r="I3382" s="801"/>
      <c r="J3382" s="801" t="s">
        <v>12705</v>
      </c>
      <c r="K3382" s="801"/>
      <c r="L3382" s="801"/>
    </row>
    <row r="3383" spans="1:12" ht="24" customHeight="1">
      <c r="A3383" s="626" t="s">
        <v>12709</v>
      </c>
      <c r="B3383" s="627" t="s">
        <v>13002</v>
      </c>
      <c r="C3383" s="626" t="s">
        <v>8</v>
      </c>
      <c r="D3383" s="626" t="s">
        <v>9306</v>
      </c>
      <c r="E3383" s="628" t="s">
        <v>23</v>
      </c>
      <c r="F3383" s="816" t="s">
        <v>13677</v>
      </c>
      <c r="G3383" s="816"/>
      <c r="H3383" s="816">
        <v>0.29115220000000003</v>
      </c>
      <c r="I3383" s="816"/>
      <c r="J3383" s="817">
        <v>0.1019</v>
      </c>
      <c r="K3383" s="817"/>
      <c r="L3383" s="817"/>
    </row>
    <row r="3384" spans="1:12" ht="17.100000000000001" customHeight="1">
      <c r="A3384" s="626" t="s">
        <v>12709</v>
      </c>
      <c r="B3384" s="627" t="s">
        <v>13004</v>
      </c>
      <c r="C3384" s="626" t="s">
        <v>8</v>
      </c>
      <c r="D3384" s="626" t="s">
        <v>7388</v>
      </c>
      <c r="E3384" s="628" t="s">
        <v>23</v>
      </c>
      <c r="F3384" s="816" t="s">
        <v>13676</v>
      </c>
      <c r="G3384" s="816"/>
      <c r="H3384" s="816">
        <v>0.29115220000000003</v>
      </c>
      <c r="I3384" s="816"/>
      <c r="J3384" s="817">
        <v>0.64049999999999996</v>
      </c>
      <c r="K3384" s="817"/>
      <c r="L3384" s="817"/>
    </row>
    <row r="3385" spans="1:12">
      <c r="A3385" s="636"/>
      <c r="B3385" s="636"/>
      <c r="C3385" s="636"/>
      <c r="D3385" s="636"/>
      <c r="E3385" s="636"/>
      <c r="F3385" s="636"/>
      <c r="G3385" s="636"/>
      <c r="H3385" s="636"/>
      <c r="I3385" s="636"/>
      <c r="J3385" s="636" t="s">
        <v>13675</v>
      </c>
      <c r="K3385" s="636"/>
      <c r="L3385" s="636" t="s">
        <v>13720</v>
      </c>
    </row>
    <row r="3386" spans="1:12" ht="17.100000000000001" customHeight="1">
      <c r="A3386" s="612" t="s">
        <v>13673</v>
      </c>
      <c r="B3386" s="612"/>
      <c r="C3386" s="612"/>
      <c r="D3386" s="612"/>
      <c r="E3386" s="612"/>
      <c r="F3386" s="612"/>
      <c r="G3386" s="612"/>
      <c r="H3386" s="612"/>
      <c r="I3386" s="612"/>
      <c r="J3386" s="612"/>
      <c r="K3386" s="612"/>
      <c r="L3386" s="612"/>
    </row>
    <row r="3387" spans="1:12" ht="24" customHeight="1">
      <c r="A3387" s="636"/>
      <c r="B3387" s="636"/>
      <c r="C3387" s="636"/>
      <c r="D3387" s="636"/>
      <c r="E3387" s="636"/>
      <c r="F3387" s="636"/>
      <c r="G3387" s="636"/>
      <c r="H3387" s="636"/>
      <c r="I3387" s="636"/>
      <c r="J3387" s="636" t="s">
        <v>13672</v>
      </c>
      <c r="K3387" s="636"/>
      <c r="L3387" s="636" t="s">
        <v>15179</v>
      </c>
    </row>
    <row r="3388" spans="1:12" ht="17.100000000000001" customHeight="1">
      <c r="A3388" s="636"/>
      <c r="B3388" s="636"/>
      <c r="C3388" s="636"/>
      <c r="D3388" s="636"/>
      <c r="E3388" s="636"/>
      <c r="F3388" s="636"/>
      <c r="G3388" s="636"/>
      <c r="H3388" s="636"/>
      <c r="I3388" s="636"/>
      <c r="J3388" s="636" t="s">
        <v>13671</v>
      </c>
      <c r="K3388" s="636" t="s">
        <v>14461</v>
      </c>
      <c r="L3388" s="636" t="s">
        <v>14895</v>
      </c>
    </row>
    <row r="3389" spans="1:12">
      <c r="A3389" s="636"/>
      <c r="B3389" s="636"/>
      <c r="C3389" s="636"/>
      <c r="D3389" s="636"/>
      <c r="E3389" s="636"/>
      <c r="F3389" s="636"/>
      <c r="G3389" s="636"/>
      <c r="H3389" s="636"/>
      <c r="I3389" s="636"/>
      <c r="J3389" s="636" t="s">
        <v>13670</v>
      </c>
      <c r="K3389" s="636"/>
      <c r="L3389" s="636" t="s">
        <v>15180</v>
      </c>
    </row>
    <row r="3390" spans="1:12" ht="17.100000000000001" customHeight="1">
      <c r="A3390" s="636"/>
      <c r="B3390" s="636"/>
      <c r="C3390" s="636"/>
      <c r="D3390" s="636"/>
      <c r="E3390" s="636"/>
      <c r="F3390" s="636"/>
      <c r="G3390" s="636"/>
      <c r="H3390" s="636"/>
      <c r="I3390" s="636"/>
      <c r="J3390" s="636" t="s">
        <v>13669</v>
      </c>
      <c r="K3390" s="636" t="s">
        <v>13667</v>
      </c>
      <c r="L3390" s="636" t="s">
        <v>15181</v>
      </c>
    </row>
    <row r="3391" spans="1:12" ht="24" customHeight="1">
      <c r="A3391" s="636"/>
      <c r="B3391" s="636"/>
      <c r="C3391" s="636"/>
      <c r="D3391" s="636"/>
      <c r="E3391" s="636"/>
      <c r="F3391" s="636"/>
      <c r="G3391" s="636"/>
      <c r="H3391" s="636"/>
      <c r="I3391" s="636"/>
      <c r="J3391" s="636" t="s">
        <v>13668</v>
      </c>
      <c r="K3391" s="636"/>
      <c r="L3391" s="636" t="s">
        <v>15182</v>
      </c>
    </row>
    <row r="3392" spans="1:12" ht="17.100000000000001" customHeight="1">
      <c r="A3392" s="637"/>
      <c r="B3392" s="637"/>
      <c r="C3392" s="637"/>
      <c r="D3392" s="637"/>
      <c r="E3392" s="637"/>
      <c r="F3392" s="637"/>
      <c r="G3392" s="637"/>
      <c r="H3392" s="637"/>
      <c r="I3392" s="637"/>
      <c r="J3392" s="637"/>
      <c r="K3392" s="637"/>
      <c r="L3392" s="637"/>
    </row>
    <row r="3393" spans="1:12" ht="51">
      <c r="A3393" s="616" t="s">
        <v>14160</v>
      </c>
      <c r="B3393" s="617" t="s">
        <v>13572</v>
      </c>
      <c r="C3393" s="616" t="s">
        <v>8</v>
      </c>
      <c r="D3393" s="616" t="s">
        <v>1380</v>
      </c>
      <c r="E3393" s="618" t="s">
        <v>12725</v>
      </c>
      <c r="F3393" s="617"/>
      <c r="G3393" s="617"/>
      <c r="H3393" s="617"/>
      <c r="I3393" s="617"/>
      <c r="J3393" s="617"/>
      <c r="K3393" s="617"/>
      <c r="L3393" s="617"/>
    </row>
    <row r="3394" spans="1:12" ht="17.100000000000001" customHeight="1">
      <c r="A3394" s="802" t="s">
        <v>12711</v>
      </c>
      <c r="B3394" s="802"/>
      <c r="C3394" s="802"/>
      <c r="D3394" s="802"/>
      <c r="E3394" s="802"/>
      <c r="F3394" s="802"/>
      <c r="G3394" s="802"/>
      <c r="H3394" s="802"/>
      <c r="I3394" s="612"/>
      <c r="J3394" s="612"/>
      <c r="K3394" s="612"/>
      <c r="L3394" s="612"/>
    </row>
    <row r="3395" spans="1:12" ht="24" customHeight="1">
      <c r="A3395" s="612" t="s">
        <v>13679</v>
      </c>
      <c r="B3395" s="636" t="s">
        <v>12698</v>
      </c>
      <c r="C3395" s="612" t="s">
        <v>12699</v>
      </c>
      <c r="D3395" s="612" t="s">
        <v>12700</v>
      </c>
      <c r="E3395" s="637" t="s">
        <v>12702</v>
      </c>
      <c r="F3395" s="801" t="s">
        <v>12704</v>
      </c>
      <c r="G3395" s="801"/>
      <c r="H3395" s="801" t="s">
        <v>13678</v>
      </c>
      <c r="I3395" s="801"/>
      <c r="J3395" s="801" t="s">
        <v>12705</v>
      </c>
      <c r="K3395" s="801"/>
      <c r="L3395" s="801"/>
    </row>
    <row r="3396" spans="1:12" ht="24" customHeight="1">
      <c r="A3396" s="626" t="s">
        <v>12709</v>
      </c>
      <c r="B3396" s="627" t="s">
        <v>13048</v>
      </c>
      <c r="C3396" s="626" t="s">
        <v>8</v>
      </c>
      <c r="D3396" s="626" t="s">
        <v>9233</v>
      </c>
      <c r="E3396" s="628" t="s">
        <v>23</v>
      </c>
      <c r="F3396" s="816" t="s">
        <v>13690</v>
      </c>
      <c r="G3396" s="816"/>
      <c r="H3396" s="816">
        <v>0.40274260000000001</v>
      </c>
      <c r="I3396" s="816"/>
      <c r="J3396" s="817">
        <v>0.4108</v>
      </c>
      <c r="K3396" s="817"/>
      <c r="L3396" s="817"/>
    </row>
    <row r="3397" spans="1:12" ht="17.100000000000001" customHeight="1">
      <c r="A3397" s="626" t="s">
        <v>12709</v>
      </c>
      <c r="B3397" s="627" t="s">
        <v>13047</v>
      </c>
      <c r="C3397" s="626" t="s">
        <v>8</v>
      </c>
      <c r="D3397" s="626" t="s">
        <v>9380</v>
      </c>
      <c r="E3397" s="628" t="s">
        <v>23</v>
      </c>
      <c r="F3397" s="816" t="s">
        <v>13689</v>
      </c>
      <c r="G3397" s="816"/>
      <c r="H3397" s="816">
        <v>0.40274260000000001</v>
      </c>
      <c r="I3397" s="816"/>
      <c r="J3397" s="817">
        <v>0.153</v>
      </c>
      <c r="K3397" s="817"/>
      <c r="L3397" s="817"/>
    </row>
    <row r="3398" spans="1:12" ht="17.100000000000001" customHeight="1">
      <c r="A3398" s="626" t="s">
        <v>12709</v>
      </c>
      <c r="B3398" s="627" t="s">
        <v>13052</v>
      </c>
      <c r="C3398" s="626" t="s">
        <v>8</v>
      </c>
      <c r="D3398" s="626" t="s">
        <v>9229</v>
      </c>
      <c r="E3398" s="628" t="s">
        <v>23</v>
      </c>
      <c r="F3398" s="816" t="s">
        <v>13692</v>
      </c>
      <c r="G3398" s="816"/>
      <c r="H3398" s="816">
        <v>0.45921620000000002</v>
      </c>
      <c r="I3398" s="816"/>
      <c r="J3398" s="817">
        <v>0.44080000000000003</v>
      </c>
      <c r="K3398" s="817"/>
      <c r="L3398" s="817"/>
    </row>
    <row r="3399" spans="1:12" ht="17.100000000000001" customHeight="1">
      <c r="A3399" s="626" t="s">
        <v>12709</v>
      </c>
      <c r="B3399" s="627" t="s">
        <v>13051</v>
      </c>
      <c r="C3399" s="626" t="s">
        <v>8</v>
      </c>
      <c r="D3399" s="626" t="s">
        <v>9376</v>
      </c>
      <c r="E3399" s="628" t="s">
        <v>23</v>
      </c>
      <c r="F3399" s="816" t="s">
        <v>13691</v>
      </c>
      <c r="G3399" s="816"/>
      <c r="H3399" s="816">
        <v>0.45921620000000002</v>
      </c>
      <c r="I3399" s="816"/>
      <c r="J3399" s="817">
        <v>0.2296</v>
      </c>
      <c r="K3399" s="817"/>
      <c r="L3399" s="817"/>
    </row>
    <row r="3400" spans="1:12" ht="17.100000000000001" customHeight="1">
      <c r="A3400" s="636"/>
      <c r="B3400" s="636"/>
      <c r="C3400" s="636"/>
      <c r="D3400" s="636"/>
      <c r="E3400" s="636"/>
      <c r="F3400" s="636"/>
      <c r="G3400" s="636"/>
      <c r="H3400" s="636"/>
      <c r="I3400" s="636"/>
      <c r="J3400" s="636" t="s">
        <v>13675</v>
      </c>
      <c r="K3400" s="636"/>
      <c r="L3400" s="636" t="s">
        <v>13856</v>
      </c>
    </row>
    <row r="3401" spans="1:12" ht="17.100000000000001" customHeight="1">
      <c r="A3401" s="802" t="s">
        <v>12710</v>
      </c>
      <c r="B3401" s="802"/>
      <c r="C3401" s="802"/>
      <c r="D3401" s="802"/>
      <c r="E3401" s="802"/>
      <c r="F3401" s="802"/>
      <c r="G3401" s="802"/>
      <c r="H3401" s="802"/>
      <c r="I3401" s="612"/>
      <c r="J3401" s="612"/>
      <c r="K3401" s="612"/>
      <c r="L3401" s="612"/>
    </row>
    <row r="3402" spans="1:12" ht="17.100000000000001" customHeight="1">
      <c r="A3402" s="612" t="s">
        <v>13679</v>
      </c>
      <c r="B3402" s="636" t="s">
        <v>12698</v>
      </c>
      <c r="C3402" s="612" t="s">
        <v>12699</v>
      </c>
      <c r="D3402" s="612" t="s">
        <v>12700</v>
      </c>
      <c r="E3402" s="637" t="s">
        <v>12702</v>
      </c>
      <c r="F3402" s="801" t="s">
        <v>12704</v>
      </c>
      <c r="G3402" s="801"/>
      <c r="H3402" s="801" t="s">
        <v>13678</v>
      </c>
      <c r="I3402" s="801"/>
      <c r="J3402" s="801" t="s">
        <v>12705</v>
      </c>
      <c r="K3402" s="801"/>
      <c r="L3402" s="801"/>
    </row>
    <row r="3403" spans="1:12" ht="17.100000000000001" customHeight="1">
      <c r="A3403" s="626" t="s">
        <v>12709</v>
      </c>
      <c r="B3403" s="627" t="s">
        <v>13046</v>
      </c>
      <c r="C3403" s="626" t="s">
        <v>8</v>
      </c>
      <c r="D3403" s="626" t="s">
        <v>11281</v>
      </c>
      <c r="E3403" s="628" t="s">
        <v>23</v>
      </c>
      <c r="F3403" s="816" t="s">
        <v>13731</v>
      </c>
      <c r="G3403" s="816"/>
      <c r="H3403" s="816">
        <v>0.40818140000000003</v>
      </c>
      <c r="I3403" s="816"/>
      <c r="J3403" s="817">
        <v>2.0981000000000001</v>
      </c>
      <c r="K3403" s="817"/>
      <c r="L3403" s="817"/>
    </row>
    <row r="3404" spans="1:12" ht="30" customHeight="1">
      <c r="A3404" s="626" t="s">
        <v>12709</v>
      </c>
      <c r="B3404" s="627" t="s">
        <v>13099</v>
      </c>
      <c r="C3404" s="626" t="s">
        <v>8</v>
      </c>
      <c r="D3404" s="626" t="s">
        <v>10726</v>
      </c>
      <c r="E3404" s="628" t="s">
        <v>23</v>
      </c>
      <c r="F3404" s="816" t="s">
        <v>14470</v>
      </c>
      <c r="G3404" s="816"/>
      <c r="H3404" s="816">
        <v>0.46541759999999999</v>
      </c>
      <c r="I3404" s="816"/>
      <c r="J3404" s="817">
        <v>3.2160000000000002</v>
      </c>
      <c r="K3404" s="817"/>
      <c r="L3404" s="817"/>
    </row>
    <row r="3405" spans="1:12" ht="48" customHeight="1">
      <c r="A3405" s="636"/>
      <c r="B3405" s="636"/>
      <c r="C3405" s="636"/>
      <c r="D3405" s="636"/>
      <c r="E3405" s="636"/>
      <c r="F3405" s="636"/>
      <c r="G3405" s="636"/>
      <c r="H3405" s="636"/>
      <c r="I3405" s="636"/>
      <c r="J3405" s="636" t="s">
        <v>13675</v>
      </c>
      <c r="K3405" s="636"/>
      <c r="L3405" s="636" t="s">
        <v>14738</v>
      </c>
    </row>
    <row r="3406" spans="1:12" ht="14.25" customHeight="1">
      <c r="A3406" s="802" t="s">
        <v>12720</v>
      </c>
      <c r="B3406" s="802"/>
      <c r="C3406" s="802"/>
      <c r="D3406" s="802"/>
      <c r="E3406" s="802"/>
      <c r="F3406" s="802"/>
      <c r="G3406" s="802"/>
      <c r="H3406" s="802"/>
      <c r="I3406" s="612"/>
      <c r="J3406" s="612"/>
      <c r="K3406" s="612"/>
      <c r="L3406" s="612"/>
    </row>
    <row r="3407" spans="1:12" ht="17.100000000000001" customHeight="1">
      <c r="A3407" s="612" t="s">
        <v>13679</v>
      </c>
      <c r="B3407" s="636" t="s">
        <v>12698</v>
      </c>
      <c r="C3407" s="612" t="s">
        <v>12699</v>
      </c>
      <c r="D3407" s="612" t="s">
        <v>12700</v>
      </c>
      <c r="E3407" s="637" t="s">
        <v>12702</v>
      </c>
      <c r="F3407" s="801" t="s">
        <v>12704</v>
      </c>
      <c r="G3407" s="801"/>
      <c r="H3407" s="801" t="s">
        <v>13678</v>
      </c>
      <c r="I3407" s="801"/>
      <c r="J3407" s="801" t="s">
        <v>12705</v>
      </c>
      <c r="K3407" s="801"/>
      <c r="L3407" s="801"/>
    </row>
    <row r="3408" spans="1:12" ht="24" customHeight="1">
      <c r="A3408" s="626" t="s">
        <v>12709</v>
      </c>
      <c r="B3408" s="627" t="s">
        <v>13250</v>
      </c>
      <c r="C3408" s="626" t="s">
        <v>8</v>
      </c>
      <c r="D3408" s="626" t="s">
        <v>7526</v>
      </c>
      <c r="E3408" s="628" t="s">
        <v>12730</v>
      </c>
      <c r="F3408" s="816" t="s">
        <v>13747</v>
      </c>
      <c r="G3408" s="816"/>
      <c r="H3408" s="816">
        <v>2.4240600000000001E-2</v>
      </c>
      <c r="I3408" s="816"/>
      <c r="J3408" s="817">
        <v>1.5149999999999999</v>
      </c>
      <c r="K3408" s="817"/>
      <c r="L3408" s="817"/>
    </row>
    <row r="3409" spans="1:12" ht="24" customHeight="1">
      <c r="A3409" s="626" t="s">
        <v>12709</v>
      </c>
      <c r="B3409" s="627" t="s">
        <v>13249</v>
      </c>
      <c r="C3409" s="626" t="s">
        <v>8</v>
      </c>
      <c r="D3409" s="626" t="s">
        <v>8420</v>
      </c>
      <c r="E3409" s="628" t="s">
        <v>20</v>
      </c>
      <c r="F3409" s="816" t="s">
        <v>13700</v>
      </c>
      <c r="G3409" s="816"/>
      <c r="H3409" s="816">
        <v>4.0936889000000001</v>
      </c>
      <c r="I3409" s="816"/>
      <c r="J3409" s="817">
        <v>2.0059</v>
      </c>
      <c r="K3409" s="817"/>
      <c r="L3409" s="817"/>
    </row>
    <row r="3410" spans="1:12" ht="24" customHeight="1">
      <c r="A3410" s="626" t="s">
        <v>12709</v>
      </c>
      <c r="B3410" s="627" t="s">
        <v>13319</v>
      </c>
      <c r="C3410" s="626" t="s">
        <v>8</v>
      </c>
      <c r="D3410" s="626" t="s">
        <v>8160</v>
      </c>
      <c r="E3410" s="628" t="s">
        <v>20</v>
      </c>
      <c r="F3410" s="816" t="s">
        <v>13729</v>
      </c>
      <c r="G3410" s="816"/>
      <c r="H3410" s="816">
        <v>3.6388582</v>
      </c>
      <c r="I3410" s="816"/>
      <c r="J3410" s="817">
        <v>2.2561</v>
      </c>
      <c r="K3410" s="817"/>
      <c r="L3410" s="817"/>
    </row>
    <row r="3411" spans="1:12" ht="24" customHeight="1">
      <c r="A3411" s="636"/>
      <c r="B3411" s="636"/>
      <c r="C3411" s="636"/>
      <c r="D3411" s="636"/>
      <c r="E3411" s="636"/>
      <c r="F3411" s="636"/>
      <c r="G3411" s="636"/>
      <c r="H3411" s="636"/>
      <c r="I3411" s="636"/>
      <c r="J3411" s="636" t="s">
        <v>13675</v>
      </c>
      <c r="K3411" s="636"/>
      <c r="L3411" s="636" t="s">
        <v>14723</v>
      </c>
    </row>
    <row r="3412" spans="1:12" ht="17.100000000000001" customHeight="1">
      <c r="A3412" s="802" t="s">
        <v>12722</v>
      </c>
      <c r="B3412" s="802"/>
      <c r="C3412" s="802"/>
      <c r="D3412" s="802"/>
      <c r="E3412" s="802"/>
      <c r="F3412" s="802"/>
      <c r="G3412" s="802"/>
      <c r="H3412" s="802"/>
      <c r="I3412" s="612"/>
      <c r="J3412" s="612"/>
      <c r="K3412" s="612"/>
      <c r="L3412" s="612"/>
    </row>
    <row r="3413" spans="1:12" ht="14.25" customHeight="1">
      <c r="A3413" s="612" t="s">
        <v>13679</v>
      </c>
      <c r="B3413" s="636" t="s">
        <v>12698</v>
      </c>
      <c r="C3413" s="612" t="s">
        <v>12699</v>
      </c>
      <c r="D3413" s="612" t="s">
        <v>12700</v>
      </c>
      <c r="E3413" s="637" t="s">
        <v>12702</v>
      </c>
      <c r="F3413" s="801" t="s">
        <v>12704</v>
      </c>
      <c r="G3413" s="801"/>
      <c r="H3413" s="801" t="s">
        <v>13678</v>
      </c>
      <c r="I3413" s="801"/>
      <c r="J3413" s="801" t="s">
        <v>12705</v>
      </c>
      <c r="K3413" s="801"/>
      <c r="L3413" s="801"/>
    </row>
    <row r="3414" spans="1:12" ht="17.100000000000001" customHeight="1">
      <c r="A3414" s="626" t="s">
        <v>12709</v>
      </c>
      <c r="B3414" s="627" t="s">
        <v>12998</v>
      </c>
      <c r="C3414" s="626" t="s">
        <v>8</v>
      </c>
      <c r="D3414" s="626" t="s">
        <v>11861</v>
      </c>
      <c r="E3414" s="628" t="s">
        <v>23</v>
      </c>
      <c r="F3414" s="816" t="s">
        <v>13683</v>
      </c>
      <c r="G3414" s="816"/>
      <c r="H3414" s="816">
        <v>0.86195880000000002</v>
      </c>
      <c r="I3414" s="816"/>
      <c r="J3414" s="817">
        <v>0.61199999999999999</v>
      </c>
      <c r="K3414" s="817"/>
      <c r="L3414" s="817"/>
    </row>
    <row r="3415" spans="1:12" ht="24" customHeight="1">
      <c r="A3415" s="636"/>
      <c r="B3415" s="636"/>
      <c r="C3415" s="636"/>
      <c r="D3415" s="636"/>
      <c r="E3415" s="636"/>
      <c r="F3415" s="636"/>
      <c r="G3415" s="636"/>
      <c r="H3415" s="636"/>
      <c r="I3415" s="636"/>
      <c r="J3415" s="636" t="s">
        <v>13675</v>
      </c>
      <c r="K3415" s="636"/>
      <c r="L3415" s="636" t="s">
        <v>14159</v>
      </c>
    </row>
    <row r="3416" spans="1:12" ht="24" customHeight="1">
      <c r="A3416" s="802" t="s">
        <v>12713</v>
      </c>
      <c r="B3416" s="802"/>
      <c r="C3416" s="802"/>
      <c r="D3416" s="802"/>
      <c r="E3416" s="802"/>
      <c r="F3416" s="802"/>
      <c r="G3416" s="802"/>
      <c r="H3416" s="802"/>
      <c r="I3416" s="612"/>
      <c r="J3416" s="612"/>
      <c r="K3416" s="612"/>
      <c r="L3416" s="612"/>
    </row>
    <row r="3417" spans="1:12" ht="17.100000000000001" customHeight="1">
      <c r="A3417" s="612" t="s">
        <v>13679</v>
      </c>
      <c r="B3417" s="636" t="s">
        <v>12698</v>
      </c>
      <c r="C3417" s="612" t="s">
        <v>12699</v>
      </c>
      <c r="D3417" s="612" t="s">
        <v>12700</v>
      </c>
      <c r="E3417" s="637" t="s">
        <v>12702</v>
      </c>
      <c r="F3417" s="801" t="s">
        <v>12704</v>
      </c>
      <c r="G3417" s="801"/>
      <c r="H3417" s="801" t="s">
        <v>13678</v>
      </c>
      <c r="I3417" s="801"/>
      <c r="J3417" s="801" t="s">
        <v>12705</v>
      </c>
      <c r="K3417" s="801"/>
      <c r="L3417" s="801"/>
    </row>
    <row r="3418" spans="1:12" ht="25.5">
      <c r="A3418" s="626" t="s">
        <v>12709</v>
      </c>
      <c r="B3418" s="627" t="s">
        <v>12999</v>
      </c>
      <c r="C3418" s="626" t="s">
        <v>8</v>
      </c>
      <c r="D3418" s="626" t="s">
        <v>11251</v>
      </c>
      <c r="E3418" s="628" t="s">
        <v>23</v>
      </c>
      <c r="F3418" s="816" t="s">
        <v>13681</v>
      </c>
      <c r="G3418" s="816"/>
      <c r="H3418" s="816">
        <v>0.86195880000000002</v>
      </c>
      <c r="I3418" s="816"/>
      <c r="J3418" s="817">
        <v>6.0299999999999999E-2</v>
      </c>
      <c r="K3418" s="817"/>
      <c r="L3418" s="817"/>
    </row>
    <row r="3419" spans="1:12" ht="17.100000000000001" customHeight="1">
      <c r="A3419" s="636"/>
      <c r="B3419" s="636"/>
      <c r="C3419" s="636"/>
      <c r="D3419" s="636"/>
      <c r="E3419" s="636"/>
      <c r="F3419" s="636"/>
      <c r="G3419" s="636"/>
      <c r="H3419" s="636"/>
      <c r="I3419" s="636"/>
      <c r="J3419" s="636" t="s">
        <v>13675</v>
      </c>
      <c r="K3419" s="636"/>
      <c r="L3419" s="636" t="s">
        <v>13708</v>
      </c>
    </row>
    <row r="3420" spans="1:12" ht="24" customHeight="1">
      <c r="A3420" s="802" t="s">
        <v>12712</v>
      </c>
      <c r="B3420" s="802"/>
      <c r="C3420" s="802"/>
      <c r="D3420" s="802"/>
      <c r="E3420" s="802"/>
      <c r="F3420" s="802"/>
      <c r="G3420" s="802"/>
      <c r="H3420" s="802"/>
      <c r="I3420" s="612"/>
      <c r="J3420" s="612"/>
      <c r="K3420" s="612"/>
      <c r="L3420" s="612"/>
    </row>
    <row r="3421" spans="1:12" ht="24" customHeight="1">
      <c r="A3421" s="612" t="s">
        <v>13679</v>
      </c>
      <c r="B3421" s="636" t="s">
        <v>12698</v>
      </c>
      <c r="C3421" s="612" t="s">
        <v>12699</v>
      </c>
      <c r="D3421" s="612" t="s">
        <v>12700</v>
      </c>
      <c r="E3421" s="637" t="s">
        <v>12702</v>
      </c>
      <c r="F3421" s="801" t="s">
        <v>12704</v>
      </c>
      <c r="G3421" s="801"/>
      <c r="H3421" s="801" t="s">
        <v>13678</v>
      </c>
      <c r="I3421" s="801"/>
      <c r="J3421" s="801" t="s">
        <v>12705</v>
      </c>
      <c r="K3421" s="801"/>
      <c r="L3421" s="801"/>
    </row>
    <row r="3422" spans="1:12" ht="24" customHeight="1">
      <c r="A3422" s="626" t="s">
        <v>12709</v>
      </c>
      <c r="B3422" s="627" t="s">
        <v>13002</v>
      </c>
      <c r="C3422" s="626" t="s">
        <v>8</v>
      </c>
      <c r="D3422" s="626" t="s">
        <v>9306</v>
      </c>
      <c r="E3422" s="628" t="s">
        <v>23</v>
      </c>
      <c r="F3422" s="816" t="s">
        <v>13677</v>
      </c>
      <c r="G3422" s="816"/>
      <c r="H3422" s="816">
        <v>0.86195880000000002</v>
      </c>
      <c r="I3422" s="816"/>
      <c r="J3422" s="817">
        <v>0.30170000000000002</v>
      </c>
      <c r="K3422" s="817"/>
      <c r="L3422" s="817"/>
    </row>
    <row r="3423" spans="1:12" ht="17.100000000000001" customHeight="1">
      <c r="A3423" s="626" t="s">
        <v>12709</v>
      </c>
      <c r="B3423" s="627" t="s">
        <v>13004</v>
      </c>
      <c r="C3423" s="626" t="s">
        <v>8</v>
      </c>
      <c r="D3423" s="626" t="s">
        <v>7388</v>
      </c>
      <c r="E3423" s="628" t="s">
        <v>23</v>
      </c>
      <c r="F3423" s="816" t="s">
        <v>13676</v>
      </c>
      <c r="G3423" s="816"/>
      <c r="H3423" s="816">
        <v>0.86195880000000002</v>
      </c>
      <c r="I3423" s="816"/>
      <c r="J3423" s="817">
        <v>1.8963000000000001</v>
      </c>
      <c r="K3423" s="817"/>
      <c r="L3423" s="817"/>
    </row>
    <row r="3424" spans="1:12">
      <c r="A3424" s="636"/>
      <c r="B3424" s="636"/>
      <c r="C3424" s="636"/>
      <c r="D3424" s="636"/>
      <c r="E3424" s="636"/>
      <c r="F3424" s="636"/>
      <c r="G3424" s="636"/>
      <c r="H3424" s="636"/>
      <c r="I3424" s="636"/>
      <c r="J3424" s="636" t="s">
        <v>13675</v>
      </c>
      <c r="K3424" s="636"/>
      <c r="L3424" s="636" t="s">
        <v>13676</v>
      </c>
    </row>
    <row r="3425" spans="1:12" ht="17.100000000000001" customHeight="1">
      <c r="A3425" s="612" t="s">
        <v>13673</v>
      </c>
      <c r="B3425" s="612"/>
      <c r="C3425" s="612"/>
      <c r="D3425" s="612"/>
      <c r="E3425" s="612"/>
      <c r="F3425" s="612"/>
      <c r="G3425" s="612"/>
      <c r="H3425" s="612"/>
      <c r="I3425" s="612"/>
      <c r="J3425" s="612"/>
      <c r="K3425" s="612"/>
      <c r="L3425" s="612"/>
    </row>
    <row r="3426" spans="1:12" ht="24" customHeight="1">
      <c r="A3426" s="636"/>
      <c r="B3426" s="636"/>
      <c r="C3426" s="636"/>
      <c r="D3426" s="636"/>
      <c r="E3426" s="636"/>
      <c r="F3426" s="636"/>
      <c r="G3426" s="636"/>
      <c r="H3426" s="636"/>
      <c r="I3426" s="636"/>
      <c r="J3426" s="636" t="s">
        <v>13672</v>
      </c>
      <c r="K3426" s="636"/>
      <c r="L3426" s="636" t="s">
        <v>15183</v>
      </c>
    </row>
    <row r="3427" spans="1:12" ht="17.100000000000001" customHeight="1">
      <c r="A3427" s="636"/>
      <c r="B3427" s="636"/>
      <c r="C3427" s="636"/>
      <c r="D3427" s="636"/>
      <c r="E3427" s="636"/>
      <c r="F3427" s="636"/>
      <c r="G3427" s="636"/>
      <c r="H3427" s="636"/>
      <c r="I3427" s="636"/>
      <c r="J3427" s="636" t="s">
        <v>13671</v>
      </c>
      <c r="K3427" s="636" t="s">
        <v>14461</v>
      </c>
      <c r="L3427" s="636" t="s">
        <v>15184</v>
      </c>
    </row>
    <row r="3428" spans="1:12">
      <c r="A3428" s="636"/>
      <c r="B3428" s="636"/>
      <c r="C3428" s="636"/>
      <c r="D3428" s="636"/>
      <c r="E3428" s="636"/>
      <c r="F3428" s="636"/>
      <c r="G3428" s="636"/>
      <c r="H3428" s="636"/>
      <c r="I3428" s="636"/>
      <c r="J3428" s="636" t="s">
        <v>13670</v>
      </c>
      <c r="K3428" s="636"/>
      <c r="L3428" s="636" t="s">
        <v>15185</v>
      </c>
    </row>
    <row r="3429" spans="1:12" ht="17.100000000000001" customHeight="1">
      <c r="A3429" s="636"/>
      <c r="B3429" s="636"/>
      <c r="C3429" s="636"/>
      <c r="D3429" s="636"/>
      <c r="E3429" s="636"/>
      <c r="F3429" s="636"/>
      <c r="G3429" s="636"/>
      <c r="H3429" s="636"/>
      <c r="I3429" s="636"/>
      <c r="J3429" s="636" t="s">
        <v>13669</v>
      </c>
      <c r="K3429" s="636" t="s">
        <v>13667</v>
      </c>
      <c r="L3429" s="636" t="s">
        <v>15186</v>
      </c>
    </row>
    <row r="3430" spans="1:12" ht="24" customHeight="1">
      <c r="A3430" s="636"/>
      <c r="B3430" s="636"/>
      <c r="C3430" s="636"/>
      <c r="D3430" s="636"/>
      <c r="E3430" s="636"/>
      <c r="F3430" s="636"/>
      <c r="G3430" s="636"/>
      <c r="H3430" s="636"/>
      <c r="I3430" s="636"/>
      <c r="J3430" s="636" t="s">
        <v>13668</v>
      </c>
      <c r="K3430" s="636"/>
      <c r="L3430" s="636" t="s">
        <v>15187</v>
      </c>
    </row>
    <row r="3431" spans="1:12" ht="17.100000000000001" customHeight="1">
      <c r="A3431" s="637"/>
      <c r="B3431" s="637"/>
      <c r="C3431" s="637"/>
      <c r="D3431" s="637"/>
      <c r="E3431" s="637"/>
      <c r="F3431" s="637"/>
      <c r="G3431" s="637"/>
      <c r="H3431" s="637"/>
      <c r="I3431" s="637"/>
      <c r="J3431" s="637"/>
      <c r="K3431" s="637"/>
      <c r="L3431" s="637"/>
    </row>
    <row r="3432" spans="1:12" ht="51">
      <c r="A3432" s="616" t="s">
        <v>14158</v>
      </c>
      <c r="B3432" s="617" t="s">
        <v>13571</v>
      </c>
      <c r="C3432" s="616" t="s">
        <v>8</v>
      </c>
      <c r="D3432" s="616" t="s">
        <v>1369</v>
      </c>
      <c r="E3432" s="618" t="s">
        <v>12725</v>
      </c>
      <c r="F3432" s="617"/>
      <c r="G3432" s="617"/>
      <c r="H3432" s="617"/>
      <c r="I3432" s="617"/>
      <c r="J3432" s="617"/>
      <c r="K3432" s="617"/>
      <c r="L3432" s="617"/>
    </row>
    <row r="3433" spans="1:12" ht="17.100000000000001" customHeight="1">
      <c r="A3433" s="802" t="s">
        <v>12711</v>
      </c>
      <c r="B3433" s="802"/>
      <c r="C3433" s="802"/>
      <c r="D3433" s="802"/>
      <c r="E3433" s="802"/>
      <c r="F3433" s="802"/>
      <c r="G3433" s="802"/>
      <c r="H3433" s="802"/>
      <c r="I3433" s="612"/>
      <c r="J3433" s="612"/>
      <c r="K3433" s="612"/>
      <c r="L3433" s="612"/>
    </row>
    <row r="3434" spans="1:12" ht="24" customHeight="1">
      <c r="A3434" s="612" t="s">
        <v>13679</v>
      </c>
      <c r="B3434" s="636" t="s">
        <v>12698</v>
      </c>
      <c r="C3434" s="612" t="s">
        <v>12699</v>
      </c>
      <c r="D3434" s="612" t="s">
        <v>12700</v>
      </c>
      <c r="E3434" s="637" t="s">
        <v>12702</v>
      </c>
      <c r="F3434" s="801" t="s">
        <v>12704</v>
      </c>
      <c r="G3434" s="801"/>
      <c r="H3434" s="801" t="s">
        <v>13678</v>
      </c>
      <c r="I3434" s="801"/>
      <c r="J3434" s="801" t="s">
        <v>12705</v>
      </c>
      <c r="K3434" s="801"/>
      <c r="L3434" s="801"/>
    </row>
    <row r="3435" spans="1:12" ht="24" customHeight="1">
      <c r="A3435" s="626" t="s">
        <v>12709</v>
      </c>
      <c r="B3435" s="627" t="s">
        <v>13302</v>
      </c>
      <c r="C3435" s="626" t="s">
        <v>8</v>
      </c>
      <c r="D3435" s="626" t="s">
        <v>7676</v>
      </c>
      <c r="E3435" s="628" t="s">
        <v>35</v>
      </c>
      <c r="F3435" s="816" t="s">
        <v>14526</v>
      </c>
      <c r="G3435" s="816"/>
      <c r="H3435" s="816">
        <v>1.45E-5</v>
      </c>
      <c r="I3435" s="816"/>
      <c r="J3435" s="817">
        <v>5.2499999999999998E-2</v>
      </c>
      <c r="K3435" s="817"/>
      <c r="L3435" s="817"/>
    </row>
    <row r="3436" spans="1:12" ht="17.100000000000001" customHeight="1">
      <c r="A3436" s="626" t="s">
        <v>12709</v>
      </c>
      <c r="B3436" s="627" t="s">
        <v>13003</v>
      </c>
      <c r="C3436" s="626" t="s">
        <v>8</v>
      </c>
      <c r="D3436" s="626" t="s">
        <v>9227</v>
      </c>
      <c r="E3436" s="628" t="s">
        <v>23</v>
      </c>
      <c r="F3436" s="816" t="s">
        <v>13732</v>
      </c>
      <c r="G3436" s="816"/>
      <c r="H3436" s="816">
        <v>0.1690334</v>
      </c>
      <c r="I3436" s="816"/>
      <c r="J3436" s="817">
        <v>0.1116</v>
      </c>
      <c r="K3436" s="817"/>
      <c r="L3436" s="817"/>
    </row>
    <row r="3437" spans="1:12" ht="17.100000000000001" customHeight="1">
      <c r="A3437" s="626" t="s">
        <v>12709</v>
      </c>
      <c r="B3437" s="627" t="s">
        <v>13001</v>
      </c>
      <c r="C3437" s="626" t="s">
        <v>8</v>
      </c>
      <c r="D3437" s="626" t="s">
        <v>9374</v>
      </c>
      <c r="E3437" s="628" t="s">
        <v>23</v>
      </c>
      <c r="F3437" s="816" t="s">
        <v>13728</v>
      </c>
      <c r="G3437" s="816"/>
      <c r="H3437" s="816">
        <v>0.1690334</v>
      </c>
      <c r="I3437" s="816"/>
      <c r="J3437" s="817">
        <v>1.6999999999999999E-3</v>
      </c>
      <c r="K3437" s="817"/>
      <c r="L3437" s="817"/>
    </row>
    <row r="3438" spans="1:12" ht="17.100000000000001" customHeight="1">
      <c r="A3438" s="626" t="s">
        <v>12709</v>
      </c>
      <c r="B3438" s="627" t="s">
        <v>13052</v>
      </c>
      <c r="C3438" s="626" t="s">
        <v>8</v>
      </c>
      <c r="D3438" s="626" t="s">
        <v>9229</v>
      </c>
      <c r="E3438" s="628" t="s">
        <v>23</v>
      </c>
      <c r="F3438" s="816" t="s">
        <v>13692</v>
      </c>
      <c r="G3438" s="816"/>
      <c r="H3438" s="816">
        <v>0.46953729999999999</v>
      </c>
      <c r="I3438" s="816"/>
      <c r="J3438" s="817">
        <v>0.45079999999999998</v>
      </c>
      <c r="K3438" s="817"/>
      <c r="L3438" s="817"/>
    </row>
    <row r="3439" spans="1:12" ht="17.100000000000001" customHeight="1">
      <c r="A3439" s="626" t="s">
        <v>12709</v>
      </c>
      <c r="B3439" s="627" t="s">
        <v>13051</v>
      </c>
      <c r="C3439" s="626" t="s">
        <v>8</v>
      </c>
      <c r="D3439" s="626" t="s">
        <v>9376</v>
      </c>
      <c r="E3439" s="628" t="s">
        <v>23</v>
      </c>
      <c r="F3439" s="816" t="s">
        <v>13691</v>
      </c>
      <c r="G3439" s="816"/>
      <c r="H3439" s="816">
        <v>0.46953729999999999</v>
      </c>
      <c r="I3439" s="816"/>
      <c r="J3439" s="817">
        <v>0.23480000000000001</v>
      </c>
      <c r="K3439" s="817"/>
      <c r="L3439" s="817"/>
    </row>
    <row r="3440" spans="1:12" ht="17.100000000000001" customHeight="1">
      <c r="A3440" s="626" t="s">
        <v>12709</v>
      </c>
      <c r="B3440" s="627" t="s">
        <v>13048</v>
      </c>
      <c r="C3440" s="626" t="s">
        <v>8</v>
      </c>
      <c r="D3440" s="626" t="s">
        <v>9233</v>
      </c>
      <c r="E3440" s="628" t="s">
        <v>23</v>
      </c>
      <c r="F3440" s="816" t="s">
        <v>13690</v>
      </c>
      <c r="G3440" s="816"/>
      <c r="H3440" s="816">
        <v>0.1708317</v>
      </c>
      <c r="I3440" s="816"/>
      <c r="J3440" s="817">
        <v>0.17419999999999999</v>
      </c>
      <c r="K3440" s="817"/>
      <c r="L3440" s="817"/>
    </row>
    <row r="3441" spans="1:12" ht="17.100000000000001" customHeight="1">
      <c r="A3441" s="626" t="s">
        <v>12709</v>
      </c>
      <c r="B3441" s="627" t="s">
        <v>13047</v>
      </c>
      <c r="C3441" s="626" t="s">
        <v>8</v>
      </c>
      <c r="D3441" s="626" t="s">
        <v>9380</v>
      </c>
      <c r="E3441" s="628" t="s">
        <v>23</v>
      </c>
      <c r="F3441" s="816" t="s">
        <v>13689</v>
      </c>
      <c r="G3441" s="816"/>
      <c r="H3441" s="816">
        <v>0.1708317</v>
      </c>
      <c r="I3441" s="816"/>
      <c r="J3441" s="817">
        <v>6.4899999999999999E-2</v>
      </c>
      <c r="K3441" s="817"/>
      <c r="L3441" s="817"/>
    </row>
    <row r="3442" spans="1:12" ht="17.100000000000001" customHeight="1">
      <c r="A3442" s="636"/>
      <c r="B3442" s="636"/>
      <c r="C3442" s="636"/>
      <c r="D3442" s="636"/>
      <c r="E3442" s="636"/>
      <c r="F3442" s="636"/>
      <c r="G3442" s="636"/>
      <c r="H3442" s="636"/>
      <c r="I3442" s="636"/>
      <c r="J3442" s="636" t="s">
        <v>13675</v>
      </c>
      <c r="K3442" s="636"/>
      <c r="L3442" s="636" t="s">
        <v>13897</v>
      </c>
    </row>
    <row r="3443" spans="1:12" ht="30" customHeight="1">
      <c r="A3443" s="802" t="s">
        <v>12710</v>
      </c>
      <c r="B3443" s="802"/>
      <c r="C3443" s="802"/>
      <c r="D3443" s="802"/>
      <c r="E3443" s="802"/>
      <c r="F3443" s="802"/>
      <c r="G3443" s="802"/>
      <c r="H3443" s="802"/>
      <c r="I3443" s="612"/>
      <c r="J3443" s="612"/>
      <c r="K3443" s="612"/>
      <c r="L3443" s="612"/>
    </row>
    <row r="3444" spans="1:12" ht="36" customHeight="1">
      <c r="A3444" s="612" t="s">
        <v>13679</v>
      </c>
      <c r="B3444" s="636" t="s">
        <v>12698</v>
      </c>
      <c r="C3444" s="612" t="s">
        <v>12699</v>
      </c>
      <c r="D3444" s="612" t="s">
        <v>12700</v>
      </c>
      <c r="E3444" s="637" t="s">
        <v>12702</v>
      </c>
      <c r="F3444" s="801" t="s">
        <v>12704</v>
      </c>
      <c r="G3444" s="801"/>
      <c r="H3444" s="801" t="s">
        <v>13678</v>
      </c>
      <c r="I3444" s="801"/>
      <c r="J3444" s="801" t="s">
        <v>12705</v>
      </c>
      <c r="K3444" s="801"/>
      <c r="L3444" s="801"/>
    </row>
    <row r="3445" spans="1:12" ht="14.25" customHeight="1">
      <c r="A3445" s="626" t="s">
        <v>12709</v>
      </c>
      <c r="B3445" s="627" t="s">
        <v>13116</v>
      </c>
      <c r="C3445" s="626" t="s">
        <v>8</v>
      </c>
      <c r="D3445" s="626" t="s">
        <v>10556</v>
      </c>
      <c r="E3445" s="628" t="s">
        <v>23</v>
      </c>
      <c r="F3445" s="816" t="s">
        <v>13770</v>
      </c>
      <c r="G3445" s="816"/>
      <c r="H3445" s="816">
        <v>0.16986329999999999</v>
      </c>
      <c r="I3445" s="816"/>
      <c r="J3445" s="817">
        <v>0.81020000000000003</v>
      </c>
      <c r="K3445" s="817"/>
      <c r="L3445" s="817"/>
    </row>
    <row r="3446" spans="1:12" ht="17.100000000000001" customHeight="1">
      <c r="A3446" s="626" t="s">
        <v>12709</v>
      </c>
      <c r="B3446" s="627" t="s">
        <v>13099</v>
      </c>
      <c r="C3446" s="626" t="s">
        <v>8</v>
      </c>
      <c r="D3446" s="626" t="s">
        <v>10726</v>
      </c>
      <c r="E3446" s="628" t="s">
        <v>23</v>
      </c>
      <c r="F3446" s="816" t="s">
        <v>14470</v>
      </c>
      <c r="G3446" s="816"/>
      <c r="H3446" s="816">
        <v>0.4760182</v>
      </c>
      <c r="I3446" s="816"/>
      <c r="J3446" s="817">
        <v>3.2892999999999999</v>
      </c>
      <c r="K3446" s="817"/>
      <c r="L3446" s="817"/>
    </row>
    <row r="3447" spans="1:12" ht="24" customHeight="1">
      <c r="A3447" s="626" t="s">
        <v>12709</v>
      </c>
      <c r="B3447" s="627" t="s">
        <v>13046</v>
      </c>
      <c r="C3447" s="626" t="s">
        <v>8</v>
      </c>
      <c r="D3447" s="626" t="s">
        <v>11281</v>
      </c>
      <c r="E3447" s="628" t="s">
        <v>23</v>
      </c>
      <c r="F3447" s="816" t="s">
        <v>13731</v>
      </c>
      <c r="G3447" s="816"/>
      <c r="H3447" s="816">
        <v>0.1731896</v>
      </c>
      <c r="I3447" s="816"/>
      <c r="J3447" s="817">
        <v>0.89019999999999999</v>
      </c>
      <c r="K3447" s="817"/>
      <c r="L3447" s="817"/>
    </row>
    <row r="3448" spans="1:12" ht="24" customHeight="1">
      <c r="A3448" s="636"/>
      <c r="B3448" s="636"/>
      <c r="C3448" s="636"/>
      <c r="D3448" s="636"/>
      <c r="E3448" s="636"/>
      <c r="F3448" s="636"/>
      <c r="G3448" s="636"/>
      <c r="H3448" s="636"/>
      <c r="I3448" s="636"/>
      <c r="J3448" s="636" t="s">
        <v>13675</v>
      </c>
      <c r="K3448" s="636"/>
      <c r="L3448" s="636" t="s">
        <v>14708</v>
      </c>
    </row>
    <row r="3449" spans="1:12" ht="24" customHeight="1">
      <c r="A3449" s="802" t="s">
        <v>12720</v>
      </c>
      <c r="B3449" s="802"/>
      <c r="C3449" s="802"/>
      <c r="D3449" s="802"/>
      <c r="E3449" s="802"/>
      <c r="F3449" s="802"/>
      <c r="G3449" s="802"/>
      <c r="H3449" s="802"/>
      <c r="I3449" s="612"/>
      <c r="J3449" s="612"/>
      <c r="K3449" s="612"/>
      <c r="L3449" s="612"/>
    </row>
    <row r="3450" spans="1:12" ht="24" customHeight="1">
      <c r="A3450" s="612" t="s">
        <v>13679</v>
      </c>
      <c r="B3450" s="636" t="s">
        <v>12698</v>
      </c>
      <c r="C3450" s="612" t="s">
        <v>12699</v>
      </c>
      <c r="D3450" s="612" t="s">
        <v>12700</v>
      </c>
      <c r="E3450" s="637" t="s">
        <v>12702</v>
      </c>
      <c r="F3450" s="801" t="s">
        <v>12704</v>
      </c>
      <c r="G3450" s="801"/>
      <c r="H3450" s="801" t="s">
        <v>13678</v>
      </c>
      <c r="I3450" s="801"/>
      <c r="J3450" s="801" t="s">
        <v>12705</v>
      </c>
      <c r="K3450" s="801"/>
      <c r="L3450" s="801"/>
    </row>
    <row r="3451" spans="1:12" ht="17.100000000000001" customHeight="1">
      <c r="A3451" s="626" t="s">
        <v>12709</v>
      </c>
      <c r="B3451" s="627" t="s">
        <v>13250</v>
      </c>
      <c r="C3451" s="626" t="s">
        <v>8</v>
      </c>
      <c r="D3451" s="626" t="s">
        <v>7526</v>
      </c>
      <c r="E3451" s="628" t="s">
        <v>12730</v>
      </c>
      <c r="F3451" s="816" t="s">
        <v>13747</v>
      </c>
      <c r="G3451" s="816"/>
      <c r="H3451" s="816">
        <v>4.3573099999999997E-2</v>
      </c>
      <c r="I3451" s="816"/>
      <c r="J3451" s="817">
        <v>2.7233000000000001</v>
      </c>
      <c r="K3451" s="817"/>
      <c r="L3451" s="817"/>
    </row>
    <row r="3452" spans="1:12" ht="14.25" customHeight="1">
      <c r="A3452" s="626" t="s">
        <v>12709</v>
      </c>
      <c r="B3452" s="627" t="s">
        <v>13249</v>
      </c>
      <c r="C3452" s="626" t="s">
        <v>8</v>
      </c>
      <c r="D3452" s="626" t="s">
        <v>8420</v>
      </c>
      <c r="E3452" s="628" t="s">
        <v>20</v>
      </c>
      <c r="F3452" s="816" t="s">
        <v>13700</v>
      </c>
      <c r="G3452" s="816"/>
      <c r="H3452" s="816">
        <v>7.3570858000000001</v>
      </c>
      <c r="I3452" s="816"/>
      <c r="J3452" s="817">
        <v>3.605</v>
      </c>
      <c r="K3452" s="817"/>
      <c r="L3452" s="817"/>
    </row>
    <row r="3453" spans="1:12" ht="17.100000000000001" customHeight="1">
      <c r="A3453" s="626" t="s">
        <v>12709</v>
      </c>
      <c r="B3453" s="627" t="s">
        <v>13319</v>
      </c>
      <c r="C3453" s="626" t="s">
        <v>8</v>
      </c>
      <c r="D3453" s="626" t="s">
        <v>8160</v>
      </c>
      <c r="E3453" s="628" t="s">
        <v>20</v>
      </c>
      <c r="F3453" s="816" t="s">
        <v>13729</v>
      </c>
      <c r="G3453" s="816"/>
      <c r="H3453" s="816">
        <v>6.5397153000000001</v>
      </c>
      <c r="I3453" s="816"/>
      <c r="J3453" s="817">
        <v>4.0545999999999998</v>
      </c>
      <c r="K3453" s="817"/>
      <c r="L3453" s="817"/>
    </row>
    <row r="3454" spans="1:12" ht="24" customHeight="1">
      <c r="A3454" s="626" t="s">
        <v>12709</v>
      </c>
      <c r="B3454" s="627" t="s">
        <v>12987</v>
      </c>
      <c r="C3454" s="626" t="s">
        <v>8</v>
      </c>
      <c r="D3454" s="626" t="s">
        <v>9192</v>
      </c>
      <c r="E3454" s="628" t="s">
        <v>12923</v>
      </c>
      <c r="F3454" s="816" t="s">
        <v>13999</v>
      </c>
      <c r="G3454" s="816"/>
      <c r="H3454" s="816">
        <v>4.9301400000000002E-2</v>
      </c>
      <c r="I3454" s="816"/>
      <c r="J3454" s="817">
        <v>3.9899999999999998E-2</v>
      </c>
      <c r="K3454" s="817"/>
      <c r="L3454" s="817"/>
    </row>
    <row r="3455" spans="1:12" ht="24" customHeight="1">
      <c r="A3455" s="636"/>
      <c r="B3455" s="636"/>
      <c r="C3455" s="636"/>
      <c r="D3455" s="636"/>
      <c r="E3455" s="636"/>
      <c r="F3455" s="636"/>
      <c r="G3455" s="636"/>
      <c r="H3455" s="636"/>
      <c r="I3455" s="636"/>
      <c r="J3455" s="636" t="s">
        <v>13675</v>
      </c>
      <c r="K3455" s="636"/>
      <c r="L3455" s="636" t="s">
        <v>14707</v>
      </c>
    </row>
    <row r="3456" spans="1:12" ht="24" customHeight="1">
      <c r="A3456" s="802" t="s">
        <v>12722</v>
      </c>
      <c r="B3456" s="802"/>
      <c r="C3456" s="802"/>
      <c r="D3456" s="802"/>
      <c r="E3456" s="802"/>
      <c r="F3456" s="802"/>
      <c r="G3456" s="802"/>
      <c r="H3456" s="802"/>
      <c r="I3456" s="612"/>
      <c r="J3456" s="612"/>
      <c r="K3456" s="612"/>
      <c r="L3456" s="612"/>
    </row>
    <row r="3457" spans="1:12" ht="17.100000000000001" customHeight="1">
      <c r="A3457" s="612" t="s">
        <v>13679</v>
      </c>
      <c r="B3457" s="636" t="s">
        <v>12698</v>
      </c>
      <c r="C3457" s="612" t="s">
        <v>12699</v>
      </c>
      <c r="D3457" s="612" t="s">
        <v>12700</v>
      </c>
      <c r="E3457" s="637" t="s">
        <v>12702</v>
      </c>
      <c r="F3457" s="801" t="s">
        <v>12704</v>
      </c>
      <c r="G3457" s="801"/>
      <c r="H3457" s="801" t="s">
        <v>13678</v>
      </c>
      <c r="I3457" s="801"/>
      <c r="J3457" s="801" t="s">
        <v>12705</v>
      </c>
      <c r="K3457" s="801"/>
      <c r="L3457" s="801"/>
    </row>
    <row r="3458" spans="1:12" ht="25.5">
      <c r="A3458" s="626" t="s">
        <v>12709</v>
      </c>
      <c r="B3458" s="627" t="s">
        <v>12998</v>
      </c>
      <c r="C3458" s="626" t="s">
        <v>8</v>
      </c>
      <c r="D3458" s="626" t="s">
        <v>11861</v>
      </c>
      <c r="E3458" s="628" t="s">
        <v>23</v>
      </c>
      <c r="F3458" s="816" t="s">
        <v>13683</v>
      </c>
      <c r="G3458" s="816"/>
      <c r="H3458" s="816">
        <v>0.80940239999999997</v>
      </c>
      <c r="I3458" s="816"/>
      <c r="J3458" s="817">
        <v>0.57469999999999999</v>
      </c>
      <c r="K3458" s="817"/>
      <c r="L3458" s="817"/>
    </row>
    <row r="3459" spans="1:12" ht="17.100000000000001" customHeight="1">
      <c r="A3459" s="636"/>
      <c r="B3459" s="636"/>
      <c r="C3459" s="636"/>
      <c r="D3459" s="636"/>
      <c r="E3459" s="636"/>
      <c r="F3459" s="636"/>
      <c r="G3459" s="636"/>
      <c r="H3459" s="636"/>
      <c r="I3459" s="636"/>
      <c r="J3459" s="636" t="s">
        <v>13675</v>
      </c>
      <c r="K3459" s="636"/>
      <c r="L3459" s="636" t="s">
        <v>13849</v>
      </c>
    </row>
    <row r="3460" spans="1:12" ht="24" customHeight="1">
      <c r="A3460" s="802" t="s">
        <v>12713</v>
      </c>
      <c r="B3460" s="802"/>
      <c r="C3460" s="802"/>
      <c r="D3460" s="802"/>
      <c r="E3460" s="802"/>
      <c r="F3460" s="802"/>
      <c r="G3460" s="802"/>
      <c r="H3460" s="802"/>
      <c r="I3460" s="612"/>
      <c r="J3460" s="612"/>
      <c r="K3460" s="612"/>
      <c r="L3460" s="612"/>
    </row>
    <row r="3461" spans="1:12" ht="24" customHeight="1">
      <c r="A3461" s="612" t="s">
        <v>13679</v>
      </c>
      <c r="B3461" s="636" t="s">
        <v>12698</v>
      </c>
      <c r="C3461" s="612" t="s">
        <v>12699</v>
      </c>
      <c r="D3461" s="612" t="s">
        <v>12700</v>
      </c>
      <c r="E3461" s="637" t="s">
        <v>12702</v>
      </c>
      <c r="F3461" s="801" t="s">
        <v>12704</v>
      </c>
      <c r="G3461" s="801"/>
      <c r="H3461" s="801" t="s">
        <v>13678</v>
      </c>
      <c r="I3461" s="801"/>
      <c r="J3461" s="801" t="s">
        <v>12705</v>
      </c>
      <c r="K3461" s="801"/>
      <c r="L3461" s="801"/>
    </row>
    <row r="3462" spans="1:12" ht="24" customHeight="1">
      <c r="A3462" s="626" t="s">
        <v>12709</v>
      </c>
      <c r="B3462" s="627" t="s">
        <v>12999</v>
      </c>
      <c r="C3462" s="626" t="s">
        <v>8</v>
      </c>
      <c r="D3462" s="626" t="s">
        <v>11251</v>
      </c>
      <c r="E3462" s="628" t="s">
        <v>23</v>
      </c>
      <c r="F3462" s="816" t="s">
        <v>13681</v>
      </c>
      <c r="G3462" s="816"/>
      <c r="H3462" s="816">
        <v>0.80940239999999997</v>
      </c>
      <c r="I3462" s="816"/>
      <c r="J3462" s="817">
        <v>5.67E-2</v>
      </c>
      <c r="K3462" s="817"/>
      <c r="L3462" s="817"/>
    </row>
    <row r="3463" spans="1:12" ht="24" customHeight="1">
      <c r="A3463" s="636"/>
      <c r="B3463" s="636"/>
      <c r="C3463" s="636"/>
      <c r="D3463" s="636"/>
      <c r="E3463" s="636"/>
      <c r="F3463" s="636"/>
      <c r="G3463" s="636"/>
      <c r="H3463" s="636"/>
      <c r="I3463" s="636"/>
      <c r="J3463" s="636" t="s">
        <v>13675</v>
      </c>
      <c r="K3463" s="636"/>
      <c r="L3463" s="636" t="s">
        <v>13708</v>
      </c>
    </row>
    <row r="3464" spans="1:12" ht="24" customHeight="1">
      <c r="A3464" s="802" t="s">
        <v>12712</v>
      </c>
      <c r="B3464" s="802"/>
      <c r="C3464" s="802"/>
      <c r="D3464" s="802"/>
      <c r="E3464" s="802"/>
      <c r="F3464" s="802"/>
      <c r="G3464" s="802"/>
      <c r="H3464" s="802"/>
      <c r="I3464" s="612"/>
      <c r="J3464" s="612"/>
      <c r="K3464" s="612"/>
      <c r="L3464" s="612"/>
    </row>
    <row r="3465" spans="1:12" ht="36" customHeight="1">
      <c r="A3465" s="612" t="s">
        <v>13679</v>
      </c>
      <c r="B3465" s="636" t="s">
        <v>12698</v>
      </c>
      <c r="C3465" s="612" t="s">
        <v>12699</v>
      </c>
      <c r="D3465" s="612" t="s">
        <v>12700</v>
      </c>
      <c r="E3465" s="637" t="s">
        <v>12702</v>
      </c>
      <c r="F3465" s="801" t="s">
        <v>12704</v>
      </c>
      <c r="G3465" s="801"/>
      <c r="H3465" s="801" t="s">
        <v>13678</v>
      </c>
      <c r="I3465" s="801"/>
      <c r="J3465" s="801" t="s">
        <v>12705</v>
      </c>
      <c r="K3465" s="801"/>
      <c r="L3465" s="801"/>
    </row>
    <row r="3466" spans="1:12" ht="17.100000000000001" customHeight="1">
      <c r="A3466" s="626" t="s">
        <v>12709</v>
      </c>
      <c r="B3466" s="627" t="s">
        <v>13002</v>
      </c>
      <c r="C3466" s="626" t="s">
        <v>8</v>
      </c>
      <c r="D3466" s="626" t="s">
        <v>9306</v>
      </c>
      <c r="E3466" s="628" t="s">
        <v>23</v>
      </c>
      <c r="F3466" s="816" t="s">
        <v>13677</v>
      </c>
      <c r="G3466" s="816"/>
      <c r="H3466" s="816">
        <v>0.80940239999999997</v>
      </c>
      <c r="I3466" s="816"/>
      <c r="J3466" s="817">
        <v>0.2833</v>
      </c>
      <c r="K3466" s="817"/>
      <c r="L3466" s="817"/>
    </row>
    <row r="3467" spans="1:12" ht="25.5">
      <c r="A3467" s="626" t="s">
        <v>12709</v>
      </c>
      <c r="B3467" s="627" t="s">
        <v>13004</v>
      </c>
      <c r="C3467" s="626" t="s">
        <v>8</v>
      </c>
      <c r="D3467" s="626" t="s">
        <v>7388</v>
      </c>
      <c r="E3467" s="628" t="s">
        <v>23</v>
      </c>
      <c r="F3467" s="816" t="s">
        <v>13676</v>
      </c>
      <c r="G3467" s="816"/>
      <c r="H3467" s="816">
        <v>0.80940239999999997</v>
      </c>
      <c r="I3467" s="816"/>
      <c r="J3467" s="817">
        <v>1.7806999999999999</v>
      </c>
      <c r="K3467" s="817"/>
      <c r="L3467" s="817"/>
    </row>
    <row r="3468" spans="1:12" ht="17.100000000000001" customHeight="1">
      <c r="A3468" s="636"/>
      <c r="B3468" s="636"/>
      <c r="C3468" s="636"/>
      <c r="D3468" s="636"/>
      <c r="E3468" s="636"/>
      <c r="F3468" s="636"/>
      <c r="G3468" s="636"/>
      <c r="H3468" s="636"/>
      <c r="I3468" s="636"/>
      <c r="J3468" s="636" t="s">
        <v>13675</v>
      </c>
      <c r="K3468" s="636"/>
      <c r="L3468" s="636" t="s">
        <v>14095</v>
      </c>
    </row>
    <row r="3469" spans="1:12" ht="24" customHeight="1">
      <c r="A3469" s="612" t="s">
        <v>13673</v>
      </c>
      <c r="B3469" s="612"/>
      <c r="C3469" s="612"/>
      <c r="D3469" s="612"/>
      <c r="E3469" s="612"/>
      <c r="F3469" s="612"/>
      <c r="G3469" s="612"/>
      <c r="H3469" s="612"/>
      <c r="I3469" s="612"/>
      <c r="J3469" s="612"/>
      <c r="K3469" s="612"/>
      <c r="L3469" s="612"/>
    </row>
    <row r="3470" spans="1:12" ht="17.100000000000001" customHeight="1">
      <c r="A3470" s="636"/>
      <c r="B3470" s="636"/>
      <c r="C3470" s="636"/>
      <c r="D3470" s="636"/>
      <c r="E3470" s="636"/>
      <c r="F3470" s="636"/>
      <c r="G3470" s="636"/>
      <c r="H3470" s="636"/>
      <c r="I3470" s="636"/>
      <c r="J3470" s="636" t="s">
        <v>13672</v>
      </c>
      <c r="K3470" s="636"/>
      <c r="L3470" s="636" t="s">
        <v>15188</v>
      </c>
    </row>
    <row r="3471" spans="1:12">
      <c r="A3471" s="636"/>
      <c r="B3471" s="636"/>
      <c r="C3471" s="636"/>
      <c r="D3471" s="636"/>
      <c r="E3471" s="636"/>
      <c r="F3471" s="636"/>
      <c r="G3471" s="636"/>
      <c r="H3471" s="636"/>
      <c r="I3471" s="636"/>
      <c r="J3471" s="636" t="s">
        <v>13671</v>
      </c>
      <c r="K3471" s="636" t="s">
        <v>14461</v>
      </c>
      <c r="L3471" s="636" t="s">
        <v>15189</v>
      </c>
    </row>
    <row r="3472" spans="1:12" ht="17.100000000000001" customHeight="1">
      <c r="A3472" s="636"/>
      <c r="B3472" s="636"/>
      <c r="C3472" s="636"/>
      <c r="D3472" s="636"/>
      <c r="E3472" s="636"/>
      <c r="F3472" s="636"/>
      <c r="G3472" s="636"/>
      <c r="H3472" s="636"/>
      <c r="I3472" s="636"/>
      <c r="J3472" s="636" t="s">
        <v>13670</v>
      </c>
      <c r="K3472" s="636"/>
      <c r="L3472" s="636" t="s">
        <v>15190</v>
      </c>
    </row>
    <row r="3473" spans="1:12" ht="24" customHeight="1">
      <c r="A3473" s="636"/>
      <c r="B3473" s="636"/>
      <c r="C3473" s="636"/>
      <c r="D3473" s="636"/>
      <c r="E3473" s="636"/>
      <c r="F3473" s="636"/>
      <c r="G3473" s="636"/>
      <c r="H3473" s="636"/>
      <c r="I3473" s="636"/>
      <c r="J3473" s="636" t="s">
        <v>13669</v>
      </c>
      <c r="K3473" s="636" t="s">
        <v>13667</v>
      </c>
      <c r="L3473" s="636" t="s">
        <v>15191</v>
      </c>
    </row>
    <row r="3474" spans="1:12" ht="17.100000000000001" customHeight="1">
      <c r="A3474" s="636"/>
      <c r="B3474" s="636"/>
      <c r="C3474" s="636"/>
      <c r="D3474" s="636"/>
      <c r="E3474" s="636"/>
      <c r="F3474" s="636"/>
      <c r="G3474" s="636"/>
      <c r="H3474" s="636"/>
      <c r="I3474" s="636"/>
      <c r="J3474" s="636" t="s">
        <v>13668</v>
      </c>
      <c r="K3474" s="636"/>
      <c r="L3474" s="636" t="s">
        <v>15192</v>
      </c>
    </row>
    <row r="3475" spans="1:12">
      <c r="A3475" s="637"/>
      <c r="B3475" s="637"/>
      <c r="C3475" s="637"/>
      <c r="D3475" s="637"/>
      <c r="E3475" s="637"/>
      <c r="F3475" s="637"/>
      <c r="G3475" s="637"/>
      <c r="H3475" s="637"/>
      <c r="I3475" s="637"/>
      <c r="J3475" s="637"/>
      <c r="K3475" s="637"/>
      <c r="L3475" s="637"/>
    </row>
    <row r="3476" spans="1:12" ht="17.100000000000001" customHeight="1">
      <c r="A3476" s="616" t="s">
        <v>14157</v>
      </c>
      <c r="B3476" s="617" t="s">
        <v>13570</v>
      </c>
      <c r="C3476" s="616" t="s">
        <v>8</v>
      </c>
      <c r="D3476" s="616" t="s">
        <v>1256</v>
      </c>
      <c r="E3476" s="618" t="s">
        <v>12725</v>
      </c>
      <c r="F3476" s="617"/>
      <c r="G3476" s="617"/>
      <c r="H3476" s="617"/>
      <c r="I3476" s="617"/>
      <c r="J3476" s="617"/>
      <c r="K3476" s="617"/>
      <c r="L3476" s="617"/>
    </row>
    <row r="3477" spans="1:12" ht="24" customHeight="1">
      <c r="A3477" s="802" t="s">
        <v>12711</v>
      </c>
      <c r="B3477" s="802"/>
      <c r="C3477" s="802"/>
      <c r="D3477" s="802"/>
      <c r="E3477" s="802"/>
      <c r="F3477" s="802"/>
      <c r="G3477" s="802"/>
      <c r="H3477" s="802"/>
      <c r="I3477" s="612"/>
      <c r="J3477" s="612"/>
      <c r="K3477" s="612"/>
      <c r="L3477" s="612"/>
    </row>
    <row r="3478" spans="1:12" ht="24" customHeight="1">
      <c r="A3478" s="612" t="s">
        <v>13679</v>
      </c>
      <c r="B3478" s="636" t="s">
        <v>12698</v>
      </c>
      <c r="C3478" s="612" t="s">
        <v>12699</v>
      </c>
      <c r="D3478" s="612" t="s">
        <v>12700</v>
      </c>
      <c r="E3478" s="637" t="s">
        <v>12702</v>
      </c>
      <c r="F3478" s="801" t="s">
        <v>12704</v>
      </c>
      <c r="G3478" s="801"/>
      <c r="H3478" s="801" t="s">
        <v>13678</v>
      </c>
      <c r="I3478" s="801"/>
      <c r="J3478" s="801" t="s">
        <v>12705</v>
      </c>
      <c r="K3478" s="801"/>
      <c r="L3478" s="801"/>
    </row>
    <row r="3479" spans="1:12" ht="17.100000000000001" customHeight="1">
      <c r="A3479" s="626" t="s">
        <v>12709</v>
      </c>
      <c r="B3479" s="627" t="s">
        <v>13052</v>
      </c>
      <c r="C3479" s="626" t="s">
        <v>8</v>
      </c>
      <c r="D3479" s="626" t="s">
        <v>9229</v>
      </c>
      <c r="E3479" s="628" t="s">
        <v>23</v>
      </c>
      <c r="F3479" s="816" t="s">
        <v>13692</v>
      </c>
      <c r="G3479" s="816"/>
      <c r="H3479" s="816">
        <v>0.65878510000000001</v>
      </c>
      <c r="I3479" s="816"/>
      <c r="J3479" s="817">
        <v>0.63239999999999996</v>
      </c>
      <c r="K3479" s="817"/>
      <c r="L3479" s="817"/>
    </row>
    <row r="3480" spans="1:12" ht="17.100000000000001" customHeight="1">
      <c r="A3480" s="626" t="s">
        <v>12709</v>
      </c>
      <c r="B3480" s="627" t="s">
        <v>13051</v>
      </c>
      <c r="C3480" s="626" t="s">
        <v>8</v>
      </c>
      <c r="D3480" s="626" t="s">
        <v>9376</v>
      </c>
      <c r="E3480" s="628" t="s">
        <v>23</v>
      </c>
      <c r="F3480" s="816" t="s">
        <v>13691</v>
      </c>
      <c r="G3480" s="816"/>
      <c r="H3480" s="816">
        <v>0.65878510000000001</v>
      </c>
      <c r="I3480" s="816"/>
      <c r="J3480" s="817">
        <v>0.32940000000000003</v>
      </c>
      <c r="K3480" s="817"/>
      <c r="L3480" s="817"/>
    </row>
    <row r="3481" spans="1:12" ht="17.100000000000001" customHeight="1">
      <c r="A3481" s="626" t="s">
        <v>12709</v>
      </c>
      <c r="B3481" s="627" t="s">
        <v>13048</v>
      </c>
      <c r="C3481" s="626" t="s">
        <v>8</v>
      </c>
      <c r="D3481" s="626" t="s">
        <v>9233</v>
      </c>
      <c r="E3481" s="628" t="s">
        <v>23</v>
      </c>
      <c r="F3481" s="816" t="s">
        <v>13690</v>
      </c>
      <c r="G3481" s="816"/>
      <c r="H3481" s="816">
        <v>0.35933730000000003</v>
      </c>
      <c r="I3481" s="816"/>
      <c r="J3481" s="817">
        <v>0.36649999999999999</v>
      </c>
      <c r="K3481" s="817"/>
      <c r="L3481" s="817"/>
    </row>
    <row r="3482" spans="1:12" ht="17.100000000000001" customHeight="1">
      <c r="A3482" s="626" t="s">
        <v>12709</v>
      </c>
      <c r="B3482" s="627" t="s">
        <v>13047</v>
      </c>
      <c r="C3482" s="626" t="s">
        <v>8</v>
      </c>
      <c r="D3482" s="626" t="s">
        <v>9380</v>
      </c>
      <c r="E3482" s="628" t="s">
        <v>23</v>
      </c>
      <c r="F3482" s="816" t="s">
        <v>13689</v>
      </c>
      <c r="G3482" s="816"/>
      <c r="H3482" s="816">
        <v>0.35933730000000003</v>
      </c>
      <c r="I3482" s="816"/>
      <c r="J3482" s="817">
        <v>0.13650000000000001</v>
      </c>
      <c r="K3482" s="817"/>
      <c r="L3482" s="817"/>
    </row>
    <row r="3483" spans="1:12" ht="17.100000000000001" customHeight="1">
      <c r="A3483" s="636"/>
      <c r="B3483" s="636"/>
      <c r="C3483" s="636"/>
      <c r="D3483" s="636"/>
      <c r="E3483" s="636"/>
      <c r="F3483" s="636"/>
      <c r="G3483" s="636"/>
      <c r="H3483" s="636"/>
      <c r="I3483" s="636"/>
      <c r="J3483" s="636" t="s">
        <v>13675</v>
      </c>
      <c r="K3483" s="636"/>
      <c r="L3483" s="636" t="s">
        <v>13713</v>
      </c>
    </row>
    <row r="3484" spans="1:12" ht="17.100000000000001" customHeight="1">
      <c r="A3484" s="802" t="s">
        <v>12710</v>
      </c>
      <c r="B3484" s="802"/>
      <c r="C3484" s="802"/>
      <c r="D3484" s="802"/>
      <c r="E3484" s="802"/>
      <c r="F3484" s="802"/>
      <c r="G3484" s="802"/>
      <c r="H3484" s="802"/>
      <c r="I3484" s="612"/>
      <c r="J3484" s="612"/>
      <c r="K3484" s="612"/>
      <c r="L3484" s="612"/>
    </row>
    <row r="3485" spans="1:12" ht="17.100000000000001" customHeight="1">
      <c r="A3485" s="612" t="s">
        <v>13679</v>
      </c>
      <c r="B3485" s="636" t="s">
        <v>12698</v>
      </c>
      <c r="C3485" s="612" t="s">
        <v>12699</v>
      </c>
      <c r="D3485" s="612" t="s">
        <v>12700</v>
      </c>
      <c r="E3485" s="637" t="s">
        <v>12702</v>
      </c>
      <c r="F3485" s="801" t="s">
        <v>12704</v>
      </c>
      <c r="G3485" s="801"/>
      <c r="H3485" s="801" t="s">
        <v>13678</v>
      </c>
      <c r="I3485" s="801"/>
      <c r="J3485" s="801" t="s">
        <v>12705</v>
      </c>
      <c r="K3485" s="801"/>
      <c r="L3485" s="801"/>
    </row>
    <row r="3486" spans="1:12" ht="30" customHeight="1">
      <c r="A3486" s="626" t="s">
        <v>12709</v>
      </c>
      <c r="B3486" s="627" t="s">
        <v>13216</v>
      </c>
      <c r="C3486" s="626" t="s">
        <v>8</v>
      </c>
      <c r="D3486" s="626" t="s">
        <v>7609</v>
      </c>
      <c r="E3486" s="628" t="s">
        <v>23</v>
      </c>
      <c r="F3486" s="816" t="s">
        <v>14470</v>
      </c>
      <c r="G3486" s="816"/>
      <c r="H3486" s="816">
        <v>0.66644899999999996</v>
      </c>
      <c r="I3486" s="816"/>
      <c r="J3486" s="817">
        <v>4.6052</v>
      </c>
      <c r="K3486" s="817"/>
      <c r="L3486" s="817"/>
    </row>
    <row r="3487" spans="1:12" ht="36" customHeight="1">
      <c r="A3487" s="626" t="s">
        <v>12709</v>
      </c>
      <c r="B3487" s="627" t="s">
        <v>13046</v>
      </c>
      <c r="C3487" s="626" t="s">
        <v>8</v>
      </c>
      <c r="D3487" s="626" t="s">
        <v>11281</v>
      </c>
      <c r="E3487" s="628" t="s">
        <v>23</v>
      </c>
      <c r="F3487" s="816" t="s">
        <v>13731</v>
      </c>
      <c r="G3487" s="816"/>
      <c r="H3487" s="816">
        <v>0.36510100000000001</v>
      </c>
      <c r="I3487" s="816"/>
      <c r="J3487" s="817">
        <v>1.8766</v>
      </c>
      <c r="K3487" s="817"/>
      <c r="L3487" s="817"/>
    </row>
    <row r="3488" spans="1:12" ht="14.25" customHeight="1">
      <c r="A3488" s="636"/>
      <c r="B3488" s="636"/>
      <c r="C3488" s="636"/>
      <c r="D3488" s="636"/>
      <c r="E3488" s="636"/>
      <c r="F3488" s="636"/>
      <c r="G3488" s="636"/>
      <c r="H3488" s="636"/>
      <c r="I3488" s="636"/>
      <c r="J3488" s="636" t="s">
        <v>13675</v>
      </c>
      <c r="K3488" s="636"/>
      <c r="L3488" s="636" t="s">
        <v>14737</v>
      </c>
    </row>
    <row r="3489" spans="1:12" ht="17.100000000000001" customHeight="1">
      <c r="A3489" s="802" t="s">
        <v>12720</v>
      </c>
      <c r="B3489" s="802"/>
      <c r="C3489" s="802"/>
      <c r="D3489" s="802"/>
      <c r="E3489" s="802"/>
      <c r="F3489" s="802"/>
      <c r="G3489" s="802"/>
      <c r="H3489" s="802"/>
      <c r="I3489" s="612"/>
      <c r="J3489" s="612"/>
      <c r="K3489" s="612"/>
      <c r="L3489" s="612"/>
    </row>
    <row r="3490" spans="1:12" ht="36" customHeight="1">
      <c r="A3490" s="612" t="s">
        <v>13679</v>
      </c>
      <c r="B3490" s="636" t="s">
        <v>12698</v>
      </c>
      <c r="C3490" s="612" t="s">
        <v>12699</v>
      </c>
      <c r="D3490" s="612" t="s">
        <v>12700</v>
      </c>
      <c r="E3490" s="637" t="s">
        <v>12702</v>
      </c>
      <c r="F3490" s="801" t="s">
        <v>12704</v>
      </c>
      <c r="G3490" s="801"/>
      <c r="H3490" s="801" t="s">
        <v>13678</v>
      </c>
      <c r="I3490" s="801"/>
      <c r="J3490" s="801" t="s">
        <v>12705</v>
      </c>
      <c r="K3490" s="801"/>
      <c r="L3490" s="801"/>
    </row>
    <row r="3491" spans="1:12" ht="24" customHeight="1">
      <c r="A3491" s="626" t="s">
        <v>12709</v>
      </c>
      <c r="B3491" s="627" t="s">
        <v>12797</v>
      </c>
      <c r="C3491" s="626" t="s">
        <v>8</v>
      </c>
      <c r="D3491" s="626" t="s">
        <v>7530</v>
      </c>
      <c r="E3491" s="628" t="s">
        <v>20</v>
      </c>
      <c r="F3491" s="816" t="s">
        <v>13738</v>
      </c>
      <c r="G3491" s="816"/>
      <c r="H3491" s="816">
        <v>6.14</v>
      </c>
      <c r="I3491" s="816"/>
      <c r="J3491" s="817">
        <v>3.99</v>
      </c>
      <c r="K3491" s="817"/>
      <c r="L3491" s="817"/>
    </row>
    <row r="3492" spans="1:12" ht="24" customHeight="1">
      <c r="A3492" s="626" t="s">
        <v>12709</v>
      </c>
      <c r="B3492" s="627" t="s">
        <v>13569</v>
      </c>
      <c r="C3492" s="626" t="s">
        <v>8</v>
      </c>
      <c r="D3492" s="626" t="s">
        <v>11173</v>
      </c>
      <c r="E3492" s="628" t="s">
        <v>20</v>
      </c>
      <c r="F3492" s="816" t="s">
        <v>14736</v>
      </c>
      <c r="G3492" s="816"/>
      <c r="H3492" s="816">
        <v>0.22</v>
      </c>
      <c r="I3492" s="816"/>
      <c r="J3492" s="817">
        <v>0.9</v>
      </c>
      <c r="K3492" s="817"/>
      <c r="L3492" s="817"/>
    </row>
    <row r="3493" spans="1:12" ht="17.100000000000001" customHeight="1">
      <c r="A3493" s="626" t="s">
        <v>12709</v>
      </c>
      <c r="B3493" s="627" t="s">
        <v>13568</v>
      </c>
      <c r="C3493" s="626" t="s">
        <v>8</v>
      </c>
      <c r="D3493" s="626" t="s">
        <v>11189</v>
      </c>
      <c r="E3493" s="628" t="s">
        <v>12725</v>
      </c>
      <c r="F3493" s="816" t="s">
        <v>14735</v>
      </c>
      <c r="G3493" s="816"/>
      <c r="H3493" s="816">
        <v>1.08</v>
      </c>
      <c r="I3493" s="816"/>
      <c r="J3493" s="817">
        <v>19.329999999999998</v>
      </c>
      <c r="K3493" s="817"/>
      <c r="L3493" s="817"/>
    </row>
    <row r="3494" spans="1:12" ht="14.25" customHeight="1">
      <c r="A3494" s="636"/>
      <c r="B3494" s="636"/>
      <c r="C3494" s="636"/>
      <c r="D3494" s="636"/>
      <c r="E3494" s="636"/>
      <c r="F3494" s="636"/>
      <c r="G3494" s="636"/>
      <c r="H3494" s="636"/>
      <c r="I3494" s="636"/>
      <c r="J3494" s="636" t="s">
        <v>13675</v>
      </c>
      <c r="K3494" s="636"/>
      <c r="L3494" s="636" t="s">
        <v>14734</v>
      </c>
    </row>
    <row r="3495" spans="1:12" ht="17.100000000000001" customHeight="1">
      <c r="A3495" s="802" t="s">
        <v>12722</v>
      </c>
      <c r="B3495" s="802"/>
      <c r="C3495" s="802"/>
      <c r="D3495" s="802"/>
      <c r="E3495" s="802"/>
      <c r="F3495" s="802"/>
      <c r="G3495" s="802"/>
      <c r="H3495" s="802"/>
      <c r="I3495" s="612"/>
      <c r="J3495" s="612"/>
      <c r="K3495" s="612"/>
      <c r="L3495" s="612"/>
    </row>
    <row r="3496" spans="1:12" ht="24" customHeight="1">
      <c r="A3496" s="612" t="s">
        <v>13679</v>
      </c>
      <c r="B3496" s="636" t="s">
        <v>12698</v>
      </c>
      <c r="C3496" s="612" t="s">
        <v>12699</v>
      </c>
      <c r="D3496" s="612" t="s">
        <v>12700</v>
      </c>
      <c r="E3496" s="637" t="s">
        <v>12702</v>
      </c>
      <c r="F3496" s="801" t="s">
        <v>12704</v>
      </c>
      <c r="G3496" s="801"/>
      <c r="H3496" s="801" t="s">
        <v>13678</v>
      </c>
      <c r="I3496" s="801"/>
      <c r="J3496" s="801" t="s">
        <v>12705</v>
      </c>
      <c r="K3496" s="801"/>
      <c r="L3496" s="801"/>
    </row>
    <row r="3497" spans="1:12" ht="17.100000000000001" customHeight="1">
      <c r="A3497" s="626" t="s">
        <v>12709</v>
      </c>
      <c r="B3497" s="627" t="s">
        <v>12998</v>
      </c>
      <c r="C3497" s="626" t="s">
        <v>8</v>
      </c>
      <c r="D3497" s="626" t="s">
        <v>11861</v>
      </c>
      <c r="E3497" s="628" t="s">
        <v>23</v>
      </c>
      <c r="F3497" s="816" t="s">
        <v>13683</v>
      </c>
      <c r="G3497" s="816"/>
      <c r="H3497" s="816">
        <v>1.0181224</v>
      </c>
      <c r="I3497" s="816"/>
      <c r="J3497" s="817">
        <v>0.72289999999999999</v>
      </c>
      <c r="K3497" s="817"/>
      <c r="L3497" s="817"/>
    </row>
    <row r="3498" spans="1:12">
      <c r="A3498" s="636"/>
      <c r="B3498" s="636"/>
      <c r="C3498" s="636"/>
      <c r="D3498" s="636"/>
      <c r="E3498" s="636"/>
      <c r="F3498" s="636"/>
      <c r="G3498" s="636"/>
      <c r="H3498" s="636"/>
      <c r="I3498" s="636"/>
      <c r="J3498" s="636" t="s">
        <v>13675</v>
      </c>
      <c r="K3498" s="636"/>
      <c r="L3498" s="636" t="s">
        <v>14041</v>
      </c>
    </row>
    <row r="3499" spans="1:12" ht="17.100000000000001" customHeight="1">
      <c r="A3499" s="802" t="s">
        <v>12713</v>
      </c>
      <c r="B3499" s="802"/>
      <c r="C3499" s="802"/>
      <c r="D3499" s="802"/>
      <c r="E3499" s="802"/>
      <c r="F3499" s="802"/>
      <c r="G3499" s="802"/>
      <c r="H3499" s="802"/>
      <c r="I3499" s="612"/>
      <c r="J3499" s="612"/>
      <c r="K3499" s="612"/>
      <c r="L3499" s="612"/>
    </row>
    <row r="3500" spans="1:12" ht="36" customHeight="1">
      <c r="A3500" s="612" t="s">
        <v>13679</v>
      </c>
      <c r="B3500" s="636" t="s">
        <v>12698</v>
      </c>
      <c r="C3500" s="612" t="s">
        <v>12699</v>
      </c>
      <c r="D3500" s="612" t="s">
        <v>12700</v>
      </c>
      <c r="E3500" s="637" t="s">
        <v>12702</v>
      </c>
      <c r="F3500" s="801" t="s">
        <v>12704</v>
      </c>
      <c r="G3500" s="801"/>
      <c r="H3500" s="801" t="s">
        <v>13678</v>
      </c>
      <c r="I3500" s="801"/>
      <c r="J3500" s="801" t="s">
        <v>12705</v>
      </c>
      <c r="K3500" s="801"/>
      <c r="L3500" s="801"/>
    </row>
    <row r="3501" spans="1:12" ht="36" customHeight="1">
      <c r="A3501" s="626" t="s">
        <v>12709</v>
      </c>
      <c r="B3501" s="627" t="s">
        <v>12999</v>
      </c>
      <c r="C3501" s="626" t="s">
        <v>8</v>
      </c>
      <c r="D3501" s="626" t="s">
        <v>11251</v>
      </c>
      <c r="E3501" s="628" t="s">
        <v>23</v>
      </c>
      <c r="F3501" s="816" t="s">
        <v>13681</v>
      </c>
      <c r="G3501" s="816"/>
      <c r="H3501" s="816">
        <v>1.0181224</v>
      </c>
      <c r="I3501" s="816"/>
      <c r="J3501" s="817">
        <v>7.1300000000000002E-2</v>
      </c>
      <c r="K3501" s="817"/>
      <c r="L3501" s="817"/>
    </row>
    <row r="3502" spans="1:12" ht="24" customHeight="1">
      <c r="A3502" s="636"/>
      <c r="B3502" s="636"/>
      <c r="C3502" s="636"/>
      <c r="D3502" s="636"/>
      <c r="E3502" s="636"/>
      <c r="F3502" s="636"/>
      <c r="G3502" s="636"/>
      <c r="H3502" s="636"/>
      <c r="I3502" s="636"/>
      <c r="J3502" s="636" t="s">
        <v>13675</v>
      </c>
      <c r="K3502" s="636"/>
      <c r="L3502" s="636" t="s">
        <v>13681</v>
      </c>
    </row>
    <row r="3503" spans="1:12" ht="24" customHeight="1">
      <c r="A3503" s="802" t="s">
        <v>12712</v>
      </c>
      <c r="B3503" s="802"/>
      <c r="C3503" s="802"/>
      <c r="D3503" s="802"/>
      <c r="E3503" s="802"/>
      <c r="F3503" s="802"/>
      <c r="G3503" s="802"/>
      <c r="H3503" s="802"/>
      <c r="I3503" s="612"/>
      <c r="J3503" s="612"/>
      <c r="K3503" s="612"/>
      <c r="L3503" s="612"/>
    </row>
    <row r="3504" spans="1:12" ht="36" customHeight="1">
      <c r="A3504" s="612" t="s">
        <v>13679</v>
      </c>
      <c r="B3504" s="636" t="s">
        <v>12698</v>
      </c>
      <c r="C3504" s="612" t="s">
        <v>12699</v>
      </c>
      <c r="D3504" s="612" t="s">
        <v>12700</v>
      </c>
      <c r="E3504" s="637" t="s">
        <v>12702</v>
      </c>
      <c r="F3504" s="801" t="s">
        <v>12704</v>
      </c>
      <c r="G3504" s="801"/>
      <c r="H3504" s="801" t="s">
        <v>13678</v>
      </c>
      <c r="I3504" s="801"/>
      <c r="J3504" s="801" t="s">
        <v>12705</v>
      </c>
      <c r="K3504" s="801"/>
      <c r="L3504" s="801"/>
    </row>
    <row r="3505" spans="1:12" ht="17.100000000000001" customHeight="1">
      <c r="A3505" s="626" t="s">
        <v>12709</v>
      </c>
      <c r="B3505" s="627" t="s">
        <v>13002</v>
      </c>
      <c r="C3505" s="626" t="s">
        <v>8</v>
      </c>
      <c r="D3505" s="626" t="s">
        <v>9306</v>
      </c>
      <c r="E3505" s="628" t="s">
        <v>23</v>
      </c>
      <c r="F3505" s="816" t="s">
        <v>13677</v>
      </c>
      <c r="G3505" s="816"/>
      <c r="H3505" s="816">
        <v>1.0181224</v>
      </c>
      <c r="I3505" s="816"/>
      <c r="J3505" s="817">
        <v>0.35630000000000001</v>
      </c>
      <c r="K3505" s="817"/>
      <c r="L3505" s="817"/>
    </row>
    <row r="3506" spans="1:12" ht="25.5">
      <c r="A3506" s="626" t="s">
        <v>12709</v>
      </c>
      <c r="B3506" s="627" t="s">
        <v>13004</v>
      </c>
      <c r="C3506" s="626" t="s">
        <v>8</v>
      </c>
      <c r="D3506" s="626" t="s">
        <v>7388</v>
      </c>
      <c r="E3506" s="628" t="s">
        <v>23</v>
      </c>
      <c r="F3506" s="816" t="s">
        <v>13676</v>
      </c>
      <c r="G3506" s="816"/>
      <c r="H3506" s="816">
        <v>1.0181224</v>
      </c>
      <c r="I3506" s="816"/>
      <c r="J3506" s="817">
        <v>2.2399</v>
      </c>
      <c r="K3506" s="817"/>
      <c r="L3506" s="817"/>
    </row>
    <row r="3507" spans="1:12" ht="17.100000000000001" customHeight="1">
      <c r="A3507" s="636"/>
      <c r="B3507" s="636"/>
      <c r="C3507" s="636"/>
      <c r="D3507" s="636"/>
      <c r="E3507" s="636"/>
      <c r="F3507" s="636"/>
      <c r="G3507" s="636"/>
      <c r="H3507" s="636"/>
      <c r="I3507" s="636"/>
      <c r="J3507" s="636" t="s">
        <v>13675</v>
      </c>
      <c r="K3507" s="636"/>
      <c r="L3507" s="636" t="s">
        <v>14156</v>
      </c>
    </row>
    <row r="3508" spans="1:12" ht="24" customHeight="1">
      <c r="A3508" s="612" t="s">
        <v>13673</v>
      </c>
      <c r="B3508" s="612"/>
      <c r="C3508" s="612"/>
      <c r="D3508" s="612"/>
      <c r="E3508" s="612"/>
      <c r="F3508" s="612"/>
      <c r="G3508" s="612"/>
      <c r="H3508" s="612"/>
      <c r="I3508" s="612"/>
      <c r="J3508" s="612"/>
      <c r="K3508" s="612"/>
      <c r="L3508" s="612"/>
    </row>
    <row r="3509" spans="1:12" ht="17.100000000000001" customHeight="1">
      <c r="A3509" s="636"/>
      <c r="B3509" s="636"/>
      <c r="C3509" s="636"/>
      <c r="D3509" s="636"/>
      <c r="E3509" s="636"/>
      <c r="F3509" s="636"/>
      <c r="G3509" s="636"/>
      <c r="H3509" s="636"/>
      <c r="I3509" s="636"/>
      <c r="J3509" s="636" t="s">
        <v>13672</v>
      </c>
      <c r="K3509" s="636"/>
      <c r="L3509" s="636" t="s">
        <v>15193</v>
      </c>
    </row>
    <row r="3510" spans="1:12">
      <c r="A3510" s="636"/>
      <c r="B3510" s="636"/>
      <c r="C3510" s="636"/>
      <c r="D3510" s="636"/>
      <c r="E3510" s="636"/>
      <c r="F3510" s="636"/>
      <c r="G3510" s="636"/>
      <c r="H3510" s="636"/>
      <c r="I3510" s="636"/>
      <c r="J3510" s="636" t="s">
        <v>13671</v>
      </c>
      <c r="K3510" s="636" t="s">
        <v>14461</v>
      </c>
      <c r="L3510" s="636" t="s">
        <v>15194</v>
      </c>
    </row>
    <row r="3511" spans="1:12" ht="17.100000000000001" customHeight="1">
      <c r="A3511" s="636"/>
      <c r="B3511" s="636"/>
      <c r="C3511" s="636"/>
      <c r="D3511" s="636"/>
      <c r="E3511" s="636"/>
      <c r="F3511" s="636"/>
      <c r="G3511" s="636"/>
      <c r="H3511" s="636"/>
      <c r="I3511" s="636"/>
      <c r="J3511" s="636" t="s">
        <v>13670</v>
      </c>
      <c r="K3511" s="636"/>
      <c r="L3511" s="636" t="s">
        <v>15195</v>
      </c>
    </row>
    <row r="3512" spans="1:12" ht="24" customHeight="1">
      <c r="A3512" s="636"/>
      <c r="B3512" s="636"/>
      <c r="C3512" s="636"/>
      <c r="D3512" s="636"/>
      <c r="E3512" s="636"/>
      <c r="F3512" s="636"/>
      <c r="G3512" s="636"/>
      <c r="H3512" s="636"/>
      <c r="I3512" s="636"/>
      <c r="J3512" s="636" t="s">
        <v>13669</v>
      </c>
      <c r="K3512" s="636" t="s">
        <v>13667</v>
      </c>
      <c r="L3512" s="636" t="s">
        <v>15046</v>
      </c>
    </row>
    <row r="3513" spans="1:12" ht="17.100000000000001" customHeight="1">
      <c r="A3513" s="636"/>
      <c r="B3513" s="636"/>
      <c r="C3513" s="636"/>
      <c r="D3513" s="636"/>
      <c r="E3513" s="636"/>
      <c r="F3513" s="636"/>
      <c r="G3513" s="636"/>
      <c r="H3513" s="636"/>
      <c r="I3513" s="636"/>
      <c r="J3513" s="636" t="s">
        <v>13668</v>
      </c>
      <c r="K3513" s="636"/>
      <c r="L3513" s="636" t="s">
        <v>15196</v>
      </c>
    </row>
    <row r="3514" spans="1:12">
      <c r="A3514" s="637"/>
      <c r="B3514" s="637"/>
      <c r="C3514" s="637"/>
      <c r="D3514" s="637"/>
      <c r="E3514" s="637"/>
      <c r="F3514" s="637"/>
      <c r="G3514" s="637"/>
      <c r="H3514" s="637"/>
      <c r="I3514" s="637"/>
      <c r="J3514" s="637"/>
      <c r="K3514" s="637"/>
      <c r="L3514" s="637"/>
    </row>
    <row r="3515" spans="1:12" ht="17.100000000000001" customHeight="1">
      <c r="A3515" s="616" t="s">
        <v>14155</v>
      </c>
      <c r="B3515" s="617" t="s">
        <v>12808</v>
      </c>
      <c r="C3515" s="616" t="s">
        <v>8</v>
      </c>
      <c r="D3515" s="616" t="s">
        <v>4265</v>
      </c>
      <c r="E3515" s="618" t="s">
        <v>12725</v>
      </c>
      <c r="F3515" s="617"/>
      <c r="G3515" s="617"/>
      <c r="H3515" s="617"/>
      <c r="I3515" s="617"/>
      <c r="J3515" s="617"/>
      <c r="K3515" s="617"/>
      <c r="L3515" s="617"/>
    </row>
    <row r="3516" spans="1:12" ht="24" customHeight="1">
      <c r="A3516" s="802" t="s">
        <v>12711</v>
      </c>
      <c r="B3516" s="802"/>
      <c r="C3516" s="802"/>
      <c r="D3516" s="802"/>
      <c r="E3516" s="802"/>
      <c r="F3516" s="802"/>
      <c r="G3516" s="802"/>
      <c r="H3516" s="802"/>
      <c r="I3516" s="612"/>
      <c r="J3516" s="612"/>
      <c r="K3516" s="612"/>
      <c r="L3516" s="612"/>
    </row>
    <row r="3517" spans="1:12" ht="24" customHeight="1">
      <c r="A3517" s="612" t="s">
        <v>13679</v>
      </c>
      <c r="B3517" s="636" t="s">
        <v>12698</v>
      </c>
      <c r="C3517" s="612" t="s">
        <v>12699</v>
      </c>
      <c r="D3517" s="612" t="s">
        <v>12700</v>
      </c>
      <c r="E3517" s="637" t="s">
        <v>12702</v>
      </c>
      <c r="F3517" s="801" t="s">
        <v>12704</v>
      </c>
      <c r="G3517" s="801"/>
      <c r="H3517" s="801" t="s">
        <v>13678</v>
      </c>
      <c r="I3517" s="801"/>
      <c r="J3517" s="801" t="s">
        <v>12705</v>
      </c>
      <c r="K3517" s="801"/>
      <c r="L3517" s="801"/>
    </row>
    <row r="3518" spans="1:12" ht="17.100000000000001" customHeight="1">
      <c r="A3518" s="626" t="s">
        <v>12709</v>
      </c>
      <c r="B3518" s="627" t="s">
        <v>13052</v>
      </c>
      <c r="C3518" s="626" t="s">
        <v>8</v>
      </c>
      <c r="D3518" s="626" t="s">
        <v>9229</v>
      </c>
      <c r="E3518" s="628" t="s">
        <v>23</v>
      </c>
      <c r="F3518" s="816" t="s">
        <v>13692</v>
      </c>
      <c r="G3518" s="816"/>
      <c r="H3518" s="816">
        <v>6.9967408000000004</v>
      </c>
      <c r="I3518" s="816"/>
      <c r="J3518" s="817">
        <v>6.7168999999999999</v>
      </c>
      <c r="K3518" s="817"/>
      <c r="L3518" s="817"/>
    </row>
    <row r="3519" spans="1:12" ht="17.100000000000001" customHeight="1">
      <c r="A3519" s="626" t="s">
        <v>12709</v>
      </c>
      <c r="B3519" s="627" t="s">
        <v>13051</v>
      </c>
      <c r="C3519" s="626" t="s">
        <v>8</v>
      </c>
      <c r="D3519" s="626" t="s">
        <v>9376</v>
      </c>
      <c r="E3519" s="628" t="s">
        <v>23</v>
      </c>
      <c r="F3519" s="816" t="s">
        <v>13691</v>
      </c>
      <c r="G3519" s="816"/>
      <c r="H3519" s="816">
        <v>6.9967408000000004</v>
      </c>
      <c r="I3519" s="816"/>
      <c r="J3519" s="817">
        <v>3.4984000000000002</v>
      </c>
      <c r="K3519" s="817"/>
      <c r="L3519" s="817"/>
    </row>
    <row r="3520" spans="1:12" ht="17.100000000000001" customHeight="1">
      <c r="A3520" s="626" t="s">
        <v>12709</v>
      </c>
      <c r="B3520" s="627" t="s">
        <v>13048</v>
      </c>
      <c r="C3520" s="626" t="s">
        <v>8</v>
      </c>
      <c r="D3520" s="626" t="s">
        <v>9233</v>
      </c>
      <c r="E3520" s="628" t="s">
        <v>23</v>
      </c>
      <c r="F3520" s="816" t="s">
        <v>13690</v>
      </c>
      <c r="G3520" s="816"/>
      <c r="H3520" s="816">
        <v>4.9976719999999997</v>
      </c>
      <c r="I3520" s="816"/>
      <c r="J3520" s="817">
        <v>5.0975999999999999</v>
      </c>
      <c r="K3520" s="817"/>
      <c r="L3520" s="817"/>
    </row>
    <row r="3521" spans="1:12" ht="17.100000000000001" customHeight="1">
      <c r="A3521" s="626" t="s">
        <v>12709</v>
      </c>
      <c r="B3521" s="627" t="s">
        <v>13047</v>
      </c>
      <c r="C3521" s="626" t="s">
        <v>8</v>
      </c>
      <c r="D3521" s="626" t="s">
        <v>9380</v>
      </c>
      <c r="E3521" s="628" t="s">
        <v>23</v>
      </c>
      <c r="F3521" s="816" t="s">
        <v>13689</v>
      </c>
      <c r="G3521" s="816"/>
      <c r="H3521" s="816">
        <v>4.9976719999999997</v>
      </c>
      <c r="I3521" s="816"/>
      <c r="J3521" s="817">
        <v>1.8991</v>
      </c>
      <c r="K3521" s="817"/>
      <c r="L3521" s="817"/>
    </row>
    <row r="3522" spans="1:12" ht="17.100000000000001" customHeight="1">
      <c r="A3522" s="636"/>
      <c r="B3522" s="636"/>
      <c r="C3522" s="636"/>
      <c r="D3522" s="636"/>
      <c r="E3522" s="636"/>
      <c r="F3522" s="636"/>
      <c r="G3522" s="636"/>
      <c r="H3522" s="636"/>
      <c r="I3522" s="636"/>
      <c r="J3522" s="636" t="s">
        <v>13675</v>
      </c>
      <c r="K3522" s="636"/>
      <c r="L3522" s="636" t="s">
        <v>14154</v>
      </c>
    </row>
    <row r="3523" spans="1:12" ht="17.100000000000001" customHeight="1">
      <c r="A3523" s="802" t="s">
        <v>12710</v>
      </c>
      <c r="B3523" s="802"/>
      <c r="C3523" s="802"/>
      <c r="D3523" s="802"/>
      <c r="E3523" s="802"/>
      <c r="F3523" s="802"/>
      <c r="G3523" s="802"/>
      <c r="H3523" s="802"/>
      <c r="I3523" s="612"/>
      <c r="J3523" s="612"/>
      <c r="K3523" s="612"/>
      <c r="L3523" s="612"/>
    </row>
    <row r="3524" spans="1:12" ht="17.100000000000001" customHeight="1">
      <c r="A3524" s="612" t="s">
        <v>13679</v>
      </c>
      <c r="B3524" s="636" t="s">
        <v>12698</v>
      </c>
      <c r="C3524" s="612" t="s">
        <v>12699</v>
      </c>
      <c r="D3524" s="612" t="s">
        <v>12700</v>
      </c>
      <c r="E3524" s="637" t="s">
        <v>12702</v>
      </c>
      <c r="F3524" s="801" t="s">
        <v>12704</v>
      </c>
      <c r="G3524" s="801"/>
      <c r="H3524" s="801" t="s">
        <v>13678</v>
      </c>
      <c r="I3524" s="801"/>
      <c r="J3524" s="801" t="s">
        <v>12705</v>
      </c>
      <c r="K3524" s="801"/>
      <c r="L3524" s="801"/>
    </row>
    <row r="3525" spans="1:12" ht="30" customHeight="1">
      <c r="A3525" s="626" t="s">
        <v>12709</v>
      </c>
      <c r="B3525" s="627" t="s">
        <v>13146</v>
      </c>
      <c r="C3525" s="626" t="s">
        <v>8</v>
      </c>
      <c r="D3525" s="626" t="s">
        <v>10362</v>
      </c>
      <c r="E3525" s="628" t="s">
        <v>23</v>
      </c>
      <c r="F3525" s="816" t="s">
        <v>14615</v>
      </c>
      <c r="G3525" s="816"/>
      <c r="H3525" s="816">
        <v>4.0396063</v>
      </c>
      <c r="I3525" s="816"/>
      <c r="J3525" s="817">
        <v>28.519600000000001</v>
      </c>
      <c r="K3525" s="817"/>
      <c r="L3525" s="817"/>
    </row>
    <row r="3526" spans="1:12" ht="24" customHeight="1">
      <c r="A3526" s="626" t="s">
        <v>12709</v>
      </c>
      <c r="B3526" s="627" t="s">
        <v>13099</v>
      </c>
      <c r="C3526" s="626" t="s">
        <v>8</v>
      </c>
      <c r="D3526" s="626" t="s">
        <v>10726</v>
      </c>
      <c r="E3526" s="628" t="s">
        <v>23</v>
      </c>
      <c r="F3526" s="816" t="s">
        <v>14470</v>
      </c>
      <c r="G3526" s="816"/>
      <c r="H3526" s="816">
        <v>3.0429008999999998</v>
      </c>
      <c r="I3526" s="816"/>
      <c r="J3526" s="817">
        <v>21.026399999999999</v>
      </c>
      <c r="K3526" s="817"/>
      <c r="L3526" s="817"/>
    </row>
    <row r="3527" spans="1:12" ht="14.25" customHeight="1">
      <c r="A3527" s="626" t="s">
        <v>12709</v>
      </c>
      <c r="B3527" s="627" t="s">
        <v>13046</v>
      </c>
      <c r="C3527" s="626" t="s">
        <v>8</v>
      </c>
      <c r="D3527" s="626" t="s">
        <v>11281</v>
      </c>
      <c r="E3527" s="628" t="s">
        <v>23</v>
      </c>
      <c r="F3527" s="816" t="s">
        <v>13731</v>
      </c>
      <c r="G3527" s="816"/>
      <c r="H3527" s="816">
        <v>5.0715013999999998</v>
      </c>
      <c r="I3527" s="816"/>
      <c r="J3527" s="817">
        <v>26.067499999999999</v>
      </c>
      <c r="K3527" s="817"/>
      <c r="L3527" s="817"/>
    </row>
    <row r="3528" spans="1:12" ht="17.100000000000001" customHeight="1">
      <c r="A3528" s="636"/>
      <c r="B3528" s="636"/>
      <c r="C3528" s="636"/>
      <c r="D3528" s="636"/>
      <c r="E3528" s="636"/>
      <c r="F3528" s="636"/>
      <c r="G3528" s="636"/>
      <c r="H3528" s="636"/>
      <c r="I3528" s="636"/>
      <c r="J3528" s="636" t="s">
        <v>13675</v>
      </c>
      <c r="K3528" s="636"/>
      <c r="L3528" s="636" t="s">
        <v>14733</v>
      </c>
    </row>
    <row r="3529" spans="1:12" ht="24" customHeight="1">
      <c r="A3529" s="802" t="s">
        <v>12720</v>
      </c>
      <c r="B3529" s="802"/>
      <c r="C3529" s="802"/>
      <c r="D3529" s="802"/>
      <c r="E3529" s="802"/>
      <c r="F3529" s="802"/>
      <c r="G3529" s="802"/>
      <c r="H3529" s="802"/>
      <c r="I3529" s="612"/>
      <c r="J3529" s="612"/>
      <c r="K3529" s="612"/>
      <c r="L3529" s="612"/>
    </row>
    <row r="3530" spans="1:12" ht="24" customHeight="1">
      <c r="A3530" s="612" t="s">
        <v>13679</v>
      </c>
      <c r="B3530" s="636" t="s">
        <v>12698</v>
      </c>
      <c r="C3530" s="612" t="s">
        <v>12699</v>
      </c>
      <c r="D3530" s="612" t="s">
        <v>12700</v>
      </c>
      <c r="E3530" s="637" t="s">
        <v>12702</v>
      </c>
      <c r="F3530" s="801" t="s">
        <v>12704</v>
      </c>
      <c r="G3530" s="801"/>
      <c r="H3530" s="801" t="s">
        <v>13678</v>
      </c>
      <c r="I3530" s="801"/>
      <c r="J3530" s="801" t="s">
        <v>12705</v>
      </c>
      <c r="K3530" s="801"/>
      <c r="L3530" s="801"/>
    </row>
    <row r="3531" spans="1:12" ht="24" customHeight="1">
      <c r="A3531" s="626" t="s">
        <v>12709</v>
      </c>
      <c r="B3531" s="627" t="s">
        <v>13249</v>
      </c>
      <c r="C3531" s="626" t="s">
        <v>8</v>
      </c>
      <c r="D3531" s="626" t="s">
        <v>8420</v>
      </c>
      <c r="E3531" s="628" t="s">
        <v>20</v>
      </c>
      <c r="F3531" s="816" t="s">
        <v>13700</v>
      </c>
      <c r="G3531" s="816"/>
      <c r="H3531" s="816">
        <v>6.5</v>
      </c>
      <c r="I3531" s="816"/>
      <c r="J3531" s="817">
        <v>3.18</v>
      </c>
      <c r="K3531" s="817"/>
      <c r="L3531" s="817"/>
    </row>
    <row r="3532" spans="1:12" ht="24" customHeight="1">
      <c r="A3532" s="626" t="s">
        <v>12709</v>
      </c>
      <c r="B3532" s="627" t="s">
        <v>13311</v>
      </c>
      <c r="C3532" s="626" t="s">
        <v>8</v>
      </c>
      <c r="D3532" s="626" t="s">
        <v>7522</v>
      </c>
      <c r="E3532" s="628" t="s">
        <v>20</v>
      </c>
      <c r="F3532" s="816" t="s">
        <v>14521</v>
      </c>
      <c r="G3532" s="816"/>
      <c r="H3532" s="816">
        <v>0.03</v>
      </c>
      <c r="I3532" s="816"/>
      <c r="J3532" s="817">
        <v>0.4</v>
      </c>
      <c r="K3532" s="817"/>
      <c r="L3532" s="817"/>
    </row>
    <row r="3533" spans="1:12" ht="17.100000000000001" customHeight="1">
      <c r="A3533" s="626" t="s">
        <v>12709</v>
      </c>
      <c r="B3533" s="627" t="s">
        <v>13315</v>
      </c>
      <c r="C3533" s="626" t="s">
        <v>8</v>
      </c>
      <c r="D3533" s="626" t="s">
        <v>7525</v>
      </c>
      <c r="E3533" s="628" t="s">
        <v>12730</v>
      </c>
      <c r="F3533" s="816" t="s">
        <v>14519</v>
      </c>
      <c r="G3533" s="816"/>
      <c r="H3533" s="816">
        <v>1.4999999999999999E-2</v>
      </c>
      <c r="I3533" s="816"/>
      <c r="J3533" s="817">
        <v>0.99</v>
      </c>
      <c r="K3533" s="817"/>
      <c r="L3533" s="817"/>
    </row>
    <row r="3534" spans="1:12" ht="14.25" customHeight="1">
      <c r="A3534" s="626" t="s">
        <v>12709</v>
      </c>
      <c r="B3534" s="627" t="s">
        <v>13567</v>
      </c>
      <c r="C3534" s="626" t="s">
        <v>8</v>
      </c>
      <c r="D3534" s="626" t="s">
        <v>7258</v>
      </c>
      <c r="E3534" s="628" t="s">
        <v>20</v>
      </c>
      <c r="F3534" s="816" t="s">
        <v>14490</v>
      </c>
      <c r="G3534" s="816"/>
      <c r="H3534" s="816">
        <v>3</v>
      </c>
      <c r="I3534" s="816"/>
      <c r="J3534" s="817">
        <v>14.82</v>
      </c>
      <c r="K3534" s="817"/>
      <c r="L3534" s="817"/>
    </row>
    <row r="3535" spans="1:12" ht="17.100000000000001" customHeight="1">
      <c r="A3535" s="626" t="s">
        <v>12709</v>
      </c>
      <c r="B3535" s="627" t="s">
        <v>13566</v>
      </c>
      <c r="C3535" s="626" t="s">
        <v>8</v>
      </c>
      <c r="D3535" s="626" t="s">
        <v>8418</v>
      </c>
      <c r="E3535" s="628" t="s">
        <v>20</v>
      </c>
      <c r="F3535" s="816" t="s">
        <v>14732</v>
      </c>
      <c r="G3535" s="816"/>
      <c r="H3535" s="816">
        <v>13</v>
      </c>
      <c r="I3535" s="816"/>
      <c r="J3535" s="817">
        <v>37.83</v>
      </c>
      <c r="K3535" s="817"/>
      <c r="L3535" s="817"/>
    </row>
    <row r="3536" spans="1:12" ht="24" customHeight="1">
      <c r="A3536" s="626" t="s">
        <v>12709</v>
      </c>
      <c r="B3536" s="627" t="s">
        <v>13565</v>
      </c>
      <c r="C3536" s="626" t="s">
        <v>8</v>
      </c>
      <c r="D3536" s="626" t="s">
        <v>9549</v>
      </c>
      <c r="E3536" s="628" t="s">
        <v>20</v>
      </c>
      <c r="F3536" s="816" t="s">
        <v>13717</v>
      </c>
      <c r="G3536" s="816"/>
      <c r="H3536" s="816">
        <v>20</v>
      </c>
      <c r="I3536" s="816"/>
      <c r="J3536" s="817">
        <v>8.6</v>
      </c>
      <c r="K3536" s="817"/>
      <c r="L3536" s="817"/>
    </row>
    <row r="3537" spans="1:12" ht="24" customHeight="1">
      <c r="A3537" s="636"/>
      <c r="B3537" s="636"/>
      <c r="C3537" s="636"/>
      <c r="D3537" s="636"/>
      <c r="E3537" s="636"/>
      <c r="F3537" s="636"/>
      <c r="G3537" s="636"/>
      <c r="H3537" s="636"/>
      <c r="I3537" s="636"/>
      <c r="J3537" s="636" t="s">
        <v>13675</v>
      </c>
      <c r="K3537" s="636"/>
      <c r="L3537" s="636" t="s">
        <v>14731</v>
      </c>
    </row>
    <row r="3538" spans="1:12" ht="17.100000000000001" customHeight="1">
      <c r="A3538" s="802" t="s">
        <v>12722</v>
      </c>
      <c r="B3538" s="802"/>
      <c r="C3538" s="802"/>
      <c r="D3538" s="802"/>
      <c r="E3538" s="802"/>
      <c r="F3538" s="802"/>
      <c r="G3538" s="802"/>
      <c r="H3538" s="802"/>
      <c r="I3538" s="612"/>
      <c r="J3538" s="612"/>
      <c r="K3538" s="612"/>
      <c r="L3538" s="612"/>
    </row>
    <row r="3539" spans="1:12">
      <c r="A3539" s="612" t="s">
        <v>13679</v>
      </c>
      <c r="B3539" s="636" t="s">
        <v>12698</v>
      </c>
      <c r="C3539" s="612" t="s">
        <v>12699</v>
      </c>
      <c r="D3539" s="612" t="s">
        <v>12700</v>
      </c>
      <c r="E3539" s="637" t="s">
        <v>12702</v>
      </c>
      <c r="F3539" s="801" t="s">
        <v>12704</v>
      </c>
      <c r="G3539" s="801"/>
      <c r="H3539" s="801" t="s">
        <v>13678</v>
      </c>
      <c r="I3539" s="801"/>
      <c r="J3539" s="801" t="s">
        <v>12705</v>
      </c>
      <c r="K3539" s="801"/>
      <c r="L3539" s="801"/>
    </row>
    <row r="3540" spans="1:12" ht="17.100000000000001" customHeight="1">
      <c r="A3540" s="626" t="s">
        <v>12709</v>
      </c>
      <c r="B3540" s="627" t="s">
        <v>12998</v>
      </c>
      <c r="C3540" s="626" t="s">
        <v>8</v>
      </c>
      <c r="D3540" s="626" t="s">
        <v>11861</v>
      </c>
      <c r="E3540" s="628" t="s">
        <v>23</v>
      </c>
      <c r="F3540" s="816" t="s">
        <v>13683</v>
      </c>
      <c r="G3540" s="816"/>
      <c r="H3540" s="816">
        <v>11.994412799999999</v>
      </c>
      <c r="I3540" s="816"/>
      <c r="J3540" s="817">
        <v>8.516</v>
      </c>
      <c r="K3540" s="817"/>
      <c r="L3540" s="817"/>
    </row>
    <row r="3541" spans="1:12" ht="24" customHeight="1">
      <c r="A3541" s="636"/>
      <c r="B3541" s="636"/>
      <c r="C3541" s="636"/>
      <c r="D3541" s="636"/>
      <c r="E3541" s="636"/>
      <c r="F3541" s="636"/>
      <c r="G3541" s="636"/>
      <c r="H3541" s="636"/>
      <c r="I3541" s="636"/>
      <c r="J3541" s="636" t="s">
        <v>13675</v>
      </c>
      <c r="K3541" s="636"/>
      <c r="L3541" s="636" t="s">
        <v>14153</v>
      </c>
    </row>
    <row r="3542" spans="1:12" ht="17.100000000000001" customHeight="1">
      <c r="A3542" s="802" t="s">
        <v>12713</v>
      </c>
      <c r="B3542" s="802"/>
      <c r="C3542" s="802"/>
      <c r="D3542" s="802"/>
      <c r="E3542" s="802"/>
      <c r="F3542" s="802"/>
      <c r="G3542" s="802"/>
      <c r="H3542" s="802"/>
      <c r="I3542" s="612"/>
      <c r="J3542" s="612"/>
      <c r="K3542" s="612"/>
      <c r="L3542" s="612"/>
    </row>
    <row r="3543" spans="1:12">
      <c r="A3543" s="612" t="s">
        <v>13679</v>
      </c>
      <c r="B3543" s="636" t="s">
        <v>12698</v>
      </c>
      <c r="C3543" s="612" t="s">
        <v>12699</v>
      </c>
      <c r="D3543" s="612" t="s">
        <v>12700</v>
      </c>
      <c r="E3543" s="637" t="s">
        <v>12702</v>
      </c>
      <c r="F3543" s="801" t="s">
        <v>12704</v>
      </c>
      <c r="G3543" s="801"/>
      <c r="H3543" s="801" t="s">
        <v>13678</v>
      </c>
      <c r="I3543" s="801"/>
      <c r="J3543" s="801" t="s">
        <v>12705</v>
      </c>
      <c r="K3543" s="801"/>
      <c r="L3543" s="801"/>
    </row>
    <row r="3544" spans="1:12" ht="17.100000000000001" customHeight="1">
      <c r="A3544" s="626" t="s">
        <v>12709</v>
      </c>
      <c r="B3544" s="627" t="s">
        <v>12999</v>
      </c>
      <c r="C3544" s="626" t="s">
        <v>8</v>
      </c>
      <c r="D3544" s="626" t="s">
        <v>11251</v>
      </c>
      <c r="E3544" s="628" t="s">
        <v>23</v>
      </c>
      <c r="F3544" s="816" t="s">
        <v>13681</v>
      </c>
      <c r="G3544" s="816"/>
      <c r="H3544" s="816">
        <v>11.994412799999999</v>
      </c>
      <c r="I3544" s="816"/>
      <c r="J3544" s="817">
        <v>0.83960000000000001</v>
      </c>
      <c r="K3544" s="817"/>
      <c r="L3544" s="817"/>
    </row>
    <row r="3545" spans="1:12" ht="24" customHeight="1">
      <c r="A3545" s="636"/>
      <c r="B3545" s="636"/>
      <c r="C3545" s="636"/>
      <c r="D3545" s="636"/>
      <c r="E3545" s="636"/>
      <c r="F3545" s="636"/>
      <c r="G3545" s="636"/>
      <c r="H3545" s="636"/>
      <c r="I3545" s="636"/>
      <c r="J3545" s="636" t="s">
        <v>13675</v>
      </c>
      <c r="K3545" s="636"/>
      <c r="L3545" s="636" t="s">
        <v>14119</v>
      </c>
    </row>
    <row r="3546" spans="1:12" ht="17.100000000000001" customHeight="1">
      <c r="A3546" s="802" t="s">
        <v>12712</v>
      </c>
      <c r="B3546" s="802"/>
      <c r="C3546" s="802"/>
      <c r="D3546" s="802"/>
      <c r="E3546" s="802"/>
      <c r="F3546" s="802"/>
      <c r="G3546" s="802"/>
      <c r="H3546" s="802"/>
      <c r="I3546" s="612"/>
      <c r="J3546" s="612"/>
      <c r="K3546" s="612"/>
      <c r="L3546" s="612"/>
    </row>
    <row r="3547" spans="1:12">
      <c r="A3547" s="612" t="s">
        <v>13679</v>
      </c>
      <c r="B3547" s="636" t="s">
        <v>12698</v>
      </c>
      <c r="C3547" s="612" t="s">
        <v>12699</v>
      </c>
      <c r="D3547" s="612" t="s">
        <v>12700</v>
      </c>
      <c r="E3547" s="637" t="s">
        <v>12702</v>
      </c>
      <c r="F3547" s="801" t="s">
        <v>12704</v>
      </c>
      <c r="G3547" s="801"/>
      <c r="H3547" s="801" t="s">
        <v>13678</v>
      </c>
      <c r="I3547" s="801"/>
      <c r="J3547" s="801" t="s">
        <v>12705</v>
      </c>
      <c r="K3547" s="801"/>
      <c r="L3547" s="801"/>
    </row>
    <row r="3548" spans="1:12" ht="17.100000000000001" customHeight="1">
      <c r="A3548" s="626" t="s">
        <v>12709</v>
      </c>
      <c r="B3548" s="627" t="s">
        <v>13002</v>
      </c>
      <c r="C3548" s="626" t="s">
        <v>8</v>
      </c>
      <c r="D3548" s="626" t="s">
        <v>9306</v>
      </c>
      <c r="E3548" s="628" t="s">
        <v>23</v>
      </c>
      <c r="F3548" s="816" t="s">
        <v>13677</v>
      </c>
      <c r="G3548" s="816"/>
      <c r="H3548" s="816">
        <v>11.994412799999999</v>
      </c>
      <c r="I3548" s="816"/>
      <c r="J3548" s="817">
        <v>4.1980000000000004</v>
      </c>
      <c r="K3548" s="817"/>
      <c r="L3548" s="817"/>
    </row>
    <row r="3549" spans="1:12" ht="24" customHeight="1">
      <c r="A3549" s="626" t="s">
        <v>12709</v>
      </c>
      <c r="B3549" s="627" t="s">
        <v>13004</v>
      </c>
      <c r="C3549" s="626" t="s">
        <v>8</v>
      </c>
      <c r="D3549" s="626" t="s">
        <v>7388</v>
      </c>
      <c r="E3549" s="628" t="s">
        <v>23</v>
      </c>
      <c r="F3549" s="816" t="s">
        <v>13676</v>
      </c>
      <c r="G3549" s="816"/>
      <c r="H3549" s="816">
        <v>11.994412799999999</v>
      </c>
      <c r="I3549" s="816"/>
      <c r="J3549" s="817">
        <v>26.387699999999999</v>
      </c>
      <c r="K3549" s="817"/>
      <c r="L3549" s="817"/>
    </row>
    <row r="3550" spans="1:12" ht="17.100000000000001" customHeight="1">
      <c r="A3550" s="636"/>
      <c r="B3550" s="636"/>
      <c r="C3550" s="636"/>
      <c r="D3550" s="636"/>
      <c r="E3550" s="636"/>
      <c r="F3550" s="636"/>
      <c r="G3550" s="636"/>
      <c r="H3550" s="636"/>
      <c r="I3550" s="636"/>
      <c r="J3550" s="636" t="s">
        <v>13675</v>
      </c>
      <c r="K3550" s="636"/>
      <c r="L3550" s="636" t="s">
        <v>14643</v>
      </c>
    </row>
    <row r="3551" spans="1:12">
      <c r="A3551" s="612" t="s">
        <v>13673</v>
      </c>
      <c r="B3551" s="612"/>
      <c r="C3551" s="612"/>
      <c r="D3551" s="612"/>
      <c r="E3551" s="612"/>
      <c r="F3551" s="612"/>
      <c r="G3551" s="612"/>
      <c r="H3551" s="612"/>
      <c r="I3551" s="612"/>
      <c r="J3551" s="612"/>
      <c r="K3551" s="612"/>
      <c r="L3551" s="612"/>
    </row>
    <row r="3552" spans="1:12" ht="17.100000000000001" customHeight="1">
      <c r="A3552" s="636"/>
      <c r="B3552" s="636"/>
      <c r="C3552" s="636"/>
      <c r="D3552" s="636"/>
      <c r="E3552" s="636"/>
      <c r="F3552" s="636"/>
      <c r="G3552" s="636"/>
      <c r="H3552" s="636"/>
      <c r="I3552" s="636"/>
      <c r="J3552" s="636" t="s">
        <v>13672</v>
      </c>
      <c r="K3552" s="636"/>
      <c r="L3552" s="636" t="s">
        <v>15197</v>
      </c>
    </row>
    <row r="3553" spans="1:12" ht="24" customHeight="1">
      <c r="A3553" s="636"/>
      <c r="B3553" s="636"/>
      <c r="C3553" s="636"/>
      <c r="D3553" s="636"/>
      <c r="E3553" s="636"/>
      <c r="F3553" s="636"/>
      <c r="G3553" s="636"/>
      <c r="H3553" s="636"/>
      <c r="I3553" s="636"/>
      <c r="J3553" s="636" t="s">
        <v>13671</v>
      </c>
      <c r="K3553" s="636" t="s">
        <v>14461</v>
      </c>
      <c r="L3553" s="636" t="s">
        <v>15198</v>
      </c>
    </row>
    <row r="3554" spans="1:12" ht="24" customHeight="1">
      <c r="A3554" s="636"/>
      <c r="B3554" s="636"/>
      <c r="C3554" s="636"/>
      <c r="D3554" s="636"/>
      <c r="E3554" s="636"/>
      <c r="F3554" s="636"/>
      <c r="G3554" s="636"/>
      <c r="H3554" s="636"/>
      <c r="I3554" s="636"/>
      <c r="J3554" s="636" t="s">
        <v>13670</v>
      </c>
      <c r="K3554" s="636"/>
      <c r="L3554" s="636" t="s">
        <v>15199</v>
      </c>
    </row>
    <row r="3555" spans="1:12" ht="17.100000000000001" customHeight="1">
      <c r="A3555" s="636"/>
      <c r="B3555" s="636"/>
      <c r="C3555" s="636"/>
      <c r="D3555" s="636"/>
      <c r="E3555" s="636"/>
      <c r="F3555" s="636"/>
      <c r="G3555" s="636"/>
      <c r="H3555" s="636"/>
      <c r="I3555" s="636"/>
      <c r="J3555" s="636" t="s">
        <v>13669</v>
      </c>
      <c r="K3555" s="636" t="s">
        <v>13667</v>
      </c>
      <c r="L3555" s="636" t="s">
        <v>15200</v>
      </c>
    </row>
    <row r="3556" spans="1:12" ht="17.100000000000001" customHeight="1">
      <c r="A3556" s="636"/>
      <c r="B3556" s="636"/>
      <c r="C3556" s="636"/>
      <c r="D3556" s="636"/>
      <c r="E3556" s="636"/>
      <c r="F3556" s="636"/>
      <c r="G3556" s="636"/>
      <c r="H3556" s="636"/>
      <c r="I3556" s="636"/>
      <c r="J3556" s="636" t="s">
        <v>13668</v>
      </c>
      <c r="K3556" s="636"/>
      <c r="L3556" s="636" t="s">
        <v>15201</v>
      </c>
    </row>
    <row r="3557" spans="1:12" ht="17.100000000000001" customHeight="1">
      <c r="A3557" s="637"/>
      <c r="B3557" s="637"/>
      <c r="C3557" s="637"/>
      <c r="D3557" s="637"/>
      <c r="E3557" s="637"/>
      <c r="F3557" s="637"/>
      <c r="G3557" s="637"/>
      <c r="H3557" s="637"/>
      <c r="I3557" s="637"/>
      <c r="J3557" s="637"/>
      <c r="K3557" s="637"/>
      <c r="L3557" s="637"/>
    </row>
    <row r="3558" spans="1:12" ht="17.100000000000001" customHeight="1">
      <c r="A3558" s="616" t="s">
        <v>14152</v>
      </c>
      <c r="B3558" s="617" t="s">
        <v>13564</v>
      </c>
      <c r="C3558" s="616" t="s">
        <v>8</v>
      </c>
      <c r="D3558" s="616" t="s">
        <v>3984</v>
      </c>
      <c r="E3558" s="618" t="s">
        <v>12725</v>
      </c>
      <c r="F3558" s="617"/>
      <c r="G3558" s="617"/>
      <c r="H3558" s="617"/>
      <c r="I3558" s="617"/>
      <c r="J3558" s="617"/>
      <c r="K3558" s="617"/>
      <c r="L3558" s="617"/>
    </row>
    <row r="3559" spans="1:12" ht="17.100000000000001" customHeight="1">
      <c r="A3559" s="802" t="s">
        <v>12711</v>
      </c>
      <c r="B3559" s="802"/>
      <c r="C3559" s="802"/>
      <c r="D3559" s="802"/>
      <c r="E3559" s="802"/>
      <c r="F3559" s="802"/>
      <c r="G3559" s="802"/>
      <c r="H3559" s="802"/>
      <c r="I3559" s="612"/>
      <c r="J3559" s="612"/>
      <c r="K3559" s="612"/>
      <c r="L3559" s="612"/>
    </row>
    <row r="3560" spans="1:12" ht="17.100000000000001" customHeight="1">
      <c r="A3560" s="612" t="s">
        <v>13679</v>
      </c>
      <c r="B3560" s="636" t="s">
        <v>12698</v>
      </c>
      <c r="C3560" s="612" t="s">
        <v>12699</v>
      </c>
      <c r="D3560" s="612" t="s">
        <v>12700</v>
      </c>
      <c r="E3560" s="637" t="s">
        <v>12702</v>
      </c>
      <c r="F3560" s="801" t="s">
        <v>12704</v>
      </c>
      <c r="G3560" s="801"/>
      <c r="H3560" s="801" t="s">
        <v>13678</v>
      </c>
      <c r="I3560" s="801"/>
      <c r="J3560" s="801" t="s">
        <v>12705</v>
      </c>
      <c r="K3560" s="801"/>
      <c r="L3560" s="801"/>
    </row>
    <row r="3561" spans="1:12" ht="17.100000000000001" customHeight="1">
      <c r="A3561" s="626" t="s">
        <v>12709</v>
      </c>
      <c r="B3561" s="627" t="s">
        <v>13559</v>
      </c>
      <c r="C3561" s="626" t="s">
        <v>8</v>
      </c>
      <c r="D3561" s="626" t="s">
        <v>10733</v>
      </c>
      <c r="E3561" s="628" t="s">
        <v>35</v>
      </c>
      <c r="F3561" s="816" t="s">
        <v>14730</v>
      </c>
      <c r="G3561" s="816"/>
      <c r="H3561" s="816">
        <v>2.2126999999999999</v>
      </c>
      <c r="I3561" s="816"/>
      <c r="J3561" s="817">
        <v>3.14</v>
      </c>
      <c r="K3561" s="817"/>
      <c r="L3561" s="817"/>
    </row>
    <row r="3562" spans="1:12" ht="30" customHeight="1">
      <c r="A3562" s="626" t="s">
        <v>12709</v>
      </c>
      <c r="B3562" s="627" t="s">
        <v>13003</v>
      </c>
      <c r="C3562" s="626" t="s">
        <v>8</v>
      </c>
      <c r="D3562" s="626" t="s">
        <v>9227</v>
      </c>
      <c r="E3562" s="628" t="s">
        <v>23</v>
      </c>
      <c r="F3562" s="816" t="s">
        <v>13732</v>
      </c>
      <c r="G3562" s="816"/>
      <c r="H3562" s="816">
        <v>0.56224350000000001</v>
      </c>
      <c r="I3562" s="816"/>
      <c r="J3562" s="817">
        <v>0.37109999999999999</v>
      </c>
      <c r="K3562" s="817"/>
      <c r="L3562" s="817"/>
    </row>
    <row r="3563" spans="1:12" ht="24" customHeight="1">
      <c r="A3563" s="626" t="s">
        <v>12709</v>
      </c>
      <c r="B3563" s="627" t="s">
        <v>13001</v>
      </c>
      <c r="C3563" s="626" t="s">
        <v>8</v>
      </c>
      <c r="D3563" s="626" t="s">
        <v>9374</v>
      </c>
      <c r="E3563" s="628" t="s">
        <v>23</v>
      </c>
      <c r="F3563" s="816" t="s">
        <v>13728</v>
      </c>
      <c r="G3563" s="816"/>
      <c r="H3563" s="816">
        <v>0.56224350000000001</v>
      </c>
      <c r="I3563" s="816"/>
      <c r="J3563" s="817">
        <v>5.5999999999999999E-3</v>
      </c>
      <c r="K3563" s="817"/>
      <c r="L3563" s="817"/>
    </row>
    <row r="3564" spans="1:12" ht="14.25" customHeight="1">
      <c r="A3564" s="636"/>
      <c r="B3564" s="636"/>
      <c r="C3564" s="636"/>
      <c r="D3564" s="636"/>
      <c r="E3564" s="636"/>
      <c r="F3564" s="636"/>
      <c r="G3564" s="636"/>
      <c r="H3564" s="636"/>
      <c r="I3564" s="636"/>
      <c r="J3564" s="636" t="s">
        <v>13675</v>
      </c>
      <c r="K3564" s="636"/>
      <c r="L3564" s="636" t="s">
        <v>14729</v>
      </c>
    </row>
    <row r="3565" spans="1:12" ht="17.100000000000001" customHeight="1">
      <c r="A3565" s="802" t="s">
        <v>12710</v>
      </c>
      <c r="B3565" s="802"/>
      <c r="C3565" s="802"/>
      <c r="D3565" s="802"/>
      <c r="E3565" s="802"/>
      <c r="F3565" s="802"/>
      <c r="G3565" s="802"/>
      <c r="H3565" s="802"/>
      <c r="I3565" s="612"/>
      <c r="J3565" s="612"/>
      <c r="K3565" s="612"/>
      <c r="L3565" s="612"/>
    </row>
    <row r="3566" spans="1:12" ht="24" customHeight="1">
      <c r="A3566" s="612" t="s">
        <v>13679</v>
      </c>
      <c r="B3566" s="636" t="s">
        <v>12698</v>
      </c>
      <c r="C3566" s="612" t="s">
        <v>12699</v>
      </c>
      <c r="D3566" s="612" t="s">
        <v>12700</v>
      </c>
      <c r="E3566" s="637" t="s">
        <v>12702</v>
      </c>
      <c r="F3566" s="801" t="s">
        <v>12704</v>
      </c>
      <c r="G3566" s="801"/>
      <c r="H3566" s="801" t="s">
        <v>13678</v>
      </c>
      <c r="I3566" s="801"/>
      <c r="J3566" s="801" t="s">
        <v>12705</v>
      </c>
      <c r="K3566" s="801"/>
      <c r="L3566" s="801"/>
    </row>
    <row r="3567" spans="1:12" ht="24" customHeight="1">
      <c r="A3567" s="626" t="s">
        <v>12709</v>
      </c>
      <c r="B3567" s="627" t="s">
        <v>13137</v>
      </c>
      <c r="C3567" s="626" t="s">
        <v>8</v>
      </c>
      <c r="D3567" s="626" t="s">
        <v>10449</v>
      </c>
      <c r="E3567" s="628" t="s">
        <v>23</v>
      </c>
      <c r="F3567" s="816" t="s">
        <v>13799</v>
      </c>
      <c r="G3567" s="816"/>
      <c r="H3567" s="816">
        <v>0.57025210000000004</v>
      </c>
      <c r="I3567" s="816"/>
      <c r="J3567" s="817">
        <v>2.7029999999999998</v>
      </c>
      <c r="K3567" s="817"/>
      <c r="L3567" s="817"/>
    </row>
    <row r="3568" spans="1:12" ht="24" customHeight="1">
      <c r="A3568" s="636"/>
      <c r="B3568" s="636"/>
      <c r="C3568" s="636"/>
      <c r="D3568" s="636"/>
      <c r="E3568" s="636"/>
      <c r="F3568" s="636"/>
      <c r="G3568" s="636"/>
      <c r="H3568" s="636"/>
      <c r="I3568" s="636"/>
      <c r="J3568" s="636" t="s">
        <v>13675</v>
      </c>
      <c r="K3568" s="636"/>
      <c r="L3568" s="636" t="s">
        <v>14728</v>
      </c>
    </row>
    <row r="3569" spans="1:12" ht="24" customHeight="1">
      <c r="A3569" s="802" t="s">
        <v>12720</v>
      </c>
      <c r="B3569" s="802"/>
      <c r="C3569" s="802"/>
      <c r="D3569" s="802"/>
      <c r="E3569" s="802"/>
      <c r="F3569" s="802"/>
      <c r="G3569" s="802"/>
      <c r="H3569" s="802"/>
      <c r="I3569" s="612"/>
      <c r="J3569" s="612"/>
      <c r="K3569" s="612"/>
      <c r="L3569" s="612"/>
    </row>
    <row r="3570" spans="1:12" ht="17.100000000000001" customHeight="1">
      <c r="A3570" s="612" t="s">
        <v>13679</v>
      </c>
      <c r="B3570" s="636" t="s">
        <v>12698</v>
      </c>
      <c r="C3570" s="612" t="s">
        <v>12699</v>
      </c>
      <c r="D3570" s="612" t="s">
        <v>12700</v>
      </c>
      <c r="E3570" s="637" t="s">
        <v>12702</v>
      </c>
      <c r="F3570" s="801" t="s">
        <v>12704</v>
      </c>
      <c r="G3570" s="801"/>
      <c r="H3570" s="801" t="s">
        <v>13678</v>
      </c>
      <c r="I3570" s="801"/>
      <c r="J3570" s="801" t="s">
        <v>12705</v>
      </c>
      <c r="K3570" s="801"/>
      <c r="L3570" s="801"/>
    </row>
    <row r="3571" spans="1:12" ht="14.25" customHeight="1">
      <c r="A3571" s="626" t="s">
        <v>12709</v>
      </c>
      <c r="B3571" s="627" t="s">
        <v>13563</v>
      </c>
      <c r="C3571" s="626" t="s">
        <v>8</v>
      </c>
      <c r="D3571" s="626" t="s">
        <v>7520</v>
      </c>
      <c r="E3571" s="628" t="s">
        <v>20</v>
      </c>
      <c r="F3571" s="816" t="s">
        <v>13885</v>
      </c>
      <c r="G3571" s="816"/>
      <c r="H3571" s="816">
        <v>7.1099999999999997E-2</v>
      </c>
      <c r="I3571" s="816"/>
      <c r="J3571" s="817">
        <v>1.1200000000000001</v>
      </c>
      <c r="K3571" s="817"/>
      <c r="L3571" s="817"/>
    </row>
    <row r="3572" spans="1:12" ht="17.100000000000001" customHeight="1">
      <c r="A3572" s="626" t="s">
        <v>12709</v>
      </c>
      <c r="B3572" s="627" t="s">
        <v>13562</v>
      </c>
      <c r="C3572" s="626" t="s">
        <v>8</v>
      </c>
      <c r="D3572" s="626" t="s">
        <v>9458</v>
      </c>
      <c r="E3572" s="628" t="s">
        <v>12725</v>
      </c>
      <c r="F3572" s="816" t="s">
        <v>14151</v>
      </c>
      <c r="G3572" s="816"/>
      <c r="H3572" s="816">
        <v>1.0326</v>
      </c>
      <c r="I3572" s="816"/>
      <c r="J3572" s="817">
        <v>19.61</v>
      </c>
      <c r="K3572" s="817"/>
      <c r="L3572" s="817"/>
    </row>
    <row r="3573" spans="1:12" ht="24" customHeight="1">
      <c r="A3573" s="626" t="s">
        <v>12709</v>
      </c>
      <c r="B3573" s="627" t="s">
        <v>13561</v>
      </c>
      <c r="C3573" s="626" t="s">
        <v>8</v>
      </c>
      <c r="D3573" s="626" t="s">
        <v>10670</v>
      </c>
      <c r="E3573" s="628" t="s">
        <v>12777</v>
      </c>
      <c r="F3573" s="816" t="s">
        <v>14150</v>
      </c>
      <c r="G3573" s="816"/>
      <c r="H3573" s="816">
        <v>2.2100000000000002E-2</v>
      </c>
      <c r="I3573" s="816"/>
      <c r="J3573" s="817">
        <v>0.41</v>
      </c>
      <c r="K3573" s="817"/>
      <c r="L3573" s="817"/>
    </row>
    <row r="3574" spans="1:12" ht="24" customHeight="1">
      <c r="A3574" s="626" t="s">
        <v>12709</v>
      </c>
      <c r="B3574" s="627" t="s">
        <v>13560</v>
      </c>
      <c r="C3574" s="626" t="s">
        <v>8</v>
      </c>
      <c r="D3574" s="626" t="s">
        <v>10680</v>
      </c>
      <c r="E3574" s="628" t="s">
        <v>12777</v>
      </c>
      <c r="F3574" s="816" t="s">
        <v>14149</v>
      </c>
      <c r="G3574" s="816"/>
      <c r="H3574" s="816">
        <v>3.3300000000000003E-2</v>
      </c>
      <c r="I3574" s="816"/>
      <c r="J3574" s="817">
        <v>1.08</v>
      </c>
      <c r="K3574" s="817"/>
      <c r="L3574" s="817"/>
    </row>
    <row r="3575" spans="1:12" ht="17.100000000000001" customHeight="1">
      <c r="A3575" s="626" t="s">
        <v>12709</v>
      </c>
      <c r="B3575" s="627" t="s">
        <v>13558</v>
      </c>
      <c r="C3575" s="626" t="s">
        <v>8</v>
      </c>
      <c r="D3575" s="626" t="s">
        <v>10748</v>
      </c>
      <c r="E3575" s="628" t="s">
        <v>17</v>
      </c>
      <c r="F3575" s="816" t="s">
        <v>14178</v>
      </c>
      <c r="G3575" s="816"/>
      <c r="H3575" s="816">
        <v>2.4018000000000002</v>
      </c>
      <c r="I3575" s="816"/>
      <c r="J3575" s="817">
        <v>9.07</v>
      </c>
      <c r="K3575" s="817"/>
      <c r="L3575" s="817"/>
    </row>
    <row r="3576" spans="1:12">
      <c r="A3576" s="636"/>
      <c r="B3576" s="636"/>
      <c r="C3576" s="636"/>
      <c r="D3576" s="636"/>
      <c r="E3576" s="636"/>
      <c r="F3576" s="636"/>
      <c r="G3576" s="636"/>
      <c r="H3576" s="636"/>
      <c r="I3576" s="636"/>
      <c r="J3576" s="636" t="s">
        <v>13675</v>
      </c>
      <c r="K3576" s="636"/>
      <c r="L3576" s="636" t="s">
        <v>14727</v>
      </c>
    </row>
    <row r="3577" spans="1:12" ht="17.100000000000001" customHeight="1">
      <c r="A3577" s="802" t="s">
        <v>12722</v>
      </c>
      <c r="B3577" s="802"/>
      <c r="C3577" s="802"/>
      <c r="D3577" s="802"/>
      <c r="E3577" s="802"/>
      <c r="F3577" s="802"/>
      <c r="G3577" s="802"/>
      <c r="H3577" s="802"/>
      <c r="I3577" s="612"/>
      <c r="J3577" s="612"/>
      <c r="K3577" s="612"/>
      <c r="L3577" s="612"/>
    </row>
    <row r="3578" spans="1:12" ht="24" customHeight="1">
      <c r="A3578" s="612" t="s">
        <v>13679</v>
      </c>
      <c r="B3578" s="636" t="s">
        <v>12698</v>
      </c>
      <c r="C3578" s="612" t="s">
        <v>12699</v>
      </c>
      <c r="D3578" s="612" t="s">
        <v>12700</v>
      </c>
      <c r="E3578" s="637" t="s">
        <v>12702</v>
      </c>
      <c r="F3578" s="801" t="s">
        <v>12704</v>
      </c>
      <c r="G3578" s="801"/>
      <c r="H3578" s="801" t="s">
        <v>13678</v>
      </c>
      <c r="I3578" s="801"/>
      <c r="J3578" s="801" t="s">
        <v>12705</v>
      </c>
      <c r="K3578" s="801"/>
      <c r="L3578" s="801"/>
    </row>
    <row r="3579" spans="1:12" ht="17.100000000000001" customHeight="1">
      <c r="A3579" s="626" t="s">
        <v>12709</v>
      </c>
      <c r="B3579" s="627" t="s">
        <v>12998</v>
      </c>
      <c r="C3579" s="626" t="s">
        <v>8</v>
      </c>
      <c r="D3579" s="626" t="s">
        <v>11861</v>
      </c>
      <c r="E3579" s="628" t="s">
        <v>23</v>
      </c>
      <c r="F3579" s="816" t="s">
        <v>13683</v>
      </c>
      <c r="G3579" s="816"/>
      <c r="H3579" s="816">
        <v>0.56224350000000001</v>
      </c>
      <c r="I3579" s="816"/>
      <c r="J3579" s="817">
        <v>0.3992</v>
      </c>
      <c r="K3579" s="817"/>
      <c r="L3579" s="817"/>
    </row>
    <row r="3580" spans="1:12">
      <c r="A3580" s="636"/>
      <c r="B3580" s="636"/>
      <c r="C3580" s="636"/>
      <c r="D3580" s="636"/>
      <c r="E3580" s="636"/>
      <c r="F3580" s="636"/>
      <c r="G3580" s="636"/>
      <c r="H3580" s="636"/>
      <c r="I3580" s="636"/>
      <c r="J3580" s="636" t="s">
        <v>13675</v>
      </c>
      <c r="K3580" s="636"/>
      <c r="L3580" s="636" t="s">
        <v>14148</v>
      </c>
    </row>
    <row r="3581" spans="1:12" ht="17.100000000000001" customHeight="1">
      <c r="A3581" s="802" t="s">
        <v>12713</v>
      </c>
      <c r="B3581" s="802"/>
      <c r="C3581" s="802"/>
      <c r="D3581" s="802"/>
      <c r="E3581" s="802"/>
      <c r="F3581" s="802"/>
      <c r="G3581" s="802"/>
      <c r="H3581" s="802"/>
      <c r="I3581" s="612"/>
      <c r="J3581" s="612"/>
      <c r="K3581" s="612"/>
      <c r="L3581" s="612"/>
    </row>
    <row r="3582" spans="1:12" ht="24" customHeight="1">
      <c r="A3582" s="612" t="s">
        <v>13679</v>
      </c>
      <c r="B3582" s="636" t="s">
        <v>12698</v>
      </c>
      <c r="C3582" s="612" t="s">
        <v>12699</v>
      </c>
      <c r="D3582" s="612" t="s">
        <v>12700</v>
      </c>
      <c r="E3582" s="637" t="s">
        <v>12702</v>
      </c>
      <c r="F3582" s="801" t="s">
        <v>12704</v>
      </c>
      <c r="G3582" s="801"/>
      <c r="H3582" s="801" t="s">
        <v>13678</v>
      </c>
      <c r="I3582" s="801"/>
      <c r="J3582" s="801" t="s">
        <v>12705</v>
      </c>
      <c r="K3582" s="801"/>
      <c r="L3582" s="801"/>
    </row>
    <row r="3583" spans="1:12" ht="17.100000000000001" customHeight="1">
      <c r="A3583" s="626" t="s">
        <v>12709</v>
      </c>
      <c r="B3583" s="627" t="s">
        <v>12999</v>
      </c>
      <c r="C3583" s="626" t="s">
        <v>8</v>
      </c>
      <c r="D3583" s="626" t="s">
        <v>11251</v>
      </c>
      <c r="E3583" s="628" t="s">
        <v>23</v>
      </c>
      <c r="F3583" s="816" t="s">
        <v>13681</v>
      </c>
      <c r="G3583" s="816"/>
      <c r="H3583" s="816">
        <v>0.56224350000000001</v>
      </c>
      <c r="I3583" s="816"/>
      <c r="J3583" s="817">
        <v>3.9399999999999998E-2</v>
      </c>
      <c r="K3583" s="817"/>
      <c r="L3583" s="817"/>
    </row>
    <row r="3584" spans="1:12">
      <c r="A3584" s="636"/>
      <c r="B3584" s="636"/>
      <c r="C3584" s="636"/>
      <c r="D3584" s="636"/>
      <c r="E3584" s="636"/>
      <c r="F3584" s="636"/>
      <c r="G3584" s="636"/>
      <c r="H3584" s="636"/>
      <c r="I3584" s="636"/>
      <c r="J3584" s="636" t="s">
        <v>13675</v>
      </c>
      <c r="K3584" s="636"/>
      <c r="L3584" s="636" t="s">
        <v>13716</v>
      </c>
    </row>
    <row r="3585" spans="1:12" ht="17.100000000000001" customHeight="1">
      <c r="A3585" s="802" t="s">
        <v>12712</v>
      </c>
      <c r="B3585" s="802"/>
      <c r="C3585" s="802"/>
      <c r="D3585" s="802"/>
      <c r="E3585" s="802"/>
      <c r="F3585" s="802"/>
      <c r="G3585" s="802"/>
      <c r="H3585" s="802"/>
      <c r="I3585" s="612"/>
      <c r="J3585" s="612"/>
      <c r="K3585" s="612"/>
      <c r="L3585" s="612"/>
    </row>
    <row r="3586" spans="1:12" ht="24" customHeight="1">
      <c r="A3586" s="612" t="s">
        <v>13679</v>
      </c>
      <c r="B3586" s="636" t="s">
        <v>12698</v>
      </c>
      <c r="C3586" s="612" t="s">
        <v>12699</v>
      </c>
      <c r="D3586" s="612" t="s">
        <v>12700</v>
      </c>
      <c r="E3586" s="637" t="s">
        <v>12702</v>
      </c>
      <c r="F3586" s="801" t="s">
        <v>12704</v>
      </c>
      <c r="G3586" s="801"/>
      <c r="H3586" s="801" t="s">
        <v>13678</v>
      </c>
      <c r="I3586" s="801"/>
      <c r="J3586" s="801" t="s">
        <v>12705</v>
      </c>
      <c r="K3586" s="801"/>
      <c r="L3586" s="801"/>
    </row>
    <row r="3587" spans="1:12" ht="17.100000000000001" customHeight="1">
      <c r="A3587" s="626" t="s">
        <v>12709</v>
      </c>
      <c r="B3587" s="627" t="s">
        <v>13002</v>
      </c>
      <c r="C3587" s="626" t="s">
        <v>8</v>
      </c>
      <c r="D3587" s="626" t="s">
        <v>9306</v>
      </c>
      <c r="E3587" s="628" t="s">
        <v>23</v>
      </c>
      <c r="F3587" s="816" t="s">
        <v>13677</v>
      </c>
      <c r="G3587" s="816"/>
      <c r="H3587" s="816">
        <v>0.56224350000000001</v>
      </c>
      <c r="I3587" s="816"/>
      <c r="J3587" s="817">
        <v>0.1968</v>
      </c>
      <c r="K3587" s="817"/>
      <c r="L3587" s="817"/>
    </row>
    <row r="3588" spans="1:12" ht="25.5">
      <c r="A3588" s="626" t="s">
        <v>12709</v>
      </c>
      <c r="B3588" s="627" t="s">
        <v>13004</v>
      </c>
      <c r="C3588" s="626" t="s">
        <v>8</v>
      </c>
      <c r="D3588" s="626" t="s">
        <v>7388</v>
      </c>
      <c r="E3588" s="628" t="s">
        <v>23</v>
      </c>
      <c r="F3588" s="816" t="s">
        <v>13676</v>
      </c>
      <c r="G3588" s="816"/>
      <c r="H3588" s="816">
        <v>0.56224350000000001</v>
      </c>
      <c r="I3588" s="816"/>
      <c r="J3588" s="817">
        <v>1.2369000000000001</v>
      </c>
      <c r="K3588" s="817"/>
      <c r="L3588" s="817"/>
    </row>
    <row r="3589" spans="1:12" ht="17.100000000000001" customHeight="1">
      <c r="A3589" s="636"/>
      <c r="B3589" s="636"/>
      <c r="C3589" s="636"/>
      <c r="D3589" s="636"/>
      <c r="E3589" s="636"/>
      <c r="F3589" s="636"/>
      <c r="G3589" s="636"/>
      <c r="H3589" s="636"/>
      <c r="I3589" s="636"/>
      <c r="J3589" s="636" t="s">
        <v>13675</v>
      </c>
      <c r="K3589" s="636"/>
      <c r="L3589" s="636" t="s">
        <v>13723</v>
      </c>
    </row>
    <row r="3590" spans="1:12" ht="24" customHeight="1">
      <c r="A3590" s="612" t="s">
        <v>13673</v>
      </c>
      <c r="B3590" s="612"/>
      <c r="C3590" s="612"/>
      <c r="D3590" s="612"/>
      <c r="E3590" s="612"/>
      <c r="F3590" s="612"/>
      <c r="G3590" s="612"/>
      <c r="H3590" s="612"/>
      <c r="I3590" s="612"/>
      <c r="J3590" s="612"/>
      <c r="K3590" s="612"/>
      <c r="L3590" s="612"/>
    </row>
    <row r="3591" spans="1:12" ht="24" customHeight="1">
      <c r="A3591" s="636"/>
      <c r="B3591" s="636"/>
      <c r="C3591" s="636"/>
      <c r="D3591" s="636"/>
      <c r="E3591" s="636"/>
      <c r="F3591" s="636"/>
      <c r="G3591" s="636"/>
      <c r="H3591" s="636"/>
      <c r="I3591" s="636"/>
      <c r="J3591" s="636" t="s">
        <v>13672</v>
      </c>
      <c r="K3591" s="636"/>
      <c r="L3591" s="636" t="s">
        <v>15202</v>
      </c>
    </row>
    <row r="3592" spans="1:12" ht="17.100000000000001" customHeight="1">
      <c r="A3592" s="636"/>
      <c r="B3592" s="636"/>
      <c r="C3592" s="636"/>
      <c r="D3592" s="636"/>
      <c r="E3592" s="636"/>
      <c r="F3592" s="636"/>
      <c r="G3592" s="636"/>
      <c r="H3592" s="636"/>
      <c r="I3592" s="636"/>
      <c r="J3592" s="636" t="s">
        <v>13671</v>
      </c>
      <c r="K3592" s="636" t="s">
        <v>14461</v>
      </c>
      <c r="L3592" s="636" t="s">
        <v>15203</v>
      </c>
    </row>
    <row r="3593" spans="1:12" ht="17.100000000000001" customHeight="1">
      <c r="A3593" s="636"/>
      <c r="B3593" s="636"/>
      <c r="C3593" s="636"/>
      <c r="D3593" s="636"/>
      <c r="E3593" s="636"/>
      <c r="F3593" s="636"/>
      <c r="G3593" s="636"/>
      <c r="H3593" s="636"/>
      <c r="I3593" s="636"/>
      <c r="J3593" s="636" t="s">
        <v>13670</v>
      </c>
      <c r="K3593" s="636"/>
      <c r="L3593" s="636" t="s">
        <v>15204</v>
      </c>
    </row>
    <row r="3594" spans="1:12" ht="17.100000000000001" customHeight="1">
      <c r="A3594" s="636"/>
      <c r="B3594" s="636"/>
      <c r="C3594" s="636"/>
      <c r="D3594" s="636"/>
      <c r="E3594" s="636"/>
      <c r="F3594" s="636"/>
      <c r="G3594" s="636"/>
      <c r="H3594" s="636"/>
      <c r="I3594" s="636"/>
      <c r="J3594" s="636" t="s">
        <v>13669</v>
      </c>
      <c r="K3594" s="636" t="s">
        <v>13667</v>
      </c>
      <c r="L3594" s="636" t="s">
        <v>15205</v>
      </c>
    </row>
    <row r="3595" spans="1:12" ht="17.100000000000001" customHeight="1">
      <c r="A3595" s="636"/>
      <c r="B3595" s="636"/>
      <c r="C3595" s="636"/>
      <c r="D3595" s="636"/>
      <c r="E3595" s="636"/>
      <c r="F3595" s="636"/>
      <c r="G3595" s="636"/>
      <c r="H3595" s="636"/>
      <c r="I3595" s="636"/>
      <c r="J3595" s="636" t="s">
        <v>13668</v>
      </c>
      <c r="K3595" s="636"/>
      <c r="L3595" s="636" t="s">
        <v>15206</v>
      </c>
    </row>
    <row r="3596" spans="1:12" ht="17.100000000000001" customHeight="1">
      <c r="A3596" s="637"/>
      <c r="B3596" s="637"/>
      <c r="C3596" s="637"/>
      <c r="D3596" s="637"/>
      <c r="E3596" s="637"/>
      <c r="F3596" s="637"/>
      <c r="G3596" s="637"/>
      <c r="H3596" s="637"/>
      <c r="I3596" s="637"/>
      <c r="J3596" s="637"/>
      <c r="K3596" s="637"/>
      <c r="L3596" s="637"/>
    </row>
    <row r="3597" spans="1:12" ht="17.100000000000001" customHeight="1">
      <c r="A3597" s="616" t="s">
        <v>14146</v>
      </c>
      <c r="B3597" s="617" t="s">
        <v>13557</v>
      </c>
      <c r="C3597" s="616" t="s">
        <v>8</v>
      </c>
      <c r="D3597" s="616" t="s">
        <v>42</v>
      </c>
      <c r="E3597" s="618" t="s">
        <v>12725</v>
      </c>
      <c r="F3597" s="617"/>
      <c r="G3597" s="617"/>
      <c r="H3597" s="617"/>
      <c r="I3597" s="617"/>
      <c r="J3597" s="617"/>
      <c r="K3597" s="617"/>
      <c r="L3597" s="617"/>
    </row>
    <row r="3598" spans="1:12" ht="17.100000000000001" customHeight="1">
      <c r="A3598" s="802" t="s">
        <v>12711</v>
      </c>
      <c r="B3598" s="802"/>
      <c r="C3598" s="802"/>
      <c r="D3598" s="802"/>
      <c r="E3598" s="802"/>
      <c r="F3598" s="802"/>
      <c r="G3598" s="802"/>
      <c r="H3598" s="802"/>
      <c r="I3598" s="612"/>
      <c r="J3598" s="612"/>
      <c r="K3598" s="612"/>
      <c r="L3598" s="612"/>
    </row>
    <row r="3599" spans="1:12" ht="30" customHeight="1">
      <c r="A3599" s="612" t="s">
        <v>13679</v>
      </c>
      <c r="B3599" s="636" t="s">
        <v>12698</v>
      </c>
      <c r="C3599" s="612" t="s">
        <v>12699</v>
      </c>
      <c r="D3599" s="612" t="s">
        <v>12700</v>
      </c>
      <c r="E3599" s="637" t="s">
        <v>12702</v>
      </c>
      <c r="F3599" s="801" t="s">
        <v>12704</v>
      </c>
      <c r="G3599" s="801"/>
      <c r="H3599" s="801" t="s">
        <v>13678</v>
      </c>
      <c r="I3599" s="801"/>
      <c r="J3599" s="801" t="s">
        <v>12705</v>
      </c>
      <c r="K3599" s="801"/>
      <c r="L3599" s="801"/>
    </row>
    <row r="3600" spans="1:12" ht="24" customHeight="1">
      <c r="A3600" s="626" t="s">
        <v>12709</v>
      </c>
      <c r="B3600" s="627" t="s">
        <v>13088</v>
      </c>
      <c r="C3600" s="626" t="s">
        <v>8</v>
      </c>
      <c r="D3600" s="626" t="s">
        <v>9231</v>
      </c>
      <c r="E3600" s="628" t="s">
        <v>23</v>
      </c>
      <c r="F3600" s="816" t="s">
        <v>13713</v>
      </c>
      <c r="G3600" s="816"/>
      <c r="H3600" s="816">
        <v>3.8363899999999999E-2</v>
      </c>
      <c r="I3600" s="816"/>
      <c r="J3600" s="817">
        <v>5.6000000000000001E-2</v>
      </c>
      <c r="K3600" s="817"/>
      <c r="L3600" s="817"/>
    </row>
    <row r="3601" spans="1:12" ht="14.25" customHeight="1">
      <c r="A3601" s="626" t="s">
        <v>12709</v>
      </c>
      <c r="B3601" s="627" t="s">
        <v>13087</v>
      </c>
      <c r="C3601" s="626" t="s">
        <v>8</v>
      </c>
      <c r="D3601" s="626" t="s">
        <v>9378</v>
      </c>
      <c r="E3601" s="628" t="s">
        <v>23</v>
      </c>
      <c r="F3601" s="816" t="s">
        <v>13712</v>
      </c>
      <c r="G3601" s="816"/>
      <c r="H3601" s="816">
        <v>3.8363899999999999E-2</v>
      </c>
      <c r="I3601" s="816"/>
      <c r="J3601" s="817">
        <v>4.4900000000000002E-2</v>
      </c>
      <c r="K3601" s="817"/>
      <c r="L3601" s="817"/>
    </row>
    <row r="3602" spans="1:12" ht="17.100000000000001" customHeight="1">
      <c r="A3602" s="626" t="s">
        <v>12709</v>
      </c>
      <c r="B3602" s="627" t="s">
        <v>13048</v>
      </c>
      <c r="C3602" s="626" t="s">
        <v>8</v>
      </c>
      <c r="D3602" s="626" t="s">
        <v>9233</v>
      </c>
      <c r="E3602" s="628" t="s">
        <v>23</v>
      </c>
      <c r="F3602" s="816" t="s">
        <v>13690</v>
      </c>
      <c r="G3602" s="816"/>
      <c r="H3602" s="816">
        <v>1.37717E-2</v>
      </c>
      <c r="I3602" s="816"/>
      <c r="J3602" s="817">
        <v>1.4E-2</v>
      </c>
      <c r="K3602" s="817"/>
      <c r="L3602" s="817"/>
    </row>
    <row r="3603" spans="1:12" ht="24" customHeight="1">
      <c r="A3603" s="626" t="s">
        <v>12709</v>
      </c>
      <c r="B3603" s="627" t="s">
        <v>13047</v>
      </c>
      <c r="C3603" s="626" t="s">
        <v>8</v>
      </c>
      <c r="D3603" s="626" t="s">
        <v>9380</v>
      </c>
      <c r="E3603" s="628" t="s">
        <v>23</v>
      </c>
      <c r="F3603" s="816" t="s">
        <v>13689</v>
      </c>
      <c r="G3603" s="816"/>
      <c r="H3603" s="816">
        <v>1.37717E-2</v>
      </c>
      <c r="I3603" s="816"/>
      <c r="J3603" s="817">
        <v>5.1999999999999998E-3</v>
      </c>
      <c r="K3603" s="817"/>
      <c r="L3603" s="817"/>
    </row>
    <row r="3604" spans="1:12" ht="24" customHeight="1">
      <c r="A3604" s="636"/>
      <c r="B3604" s="636"/>
      <c r="C3604" s="636"/>
      <c r="D3604" s="636"/>
      <c r="E3604" s="636"/>
      <c r="F3604" s="636"/>
      <c r="G3604" s="636"/>
      <c r="H3604" s="636"/>
      <c r="I3604" s="636"/>
      <c r="J3604" s="636" t="s">
        <v>13675</v>
      </c>
      <c r="K3604" s="636"/>
      <c r="L3604" s="636" t="s">
        <v>13751</v>
      </c>
    </row>
    <row r="3605" spans="1:12" ht="24" customHeight="1">
      <c r="A3605" s="802" t="s">
        <v>12710</v>
      </c>
      <c r="B3605" s="802"/>
      <c r="C3605" s="802"/>
      <c r="D3605" s="802"/>
      <c r="E3605" s="802"/>
      <c r="F3605" s="802"/>
      <c r="G3605" s="802"/>
      <c r="H3605" s="802"/>
      <c r="I3605" s="612"/>
      <c r="J3605" s="612"/>
      <c r="K3605" s="612"/>
      <c r="L3605" s="612"/>
    </row>
    <row r="3606" spans="1:12" ht="24" customHeight="1">
      <c r="A3606" s="612" t="s">
        <v>13679</v>
      </c>
      <c r="B3606" s="636" t="s">
        <v>12698</v>
      </c>
      <c r="C3606" s="612" t="s">
        <v>12699</v>
      </c>
      <c r="D3606" s="612" t="s">
        <v>12700</v>
      </c>
      <c r="E3606" s="637" t="s">
        <v>12702</v>
      </c>
      <c r="F3606" s="801" t="s">
        <v>12704</v>
      </c>
      <c r="G3606" s="801"/>
      <c r="H3606" s="801" t="s">
        <v>13678</v>
      </c>
      <c r="I3606" s="801"/>
      <c r="J3606" s="801" t="s">
        <v>12705</v>
      </c>
      <c r="K3606" s="801"/>
      <c r="L3606" s="801"/>
    </row>
    <row r="3607" spans="1:12" ht="17.100000000000001" customHeight="1">
      <c r="A3607" s="626" t="s">
        <v>12709</v>
      </c>
      <c r="B3607" s="627" t="s">
        <v>13086</v>
      </c>
      <c r="C3607" s="626" t="s">
        <v>8</v>
      </c>
      <c r="D3607" s="626" t="s">
        <v>10798</v>
      </c>
      <c r="E3607" s="628" t="s">
        <v>23</v>
      </c>
      <c r="F3607" s="816" t="s">
        <v>14470</v>
      </c>
      <c r="G3607" s="816"/>
      <c r="H3607" s="816">
        <v>3.8864700000000002E-2</v>
      </c>
      <c r="I3607" s="816"/>
      <c r="J3607" s="817">
        <v>0.26860000000000001</v>
      </c>
      <c r="K3607" s="817"/>
      <c r="L3607" s="817"/>
    </row>
    <row r="3608" spans="1:12" ht="14.25" customHeight="1">
      <c r="A3608" s="626" t="s">
        <v>12709</v>
      </c>
      <c r="B3608" s="627" t="s">
        <v>13046</v>
      </c>
      <c r="C3608" s="626" t="s">
        <v>8</v>
      </c>
      <c r="D3608" s="626" t="s">
        <v>11281</v>
      </c>
      <c r="E3608" s="628" t="s">
        <v>23</v>
      </c>
      <c r="F3608" s="816" t="s">
        <v>13731</v>
      </c>
      <c r="G3608" s="816"/>
      <c r="H3608" s="816">
        <v>1.4012200000000001E-2</v>
      </c>
      <c r="I3608" s="816"/>
      <c r="J3608" s="817">
        <v>7.1999999999999995E-2</v>
      </c>
      <c r="K3608" s="817"/>
      <c r="L3608" s="817"/>
    </row>
    <row r="3609" spans="1:12" ht="17.100000000000001" customHeight="1">
      <c r="A3609" s="636"/>
      <c r="B3609" s="636"/>
      <c r="C3609" s="636"/>
      <c r="D3609" s="636"/>
      <c r="E3609" s="636"/>
      <c r="F3609" s="636"/>
      <c r="G3609" s="636"/>
      <c r="H3609" s="636"/>
      <c r="I3609" s="636"/>
      <c r="J3609" s="636" t="s">
        <v>13675</v>
      </c>
      <c r="K3609" s="636"/>
      <c r="L3609" s="636" t="s">
        <v>13740</v>
      </c>
    </row>
    <row r="3610" spans="1:12" ht="24" customHeight="1">
      <c r="A3610" s="802" t="s">
        <v>12720</v>
      </c>
      <c r="B3610" s="802"/>
      <c r="C3610" s="802"/>
      <c r="D3610" s="802"/>
      <c r="E3610" s="802"/>
      <c r="F3610" s="802"/>
      <c r="G3610" s="802"/>
      <c r="H3610" s="802"/>
      <c r="I3610" s="612"/>
      <c r="J3610" s="612"/>
      <c r="K3610" s="612"/>
      <c r="L3610" s="612"/>
    </row>
    <row r="3611" spans="1:12" ht="24" customHeight="1">
      <c r="A3611" s="612" t="s">
        <v>13679</v>
      </c>
      <c r="B3611" s="636" t="s">
        <v>12698</v>
      </c>
      <c r="C3611" s="612" t="s">
        <v>12699</v>
      </c>
      <c r="D3611" s="612" t="s">
        <v>12700</v>
      </c>
      <c r="E3611" s="637" t="s">
        <v>12702</v>
      </c>
      <c r="F3611" s="801" t="s">
        <v>12704</v>
      </c>
      <c r="G3611" s="801"/>
      <c r="H3611" s="801" t="s">
        <v>13678</v>
      </c>
      <c r="I3611" s="801"/>
      <c r="J3611" s="801" t="s">
        <v>12705</v>
      </c>
      <c r="K3611" s="801"/>
      <c r="L3611" s="801"/>
    </row>
    <row r="3612" spans="1:12" ht="17.100000000000001" customHeight="1">
      <c r="A3612" s="626" t="s">
        <v>12709</v>
      </c>
      <c r="B3612" s="627" t="s">
        <v>13556</v>
      </c>
      <c r="C3612" s="626" t="s">
        <v>8</v>
      </c>
      <c r="D3612" s="626" t="s">
        <v>11254</v>
      </c>
      <c r="E3612" s="628" t="s">
        <v>58</v>
      </c>
      <c r="F3612" s="816" t="s">
        <v>14047</v>
      </c>
      <c r="G3612" s="816"/>
      <c r="H3612" s="816">
        <v>0.16</v>
      </c>
      <c r="I3612" s="816"/>
      <c r="J3612" s="817">
        <v>0.64</v>
      </c>
      <c r="K3612" s="817"/>
      <c r="L3612" s="817"/>
    </row>
    <row r="3613" spans="1:12">
      <c r="A3613" s="636"/>
      <c r="B3613" s="636"/>
      <c r="C3613" s="636"/>
      <c r="D3613" s="636"/>
      <c r="E3613" s="636"/>
      <c r="F3613" s="636"/>
      <c r="G3613" s="636"/>
      <c r="H3613" s="636"/>
      <c r="I3613" s="636"/>
      <c r="J3613" s="636" t="s">
        <v>13675</v>
      </c>
      <c r="K3613" s="636"/>
      <c r="L3613" s="636" t="s">
        <v>13879</v>
      </c>
    </row>
    <row r="3614" spans="1:12" ht="17.100000000000001" customHeight="1">
      <c r="A3614" s="802" t="s">
        <v>12722</v>
      </c>
      <c r="B3614" s="802"/>
      <c r="C3614" s="802"/>
      <c r="D3614" s="802"/>
      <c r="E3614" s="802"/>
      <c r="F3614" s="802"/>
      <c r="G3614" s="802"/>
      <c r="H3614" s="802"/>
      <c r="I3614" s="612"/>
      <c r="J3614" s="612"/>
      <c r="K3614" s="612"/>
      <c r="L3614" s="612"/>
    </row>
    <row r="3615" spans="1:12" ht="24" customHeight="1">
      <c r="A3615" s="612" t="s">
        <v>13679</v>
      </c>
      <c r="B3615" s="636" t="s">
        <v>12698</v>
      </c>
      <c r="C3615" s="612" t="s">
        <v>12699</v>
      </c>
      <c r="D3615" s="612" t="s">
        <v>12700</v>
      </c>
      <c r="E3615" s="637" t="s">
        <v>12702</v>
      </c>
      <c r="F3615" s="801" t="s">
        <v>12704</v>
      </c>
      <c r="G3615" s="801"/>
      <c r="H3615" s="801" t="s">
        <v>13678</v>
      </c>
      <c r="I3615" s="801"/>
      <c r="J3615" s="801" t="s">
        <v>12705</v>
      </c>
      <c r="K3615" s="801"/>
      <c r="L3615" s="801"/>
    </row>
    <row r="3616" spans="1:12" ht="17.100000000000001" customHeight="1">
      <c r="A3616" s="626" t="s">
        <v>12709</v>
      </c>
      <c r="B3616" s="627" t="s">
        <v>12998</v>
      </c>
      <c r="C3616" s="626" t="s">
        <v>8</v>
      </c>
      <c r="D3616" s="626" t="s">
        <v>11861</v>
      </c>
      <c r="E3616" s="628" t="s">
        <v>23</v>
      </c>
      <c r="F3616" s="816" t="s">
        <v>13683</v>
      </c>
      <c r="G3616" s="816"/>
      <c r="H3616" s="816">
        <v>5.2135599999999997E-2</v>
      </c>
      <c r="I3616" s="816"/>
      <c r="J3616" s="817">
        <v>3.6999999999999998E-2</v>
      </c>
      <c r="K3616" s="817"/>
      <c r="L3616" s="817"/>
    </row>
    <row r="3617" spans="1:12">
      <c r="A3617" s="636"/>
      <c r="B3617" s="636"/>
      <c r="C3617" s="636"/>
      <c r="D3617" s="636"/>
      <c r="E3617" s="636"/>
      <c r="F3617" s="636"/>
      <c r="G3617" s="636"/>
      <c r="H3617" s="636"/>
      <c r="I3617" s="636"/>
      <c r="J3617" s="636" t="s">
        <v>13675</v>
      </c>
      <c r="K3617" s="636"/>
      <c r="L3617" s="636" t="s">
        <v>13716</v>
      </c>
    </row>
    <row r="3618" spans="1:12" ht="17.100000000000001" customHeight="1">
      <c r="A3618" s="802" t="s">
        <v>12713</v>
      </c>
      <c r="B3618" s="802"/>
      <c r="C3618" s="802"/>
      <c r="D3618" s="802"/>
      <c r="E3618" s="802"/>
      <c r="F3618" s="802"/>
      <c r="G3618" s="802"/>
      <c r="H3618" s="802"/>
      <c r="I3618" s="612"/>
      <c r="J3618" s="612"/>
      <c r="K3618" s="612"/>
      <c r="L3618" s="612"/>
    </row>
    <row r="3619" spans="1:12" ht="24" customHeight="1">
      <c r="A3619" s="612" t="s">
        <v>13679</v>
      </c>
      <c r="B3619" s="636" t="s">
        <v>12698</v>
      </c>
      <c r="C3619" s="612" t="s">
        <v>12699</v>
      </c>
      <c r="D3619" s="612" t="s">
        <v>12700</v>
      </c>
      <c r="E3619" s="637" t="s">
        <v>12702</v>
      </c>
      <c r="F3619" s="801" t="s">
        <v>12704</v>
      </c>
      <c r="G3619" s="801"/>
      <c r="H3619" s="801" t="s">
        <v>13678</v>
      </c>
      <c r="I3619" s="801"/>
      <c r="J3619" s="801" t="s">
        <v>12705</v>
      </c>
      <c r="K3619" s="801"/>
      <c r="L3619" s="801"/>
    </row>
    <row r="3620" spans="1:12" ht="17.100000000000001" customHeight="1">
      <c r="A3620" s="626" t="s">
        <v>12709</v>
      </c>
      <c r="B3620" s="627" t="s">
        <v>12999</v>
      </c>
      <c r="C3620" s="626" t="s">
        <v>8</v>
      </c>
      <c r="D3620" s="626" t="s">
        <v>11251</v>
      </c>
      <c r="E3620" s="628" t="s">
        <v>23</v>
      </c>
      <c r="F3620" s="816" t="s">
        <v>13681</v>
      </c>
      <c r="G3620" s="816"/>
      <c r="H3620" s="816">
        <v>5.2135599999999997E-2</v>
      </c>
      <c r="I3620" s="816"/>
      <c r="J3620" s="817">
        <v>3.5999999999999999E-3</v>
      </c>
      <c r="K3620" s="817"/>
      <c r="L3620" s="817"/>
    </row>
    <row r="3621" spans="1:12">
      <c r="A3621" s="636"/>
      <c r="B3621" s="636"/>
      <c r="C3621" s="636"/>
      <c r="D3621" s="636"/>
      <c r="E3621" s="636"/>
      <c r="F3621" s="636"/>
      <c r="G3621" s="636"/>
      <c r="H3621" s="636"/>
      <c r="I3621" s="636"/>
      <c r="J3621" s="636" t="s">
        <v>13675</v>
      </c>
      <c r="K3621" s="636"/>
      <c r="L3621" s="636" t="s">
        <v>13727</v>
      </c>
    </row>
    <row r="3622" spans="1:12" ht="17.100000000000001" customHeight="1">
      <c r="A3622" s="802" t="s">
        <v>12712</v>
      </c>
      <c r="B3622" s="802"/>
      <c r="C3622" s="802"/>
      <c r="D3622" s="802"/>
      <c r="E3622" s="802"/>
      <c r="F3622" s="802"/>
      <c r="G3622" s="802"/>
      <c r="H3622" s="802"/>
      <c r="I3622" s="612"/>
      <c r="J3622" s="612"/>
      <c r="K3622" s="612"/>
      <c r="L3622" s="612"/>
    </row>
    <row r="3623" spans="1:12" ht="24" customHeight="1">
      <c r="A3623" s="612" t="s">
        <v>13679</v>
      </c>
      <c r="B3623" s="636" t="s">
        <v>12698</v>
      </c>
      <c r="C3623" s="612" t="s">
        <v>12699</v>
      </c>
      <c r="D3623" s="612" t="s">
        <v>12700</v>
      </c>
      <c r="E3623" s="637" t="s">
        <v>12702</v>
      </c>
      <c r="F3623" s="801" t="s">
        <v>12704</v>
      </c>
      <c r="G3623" s="801"/>
      <c r="H3623" s="801" t="s">
        <v>13678</v>
      </c>
      <c r="I3623" s="801"/>
      <c r="J3623" s="801" t="s">
        <v>12705</v>
      </c>
      <c r="K3623" s="801"/>
      <c r="L3623" s="801"/>
    </row>
    <row r="3624" spans="1:12" ht="17.100000000000001" customHeight="1">
      <c r="A3624" s="626" t="s">
        <v>12709</v>
      </c>
      <c r="B3624" s="627" t="s">
        <v>13002</v>
      </c>
      <c r="C3624" s="626" t="s">
        <v>8</v>
      </c>
      <c r="D3624" s="626" t="s">
        <v>9306</v>
      </c>
      <c r="E3624" s="628" t="s">
        <v>23</v>
      </c>
      <c r="F3624" s="816" t="s">
        <v>13677</v>
      </c>
      <c r="G3624" s="816"/>
      <c r="H3624" s="816">
        <v>5.2135599999999997E-2</v>
      </c>
      <c r="I3624" s="816"/>
      <c r="J3624" s="817">
        <v>1.8200000000000001E-2</v>
      </c>
      <c r="K3624" s="817"/>
      <c r="L3624" s="817"/>
    </row>
    <row r="3625" spans="1:12" ht="25.5">
      <c r="A3625" s="626" t="s">
        <v>12709</v>
      </c>
      <c r="B3625" s="627" t="s">
        <v>13004</v>
      </c>
      <c r="C3625" s="626" t="s">
        <v>8</v>
      </c>
      <c r="D3625" s="626" t="s">
        <v>7388</v>
      </c>
      <c r="E3625" s="628" t="s">
        <v>23</v>
      </c>
      <c r="F3625" s="816" t="s">
        <v>13676</v>
      </c>
      <c r="G3625" s="816"/>
      <c r="H3625" s="816">
        <v>5.2135599999999997E-2</v>
      </c>
      <c r="I3625" s="816"/>
      <c r="J3625" s="817">
        <v>0.1147</v>
      </c>
      <c r="K3625" s="817"/>
      <c r="L3625" s="817"/>
    </row>
    <row r="3626" spans="1:12" ht="17.100000000000001" customHeight="1">
      <c r="A3626" s="636"/>
      <c r="B3626" s="636"/>
      <c r="C3626" s="636"/>
      <c r="D3626" s="636"/>
      <c r="E3626" s="636"/>
      <c r="F3626" s="636"/>
      <c r="G3626" s="636"/>
      <c r="H3626" s="636"/>
      <c r="I3626" s="636"/>
      <c r="J3626" s="636" t="s">
        <v>13675</v>
      </c>
      <c r="K3626" s="636"/>
      <c r="L3626" s="636" t="s">
        <v>13875</v>
      </c>
    </row>
    <row r="3627" spans="1:12" ht="24" customHeight="1">
      <c r="A3627" s="612" t="s">
        <v>13673</v>
      </c>
      <c r="B3627" s="612"/>
      <c r="C3627" s="612"/>
      <c r="D3627" s="612"/>
      <c r="E3627" s="612"/>
      <c r="F3627" s="612"/>
      <c r="G3627" s="612"/>
      <c r="H3627" s="612"/>
      <c r="I3627" s="612"/>
      <c r="J3627" s="612"/>
      <c r="K3627" s="612"/>
      <c r="L3627" s="612"/>
    </row>
    <row r="3628" spans="1:12" ht="24" customHeight="1">
      <c r="A3628" s="636"/>
      <c r="B3628" s="636"/>
      <c r="C3628" s="636"/>
      <c r="D3628" s="636"/>
      <c r="E3628" s="636"/>
      <c r="F3628" s="636"/>
      <c r="G3628" s="636"/>
      <c r="H3628" s="636"/>
      <c r="I3628" s="636"/>
      <c r="J3628" s="636" t="s">
        <v>13672</v>
      </c>
      <c r="K3628" s="636"/>
      <c r="L3628" s="636" t="s">
        <v>15207</v>
      </c>
    </row>
    <row r="3629" spans="1:12" ht="17.100000000000001" customHeight="1">
      <c r="A3629" s="636"/>
      <c r="B3629" s="636"/>
      <c r="C3629" s="636"/>
      <c r="D3629" s="636"/>
      <c r="E3629" s="636"/>
      <c r="F3629" s="636"/>
      <c r="G3629" s="636"/>
      <c r="H3629" s="636"/>
      <c r="I3629" s="636"/>
      <c r="J3629" s="636" t="s">
        <v>13671</v>
      </c>
      <c r="K3629" s="636" t="s">
        <v>14461</v>
      </c>
      <c r="L3629" s="636" t="s">
        <v>15208</v>
      </c>
    </row>
    <row r="3630" spans="1:12" ht="17.100000000000001" customHeight="1">
      <c r="A3630" s="636"/>
      <c r="B3630" s="636"/>
      <c r="C3630" s="636"/>
      <c r="D3630" s="636"/>
      <c r="E3630" s="636"/>
      <c r="F3630" s="636"/>
      <c r="G3630" s="636"/>
      <c r="H3630" s="636"/>
      <c r="I3630" s="636"/>
      <c r="J3630" s="636" t="s">
        <v>13670</v>
      </c>
      <c r="K3630" s="636"/>
      <c r="L3630" s="636" t="s">
        <v>15209</v>
      </c>
    </row>
    <row r="3631" spans="1:12" ht="17.100000000000001" customHeight="1">
      <c r="A3631" s="636"/>
      <c r="B3631" s="636"/>
      <c r="C3631" s="636"/>
      <c r="D3631" s="636"/>
      <c r="E3631" s="636"/>
      <c r="F3631" s="636"/>
      <c r="G3631" s="636"/>
      <c r="H3631" s="636"/>
      <c r="I3631" s="636"/>
      <c r="J3631" s="636" t="s">
        <v>13669</v>
      </c>
      <c r="K3631" s="636" t="s">
        <v>13667</v>
      </c>
      <c r="L3631" s="636" t="s">
        <v>14901</v>
      </c>
    </row>
    <row r="3632" spans="1:12" ht="17.100000000000001" customHeight="1">
      <c r="A3632" s="636"/>
      <c r="B3632" s="636"/>
      <c r="C3632" s="636"/>
      <c r="D3632" s="636"/>
      <c r="E3632" s="636"/>
      <c r="F3632" s="636"/>
      <c r="G3632" s="636"/>
      <c r="H3632" s="636"/>
      <c r="I3632" s="636"/>
      <c r="J3632" s="636" t="s">
        <v>13668</v>
      </c>
      <c r="K3632" s="636"/>
      <c r="L3632" s="636" t="s">
        <v>15210</v>
      </c>
    </row>
    <row r="3633" spans="1:12" ht="17.100000000000001" customHeight="1">
      <c r="A3633" s="637"/>
      <c r="B3633" s="637"/>
      <c r="C3633" s="637"/>
      <c r="D3633" s="637"/>
      <c r="E3633" s="637"/>
      <c r="F3633" s="637"/>
      <c r="G3633" s="637"/>
      <c r="H3633" s="637"/>
      <c r="I3633" s="637"/>
      <c r="J3633" s="637"/>
      <c r="K3633" s="637"/>
      <c r="L3633" s="637"/>
    </row>
    <row r="3634" spans="1:12" ht="17.100000000000001" customHeight="1">
      <c r="A3634" s="616" t="s">
        <v>14145</v>
      </c>
      <c r="B3634" s="617" t="s">
        <v>13555</v>
      </c>
      <c r="C3634" s="616" t="s">
        <v>8</v>
      </c>
      <c r="D3634" s="616" t="s">
        <v>34</v>
      </c>
      <c r="E3634" s="618" t="s">
        <v>12725</v>
      </c>
      <c r="F3634" s="617"/>
      <c r="G3634" s="617"/>
      <c r="H3634" s="617"/>
      <c r="I3634" s="617"/>
      <c r="J3634" s="617"/>
      <c r="K3634" s="617"/>
      <c r="L3634" s="617"/>
    </row>
    <row r="3635" spans="1:12" ht="17.100000000000001" customHeight="1">
      <c r="A3635" s="802" t="s">
        <v>12711</v>
      </c>
      <c r="B3635" s="802"/>
      <c r="C3635" s="802"/>
      <c r="D3635" s="802"/>
      <c r="E3635" s="802"/>
      <c r="F3635" s="802"/>
      <c r="G3635" s="802"/>
      <c r="H3635" s="802"/>
      <c r="I3635" s="612"/>
      <c r="J3635" s="612"/>
      <c r="K3635" s="612"/>
      <c r="L3635" s="612"/>
    </row>
    <row r="3636" spans="1:12" ht="30" customHeight="1">
      <c r="A3636" s="612" t="s">
        <v>13679</v>
      </c>
      <c r="B3636" s="636" t="s">
        <v>12698</v>
      </c>
      <c r="C3636" s="612" t="s">
        <v>12699</v>
      </c>
      <c r="D3636" s="612" t="s">
        <v>12700</v>
      </c>
      <c r="E3636" s="637" t="s">
        <v>12702</v>
      </c>
      <c r="F3636" s="801" t="s">
        <v>12704</v>
      </c>
      <c r="G3636" s="801"/>
      <c r="H3636" s="801" t="s">
        <v>13678</v>
      </c>
      <c r="I3636" s="801"/>
      <c r="J3636" s="801" t="s">
        <v>12705</v>
      </c>
      <c r="K3636" s="801"/>
      <c r="L3636" s="801"/>
    </row>
    <row r="3637" spans="1:12" ht="24" customHeight="1">
      <c r="A3637" s="626" t="s">
        <v>12709</v>
      </c>
      <c r="B3637" s="627" t="s">
        <v>13088</v>
      </c>
      <c r="C3637" s="626" t="s">
        <v>8</v>
      </c>
      <c r="D3637" s="626" t="s">
        <v>9231</v>
      </c>
      <c r="E3637" s="628" t="s">
        <v>23</v>
      </c>
      <c r="F3637" s="816" t="s">
        <v>13713</v>
      </c>
      <c r="G3637" s="816"/>
      <c r="H3637" s="816">
        <v>0.18664149999999999</v>
      </c>
      <c r="I3637" s="816"/>
      <c r="J3637" s="817">
        <v>0.27250000000000002</v>
      </c>
      <c r="K3637" s="817"/>
      <c r="L3637" s="817"/>
    </row>
    <row r="3638" spans="1:12" ht="14.25" customHeight="1">
      <c r="A3638" s="626" t="s">
        <v>12709</v>
      </c>
      <c r="B3638" s="627" t="s">
        <v>13087</v>
      </c>
      <c r="C3638" s="626" t="s">
        <v>8</v>
      </c>
      <c r="D3638" s="626" t="s">
        <v>9378</v>
      </c>
      <c r="E3638" s="628" t="s">
        <v>23</v>
      </c>
      <c r="F3638" s="816" t="s">
        <v>13712</v>
      </c>
      <c r="G3638" s="816"/>
      <c r="H3638" s="816">
        <v>0.18664149999999999</v>
      </c>
      <c r="I3638" s="816"/>
      <c r="J3638" s="817">
        <v>0.21840000000000001</v>
      </c>
      <c r="K3638" s="817"/>
      <c r="L3638" s="817"/>
    </row>
    <row r="3639" spans="1:12" ht="17.100000000000001" customHeight="1">
      <c r="A3639" s="626" t="s">
        <v>12709</v>
      </c>
      <c r="B3639" s="627" t="s">
        <v>13048</v>
      </c>
      <c r="C3639" s="626" t="s">
        <v>8</v>
      </c>
      <c r="D3639" s="626" t="s">
        <v>9233</v>
      </c>
      <c r="E3639" s="628" t="s">
        <v>23</v>
      </c>
      <c r="F3639" s="816" t="s">
        <v>13690</v>
      </c>
      <c r="G3639" s="816"/>
      <c r="H3639" s="816">
        <v>6.8867700000000004E-2</v>
      </c>
      <c r="I3639" s="816"/>
      <c r="J3639" s="817">
        <v>7.0199999999999999E-2</v>
      </c>
      <c r="K3639" s="817"/>
      <c r="L3639" s="817"/>
    </row>
    <row r="3640" spans="1:12" ht="24" customHeight="1">
      <c r="A3640" s="626" t="s">
        <v>12709</v>
      </c>
      <c r="B3640" s="627" t="s">
        <v>13047</v>
      </c>
      <c r="C3640" s="626" t="s">
        <v>8</v>
      </c>
      <c r="D3640" s="626" t="s">
        <v>9380</v>
      </c>
      <c r="E3640" s="628" t="s">
        <v>23</v>
      </c>
      <c r="F3640" s="816" t="s">
        <v>13689</v>
      </c>
      <c r="G3640" s="816"/>
      <c r="H3640" s="816">
        <v>6.8867700000000004E-2</v>
      </c>
      <c r="I3640" s="816"/>
      <c r="J3640" s="817">
        <v>2.6200000000000001E-2</v>
      </c>
      <c r="K3640" s="817"/>
      <c r="L3640" s="817"/>
    </row>
    <row r="3641" spans="1:12" ht="24" customHeight="1">
      <c r="A3641" s="636"/>
      <c r="B3641" s="636"/>
      <c r="C3641" s="636"/>
      <c r="D3641" s="636"/>
      <c r="E3641" s="636"/>
      <c r="F3641" s="636"/>
      <c r="G3641" s="636"/>
      <c r="H3641" s="636"/>
      <c r="I3641" s="636"/>
      <c r="J3641" s="636" t="s">
        <v>13675</v>
      </c>
      <c r="K3641" s="636"/>
      <c r="L3641" s="636" t="s">
        <v>13709</v>
      </c>
    </row>
    <row r="3642" spans="1:12" ht="24" customHeight="1">
      <c r="A3642" s="802" t="s">
        <v>12710</v>
      </c>
      <c r="B3642" s="802"/>
      <c r="C3642" s="802"/>
      <c r="D3642" s="802"/>
      <c r="E3642" s="802"/>
      <c r="F3642" s="802"/>
      <c r="G3642" s="802"/>
      <c r="H3642" s="802"/>
      <c r="I3642" s="612"/>
      <c r="J3642" s="612"/>
      <c r="K3642" s="612"/>
      <c r="L3642" s="612"/>
    </row>
    <row r="3643" spans="1:12" ht="24" customHeight="1">
      <c r="A3643" s="612" t="s">
        <v>13679</v>
      </c>
      <c r="B3643" s="636" t="s">
        <v>12698</v>
      </c>
      <c r="C3643" s="612" t="s">
        <v>12699</v>
      </c>
      <c r="D3643" s="612" t="s">
        <v>12700</v>
      </c>
      <c r="E3643" s="637" t="s">
        <v>12702</v>
      </c>
      <c r="F3643" s="801" t="s">
        <v>12704</v>
      </c>
      <c r="G3643" s="801"/>
      <c r="H3643" s="801" t="s">
        <v>13678</v>
      </c>
      <c r="I3643" s="801"/>
      <c r="J3643" s="801" t="s">
        <v>12705</v>
      </c>
      <c r="K3643" s="801"/>
      <c r="L3643" s="801"/>
    </row>
    <row r="3644" spans="1:12" ht="17.100000000000001" customHeight="1">
      <c r="A3644" s="626" t="s">
        <v>12709</v>
      </c>
      <c r="B3644" s="627" t="s">
        <v>13086</v>
      </c>
      <c r="C3644" s="626" t="s">
        <v>8</v>
      </c>
      <c r="D3644" s="626" t="s">
        <v>10798</v>
      </c>
      <c r="E3644" s="628" t="s">
        <v>23</v>
      </c>
      <c r="F3644" s="816" t="s">
        <v>14470</v>
      </c>
      <c r="G3644" s="816"/>
      <c r="H3644" s="816">
        <v>0.1882779</v>
      </c>
      <c r="I3644" s="816"/>
      <c r="J3644" s="817">
        <v>1.3009999999999999</v>
      </c>
      <c r="K3644" s="817"/>
      <c r="L3644" s="817"/>
    </row>
    <row r="3645" spans="1:12" ht="14.25" customHeight="1">
      <c r="A3645" s="626" t="s">
        <v>12709</v>
      </c>
      <c r="B3645" s="627" t="s">
        <v>13046</v>
      </c>
      <c r="C3645" s="626" t="s">
        <v>8</v>
      </c>
      <c r="D3645" s="626" t="s">
        <v>11281</v>
      </c>
      <c r="E3645" s="628" t="s">
        <v>23</v>
      </c>
      <c r="F3645" s="816" t="s">
        <v>13731</v>
      </c>
      <c r="G3645" s="816"/>
      <c r="H3645" s="816">
        <v>6.9774100000000006E-2</v>
      </c>
      <c r="I3645" s="816"/>
      <c r="J3645" s="817">
        <v>0.35859999999999997</v>
      </c>
      <c r="K3645" s="817"/>
      <c r="L3645" s="817"/>
    </row>
    <row r="3646" spans="1:12" ht="17.100000000000001" customHeight="1">
      <c r="A3646" s="636"/>
      <c r="B3646" s="636"/>
      <c r="C3646" s="636"/>
      <c r="D3646" s="636"/>
      <c r="E3646" s="636"/>
      <c r="F3646" s="636"/>
      <c r="G3646" s="636"/>
      <c r="H3646" s="636"/>
      <c r="I3646" s="636"/>
      <c r="J3646" s="636" t="s">
        <v>13675</v>
      </c>
      <c r="K3646" s="636"/>
      <c r="L3646" s="636" t="s">
        <v>13930</v>
      </c>
    </row>
    <row r="3647" spans="1:12" ht="24" customHeight="1">
      <c r="A3647" s="802" t="s">
        <v>12720</v>
      </c>
      <c r="B3647" s="802"/>
      <c r="C3647" s="802"/>
      <c r="D3647" s="802"/>
      <c r="E3647" s="802"/>
      <c r="F3647" s="802"/>
      <c r="G3647" s="802"/>
      <c r="H3647" s="802"/>
      <c r="I3647" s="612"/>
      <c r="J3647" s="612"/>
      <c r="K3647" s="612"/>
      <c r="L3647" s="612"/>
    </row>
    <row r="3648" spans="1:12" ht="24" customHeight="1">
      <c r="A3648" s="612" t="s">
        <v>13679</v>
      </c>
      <c r="B3648" s="636" t="s">
        <v>12698</v>
      </c>
      <c r="C3648" s="612" t="s">
        <v>12699</v>
      </c>
      <c r="D3648" s="612" t="s">
        <v>12700</v>
      </c>
      <c r="E3648" s="637" t="s">
        <v>12702</v>
      </c>
      <c r="F3648" s="801" t="s">
        <v>12704</v>
      </c>
      <c r="G3648" s="801"/>
      <c r="H3648" s="801" t="s">
        <v>13678</v>
      </c>
      <c r="I3648" s="801"/>
      <c r="J3648" s="801" t="s">
        <v>12705</v>
      </c>
      <c r="K3648" s="801"/>
      <c r="L3648" s="801"/>
    </row>
    <row r="3649" spans="1:12" ht="17.100000000000001" customHeight="1">
      <c r="A3649" s="626" t="s">
        <v>12709</v>
      </c>
      <c r="B3649" s="627" t="s">
        <v>13554</v>
      </c>
      <c r="C3649" s="626" t="s">
        <v>8</v>
      </c>
      <c r="D3649" s="626" t="s">
        <v>11782</v>
      </c>
      <c r="E3649" s="628" t="s">
        <v>58</v>
      </c>
      <c r="F3649" s="816" t="s">
        <v>14093</v>
      </c>
      <c r="G3649" s="816"/>
      <c r="H3649" s="816">
        <v>0.33</v>
      </c>
      <c r="I3649" s="816"/>
      <c r="J3649" s="817">
        <v>6.78</v>
      </c>
      <c r="K3649" s="817"/>
      <c r="L3649" s="817"/>
    </row>
    <row r="3650" spans="1:12">
      <c r="A3650" s="636"/>
      <c r="B3650" s="636"/>
      <c r="C3650" s="636"/>
      <c r="D3650" s="636"/>
      <c r="E3650" s="636"/>
      <c r="F3650" s="636"/>
      <c r="G3650" s="636"/>
      <c r="H3650" s="636"/>
      <c r="I3650" s="636"/>
      <c r="J3650" s="636" t="s">
        <v>13675</v>
      </c>
      <c r="K3650" s="636"/>
      <c r="L3650" s="636" t="s">
        <v>14092</v>
      </c>
    </row>
    <row r="3651" spans="1:12" ht="17.100000000000001" customHeight="1">
      <c r="A3651" s="802" t="s">
        <v>12722</v>
      </c>
      <c r="B3651" s="802"/>
      <c r="C3651" s="802"/>
      <c r="D3651" s="802"/>
      <c r="E3651" s="802"/>
      <c r="F3651" s="802"/>
      <c r="G3651" s="802"/>
      <c r="H3651" s="802"/>
      <c r="I3651" s="612"/>
      <c r="J3651" s="612"/>
      <c r="K3651" s="612"/>
      <c r="L3651" s="612"/>
    </row>
    <row r="3652" spans="1:12" ht="24" customHeight="1">
      <c r="A3652" s="612" t="s">
        <v>13679</v>
      </c>
      <c r="B3652" s="636" t="s">
        <v>12698</v>
      </c>
      <c r="C3652" s="612" t="s">
        <v>12699</v>
      </c>
      <c r="D3652" s="612" t="s">
        <v>12700</v>
      </c>
      <c r="E3652" s="637" t="s">
        <v>12702</v>
      </c>
      <c r="F3652" s="801" t="s">
        <v>12704</v>
      </c>
      <c r="G3652" s="801"/>
      <c r="H3652" s="801" t="s">
        <v>13678</v>
      </c>
      <c r="I3652" s="801"/>
      <c r="J3652" s="801" t="s">
        <v>12705</v>
      </c>
      <c r="K3652" s="801"/>
      <c r="L3652" s="801"/>
    </row>
    <row r="3653" spans="1:12" ht="17.100000000000001" customHeight="1">
      <c r="A3653" s="626" t="s">
        <v>12709</v>
      </c>
      <c r="B3653" s="627" t="s">
        <v>12998</v>
      </c>
      <c r="C3653" s="626" t="s">
        <v>8</v>
      </c>
      <c r="D3653" s="626" t="s">
        <v>11861</v>
      </c>
      <c r="E3653" s="628" t="s">
        <v>23</v>
      </c>
      <c r="F3653" s="816" t="s">
        <v>13683</v>
      </c>
      <c r="G3653" s="816"/>
      <c r="H3653" s="816">
        <v>0.25550919999999999</v>
      </c>
      <c r="I3653" s="816"/>
      <c r="J3653" s="817">
        <v>0.18140000000000001</v>
      </c>
      <c r="K3653" s="817"/>
      <c r="L3653" s="817"/>
    </row>
    <row r="3654" spans="1:12">
      <c r="A3654" s="636"/>
      <c r="B3654" s="636"/>
      <c r="C3654" s="636"/>
      <c r="D3654" s="636"/>
      <c r="E3654" s="636"/>
      <c r="F3654" s="636"/>
      <c r="G3654" s="636"/>
      <c r="H3654" s="636"/>
      <c r="I3654" s="636"/>
      <c r="J3654" s="636" t="s">
        <v>13675</v>
      </c>
      <c r="K3654" s="636"/>
      <c r="L3654" s="636" t="s">
        <v>13682</v>
      </c>
    </row>
    <row r="3655" spans="1:12" ht="17.100000000000001" customHeight="1">
      <c r="A3655" s="802" t="s">
        <v>12713</v>
      </c>
      <c r="B3655" s="802"/>
      <c r="C3655" s="802"/>
      <c r="D3655" s="802"/>
      <c r="E3655" s="802"/>
      <c r="F3655" s="802"/>
      <c r="G3655" s="802"/>
      <c r="H3655" s="802"/>
      <c r="I3655" s="612"/>
      <c r="J3655" s="612"/>
      <c r="K3655" s="612"/>
      <c r="L3655" s="612"/>
    </row>
    <row r="3656" spans="1:12" ht="24" customHeight="1">
      <c r="A3656" s="612" t="s">
        <v>13679</v>
      </c>
      <c r="B3656" s="636" t="s">
        <v>12698</v>
      </c>
      <c r="C3656" s="612" t="s">
        <v>12699</v>
      </c>
      <c r="D3656" s="612" t="s">
        <v>12700</v>
      </c>
      <c r="E3656" s="637" t="s">
        <v>12702</v>
      </c>
      <c r="F3656" s="801" t="s">
        <v>12704</v>
      </c>
      <c r="G3656" s="801"/>
      <c r="H3656" s="801" t="s">
        <v>13678</v>
      </c>
      <c r="I3656" s="801"/>
      <c r="J3656" s="801" t="s">
        <v>12705</v>
      </c>
      <c r="K3656" s="801"/>
      <c r="L3656" s="801"/>
    </row>
    <row r="3657" spans="1:12" ht="17.100000000000001" customHeight="1">
      <c r="A3657" s="626" t="s">
        <v>12709</v>
      </c>
      <c r="B3657" s="627" t="s">
        <v>12999</v>
      </c>
      <c r="C3657" s="626" t="s">
        <v>8</v>
      </c>
      <c r="D3657" s="626" t="s">
        <v>11251</v>
      </c>
      <c r="E3657" s="628" t="s">
        <v>23</v>
      </c>
      <c r="F3657" s="816" t="s">
        <v>13681</v>
      </c>
      <c r="G3657" s="816"/>
      <c r="H3657" s="816">
        <v>0.25550919999999999</v>
      </c>
      <c r="I3657" s="816"/>
      <c r="J3657" s="817">
        <v>1.7899999999999999E-2</v>
      </c>
      <c r="K3657" s="817"/>
      <c r="L3657" s="817"/>
    </row>
    <row r="3658" spans="1:12">
      <c r="A3658" s="636"/>
      <c r="B3658" s="636"/>
      <c r="C3658" s="636"/>
      <c r="D3658" s="636"/>
      <c r="E3658" s="636"/>
      <c r="F3658" s="636"/>
      <c r="G3658" s="636"/>
      <c r="H3658" s="636"/>
      <c r="I3658" s="636"/>
      <c r="J3658" s="636" t="s">
        <v>13675</v>
      </c>
      <c r="K3658" s="636"/>
      <c r="L3658" s="636" t="s">
        <v>13680</v>
      </c>
    </row>
    <row r="3659" spans="1:12" ht="17.100000000000001" customHeight="1">
      <c r="A3659" s="802" t="s">
        <v>12712</v>
      </c>
      <c r="B3659" s="802"/>
      <c r="C3659" s="802"/>
      <c r="D3659" s="802"/>
      <c r="E3659" s="802"/>
      <c r="F3659" s="802"/>
      <c r="G3659" s="802"/>
      <c r="H3659" s="802"/>
      <c r="I3659" s="612"/>
      <c r="J3659" s="612"/>
      <c r="K3659" s="612"/>
      <c r="L3659" s="612"/>
    </row>
    <row r="3660" spans="1:12" ht="24" customHeight="1">
      <c r="A3660" s="612" t="s">
        <v>13679</v>
      </c>
      <c r="B3660" s="636" t="s">
        <v>12698</v>
      </c>
      <c r="C3660" s="612" t="s">
        <v>12699</v>
      </c>
      <c r="D3660" s="612" t="s">
        <v>12700</v>
      </c>
      <c r="E3660" s="637" t="s">
        <v>12702</v>
      </c>
      <c r="F3660" s="801" t="s">
        <v>12704</v>
      </c>
      <c r="G3660" s="801"/>
      <c r="H3660" s="801" t="s">
        <v>13678</v>
      </c>
      <c r="I3660" s="801"/>
      <c r="J3660" s="801" t="s">
        <v>12705</v>
      </c>
      <c r="K3660" s="801"/>
      <c r="L3660" s="801"/>
    </row>
    <row r="3661" spans="1:12" ht="17.100000000000001" customHeight="1">
      <c r="A3661" s="626" t="s">
        <v>12709</v>
      </c>
      <c r="B3661" s="627" t="s">
        <v>13002</v>
      </c>
      <c r="C3661" s="626" t="s">
        <v>8</v>
      </c>
      <c r="D3661" s="626" t="s">
        <v>9306</v>
      </c>
      <c r="E3661" s="628" t="s">
        <v>23</v>
      </c>
      <c r="F3661" s="816" t="s">
        <v>13677</v>
      </c>
      <c r="G3661" s="816"/>
      <c r="H3661" s="816">
        <v>0.25550919999999999</v>
      </c>
      <c r="I3661" s="816"/>
      <c r="J3661" s="817">
        <v>8.9399999999999993E-2</v>
      </c>
      <c r="K3661" s="817"/>
      <c r="L3661" s="817"/>
    </row>
    <row r="3662" spans="1:12" ht="25.5">
      <c r="A3662" s="626" t="s">
        <v>12709</v>
      </c>
      <c r="B3662" s="627" t="s">
        <v>13004</v>
      </c>
      <c r="C3662" s="626" t="s">
        <v>8</v>
      </c>
      <c r="D3662" s="626" t="s">
        <v>7388</v>
      </c>
      <c r="E3662" s="628" t="s">
        <v>23</v>
      </c>
      <c r="F3662" s="816" t="s">
        <v>13676</v>
      </c>
      <c r="G3662" s="816"/>
      <c r="H3662" s="816">
        <v>0.25550919999999999</v>
      </c>
      <c r="I3662" s="816"/>
      <c r="J3662" s="817">
        <v>0.56210000000000004</v>
      </c>
      <c r="K3662" s="817"/>
      <c r="L3662" s="817"/>
    </row>
    <row r="3663" spans="1:12" ht="17.100000000000001" customHeight="1">
      <c r="A3663" s="636"/>
      <c r="B3663" s="636"/>
      <c r="C3663" s="636"/>
      <c r="D3663" s="636"/>
      <c r="E3663" s="636"/>
      <c r="F3663" s="636"/>
      <c r="G3663" s="636"/>
      <c r="H3663" s="636"/>
      <c r="I3663" s="636"/>
      <c r="J3663" s="636" t="s">
        <v>13675</v>
      </c>
      <c r="K3663" s="636"/>
      <c r="L3663" s="636" t="s">
        <v>13738</v>
      </c>
    </row>
    <row r="3664" spans="1:12" ht="24" customHeight="1">
      <c r="A3664" s="612" t="s">
        <v>13673</v>
      </c>
      <c r="B3664" s="612"/>
      <c r="C3664" s="612"/>
      <c r="D3664" s="612"/>
      <c r="E3664" s="612"/>
      <c r="F3664" s="612"/>
      <c r="G3664" s="612"/>
      <c r="H3664" s="612"/>
      <c r="I3664" s="612"/>
      <c r="J3664" s="612"/>
      <c r="K3664" s="612"/>
      <c r="L3664" s="612"/>
    </row>
    <row r="3665" spans="1:12" ht="24" customHeight="1">
      <c r="A3665" s="636"/>
      <c r="B3665" s="636"/>
      <c r="C3665" s="636"/>
      <c r="D3665" s="636"/>
      <c r="E3665" s="636"/>
      <c r="F3665" s="636"/>
      <c r="G3665" s="636"/>
      <c r="H3665" s="636"/>
      <c r="I3665" s="636"/>
      <c r="J3665" s="636" t="s">
        <v>13672</v>
      </c>
      <c r="K3665" s="636"/>
      <c r="L3665" s="636" t="s">
        <v>15211</v>
      </c>
    </row>
    <row r="3666" spans="1:12" ht="17.100000000000001" customHeight="1">
      <c r="A3666" s="636"/>
      <c r="B3666" s="636"/>
      <c r="C3666" s="636"/>
      <c r="D3666" s="636"/>
      <c r="E3666" s="636"/>
      <c r="F3666" s="636"/>
      <c r="G3666" s="636"/>
      <c r="H3666" s="636"/>
      <c r="I3666" s="636"/>
      <c r="J3666" s="636" t="s">
        <v>13671</v>
      </c>
      <c r="K3666" s="636" t="s">
        <v>14461</v>
      </c>
      <c r="L3666" s="636" t="s">
        <v>15212</v>
      </c>
    </row>
    <row r="3667" spans="1:12" ht="17.100000000000001" customHeight="1">
      <c r="A3667" s="636"/>
      <c r="B3667" s="636"/>
      <c r="C3667" s="636"/>
      <c r="D3667" s="636"/>
      <c r="E3667" s="636"/>
      <c r="F3667" s="636"/>
      <c r="G3667" s="636"/>
      <c r="H3667" s="636"/>
      <c r="I3667" s="636"/>
      <c r="J3667" s="636" t="s">
        <v>13670</v>
      </c>
      <c r="K3667" s="636"/>
      <c r="L3667" s="636" t="s">
        <v>15213</v>
      </c>
    </row>
    <row r="3668" spans="1:12" ht="17.100000000000001" customHeight="1">
      <c r="A3668" s="636"/>
      <c r="B3668" s="636"/>
      <c r="C3668" s="636"/>
      <c r="D3668" s="636"/>
      <c r="E3668" s="636"/>
      <c r="F3668" s="636"/>
      <c r="G3668" s="636"/>
      <c r="H3668" s="636"/>
      <c r="I3668" s="636"/>
      <c r="J3668" s="636" t="s">
        <v>13669</v>
      </c>
      <c r="K3668" s="636" t="s">
        <v>13667</v>
      </c>
      <c r="L3668" s="636" t="s">
        <v>15214</v>
      </c>
    </row>
    <row r="3669" spans="1:12" ht="17.100000000000001" customHeight="1">
      <c r="A3669" s="636"/>
      <c r="B3669" s="636"/>
      <c r="C3669" s="636"/>
      <c r="D3669" s="636"/>
      <c r="E3669" s="636"/>
      <c r="F3669" s="636"/>
      <c r="G3669" s="636"/>
      <c r="H3669" s="636"/>
      <c r="I3669" s="636"/>
      <c r="J3669" s="636" t="s">
        <v>13668</v>
      </c>
      <c r="K3669" s="636"/>
      <c r="L3669" s="636" t="s">
        <v>15215</v>
      </c>
    </row>
    <row r="3670" spans="1:12" ht="17.100000000000001" customHeight="1">
      <c r="A3670" s="637"/>
      <c r="B3670" s="637"/>
      <c r="C3670" s="637"/>
      <c r="D3670" s="637"/>
      <c r="E3670" s="637"/>
      <c r="F3670" s="637"/>
      <c r="G3670" s="637"/>
      <c r="H3670" s="637"/>
      <c r="I3670" s="637"/>
      <c r="J3670" s="637"/>
      <c r="K3670" s="637"/>
      <c r="L3670" s="637"/>
    </row>
    <row r="3671" spans="1:12" ht="17.100000000000001" customHeight="1">
      <c r="A3671" s="616" t="s">
        <v>14144</v>
      </c>
      <c r="B3671" s="617" t="s">
        <v>13557</v>
      </c>
      <c r="C3671" s="616" t="s">
        <v>8</v>
      </c>
      <c r="D3671" s="616" t="s">
        <v>42</v>
      </c>
      <c r="E3671" s="618" t="s">
        <v>12725</v>
      </c>
      <c r="F3671" s="617"/>
      <c r="G3671" s="617"/>
      <c r="H3671" s="617"/>
      <c r="I3671" s="617"/>
      <c r="J3671" s="617"/>
      <c r="K3671" s="617"/>
      <c r="L3671" s="617"/>
    </row>
    <row r="3672" spans="1:12" ht="17.100000000000001" customHeight="1">
      <c r="A3672" s="802" t="s">
        <v>12711</v>
      </c>
      <c r="B3672" s="802"/>
      <c r="C3672" s="802"/>
      <c r="D3672" s="802"/>
      <c r="E3672" s="802"/>
      <c r="F3672" s="802"/>
      <c r="G3672" s="802"/>
      <c r="H3672" s="802"/>
      <c r="I3672" s="612"/>
      <c r="J3672" s="612"/>
      <c r="K3672" s="612"/>
      <c r="L3672" s="612"/>
    </row>
    <row r="3673" spans="1:12" ht="30" customHeight="1">
      <c r="A3673" s="612" t="s">
        <v>13679</v>
      </c>
      <c r="B3673" s="636" t="s">
        <v>12698</v>
      </c>
      <c r="C3673" s="612" t="s">
        <v>12699</v>
      </c>
      <c r="D3673" s="612" t="s">
        <v>12700</v>
      </c>
      <c r="E3673" s="637" t="s">
        <v>12702</v>
      </c>
      <c r="F3673" s="801" t="s">
        <v>12704</v>
      </c>
      <c r="G3673" s="801"/>
      <c r="H3673" s="801" t="s">
        <v>13678</v>
      </c>
      <c r="I3673" s="801"/>
      <c r="J3673" s="801" t="s">
        <v>12705</v>
      </c>
      <c r="K3673" s="801"/>
      <c r="L3673" s="801"/>
    </row>
    <row r="3674" spans="1:12" ht="24" customHeight="1">
      <c r="A3674" s="626" t="s">
        <v>12709</v>
      </c>
      <c r="B3674" s="627" t="s">
        <v>13088</v>
      </c>
      <c r="C3674" s="626" t="s">
        <v>8</v>
      </c>
      <c r="D3674" s="626" t="s">
        <v>9231</v>
      </c>
      <c r="E3674" s="628" t="s">
        <v>23</v>
      </c>
      <c r="F3674" s="816" t="s">
        <v>13713</v>
      </c>
      <c r="G3674" s="816"/>
      <c r="H3674" s="816">
        <v>3.8363899999999999E-2</v>
      </c>
      <c r="I3674" s="816"/>
      <c r="J3674" s="817">
        <v>5.6000000000000001E-2</v>
      </c>
      <c r="K3674" s="817"/>
      <c r="L3674" s="817"/>
    </row>
    <row r="3675" spans="1:12" ht="14.25" customHeight="1">
      <c r="A3675" s="626" t="s">
        <v>12709</v>
      </c>
      <c r="B3675" s="627" t="s">
        <v>13087</v>
      </c>
      <c r="C3675" s="626" t="s">
        <v>8</v>
      </c>
      <c r="D3675" s="626" t="s">
        <v>9378</v>
      </c>
      <c r="E3675" s="628" t="s">
        <v>23</v>
      </c>
      <c r="F3675" s="816" t="s">
        <v>13712</v>
      </c>
      <c r="G3675" s="816"/>
      <c r="H3675" s="816">
        <v>3.8363899999999999E-2</v>
      </c>
      <c r="I3675" s="816"/>
      <c r="J3675" s="817">
        <v>4.4900000000000002E-2</v>
      </c>
      <c r="K3675" s="817"/>
      <c r="L3675" s="817"/>
    </row>
    <row r="3676" spans="1:12" ht="17.100000000000001" customHeight="1">
      <c r="A3676" s="626" t="s">
        <v>12709</v>
      </c>
      <c r="B3676" s="627" t="s">
        <v>13048</v>
      </c>
      <c r="C3676" s="626" t="s">
        <v>8</v>
      </c>
      <c r="D3676" s="626" t="s">
        <v>9233</v>
      </c>
      <c r="E3676" s="628" t="s">
        <v>23</v>
      </c>
      <c r="F3676" s="816" t="s">
        <v>13690</v>
      </c>
      <c r="G3676" s="816"/>
      <c r="H3676" s="816">
        <v>1.37717E-2</v>
      </c>
      <c r="I3676" s="816"/>
      <c r="J3676" s="817">
        <v>1.4E-2</v>
      </c>
      <c r="K3676" s="817"/>
      <c r="L3676" s="817"/>
    </row>
    <row r="3677" spans="1:12" ht="24" customHeight="1">
      <c r="A3677" s="626" t="s">
        <v>12709</v>
      </c>
      <c r="B3677" s="627" t="s">
        <v>13047</v>
      </c>
      <c r="C3677" s="626" t="s">
        <v>8</v>
      </c>
      <c r="D3677" s="626" t="s">
        <v>9380</v>
      </c>
      <c r="E3677" s="628" t="s">
        <v>23</v>
      </c>
      <c r="F3677" s="816" t="s">
        <v>13689</v>
      </c>
      <c r="G3677" s="816"/>
      <c r="H3677" s="816">
        <v>1.37717E-2</v>
      </c>
      <c r="I3677" s="816"/>
      <c r="J3677" s="817">
        <v>5.1999999999999998E-3</v>
      </c>
      <c r="K3677" s="817"/>
      <c r="L3677" s="817"/>
    </row>
    <row r="3678" spans="1:12" ht="24" customHeight="1">
      <c r="A3678" s="636"/>
      <c r="B3678" s="636"/>
      <c r="C3678" s="636"/>
      <c r="D3678" s="636"/>
      <c r="E3678" s="636"/>
      <c r="F3678" s="636"/>
      <c r="G3678" s="636"/>
      <c r="H3678" s="636"/>
      <c r="I3678" s="636"/>
      <c r="J3678" s="636" t="s">
        <v>13675</v>
      </c>
      <c r="K3678" s="636"/>
      <c r="L3678" s="636" t="s">
        <v>13751</v>
      </c>
    </row>
    <row r="3679" spans="1:12" ht="24" customHeight="1">
      <c r="A3679" s="802" t="s">
        <v>12710</v>
      </c>
      <c r="B3679" s="802"/>
      <c r="C3679" s="802"/>
      <c r="D3679" s="802"/>
      <c r="E3679" s="802"/>
      <c r="F3679" s="802"/>
      <c r="G3679" s="802"/>
      <c r="H3679" s="802"/>
      <c r="I3679" s="612"/>
      <c r="J3679" s="612"/>
      <c r="K3679" s="612"/>
      <c r="L3679" s="612"/>
    </row>
    <row r="3680" spans="1:12" ht="24" customHeight="1">
      <c r="A3680" s="612" t="s">
        <v>13679</v>
      </c>
      <c r="B3680" s="636" t="s">
        <v>12698</v>
      </c>
      <c r="C3680" s="612" t="s">
        <v>12699</v>
      </c>
      <c r="D3680" s="612" t="s">
        <v>12700</v>
      </c>
      <c r="E3680" s="637" t="s">
        <v>12702</v>
      </c>
      <c r="F3680" s="801" t="s">
        <v>12704</v>
      </c>
      <c r="G3680" s="801"/>
      <c r="H3680" s="801" t="s">
        <v>13678</v>
      </c>
      <c r="I3680" s="801"/>
      <c r="J3680" s="801" t="s">
        <v>12705</v>
      </c>
      <c r="K3680" s="801"/>
      <c r="L3680" s="801"/>
    </row>
    <row r="3681" spans="1:12" ht="17.100000000000001" customHeight="1">
      <c r="A3681" s="626" t="s">
        <v>12709</v>
      </c>
      <c r="B3681" s="627" t="s">
        <v>13086</v>
      </c>
      <c r="C3681" s="626" t="s">
        <v>8</v>
      </c>
      <c r="D3681" s="626" t="s">
        <v>10798</v>
      </c>
      <c r="E3681" s="628" t="s">
        <v>23</v>
      </c>
      <c r="F3681" s="816" t="s">
        <v>14470</v>
      </c>
      <c r="G3681" s="816"/>
      <c r="H3681" s="816">
        <v>3.8864700000000002E-2</v>
      </c>
      <c r="I3681" s="816"/>
      <c r="J3681" s="817">
        <v>0.26860000000000001</v>
      </c>
      <c r="K3681" s="817"/>
      <c r="L3681" s="817"/>
    </row>
    <row r="3682" spans="1:12" ht="14.25" customHeight="1">
      <c r="A3682" s="626" t="s">
        <v>12709</v>
      </c>
      <c r="B3682" s="627" t="s">
        <v>13046</v>
      </c>
      <c r="C3682" s="626" t="s">
        <v>8</v>
      </c>
      <c r="D3682" s="626" t="s">
        <v>11281</v>
      </c>
      <c r="E3682" s="628" t="s">
        <v>23</v>
      </c>
      <c r="F3682" s="816" t="s">
        <v>13731</v>
      </c>
      <c r="G3682" s="816"/>
      <c r="H3682" s="816">
        <v>1.4012200000000001E-2</v>
      </c>
      <c r="I3682" s="816"/>
      <c r="J3682" s="817">
        <v>7.1999999999999995E-2</v>
      </c>
      <c r="K3682" s="817"/>
      <c r="L3682" s="817"/>
    </row>
    <row r="3683" spans="1:12" ht="17.100000000000001" customHeight="1">
      <c r="A3683" s="636"/>
      <c r="B3683" s="636"/>
      <c r="C3683" s="636"/>
      <c r="D3683" s="636"/>
      <c r="E3683" s="636"/>
      <c r="F3683" s="636"/>
      <c r="G3683" s="636"/>
      <c r="H3683" s="636"/>
      <c r="I3683" s="636"/>
      <c r="J3683" s="636" t="s">
        <v>13675</v>
      </c>
      <c r="K3683" s="636"/>
      <c r="L3683" s="636" t="s">
        <v>13740</v>
      </c>
    </row>
    <row r="3684" spans="1:12" ht="24" customHeight="1">
      <c r="A3684" s="802" t="s">
        <v>12720</v>
      </c>
      <c r="B3684" s="802"/>
      <c r="C3684" s="802"/>
      <c r="D3684" s="802"/>
      <c r="E3684" s="802"/>
      <c r="F3684" s="802"/>
      <c r="G3684" s="802"/>
      <c r="H3684" s="802"/>
      <c r="I3684" s="612"/>
      <c r="J3684" s="612"/>
      <c r="K3684" s="612"/>
      <c r="L3684" s="612"/>
    </row>
    <row r="3685" spans="1:12" ht="24" customHeight="1">
      <c r="A3685" s="612" t="s">
        <v>13679</v>
      </c>
      <c r="B3685" s="636" t="s">
        <v>12698</v>
      </c>
      <c r="C3685" s="612" t="s">
        <v>12699</v>
      </c>
      <c r="D3685" s="612" t="s">
        <v>12700</v>
      </c>
      <c r="E3685" s="637" t="s">
        <v>12702</v>
      </c>
      <c r="F3685" s="801" t="s">
        <v>12704</v>
      </c>
      <c r="G3685" s="801"/>
      <c r="H3685" s="801" t="s">
        <v>13678</v>
      </c>
      <c r="I3685" s="801"/>
      <c r="J3685" s="801" t="s">
        <v>12705</v>
      </c>
      <c r="K3685" s="801"/>
      <c r="L3685" s="801"/>
    </row>
    <row r="3686" spans="1:12" ht="17.100000000000001" customHeight="1">
      <c r="A3686" s="626" t="s">
        <v>12709</v>
      </c>
      <c r="B3686" s="627" t="s">
        <v>13556</v>
      </c>
      <c r="C3686" s="626" t="s">
        <v>8</v>
      </c>
      <c r="D3686" s="626" t="s">
        <v>11254</v>
      </c>
      <c r="E3686" s="628" t="s">
        <v>58</v>
      </c>
      <c r="F3686" s="816" t="s">
        <v>14047</v>
      </c>
      <c r="G3686" s="816"/>
      <c r="H3686" s="816">
        <v>0.16</v>
      </c>
      <c r="I3686" s="816"/>
      <c r="J3686" s="817">
        <v>0.64</v>
      </c>
      <c r="K3686" s="817"/>
      <c r="L3686" s="817"/>
    </row>
    <row r="3687" spans="1:12">
      <c r="A3687" s="636"/>
      <c r="B3687" s="636"/>
      <c r="C3687" s="636"/>
      <c r="D3687" s="636"/>
      <c r="E3687" s="636"/>
      <c r="F3687" s="636"/>
      <c r="G3687" s="636"/>
      <c r="H3687" s="636"/>
      <c r="I3687" s="636"/>
      <c r="J3687" s="636" t="s">
        <v>13675</v>
      </c>
      <c r="K3687" s="636"/>
      <c r="L3687" s="636" t="s">
        <v>13879</v>
      </c>
    </row>
    <row r="3688" spans="1:12" ht="17.100000000000001" customHeight="1">
      <c r="A3688" s="802" t="s">
        <v>12722</v>
      </c>
      <c r="B3688" s="802"/>
      <c r="C3688" s="802"/>
      <c r="D3688" s="802"/>
      <c r="E3688" s="802"/>
      <c r="F3688" s="802"/>
      <c r="G3688" s="802"/>
      <c r="H3688" s="802"/>
      <c r="I3688" s="612"/>
      <c r="J3688" s="612"/>
      <c r="K3688" s="612"/>
      <c r="L3688" s="612"/>
    </row>
    <row r="3689" spans="1:12" ht="24" customHeight="1">
      <c r="A3689" s="612" t="s">
        <v>13679</v>
      </c>
      <c r="B3689" s="636" t="s">
        <v>12698</v>
      </c>
      <c r="C3689" s="612" t="s">
        <v>12699</v>
      </c>
      <c r="D3689" s="612" t="s">
        <v>12700</v>
      </c>
      <c r="E3689" s="637" t="s">
        <v>12702</v>
      </c>
      <c r="F3689" s="801" t="s">
        <v>12704</v>
      </c>
      <c r="G3689" s="801"/>
      <c r="H3689" s="801" t="s">
        <v>13678</v>
      </c>
      <c r="I3689" s="801"/>
      <c r="J3689" s="801" t="s">
        <v>12705</v>
      </c>
      <c r="K3689" s="801"/>
      <c r="L3689" s="801"/>
    </row>
    <row r="3690" spans="1:12" ht="17.100000000000001" customHeight="1">
      <c r="A3690" s="626" t="s">
        <v>12709</v>
      </c>
      <c r="B3690" s="627" t="s">
        <v>12998</v>
      </c>
      <c r="C3690" s="626" t="s">
        <v>8</v>
      </c>
      <c r="D3690" s="626" t="s">
        <v>11861</v>
      </c>
      <c r="E3690" s="628" t="s">
        <v>23</v>
      </c>
      <c r="F3690" s="816" t="s">
        <v>13683</v>
      </c>
      <c r="G3690" s="816"/>
      <c r="H3690" s="816">
        <v>5.2135599999999997E-2</v>
      </c>
      <c r="I3690" s="816"/>
      <c r="J3690" s="817">
        <v>3.6999999999999998E-2</v>
      </c>
      <c r="K3690" s="817"/>
      <c r="L3690" s="817"/>
    </row>
    <row r="3691" spans="1:12">
      <c r="A3691" s="636"/>
      <c r="B3691" s="636"/>
      <c r="C3691" s="636"/>
      <c r="D3691" s="636"/>
      <c r="E3691" s="636"/>
      <c r="F3691" s="636"/>
      <c r="G3691" s="636"/>
      <c r="H3691" s="636"/>
      <c r="I3691" s="636"/>
      <c r="J3691" s="636" t="s">
        <v>13675</v>
      </c>
      <c r="K3691" s="636"/>
      <c r="L3691" s="636" t="s">
        <v>13716</v>
      </c>
    </row>
    <row r="3692" spans="1:12" ht="17.100000000000001" customHeight="1">
      <c r="A3692" s="802" t="s">
        <v>12713</v>
      </c>
      <c r="B3692" s="802"/>
      <c r="C3692" s="802"/>
      <c r="D3692" s="802"/>
      <c r="E3692" s="802"/>
      <c r="F3692" s="802"/>
      <c r="G3692" s="802"/>
      <c r="H3692" s="802"/>
      <c r="I3692" s="612"/>
      <c r="J3692" s="612"/>
      <c r="K3692" s="612"/>
      <c r="L3692" s="612"/>
    </row>
    <row r="3693" spans="1:12" ht="24" customHeight="1">
      <c r="A3693" s="612" t="s">
        <v>13679</v>
      </c>
      <c r="B3693" s="636" t="s">
        <v>12698</v>
      </c>
      <c r="C3693" s="612" t="s">
        <v>12699</v>
      </c>
      <c r="D3693" s="612" t="s">
        <v>12700</v>
      </c>
      <c r="E3693" s="637" t="s">
        <v>12702</v>
      </c>
      <c r="F3693" s="801" t="s">
        <v>12704</v>
      </c>
      <c r="G3693" s="801"/>
      <c r="H3693" s="801" t="s">
        <v>13678</v>
      </c>
      <c r="I3693" s="801"/>
      <c r="J3693" s="801" t="s">
        <v>12705</v>
      </c>
      <c r="K3693" s="801"/>
      <c r="L3693" s="801"/>
    </row>
    <row r="3694" spans="1:12" ht="17.100000000000001" customHeight="1">
      <c r="A3694" s="626" t="s">
        <v>12709</v>
      </c>
      <c r="B3694" s="627" t="s">
        <v>12999</v>
      </c>
      <c r="C3694" s="626" t="s">
        <v>8</v>
      </c>
      <c r="D3694" s="626" t="s">
        <v>11251</v>
      </c>
      <c r="E3694" s="628" t="s">
        <v>23</v>
      </c>
      <c r="F3694" s="816" t="s">
        <v>13681</v>
      </c>
      <c r="G3694" s="816"/>
      <c r="H3694" s="816">
        <v>5.2135599999999997E-2</v>
      </c>
      <c r="I3694" s="816"/>
      <c r="J3694" s="817">
        <v>3.5999999999999999E-3</v>
      </c>
      <c r="K3694" s="817"/>
      <c r="L3694" s="817"/>
    </row>
    <row r="3695" spans="1:12">
      <c r="A3695" s="636"/>
      <c r="B3695" s="636"/>
      <c r="C3695" s="636"/>
      <c r="D3695" s="636"/>
      <c r="E3695" s="636"/>
      <c r="F3695" s="636"/>
      <c r="G3695" s="636"/>
      <c r="H3695" s="636"/>
      <c r="I3695" s="636"/>
      <c r="J3695" s="636" t="s">
        <v>13675</v>
      </c>
      <c r="K3695" s="636"/>
      <c r="L3695" s="636" t="s">
        <v>13727</v>
      </c>
    </row>
    <row r="3696" spans="1:12" ht="17.100000000000001" customHeight="1">
      <c r="A3696" s="802" t="s">
        <v>12712</v>
      </c>
      <c r="B3696" s="802"/>
      <c r="C3696" s="802"/>
      <c r="D3696" s="802"/>
      <c r="E3696" s="802"/>
      <c r="F3696" s="802"/>
      <c r="G3696" s="802"/>
      <c r="H3696" s="802"/>
      <c r="I3696" s="612"/>
      <c r="J3696" s="612"/>
      <c r="K3696" s="612"/>
      <c r="L3696" s="612"/>
    </row>
    <row r="3697" spans="1:12" ht="24" customHeight="1">
      <c r="A3697" s="612" t="s">
        <v>13679</v>
      </c>
      <c r="B3697" s="636" t="s">
        <v>12698</v>
      </c>
      <c r="C3697" s="612" t="s">
        <v>12699</v>
      </c>
      <c r="D3697" s="612" t="s">
        <v>12700</v>
      </c>
      <c r="E3697" s="637" t="s">
        <v>12702</v>
      </c>
      <c r="F3697" s="801" t="s">
        <v>12704</v>
      </c>
      <c r="G3697" s="801"/>
      <c r="H3697" s="801" t="s">
        <v>13678</v>
      </c>
      <c r="I3697" s="801"/>
      <c r="J3697" s="801" t="s">
        <v>12705</v>
      </c>
      <c r="K3697" s="801"/>
      <c r="L3697" s="801"/>
    </row>
    <row r="3698" spans="1:12" ht="24" customHeight="1">
      <c r="A3698" s="626" t="s">
        <v>12709</v>
      </c>
      <c r="B3698" s="627" t="s">
        <v>13002</v>
      </c>
      <c r="C3698" s="626" t="s">
        <v>8</v>
      </c>
      <c r="D3698" s="626" t="s">
        <v>9306</v>
      </c>
      <c r="E3698" s="628" t="s">
        <v>23</v>
      </c>
      <c r="F3698" s="816" t="s">
        <v>13677</v>
      </c>
      <c r="G3698" s="816"/>
      <c r="H3698" s="816">
        <v>5.2135599999999997E-2</v>
      </c>
      <c r="I3698" s="816"/>
      <c r="J3698" s="817">
        <v>1.8200000000000001E-2</v>
      </c>
      <c r="K3698" s="817"/>
      <c r="L3698" s="817"/>
    </row>
    <row r="3699" spans="1:12" ht="17.100000000000001" customHeight="1">
      <c r="A3699" s="626" t="s">
        <v>12709</v>
      </c>
      <c r="B3699" s="627" t="s">
        <v>13004</v>
      </c>
      <c r="C3699" s="626" t="s">
        <v>8</v>
      </c>
      <c r="D3699" s="626" t="s">
        <v>7388</v>
      </c>
      <c r="E3699" s="628" t="s">
        <v>23</v>
      </c>
      <c r="F3699" s="816" t="s">
        <v>13676</v>
      </c>
      <c r="G3699" s="816"/>
      <c r="H3699" s="816">
        <v>5.2135599999999997E-2</v>
      </c>
      <c r="I3699" s="816"/>
      <c r="J3699" s="817">
        <v>0.1147</v>
      </c>
      <c r="K3699" s="817"/>
      <c r="L3699" s="817"/>
    </row>
    <row r="3700" spans="1:12" ht="17.100000000000001" customHeight="1">
      <c r="A3700" s="636"/>
      <c r="B3700" s="636"/>
      <c r="C3700" s="636"/>
      <c r="D3700" s="636"/>
      <c r="E3700" s="636"/>
      <c r="F3700" s="636"/>
      <c r="G3700" s="636"/>
      <c r="H3700" s="636"/>
      <c r="I3700" s="636"/>
      <c r="J3700" s="636" t="s">
        <v>13675</v>
      </c>
      <c r="K3700" s="636"/>
      <c r="L3700" s="636" t="s">
        <v>13875</v>
      </c>
    </row>
    <row r="3701" spans="1:12" ht="17.100000000000001" customHeight="1">
      <c r="A3701" s="612" t="s">
        <v>13673</v>
      </c>
      <c r="B3701" s="612"/>
      <c r="C3701" s="612"/>
      <c r="D3701" s="612"/>
      <c r="E3701" s="612"/>
      <c r="F3701" s="612"/>
      <c r="G3701" s="612"/>
      <c r="H3701" s="612"/>
      <c r="I3701" s="612"/>
      <c r="J3701" s="612"/>
      <c r="K3701" s="612"/>
      <c r="L3701" s="612"/>
    </row>
    <row r="3702" spans="1:12" ht="17.100000000000001" customHeight="1">
      <c r="A3702" s="636"/>
      <c r="B3702" s="636"/>
      <c r="C3702" s="636"/>
      <c r="D3702" s="636"/>
      <c r="E3702" s="636"/>
      <c r="F3702" s="636"/>
      <c r="G3702" s="636"/>
      <c r="H3702" s="636"/>
      <c r="I3702" s="636"/>
      <c r="J3702" s="636" t="s">
        <v>13672</v>
      </c>
      <c r="K3702" s="636"/>
      <c r="L3702" s="636" t="s">
        <v>15207</v>
      </c>
    </row>
    <row r="3703" spans="1:12" ht="17.100000000000001" customHeight="1">
      <c r="A3703" s="636"/>
      <c r="B3703" s="636"/>
      <c r="C3703" s="636"/>
      <c r="D3703" s="636"/>
      <c r="E3703" s="636"/>
      <c r="F3703" s="636"/>
      <c r="G3703" s="636"/>
      <c r="H3703" s="636"/>
      <c r="I3703" s="636"/>
      <c r="J3703" s="636" t="s">
        <v>13671</v>
      </c>
      <c r="K3703" s="636" t="s">
        <v>14461</v>
      </c>
      <c r="L3703" s="636" t="s">
        <v>15208</v>
      </c>
    </row>
    <row r="3704" spans="1:12" ht="17.100000000000001" customHeight="1">
      <c r="A3704" s="636"/>
      <c r="B3704" s="636"/>
      <c r="C3704" s="636"/>
      <c r="D3704" s="636"/>
      <c r="E3704" s="636"/>
      <c r="F3704" s="636"/>
      <c r="G3704" s="636"/>
      <c r="H3704" s="636"/>
      <c r="I3704" s="636"/>
      <c r="J3704" s="636" t="s">
        <v>13670</v>
      </c>
      <c r="K3704" s="636"/>
      <c r="L3704" s="636" t="s">
        <v>15209</v>
      </c>
    </row>
    <row r="3705" spans="1:12" ht="17.100000000000001" customHeight="1">
      <c r="A3705" s="636"/>
      <c r="B3705" s="636"/>
      <c r="C3705" s="636"/>
      <c r="D3705" s="636"/>
      <c r="E3705" s="636"/>
      <c r="F3705" s="636"/>
      <c r="G3705" s="636"/>
      <c r="H3705" s="636"/>
      <c r="I3705" s="636"/>
      <c r="J3705" s="636" t="s">
        <v>13669</v>
      </c>
      <c r="K3705" s="636" t="s">
        <v>13667</v>
      </c>
      <c r="L3705" s="636" t="s">
        <v>14901</v>
      </c>
    </row>
    <row r="3706" spans="1:12" ht="30" customHeight="1">
      <c r="A3706" s="636"/>
      <c r="B3706" s="636"/>
      <c r="C3706" s="636"/>
      <c r="D3706" s="636"/>
      <c r="E3706" s="636"/>
      <c r="F3706" s="636"/>
      <c r="G3706" s="636"/>
      <c r="H3706" s="636"/>
      <c r="I3706" s="636"/>
      <c r="J3706" s="636" t="s">
        <v>13668</v>
      </c>
      <c r="K3706" s="636"/>
      <c r="L3706" s="636" t="s">
        <v>15210</v>
      </c>
    </row>
    <row r="3707" spans="1:12" ht="36" customHeight="1">
      <c r="A3707" s="637"/>
      <c r="B3707" s="637"/>
      <c r="C3707" s="637"/>
      <c r="D3707" s="637"/>
      <c r="E3707" s="637"/>
      <c r="F3707" s="637"/>
      <c r="G3707" s="637"/>
      <c r="H3707" s="637"/>
      <c r="I3707" s="637"/>
      <c r="J3707" s="637"/>
      <c r="K3707" s="637"/>
      <c r="L3707" s="637"/>
    </row>
    <row r="3708" spans="1:12" ht="14.25" customHeight="1">
      <c r="A3708" s="616" t="s">
        <v>14142</v>
      </c>
      <c r="B3708" s="617" t="s">
        <v>13555</v>
      </c>
      <c r="C3708" s="616" t="s">
        <v>8</v>
      </c>
      <c r="D3708" s="616" t="s">
        <v>34</v>
      </c>
      <c r="E3708" s="618" t="s">
        <v>12725</v>
      </c>
      <c r="F3708" s="617"/>
      <c r="G3708" s="617"/>
      <c r="H3708" s="617"/>
      <c r="I3708" s="617"/>
      <c r="J3708" s="617"/>
      <c r="K3708" s="617"/>
      <c r="L3708" s="617"/>
    </row>
    <row r="3709" spans="1:12" ht="17.100000000000001" customHeight="1">
      <c r="A3709" s="802" t="s">
        <v>12711</v>
      </c>
      <c r="B3709" s="802"/>
      <c r="C3709" s="802"/>
      <c r="D3709" s="802"/>
      <c r="E3709" s="802"/>
      <c r="F3709" s="802"/>
      <c r="G3709" s="802"/>
      <c r="H3709" s="802"/>
      <c r="I3709" s="612"/>
      <c r="J3709" s="612"/>
      <c r="K3709" s="612"/>
      <c r="L3709" s="612"/>
    </row>
    <row r="3710" spans="1:12" ht="36" customHeight="1">
      <c r="A3710" s="612" t="s">
        <v>13679</v>
      </c>
      <c r="B3710" s="636" t="s">
        <v>12698</v>
      </c>
      <c r="C3710" s="612" t="s">
        <v>12699</v>
      </c>
      <c r="D3710" s="612" t="s">
        <v>12700</v>
      </c>
      <c r="E3710" s="637" t="s">
        <v>12702</v>
      </c>
      <c r="F3710" s="801" t="s">
        <v>12704</v>
      </c>
      <c r="G3710" s="801"/>
      <c r="H3710" s="801" t="s">
        <v>13678</v>
      </c>
      <c r="I3710" s="801"/>
      <c r="J3710" s="801" t="s">
        <v>12705</v>
      </c>
      <c r="K3710" s="801"/>
      <c r="L3710" s="801"/>
    </row>
    <row r="3711" spans="1:12" ht="24" customHeight="1">
      <c r="A3711" s="626" t="s">
        <v>12709</v>
      </c>
      <c r="B3711" s="627" t="s">
        <v>13088</v>
      </c>
      <c r="C3711" s="626" t="s">
        <v>8</v>
      </c>
      <c r="D3711" s="626" t="s">
        <v>9231</v>
      </c>
      <c r="E3711" s="628" t="s">
        <v>23</v>
      </c>
      <c r="F3711" s="816" t="s">
        <v>13713</v>
      </c>
      <c r="G3711" s="816"/>
      <c r="H3711" s="816">
        <v>0.18664149999999999</v>
      </c>
      <c r="I3711" s="816"/>
      <c r="J3711" s="817">
        <v>0.27250000000000002</v>
      </c>
      <c r="K3711" s="817"/>
      <c r="L3711" s="817"/>
    </row>
    <row r="3712" spans="1:12" ht="24" customHeight="1">
      <c r="A3712" s="626" t="s">
        <v>12709</v>
      </c>
      <c r="B3712" s="627" t="s">
        <v>13087</v>
      </c>
      <c r="C3712" s="626" t="s">
        <v>8</v>
      </c>
      <c r="D3712" s="626" t="s">
        <v>9378</v>
      </c>
      <c r="E3712" s="628" t="s">
        <v>23</v>
      </c>
      <c r="F3712" s="816" t="s">
        <v>13712</v>
      </c>
      <c r="G3712" s="816"/>
      <c r="H3712" s="816">
        <v>0.18664149999999999</v>
      </c>
      <c r="I3712" s="816"/>
      <c r="J3712" s="817">
        <v>0.21840000000000001</v>
      </c>
      <c r="K3712" s="817"/>
      <c r="L3712" s="817"/>
    </row>
    <row r="3713" spans="1:12" ht="24" customHeight="1">
      <c r="A3713" s="626" t="s">
        <v>12709</v>
      </c>
      <c r="B3713" s="627" t="s">
        <v>13048</v>
      </c>
      <c r="C3713" s="626" t="s">
        <v>8</v>
      </c>
      <c r="D3713" s="626" t="s">
        <v>9233</v>
      </c>
      <c r="E3713" s="628" t="s">
        <v>23</v>
      </c>
      <c r="F3713" s="816" t="s">
        <v>13690</v>
      </c>
      <c r="G3713" s="816"/>
      <c r="H3713" s="816">
        <v>6.8867700000000004E-2</v>
      </c>
      <c r="I3713" s="816"/>
      <c r="J3713" s="817">
        <v>7.0199999999999999E-2</v>
      </c>
      <c r="K3713" s="817"/>
      <c r="L3713" s="817"/>
    </row>
    <row r="3714" spans="1:12" ht="24" customHeight="1">
      <c r="A3714" s="626" t="s">
        <v>12709</v>
      </c>
      <c r="B3714" s="627" t="s">
        <v>13047</v>
      </c>
      <c r="C3714" s="626" t="s">
        <v>8</v>
      </c>
      <c r="D3714" s="626" t="s">
        <v>9380</v>
      </c>
      <c r="E3714" s="628" t="s">
        <v>23</v>
      </c>
      <c r="F3714" s="816" t="s">
        <v>13689</v>
      </c>
      <c r="G3714" s="816"/>
      <c r="H3714" s="816">
        <v>6.8867700000000004E-2</v>
      </c>
      <c r="I3714" s="816"/>
      <c r="J3714" s="817">
        <v>2.6200000000000001E-2</v>
      </c>
      <c r="K3714" s="817"/>
      <c r="L3714" s="817"/>
    </row>
    <row r="3715" spans="1:12" ht="24" customHeight="1">
      <c r="A3715" s="636"/>
      <c r="B3715" s="636"/>
      <c r="C3715" s="636"/>
      <c r="D3715" s="636"/>
      <c r="E3715" s="636"/>
      <c r="F3715" s="636"/>
      <c r="G3715" s="636"/>
      <c r="H3715" s="636"/>
      <c r="I3715" s="636"/>
      <c r="J3715" s="636" t="s">
        <v>13675</v>
      </c>
      <c r="K3715" s="636"/>
      <c r="L3715" s="636" t="s">
        <v>13709</v>
      </c>
    </row>
    <row r="3716" spans="1:12" ht="24" customHeight="1">
      <c r="A3716" s="802" t="s">
        <v>12710</v>
      </c>
      <c r="B3716" s="802"/>
      <c r="C3716" s="802"/>
      <c r="D3716" s="802"/>
      <c r="E3716" s="802"/>
      <c r="F3716" s="802"/>
      <c r="G3716" s="802"/>
      <c r="H3716" s="802"/>
      <c r="I3716" s="612"/>
      <c r="J3716" s="612"/>
      <c r="K3716" s="612"/>
      <c r="L3716" s="612"/>
    </row>
    <row r="3717" spans="1:12" ht="17.100000000000001" customHeight="1">
      <c r="A3717" s="612" t="s">
        <v>13679</v>
      </c>
      <c r="B3717" s="636" t="s">
        <v>12698</v>
      </c>
      <c r="C3717" s="612" t="s">
        <v>12699</v>
      </c>
      <c r="D3717" s="612" t="s">
        <v>12700</v>
      </c>
      <c r="E3717" s="637" t="s">
        <v>12702</v>
      </c>
      <c r="F3717" s="801" t="s">
        <v>12704</v>
      </c>
      <c r="G3717" s="801"/>
      <c r="H3717" s="801" t="s">
        <v>13678</v>
      </c>
      <c r="I3717" s="801"/>
      <c r="J3717" s="801" t="s">
        <v>12705</v>
      </c>
      <c r="K3717" s="801"/>
      <c r="L3717" s="801"/>
    </row>
    <row r="3718" spans="1:12" ht="14.25" customHeight="1">
      <c r="A3718" s="626" t="s">
        <v>12709</v>
      </c>
      <c r="B3718" s="627" t="s">
        <v>13086</v>
      </c>
      <c r="C3718" s="626" t="s">
        <v>8</v>
      </c>
      <c r="D3718" s="626" t="s">
        <v>10798</v>
      </c>
      <c r="E3718" s="628" t="s">
        <v>23</v>
      </c>
      <c r="F3718" s="816" t="s">
        <v>14470</v>
      </c>
      <c r="G3718" s="816"/>
      <c r="H3718" s="816">
        <v>0.1882779</v>
      </c>
      <c r="I3718" s="816"/>
      <c r="J3718" s="817">
        <v>1.3009999999999999</v>
      </c>
      <c r="K3718" s="817"/>
      <c r="L3718" s="817"/>
    </row>
    <row r="3719" spans="1:12" ht="17.100000000000001" customHeight="1">
      <c r="A3719" s="626" t="s">
        <v>12709</v>
      </c>
      <c r="B3719" s="627" t="s">
        <v>13046</v>
      </c>
      <c r="C3719" s="626" t="s">
        <v>8</v>
      </c>
      <c r="D3719" s="626" t="s">
        <v>11281</v>
      </c>
      <c r="E3719" s="628" t="s">
        <v>23</v>
      </c>
      <c r="F3719" s="816" t="s">
        <v>13731</v>
      </c>
      <c r="G3719" s="816"/>
      <c r="H3719" s="816">
        <v>6.9774100000000006E-2</v>
      </c>
      <c r="I3719" s="816"/>
      <c r="J3719" s="817">
        <v>0.35859999999999997</v>
      </c>
      <c r="K3719" s="817"/>
      <c r="L3719" s="817"/>
    </row>
    <row r="3720" spans="1:12" ht="24" customHeight="1">
      <c r="A3720" s="636"/>
      <c r="B3720" s="636"/>
      <c r="C3720" s="636"/>
      <c r="D3720" s="636"/>
      <c r="E3720" s="636"/>
      <c r="F3720" s="636"/>
      <c r="G3720" s="636"/>
      <c r="H3720" s="636"/>
      <c r="I3720" s="636"/>
      <c r="J3720" s="636" t="s">
        <v>13675</v>
      </c>
      <c r="K3720" s="636"/>
      <c r="L3720" s="636" t="s">
        <v>13930</v>
      </c>
    </row>
    <row r="3721" spans="1:12" ht="24" customHeight="1">
      <c r="A3721" s="802" t="s">
        <v>12720</v>
      </c>
      <c r="B3721" s="802"/>
      <c r="C3721" s="802"/>
      <c r="D3721" s="802"/>
      <c r="E3721" s="802"/>
      <c r="F3721" s="802"/>
      <c r="G3721" s="802"/>
      <c r="H3721" s="802"/>
      <c r="I3721" s="612"/>
      <c r="J3721" s="612"/>
      <c r="K3721" s="612"/>
      <c r="L3721" s="612"/>
    </row>
    <row r="3722" spans="1:12" ht="24" customHeight="1">
      <c r="A3722" s="612" t="s">
        <v>13679</v>
      </c>
      <c r="B3722" s="636" t="s">
        <v>12698</v>
      </c>
      <c r="C3722" s="612" t="s">
        <v>12699</v>
      </c>
      <c r="D3722" s="612" t="s">
        <v>12700</v>
      </c>
      <c r="E3722" s="637" t="s">
        <v>12702</v>
      </c>
      <c r="F3722" s="801" t="s">
        <v>12704</v>
      </c>
      <c r="G3722" s="801"/>
      <c r="H3722" s="801" t="s">
        <v>13678</v>
      </c>
      <c r="I3722" s="801"/>
      <c r="J3722" s="801" t="s">
        <v>12705</v>
      </c>
      <c r="K3722" s="801"/>
      <c r="L3722" s="801"/>
    </row>
    <row r="3723" spans="1:12" ht="17.100000000000001" customHeight="1">
      <c r="A3723" s="626" t="s">
        <v>12709</v>
      </c>
      <c r="B3723" s="627" t="s">
        <v>13554</v>
      </c>
      <c r="C3723" s="626" t="s">
        <v>8</v>
      </c>
      <c r="D3723" s="626" t="s">
        <v>11782</v>
      </c>
      <c r="E3723" s="628" t="s">
        <v>58</v>
      </c>
      <c r="F3723" s="816" t="s">
        <v>14093</v>
      </c>
      <c r="G3723" s="816"/>
      <c r="H3723" s="816">
        <v>0.33</v>
      </c>
      <c r="I3723" s="816"/>
      <c r="J3723" s="817">
        <v>6.78</v>
      </c>
      <c r="K3723" s="817"/>
      <c r="L3723" s="817"/>
    </row>
    <row r="3724" spans="1:12">
      <c r="A3724" s="636"/>
      <c r="B3724" s="636"/>
      <c r="C3724" s="636"/>
      <c r="D3724" s="636"/>
      <c r="E3724" s="636"/>
      <c r="F3724" s="636"/>
      <c r="G3724" s="636"/>
      <c r="H3724" s="636"/>
      <c r="I3724" s="636"/>
      <c r="J3724" s="636" t="s">
        <v>13675</v>
      </c>
      <c r="K3724" s="636"/>
      <c r="L3724" s="636" t="s">
        <v>14092</v>
      </c>
    </row>
    <row r="3725" spans="1:12" ht="17.100000000000001" customHeight="1">
      <c r="A3725" s="802" t="s">
        <v>12722</v>
      </c>
      <c r="B3725" s="802"/>
      <c r="C3725" s="802"/>
      <c r="D3725" s="802"/>
      <c r="E3725" s="802"/>
      <c r="F3725" s="802"/>
      <c r="G3725" s="802"/>
      <c r="H3725" s="802"/>
      <c r="I3725" s="612"/>
      <c r="J3725" s="612"/>
      <c r="K3725" s="612"/>
      <c r="L3725" s="612"/>
    </row>
    <row r="3726" spans="1:12" ht="24" customHeight="1">
      <c r="A3726" s="612" t="s">
        <v>13679</v>
      </c>
      <c r="B3726" s="636" t="s">
        <v>12698</v>
      </c>
      <c r="C3726" s="612" t="s">
        <v>12699</v>
      </c>
      <c r="D3726" s="612" t="s">
        <v>12700</v>
      </c>
      <c r="E3726" s="637" t="s">
        <v>12702</v>
      </c>
      <c r="F3726" s="801" t="s">
        <v>12704</v>
      </c>
      <c r="G3726" s="801"/>
      <c r="H3726" s="801" t="s">
        <v>13678</v>
      </c>
      <c r="I3726" s="801"/>
      <c r="J3726" s="801" t="s">
        <v>12705</v>
      </c>
      <c r="K3726" s="801"/>
      <c r="L3726" s="801"/>
    </row>
    <row r="3727" spans="1:12" ht="24" customHeight="1">
      <c r="A3727" s="626" t="s">
        <v>12709</v>
      </c>
      <c r="B3727" s="627" t="s">
        <v>12998</v>
      </c>
      <c r="C3727" s="626" t="s">
        <v>8</v>
      </c>
      <c r="D3727" s="626" t="s">
        <v>11861</v>
      </c>
      <c r="E3727" s="628" t="s">
        <v>23</v>
      </c>
      <c r="F3727" s="816" t="s">
        <v>13683</v>
      </c>
      <c r="G3727" s="816"/>
      <c r="H3727" s="816">
        <v>0.25550919999999999</v>
      </c>
      <c r="I3727" s="816"/>
      <c r="J3727" s="817">
        <v>0.18140000000000001</v>
      </c>
      <c r="K3727" s="817"/>
      <c r="L3727" s="817"/>
    </row>
    <row r="3728" spans="1:12" ht="24" customHeight="1">
      <c r="A3728" s="636"/>
      <c r="B3728" s="636"/>
      <c r="C3728" s="636"/>
      <c r="D3728" s="636"/>
      <c r="E3728" s="636"/>
      <c r="F3728" s="636"/>
      <c r="G3728" s="636"/>
      <c r="H3728" s="636"/>
      <c r="I3728" s="636"/>
      <c r="J3728" s="636" t="s">
        <v>13675</v>
      </c>
      <c r="K3728" s="636"/>
      <c r="L3728" s="636" t="s">
        <v>13682</v>
      </c>
    </row>
    <row r="3729" spans="1:12" ht="24" customHeight="1">
      <c r="A3729" s="802" t="s">
        <v>12713</v>
      </c>
      <c r="B3729" s="802"/>
      <c r="C3729" s="802"/>
      <c r="D3729" s="802"/>
      <c r="E3729" s="802"/>
      <c r="F3729" s="802"/>
      <c r="G3729" s="802"/>
      <c r="H3729" s="802"/>
      <c r="I3729" s="612"/>
      <c r="J3729" s="612"/>
      <c r="K3729" s="612"/>
      <c r="L3729" s="612"/>
    </row>
    <row r="3730" spans="1:12" ht="17.100000000000001" customHeight="1">
      <c r="A3730" s="612" t="s">
        <v>13679</v>
      </c>
      <c r="B3730" s="636" t="s">
        <v>12698</v>
      </c>
      <c r="C3730" s="612" t="s">
        <v>12699</v>
      </c>
      <c r="D3730" s="612" t="s">
        <v>12700</v>
      </c>
      <c r="E3730" s="637" t="s">
        <v>12702</v>
      </c>
      <c r="F3730" s="801" t="s">
        <v>12704</v>
      </c>
      <c r="G3730" s="801"/>
      <c r="H3730" s="801" t="s">
        <v>13678</v>
      </c>
      <c r="I3730" s="801"/>
      <c r="J3730" s="801" t="s">
        <v>12705</v>
      </c>
      <c r="K3730" s="801"/>
      <c r="L3730" s="801"/>
    </row>
    <row r="3731" spans="1:12" ht="25.5">
      <c r="A3731" s="626" t="s">
        <v>12709</v>
      </c>
      <c r="B3731" s="627" t="s">
        <v>12999</v>
      </c>
      <c r="C3731" s="626" t="s">
        <v>8</v>
      </c>
      <c r="D3731" s="626" t="s">
        <v>11251</v>
      </c>
      <c r="E3731" s="628" t="s">
        <v>23</v>
      </c>
      <c r="F3731" s="816" t="s">
        <v>13681</v>
      </c>
      <c r="G3731" s="816"/>
      <c r="H3731" s="816">
        <v>0.25550919999999999</v>
      </c>
      <c r="I3731" s="816"/>
      <c r="J3731" s="817">
        <v>1.7899999999999999E-2</v>
      </c>
      <c r="K3731" s="817"/>
      <c r="L3731" s="817"/>
    </row>
    <row r="3732" spans="1:12" ht="17.100000000000001" customHeight="1">
      <c r="A3732" s="636"/>
      <c r="B3732" s="636"/>
      <c r="C3732" s="636"/>
      <c r="D3732" s="636"/>
      <c r="E3732" s="636"/>
      <c r="F3732" s="636"/>
      <c r="G3732" s="636"/>
      <c r="H3732" s="636"/>
      <c r="I3732" s="636"/>
      <c r="J3732" s="636" t="s">
        <v>13675</v>
      </c>
      <c r="K3732" s="636"/>
      <c r="L3732" s="636" t="s">
        <v>13680</v>
      </c>
    </row>
    <row r="3733" spans="1:12" ht="24" customHeight="1">
      <c r="A3733" s="802" t="s">
        <v>12712</v>
      </c>
      <c r="B3733" s="802"/>
      <c r="C3733" s="802"/>
      <c r="D3733" s="802"/>
      <c r="E3733" s="802"/>
      <c r="F3733" s="802"/>
      <c r="G3733" s="802"/>
      <c r="H3733" s="802"/>
      <c r="I3733" s="612"/>
      <c r="J3733" s="612"/>
      <c r="K3733" s="612"/>
      <c r="L3733" s="612"/>
    </row>
    <row r="3734" spans="1:12" ht="17.100000000000001" customHeight="1">
      <c r="A3734" s="612" t="s">
        <v>13679</v>
      </c>
      <c r="B3734" s="636" t="s">
        <v>12698</v>
      </c>
      <c r="C3734" s="612" t="s">
        <v>12699</v>
      </c>
      <c r="D3734" s="612" t="s">
        <v>12700</v>
      </c>
      <c r="E3734" s="637" t="s">
        <v>12702</v>
      </c>
      <c r="F3734" s="801" t="s">
        <v>12704</v>
      </c>
      <c r="G3734" s="801"/>
      <c r="H3734" s="801" t="s">
        <v>13678</v>
      </c>
      <c r="I3734" s="801"/>
      <c r="J3734" s="801" t="s">
        <v>12705</v>
      </c>
      <c r="K3734" s="801"/>
      <c r="L3734" s="801"/>
    </row>
    <row r="3735" spans="1:12" ht="25.5">
      <c r="A3735" s="626" t="s">
        <v>12709</v>
      </c>
      <c r="B3735" s="627" t="s">
        <v>13002</v>
      </c>
      <c r="C3735" s="626" t="s">
        <v>8</v>
      </c>
      <c r="D3735" s="626" t="s">
        <v>9306</v>
      </c>
      <c r="E3735" s="628" t="s">
        <v>23</v>
      </c>
      <c r="F3735" s="816" t="s">
        <v>13677</v>
      </c>
      <c r="G3735" s="816"/>
      <c r="H3735" s="816">
        <v>0.25550919999999999</v>
      </c>
      <c r="I3735" s="816"/>
      <c r="J3735" s="817">
        <v>8.9399999999999993E-2</v>
      </c>
      <c r="K3735" s="817"/>
      <c r="L3735" s="817"/>
    </row>
    <row r="3736" spans="1:12" ht="17.100000000000001" customHeight="1">
      <c r="A3736" s="626" t="s">
        <v>12709</v>
      </c>
      <c r="B3736" s="627" t="s">
        <v>13004</v>
      </c>
      <c r="C3736" s="626" t="s">
        <v>8</v>
      </c>
      <c r="D3736" s="626" t="s">
        <v>7388</v>
      </c>
      <c r="E3736" s="628" t="s">
        <v>23</v>
      </c>
      <c r="F3736" s="816" t="s">
        <v>13676</v>
      </c>
      <c r="G3736" s="816"/>
      <c r="H3736" s="816">
        <v>0.25550919999999999</v>
      </c>
      <c r="I3736" s="816"/>
      <c r="J3736" s="817">
        <v>0.56210000000000004</v>
      </c>
      <c r="K3736" s="817"/>
      <c r="L3736" s="817"/>
    </row>
    <row r="3737" spans="1:12" ht="24" customHeight="1">
      <c r="A3737" s="636"/>
      <c r="B3737" s="636"/>
      <c r="C3737" s="636"/>
      <c r="D3737" s="636"/>
      <c r="E3737" s="636"/>
      <c r="F3737" s="636"/>
      <c r="G3737" s="636"/>
      <c r="H3737" s="636"/>
      <c r="I3737" s="636"/>
      <c r="J3737" s="636" t="s">
        <v>13675</v>
      </c>
      <c r="K3737" s="636"/>
      <c r="L3737" s="636" t="s">
        <v>13738</v>
      </c>
    </row>
    <row r="3738" spans="1:12" ht="17.100000000000001" customHeight="1">
      <c r="A3738" s="612" t="s">
        <v>13673</v>
      </c>
      <c r="B3738" s="612"/>
      <c r="C3738" s="612"/>
      <c r="D3738" s="612"/>
      <c r="E3738" s="612"/>
      <c r="F3738" s="612"/>
      <c r="G3738" s="612"/>
      <c r="H3738" s="612"/>
      <c r="I3738" s="612"/>
      <c r="J3738" s="612"/>
      <c r="K3738" s="612"/>
      <c r="L3738" s="612"/>
    </row>
    <row r="3739" spans="1:12">
      <c r="A3739" s="636"/>
      <c r="B3739" s="636"/>
      <c r="C3739" s="636"/>
      <c r="D3739" s="636"/>
      <c r="E3739" s="636"/>
      <c r="F3739" s="636"/>
      <c r="G3739" s="636"/>
      <c r="H3739" s="636"/>
      <c r="I3739" s="636"/>
      <c r="J3739" s="636" t="s">
        <v>13672</v>
      </c>
      <c r="K3739" s="636"/>
      <c r="L3739" s="636" t="s">
        <v>15211</v>
      </c>
    </row>
    <row r="3740" spans="1:12" ht="17.100000000000001" customHeight="1">
      <c r="A3740" s="636"/>
      <c r="B3740" s="636"/>
      <c r="C3740" s="636"/>
      <c r="D3740" s="636"/>
      <c r="E3740" s="636"/>
      <c r="F3740" s="636"/>
      <c r="G3740" s="636"/>
      <c r="H3740" s="636"/>
      <c r="I3740" s="636"/>
      <c r="J3740" s="636" t="s">
        <v>13671</v>
      </c>
      <c r="K3740" s="636" t="s">
        <v>14461</v>
      </c>
      <c r="L3740" s="636" t="s">
        <v>15212</v>
      </c>
    </row>
    <row r="3741" spans="1:12" ht="24" customHeight="1">
      <c r="A3741" s="636"/>
      <c r="B3741" s="636"/>
      <c r="C3741" s="636"/>
      <c r="D3741" s="636"/>
      <c r="E3741" s="636"/>
      <c r="F3741" s="636"/>
      <c r="G3741" s="636"/>
      <c r="H3741" s="636"/>
      <c r="I3741" s="636"/>
      <c r="J3741" s="636" t="s">
        <v>13670</v>
      </c>
      <c r="K3741" s="636"/>
      <c r="L3741" s="636" t="s">
        <v>15213</v>
      </c>
    </row>
    <row r="3742" spans="1:12" ht="24" customHeight="1">
      <c r="A3742" s="636"/>
      <c r="B3742" s="636"/>
      <c r="C3742" s="636"/>
      <c r="D3742" s="636"/>
      <c r="E3742" s="636"/>
      <c r="F3742" s="636"/>
      <c r="G3742" s="636"/>
      <c r="H3742" s="636"/>
      <c r="I3742" s="636"/>
      <c r="J3742" s="636" t="s">
        <v>13669</v>
      </c>
      <c r="K3742" s="636" t="s">
        <v>13667</v>
      </c>
      <c r="L3742" s="636" t="s">
        <v>15214</v>
      </c>
    </row>
    <row r="3743" spans="1:12" ht="17.100000000000001" customHeight="1">
      <c r="A3743" s="636"/>
      <c r="B3743" s="636"/>
      <c r="C3743" s="636"/>
      <c r="D3743" s="636"/>
      <c r="E3743" s="636"/>
      <c r="F3743" s="636"/>
      <c r="G3743" s="636"/>
      <c r="H3743" s="636"/>
      <c r="I3743" s="636"/>
      <c r="J3743" s="636" t="s">
        <v>13668</v>
      </c>
      <c r="K3743" s="636"/>
      <c r="L3743" s="636" t="s">
        <v>15215</v>
      </c>
    </row>
    <row r="3744" spans="1:12" ht="17.100000000000001" customHeight="1">
      <c r="A3744" s="637"/>
      <c r="B3744" s="637"/>
      <c r="C3744" s="637"/>
      <c r="D3744" s="637"/>
      <c r="E3744" s="637"/>
      <c r="F3744" s="637"/>
      <c r="G3744" s="637"/>
      <c r="H3744" s="637"/>
      <c r="I3744" s="637"/>
      <c r="J3744" s="637"/>
      <c r="K3744" s="637"/>
      <c r="L3744" s="637"/>
    </row>
    <row r="3745" spans="1:12" ht="17.100000000000001" customHeight="1">
      <c r="A3745" s="616" t="s">
        <v>14141</v>
      </c>
      <c r="B3745" s="617" t="s">
        <v>13636</v>
      </c>
      <c r="C3745" s="616" t="s">
        <v>8</v>
      </c>
      <c r="D3745" s="616" t="s">
        <v>3989</v>
      </c>
      <c r="E3745" s="618" t="s">
        <v>12730</v>
      </c>
      <c r="F3745" s="617"/>
      <c r="G3745" s="617"/>
      <c r="H3745" s="617"/>
      <c r="I3745" s="617"/>
      <c r="J3745" s="617"/>
      <c r="K3745" s="617"/>
      <c r="L3745" s="617"/>
    </row>
    <row r="3746" spans="1:12" ht="17.100000000000001" customHeight="1">
      <c r="A3746" s="802" t="s">
        <v>12711</v>
      </c>
      <c r="B3746" s="802"/>
      <c r="C3746" s="802"/>
      <c r="D3746" s="802"/>
      <c r="E3746" s="802"/>
      <c r="F3746" s="802"/>
      <c r="G3746" s="802"/>
      <c r="H3746" s="802"/>
      <c r="I3746" s="612"/>
      <c r="J3746" s="612"/>
      <c r="K3746" s="612"/>
      <c r="L3746" s="612"/>
    </row>
    <row r="3747" spans="1:12" ht="17.100000000000001" customHeight="1">
      <c r="A3747" s="612" t="s">
        <v>13679</v>
      </c>
      <c r="B3747" s="636" t="s">
        <v>12698</v>
      </c>
      <c r="C3747" s="612" t="s">
        <v>12699</v>
      </c>
      <c r="D3747" s="612" t="s">
        <v>12700</v>
      </c>
      <c r="E3747" s="637" t="s">
        <v>12702</v>
      </c>
      <c r="F3747" s="801" t="s">
        <v>12704</v>
      </c>
      <c r="G3747" s="801"/>
      <c r="H3747" s="801" t="s">
        <v>13678</v>
      </c>
      <c r="I3747" s="801"/>
      <c r="J3747" s="801" t="s">
        <v>12705</v>
      </c>
      <c r="K3747" s="801"/>
      <c r="L3747" s="801"/>
    </row>
    <row r="3748" spans="1:12" ht="17.100000000000001" customHeight="1">
      <c r="A3748" s="626" t="s">
        <v>12709</v>
      </c>
      <c r="B3748" s="627" t="s">
        <v>13052</v>
      </c>
      <c r="C3748" s="626" t="s">
        <v>8</v>
      </c>
      <c r="D3748" s="626" t="s">
        <v>9229</v>
      </c>
      <c r="E3748" s="628" t="s">
        <v>23</v>
      </c>
      <c r="F3748" s="816" t="s">
        <v>13692</v>
      </c>
      <c r="G3748" s="816"/>
      <c r="H3748" s="816">
        <v>1.1882641</v>
      </c>
      <c r="I3748" s="816"/>
      <c r="J3748" s="817">
        <v>1.1407</v>
      </c>
      <c r="K3748" s="817"/>
      <c r="L3748" s="817"/>
    </row>
    <row r="3749" spans="1:12" ht="17.100000000000001" customHeight="1">
      <c r="A3749" s="626" t="s">
        <v>12709</v>
      </c>
      <c r="B3749" s="627" t="s">
        <v>13051</v>
      </c>
      <c r="C3749" s="626" t="s">
        <v>8</v>
      </c>
      <c r="D3749" s="626" t="s">
        <v>9376</v>
      </c>
      <c r="E3749" s="628" t="s">
        <v>23</v>
      </c>
      <c r="F3749" s="816" t="s">
        <v>13691</v>
      </c>
      <c r="G3749" s="816"/>
      <c r="H3749" s="816">
        <v>1.1882641</v>
      </c>
      <c r="I3749" s="816"/>
      <c r="J3749" s="817">
        <v>0.59409999999999996</v>
      </c>
      <c r="K3749" s="817"/>
      <c r="L3749" s="817"/>
    </row>
    <row r="3750" spans="1:12" ht="30" customHeight="1">
      <c r="A3750" s="626" t="s">
        <v>12709</v>
      </c>
      <c r="B3750" s="627" t="s">
        <v>13048</v>
      </c>
      <c r="C3750" s="626" t="s">
        <v>8</v>
      </c>
      <c r="D3750" s="626" t="s">
        <v>9233</v>
      </c>
      <c r="E3750" s="628" t="s">
        <v>23</v>
      </c>
      <c r="F3750" s="816" t="s">
        <v>13690</v>
      </c>
      <c r="G3750" s="816"/>
      <c r="H3750" s="816">
        <v>3.0511105000000001</v>
      </c>
      <c r="I3750" s="816"/>
      <c r="J3750" s="817">
        <v>3.1120999999999999</v>
      </c>
      <c r="K3750" s="817"/>
      <c r="L3750" s="817"/>
    </row>
    <row r="3751" spans="1:12" ht="36" customHeight="1">
      <c r="A3751" s="626" t="s">
        <v>12709</v>
      </c>
      <c r="B3751" s="627" t="s">
        <v>13047</v>
      </c>
      <c r="C3751" s="626" t="s">
        <v>8</v>
      </c>
      <c r="D3751" s="626" t="s">
        <v>9380</v>
      </c>
      <c r="E3751" s="628" t="s">
        <v>23</v>
      </c>
      <c r="F3751" s="816" t="s">
        <v>13689</v>
      </c>
      <c r="G3751" s="816"/>
      <c r="H3751" s="816">
        <v>3.0511105000000001</v>
      </c>
      <c r="I3751" s="816"/>
      <c r="J3751" s="817">
        <v>1.1594</v>
      </c>
      <c r="K3751" s="817"/>
      <c r="L3751" s="817"/>
    </row>
    <row r="3752" spans="1:12" ht="14.25" customHeight="1">
      <c r="A3752" s="636"/>
      <c r="B3752" s="636"/>
      <c r="C3752" s="636"/>
      <c r="D3752" s="636"/>
      <c r="E3752" s="636"/>
      <c r="F3752" s="636"/>
      <c r="G3752" s="636"/>
      <c r="H3752" s="636"/>
      <c r="I3752" s="636"/>
      <c r="J3752" s="636" t="s">
        <v>13675</v>
      </c>
      <c r="K3752" s="636"/>
      <c r="L3752" s="636" t="s">
        <v>14140</v>
      </c>
    </row>
    <row r="3753" spans="1:12" ht="17.100000000000001" customHeight="1">
      <c r="A3753" s="802" t="s">
        <v>12710</v>
      </c>
      <c r="B3753" s="802"/>
      <c r="C3753" s="802"/>
      <c r="D3753" s="802"/>
      <c r="E3753" s="802"/>
      <c r="F3753" s="802"/>
      <c r="G3753" s="802"/>
      <c r="H3753" s="802"/>
      <c r="I3753" s="612"/>
      <c r="J3753" s="612"/>
      <c r="K3753" s="612"/>
      <c r="L3753" s="612"/>
    </row>
    <row r="3754" spans="1:12" ht="36" customHeight="1">
      <c r="A3754" s="612" t="s">
        <v>13679</v>
      </c>
      <c r="B3754" s="636" t="s">
        <v>12698</v>
      </c>
      <c r="C3754" s="612" t="s">
        <v>12699</v>
      </c>
      <c r="D3754" s="612" t="s">
        <v>12700</v>
      </c>
      <c r="E3754" s="637" t="s">
        <v>12702</v>
      </c>
      <c r="F3754" s="801" t="s">
        <v>12704</v>
      </c>
      <c r="G3754" s="801"/>
      <c r="H3754" s="801" t="s">
        <v>13678</v>
      </c>
      <c r="I3754" s="801"/>
      <c r="J3754" s="801" t="s">
        <v>12705</v>
      </c>
      <c r="K3754" s="801"/>
      <c r="L3754" s="801"/>
    </row>
    <row r="3755" spans="1:12" ht="24" customHeight="1">
      <c r="A3755" s="626" t="s">
        <v>12709</v>
      </c>
      <c r="B3755" s="627" t="s">
        <v>13099</v>
      </c>
      <c r="C3755" s="626" t="s">
        <v>8</v>
      </c>
      <c r="D3755" s="626" t="s">
        <v>10726</v>
      </c>
      <c r="E3755" s="628" t="s">
        <v>23</v>
      </c>
      <c r="F3755" s="816" t="s">
        <v>14470</v>
      </c>
      <c r="G3755" s="816"/>
      <c r="H3755" s="816">
        <v>1.2057821</v>
      </c>
      <c r="I3755" s="816"/>
      <c r="J3755" s="817">
        <v>8.3320000000000007</v>
      </c>
      <c r="K3755" s="817"/>
      <c r="L3755" s="817"/>
    </row>
    <row r="3756" spans="1:12" ht="24" customHeight="1">
      <c r="A3756" s="626" t="s">
        <v>12709</v>
      </c>
      <c r="B3756" s="627" t="s">
        <v>13046</v>
      </c>
      <c r="C3756" s="626" t="s">
        <v>8</v>
      </c>
      <c r="D3756" s="626" t="s">
        <v>11281</v>
      </c>
      <c r="E3756" s="628" t="s">
        <v>23</v>
      </c>
      <c r="F3756" s="816" t="s">
        <v>13731</v>
      </c>
      <c r="G3756" s="816"/>
      <c r="H3756" s="816">
        <v>3.0960915</v>
      </c>
      <c r="I3756" s="816"/>
      <c r="J3756" s="817">
        <v>15.9139</v>
      </c>
      <c r="K3756" s="817"/>
      <c r="L3756" s="817"/>
    </row>
    <row r="3757" spans="1:12" ht="24" customHeight="1">
      <c r="A3757" s="636"/>
      <c r="B3757" s="636"/>
      <c r="C3757" s="636"/>
      <c r="D3757" s="636"/>
      <c r="E3757" s="636"/>
      <c r="F3757" s="636"/>
      <c r="G3757" s="636"/>
      <c r="H3757" s="636"/>
      <c r="I3757" s="636"/>
      <c r="J3757" s="636" t="s">
        <v>13675</v>
      </c>
      <c r="K3757" s="636"/>
      <c r="L3757" s="636" t="s">
        <v>14726</v>
      </c>
    </row>
    <row r="3758" spans="1:12" ht="24" customHeight="1">
      <c r="A3758" s="802" t="s">
        <v>12722</v>
      </c>
      <c r="B3758" s="802"/>
      <c r="C3758" s="802"/>
      <c r="D3758" s="802"/>
      <c r="E3758" s="802"/>
      <c r="F3758" s="802"/>
      <c r="G3758" s="802"/>
      <c r="H3758" s="802"/>
      <c r="I3758" s="612"/>
      <c r="J3758" s="612"/>
      <c r="K3758" s="612"/>
      <c r="L3758" s="612"/>
    </row>
    <row r="3759" spans="1:12" ht="17.100000000000001" customHeight="1">
      <c r="A3759" s="612" t="s">
        <v>13679</v>
      </c>
      <c r="B3759" s="636" t="s">
        <v>12698</v>
      </c>
      <c r="C3759" s="612" t="s">
        <v>12699</v>
      </c>
      <c r="D3759" s="612" t="s">
        <v>12700</v>
      </c>
      <c r="E3759" s="637" t="s">
        <v>12702</v>
      </c>
      <c r="F3759" s="801" t="s">
        <v>12704</v>
      </c>
      <c r="G3759" s="801"/>
      <c r="H3759" s="801" t="s">
        <v>13678</v>
      </c>
      <c r="I3759" s="801"/>
      <c r="J3759" s="801" t="s">
        <v>12705</v>
      </c>
      <c r="K3759" s="801"/>
      <c r="L3759" s="801"/>
    </row>
    <row r="3760" spans="1:12" ht="14.25" customHeight="1">
      <c r="A3760" s="626" t="s">
        <v>12709</v>
      </c>
      <c r="B3760" s="627" t="s">
        <v>12998</v>
      </c>
      <c r="C3760" s="626" t="s">
        <v>8</v>
      </c>
      <c r="D3760" s="626" t="s">
        <v>11861</v>
      </c>
      <c r="E3760" s="628" t="s">
        <v>23</v>
      </c>
      <c r="F3760" s="816" t="s">
        <v>13683</v>
      </c>
      <c r="G3760" s="816"/>
      <c r="H3760" s="816">
        <v>4.2393745999999997</v>
      </c>
      <c r="I3760" s="816"/>
      <c r="J3760" s="817">
        <v>3.01</v>
      </c>
      <c r="K3760" s="817"/>
      <c r="L3760" s="817"/>
    </row>
    <row r="3761" spans="1:12" ht="17.100000000000001" customHeight="1">
      <c r="A3761" s="636"/>
      <c r="B3761" s="636"/>
      <c r="C3761" s="636"/>
      <c r="D3761" s="636"/>
      <c r="E3761" s="636"/>
      <c r="F3761" s="636"/>
      <c r="G3761" s="636"/>
      <c r="H3761" s="636"/>
      <c r="I3761" s="636"/>
      <c r="J3761" s="636" t="s">
        <v>13675</v>
      </c>
      <c r="K3761" s="636"/>
      <c r="L3761" s="636" t="s">
        <v>13759</v>
      </c>
    </row>
    <row r="3762" spans="1:12" ht="24" customHeight="1">
      <c r="A3762" s="802" t="s">
        <v>12713</v>
      </c>
      <c r="B3762" s="802"/>
      <c r="C3762" s="802"/>
      <c r="D3762" s="802"/>
      <c r="E3762" s="802"/>
      <c r="F3762" s="802"/>
      <c r="G3762" s="802"/>
      <c r="H3762" s="802"/>
      <c r="I3762" s="612"/>
      <c r="J3762" s="612"/>
      <c r="K3762" s="612"/>
      <c r="L3762" s="612"/>
    </row>
    <row r="3763" spans="1:12" ht="24" customHeight="1">
      <c r="A3763" s="612" t="s">
        <v>13679</v>
      </c>
      <c r="B3763" s="636" t="s">
        <v>12698</v>
      </c>
      <c r="C3763" s="612" t="s">
        <v>12699</v>
      </c>
      <c r="D3763" s="612" t="s">
        <v>12700</v>
      </c>
      <c r="E3763" s="637" t="s">
        <v>12702</v>
      </c>
      <c r="F3763" s="801" t="s">
        <v>12704</v>
      </c>
      <c r="G3763" s="801"/>
      <c r="H3763" s="801" t="s">
        <v>13678</v>
      </c>
      <c r="I3763" s="801"/>
      <c r="J3763" s="801" t="s">
        <v>12705</v>
      </c>
      <c r="K3763" s="801"/>
      <c r="L3763" s="801"/>
    </row>
    <row r="3764" spans="1:12" ht="17.100000000000001" customHeight="1">
      <c r="A3764" s="626" t="s">
        <v>12709</v>
      </c>
      <c r="B3764" s="627" t="s">
        <v>12999</v>
      </c>
      <c r="C3764" s="626" t="s">
        <v>8</v>
      </c>
      <c r="D3764" s="626" t="s">
        <v>11251</v>
      </c>
      <c r="E3764" s="628" t="s">
        <v>23</v>
      </c>
      <c r="F3764" s="816" t="s">
        <v>13681</v>
      </c>
      <c r="G3764" s="816"/>
      <c r="H3764" s="816">
        <v>4.2393745999999997</v>
      </c>
      <c r="I3764" s="816"/>
      <c r="J3764" s="817">
        <v>0.29680000000000001</v>
      </c>
      <c r="K3764" s="817"/>
      <c r="L3764" s="817"/>
    </row>
    <row r="3765" spans="1:12">
      <c r="A3765" s="636"/>
      <c r="B3765" s="636"/>
      <c r="C3765" s="636"/>
      <c r="D3765" s="636"/>
      <c r="E3765" s="636"/>
      <c r="F3765" s="636"/>
      <c r="G3765" s="636"/>
      <c r="H3765" s="636"/>
      <c r="I3765" s="636"/>
      <c r="J3765" s="636" t="s">
        <v>13675</v>
      </c>
      <c r="K3765" s="636"/>
      <c r="L3765" s="636" t="s">
        <v>13758</v>
      </c>
    </row>
    <row r="3766" spans="1:12" ht="17.100000000000001" customHeight="1">
      <c r="A3766" s="802" t="s">
        <v>12712</v>
      </c>
      <c r="B3766" s="802"/>
      <c r="C3766" s="802"/>
      <c r="D3766" s="802"/>
      <c r="E3766" s="802"/>
      <c r="F3766" s="802"/>
      <c r="G3766" s="802"/>
      <c r="H3766" s="802"/>
      <c r="I3766" s="612"/>
      <c r="J3766" s="612"/>
      <c r="K3766" s="612"/>
      <c r="L3766" s="612"/>
    </row>
    <row r="3767" spans="1:12" ht="24" customHeight="1">
      <c r="A3767" s="612" t="s">
        <v>13679</v>
      </c>
      <c r="B3767" s="636" t="s">
        <v>12698</v>
      </c>
      <c r="C3767" s="612" t="s">
        <v>12699</v>
      </c>
      <c r="D3767" s="612" t="s">
        <v>12700</v>
      </c>
      <c r="E3767" s="637" t="s">
        <v>12702</v>
      </c>
      <c r="F3767" s="801" t="s">
        <v>12704</v>
      </c>
      <c r="G3767" s="801"/>
      <c r="H3767" s="801" t="s">
        <v>13678</v>
      </c>
      <c r="I3767" s="801"/>
      <c r="J3767" s="801" t="s">
        <v>12705</v>
      </c>
      <c r="K3767" s="801"/>
      <c r="L3767" s="801"/>
    </row>
    <row r="3768" spans="1:12" ht="24" customHeight="1">
      <c r="A3768" s="626" t="s">
        <v>12709</v>
      </c>
      <c r="B3768" s="627" t="s">
        <v>13002</v>
      </c>
      <c r="C3768" s="626" t="s">
        <v>8</v>
      </c>
      <c r="D3768" s="626" t="s">
        <v>9306</v>
      </c>
      <c r="E3768" s="628" t="s">
        <v>23</v>
      </c>
      <c r="F3768" s="816" t="s">
        <v>13677</v>
      </c>
      <c r="G3768" s="816"/>
      <c r="H3768" s="816">
        <v>4.2393745999999997</v>
      </c>
      <c r="I3768" s="816"/>
      <c r="J3768" s="817">
        <v>1.4838</v>
      </c>
      <c r="K3768" s="817"/>
      <c r="L3768" s="817"/>
    </row>
    <row r="3769" spans="1:12" ht="24" customHeight="1">
      <c r="A3769" s="626" t="s">
        <v>12709</v>
      </c>
      <c r="B3769" s="627" t="s">
        <v>13004</v>
      </c>
      <c r="C3769" s="626" t="s">
        <v>8</v>
      </c>
      <c r="D3769" s="626" t="s">
        <v>7388</v>
      </c>
      <c r="E3769" s="628" t="s">
        <v>23</v>
      </c>
      <c r="F3769" s="816" t="s">
        <v>13676</v>
      </c>
      <c r="G3769" s="816"/>
      <c r="H3769" s="816">
        <v>4.2393745999999997</v>
      </c>
      <c r="I3769" s="816"/>
      <c r="J3769" s="817">
        <v>9.3265999999999991</v>
      </c>
      <c r="K3769" s="817"/>
      <c r="L3769" s="817"/>
    </row>
    <row r="3770" spans="1:12" ht="24" customHeight="1">
      <c r="A3770" s="636"/>
      <c r="B3770" s="636"/>
      <c r="C3770" s="636"/>
      <c r="D3770" s="636"/>
      <c r="E3770" s="636"/>
      <c r="F3770" s="636"/>
      <c r="G3770" s="636"/>
      <c r="H3770" s="636"/>
      <c r="I3770" s="636"/>
      <c r="J3770" s="636" t="s">
        <v>13675</v>
      </c>
      <c r="K3770" s="636"/>
      <c r="L3770" s="636" t="s">
        <v>13757</v>
      </c>
    </row>
    <row r="3771" spans="1:12" ht="17.100000000000001" customHeight="1">
      <c r="A3771" s="612" t="s">
        <v>13673</v>
      </c>
      <c r="B3771" s="612"/>
      <c r="C3771" s="612"/>
      <c r="D3771" s="612"/>
      <c r="E3771" s="612"/>
      <c r="F3771" s="612"/>
      <c r="G3771" s="612"/>
      <c r="H3771" s="612"/>
      <c r="I3771" s="612"/>
      <c r="J3771" s="612"/>
      <c r="K3771" s="612"/>
      <c r="L3771" s="612"/>
    </row>
    <row r="3772" spans="1:12">
      <c r="A3772" s="636"/>
      <c r="B3772" s="636"/>
      <c r="C3772" s="636"/>
      <c r="D3772" s="636"/>
      <c r="E3772" s="636"/>
      <c r="F3772" s="636"/>
      <c r="G3772" s="636"/>
      <c r="H3772" s="636"/>
      <c r="I3772" s="636"/>
      <c r="J3772" s="636" t="s">
        <v>13672</v>
      </c>
      <c r="K3772" s="636"/>
      <c r="L3772" s="636" t="s">
        <v>14978</v>
      </c>
    </row>
    <row r="3773" spans="1:12" ht="17.100000000000001" customHeight="1">
      <c r="A3773" s="636"/>
      <c r="B3773" s="636"/>
      <c r="C3773" s="636"/>
      <c r="D3773" s="636"/>
      <c r="E3773" s="636"/>
      <c r="F3773" s="636"/>
      <c r="G3773" s="636"/>
      <c r="H3773" s="636"/>
      <c r="I3773" s="636"/>
      <c r="J3773" s="636" t="s">
        <v>13671</v>
      </c>
      <c r="K3773" s="636" t="s">
        <v>14461</v>
      </c>
      <c r="L3773" s="636" t="s">
        <v>14979</v>
      </c>
    </row>
    <row r="3774" spans="1:12" ht="24" customHeight="1">
      <c r="A3774" s="636"/>
      <c r="B3774" s="636"/>
      <c r="C3774" s="636"/>
      <c r="D3774" s="636"/>
      <c r="E3774" s="636"/>
      <c r="F3774" s="636"/>
      <c r="G3774" s="636"/>
      <c r="H3774" s="636"/>
      <c r="I3774" s="636"/>
      <c r="J3774" s="636" t="s">
        <v>13670</v>
      </c>
      <c r="K3774" s="636"/>
      <c r="L3774" s="636" t="s">
        <v>14980</v>
      </c>
    </row>
    <row r="3775" spans="1:12" ht="17.100000000000001" customHeight="1">
      <c r="A3775" s="636"/>
      <c r="B3775" s="636"/>
      <c r="C3775" s="636"/>
      <c r="D3775" s="636"/>
      <c r="E3775" s="636"/>
      <c r="F3775" s="636"/>
      <c r="G3775" s="636"/>
      <c r="H3775" s="636"/>
      <c r="I3775" s="636"/>
      <c r="J3775" s="636" t="s">
        <v>13669</v>
      </c>
      <c r="K3775" s="636" t="s">
        <v>13667</v>
      </c>
      <c r="L3775" s="636" t="s">
        <v>14873</v>
      </c>
    </row>
    <row r="3776" spans="1:12">
      <c r="A3776" s="636"/>
      <c r="B3776" s="636"/>
      <c r="C3776" s="636"/>
      <c r="D3776" s="636"/>
      <c r="E3776" s="636"/>
      <c r="F3776" s="636"/>
      <c r="G3776" s="636"/>
      <c r="H3776" s="636"/>
      <c r="I3776" s="636"/>
      <c r="J3776" s="636" t="s">
        <v>13668</v>
      </c>
      <c r="K3776" s="636"/>
      <c r="L3776" s="636" t="s">
        <v>14981</v>
      </c>
    </row>
    <row r="3777" spans="1:12" ht="17.100000000000001" customHeight="1">
      <c r="A3777" s="637"/>
      <c r="B3777" s="637"/>
      <c r="C3777" s="637"/>
      <c r="D3777" s="637"/>
      <c r="E3777" s="637"/>
      <c r="F3777" s="637"/>
      <c r="G3777" s="637"/>
      <c r="H3777" s="637"/>
      <c r="I3777" s="637"/>
      <c r="J3777" s="637"/>
      <c r="K3777" s="637"/>
      <c r="L3777" s="637"/>
    </row>
    <row r="3778" spans="1:12" ht="24" customHeight="1">
      <c r="A3778" s="616" t="s">
        <v>14139</v>
      </c>
      <c r="B3778" s="617" t="s">
        <v>13635</v>
      </c>
      <c r="C3778" s="616" t="s">
        <v>8</v>
      </c>
      <c r="D3778" s="616" t="s">
        <v>4022</v>
      </c>
      <c r="E3778" s="618" t="s">
        <v>12725</v>
      </c>
      <c r="F3778" s="617"/>
      <c r="G3778" s="617"/>
      <c r="H3778" s="617"/>
      <c r="I3778" s="617"/>
      <c r="J3778" s="617"/>
      <c r="K3778" s="617"/>
      <c r="L3778" s="617"/>
    </row>
    <row r="3779" spans="1:12" ht="17.100000000000001" customHeight="1">
      <c r="A3779" s="802" t="s">
        <v>12711</v>
      </c>
      <c r="B3779" s="802"/>
      <c r="C3779" s="802"/>
      <c r="D3779" s="802"/>
      <c r="E3779" s="802"/>
      <c r="F3779" s="802"/>
      <c r="G3779" s="802"/>
      <c r="H3779" s="802"/>
      <c r="I3779" s="612"/>
      <c r="J3779" s="612"/>
      <c r="K3779" s="612"/>
      <c r="L3779" s="612"/>
    </row>
    <row r="3780" spans="1:12">
      <c r="A3780" s="612" t="s">
        <v>13679</v>
      </c>
      <c r="B3780" s="636" t="s">
        <v>12698</v>
      </c>
      <c r="C3780" s="612" t="s">
        <v>12699</v>
      </c>
      <c r="D3780" s="612" t="s">
        <v>12700</v>
      </c>
      <c r="E3780" s="637" t="s">
        <v>12702</v>
      </c>
      <c r="F3780" s="801" t="s">
        <v>12704</v>
      </c>
      <c r="G3780" s="801"/>
      <c r="H3780" s="801" t="s">
        <v>13678</v>
      </c>
      <c r="I3780" s="801"/>
      <c r="J3780" s="801" t="s">
        <v>12705</v>
      </c>
      <c r="K3780" s="801"/>
      <c r="L3780" s="801"/>
    </row>
    <row r="3781" spans="1:12" ht="17.100000000000001" customHeight="1">
      <c r="A3781" s="626" t="s">
        <v>12709</v>
      </c>
      <c r="B3781" s="627" t="s">
        <v>13297</v>
      </c>
      <c r="C3781" s="626" t="s">
        <v>8</v>
      </c>
      <c r="D3781" s="626" t="s">
        <v>7681</v>
      </c>
      <c r="E3781" s="628" t="s">
        <v>35</v>
      </c>
      <c r="F3781" s="816" t="s">
        <v>14527</v>
      </c>
      <c r="G3781" s="816"/>
      <c r="H3781" s="816">
        <v>4.6999999999999999E-6</v>
      </c>
      <c r="I3781" s="816"/>
      <c r="J3781" s="817">
        <v>6.9199999999999998E-2</v>
      </c>
      <c r="K3781" s="817"/>
      <c r="L3781" s="817"/>
    </row>
    <row r="3782" spans="1:12" ht="24" customHeight="1">
      <c r="A3782" s="626" t="s">
        <v>12709</v>
      </c>
      <c r="B3782" s="627" t="s">
        <v>13048</v>
      </c>
      <c r="C3782" s="626" t="s">
        <v>8</v>
      </c>
      <c r="D3782" s="626" t="s">
        <v>9233</v>
      </c>
      <c r="E3782" s="628" t="s">
        <v>23</v>
      </c>
      <c r="F3782" s="816" t="s">
        <v>13690</v>
      </c>
      <c r="G3782" s="816"/>
      <c r="H3782" s="816">
        <v>0.1220914</v>
      </c>
      <c r="I3782" s="816"/>
      <c r="J3782" s="817">
        <v>0.1245</v>
      </c>
      <c r="K3782" s="817"/>
      <c r="L3782" s="817"/>
    </row>
    <row r="3783" spans="1:12" ht="24" customHeight="1">
      <c r="A3783" s="626" t="s">
        <v>12709</v>
      </c>
      <c r="B3783" s="627" t="s">
        <v>13047</v>
      </c>
      <c r="C3783" s="626" t="s">
        <v>8</v>
      </c>
      <c r="D3783" s="626" t="s">
        <v>9380</v>
      </c>
      <c r="E3783" s="628" t="s">
        <v>23</v>
      </c>
      <c r="F3783" s="816" t="s">
        <v>13689</v>
      </c>
      <c r="G3783" s="816"/>
      <c r="H3783" s="816">
        <v>0.1220914</v>
      </c>
      <c r="I3783" s="816"/>
      <c r="J3783" s="817">
        <v>4.6399999999999997E-2</v>
      </c>
      <c r="K3783" s="817"/>
      <c r="L3783" s="817"/>
    </row>
    <row r="3784" spans="1:12" ht="17.100000000000001" customHeight="1">
      <c r="A3784" s="626" t="s">
        <v>12709</v>
      </c>
      <c r="B3784" s="627" t="s">
        <v>13003</v>
      </c>
      <c r="C3784" s="626" t="s">
        <v>8</v>
      </c>
      <c r="D3784" s="626" t="s">
        <v>9227</v>
      </c>
      <c r="E3784" s="628" t="s">
        <v>23</v>
      </c>
      <c r="F3784" s="816" t="s">
        <v>13732</v>
      </c>
      <c r="G3784" s="816"/>
      <c r="H3784" s="816">
        <v>4.4999400000000002E-2</v>
      </c>
      <c r="I3784" s="816"/>
      <c r="J3784" s="817">
        <v>2.9700000000000001E-2</v>
      </c>
      <c r="K3784" s="817"/>
      <c r="L3784" s="817"/>
    </row>
    <row r="3785" spans="1:12" ht="17.100000000000001" customHeight="1">
      <c r="A3785" s="626" t="s">
        <v>12709</v>
      </c>
      <c r="B3785" s="627" t="s">
        <v>13001</v>
      </c>
      <c r="C3785" s="626" t="s">
        <v>8</v>
      </c>
      <c r="D3785" s="626" t="s">
        <v>9374</v>
      </c>
      <c r="E3785" s="628" t="s">
        <v>23</v>
      </c>
      <c r="F3785" s="816" t="s">
        <v>13728</v>
      </c>
      <c r="G3785" s="816"/>
      <c r="H3785" s="816">
        <v>4.4999400000000002E-2</v>
      </c>
      <c r="I3785" s="816"/>
      <c r="J3785" s="817">
        <v>4.0000000000000002E-4</v>
      </c>
      <c r="K3785" s="817"/>
      <c r="L3785" s="817"/>
    </row>
    <row r="3786" spans="1:12" ht="17.100000000000001" customHeight="1">
      <c r="A3786" s="626" t="s">
        <v>12709</v>
      </c>
      <c r="B3786" s="627" t="s">
        <v>13052</v>
      </c>
      <c r="C3786" s="626" t="s">
        <v>8</v>
      </c>
      <c r="D3786" s="626" t="s">
        <v>9229</v>
      </c>
      <c r="E3786" s="628" t="s">
        <v>23</v>
      </c>
      <c r="F3786" s="816" t="s">
        <v>13692</v>
      </c>
      <c r="G3786" s="816"/>
      <c r="H3786" s="816">
        <v>0.1859382</v>
      </c>
      <c r="I3786" s="816"/>
      <c r="J3786" s="817">
        <v>0.17849999999999999</v>
      </c>
      <c r="K3786" s="817"/>
      <c r="L3786" s="817"/>
    </row>
    <row r="3787" spans="1:12" ht="17.100000000000001" customHeight="1">
      <c r="A3787" s="626" t="s">
        <v>12709</v>
      </c>
      <c r="B3787" s="627" t="s">
        <v>13051</v>
      </c>
      <c r="C3787" s="626" t="s">
        <v>8</v>
      </c>
      <c r="D3787" s="626" t="s">
        <v>9376</v>
      </c>
      <c r="E3787" s="628" t="s">
        <v>23</v>
      </c>
      <c r="F3787" s="816" t="s">
        <v>13691</v>
      </c>
      <c r="G3787" s="816"/>
      <c r="H3787" s="816">
        <v>0.1859382</v>
      </c>
      <c r="I3787" s="816"/>
      <c r="J3787" s="817">
        <v>9.2999999999999999E-2</v>
      </c>
      <c r="K3787" s="817"/>
      <c r="L3787" s="817"/>
    </row>
    <row r="3788" spans="1:12" ht="17.100000000000001" customHeight="1">
      <c r="A3788" s="636"/>
      <c r="B3788" s="636"/>
      <c r="C3788" s="636"/>
      <c r="D3788" s="636"/>
      <c r="E3788" s="636"/>
      <c r="F3788" s="636"/>
      <c r="G3788" s="636"/>
      <c r="H3788" s="636"/>
      <c r="I3788" s="636"/>
      <c r="J3788" s="636" t="s">
        <v>13675</v>
      </c>
      <c r="K3788" s="636"/>
      <c r="L3788" s="636" t="s">
        <v>13872</v>
      </c>
    </row>
    <row r="3789" spans="1:12" ht="17.100000000000001" customHeight="1">
      <c r="A3789" s="802" t="s">
        <v>12710</v>
      </c>
      <c r="B3789" s="802"/>
      <c r="C3789" s="802"/>
      <c r="D3789" s="802"/>
      <c r="E3789" s="802"/>
      <c r="F3789" s="802"/>
      <c r="G3789" s="802"/>
      <c r="H3789" s="802"/>
      <c r="I3789" s="612"/>
      <c r="J3789" s="612"/>
      <c r="K3789" s="612"/>
      <c r="L3789" s="612"/>
    </row>
    <row r="3790" spans="1:12" ht="17.100000000000001" customHeight="1">
      <c r="A3790" s="612" t="s">
        <v>13679</v>
      </c>
      <c r="B3790" s="636" t="s">
        <v>12698</v>
      </c>
      <c r="C3790" s="612" t="s">
        <v>12699</v>
      </c>
      <c r="D3790" s="612" t="s">
        <v>12700</v>
      </c>
      <c r="E3790" s="637" t="s">
        <v>12702</v>
      </c>
      <c r="F3790" s="801" t="s">
        <v>12704</v>
      </c>
      <c r="G3790" s="801"/>
      <c r="H3790" s="801" t="s">
        <v>13678</v>
      </c>
      <c r="I3790" s="801"/>
      <c r="J3790" s="801" t="s">
        <v>12705</v>
      </c>
      <c r="K3790" s="801"/>
      <c r="L3790" s="801"/>
    </row>
    <row r="3791" spans="1:12" ht="30" customHeight="1">
      <c r="A3791" s="626" t="s">
        <v>12709</v>
      </c>
      <c r="B3791" s="627" t="s">
        <v>13046</v>
      </c>
      <c r="C3791" s="626" t="s">
        <v>8</v>
      </c>
      <c r="D3791" s="626" t="s">
        <v>11281</v>
      </c>
      <c r="E3791" s="628" t="s">
        <v>23</v>
      </c>
      <c r="F3791" s="816" t="s">
        <v>13731</v>
      </c>
      <c r="G3791" s="816"/>
      <c r="H3791" s="816">
        <v>0.1232996</v>
      </c>
      <c r="I3791" s="816"/>
      <c r="J3791" s="817">
        <v>0.63380000000000003</v>
      </c>
      <c r="K3791" s="817"/>
      <c r="L3791" s="817"/>
    </row>
    <row r="3792" spans="1:12" ht="24" customHeight="1">
      <c r="A3792" s="626" t="s">
        <v>12709</v>
      </c>
      <c r="B3792" s="627" t="s">
        <v>13116</v>
      </c>
      <c r="C3792" s="626" t="s">
        <v>8</v>
      </c>
      <c r="D3792" s="626" t="s">
        <v>10556</v>
      </c>
      <c r="E3792" s="628" t="s">
        <v>23</v>
      </c>
      <c r="F3792" s="816" t="s">
        <v>13770</v>
      </c>
      <c r="G3792" s="816"/>
      <c r="H3792" s="816">
        <v>4.5046099999999999E-2</v>
      </c>
      <c r="I3792" s="816"/>
      <c r="J3792" s="817">
        <v>0.21490000000000001</v>
      </c>
      <c r="K3792" s="817"/>
      <c r="L3792" s="817"/>
    </row>
    <row r="3793" spans="1:12" ht="14.25" customHeight="1">
      <c r="A3793" s="626" t="s">
        <v>12709</v>
      </c>
      <c r="B3793" s="627" t="s">
        <v>13099</v>
      </c>
      <c r="C3793" s="626" t="s">
        <v>8</v>
      </c>
      <c r="D3793" s="626" t="s">
        <v>10726</v>
      </c>
      <c r="E3793" s="628" t="s">
        <v>23</v>
      </c>
      <c r="F3793" s="816" t="s">
        <v>14470</v>
      </c>
      <c r="G3793" s="816"/>
      <c r="H3793" s="816">
        <v>0.18777830000000001</v>
      </c>
      <c r="I3793" s="816"/>
      <c r="J3793" s="817">
        <v>1.2975000000000001</v>
      </c>
      <c r="K3793" s="817"/>
      <c r="L3793" s="817"/>
    </row>
    <row r="3794" spans="1:12" ht="17.100000000000001" customHeight="1">
      <c r="A3794" s="636"/>
      <c r="B3794" s="636"/>
      <c r="C3794" s="636"/>
      <c r="D3794" s="636"/>
      <c r="E3794" s="636"/>
      <c r="F3794" s="636"/>
      <c r="G3794" s="636"/>
      <c r="H3794" s="636"/>
      <c r="I3794" s="636"/>
      <c r="J3794" s="636" t="s">
        <v>13675</v>
      </c>
      <c r="K3794" s="636"/>
      <c r="L3794" s="636" t="s">
        <v>13971</v>
      </c>
    </row>
    <row r="3795" spans="1:12" ht="24" customHeight="1">
      <c r="A3795" s="802" t="s">
        <v>12720</v>
      </c>
      <c r="B3795" s="802"/>
      <c r="C3795" s="802"/>
      <c r="D3795" s="802"/>
      <c r="E3795" s="802"/>
      <c r="F3795" s="802"/>
      <c r="G3795" s="802"/>
      <c r="H3795" s="802"/>
      <c r="I3795" s="612"/>
      <c r="J3795" s="612"/>
      <c r="K3795" s="612"/>
      <c r="L3795" s="612"/>
    </row>
    <row r="3796" spans="1:12" ht="24" customHeight="1">
      <c r="A3796" s="612" t="s">
        <v>13679</v>
      </c>
      <c r="B3796" s="636" t="s">
        <v>12698</v>
      </c>
      <c r="C3796" s="612" t="s">
        <v>12699</v>
      </c>
      <c r="D3796" s="612" t="s">
        <v>12700</v>
      </c>
      <c r="E3796" s="637" t="s">
        <v>12702</v>
      </c>
      <c r="F3796" s="801" t="s">
        <v>12704</v>
      </c>
      <c r="G3796" s="801"/>
      <c r="H3796" s="801" t="s">
        <v>13678</v>
      </c>
      <c r="I3796" s="801"/>
      <c r="J3796" s="801" t="s">
        <v>12705</v>
      </c>
      <c r="K3796" s="801"/>
      <c r="L3796" s="801"/>
    </row>
    <row r="3797" spans="1:12" ht="24" customHeight="1">
      <c r="A3797" s="626" t="s">
        <v>12709</v>
      </c>
      <c r="B3797" s="627" t="s">
        <v>13250</v>
      </c>
      <c r="C3797" s="626" t="s">
        <v>8</v>
      </c>
      <c r="D3797" s="626" t="s">
        <v>7526</v>
      </c>
      <c r="E3797" s="628" t="s">
        <v>12730</v>
      </c>
      <c r="F3797" s="816" t="s">
        <v>13747</v>
      </c>
      <c r="G3797" s="816"/>
      <c r="H3797" s="816">
        <v>2.8150000000000001E-2</v>
      </c>
      <c r="I3797" s="816"/>
      <c r="J3797" s="817">
        <v>1.7594000000000001</v>
      </c>
      <c r="K3797" s="817"/>
      <c r="L3797" s="817"/>
    </row>
    <row r="3798" spans="1:12" ht="24" customHeight="1">
      <c r="A3798" s="626" t="s">
        <v>12709</v>
      </c>
      <c r="B3798" s="627" t="s">
        <v>13249</v>
      </c>
      <c r="C3798" s="626" t="s">
        <v>8</v>
      </c>
      <c r="D3798" s="626" t="s">
        <v>8420</v>
      </c>
      <c r="E3798" s="628" t="s">
        <v>20</v>
      </c>
      <c r="F3798" s="816" t="s">
        <v>13700</v>
      </c>
      <c r="G3798" s="816"/>
      <c r="H3798" s="816">
        <v>7.2219012999999999</v>
      </c>
      <c r="I3798" s="816"/>
      <c r="J3798" s="817">
        <v>3.5387</v>
      </c>
      <c r="K3798" s="817"/>
      <c r="L3798" s="817"/>
    </row>
    <row r="3799" spans="1:12" ht="24" customHeight="1">
      <c r="A3799" s="626" t="s">
        <v>12709</v>
      </c>
      <c r="B3799" s="627" t="s">
        <v>13248</v>
      </c>
      <c r="C3799" s="626" t="s">
        <v>8</v>
      </c>
      <c r="D3799" s="626" t="s">
        <v>10712</v>
      </c>
      <c r="E3799" s="628" t="s">
        <v>12730</v>
      </c>
      <c r="F3799" s="816" t="s">
        <v>13745</v>
      </c>
      <c r="G3799" s="816"/>
      <c r="H3799" s="816">
        <v>1.9691500000000001E-2</v>
      </c>
      <c r="I3799" s="816"/>
      <c r="J3799" s="817">
        <v>1.5752999999999999</v>
      </c>
      <c r="K3799" s="817"/>
      <c r="L3799" s="817"/>
    </row>
    <row r="3800" spans="1:12" ht="24" customHeight="1">
      <c r="A3800" s="626" t="s">
        <v>12709</v>
      </c>
      <c r="B3800" s="627" t="s">
        <v>12987</v>
      </c>
      <c r="C3800" s="626" t="s">
        <v>8</v>
      </c>
      <c r="D3800" s="626" t="s">
        <v>9192</v>
      </c>
      <c r="E3800" s="628" t="s">
        <v>12923</v>
      </c>
      <c r="F3800" s="816" t="s">
        <v>13999</v>
      </c>
      <c r="G3800" s="816"/>
      <c r="H3800" s="816">
        <v>5.8363900000000003E-2</v>
      </c>
      <c r="I3800" s="816"/>
      <c r="J3800" s="817">
        <v>4.7300000000000002E-2</v>
      </c>
      <c r="K3800" s="817"/>
      <c r="L3800" s="817"/>
    </row>
    <row r="3801" spans="1:12" ht="24" customHeight="1">
      <c r="A3801" s="636"/>
      <c r="B3801" s="636"/>
      <c r="C3801" s="636"/>
      <c r="D3801" s="636"/>
      <c r="E3801" s="636"/>
      <c r="F3801" s="636"/>
      <c r="G3801" s="636"/>
      <c r="H3801" s="636"/>
      <c r="I3801" s="636"/>
      <c r="J3801" s="636" t="s">
        <v>13675</v>
      </c>
      <c r="K3801" s="636"/>
      <c r="L3801" s="636" t="s">
        <v>14724</v>
      </c>
    </row>
    <row r="3802" spans="1:12" ht="17.100000000000001" customHeight="1">
      <c r="A3802" s="802" t="s">
        <v>12722</v>
      </c>
      <c r="B3802" s="802"/>
      <c r="C3802" s="802"/>
      <c r="D3802" s="802"/>
      <c r="E3802" s="802"/>
      <c r="F3802" s="802"/>
      <c r="G3802" s="802"/>
      <c r="H3802" s="802"/>
      <c r="I3802" s="612"/>
      <c r="J3802" s="612"/>
      <c r="K3802" s="612"/>
      <c r="L3802" s="612"/>
    </row>
    <row r="3803" spans="1:12" ht="14.25" customHeight="1">
      <c r="A3803" s="612" t="s">
        <v>13679</v>
      </c>
      <c r="B3803" s="636" t="s">
        <v>12698</v>
      </c>
      <c r="C3803" s="612" t="s">
        <v>12699</v>
      </c>
      <c r="D3803" s="612" t="s">
        <v>12700</v>
      </c>
      <c r="E3803" s="637" t="s">
        <v>12702</v>
      </c>
      <c r="F3803" s="801" t="s">
        <v>12704</v>
      </c>
      <c r="G3803" s="801"/>
      <c r="H3803" s="801" t="s">
        <v>13678</v>
      </c>
      <c r="I3803" s="801"/>
      <c r="J3803" s="801" t="s">
        <v>12705</v>
      </c>
      <c r="K3803" s="801"/>
      <c r="L3803" s="801"/>
    </row>
    <row r="3804" spans="1:12" ht="17.100000000000001" customHeight="1">
      <c r="A3804" s="626" t="s">
        <v>12709</v>
      </c>
      <c r="B3804" s="627" t="s">
        <v>12998</v>
      </c>
      <c r="C3804" s="626" t="s">
        <v>8</v>
      </c>
      <c r="D3804" s="626" t="s">
        <v>11861</v>
      </c>
      <c r="E3804" s="628" t="s">
        <v>23</v>
      </c>
      <c r="F3804" s="816" t="s">
        <v>13683</v>
      </c>
      <c r="G3804" s="816"/>
      <c r="H3804" s="816">
        <v>0.35302899999999998</v>
      </c>
      <c r="I3804" s="816"/>
      <c r="J3804" s="817">
        <v>0.25069999999999998</v>
      </c>
      <c r="K3804" s="817"/>
      <c r="L3804" s="817"/>
    </row>
    <row r="3805" spans="1:12" ht="24" customHeight="1">
      <c r="A3805" s="636"/>
      <c r="B3805" s="636"/>
      <c r="C3805" s="636"/>
      <c r="D3805" s="636"/>
      <c r="E3805" s="636"/>
      <c r="F3805" s="636"/>
      <c r="G3805" s="636"/>
      <c r="H3805" s="636"/>
      <c r="I3805" s="636"/>
      <c r="J3805" s="636" t="s">
        <v>13675</v>
      </c>
      <c r="K3805" s="636"/>
      <c r="L3805" s="636" t="s">
        <v>13915</v>
      </c>
    </row>
    <row r="3806" spans="1:12" ht="24" customHeight="1">
      <c r="A3806" s="802" t="s">
        <v>12713</v>
      </c>
      <c r="B3806" s="802"/>
      <c r="C3806" s="802"/>
      <c r="D3806" s="802"/>
      <c r="E3806" s="802"/>
      <c r="F3806" s="802"/>
      <c r="G3806" s="802"/>
      <c r="H3806" s="802"/>
      <c r="I3806" s="612"/>
      <c r="J3806" s="612"/>
      <c r="K3806" s="612"/>
      <c r="L3806" s="612"/>
    </row>
    <row r="3807" spans="1:12" ht="24" customHeight="1">
      <c r="A3807" s="612" t="s">
        <v>13679</v>
      </c>
      <c r="B3807" s="636" t="s">
        <v>12698</v>
      </c>
      <c r="C3807" s="612" t="s">
        <v>12699</v>
      </c>
      <c r="D3807" s="612" t="s">
        <v>12700</v>
      </c>
      <c r="E3807" s="637" t="s">
        <v>12702</v>
      </c>
      <c r="F3807" s="801" t="s">
        <v>12704</v>
      </c>
      <c r="G3807" s="801"/>
      <c r="H3807" s="801" t="s">
        <v>13678</v>
      </c>
      <c r="I3807" s="801"/>
      <c r="J3807" s="801" t="s">
        <v>12705</v>
      </c>
      <c r="K3807" s="801"/>
      <c r="L3807" s="801"/>
    </row>
    <row r="3808" spans="1:12" ht="17.100000000000001" customHeight="1">
      <c r="A3808" s="626" t="s">
        <v>12709</v>
      </c>
      <c r="B3808" s="627" t="s">
        <v>12999</v>
      </c>
      <c r="C3808" s="626" t="s">
        <v>8</v>
      </c>
      <c r="D3808" s="626" t="s">
        <v>11251</v>
      </c>
      <c r="E3808" s="628" t="s">
        <v>23</v>
      </c>
      <c r="F3808" s="816" t="s">
        <v>13681</v>
      </c>
      <c r="G3808" s="816"/>
      <c r="H3808" s="816">
        <v>0.35302899999999998</v>
      </c>
      <c r="I3808" s="816"/>
      <c r="J3808" s="817">
        <v>2.47E-2</v>
      </c>
      <c r="K3808" s="817"/>
      <c r="L3808" s="817"/>
    </row>
    <row r="3809" spans="1:12">
      <c r="A3809" s="636"/>
      <c r="B3809" s="636"/>
      <c r="C3809" s="636"/>
      <c r="D3809" s="636"/>
      <c r="E3809" s="636"/>
      <c r="F3809" s="636"/>
      <c r="G3809" s="636"/>
      <c r="H3809" s="636"/>
      <c r="I3809" s="636"/>
      <c r="J3809" s="636" t="s">
        <v>13675</v>
      </c>
      <c r="K3809" s="636"/>
      <c r="L3809" s="636" t="s">
        <v>13680</v>
      </c>
    </row>
    <row r="3810" spans="1:12" ht="17.100000000000001" customHeight="1">
      <c r="A3810" s="802" t="s">
        <v>12712</v>
      </c>
      <c r="B3810" s="802"/>
      <c r="C3810" s="802"/>
      <c r="D3810" s="802"/>
      <c r="E3810" s="802"/>
      <c r="F3810" s="802"/>
      <c r="G3810" s="802"/>
      <c r="H3810" s="802"/>
      <c r="I3810" s="612"/>
      <c r="J3810" s="612"/>
      <c r="K3810" s="612"/>
      <c r="L3810" s="612"/>
    </row>
    <row r="3811" spans="1:12" ht="24" customHeight="1">
      <c r="A3811" s="612" t="s">
        <v>13679</v>
      </c>
      <c r="B3811" s="636" t="s">
        <v>12698</v>
      </c>
      <c r="C3811" s="612" t="s">
        <v>12699</v>
      </c>
      <c r="D3811" s="612" t="s">
        <v>12700</v>
      </c>
      <c r="E3811" s="637" t="s">
        <v>12702</v>
      </c>
      <c r="F3811" s="801" t="s">
        <v>12704</v>
      </c>
      <c r="G3811" s="801"/>
      <c r="H3811" s="801" t="s">
        <v>13678</v>
      </c>
      <c r="I3811" s="801"/>
      <c r="J3811" s="801" t="s">
        <v>12705</v>
      </c>
      <c r="K3811" s="801"/>
      <c r="L3811" s="801"/>
    </row>
    <row r="3812" spans="1:12" ht="17.100000000000001" customHeight="1">
      <c r="A3812" s="626" t="s">
        <v>12709</v>
      </c>
      <c r="B3812" s="627" t="s">
        <v>13002</v>
      </c>
      <c r="C3812" s="626" t="s">
        <v>8</v>
      </c>
      <c r="D3812" s="626" t="s">
        <v>9306</v>
      </c>
      <c r="E3812" s="628" t="s">
        <v>23</v>
      </c>
      <c r="F3812" s="816" t="s">
        <v>13677</v>
      </c>
      <c r="G3812" s="816"/>
      <c r="H3812" s="816">
        <v>0.35302899999999998</v>
      </c>
      <c r="I3812" s="816"/>
      <c r="J3812" s="817">
        <v>0.1236</v>
      </c>
      <c r="K3812" s="817"/>
      <c r="L3812" s="817"/>
    </row>
    <row r="3813" spans="1:12" ht="25.5">
      <c r="A3813" s="626" t="s">
        <v>12709</v>
      </c>
      <c r="B3813" s="627" t="s">
        <v>13004</v>
      </c>
      <c r="C3813" s="626" t="s">
        <v>8</v>
      </c>
      <c r="D3813" s="626" t="s">
        <v>7388</v>
      </c>
      <c r="E3813" s="628" t="s">
        <v>23</v>
      </c>
      <c r="F3813" s="816" t="s">
        <v>13676</v>
      </c>
      <c r="G3813" s="816"/>
      <c r="H3813" s="816">
        <v>0.35302899999999998</v>
      </c>
      <c r="I3813" s="816"/>
      <c r="J3813" s="817">
        <v>0.77669999999999995</v>
      </c>
      <c r="K3813" s="817"/>
      <c r="L3813" s="817"/>
    </row>
    <row r="3814" spans="1:12" ht="17.100000000000001" customHeight="1">
      <c r="A3814" s="636"/>
      <c r="B3814" s="636"/>
      <c r="C3814" s="636"/>
      <c r="D3814" s="636"/>
      <c r="E3814" s="636"/>
      <c r="F3814" s="636"/>
      <c r="G3814" s="636"/>
      <c r="H3814" s="636"/>
      <c r="I3814" s="636"/>
      <c r="J3814" s="636" t="s">
        <v>13675</v>
      </c>
      <c r="K3814" s="636"/>
      <c r="L3814" s="636" t="s">
        <v>13918</v>
      </c>
    </row>
    <row r="3815" spans="1:12" ht="24" customHeight="1">
      <c r="A3815" s="612" t="s">
        <v>13673</v>
      </c>
      <c r="B3815" s="612"/>
      <c r="C3815" s="612"/>
      <c r="D3815" s="612"/>
      <c r="E3815" s="612"/>
      <c r="F3815" s="612"/>
      <c r="G3815" s="612"/>
      <c r="H3815" s="612"/>
      <c r="I3815" s="612"/>
      <c r="J3815" s="612"/>
      <c r="K3815" s="612"/>
      <c r="L3815" s="612"/>
    </row>
    <row r="3816" spans="1:12" ht="17.100000000000001" customHeight="1">
      <c r="A3816" s="636"/>
      <c r="B3816" s="636"/>
      <c r="C3816" s="636"/>
      <c r="D3816" s="636"/>
      <c r="E3816" s="636"/>
      <c r="F3816" s="636"/>
      <c r="G3816" s="636"/>
      <c r="H3816" s="636"/>
      <c r="I3816" s="636"/>
      <c r="J3816" s="636" t="s">
        <v>13672</v>
      </c>
      <c r="K3816" s="636"/>
      <c r="L3816" s="636" t="s">
        <v>14982</v>
      </c>
    </row>
    <row r="3817" spans="1:12">
      <c r="A3817" s="636"/>
      <c r="B3817" s="636"/>
      <c r="C3817" s="636"/>
      <c r="D3817" s="636"/>
      <c r="E3817" s="636"/>
      <c r="F3817" s="636"/>
      <c r="G3817" s="636"/>
      <c r="H3817" s="636"/>
      <c r="I3817" s="636"/>
      <c r="J3817" s="636" t="s">
        <v>13671</v>
      </c>
      <c r="K3817" s="636" t="s">
        <v>14461</v>
      </c>
      <c r="L3817" s="636" t="s">
        <v>14983</v>
      </c>
    </row>
    <row r="3818" spans="1:12" ht="17.100000000000001" customHeight="1">
      <c r="A3818" s="636"/>
      <c r="B3818" s="636"/>
      <c r="C3818" s="636"/>
      <c r="D3818" s="636"/>
      <c r="E3818" s="636"/>
      <c r="F3818" s="636"/>
      <c r="G3818" s="636"/>
      <c r="H3818" s="636"/>
      <c r="I3818" s="636"/>
      <c r="J3818" s="636" t="s">
        <v>13670</v>
      </c>
      <c r="K3818" s="636"/>
      <c r="L3818" s="636" t="s">
        <v>14984</v>
      </c>
    </row>
    <row r="3819" spans="1:12" ht="24" customHeight="1">
      <c r="A3819" s="636"/>
      <c r="B3819" s="636"/>
      <c r="C3819" s="636"/>
      <c r="D3819" s="636"/>
      <c r="E3819" s="636"/>
      <c r="F3819" s="636"/>
      <c r="G3819" s="636"/>
      <c r="H3819" s="636"/>
      <c r="I3819" s="636"/>
      <c r="J3819" s="636" t="s">
        <v>13669</v>
      </c>
      <c r="K3819" s="636" t="s">
        <v>13667</v>
      </c>
      <c r="L3819" s="636" t="s">
        <v>14985</v>
      </c>
    </row>
    <row r="3820" spans="1:12" ht="17.100000000000001" customHeight="1">
      <c r="A3820" s="636"/>
      <c r="B3820" s="636"/>
      <c r="C3820" s="636"/>
      <c r="D3820" s="636"/>
      <c r="E3820" s="636"/>
      <c r="F3820" s="636"/>
      <c r="G3820" s="636"/>
      <c r="H3820" s="636"/>
      <c r="I3820" s="636"/>
      <c r="J3820" s="636" t="s">
        <v>13668</v>
      </c>
      <c r="K3820" s="636"/>
      <c r="L3820" s="636" t="s">
        <v>14986</v>
      </c>
    </row>
    <row r="3821" spans="1:12">
      <c r="A3821" s="637"/>
      <c r="B3821" s="637"/>
      <c r="C3821" s="637"/>
      <c r="D3821" s="637"/>
      <c r="E3821" s="637"/>
      <c r="F3821" s="637"/>
      <c r="G3821" s="637"/>
      <c r="H3821" s="637"/>
      <c r="I3821" s="637"/>
      <c r="J3821" s="637"/>
      <c r="K3821" s="637"/>
      <c r="L3821" s="637"/>
    </row>
    <row r="3822" spans="1:12" ht="17.100000000000001" customHeight="1">
      <c r="A3822" s="616" t="s">
        <v>14138</v>
      </c>
      <c r="B3822" s="617" t="s">
        <v>13634</v>
      </c>
      <c r="C3822" s="616" t="s">
        <v>8</v>
      </c>
      <c r="D3822" s="616" t="s">
        <v>3543</v>
      </c>
      <c r="E3822" s="618" t="s">
        <v>12730</v>
      </c>
      <c r="F3822" s="617"/>
      <c r="G3822" s="617"/>
      <c r="H3822" s="617"/>
      <c r="I3822" s="617"/>
      <c r="J3822" s="617"/>
      <c r="K3822" s="617"/>
      <c r="L3822" s="617"/>
    </row>
    <row r="3823" spans="1:12" ht="24" customHeight="1">
      <c r="A3823" s="802" t="s">
        <v>12711</v>
      </c>
      <c r="B3823" s="802"/>
      <c r="C3823" s="802"/>
      <c r="D3823" s="802"/>
      <c r="E3823" s="802"/>
      <c r="F3823" s="802"/>
      <c r="G3823" s="802"/>
      <c r="H3823" s="802"/>
      <c r="I3823" s="612"/>
      <c r="J3823" s="612"/>
      <c r="K3823" s="612"/>
      <c r="L3823" s="612"/>
    </row>
    <row r="3824" spans="1:12" ht="24" customHeight="1">
      <c r="A3824" s="612" t="s">
        <v>13679</v>
      </c>
      <c r="B3824" s="636" t="s">
        <v>12698</v>
      </c>
      <c r="C3824" s="612" t="s">
        <v>12699</v>
      </c>
      <c r="D3824" s="612" t="s">
        <v>12700</v>
      </c>
      <c r="E3824" s="637" t="s">
        <v>12702</v>
      </c>
      <c r="F3824" s="801" t="s">
        <v>12704</v>
      </c>
      <c r="G3824" s="801"/>
      <c r="H3824" s="801" t="s">
        <v>13678</v>
      </c>
      <c r="I3824" s="801"/>
      <c r="J3824" s="801" t="s">
        <v>12705</v>
      </c>
      <c r="K3824" s="801"/>
      <c r="L3824" s="801"/>
    </row>
    <row r="3825" spans="1:12" ht="17.100000000000001" customHeight="1">
      <c r="A3825" s="626" t="s">
        <v>12709</v>
      </c>
      <c r="B3825" s="627" t="s">
        <v>13302</v>
      </c>
      <c r="C3825" s="626" t="s">
        <v>8</v>
      </c>
      <c r="D3825" s="626" t="s">
        <v>7676</v>
      </c>
      <c r="E3825" s="628" t="s">
        <v>35</v>
      </c>
      <c r="F3825" s="816" t="s">
        <v>14526</v>
      </c>
      <c r="G3825" s="816"/>
      <c r="H3825" s="816">
        <v>1.493E-4</v>
      </c>
      <c r="I3825" s="816"/>
      <c r="J3825" s="817">
        <v>0.54069999999999996</v>
      </c>
      <c r="K3825" s="817"/>
      <c r="L3825" s="817"/>
    </row>
    <row r="3826" spans="1:12" ht="17.100000000000001" customHeight="1">
      <c r="A3826" s="626" t="s">
        <v>12709</v>
      </c>
      <c r="B3826" s="627" t="s">
        <v>13048</v>
      </c>
      <c r="C3826" s="626" t="s">
        <v>8</v>
      </c>
      <c r="D3826" s="626" t="s">
        <v>9233</v>
      </c>
      <c r="E3826" s="628" t="s">
        <v>23</v>
      </c>
      <c r="F3826" s="816" t="s">
        <v>13690</v>
      </c>
      <c r="G3826" s="816"/>
      <c r="H3826" s="816">
        <v>2.3063959000000001</v>
      </c>
      <c r="I3826" s="816"/>
      <c r="J3826" s="817">
        <v>2.3525</v>
      </c>
      <c r="K3826" s="817"/>
      <c r="L3826" s="817"/>
    </row>
    <row r="3827" spans="1:12" ht="17.100000000000001" customHeight="1">
      <c r="A3827" s="626" t="s">
        <v>12709</v>
      </c>
      <c r="B3827" s="627" t="s">
        <v>13047</v>
      </c>
      <c r="C3827" s="626" t="s">
        <v>8</v>
      </c>
      <c r="D3827" s="626" t="s">
        <v>9380</v>
      </c>
      <c r="E3827" s="628" t="s">
        <v>23</v>
      </c>
      <c r="F3827" s="816" t="s">
        <v>13689</v>
      </c>
      <c r="G3827" s="816"/>
      <c r="H3827" s="816">
        <v>2.3063959000000001</v>
      </c>
      <c r="I3827" s="816"/>
      <c r="J3827" s="817">
        <v>0.87639999999999996</v>
      </c>
      <c r="K3827" s="817"/>
      <c r="L3827" s="817"/>
    </row>
    <row r="3828" spans="1:12" ht="17.100000000000001" customHeight="1">
      <c r="A3828" s="626" t="s">
        <v>12709</v>
      </c>
      <c r="B3828" s="627" t="s">
        <v>13003</v>
      </c>
      <c r="C3828" s="626" t="s">
        <v>8</v>
      </c>
      <c r="D3828" s="626" t="s">
        <v>9227</v>
      </c>
      <c r="E3828" s="628" t="s">
        <v>23</v>
      </c>
      <c r="F3828" s="816" t="s">
        <v>13732</v>
      </c>
      <c r="G3828" s="816"/>
      <c r="H3828" s="816">
        <v>1.4577221</v>
      </c>
      <c r="I3828" s="816"/>
      <c r="J3828" s="817">
        <v>0.96209999999999996</v>
      </c>
      <c r="K3828" s="817"/>
      <c r="L3828" s="817"/>
    </row>
    <row r="3829" spans="1:12" ht="17.100000000000001" customHeight="1">
      <c r="A3829" s="626" t="s">
        <v>12709</v>
      </c>
      <c r="B3829" s="627" t="s">
        <v>13001</v>
      </c>
      <c r="C3829" s="626" t="s">
        <v>8</v>
      </c>
      <c r="D3829" s="626" t="s">
        <v>9374</v>
      </c>
      <c r="E3829" s="628" t="s">
        <v>23</v>
      </c>
      <c r="F3829" s="816" t="s">
        <v>13728</v>
      </c>
      <c r="G3829" s="816"/>
      <c r="H3829" s="816">
        <v>1.4577221</v>
      </c>
      <c r="I3829" s="816"/>
      <c r="J3829" s="817">
        <v>1.46E-2</v>
      </c>
      <c r="K3829" s="817"/>
      <c r="L3829" s="817"/>
    </row>
    <row r="3830" spans="1:12" ht="17.100000000000001" customHeight="1">
      <c r="A3830" s="636"/>
      <c r="B3830" s="636"/>
      <c r="C3830" s="636"/>
      <c r="D3830" s="636"/>
      <c r="E3830" s="636"/>
      <c r="F3830" s="636"/>
      <c r="G3830" s="636"/>
      <c r="H3830" s="636"/>
      <c r="I3830" s="636"/>
      <c r="J3830" s="636" t="s">
        <v>13675</v>
      </c>
      <c r="K3830" s="636"/>
      <c r="L3830" s="636" t="s">
        <v>14575</v>
      </c>
    </row>
    <row r="3831" spans="1:12" ht="17.100000000000001" customHeight="1">
      <c r="A3831" s="802" t="s">
        <v>12710</v>
      </c>
      <c r="B3831" s="802"/>
      <c r="C3831" s="802"/>
      <c r="D3831" s="802"/>
      <c r="E3831" s="802"/>
      <c r="F3831" s="802"/>
      <c r="G3831" s="802"/>
      <c r="H3831" s="802"/>
      <c r="I3831" s="612"/>
      <c r="J3831" s="612"/>
      <c r="K3831" s="612"/>
      <c r="L3831" s="612"/>
    </row>
    <row r="3832" spans="1:12" ht="30" customHeight="1">
      <c r="A3832" s="612" t="s">
        <v>13679</v>
      </c>
      <c r="B3832" s="636" t="s">
        <v>12698</v>
      </c>
      <c r="C3832" s="612" t="s">
        <v>12699</v>
      </c>
      <c r="D3832" s="612" t="s">
        <v>12700</v>
      </c>
      <c r="E3832" s="637" t="s">
        <v>12702</v>
      </c>
      <c r="F3832" s="801" t="s">
        <v>12704</v>
      </c>
      <c r="G3832" s="801"/>
      <c r="H3832" s="801" t="s">
        <v>13678</v>
      </c>
      <c r="I3832" s="801"/>
      <c r="J3832" s="801" t="s">
        <v>12705</v>
      </c>
      <c r="K3832" s="801"/>
      <c r="L3832" s="801"/>
    </row>
    <row r="3833" spans="1:12" ht="24" customHeight="1">
      <c r="A3833" s="626" t="s">
        <v>12709</v>
      </c>
      <c r="B3833" s="627" t="s">
        <v>13046</v>
      </c>
      <c r="C3833" s="626" t="s">
        <v>8</v>
      </c>
      <c r="D3833" s="626" t="s">
        <v>11281</v>
      </c>
      <c r="E3833" s="628" t="s">
        <v>23</v>
      </c>
      <c r="F3833" s="816" t="s">
        <v>13731</v>
      </c>
      <c r="G3833" s="816"/>
      <c r="H3833" s="816">
        <v>2.3424033</v>
      </c>
      <c r="I3833" s="816"/>
      <c r="J3833" s="817">
        <v>12.04</v>
      </c>
      <c r="K3833" s="817"/>
      <c r="L3833" s="817"/>
    </row>
    <row r="3834" spans="1:12" ht="14.25" customHeight="1">
      <c r="A3834" s="626" t="s">
        <v>12709</v>
      </c>
      <c r="B3834" s="627" t="s">
        <v>13116</v>
      </c>
      <c r="C3834" s="626" t="s">
        <v>8</v>
      </c>
      <c r="D3834" s="626" t="s">
        <v>10556</v>
      </c>
      <c r="E3834" s="628" t="s">
        <v>23</v>
      </c>
      <c r="F3834" s="816" t="s">
        <v>13770</v>
      </c>
      <c r="G3834" s="816"/>
      <c r="H3834" s="816">
        <v>1.4674932999999999</v>
      </c>
      <c r="I3834" s="816"/>
      <c r="J3834" s="817">
        <v>6.9999000000000002</v>
      </c>
      <c r="K3834" s="817"/>
      <c r="L3834" s="817"/>
    </row>
    <row r="3835" spans="1:12" ht="17.100000000000001" customHeight="1">
      <c r="A3835" s="636"/>
      <c r="B3835" s="636"/>
      <c r="C3835" s="636"/>
      <c r="D3835" s="636"/>
      <c r="E3835" s="636"/>
      <c r="F3835" s="636"/>
      <c r="G3835" s="636"/>
      <c r="H3835" s="636"/>
      <c r="I3835" s="636"/>
      <c r="J3835" s="636" t="s">
        <v>13675</v>
      </c>
      <c r="K3835" s="636"/>
      <c r="L3835" s="636" t="s">
        <v>14716</v>
      </c>
    </row>
    <row r="3836" spans="1:12" ht="24" customHeight="1">
      <c r="A3836" s="802" t="s">
        <v>12720</v>
      </c>
      <c r="B3836" s="802"/>
      <c r="C3836" s="802"/>
      <c r="D3836" s="802"/>
      <c r="E3836" s="802"/>
      <c r="F3836" s="802"/>
      <c r="G3836" s="802"/>
      <c r="H3836" s="802"/>
      <c r="I3836" s="612"/>
      <c r="J3836" s="612"/>
      <c r="K3836" s="612"/>
      <c r="L3836" s="612"/>
    </row>
    <row r="3837" spans="1:12" ht="24" customHeight="1">
      <c r="A3837" s="612" t="s">
        <v>13679</v>
      </c>
      <c r="B3837" s="636" t="s">
        <v>12698</v>
      </c>
      <c r="C3837" s="612" t="s">
        <v>12699</v>
      </c>
      <c r="D3837" s="612" t="s">
        <v>12700</v>
      </c>
      <c r="E3837" s="637" t="s">
        <v>12702</v>
      </c>
      <c r="F3837" s="801" t="s">
        <v>12704</v>
      </c>
      <c r="G3837" s="801"/>
      <c r="H3837" s="801" t="s">
        <v>13678</v>
      </c>
      <c r="I3837" s="801"/>
      <c r="J3837" s="801" t="s">
        <v>12705</v>
      </c>
      <c r="K3837" s="801"/>
      <c r="L3837" s="801"/>
    </row>
    <row r="3838" spans="1:12" ht="17.100000000000001" customHeight="1">
      <c r="A3838" s="626" t="s">
        <v>12709</v>
      </c>
      <c r="B3838" s="627" t="s">
        <v>13250</v>
      </c>
      <c r="C3838" s="626" t="s">
        <v>8</v>
      </c>
      <c r="D3838" s="626" t="s">
        <v>7526</v>
      </c>
      <c r="E3838" s="628" t="s">
        <v>12730</v>
      </c>
      <c r="F3838" s="816" t="s">
        <v>13747</v>
      </c>
      <c r="G3838" s="816"/>
      <c r="H3838" s="816">
        <v>0.72299999999999998</v>
      </c>
      <c r="I3838" s="816"/>
      <c r="J3838" s="817">
        <v>45.18</v>
      </c>
      <c r="K3838" s="817"/>
      <c r="L3838" s="817"/>
    </row>
    <row r="3839" spans="1:12" ht="14.25" customHeight="1">
      <c r="A3839" s="626" t="s">
        <v>12709</v>
      </c>
      <c r="B3839" s="627" t="s">
        <v>13249</v>
      </c>
      <c r="C3839" s="626" t="s">
        <v>8</v>
      </c>
      <c r="D3839" s="626" t="s">
        <v>8420</v>
      </c>
      <c r="E3839" s="628" t="s">
        <v>20</v>
      </c>
      <c r="F3839" s="816" t="s">
        <v>13700</v>
      </c>
      <c r="G3839" s="816"/>
      <c r="H3839" s="816">
        <v>362.66</v>
      </c>
      <c r="I3839" s="816"/>
      <c r="J3839" s="817">
        <v>177.7</v>
      </c>
      <c r="K3839" s="817"/>
      <c r="L3839" s="817"/>
    </row>
    <row r="3840" spans="1:12" ht="17.100000000000001" customHeight="1">
      <c r="A3840" s="626" t="s">
        <v>12709</v>
      </c>
      <c r="B3840" s="627" t="s">
        <v>13248</v>
      </c>
      <c r="C3840" s="626" t="s">
        <v>8</v>
      </c>
      <c r="D3840" s="626" t="s">
        <v>10712</v>
      </c>
      <c r="E3840" s="628" t="s">
        <v>12730</v>
      </c>
      <c r="F3840" s="816" t="s">
        <v>13745</v>
      </c>
      <c r="G3840" s="816"/>
      <c r="H3840" s="816">
        <v>0.59299999999999997</v>
      </c>
      <c r="I3840" s="816"/>
      <c r="J3840" s="817">
        <v>47.44</v>
      </c>
      <c r="K3840" s="817"/>
      <c r="L3840" s="817"/>
    </row>
    <row r="3841" spans="1:12" ht="24" customHeight="1">
      <c r="A3841" s="626" t="s">
        <v>12709</v>
      </c>
      <c r="B3841" s="627" t="s">
        <v>12987</v>
      </c>
      <c r="C3841" s="626" t="s">
        <v>8</v>
      </c>
      <c r="D3841" s="626" t="s">
        <v>9192</v>
      </c>
      <c r="E3841" s="628" t="s">
        <v>12923</v>
      </c>
      <c r="F3841" s="816" t="s">
        <v>13999</v>
      </c>
      <c r="G3841" s="816"/>
      <c r="H3841" s="816">
        <v>0.93603729999999996</v>
      </c>
      <c r="I3841" s="816"/>
      <c r="J3841" s="817">
        <v>0.75819999999999999</v>
      </c>
      <c r="K3841" s="817"/>
      <c r="L3841" s="817"/>
    </row>
    <row r="3842" spans="1:12" ht="24" customHeight="1">
      <c r="A3842" s="636"/>
      <c r="B3842" s="636"/>
      <c r="C3842" s="636"/>
      <c r="D3842" s="636"/>
      <c r="E3842" s="636"/>
      <c r="F3842" s="636"/>
      <c r="G3842" s="636"/>
      <c r="H3842" s="636"/>
      <c r="I3842" s="636"/>
      <c r="J3842" s="636" t="s">
        <v>13675</v>
      </c>
      <c r="K3842" s="636"/>
      <c r="L3842" s="636" t="s">
        <v>14715</v>
      </c>
    </row>
    <row r="3843" spans="1:12" ht="17.100000000000001" customHeight="1">
      <c r="A3843" s="802" t="s">
        <v>12722</v>
      </c>
      <c r="B3843" s="802"/>
      <c r="C3843" s="802"/>
      <c r="D3843" s="802"/>
      <c r="E3843" s="802"/>
      <c r="F3843" s="802"/>
      <c r="G3843" s="802"/>
      <c r="H3843" s="802"/>
      <c r="I3843" s="612"/>
      <c r="J3843" s="612"/>
      <c r="K3843" s="612"/>
      <c r="L3843" s="612"/>
    </row>
    <row r="3844" spans="1:12">
      <c r="A3844" s="612" t="s">
        <v>13679</v>
      </c>
      <c r="B3844" s="636" t="s">
        <v>12698</v>
      </c>
      <c r="C3844" s="612" t="s">
        <v>12699</v>
      </c>
      <c r="D3844" s="612" t="s">
        <v>12700</v>
      </c>
      <c r="E3844" s="637" t="s">
        <v>12702</v>
      </c>
      <c r="F3844" s="801" t="s">
        <v>12704</v>
      </c>
      <c r="G3844" s="801"/>
      <c r="H3844" s="801" t="s">
        <v>13678</v>
      </c>
      <c r="I3844" s="801"/>
      <c r="J3844" s="801" t="s">
        <v>12705</v>
      </c>
      <c r="K3844" s="801"/>
      <c r="L3844" s="801"/>
    </row>
    <row r="3845" spans="1:12" ht="17.100000000000001" customHeight="1">
      <c r="A3845" s="626" t="s">
        <v>12709</v>
      </c>
      <c r="B3845" s="627" t="s">
        <v>12998</v>
      </c>
      <c r="C3845" s="626" t="s">
        <v>8</v>
      </c>
      <c r="D3845" s="626" t="s">
        <v>11861</v>
      </c>
      <c r="E3845" s="628" t="s">
        <v>23</v>
      </c>
      <c r="F3845" s="816" t="s">
        <v>13683</v>
      </c>
      <c r="G3845" s="816"/>
      <c r="H3845" s="816">
        <v>3.7641179999999999</v>
      </c>
      <c r="I3845" s="816"/>
      <c r="J3845" s="817">
        <v>2.6724999999999999</v>
      </c>
      <c r="K3845" s="817"/>
      <c r="L3845" s="817"/>
    </row>
    <row r="3846" spans="1:12" ht="24" customHeight="1">
      <c r="A3846" s="636"/>
      <c r="B3846" s="636"/>
      <c r="C3846" s="636"/>
      <c r="D3846" s="636"/>
      <c r="E3846" s="636"/>
      <c r="F3846" s="636"/>
      <c r="G3846" s="636"/>
      <c r="H3846" s="636"/>
      <c r="I3846" s="636"/>
      <c r="J3846" s="636" t="s">
        <v>13675</v>
      </c>
      <c r="K3846" s="636"/>
      <c r="L3846" s="636" t="s">
        <v>14110</v>
      </c>
    </row>
    <row r="3847" spans="1:12" ht="36" customHeight="1">
      <c r="A3847" s="802" t="s">
        <v>12713</v>
      </c>
      <c r="B3847" s="802"/>
      <c r="C3847" s="802"/>
      <c r="D3847" s="802"/>
      <c r="E3847" s="802"/>
      <c r="F3847" s="802"/>
      <c r="G3847" s="802"/>
      <c r="H3847" s="802"/>
      <c r="I3847" s="612"/>
      <c r="J3847" s="612"/>
      <c r="K3847" s="612"/>
      <c r="L3847" s="612"/>
    </row>
    <row r="3848" spans="1:12" ht="24" customHeight="1">
      <c r="A3848" s="612" t="s">
        <v>13679</v>
      </c>
      <c r="B3848" s="636" t="s">
        <v>12698</v>
      </c>
      <c r="C3848" s="612" t="s">
        <v>12699</v>
      </c>
      <c r="D3848" s="612" t="s">
        <v>12700</v>
      </c>
      <c r="E3848" s="637" t="s">
        <v>12702</v>
      </c>
      <c r="F3848" s="801" t="s">
        <v>12704</v>
      </c>
      <c r="G3848" s="801"/>
      <c r="H3848" s="801" t="s">
        <v>13678</v>
      </c>
      <c r="I3848" s="801"/>
      <c r="J3848" s="801" t="s">
        <v>12705</v>
      </c>
      <c r="K3848" s="801"/>
      <c r="L3848" s="801"/>
    </row>
    <row r="3849" spans="1:12" ht="17.100000000000001" customHeight="1">
      <c r="A3849" s="626" t="s">
        <v>12709</v>
      </c>
      <c r="B3849" s="627" t="s">
        <v>12999</v>
      </c>
      <c r="C3849" s="626" t="s">
        <v>8</v>
      </c>
      <c r="D3849" s="626" t="s">
        <v>11251</v>
      </c>
      <c r="E3849" s="628" t="s">
        <v>23</v>
      </c>
      <c r="F3849" s="816" t="s">
        <v>13681</v>
      </c>
      <c r="G3849" s="816"/>
      <c r="H3849" s="816">
        <v>3.7641179999999999</v>
      </c>
      <c r="I3849" s="816"/>
      <c r="J3849" s="817">
        <v>0.26350000000000001</v>
      </c>
      <c r="K3849" s="817"/>
      <c r="L3849" s="817"/>
    </row>
    <row r="3850" spans="1:12">
      <c r="A3850" s="636"/>
      <c r="B3850" s="636"/>
      <c r="C3850" s="636"/>
      <c r="D3850" s="636"/>
      <c r="E3850" s="636"/>
      <c r="F3850" s="636"/>
      <c r="G3850" s="636"/>
      <c r="H3850" s="636"/>
      <c r="I3850" s="636"/>
      <c r="J3850" s="636" t="s">
        <v>13675</v>
      </c>
      <c r="K3850" s="636"/>
      <c r="L3850" s="636" t="s">
        <v>13869</v>
      </c>
    </row>
    <row r="3851" spans="1:12" ht="17.100000000000001" customHeight="1">
      <c r="A3851" s="802" t="s">
        <v>12712</v>
      </c>
      <c r="B3851" s="802"/>
      <c r="C3851" s="802"/>
      <c r="D3851" s="802"/>
      <c r="E3851" s="802"/>
      <c r="F3851" s="802"/>
      <c r="G3851" s="802"/>
      <c r="H3851" s="802"/>
      <c r="I3851" s="612"/>
      <c r="J3851" s="612"/>
      <c r="K3851" s="612"/>
      <c r="L3851" s="612"/>
    </row>
    <row r="3852" spans="1:12" ht="24" customHeight="1">
      <c r="A3852" s="612" t="s">
        <v>13679</v>
      </c>
      <c r="B3852" s="636" t="s">
        <v>12698</v>
      </c>
      <c r="C3852" s="612" t="s">
        <v>12699</v>
      </c>
      <c r="D3852" s="612" t="s">
        <v>12700</v>
      </c>
      <c r="E3852" s="637" t="s">
        <v>12702</v>
      </c>
      <c r="F3852" s="801" t="s">
        <v>12704</v>
      </c>
      <c r="G3852" s="801"/>
      <c r="H3852" s="801" t="s">
        <v>13678</v>
      </c>
      <c r="I3852" s="801"/>
      <c r="J3852" s="801" t="s">
        <v>12705</v>
      </c>
      <c r="K3852" s="801"/>
      <c r="L3852" s="801"/>
    </row>
    <row r="3853" spans="1:12" ht="17.100000000000001" customHeight="1">
      <c r="A3853" s="626" t="s">
        <v>12709</v>
      </c>
      <c r="B3853" s="627" t="s">
        <v>13002</v>
      </c>
      <c r="C3853" s="626" t="s">
        <v>8</v>
      </c>
      <c r="D3853" s="626" t="s">
        <v>9306</v>
      </c>
      <c r="E3853" s="628" t="s">
        <v>23</v>
      </c>
      <c r="F3853" s="816" t="s">
        <v>13677</v>
      </c>
      <c r="G3853" s="816"/>
      <c r="H3853" s="816">
        <v>3.7641179999999999</v>
      </c>
      <c r="I3853" s="816"/>
      <c r="J3853" s="817">
        <v>1.3173999999999999</v>
      </c>
      <c r="K3853" s="817"/>
      <c r="L3853" s="817"/>
    </row>
    <row r="3854" spans="1:12" ht="25.5">
      <c r="A3854" s="626" t="s">
        <v>12709</v>
      </c>
      <c r="B3854" s="627" t="s">
        <v>13004</v>
      </c>
      <c r="C3854" s="626" t="s">
        <v>8</v>
      </c>
      <c r="D3854" s="626" t="s">
        <v>7388</v>
      </c>
      <c r="E3854" s="628" t="s">
        <v>23</v>
      </c>
      <c r="F3854" s="816" t="s">
        <v>13676</v>
      </c>
      <c r="G3854" s="816"/>
      <c r="H3854" s="816">
        <v>3.7641179999999999</v>
      </c>
      <c r="I3854" s="816"/>
      <c r="J3854" s="817">
        <v>8.2811000000000003</v>
      </c>
      <c r="K3854" s="817"/>
      <c r="L3854" s="817"/>
    </row>
    <row r="3855" spans="1:12" ht="17.100000000000001" customHeight="1">
      <c r="A3855" s="636"/>
      <c r="B3855" s="636"/>
      <c r="C3855" s="636"/>
      <c r="D3855" s="636"/>
      <c r="E3855" s="636"/>
      <c r="F3855" s="636"/>
      <c r="G3855" s="636"/>
      <c r="H3855" s="636"/>
      <c r="I3855" s="636"/>
      <c r="J3855" s="636" t="s">
        <v>13675</v>
      </c>
      <c r="K3855" s="636"/>
      <c r="L3855" s="636" t="s">
        <v>14109</v>
      </c>
    </row>
    <row r="3856" spans="1:12" ht="24" customHeight="1">
      <c r="A3856" s="612" t="s">
        <v>13673</v>
      </c>
      <c r="B3856" s="612"/>
      <c r="C3856" s="612"/>
      <c r="D3856" s="612"/>
      <c r="E3856" s="612"/>
      <c r="F3856" s="612"/>
      <c r="G3856" s="612"/>
      <c r="H3856" s="612"/>
      <c r="I3856" s="612"/>
      <c r="J3856" s="612"/>
      <c r="K3856" s="612"/>
      <c r="L3856" s="612"/>
    </row>
    <row r="3857" spans="1:12" ht="17.100000000000001" customHeight="1">
      <c r="A3857" s="636"/>
      <c r="B3857" s="636"/>
      <c r="C3857" s="636"/>
      <c r="D3857" s="636"/>
      <c r="E3857" s="636"/>
      <c r="F3857" s="636"/>
      <c r="G3857" s="636"/>
      <c r="H3857" s="636"/>
      <c r="I3857" s="636"/>
      <c r="J3857" s="636" t="s">
        <v>13672</v>
      </c>
      <c r="K3857" s="636"/>
      <c r="L3857" s="636" t="s">
        <v>14987</v>
      </c>
    </row>
    <row r="3858" spans="1:12">
      <c r="A3858" s="636"/>
      <c r="B3858" s="636"/>
      <c r="C3858" s="636"/>
      <c r="D3858" s="636"/>
      <c r="E3858" s="636"/>
      <c r="F3858" s="636"/>
      <c r="G3858" s="636"/>
      <c r="H3858" s="636"/>
      <c r="I3858" s="636"/>
      <c r="J3858" s="636" t="s">
        <v>13671</v>
      </c>
      <c r="K3858" s="636" t="s">
        <v>14461</v>
      </c>
      <c r="L3858" s="636" t="s">
        <v>14988</v>
      </c>
    </row>
    <row r="3859" spans="1:12" ht="17.100000000000001" customHeight="1">
      <c r="A3859" s="636"/>
      <c r="B3859" s="636"/>
      <c r="C3859" s="636"/>
      <c r="D3859" s="636"/>
      <c r="E3859" s="636"/>
      <c r="F3859" s="636"/>
      <c r="G3859" s="636"/>
      <c r="H3859" s="636"/>
      <c r="I3859" s="636"/>
      <c r="J3859" s="636" t="s">
        <v>13670</v>
      </c>
      <c r="K3859" s="636"/>
      <c r="L3859" s="636" t="s">
        <v>14989</v>
      </c>
    </row>
    <row r="3860" spans="1:12" ht="24" customHeight="1">
      <c r="A3860" s="636"/>
      <c r="B3860" s="636"/>
      <c r="C3860" s="636"/>
      <c r="D3860" s="636"/>
      <c r="E3860" s="636"/>
      <c r="F3860" s="636"/>
      <c r="G3860" s="636"/>
      <c r="H3860" s="636"/>
      <c r="I3860" s="636"/>
      <c r="J3860" s="636" t="s">
        <v>13669</v>
      </c>
      <c r="K3860" s="636" t="s">
        <v>13667</v>
      </c>
      <c r="L3860" s="636" t="s">
        <v>14990</v>
      </c>
    </row>
    <row r="3861" spans="1:12" ht="24" customHeight="1">
      <c r="A3861" s="636"/>
      <c r="B3861" s="636"/>
      <c r="C3861" s="636"/>
      <c r="D3861" s="636"/>
      <c r="E3861" s="636"/>
      <c r="F3861" s="636"/>
      <c r="G3861" s="636"/>
      <c r="H3861" s="636"/>
      <c r="I3861" s="636"/>
      <c r="J3861" s="636" t="s">
        <v>13668</v>
      </c>
      <c r="K3861" s="636"/>
      <c r="L3861" s="636" t="s">
        <v>14991</v>
      </c>
    </row>
    <row r="3862" spans="1:12" ht="17.100000000000001" customHeight="1">
      <c r="A3862" s="637"/>
      <c r="B3862" s="637"/>
      <c r="C3862" s="637"/>
      <c r="D3862" s="637"/>
      <c r="E3862" s="637"/>
      <c r="F3862" s="637"/>
      <c r="G3862" s="637"/>
      <c r="H3862" s="637"/>
      <c r="I3862" s="637"/>
      <c r="J3862" s="637"/>
      <c r="K3862" s="637"/>
      <c r="L3862" s="637"/>
    </row>
    <row r="3863" spans="1:12" ht="17.100000000000001" customHeight="1">
      <c r="A3863" s="616" t="s">
        <v>14137</v>
      </c>
      <c r="B3863" s="617" t="s">
        <v>13633</v>
      </c>
      <c r="C3863" s="616" t="s">
        <v>8</v>
      </c>
      <c r="D3863" s="616" t="s">
        <v>55</v>
      </c>
      <c r="E3863" s="618" t="s">
        <v>12730</v>
      </c>
      <c r="F3863" s="617"/>
      <c r="G3863" s="617"/>
      <c r="H3863" s="617"/>
      <c r="I3863" s="617"/>
      <c r="J3863" s="617"/>
      <c r="K3863" s="617"/>
      <c r="L3863" s="617"/>
    </row>
    <row r="3864" spans="1:12" ht="17.100000000000001" customHeight="1">
      <c r="A3864" s="802" t="s">
        <v>12711</v>
      </c>
      <c r="B3864" s="802"/>
      <c r="C3864" s="802"/>
      <c r="D3864" s="802"/>
      <c r="E3864" s="802"/>
      <c r="F3864" s="802"/>
      <c r="G3864" s="802"/>
      <c r="H3864" s="802"/>
      <c r="I3864" s="612"/>
      <c r="J3864" s="612"/>
      <c r="K3864" s="612"/>
      <c r="L3864" s="612"/>
    </row>
    <row r="3865" spans="1:12" ht="17.100000000000001" customHeight="1">
      <c r="A3865" s="612" t="s">
        <v>13679</v>
      </c>
      <c r="B3865" s="636" t="s">
        <v>12698</v>
      </c>
      <c r="C3865" s="612" t="s">
        <v>12699</v>
      </c>
      <c r="D3865" s="612" t="s">
        <v>12700</v>
      </c>
      <c r="E3865" s="637" t="s">
        <v>12702</v>
      </c>
      <c r="F3865" s="801" t="s">
        <v>12704</v>
      </c>
      <c r="G3865" s="801"/>
      <c r="H3865" s="801" t="s">
        <v>13678</v>
      </c>
      <c r="I3865" s="801"/>
      <c r="J3865" s="801" t="s">
        <v>12705</v>
      </c>
      <c r="K3865" s="801"/>
      <c r="L3865" s="801"/>
    </row>
    <row r="3866" spans="1:12" ht="17.100000000000001" customHeight="1">
      <c r="A3866" s="626" t="s">
        <v>12709</v>
      </c>
      <c r="B3866" s="627" t="s">
        <v>12989</v>
      </c>
      <c r="C3866" s="626" t="s">
        <v>8</v>
      </c>
      <c r="D3866" s="626" t="s">
        <v>12342</v>
      </c>
      <c r="E3866" s="628" t="s">
        <v>35</v>
      </c>
      <c r="F3866" s="816" t="s">
        <v>14494</v>
      </c>
      <c r="G3866" s="816"/>
      <c r="H3866" s="816">
        <v>3.3110000000000002E-4</v>
      </c>
      <c r="I3866" s="816"/>
      <c r="J3866" s="817">
        <v>0.80200000000000005</v>
      </c>
      <c r="K3866" s="817"/>
      <c r="L3866" s="817"/>
    </row>
    <row r="3867" spans="1:12" ht="17.100000000000001" customHeight="1">
      <c r="A3867" s="626" t="s">
        <v>12709</v>
      </c>
      <c r="B3867" s="627" t="s">
        <v>13032</v>
      </c>
      <c r="C3867" s="626" t="s">
        <v>8</v>
      </c>
      <c r="D3867" s="626" t="s">
        <v>9217</v>
      </c>
      <c r="E3867" s="628" t="s">
        <v>23</v>
      </c>
      <c r="F3867" s="816" t="s">
        <v>13741</v>
      </c>
      <c r="G3867" s="816"/>
      <c r="H3867" s="816">
        <v>1.8448028999999999</v>
      </c>
      <c r="I3867" s="816"/>
      <c r="J3867" s="817">
        <v>1.9923999999999999</v>
      </c>
      <c r="K3867" s="817"/>
      <c r="L3867" s="817"/>
    </row>
    <row r="3868" spans="1:12" ht="17.100000000000001" customHeight="1">
      <c r="A3868" s="626" t="s">
        <v>12709</v>
      </c>
      <c r="B3868" s="627" t="s">
        <v>13031</v>
      </c>
      <c r="C3868" s="626" t="s">
        <v>8</v>
      </c>
      <c r="D3868" s="626" t="s">
        <v>9364</v>
      </c>
      <c r="E3868" s="628" t="s">
        <v>23</v>
      </c>
      <c r="F3868" s="816" t="s">
        <v>13740</v>
      </c>
      <c r="G3868" s="816"/>
      <c r="H3868" s="816">
        <v>1.8448028999999999</v>
      </c>
      <c r="I3868" s="816"/>
      <c r="J3868" s="817">
        <v>0.62719999999999998</v>
      </c>
      <c r="K3868" s="817"/>
      <c r="L3868" s="817"/>
    </row>
    <row r="3869" spans="1:12" ht="30" customHeight="1">
      <c r="A3869" s="626" t="s">
        <v>12709</v>
      </c>
      <c r="B3869" s="627" t="s">
        <v>13052</v>
      </c>
      <c r="C3869" s="626" t="s">
        <v>8</v>
      </c>
      <c r="D3869" s="626" t="s">
        <v>9229</v>
      </c>
      <c r="E3869" s="628" t="s">
        <v>23</v>
      </c>
      <c r="F3869" s="816" t="s">
        <v>13692</v>
      </c>
      <c r="G3869" s="816"/>
      <c r="H3869" s="816">
        <v>1.8448028999999999</v>
      </c>
      <c r="I3869" s="816"/>
      <c r="J3869" s="817">
        <v>1.7709999999999999</v>
      </c>
      <c r="K3869" s="817"/>
      <c r="L3869" s="817"/>
    </row>
    <row r="3870" spans="1:12" ht="24" customHeight="1">
      <c r="A3870" s="626" t="s">
        <v>12709</v>
      </c>
      <c r="B3870" s="627" t="s">
        <v>13051</v>
      </c>
      <c r="C3870" s="626" t="s">
        <v>8</v>
      </c>
      <c r="D3870" s="626" t="s">
        <v>9376</v>
      </c>
      <c r="E3870" s="628" t="s">
        <v>23</v>
      </c>
      <c r="F3870" s="816" t="s">
        <v>13691</v>
      </c>
      <c r="G3870" s="816"/>
      <c r="H3870" s="816">
        <v>1.8448028999999999</v>
      </c>
      <c r="I3870" s="816"/>
      <c r="J3870" s="817">
        <v>0.9224</v>
      </c>
      <c r="K3870" s="817"/>
      <c r="L3870" s="817"/>
    </row>
    <row r="3871" spans="1:12" ht="14.25" customHeight="1">
      <c r="A3871" s="626" t="s">
        <v>12709</v>
      </c>
      <c r="B3871" s="627" t="s">
        <v>13048</v>
      </c>
      <c r="C3871" s="626" t="s">
        <v>8</v>
      </c>
      <c r="D3871" s="626" t="s">
        <v>9233</v>
      </c>
      <c r="E3871" s="628" t="s">
        <v>23</v>
      </c>
      <c r="F3871" s="816" t="s">
        <v>13690</v>
      </c>
      <c r="G3871" s="816"/>
      <c r="H3871" s="816">
        <v>5.5344085999999999</v>
      </c>
      <c r="I3871" s="816"/>
      <c r="J3871" s="817">
        <v>5.6451000000000002</v>
      </c>
      <c r="K3871" s="817"/>
      <c r="L3871" s="817"/>
    </row>
    <row r="3872" spans="1:12" ht="17.100000000000001" customHeight="1">
      <c r="A3872" s="626" t="s">
        <v>12709</v>
      </c>
      <c r="B3872" s="627" t="s">
        <v>13047</v>
      </c>
      <c r="C3872" s="626" t="s">
        <v>8</v>
      </c>
      <c r="D3872" s="626" t="s">
        <v>9380</v>
      </c>
      <c r="E3872" s="628" t="s">
        <v>23</v>
      </c>
      <c r="F3872" s="816" t="s">
        <v>13689</v>
      </c>
      <c r="G3872" s="816"/>
      <c r="H3872" s="816">
        <v>5.5344085999999999</v>
      </c>
      <c r="I3872" s="816"/>
      <c r="J3872" s="817">
        <v>2.1031</v>
      </c>
      <c r="K3872" s="817"/>
      <c r="L3872" s="817"/>
    </row>
    <row r="3873" spans="1:12" ht="24" customHeight="1">
      <c r="A3873" s="636"/>
      <c r="B3873" s="636"/>
      <c r="C3873" s="636"/>
      <c r="D3873" s="636"/>
      <c r="E3873" s="636"/>
      <c r="F3873" s="636"/>
      <c r="G3873" s="636"/>
      <c r="H3873" s="636"/>
      <c r="I3873" s="636"/>
      <c r="J3873" s="636" t="s">
        <v>13675</v>
      </c>
      <c r="K3873" s="636"/>
      <c r="L3873" s="636" t="s">
        <v>14493</v>
      </c>
    </row>
    <row r="3874" spans="1:12" ht="24" customHeight="1">
      <c r="A3874" s="802" t="s">
        <v>12710</v>
      </c>
      <c r="B3874" s="802"/>
      <c r="C3874" s="802"/>
      <c r="D3874" s="802"/>
      <c r="E3874" s="802"/>
      <c r="F3874" s="802"/>
      <c r="G3874" s="802"/>
      <c r="H3874" s="802"/>
      <c r="I3874" s="612"/>
      <c r="J3874" s="612"/>
      <c r="K3874" s="612"/>
      <c r="L3874" s="612"/>
    </row>
    <row r="3875" spans="1:12" ht="17.100000000000001" customHeight="1">
      <c r="A3875" s="612" t="s">
        <v>13679</v>
      </c>
      <c r="B3875" s="636" t="s">
        <v>12698</v>
      </c>
      <c r="C3875" s="612" t="s">
        <v>12699</v>
      </c>
      <c r="D3875" s="612" t="s">
        <v>12700</v>
      </c>
      <c r="E3875" s="637" t="s">
        <v>12702</v>
      </c>
      <c r="F3875" s="801" t="s">
        <v>12704</v>
      </c>
      <c r="G3875" s="801"/>
      <c r="H3875" s="801" t="s">
        <v>13678</v>
      </c>
      <c r="I3875" s="801"/>
      <c r="J3875" s="801" t="s">
        <v>12705</v>
      </c>
      <c r="K3875" s="801"/>
      <c r="L3875" s="801"/>
    </row>
    <row r="3876" spans="1:12" ht="14.25" customHeight="1">
      <c r="A3876" s="626" t="s">
        <v>12709</v>
      </c>
      <c r="B3876" s="627" t="s">
        <v>13212</v>
      </c>
      <c r="C3876" s="626" t="s">
        <v>8</v>
      </c>
      <c r="D3876" s="626" t="s">
        <v>8293</v>
      </c>
      <c r="E3876" s="628" t="s">
        <v>23</v>
      </c>
      <c r="F3876" s="816" t="s">
        <v>14470</v>
      </c>
      <c r="G3876" s="816"/>
      <c r="H3876" s="816">
        <v>1.8599138</v>
      </c>
      <c r="I3876" s="816"/>
      <c r="J3876" s="817">
        <v>12.852</v>
      </c>
      <c r="K3876" s="817"/>
      <c r="L3876" s="817"/>
    </row>
    <row r="3877" spans="1:12" ht="17.100000000000001" customHeight="1">
      <c r="A3877" s="626" t="s">
        <v>12709</v>
      </c>
      <c r="B3877" s="627" t="s">
        <v>13099</v>
      </c>
      <c r="C3877" s="626" t="s">
        <v>8</v>
      </c>
      <c r="D3877" s="626" t="s">
        <v>10726</v>
      </c>
      <c r="E3877" s="628" t="s">
        <v>23</v>
      </c>
      <c r="F3877" s="816" t="s">
        <v>14470</v>
      </c>
      <c r="G3877" s="816"/>
      <c r="H3877" s="816">
        <v>1.8722776000000001</v>
      </c>
      <c r="I3877" s="816"/>
      <c r="J3877" s="817">
        <v>12.9374</v>
      </c>
      <c r="K3877" s="817"/>
      <c r="L3877" s="817"/>
    </row>
    <row r="3878" spans="1:12" ht="24" customHeight="1">
      <c r="A3878" s="626" t="s">
        <v>12709</v>
      </c>
      <c r="B3878" s="627" t="s">
        <v>13046</v>
      </c>
      <c r="C3878" s="626" t="s">
        <v>8</v>
      </c>
      <c r="D3878" s="626" t="s">
        <v>11281</v>
      </c>
      <c r="E3878" s="628" t="s">
        <v>23</v>
      </c>
      <c r="F3878" s="816" t="s">
        <v>13731</v>
      </c>
      <c r="G3878" s="816"/>
      <c r="H3878" s="816">
        <v>5.6168328000000001</v>
      </c>
      <c r="I3878" s="816"/>
      <c r="J3878" s="817">
        <v>28.8705</v>
      </c>
      <c r="K3878" s="817"/>
      <c r="L3878" s="817"/>
    </row>
    <row r="3879" spans="1:12" ht="24" customHeight="1">
      <c r="A3879" s="636"/>
      <c r="B3879" s="636"/>
      <c r="C3879" s="636"/>
      <c r="D3879" s="636"/>
      <c r="E3879" s="636"/>
      <c r="F3879" s="636"/>
      <c r="G3879" s="636"/>
      <c r="H3879" s="636"/>
      <c r="I3879" s="636"/>
      <c r="J3879" s="636" t="s">
        <v>13675</v>
      </c>
      <c r="K3879" s="636"/>
      <c r="L3879" s="636" t="s">
        <v>14492</v>
      </c>
    </row>
    <row r="3880" spans="1:12" ht="17.100000000000001" customHeight="1">
      <c r="A3880" s="802" t="s">
        <v>12720</v>
      </c>
      <c r="B3880" s="802"/>
      <c r="C3880" s="802"/>
      <c r="D3880" s="802"/>
      <c r="E3880" s="802"/>
      <c r="F3880" s="802"/>
      <c r="G3880" s="802"/>
      <c r="H3880" s="802"/>
      <c r="I3880" s="612"/>
      <c r="J3880" s="612"/>
      <c r="K3880" s="612"/>
      <c r="L3880" s="612"/>
    </row>
    <row r="3881" spans="1:12">
      <c r="A3881" s="612" t="s">
        <v>13679</v>
      </c>
      <c r="B3881" s="636" t="s">
        <v>12698</v>
      </c>
      <c r="C3881" s="612" t="s">
        <v>12699</v>
      </c>
      <c r="D3881" s="612" t="s">
        <v>12700</v>
      </c>
      <c r="E3881" s="637" t="s">
        <v>12702</v>
      </c>
      <c r="F3881" s="801" t="s">
        <v>12704</v>
      </c>
      <c r="G3881" s="801"/>
      <c r="H3881" s="801" t="s">
        <v>13678</v>
      </c>
      <c r="I3881" s="801"/>
      <c r="J3881" s="801" t="s">
        <v>12705</v>
      </c>
      <c r="K3881" s="801"/>
      <c r="L3881" s="801"/>
    </row>
    <row r="3882" spans="1:12" ht="17.100000000000001" customHeight="1">
      <c r="A3882" s="626" t="s">
        <v>12709</v>
      </c>
      <c r="B3882" s="627" t="s">
        <v>12987</v>
      </c>
      <c r="C3882" s="626" t="s">
        <v>8</v>
      </c>
      <c r="D3882" s="626" t="s">
        <v>9192</v>
      </c>
      <c r="E3882" s="628" t="s">
        <v>12923</v>
      </c>
      <c r="F3882" s="816" t="s">
        <v>13999</v>
      </c>
      <c r="G3882" s="816"/>
      <c r="H3882" s="816">
        <v>0.83945530000000002</v>
      </c>
      <c r="I3882" s="816"/>
      <c r="J3882" s="817">
        <v>0.68</v>
      </c>
      <c r="K3882" s="817"/>
      <c r="L3882" s="817"/>
    </row>
    <row r="3883" spans="1:12" ht="24" customHeight="1">
      <c r="A3883" s="636"/>
      <c r="B3883" s="636"/>
      <c r="C3883" s="636"/>
      <c r="D3883" s="636"/>
      <c r="E3883" s="636"/>
      <c r="F3883" s="636"/>
      <c r="G3883" s="636"/>
      <c r="H3883" s="636"/>
      <c r="I3883" s="636"/>
      <c r="J3883" s="636" t="s">
        <v>13675</v>
      </c>
      <c r="K3883" s="636"/>
      <c r="L3883" s="636" t="s">
        <v>13827</v>
      </c>
    </row>
    <row r="3884" spans="1:12" ht="36" customHeight="1">
      <c r="A3884" s="802" t="s">
        <v>12722</v>
      </c>
      <c r="B3884" s="802"/>
      <c r="C3884" s="802"/>
      <c r="D3884" s="802"/>
      <c r="E3884" s="802"/>
      <c r="F3884" s="802"/>
      <c r="G3884" s="802"/>
      <c r="H3884" s="802"/>
      <c r="I3884" s="612"/>
      <c r="J3884" s="612"/>
      <c r="K3884" s="612"/>
      <c r="L3884" s="612"/>
    </row>
    <row r="3885" spans="1:12" ht="24" customHeight="1">
      <c r="A3885" s="612" t="s">
        <v>13679</v>
      </c>
      <c r="B3885" s="636" t="s">
        <v>12698</v>
      </c>
      <c r="C3885" s="612" t="s">
        <v>12699</v>
      </c>
      <c r="D3885" s="612" t="s">
        <v>12700</v>
      </c>
      <c r="E3885" s="637" t="s">
        <v>12702</v>
      </c>
      <c r="F3885" s="801" t="s">
        <v>12704</v>
      </c>
      <c r="G3885" s="801"/>
      <c r="H3885" s="801" t="s">
        <v>13678</v>
      </c>
      <c r="I3885" s="801"/>
      <c r="J3885" s="801" t="s">
        <v>12705</v>
      </c>
      <c r="K3885" s="801"/>
      <c r="L3885" s="801"/>
    </row>
    <row r="3886" spans="1:12" ht="17.100000000000001" customHeight="1">
      <c r="A3886" s="626" t="s">
        <v>12709</v>
      </c>
      <c r="B3886" s="627" t="s">
        <v>12998</v>
      </c>
      <c r="C3886" s="626" t="s">
        <v>8</v>
      </c>
      <c r="D3886" s="626" t="s">
        <v>11861</v>
      </c>
      <c r="E3886" s="628" t="s">
        <v>23</v>
      </c>
      <c r="F3886" s="816" t="s">
        <v>13683</v>
      </c>
      <c r="G3886" s="816"/>
      <c r="H3886" s="816">
        <v>9.2240143000000003</v>
      </c>
      <c r="I3886" s="816"/>
      <c r="J3886" s="817">
        <v>6.5491000000000001</v>
      </c>
      <c r="K3886" s="817"/>
      <c r="L3886" s="817"/>
    </row>
    <row r="3887" spans="1:12">
      <c r="A3887" s="636"/>
      <c r="B3887" s="636"/>
      <c r="C3887" s="636"/>
      <c r="D3887" s="636"/>
      <c r="E3887" s="636"/>
      <c r="F3887" s="636"/>
      <c r="G3887" s="636"/>
      <c r="H3887" s="636"/>
      <c r="I3887" s="636"/>
      <c r="J3887" s="636" t="s">
        <v>13675</v>
      </c>
      <c r="K3887" s="636"/>
      <c r="L3887" s="636" t="s">
        <v>13739</v>
      </c>
    </row>
    <row r="3888" spans="1:12" ht="17.100000000000001" customHeight="1">
      <c r="A3888" s="802" t="s">
        <v>12713</v>
      </c>
      <c r="B3888" s="802"/>
      <c r="C3888" s="802"/>
      <c r="D3888" s="802"/>
      <c r="E3888" s="802"/>
      <c r="F3888" s="802"/>
      <c r="G3888" s="802"/>
      <c r="H3888" s="802"/>
      <c r="I3888" s="612"/>
      <c r="J3888" s="612"/>
      <c r="K3888" s="612"/>
      <c r="L3888" s="612"/>
    </row>
    <row r="3889" spans="1:12" ht="24" customHeight="1">
      <c r="A3889" s="612" t="s">
        <v>13679</v>
      </c>
      <c r="B3889" s="636" t="s">
        <v>12698</v>
      </c>
      <c r="C3889" s="612" t="s">
        <v>12699</v>
      </c>
      <c r="D3889" s="612" t="s">
        <v>12700</v>
      </c>
      <c r="E3889" s="637" t="s">
        <v>12702</v>
      </c>
      <c r="F3889" s="801" t="s">
        <v>12704</v>
      </c>
      <c r="G3889" s="801"/>
      <c r="H3889" s="801" t="s">
        <v>13678</v>
      </c>
      <c r="I3889" s="801"/>
      <c r="J3889" s="801" t="s">
        <v>12705</v>
      </c>
      <c r="K3889" s="801"/>
      <c r="L3889" s="801"/>
    </row>
    <row r="3890" spans="1:12" ht="17.100000000000001" customHeight="1">
      <c r="A3890" s="626" t="s">
        <v>12709</v>
      </c>
      <c r="B3890" s="627" t="s">
        <v>12999</v>
      </c>
      <c r="C3890" s="626" t="s">
        <v>8</v>
      </c>
      <c r="D3890" s="626" t="s">
        <v>11251</v>
      </c>
      <c r="E3890" s="628" t="s">
        <v>23</v>
      </c>
      <c r="F3890" s="816" t="s">
        <v>13681</v>
      </c>
      <c r="G3890" s="816"/>
      <c r="H3890" s="816">
        <v>9.2240143000000003</v>
      </c>
      <c r="I3890" s="816"/>
      <c r="J3890" s="817">
        <v>0.64570000000000005</v>
      </c>
      <c r="K3890" s="817"/>
      <c r="L3890" s="817"/>
    </row>
    <row r="3891" spans="1:12">
      <c r="A3891" s="636"/>
      <c r="B3891" s="636"/>
      <c r="C3891" s="636"/>
      <c r="D3891" s="636"/>
      <c r="E3891" s="636"/>
      <c r="F3891" s="636"/>
      <c r="G3891" s="636"/>
      <c r="H3891" s="636"/>
      <c r="I3891" s="636"/>
      <c r="J3891" s="636" t="s">
        <v>13675</v>
      </c>
      <c r="K3891" s="636"/>
      <c r="L3891" s="636" t="s">
        <v>13738</v>
      </c>
    </row>
    <row r="3892" spans="1:12" ht="17.100000000000001" customHeight="1">
      <c r="A3892" s="802" t="s">
        <v>12712</v>
      </c>
      <c r="B3892" s="802"/>
      <c r="C3892" s="802"/>
      <c r="D3892" s="802"/>
      <c r="E3892" s="802"/>
      <c r="F3892" s="802"/>
      <c r="G3892" s="802"/>
      <c r="H3892" s="802"/>
      <c r="I3892" s="612"/>
      <c r="J3892" s="612"/>
      <c r="K3892" s="612"/>
      <c r="L3892" s="612"/>
    </row>
    <row r="3893" spans="1:12" ht="24" customHeight="1">
      <c r="A3893" s="612" t="s">
        <v>13679</v>
      </c>
      <c r="B3893" s="636" t="s">
        <v>12698</v>
      </c>
      <c r="C3893" s="612" t="s">
        <v>12699</v>
      </c>
      <c r="D3893" s="612" t="s">
        <v>12700</v>
      </c>
      <c r="E3893" s="637" t="s">
        <v>12702</v>
      </c>
      <c r="F3893" s="801" t="s">
        <v>12704</v>
      </c>
      <c r="G3893" s="801"/>
      <c r="H3893" s="801" t="s">
        <v>13678</v>
      </c>
      <c r="I3893" s="801"/>
      <c r="J3893" s="801" t="s">
        <v>12705</v>
      </c>
      <c r="K3893" s="801"/>
      <c r="L3893" s="801"/>
    </row>
    <row r="3894" spans="1:12" ht="17.100000000000001" customHeight="1">
      <c r="A3894" s="626" t="s">
        <v>12709</v>
      </c>
      <c r="B3894" s="627" t="s">
        <v>13002</v>
      </c>
      <c r="C3894" s="626" t="s">
        <v>8</v>
      </c>
      <c r="D3894" s="626" t="s">
        <v>9306</v>
      </c>
      <c r="E3894" s="628" t="s">
        <v>23</v>
      </c>
      <c r="F3894" s="816" t="s">
        <v>13677</v>
      </c>
      <c r="G3894" s="816"/>
      <c r="H3894" s="816">
        <v>9.2240143000000003</v>
      </c>
      <c r="I3894" s="816"/>
      <c r="J3894" s="817">
        <v>3.2284000000000002</v>
      </c>
      <c r="K3894" s="817"/>
      <c r="L3894" s="817"/>
    </row>
    <row r="3895" spans="1:12" ht="25.5">
      <c r="A3895" s="626" t="s">
        <v>12709</v>
      </c>
      <c r="B3895" s="627" t="s">
        <v>13004</v>
      </c>
      <c r="C3895" s="626" t="s">
        <v>8</v>
      </c>
      <c r="D3895" s="626" t="s">
        <v>7388</v>
      </c>
      <c r="E3895" s="628" t="s">
        <v>23</v>
      </c>
      <c r="F3895" s="816" t="s">
        <v>13676</v>
      </c>
      <c r="G3895" s="816"/>
      <c r="H3895" s="816">
        <v>9.2240143000000003</v>
      </c>
      <c r="I3895" s="816"/>
      <c r="J3895" s="817">
        <v>20.2928</v>
      </c>
      <c r="K3895" s="817"/>
      <c r="L3895" s="817"/>
    </row>
    <row r="3896" spans="1:12" ht="17.100000000000001" customHeight="1">
      <c r="A3896" s="636"/>
      <c r="B3896" s="636"/>
      <c r="C3896" s="636"/>
      <c r="D3896" s="636"/>
      <c r="E3896" s="636"/>
      <c r="F3896" s="636"/>
      <c r="G3896" s="636"/>
      <c r="H3896" s="636"/>
      <c r="I3896" s="636"/>
      <c r="J3896" s="636" t="s">
        <v>13675</v>
      </c>
      <c r="K3896" s="636"/>
      <c r="L3896" s="636" t="s">
        <v>13737</v>
      </c>
    </row>
    <row r="3897" spans="1:12" ht="24" customHeight="1">
      <c r="A3897" s="612" t="s">
        <v>13673</v>
      </c>
      <c r="B3897" s="612"/>
      <c r="C3897" s="612"/>
      <c r="D3897" s="612"/>
      <c r="E3897" s="612"/>
      <c r="F3897" s="612"/>
      <c r="G3897" s="612"/>
      <c r="H3897" s="612"/>
      <c r="I3897" s="612"/>
      <c r="J3897" s="612"/>
      <c r="K3897" s="612"/>
      <c r="L3897" s="612"/>
    </row>
    <row r="3898" spans="1:12" ht="24" customHeight="1">
      <c r="A3898" s="636"/>
      <c r="B3898" s="636"/>
      <c r="C3898" s="636"/>
      <c r="D3898" s="636"/>
      <c r="E3898" s="636"/>
      <c r="F3898" s="636"/>
      <c r="G3898" s="636"/>
      <c r="H3898" s="636"/>
      <c r="I3898" s="636"/>
      <c r="J3898" s="636" t="s">
        <v>13672</v>
      </c>
      <c r="K3898" s="636"/>
      <c r="L3898" s="636" t="s">
        <v>14992</v>
      </c>
    </row>
    <row r="3899" spans="1:12" ht="17.100000000000001" customHeight="1">
      <c r="A3899" s="636"/>
      <c r="B3899" s="636"/>
      <c r="C3899" s="636"/>
      <c r="D3899" s="636"/>
      <c r="E3899" s="636"/>
      <c r="F3899" s="636"/>
      <c r="G3899" s="636"/>
      <c r="H3899" s="636"/>
      <c r="I3899" s="636"/>
      <c r="J3899" s="636" t="s">
        <v>13671</v>
      </c>
      <c r="K3899" s="636" t="s">
        <v>14461</v>
      </c>
      <c r="L3899" s="636" t="s">
        <v>14993</v>
      </c>
    </row>
    <row r="3900" spans="1:12" ht="17.100000000000001" customHeight="1">
      <c r="A3900" s="636"/>
      <c r="B3900" s="636"/>
      <c r="C3900" s="636"/>
      <c r="D3900" s="636"/>
      <c r="E3900" s="636"/>
      <c r="F3900" s="636"/>
      <c r="G3900" s="636"/>
      <c r="H3900" s="636"/>
      <c r="I3900" s="636"/>
      <c r="J3900" s="636" t="s">
        <v>13670</v>
      </c>
      <c r="K3900" s="636"/>
      <c r="L3900" s="636" t="s">
        <v>14994</v>
      </c>
    </row>
    <row r="3901" spans="1:12" ht="17.100000000000001" customHeight="1">
      <c r="A3901" s="636"/>
      <c r="B3901" s="636"/>
      <c r="C3901" s="636"/>
      <c r="D3901" s="636"/>
      <c r="E3901" s="636"/>
      <c r="F3901" s="636"/>
      <c r="G3901" s="636"/>
      <c r="H3901" s="636"/>
      <c r="I3901" s="636"/>
      <c r="J3901" s="636" t="s">
        <v>13669</v>
      </c>
      <c r="K3901" s="636" t="s">
        <v>13667</v>
      </c>
      <c r="L3901" s="636" t="s">
        <v>14995</v>
      </c>
    </row>
    <row r="3902" spans="1:12" ht="17.100000000000001" customHeight="1">
      <c r="A3902" s="636"/>
      <c r="B3902" s="636"/>
      <c r="C3902" s="636"/>
      <c r="D3902" s="636"/>
      <c r="E3902" s="636"/>
      <c r="F3902" s="636"/>
      <c r="G3902" s="636"/>
      <c r="H3902" s="636"/>
      <c r="I3902" s="636"/>
      <c r="J3902" s="636" t="s">
        <v>13668</v>
      </c>
      <c r="K3902" s="636"/>
      <c r="L3902" s="636" t="s">
        <v>14996</v>
      </c>
    </row>
    <row r="3903" spans="1:12" ht="17.100000000000001" customHeight="1">
      <c r="A3903" s="637"/>
      <c r="B3903" s="637"/>
      <c r="C3903" s="637"/>
      <c r="D3903" s="637"/>
      <c r="E3903" s="637"/>
      <c r="F3903" s="637"/>
      <c r="G3903" s="637"/>
      <c r="H3903" s="637"/>
      <c r="I3903" s="637"/>
      <c r="J3903" s="637"/>
      <c r="K3903" s="637"/>
      <c r="L3903" s="637"/>
    </row>
    <row r="3904" spans="1:12" ht="17.100000000000001" customHeight="1">
      <c r="A3904" s="616" t="s">
        <v>14136</v>
      </c>
      <c r="B3904" s="617" t="s">
        <v>13632</v>
      </c>
      <c r="C3904" s="616" t="s">
        <v>8</v>
      </c>
      <c r="D3904" s="616" t="s">
        <v>4012</v>
      </c>
      <c r="E3904" s="618" t="s">
        <v>20</v>
      </c>
      <c r="F3904" s="617"/>
      <c r="G3904" s="617"/>
      <c r="H3904" s="617"/>
      <c r="I3904" s="617"/>
      <c r="J3904" s="617"/>
      <c r="K3904" s="617"/>
      <c r="L3904" s="617"/>
    </row>
    <row r="3905" spans="1:12" ht="17.100000000000001" customHeight="1">
      <c r="A3905" s="802" t="s">
        <v>12711</v>
      </c>
      <c r="B3905" s="802"/>
      <c r="C3905" s="802"/>
      <c r="D3905" s="802"/>
      <c r="E3905" s="802"/>
      <c r="F3905" s="802"/>
      <c r="G3905" s="802"/>
      <c r="H3905" s="802"/>
      <c r="I3905" s="612"/>
      <c r="J3905" s="612"/>
      <c r="K3905" s="612"/>
      <c r="L3905" s="612"/>
    </row>
    <row r="3906" spans="1:12" ht="30" customHeight="1">
      <c r="A3906" s="612" t="s">
        <v>13679</v>
      </c>
      <c r="B3906" s="636" t="s">
        <v>12698</v>
      </c>
      <c r="C3906" s="612" t="s">
        <v>12699</v>
      </c>
      <c r="D3906" s="612" t="s">
        <v>12700</v>
      </c>
      <c r="E3906" s="637" t="s">
        <v>12702</v>
      </c>
      <c r="F3906" s="801" t="s">
        <v>12704</v>
      </c>
      <c r="G3906" s="801"/>
      <c r="H3906" s="801" t="s">
        <v>13678</v>
      </c>
      <c r="I3906" s="801"/>
      <c r="J3906" s="801" t="s">
        <v>12705</v>
      </c>
      <c r="K3906" s="801"/>
      <c r="L3906" s="801"/>
    </row>
    <row r="3907" spans="1:12" ht="48" customHeight="1">
      <c r="A3907" s="626" t="s">
        <v>12709</v>
      </c>
      <c r="B3907" s="627" t="s">
        <v>13052</v>
      </c>
      <c r="C3907" s="626" t="s">
        <v>8</v>
      </c>
      <c r="D3907" s="626" t="s">
        <v>9229</v>
      </c>
      <c r="E3907" s="628" t="s">
        <v>23</v>
      </c>
      <c r="F3907" s="816" t="s">
        <v>13692</v>
      </c>
      <c r="G3907" s="816"/>
      <c r="H3907" s="816">
        <v>0.13184879999999999</v>
      </c>
      <c r="I3907" s="816"/>
      <c r="J3907" s="817">
        <v>0.12659999999999999</v>
      </c>
      <c r="K3907" s="817"/>
      <c r="L3907" s="817"/>
    </row>
    <row r="3908" spans="1:12" ht="14.25" customHeight="1">
      <c r="A3908" s="626" t="s">
        <v>12709</v>
      </c>
      <c r="B3908" s="627" t="s">
        <v>13051</v>
      </c>
      <c r="C3908" s="626" t="s">
        <v>8</v>
      </c>
      <c r="D3908" s="626" t="s">
        <v>9376</v>
      </c>
      <c r="E3908" s="628" t="s">
        <v>23</v>
      </c>
      <c r="F3908" s="816" t="s">
        <v>13691</v>
      </c>
      <c r="G3908" s="816"/>
      <c r="H3908" s="816">
        <v>0.13184879999999999</v>
      </c>
      <c r="I3908" s="816"/>
      <c r="J3908" s="817">
        <v>6.59E-2</v>
      </c>
      <c r="K3908" s="817"/>
      <c r="L3908" s="817"/>
    </row>
    <row r="3909" spans="1:12" ht="17.100000000000001" customHeight="1">
      <c r="A3909" s="636"/>
      <c r="B3909" s="636"/>
      <c r="C3909" s="636"/>
      <c r="D3909" s="636"/>
      <c r="E3909" s="636"/>
      <c r="F3909" s="636"/>
      <c r="G3909" s="636"/>
      <c r="H3909" s="636"/>
      <c r="I3909" s="636"/>
      <c r="J3909" s="636" t="s">
        <v>13675</v>
      </c>
      <c r="K3909" s="636"/>
      <c r="L3909" s="636" t="s">
        <v>13865</v>
      </c>
    </row>
    <row r="3910" spans="1:12" ht="24" customHeight="1">
      <c r="A3910" s="802" t="s">
        <v>12710</v>
      </c>
      <c r="B3910" s="802"/>
      <c r="C3910" s="802"/>
      <c r="D3910" s="802"/>
      <c r="E3910" s="802"/>
      <c r="F3910" s="802"/>
      <c r="G3910" s="802"/>
      <c r="H3910" s="802"/>
      <c r="I3910" s="612"/>
      <c r="J3910" s="612"/>
      <c r="K3910" s="612"/>
      <c r="L3910" s="612"/>
    </row>
    <row r="3911" spans="1:12" ht="24" customHeight="1">
      <c r="A3911" s="612" t="s">
        <v>13679</v>
      </c>
      <c r="B3911" s="636" t="s">
        <v>12698</v>
      </c>
      <c r="C3911" s="612" t="s">
        <v>12699</v>
      </c>
      <c r="D3911" s="612" t="s">
        <v>12700</v>
      </c>
      <c r="E3911" s="637" t="s">
        <v>12702</v>
      </c>
      <c r="F3911" s="801" t="s">
        <v>12704</v>
      </c>
      <c r="G3911" s="801"/>
      <c r="H3911" s="801" t="s">
        <v>13678</v>
      </c>
      <c r="I3911" s="801"/>
      <c r="J3911" s="801" t="s">
        <v>12705</v>
      </c>
      <c r="K3911" s="801"/>
      <c r="L3911" s="801"/>
    </row>
    <row r="3912" spans="1:12" ht="17.100000000000001" customHeight="1">
      <c r="A3912" s="626" t="s">
        <v>12709</v>
      </c>
      <c r="B3912" s="627" t="s">
        <v>13230</v>
      </c>
      <c r="C3912" s="626" t="s">
        <v>8</v>
      </c>
      <c r="D3912" s="626" t="s">
        <v>7362</v>
      </c>
      <c r="E3912" s="628" t="s">
        <v>23</v>
      </c>
      <c r="F3912" s="816" t="s">
        <v>14514</v>
      </c>
      <c r="G3912" s="816"/>
      <c r="H3912" s="816">
        <v>3.0772000000000001E-2</v>
      </c>
      <c r="I3912" s="816"/>
      <c r="J3912" s="817">
        <v>0.14799999999999999</v>
      </c>
      <c r="K3912" s="817"/>
      <c r="L3912" s="817"/>
    </row>
    <row r="3913" spans="1:12" ht="14.25" customHeight="1">
      <c r="A3913" s="626" t="s">
        <v>12709</v>
      </c>
      <c r="B3913" s="627" t="s">
        <v>13224</v>
      </c>
      <c r="C3913" s="626" t="s">
        <v>8</v>
      </c>
      <c r="D3913" s="626" t="s">
        <v>7556</v>
      </c>
      <c r="E3913" s="628" t="s">
        <v>23</v>
      </c>
      <c r="F3913" s="816" t="s">
        <v>14470</v>
      </c>
      <c r="G3913" s="816"/>
      <c r="H3913" s="816">
        <v>0.1014077</v>
      </c>
      <c r="I3913" s="816"/>
      <c r="J3913" s="817">
        <v>0.70069999999999999</v>
      </c>
      <c r="K3913" s="817"/>
      <c r="L3913" s="817"/>
    </row>
    <row r="3914" spans="1:12" ht="17.100000000000001" customHeight="1">
      <c r="A3914" s="636"/>
      <c r="B3914" s="636"/>
      <c r="C3914" s="636"/>
      <c r="D3914" s="636"/>
      <c r="E3914" s="636"/>
      <c r="F3914" s="636"/>
      <c r="G3914" s="636"/>
      <c r="H3914" s="636"/>
      <c r="I3914" s="636"/>
      <c r="J3914" s="636" t="s">
        <v>13675</v>
      </c>
      <c r="K3914" s="636"/>
      <c r="L3914" s="636" t="s">
        <v>13906</v>
      </c>
    </row>
    <row r="3915" spans="1:12" ht="24" customHeight="1">
      <c r="A3915" s="802" t="s">
        <v>12720</v>
      </c>
      <c r="B3915" s="802"/>
      <c r="C3915" s="802"/>
      <c r="D3915" s="802"/>
      <c r="E3915" s="802"/>
      <c r="F3915" s="802"/>
      <c r="G3915" s="802"/>
      <c r="H3915" s="802"/>
      <c r="I3915" s="612"/>
      <c r="J3915" s="612"/>
      <c r="K3915" s="612"/>
      <c r="L3915" s="612"/>
    </row>
    <row r="3916" spans="1:12" ht="24" customHeight="1">
      <c r="A3916" s="612" t="s">
        <v>13679</v>
      </c>
      <c r="B3916" s="636" t="s">
        <v>12698</v>
      </c>
      <c r="C3916" s="612" t="s">
        <v>12699</v>
      </c>
      <c r="D3916" s="612" t="s">
        <v>12700</v>
      </c>
      <c r="E3916" s="637" t="s">
        <v>12702</v>
      </c>
      <c r="F3916" s="801" t="s">
        <v>12704</v>
      </c>
      <c r="G3916" s="801"/>
      <c r="H3916" s="801" t="s">
        <v>13678</v>
      </c>
      <c r="I3916" s="801"/>
      <c r="J3916" s="801" t="s">
        <v>12705</v>
      </c>
      <c r="K3916" s="801"/>
      <c r="L3916" s="801"/>
    </row>
    <row r="3917" spans="1:12" ht="17.100000000000001" customHeight="1">
      <c r="A3917" s="626" t="s">
        <v>12709</v>
      </c>
      <c r="B3917" s="627" t="s">
        <v>13311</v>
      </c>
      <c r="C3917" s="626" t="s">
        <v>8</v>
      </c>
      <c r="D3917" s="626" t="s">
        <v>7522</v>
      </c>
      <c r="E3917" s="628" t="s">
        <v>20</v>
      </c>
      <c r="F3917" s="816" t="s">
        <v>14521</v>
      </c>
      <c r="G3917" s="816"/>
      <c r="H3917" s="816">
        <v>2.5000000000000001E-2</v>
      </c>
      <c r="I3917" s="816"/>
      <c r="J3917" s="817">
        <v>0.34</v>
      </c>
      <c r="K3917" s="817"/>
      <c r="L3917" s="817"/>
    </row>
    <row r="3918" spans="1:12" ht="25.5">
      <c r="A3918" s="626" t="s">
        <v>12709</v>
      </c>
      <c r="B3918" s="627" t="s">
        <v>13310</v>
      </c>
      <c r="C3918" s="626" t="s">
        <v>8</v>
      </c>
      <c r="D3918" s="626" t="s">
        <v>9265</v>
      </c>
      <c r="E3918" s="628" t="s">
        <v>35</v>
      </c>
      <c r="F3918" s="816" t="s">
        <v>13875</v>
      </c>
      <c r="G3918" s="816"/>
      <c r="H3918" s="816">
        <v>0.46550000000000002</v>
      </c>
      <c r="I3918" s="816"/>
      <c r="J3918" s="817">
        <v>0.06</v>
      </c>
      <c r="K3918" s="817"/>
      <c r="L3918" s="817"/>
    </row>
    <row r="3919" spans="1:12" ht="17.100000000000001" customHeight="1">
      <c r="A3919" s="626" t="s">
        <v>12709</v>
      </c>
      <c r="B3919" s="627" t="s">
        <v>13246</v>
      </c>
      <c r="C3919" s="626" t="s">
        <v>8</v>
      </c>
      <c r="D3919" s="626" t="s">
        <v>7260</v>
      </c>
      <c r="E3919" s="628" t="s">
        <v>20</v>
      </c>
      <c r="F3919" s="816" t="s">
        <v>14713</v>
      </c>
      <c r="G3919" s="816"/>
      <c r="H3919" s="816">
        <v>1.1062145999999999</v>
      </c>
      <c r="I3919" s="816"/>
      <c r="J3919" s="817">
        <v>5.6970000000000001</v>
      </c>
      <c r="K3919" s="817"/>
      <c r="L3919" s="817"/>
    </row>
    <row r="3920" spans="1:12" ht="24" customHeight="1">
      <c r="A3920" s="636"/>
      <c r="B3920" s="636"/>
      <c r="C3920" s="636"/>
      <c r="D3920" s="636"/>
      <c r="E3920" s="636"/>
      <c r="F3920" s="636"/>
      <c r="G3920" s="636"/>
      <c r="H3920" s="636"/>
      <c r="I3920" s="636"/>
      <c r="J3920" s="636" t="s">
        <v>13675</v>
      </c>
      <c r="K3920" s="636"/>
      <c r="L3920" s="636" t="s">
        <v>14722</v>
      </c>
    </row>
    <row r="3921" spans="1:12" ht="36" customHeight="1">
      <c r="A3921" s="802" t="s">
        <v>12722</v>
      </c>
      <c r="B3921" s="802"/>
      <c r="C3921" s="802"/>
      <c r="D3921" s="802"/>
      <c r="E3921" s="802"/>
      <c r="F3921" s="802"/>
      <c r="G3921" s="802"/>
      <c r="H3921" s="802"/>
      <c r="I3921" s="612"/>
      <c r="J3921" s="612"/>
      <c r="K3921" s="612"/>
      <c r="L3921" s="612"/>
    </row>
    <row r="3922" spans="1:12" ht="24" customHeight="1">
      <c r="A3922" s="612" t="s">
        <v>13679</v>
      </c>
      <c r="B3922" s="636" t="s">
        <v>12698</v>
      </c>
      <c r="C3922" s="612" t="s">
        <v>12699</v>
      </c>
      <c r="D3922" s="612" t="s">
        <v>12700</v>
      </c>
      <c r="E3922" s="637" t="s">
        <v>12702</v>
      </c>
      <c r="F3922" s="801" t="s">
        <v>12704</v>
      </c>
      <c r="G3922" s="801"/>
      <c r="H3922" s="801" t="s">
        <v>13678</v>
      </c>
      <c r="I3922" s="801"/>
      <c r="J3922" s="801" t="s">
        <v>12705</v>
      </c>
      <c r="K3922" s="801"/>
      <c r="L3922" s="801"/>
    </row>
    <row r="3923" spans="1:12" ht="17.100000000000001" customHeight="1">
      <c r="A3923" s="626" t="s">
        <v>12709</v>
      </c>
      <c r="B3923" s="627" t="s">
        <v>12998</v>
      </c>
      <c r="C3923" s="626" t="s">
        <v>8</v>
      </c>
      <c r="D3923" s="626" t="s">
        <v>11861</v>
      </c>
      <c r="E3923" s="628" t="s">
        <v>23</v>
      </c>
      <c r="F3923" s="816" t="s">
        <v>13683</v>
      </c>
      <c r="G3923" s="816"/>
      <c r="H3923" s="816">
        <v>0.13184879999999999</v>
      </c>
      <c r="I3923" s="816"/>
      <c r="J3923" s="817">
        <v>9.3600000000000003E-2</v>
      </c>
      <c r="K3923" s="817"/>
      <c r="L3923" s="817"/>
    </row>
    <row r="3924" spans="1:12">
      <c r="A3924" s="636"/>
      <c r="B3924" s="636"/>
      <c r="C3924" s="636"/>
      <c r="D3924" s="636"/>
      <c r="E3924" s="636"/>
      <c r="F3924" s="636"/>
      <c r="G3924" s="636"/>
      <c r="H3924" s="636"/>
      <c r="I3924" s="636"/>
      <c r="J3924" s="636" t="s">
        <v>13675</v>
      </c>
      <c r="K3924" s="636"/>
      <c r="L3924" s="636" t="s">
        <v>13815</v>
      </c>
    </row>
    <row r="3925" spans="1:12" ht="17.100000000000001" customHeight="1">
      <c r="A3925" s="802" t="s">
        <v>12713</v>
      </c>
      <c r="B3925" s="802"/>
      <c r="C3925" s="802"/>
      <c r="D3925" s="802"/>
      <c r="E3925" s="802"/>
      <c r="F3925" s="802"/>
      <c r="G3925" s="802"/>
      <c r="H3925" s="802"/>
      <c r="I3925" s="612"/>
      <c r="J3925" s="612"/>
      <c r="K3925" s="612"/>
      <c r="L3925" s="612"/>
    </row>
    <row r="3926" spans="1:12" ht="24" customHeight="1">
      <c r="A3926" s="612" t="s">
        <v>13679</v>
      </c>
      <c r="B3926" s="636" t="s">
        <v>12698</v>
      </c>
      <c r="C3926" s="612" t="s">
        <v>12699</v>
      </c>
      <c r="D3926" s="612" t="s">
        <v>12700</v>
      </c>
      <c r="E3926" s="637" t="s">
        <v>12702</v>
      </c>
      <c r="F3926" s="801" t="s">
        <v>12704</v>
      </c>
      <c r="G3926" s="801"/>
      <c r="H3926" s="801" t="s">
        <v>13678</v>
      </c>
      <c r="I3926" s="801"/>
      <c r="J3926" s="801" t="s">
        <v>12705</v>
      </c>
      <c r="K3926" s="801"/>
      <c r="L3926" s="801"/>
    </row>
    <row r="3927" spans="1:12" ht="17.100000000000001" customHeight="1">
      <c r="A3927" s="626" t="s">
        <v>12709</v>
      </c>
      <c r="B3927" s="627" t="s">
        <v>12999</v>
      </c>
      <c r="C3927" s="626" t="s">
        <v>8</v>
      </c>
      <c r="D3927" s="626" t="s">
        <v>11251</v>
      </c>
      <c r="E3927" s="628" t="s">
        <v>23</v>
      </c>
      <c r="F3927" s="816" t="s">
        <v>13681</v>
      </c>
      <c r="G3927" s="816"/>
      <c r="H3927" s="816">
        <v>0.13184879999999999</v>
      </c>
      <c r="I3927" s="816"/>
      <c r="J3927" s="817">
        <v>9.1999999999999998E-3</v>
      </c>
      <c r="K3927" s="817"/>
      <c r="L3927" s="817"/>
    </row>
    <row r="3928" spans="1:12">
      <c r="A3928" s="636"/>
      <c r="B3928" s="636"/>
      <c r="C3928" s="636"/>
      <c r="D3928" s="636"/>
      <c r="E3928" s="636"/>
      <c r="F3928" s="636"/>
      <c r="G3928" s="636"/>
      <c r="H3928" s="636"/>
      <c r="I3928" s="636"/>
      <c r="J3928" s="636" t="s">
        <v>13675</v>
      </c>
      <c r="K3928" s="636"/>
      <c r="L3928" s="636" t="s">
        <v>13728</v>
      </c>
    </row>
    <row r="3929" spans="1:12" ht="17.100000000000001" customHeight="1">
      <c r="A3929" s="802" t="s">
        <v>12712</v>
      </c>
      <c r="B3929" s="802"/>
      <c r="C3929" s="802"/>
      <c r="D3929" s="802"/>
      <c r="E3929" s="802"/>
      <c r="F3929" s="802"/>
      <c r="G3929" s="802"/>
      <c r="H3929" s="802"/>
      <c r="I3929" s="612"/>
      <c r="J3929" s="612"/>
      <c r="K3929" s="612"/>
      <c r="L3929" s="612"/>
    </row>
    <row r="3930" spans="1:12" ht="24" customHeight="1">
      <c r="A3930" s="612" t="s">
        <v>13679</v>
      </c>
      <c r="B3930" s="636" t="s">
        <v>12698</v>
      </c>
      <c r="C3930" s="612" t="s">
        <v>12699</v>
      </c>
      <c r="D3930" s="612" t="s">
        <v>12700</v>
      </c>
      <c r="E3930" s="637" t="s">
        <v>12702</v>
      </c>
      <c r="F3930" s="801" t="s">
        <v>12704</v>
      </c>
      <c r="G3930" s="801"/>
      <c r="H3930" s="801" t="s">
        <v>13678</v>
      </c>
      <c r="I3930" s="801"/>
      <c r="J3930" s="801" t="s">
        <v>12705</v>
      </c>
      <c r="K3930" s="801"/>
      <c r="L3930" s="801"/>
    </row>
    <row r="3931" spans="1:12" ht="17.100000000000001" customHeight="1">
      <c r="A3931" s="626" t="s">
        <v>12709</v>
      </c>
      <c r="B3931" s="627" t="s">
        <v>13002</v>
      </c>
      <c r="C3931" s="626" t="s">
        <v>8</v>
      </c>
      <c r="D3931" s="626" t="s">
        <v>9306</v>
      </c>
      <c r="E3931" s="628" t="s">
        <v>23</v>
      </c>
      <c r="F3931" s="816" t="s">
        <v>13677</v>
      </c>
      <c r="G3931" s="816"/>
      <c r="H3931" s="816">
        <v>0.13184879999999999</v>
      </c>
      <c r="I3931" s="816"/>
      <c r="J3931" s="817">
        <v>4.6100000000000002E-2</v>
      </c>
      <c r="K3931" s="817"/>
      <c r="L3931" s="817"/>
    </row>
    <row r="3932" spans="1:12" ht="25.5">
      <c r="A3932" s="626" t="s">
        <v>12709</v>
      </c>
      <c r="B3932" s="627" t="s">
        <v>13004</v>
      </c>
      <c r="C3932" s="626" t="s">
        <v>8</v>
      </c>
      <c r="D3932" s="626" t="s">
        <v>7388</v>
      </c>
      <c r="E3932" s="628" t="s">
        <v>23</v>
      </c>
      <c r="F3932" s="816" t="s">
        <v>13676</v>
      </c>
      <c r="G3932" s="816"/>
      <c r="H3932" s="816">
        <v>0.13184879999999999</v>
      </c>
      <c r="I3932" s="816"/>
      <c r="J3932" s="817">
        <v>0.29010000000000002</v>
      </c>
      <c r="K3932" s="817"/>
      <c r="L3932" s="817"/>
    </row>
    <row r="3933" spans="1:12" ht="17.100000000000001" customHeight="1">
      <c r="A3933" s="636"/>
      <c r="B3933" s="636"/>
      <c r="C3933" s="636"/>
      <c r="D3933" s="636"/>
      <c r="E3933" s="636"/>
      <c r="F3933" s="636"/>
      <c r="G3933" s="636"/>
      <c r="H3933" s="636"/>
      <c r="I3933" s="636"/>
      <c r="J3933" s="636" t="s">
        <v>13675</v>
      </c>
      <c r="K3933" s="636"/>
      <c r="L3933" s="636" t="s">
        <v>13740</v>
      </c>
    </row>
    <row r="3934" spans="1:12" ht="24" customHeight="1">
      <c r="A3934" s="612" t="s">
        <v>13673</v>
      </c>
      <c r="B3934" s="612"/>
      <c r="C3934" s="612"/>
      <c r="D3934" s="612"/>
      <c r="E3934" s="612"/>
      <c r="F3934" s="612"/>
      <c r="G3934" s="612"/>
      <c r="H3934" s="612"/>
      <c r="I3934" s="612"/>
      <c r="J3934" s="612"/>
      <c r="K3934" s="612"/>
      <c r="L3934" s="612"/>
    </row>
    <row r="3935" spans="1:12" ht="24" customHeight="1">
      <c r="A3935" s="636"/>
      <c r="B3935" s="636"/>
      <c r="C3935" s="636"/>
      <c r="D3935" s="636"/>
      <c r="E3935" s="636"/>
      <c r="F3935" s="636"/>
      <c r="G3935" s="636"/>
      <c r="H3935" s="636"/>
      <c r="I3935" s="636"/>
      <c r="J3935" s="636" t="s">
        <v>13672</v>
      </c>
      <c r="K3935" s="636"/>
      <c r="L3935" s="636" t="s">
        <v>14997</v>
      </c>
    </row>
    <row r="3936" spans="1:12" ht="17.100000000000001" customHeight="1">
      <c r="A3936" s="636"/>
      <c r="B3936" s="636"/>
      <c r="C3936" s="636"/>
      <c r="D3936" s="636"/>
      <c r="E3936" s="636"/>
      <c r="F3936" s="636"/>
      <c r="G3936" s="636"/>
      <c r="H3936" s="636"/>
      <c r="I3936" s="636"/>
      <c r="J3936" s="636" t="s">
        <v>13671</v>
      </c>
      <c r="K3936" s="636" t="s">
        <v>14461</v>
      </c>
      <c r="L3936" s="636" t="s">
        <v>14998</v>
      </c>
    </row>
    <row r="3937" spans="1:12" ht="17.100000000000001" customHeight="1">
      <c r="A3937" s="636"/>
      <c r="B3937" s="636"/>
      <c r="C3937" s="636"/>
      <c r="D3937" s="636"/>
      <c r="E3937" s="636"/>
      <c r="F3937" s="636"/>
      <c r="G3937" s="636"/>
      <c r="H3937" s="636"/>
      <c r="I3937" s="636"/>
      <c r="J3937" s="636" t="s">
        <v>13670</v>
      </c>
      <c r="K3937" s="636"/>
      <c r="L3937" s="636" t="s">
        <v>14999</v>
      </c>
    </row>
    <row r="3938" spans="1:12" ht="17.100000000000001" customHeight="1">
      <c r="A3938" s="636"/>
      <c r="B3938" s="636"/>
      <c r="C3938" s="636"/>
      <c r="D3938" s="636"/>
      <c r="E3938" s="636"/>
      <c r="F3938" s="636"/>
      <c r="G3938" s="636"/>
      <c r="H3938" s="636"/>
      <c r="I3938" s="636"/>
      <c r="J3938" s="636" t="s">
        <v>13669</v>
      </c>
      <c r="K3938" s="636" t="s">
        <v>13667</v>
      </c>
      <c r="L3938" s="636" t="s">
        <v>15000</v>
      </c>
    </row>
    <row r="3939" spans="1:12" ht="17.100000000000001" customHeight="1">
      <c r="A3939" s="636"/>
      <c r="B3939" s="636"/>
      <c r="C3939" s="636"/>
      <c r="D3939" s="636"/>
      <c r="E3939" s="636"/>
      <c r="F3939" s="636"/>
      <c r="G3939" s="636"/>
      <c r="H3939" s="636"/>
      <c r="I3939" s="636"/>
      <c r="J3939" s="636" t="s">
        <v>13668</v>
      </c>
      <c r="K3939" s="636"/>
      <c r="L3939" s="636" t="s">
        <v>15001</v>
      </c>
    </row>
    <row r="3940" spans="1:12" ht="17.100000000000001" customHeight="1">
      <c r="A3940" s="637"/>
      <c r="B3940" s="637"/>
      <c r="C3940" s="637"/>
      <c r="D3940" s="637"/>
      <c r="E3940" s="637"/>
      <c r="F3940" s="637"/>
      <c r="G3940" s="637"/>
      <c r="H3940" s="637"/>
      <c r="I3940" s="637"/>
      <c r="J3940" s="637"/>
      <c r="K3940" s="637"/>
      <c r="L3940" s="637"/>
    </row>
    <row r="3941" spans="1:12" ht="17.100000000000001" customHeight="1">
      <c r="A3941" s="616" t="s">
        <v>14135</v>
      </c>
      <c r="B3941" s="617" t="s">
        <v>13632</v>
      </c>
      <c r="C3941" s="616" t="s">
        <v>8</v>
      </c>
      <c r="D3941" s="616" t="s">
        <v>4012</v>
      </c>
      <c r="E3941" s="618" t="s">
        <v>20</v>
      </c>
      <c r="F3941" s="617"/>
      <c r="G3941" s="617"/>
      <c r="H3941" s="617"/>
      <c r="I3941" s="617"/>
      <c r="J3941" s="617"/>
      <c r="K3941" s="617"/>
      <c r="L3941" s="617"/>
    </row>
    <row r="3942" spans="1:12" ht="17.100000000000001" customHeight="1">
      <c r="A3942" s="802" t="s">
        <v>12711</v>
      </c>
      <c r="B3942" s="802"/>
      <c r="C3942" s="802"/>
      <c r="D3942" s="802"/>
      <c r="E3942" s="802"/>
      <c r="F3942" s="802"/>
      <c r="G3942" s="802"/>
      <c r="H3942" s="802"/>
      <c r="I3942" s="612"/>
      <c r="J3942" s="612"/>
      <c r="K3942" s="612"/>
      <c r="L3942" s="612"/>
    </row>
    <row r="3943" spans="1:12" ht="30" customHeight="1">
      <c r="A3943" s="612" t="s">
        <v>13679</v>
      </c>
      <c r="B3943" s="636" t="s">
        <v>12698</v>
      </c>
      <c r="C3943" s="612" t="s">
        <v>12699</v>
      </c>
      <c r="D3943" s="612" t="s">
        <v>12700</v>
      </c>
      <c r="E3943" s="637" t="s">
        <v>12702</v>
      </c>
      <c r="F3943" s="801" t="s">
        <v>12704</v>
      </c>
      <c r="G3943" s="801"/>
      <c r="H3943" s="801" t="s">
        <v>13678</v>
      </c>
      <c r="I3943" s="801"/>
      <c r="J3943" s="801" t="s">
        <v>12705</v>
      </c>
      <c r="K3943" s="801"/>
      <c r="L3943" s="801"/>
    </row>
    <row r="3944" spans="1:12" ht="36" customHeight="1">
      <c r="A3944" s="626" t="s">
        <v>12709</v>
      </c>
      <c r="B3944" s="627" t="s">
        <v>13052</v>
      </c>
      <c r="C3944" s="626" t="s">
        <v>8</v>
      </c>
      <c r="D3944" s="626" t="s">
        <v>9229</v>
      </c>
      <c r="E3944" s="628" t="s">
        <v>23</v>
      </c>
      <c r="F3944" s="816" t="s">
        <v>13692</v>
      </c>
      <c r="G3944" s="816"/>
      <c r="H3944" s="816">
        <v>0.13184879999999999</v>
      </c>
      <c r="I3944" s="816"/>
      <c r="J3944" s="817">
        <v>0.12659999999999999</v>
      </c>
      <c r="K3944" s="817"/>
      <c r="L3944" s="817"/>
    </row>
    <row r="3945" spans="1:12" ht="14.25" customHeight="1">
      <c r="A3945" s="626" t="s">
        <v>12709</v>
      </c>
      <c r="B3945" s="627" t="s">
        <v>13051</v>
      </c>
      <c r="C3945" s="626" t="s">
        <v>8</v>
      </c>
      <c r="D3945" s="626" t="s">
        <v>9376</v>
      </c>
      <c r="E3945" s="628" t="s">
        <v>23</v>
      </c>
      <c r="F3945" s="816" t="s">
        <v>13691</v>
      </c>
      <c r="G3945" s="816"/>
      <c r="H3945" s="816">
        <v>0.13184879999999999</v>
      </c>
      <c r="I3945" s="816"/>
      <c r="J3945" s="817">
        <v>6.59E-2</v>
      </c>
      <c r="K3945" s="817"/>
      <c r="L3945" s="817"/>
    </row>
    <row r="3946" spans="1:12" ht="17.100000000000001" customHeight="1">
      <c r="A3946" s="636"/>
      <c r="B3946" s="636"/>
      <c r="C3946" s="636"/>
      <c r="D3946" s="636"/>
      <c r="E3946" s="636"/>
      <c r="F3946" s="636"/>
      <c r="G3946" s="636"/>
      <c r="H3946" s="636"/>
      <c r="I3946" s="636"/>
      <c r="J3946" s="636" t="s">
        <v>13675</v>
      </c>
      <c r="K3946" s="636"/>
      <c r="L3946" s="636" t="s">
        <v>13865</v>
      </c>
    </row>
    <row r="3947" spans="1:12" ht="24" customHeight="1">
      <c r="A3947" s="802" t="s">
        <v>12710</v>
      </c>
      <c r="B3947" s="802"/>
      <c r="C3947" s="802"/>
      <c r="D3947" s="802"/>
      <c r="E3947" s="802"/>
      <c r="F3947" s="802"/>
      <c r="G3947" s="802"/>
      <c r="H3947" s="802"/>
      <c r="I3947" s="612"/>
      <c r="J3947" s="612"/>
      <c r="K3947" s="612"/>
      <c r="L3947" s="612"/>
    </row>
    <row r="3948" spans="1:12" ht="24" customHeight="1">
      <c r="A3948" s="612" t="s">
        <v>13679</v>
      </c>
      <c r="B3948" s="636" t="s">
        <v>12698</v>
      </c>
      <c r="C3948" s="612" t="s">
        <v>12699</v>
      </c>
      <c r="D3948" s="612" t="s">
        <v>12700</v>
      </c>
      <c r="E3948" s="637" t="s">
        <v>12702</v>
      </c>
      <c r="F3948" s="801" t="s">
        <v>12704</v>
      </c>
      <c r="G3948" s="801"/>
      <c r="H3948" s="801" t="s">
        <v>13678</v>
      </c>
      <c r="I3948" s="801"/>
      <c r="J3948" s="801" t="s">
        <v>12705</v>
      </c>
      <c r="K3948" s="801"/>
      <c r="L3948" s="801"/>
    </row>
    <row r="3949" spans="1:12" ht="24" customHeight="1">
      <c r="A3949" s="626" t="s">
        <v>12709</v>
      </c>
      <c r="B3949" s="627" t="s">
        <v>13230</v>
      </c>
      <c r="C3949" s="626" t="s">
        <v>8</v>
      </c>
      <c r="D3949" s="626" t="s">
        <v>7362</v>
      </c>
      <c r="E3949" s="628" t="s">
        <v>23</v>
      </c>
      <c r="F3949" s="816" t="s">
        <v>14514</v>
      </c>
      <c r="G3949" s="816"/>
      <c r="H3949" s="816">
        <v>3.0772000000000001E-2</v>
      </c>
      <c r="I3949" s="816"/>
      <c r="J3949" s="817">
        <v>0.14799999999999999</v>
      </c>
      <c r="K3949" s="817"/>
      <c r="L3949" s="817"/>
    </row>
    <row r="3950" spans="1:12" ht="24" customHeight="1">
      <c r="A3950" s="626" t="s">
        <v>12709</v>
      </c>
      <c r="B3950" s="627" t="s">
        <v>13224</v>
      </c>
      <c r="C3950" s="626" t="s">
        <v>8</v>
      </c>
      <c r="D3950" s="626" t="s">
        <v>7556</v>
      </c>
      <c r="E3950" s="628" t="s">
        <v>23</v>
      </c>
      <c r="F3950" s="816" t="s">
        <v>14470</v>
      </c>
      <c r="G3950" s="816"/>
      <c r="H3950" s="816">
        <v>0.1014077</v>
      </c>
      <c r="I3950" s="816"/>
      <c r="J3950" s="817">
        <v>0.70069999999999999</v>
      </c>
      <c r="K3950" s="817"/>
      <c r="L3950" s="817"/>
    </row>
    <row r="3951" spans="1:12" ht="17.100000000000001" customHeight="1">
      <c r="A3951" s="636"/>
      <c r="B3951" s="636"/>
      <c r="C3951" s="636"/>
      <c r="D3951" s="636"/>
      <c r="E3951" s="636"/>
      <c r="F3951" s="636"/>
      <c r="G3951" s="636"/>
      <c r="H3951" s="636"/>
      <c r="I3951" s="636"/>
      <c r="J3951" s="636" t="s">
        <v>13675</v>
      </c>
      <c r="K3951" s="636"/>
      <c r="L3951" s="636" t="s">
        <v>13906</v>
      </c>
    </row>
    <row r="3952" spans="1:12" ht="14.25" customHeight="1">
      <c r="A3952" s="802" t="s">
        <v>12720</v>
      </c>
      <c r="B3952" s="802"/>
      <c r="C3952" s="802"/>
      <c r="D3952" s="802"/>
      <c r="E3952" s="802"/>
      <c r="F3952" s="802"/>
      <c r="G3952" s="802"/>
      <c r="H3952" s="802"/>
      <c r="I3952" s="612"/>
      <c r="J3952" s="612"/>
      <c r="K3952" s="612"/>
      <c r="L3952" s="612"/>
    </row>
    <row r="3953" spans="1:12" ht="17.100000000000001" customHeight="1">
      <c r="A3953" s="612" t="s">
        <v>13679</v>
      </c>
      <c r="B3953" s="636" t="s">
        <v>12698</v>
      </c>
      <c r="C3953" s="612" t="s">
        <v>12699</v>
      </c>
      <c r="D3953" s="612" t="s">
        <v>12700</v>
      </c>
      <c r="E3953" s="637" t="s">
        <v>12702</v>
      </c>
      <c r="F3953" s="801" t="s">
        <v>12704</v>
      </c>
      <c r="G3953" s="801"/>
      <c r="H3953" s="801" t="s">
        <v>13678</v>
      </c>
      <c r="I3953" s="801"/>
      <c r="J3953" s="801" t="s">
        <v>12705</v>
      </c>
      <c r="K3953" s="801"/>
      <c r="L3953" s="801"/>
    </row>
    <row r="3954" spans="1:12" ht="24" customHeight="1">
      <c r="A3954" s="626" t="s">
        <v>12709</v>
      </c>
      <c r="B3954" s="627" t="s">
        <v>13311</v>
      </c>
      <c r="C3954" s="626" t="s">
        <v>8</v>
      </c>
      <c r="D3954" s="626" t="s">
        <v>7522</v>
      </c>
      <c r="E3954" s="628" t="s">
        <v>20</v>
      </c>
      <c r="F3954" s="816" t="s">
        <v>14521</v>
      </c>
      <c r="G3954" s="816"/>
      <c r="H3954" s="816">
        <v>2.5000000000000001E-2</v>
      </c>
      <c r="I3954" s="816"/>
      <c r="J3954" s="817">
        <v>0.34</v>
      </c>
      <c r="K3954" s="817"/>
      <c r="L3954" s="817"/>
    </row>
    <row r="3955" spans="1:12" ht="24" customHeight="1">
      <c r="A3955" s="626" t="s">
        <v>12709</v>
      </c>
      <c r="B3955" s="627" t="s">
        <v>13310</v>
      </c>
      <c r="C3955" s="626" t="s">
        <v>8</v>
      </c>
      <c r="D3955" s="626" t="s">
        <v>9265</v>
      </c>
      <c r="E3955" s="628" t="s">
        <v>35</v>
      </c>
      <c r="F3955" s="816" t="s">
        <v>13875</v>
      </c>
      <c r="G3955" s="816"/>
      <c r="H3955" s="816">
        <v>0.46550000000000002</v>
      </c>
      <c r="I3955" s="816"/>
      <c r="J3955" s="817">
        <v>0.06</v>
      </c>
      <c r="K3955" s="817"/>
      <c r="L3955" s="817"/>
    </row>
    <row r="3956" spans="1:12" ht="24" customHeight="1">
      <c r="A3956" s="626" t="s">
        <v>12709</v>
      </c>
      <c r="B3956" s="627" t="s">
        <v>13246</v>
      </c>
      <c r="C3956" s="626" t="s">
        <v>8</v>
      </c>
      <c r="D3956" s="626" t="s">
        <v>7260</v>
      </c>
      <c r="E3956" s="628" t="s">
        <v>20</v>
      </c>
      <c r="F3956" s="816" t="s">
        <v>14713</v>
      </c>
      <c r="G3956" s="816"/>
      <c r="H3956" s="816">
        <v>1.1062145999999999</v>
      </c>
      <c r="I3956" s="816"/>
      <c r="J3956" s="817">
        <v>5.6970000000000001</v>
      </c>
      <c r="K3956" s="817"/>
      <c r="L3956" s="817"/>
    </row>
    <row r="3957" spans="1:12" ht="17.100000000000001" customHeight="1">
      <c r="A3957" s="636"/>
      <c r="B3957" s="636"/>
      <c r="C3957" s="636"/>
      <c r="D3957" s="636"/>
      <c r="E3957" s="636"/>
      <c r="F3957" s="636"/>
      <c r="G3957" s="636"/>
      <c r="H3957" s="636"/>
      <c r="I3957" s="636"/>
      <c r="J3957" s="636" t="s">
        <v>13675</v>
      </c>
      <c r="K3957" s="636"/>
      <c r="L3957" s="636" t="s">
        <v>14722</v>
      </c>
    </row>
    <row r="3958" spans="1:12">
      <c r="A3958" s="802" t="s">
        <v>12722</v>
      </c>
      <c r="B3958" s="802"/>
      <c r="C3958" s="802"/>
      <c r="D3958" s="802"/>
      <c r="E3958" s="802"/>
      <c r="F3958" s="802"/>
      <c r="G3958" s="802"/>
      <c r="H3958" s="802"/>
      <c r="I3958" s="612"/>
      <c r="J3958" s="612"/>
      <c r="K3958" s="612"/>
      <c r="L3958" s="612"/>
    </row>
    <row r="3959" spans="1:12" ht="17.100000000000001" customHeight="1">
      <c r="A3959" s="612" t="s">
        <v>13679</v>
      </c>
      <c r="B3959" s="636" t="s">
        <v>12698</v>
      </c>
      <c r="C3959" s="612" t="s">
        <v>12699</v>
      </c>
      <c r="D3959" s="612" t="s">
        <v>12700</v>
      </c>
      <c r="E3959" s="637" t="s">
        <v>12702</v>
      </c>
      <c r="F3959" s="801" t="s">
        <v>12704</v>
      </c>
      <c r="G3959" s="801"/>
      <c r="H3959" s="801" t="s">
        <v>13678</v>
      </c>
      <c r="I3959" s="801"/>
      <c r="J3959" s="801" t="s">
        <v>12705</v>
      </c>
      <c r="K3959" s="801"/>
      <c r="L3959" s="801"/>
    </row>
    <row r="3960" spans="1:12" ht="24" customHeight="1">
      <c r="A3960" s="626" t="s">
        <v>12709</v>
      </c>
      <c r="B3960" s="627" t="s">
        <v>12998</v>
      </c>
      <c r="C3960" s="626" t="s">
        <v>8</v>
      </c>
      <c r="D3960" s="626" t="s">
        <v>11861</v>
      </c>
      <c r="E3960" s="628" t="s">
        <v>23</v>
      </c>
      <c r="F3960" s="816" t="s">
        <v>13683</v>
      </c>
      <c r="G3960" s="816"/>
      <c r="H3960" s="816">
        <v>0.13184879999999999</v>
      </c>
      <c r="I3960" s="816"/>
      <c r="J3960" s="817">
        <v>9.3600000000000003E-2</v>
      </c>
      <c r="K3960" s="817"/>
      <c r="L3960" s="817"/>
    </row>
    <row r="3961" spans="1:12" ht="24" customHeight="1">
      <c r="A3961" s="636"/>
      <c r="B3961" s="636"/>
      <c r="C3961" s="636"/>
      <c r="D3961" s="636"/>
      <c r="E3961" s="636"/>
      <c r="F3961" s="636"/>
      <c r="G3961" s="636"/>
      <c r="H3961" s="636"/>
      <c r="I3961" s="636"/>
      <c r="J3961" s="636" t="s">
        <v>13675</v>
      </c>
      <c r="K3961" s="636"/>
      <c r="L3961" s="636" t="s">
        <v>13815</v>
      </c>
    </row>
    <row r="3962" spans="1:12" ht="24" customHeight="1">
      <c r="A3962" s="802" t="s">
        <v>12713</v>
      </c>
      <c r="B3962" s="802"/>
      <c r="C3962" s="802"/>
      <c r="D3962" s="802"/>
      <c r="E3962" s="802"/>
      <c r="F3962" s="802"/>
      <c r="G3962" s="802"/>
      <c r="H3962" s="802"/>
      <c r="I3962" s="612"/>
      <c r="J3962" s="612"/>
      <c r="K3962" s="612"/>
      <c r="L3962" s="612"/>
    </row>
    <row r="3963" spans="1:12" ht="24" customHeight="1">
      <c r="A3963" s="612" t="s">
        <v>13679</v>
      </c>
      <c r="B3963" s="636" t="s">
        <v>12698</v>
      </c>
      <c r="C3963" s="612" t="s">
        <v>12699</v>
      </c>
      <c r="D3963" s="612" t="s">
        <v>12700</v>
      </c>
      <c r="E3963" s="637" t="s">
        <v>12702</v>
      </c>
      <c r="F3963" s="801" t="s">
        <v>12704</v>
      </c>
      <c r="G3963" s="801"/>
      <c r="H3963" s="801" t="s">
        <v>13678</v>
      </c>
      <c r="I3963" s="801"/>
      <c r="J3963" s="801" t="s">
        <v>12705</v>
      </c>
      <c r="K3963" s="801"/>
      <c r="L3963" s="801"/>
    </row>
    <row r="3964" spans="1:12" ht="24" customHeight="1">
      <c r="A3964" s="626" t="s">
        <v>12709</v>
      </c>
      <c r="B3964" s="627" t="s">
        <v>12999</v>
      </c>
      <c r="C3964" s="626" t="s">
        <v>8</v>
      </c>
      <c r="D3964" s="626" t="s">
        <v>11251</v>
      </c>
      <c r="E3964" s="628" t="s">
        <v>23</v>
      </c>
      <c r="F3964" s="816" t="s">
        <v>13681</v>
      </c>
      <c r="G3964" s="816"/>
      <c r="H3964" s="816">
        <v>0.13184879999999999</v>
      </c>
      <c r="I3964" s="816"/>
      <c r="J3964" s="817">
        <v>9.1999999999999998E-3</v>
      </c>
      <c r="K3964" s="817"/>
      <c r="L3964" s="817"/>
    </row>
    <row r="3965" spans="1:12" ht="24" customHeight="1">
      <c r="A3965" s="636"/>
      <c r="B3965" s="636"/>
      <c r="C3965" s="636"/>
      <c r="D3965" s="636"/>
      <c r="E3965" s="636"/>
      <c r="F3965" s="636"/>
      <c r="G3965" s="636"/>
      <c r="H3965" s="636"/>
      <c r="I3965" s="636"/>
      <c r="J3965" s="636" t="s">
        <v>13675</v>
      </c>
      <c r="K3965" s="636"/>
      <c r="L3965" s="636" t="s">
        <v>13728</v>
      </c>
    </row>
    <row r="3966" spans="1:12" ht="36" customHeight="1">
      <c r="A3966" s="802" t="s">
        <v>12712</v>
      </c>
      <c r="B3966" s="802"/>
      <c r="C3966" s="802"/>
      <c r="D3966" s="802"/>
      <c r="E3966" s="802"/>
      <c r="F3966" s="802"/>
      <c r="G3966" s="802"/>
      <c r="H3966" s="802"/>
      <c r="I3966" s="612"/>
      <c r="J3966" s="612"/>
      <c r="K3966" s="612"/>
      <c r="L3966" s="612"/>
    </row>
    <row r="3967" spans="1:12" ht="24" customHeight="1">
      <c r="A3967" s="612" t="s">
        <v>13679</v>
      </c>
      <c r="B3967" s="636" t="s">
        <v>12698</v>
      </c>
      <c r="C3967" s="612" t="s">
        <v>12699</v>
      </c>
      <c r="D3967" s="612" t="s">
        <v>12700</v>
      </c>
      <c r="E3967" s="637" t="s">
        <v>12702</v>
      </c>
      <c r="F3967" s="801" t="s">
        <v>12704</v>
      </c>
      <c r="G3967" s="801"/>
      <c r="H3967" s="801" t="s">
        <v>13678</v>
      </c>
      <c r="I3967" s="801"/>
      <c r="J3967" s="801" t="s">
        <v>12705</v>
      </c>
      <c r="K3967" s="801"/>
      <c r="L3967" s="801"/>
    </row>
    <row r="3968" spans="1:12" ht="17.100000000000001" customHeight="1">
      <c r="A3968" s="626" t="s">
        <v>12709</v>
      </c>
      <c r="B3968" s="627" t="s">
        <v>13002</v>
      </c>
      <c r="C3968" s="626" t="s">
        <v>8</v>
      </c>
      <c r="D3968" s="626" t="s">
        <v>9306</v>
      </c>
      <c r="E3968" s="628" t="s">
        <v>23</v>
      </c>
      <c r="F3968" s="816" t="s">
        <v>13677</v>
      </c>
      <c r="G3968" s="816"/>
      <c r="H3968" s="816">
        <v>0.13184879999999999</v>
      </c>
      <c r="I3968" s="816"/>
      <c r="J3968" s="817">
        <v>4.6100000000000002E-2</v>
      </c>
      <c r="K3968" s="817"/>
      <c r="L3968" s="817"/>
    </row>
    <row r="3969" spans="1:12" ht="25.5">
      <c r="A3969" s="626" t="s">
        <v>12709</v>
      </c>
      <c r="B3969" s="627" t="s">
        <v>13004</v>
      </c>
      <c r="C3969" s="626" t="s">
        <v>8</v>
      </c>
      <c r="D3969" s="626" t="s">
        <v>7388</v>
      </c>
      <c r="E3969" s="628" t="s">
        <v>23</v>
      </c>
      <c r="F3969" s="816" t="s">
        <v>13676</v>
      </c>
      <c r="G3969" s="816"/>
      <c r="H3969" s="816">
        <v>0.13184879999999999</v>
      </c>
      <c r="I3969" s="816"/>
      <c r="J3969" s="817">
        <v>0.29010000000000002</v>
      </c>
      <c r="K3969" s="817"/>
      <c r="L3969" s="817"/>
    </row>
    <row r="3970" spans="1:12" ht="17.100000000000001" customHeight="1">
      <c r="A3970" s="636"/>
      <c r="B3970" s="636"/>
      <c r="C3970" s="636"/>
      <c r="D3970" s="636"/>
      <c r="E3970" s="636"/>
      <c r="F3970" s="636"/>
      <c r="G3970" s="636"/>
      <c r="H3970" s="636"/>
      <c r="I3970" s="636"/>
      <c r="J3970" s="636" t="s">
        <v>13675</v>
      </c>
      <c r="K3970" s="636"/>
      <c r="L3970" s="636" t="s">
        <v>13740</v>
      </c>
    </row>
    <row r="3971" spans="1:12" ht="24" customHeight="1">
      <c r="A3971" s="612" t="s">
        <v>13673</v>
      </c>
      <c r="B3971" s="612"/>
      <c r="C3971" s="612"/>
      <c r="D3971" s="612"/>
      <c r="E3971" s="612"/>
      <c r="F3971" s="612"/>
      <c r="G3971" s="612"/>
      <c r="H3971" s="612"/>
      <c r="I3971" s="612"/>
      <c r="J3971" s="612"/>
      <c r="K3971" s="612"/>
      <c r="L3971" s="612"/>
    </row>
    <row r="3972" spans="1:12" ht="17.100000000000001" customHeight="1">
      <c r="A3972" s="636"/>
      <c r="B3972" s="636"/>
      <c r="C3972" s="636"/>
      <c r="D3972" s="636"/>
      <c r="E3972" s="636"/>
      <c r="F3972" s="636"/>
      <c r="G3972" s="636"/>
      <c r="H3972" s="636"/>
      <c r="I3972" s="636"/>
      <c r="J3972" s="636" t="s">
        <v>13672</v>
      </c>
      <c r="K3972" s="636"/>
      <c r="L3972" s="636" t="s">
        <v>14997</v>
      </c>
    </row>
    <row r="3973" spans="1:12">
      <c r="A3973" s="636"/>
      <c r="B3973" s="636"/>
      <c r="C3973" s="636"/>
      <c r="D3973" s="636"/>
      <c r="E3973" s="636"/>
      <c r="F3973" s="636"/>
      <c r="G3973" s="636"/>
      <c r="H3973" s="636"/>
      <c r="I3973" s="636"/>
      <c r="J3973" s="636" t="s">
        <v>13671</v>
      </c>
      <c r="K3973" s="636" t="s">
        <v>14461</v>
      </c>
      <c r="L3973" s="636" t="s">
        <v>14998</v>
      </c>
    </row>
    <row r="3974" spans="1:12" ht="17.100000000000001" customHeight="1">
      <c r="A3974" s="636"/>
      <c r="B3974" s="636"/>
      <c r="C3974" s="636"/>
      <c r="D3974" s="636"/>
      <c r="E3974" s="636"/>
      <c r="F3974" s="636"/>
      <c r="G3974" s="636"/>
      <c r="H3974" s="636"/>
      <c r="I3974" s="636"/>
      <c r="J3974" s="636" t="s">
        <v>13670</v>
      </c>
      <c r="K3974" s="636"/>
      <c r="L3974" s="636" t="s">
        <v>14999</v>
      </c>
    </row>
    <row r="3975" spans="1:12" ht="24" customHeight="1">
      <c r="A3975" s="636"/>
      <c r="B3975" s="636"/>
      <c r="C3975" s="636"/>
      <c r="D3975" s="636"/>
      <c r="E3975" s="636"/>
      <c r="F3975" s="636"/>
      <c r="G3975" s="636"/>
      <c r="H3975" s="636"/>
      <c r="I3975" s="636"/>
      <c r="J3975" s="636" t="s">
        <v>13669</v>
      </c>
      <c r="K3975" s="636" t="s">
        <v>13667</v>
      </c>
      <c r="L3975" s="636" t="s">
        <v>15000</v>
      </c>
    </row>
    <row r="3976" spans="1:12" ht="17.100000000000001" customHeight="1">
      <c r="A3976" s="636"/>
      <c r="B3976" s="636"/>
      <c r="C3976" s="636"/>
      <c r="D3976" s="636"/>
      <c r="E3976" s="636"/>
      <c r="F3976" s="636"/>
      <c r="G3976" s="636"/>
      <c r="H3976" s="636"/>
      <c r="I3976" s="636"/>
      <c r="J3976" s="636" t="s">
        <v>13668</v>
      </c>
      <c r="K3976" s="636"/>
      <c r="L3976" s="636" t="s">
        <v>15001</v>
      </c>
    </row>
    <row r="3977" spans="1:12">
      <c r="A3977" s="637"/>
      <c r="B3977" s="637"/>
      <c r="C3977" s="637"/>
      <c r="D3977" s="637"/>
      <c r="E3977" s="637"/>
      <c r="F3977" s="637"/>
      <c r="G3977" s="637"/>
      <c r="H3977" s="637"/>
      <c r="I3977" s="637"/>
      <c r="J3977" s="637"/>
      <c r="K3977" s="637"/>
      <c r="L3977" s="637"/>
    </row>
    <row r="3978" spans="1:12" ht="17.100000000000001" customHeight="1">
      <c r="A3978" s="616" t="s">
        <v>14134</v>
      </c>
      <c r="B3978" s="617" t="s">
        <v>13628</v>
      </c>
      <c r="C3978" s="616" t="s">
        <v>8</v>
      </c>
      <c r="D3978" s="616" t="s">
        <v>2961</v>
      </c>
      <c r="E3978" s="618" t="s">
        <v>20</v>
      </c>
      <c r="F3978" s="617"/>
      <c r="G3978" s="617"/>
      <c r="H3978" s="617"/>
      <c r="I3978" s="617"/>
      <c r="J3978" s="617"/>
      <c r="K3978" s="617"/>
      <c r="L3978" s="617"/>
    </row>
    <row r="3979" spans="1:12" ht="24" customHeight="1">
      <c r="A3979" s="802" t="s">
        <v>12711</v>
      </c>
      <c r="B3979" s="802"/>
      <c r="C3979" s="802"/>
      <c r="D3979" s="802"/>
      <c r="E3979" s="802"/>
      <c r="F3979" s="802"/>
      <c r="G3979" s="802"/>
      <c r="H3979" s="802"/>
      <c r="I3979" s="612"/>
      <c r="J3979" s="612"/>
      <c r="K3979" s="612"/>
      <c r="L3979" s="612"/>
    </row>
    <row r="3980" spans="1:12" ht="24" customHeight="1">
      <c r="A3980" s="612" t="s">
        <v>13679</v>
      </c>
      <c r="B3980" s="636" t="s">
        <v>12698</v>
      </c>
      <c r="C3980" s="612" t="s">
        <v>12699</v>
      </c>
      <c r="D3980" s="612" t="s">
        <v>12700</v>
      </c>
      <c r="E3980" s="637" t="s">
        <v>12702</v>
      </c>
      <c r="F3980" s="801" t="s">
        <v>12704</v>
      </c>
      <c r="G3980" s="801"/>
      <c r="H3980" s="801" t="s">
        <v>13678</v>
      </c>
      <c r="I3980" s="801"/>
      <c r="J3980" s="801" t="s">
        <v>12705</v>
      </c>
      <c r="K3980" s="801"/>
      <c r="L3980" s="801"/>
    </row>
    <row r="3981" spans="1:12" ht="17.100000000000001" customHeight="1">
      <c r="A3981" s="626" t="s">
        <v>12709</v>
      </c>
      <c r="B3981" s="627" t="s">
        <v>13052</v>
      </c>
      <c r="C3981" s="626" t="s">
        <v>8</v>
      </c>
      <c r="D3981" s="626" t="s">
        <v>9229</v>
      </c>
      <c r="E3981" s="628" t="s">
        <v>23</v>
      </c>
      <c r="F3981" s="816" t="s">
        <v>13692</v>
      </c>
      <c r="G3981" s="816"/>
      <c r="H3981" s="816">
        <v>0.3475452</v>
      </c>
      <c r="I3981" s="816"/>
      <c r="J3981" s="817">
        <v>0.33360000000000001</v>
      </c>
      <c r="K3981" s="817"/>
      <c r="L3981" s="817"/>
    </row>
    <row r="3982" spans="1:12" ht="17.100000000000001" customHeight="1">
      <c r="A3982" s="626" t="s">
        <v>12709</v>
      </c>
      <c r="B3982" s="627" t="s">
        <v>13051</v>
      </c>
      <c r="C3982" s="626" t="s">
        <v>8</v>
      </c>
      <c r="D3982" s="626" t="s">
        <v>9376</v>
      </c>
      <c r="E3982" s="628" t="s">
        <v>23</v>
      </c>
      <c r="F3982" s="816" t="s">
        <v>13691</v>
      </c>
      <c r="G3982" s="816"/>
      <c r="H3982" s="816">
        <v>0.3475452</v>
      </c>
      <c r="I3982" s="816"/>
      <c r="J3982" s="817">
        <v>0.17380000000000001</v>
      </c>
      <c r="K3982" s="817"/>
      <c r="L3982" s="817"/>
    </row>
    <row r="3983" spans="1:12" ht="17.100000000000001" customHeight="1">
      <c r="A3983" s="636"/>
      <c r="B3983" s="636"/>
      <c r="C3983" s="636"/>
      <c r="D3983" s="636"/>
      <c r="E3983" s="636"/>
      <c r="F3983" s="636"/>
      <c r="G3983" s="636"/>
      <c r="H3983" s="636"/>
      <c r="I3983" s="636"/>
      <c r="J3983" s="636" t="s">
        <v>13675</v>
      </c>
      <c r="K3983" s="636"/>
      <c r="L3983" s="636" t="s">
        <v>13746</v>
      </c>
    </row>
    <row r="3984" spans="1:12" ht="17.100000000000001" customHeight="1">
      <c r="A3984" s="802" t="s">
        <v>12710</v>
      </c>
      <c r="B3984" s="802"/>
      <c r="C3984" s="802"/>
      <c r="D3984" s="802"/>
      <c r="E3984" s="802"/>
      <c r="F3984" s="802"/>
      <c r="G3984" s="802"/>
      <c r="H3984" s="802"/>
      <c r="I3984" s="612"/>
      <c r="J3984" s="612"/>
      <c r="K3984" s="612"/>
      <c r="L3984" s="612"/>
    </row>
    <row r="3985" spans="1:12" ht="17.100000000000001" customHeight="1">
      <c r="A3985" s="612" t="s">
        <v>13679</v>
      </c>
      <c r="B3985" s="636" t="s">
        <v>12698</v>
      </c>
      <c r="C3985" s="612" t="s">
        <v>12699</v>
      </c>
      <c r="D3985" s="612" t="s">
        <v>12700</v>
      </c>
      <c r="E3985" s="637" t="s">
        <v>12702</v>
      </c>
      <c r="F3985" s="801" t="s">
        <v>12704</v>
      </c>
      <c r="G3985" s="801"/>
      <c r="H3985" s="801" t="s">
        <v>13678</v>
      </c>
      <c r="I3985" s="801"/>
      <c r="J3985" s="801" t="s">
        <v>12705</v>
      </c>
      <c r="K3985" s="801"/>
      <c r="L3985" s="801"/>
    </row>
    <row r="3986" spans="1:12" ht="17.100000000000001" customHeight="1">
      <c r="A3986" s="626" t="s">
        <v>12709</v>
      </c>
      <c r="B3986" s="627" t="s">
        <v>13230</v>
      </c>
      <c r="C3986" s="626" t="s">
        <v>8</v>
      </c>
      <c r="D3986" s="626" t="s">
        <v>7362</v>
      </c>
      <c r="E3986" s="628" t="s">
        <v>23</v>
      </c>
      <c r="F3986" s="816" t="s">
        <v>14514</v>
      </c>
      <c r="G3986" s="816"/>
      <c r="H3986" s="816">
        <v>4.76648E-2</v>
      </c>
      <c r="I3986" s="816"/>
      <c r="J3986" s="817">
        <v>0.2293</v>
      </c>
      <c r="K3986" s="817"/>
      <c r="L3986" s="817"/>
    </row>
    <row r="3987" spans="1:12" ht="17.100000000000001" customHeight="1">
      <c r="A3987" s="626" t="s">
        <v>12709</v>
      </c>
      <c r="B3987" s="627" t="s">
        <v>13224</v>
      </c>
      <c r="C3987" s="626" t="s">
        <v>8</v>
      </c>
      <c r="D3987" s="626" t="s">
        <v>7556</v>
      </c>
      <c r="E3987" s="628" t="s">
        <v>23</v>
      </c>
      <c r="F3987" s="816" t="s">
        <v>14470</v>
      </c>
      <c r="G3987" s="816"/>
      <c r="H3987" s="816">
        <v>0.30244599999999999</v>
      </c>
      <c r="I3987" s="816"/>
      <c r="J3987" s="817">
        <v>2.0899000000000001</v>
      </c>
      <c r="K3987" s="817"/>
      <c r="L3987" s="817"/>
    </row>
    <row r="3988" spans="1:12" ht="30" customHeight="1">
      <c r="A3988" s="636"/>
      <c r="B3988" s="636"/>
      <c r="C3988" s="636"/>
      <c r="D3988" s="636"/>
      <c r="E3988" s="636"/>
      <c r="F3988" s="636"/>
      <c r="G3988" s="636"/>
      <c r="H3988" s="636"/>
      <c r="I3988" s="636"/>
      <c r="J3988" s="636" t="s">
        <v>13675</v>
      </c>
      <c r="K3988" s="636"/>
      <c r="L3988" s="636" t="s">
        <v>14714</v>
      </c>
    </row>
    <row r="3989" spans="1:12" ht="24" customHeight="1">
      <c r="A3989" s="802" t="s">
        <v>12720</v>
      </c>
      <c r="B3989" s="802"/>
      <c r="C3989" s="802"/>
      <c r="D3989" s="802"/>
      <c r="E3989" s="802"/>
      <c r="F3989" s="802"/>
      <c r="G3989" s="802"/>
      <c r="H3989" s="802"/>
      <c r="I3989" s="612"/>
      <c r="J3989" s="612"/>
      <c r="K3989" s="612"/>
      <c r="L3989" s="612"/>
    </row>
    <row r="3990" spans="1:12" ht="14.25" customHeight="1">
      <c r="A3990" s="612" t="s">
        <v>13679</v>
      </c>
      <c r="B3990" s="636" t="s">
        <v>12698</v>
      </c>
      <c r="C3990" s="612" t="s">
        <v>12699</v>
      </c>
      <c r="D3990" s="612" t="s">
        <v>12700</v>
      </c>
      <c r="E3990" s="637" t="s">
        <v>12702</v>
      </c>
      <c r="F3990" s="801" t="s">
        <v>12704</v>
      </c>
      <c r="G3990" s="801"/>
      <c r="H3990" s="801" t="s">
        <v>13678</v>
      </c>
      <c r="I3990" s="801"/>
      <c r="J3990" s="801" t="s">
        <v>12705</v>
      </c>
      <c r="K3990" s="801"/>
      <c r="L3990" s="801"/>
    </row>
    <row r="3991" spans="1:12" ht="17.100000000000001" customHeight="1">
      <c r="A3991" s="626" t="s">
        <v>12709</v>
      </c>
      <c r="B3991" s="627" t="s">
        <v>13311</v>
      </c>
      <c r="C3991" s="626" t="s">
        <v>8</v>
      </c>
      <c r="D3991" s="626" t="s">
        <v>7522</v>
      </c>
      <c r="E3991" s="628" t="s">
        <v>20</v>
      </c>
      <c r="F3991" s="816" t="s">
        <v>14521</v>
      </c>
      <c r="G3991" s="816"/>
      <c r="H3991" s="816">
        <v>2.5000000000000001E-2</v>
      </c>
      <c r="I3991" s="816"/>
      <c r="J3991" s="817">
        <v>0.34</v>
      </c>
      <c r="K3991" s="817"/>
      <c r="L3991" s="817"/>
    </row>
    <row r="3992" spans="1:12" ht="24" customHeight="1">
      <c r="A3992" s="626" t="s">
        <v>12709</v>
      </c>
      <c r="B3992" s="627" t="s">
        <v>13310</v>
      </c>
      <c r="C3992" s="626" t="s">
        <v>8</v>
      </c>
      <c r="D3992" s="626" t="s">
        <v>9265</v>
      </c>
      <c r="E3992" s="628" t="s">
        <v>35</v>
      </c>
      <c r="F3992" s="816" t="s">
        <v>13875</v>
      </c>
      <c r="G3992" s="816"/>
      <c r="H3992" s="816">
        <v>1.19</v>
      </c>
      <c r="I3992" s="816"/>
      <c r="J3992" s="817">
        <v>0.15</v>
      </c>
      <c r="K3992" s="817"/>
      <c r="L3992" s="817"/>
    </row>
    <row r="3993" spans="1:12" ht="24" customHeight="1">
      <c r="A3993" s="626" t="s">
        <v>12709</v>
      </c>
      <c r="B3993" s="627" t="s">
        <v>13235</v>
      </c>
      <c r="C3993" s="626" t="s">
        <v>8</v>
      </c>
      <c r="D3993" s="626" t="s">
        <v>7268</v>
      </c>
      <c r="E3993" s="628" t="s">
        <v>20</v>
      </c>
      <c r="F3993" s="816" t="s">
        <v>14520</v>
      </c>
      <c r="G3993" s="816"/>
      <c r="H3993" s="816">
        <v>1.0658452</v>
      </c>
      <c r="I3993" s="816"/>
      <c r="J3993" s="817">
        <v>5.1906999999999996</v>
      </c>
      <c r="K3993" s="817"/>
      <c r="L3993" s="817"/>
    </row>
    <row r="3994" spans="1:12" ht="24" customHeight="1">
      <c r="A3994" s="636"/>
      <c r="B3994" s="636"/>
      <c r="C3994" s="636"/>
      <c r="D3994" s="636"/>
      <c r="E3994" s="636"/>
      <c r="F3994" s="636"/>
      <c r="G3994" s="636"/>
      <c r="H3994" s="636"/>
      <c r="I3994" s="636"/>
      <c r="J3994" s="636" t="s">
        <v>13675</v>
      </c>
      <c r="K3994" s="636"/>
      <c r="L3994" s="636" t="s">
        <v>14655</v>
      </c>
    </row>
    <row r="3995" spans="1:12" ht="48" customHeight="1">
      <c r="A3995" s="802" t="s">
        <v>12722</v>
      </c>
      <c r="B3995" s="802"/>
      <c r="C3995" s="802"/>
      <c r="D3995" s="802"/>
      <c r="E3995" s="802"/>
      <c r="F3995" s="802"/>
      <c r="G3995" s="802"/>
      <c r="H3995" s="802"/>
      <c r="I3995" s="612"/>
      <c r="J3995" s="612"/>
      <c r="K3995" s="612"/>
      <c r="L3995" s="612"/>
    </row>
    <row r="3996" spans="1:12" ht="24" customHeight="1">
      <c r="A3996" s="612" t="s">
        <v>13679</v>
      </c>
      <c r="B3996" s="636" t="s">
        <v>12698</v>
      </c>
      <c r="C3996" s="612" t="s">
        <v>12699</v>
      </c>
      <c r="D3996" s="612" t="s">
        <v>12700</v>
      </c>
      <c r="E3996" s="637" t="s">
        <v>12702</v>
      </c>
      <c r="F3996" s="801" t="s">
        <v>12704</v>
      </c>
      <c r="G3996" s="801"/>
      <c r="H3996" s="801" t="s">
        <v>13678</v>
      </c>
      <c r="I3996" s="801"/>
      <c r="J3996" s="801" t="s">
        <v>12705</v>
      </c>
      <c r="K3996" s="801"/>
      <c r="L3996" s="801"/>
    </row>
    <row r="3997" spans="1:12" ht="24" customHeight="1">
      <c r="A3997" s="626" t="s">
        <v>12709</v>
      </c>
      <c r="B3997" s="627" t="s">
        <v>12998</v>
      </c>
      <c r="C3997" s="626" t="s">
        <v>8</v>
      </c>
      <c r="D3997" s="626" t="s">
        <v>11861</v>
      </c>
      <c r="E3997" s="628" t="s">
        <v>23</v>
      </c>
      <c r="F3997" s="816" t="s">
        <v>13683</v>
      </c>
      <c r="G3997" s="816"/>
      <c r="H3997" s="816">
        <v>0.3475452</v>
      </c>
      <c r="I3997" s="816"/>
      <c r="J3997" s="817">
        <v>0.24679999999999999</v>
      </c>
      <c r="K3997" s="817"/>
      <c r="L3997" s="817"/>
    </row>
    <row r="3998" spans="1:12" ht="17.100000000000001" customHeight="1">
      <c r="A3998" s="636"/>
      <c r="B3998" s="636"/>
      <c r="C3998" s="636"/>
      <c r="D3998" s="636"/>
      <c r="E3998" s="636"/>
      <c r="F3998" s="636"/>
      <c r="G3998" s="636"/>
      <c r="H3998" s="636"/>
      <c r="I3998" s="636"/>
      <c r="J3998" s="636" t="s">
        <v>13675</v>
      </c>
      <c r="K3998" s="636"/>
      <c r="L3998" s="636" t="s">
        <v>13915</v>
      </c>
    </row>
    <row r="3999" spans="1:12" ht="14.25" customHeight="1">
      <c r="A3999" s="802" t="s">
        <v>12713</v>
      </c>
      <c r="B3999" s="802"/>
      <c r="C3999" s="802"/>
      <c r="D3999" s="802"/>
      <c r="E3999" s="802"/>
      <c r="F3999" s="802"/>
      <c r="G3999" s="802"/>
      <c r="H3999" s="802"/>
      <c r="I3999" s="612"/>
      <c r="J3999" s="612"/>
      <c r="K3999" s="612"/>
      <c r="L3999" s="612"/>
    </row>
    <row r="4000" spans="1:12" ht="17.100000000000001" customHeight="1">
      <c r="A4000" s="612" t="s">
        <v>13679</v>
      </c>
      <c r="B4000" s="636" t="s">
        <v>12698</v>
      </c>
      <c r="C4000" s="612" t="s">
        <v>12699</v>
      </c>
      <c r="D4000" s="612" t="s">
        <v>12700</v>
      </c>
      <c r="E4000" s="637" t="s">
        <v>12702</v>
      </c>
      <c r="F4000" s="801" t="s">
        <v>12704</v>
      </c>
      <c r="G4000" s="801"/>
      <c r="H4000" s="801" t="s">
        <v>13678</v>
      </c>
      <c r="I4000" s="801"/>
      <c r="J4000" s="801" t="s">
        <v>12705</v>
      </c>
      <c r="K4000" s="801"/>
      <c r="L4000" s="801"/>
    </row>
    <row r="4001" spans="1:12" ht="24" customHeight="1">
      <c r="A4001" s="626" t="s">
        <v>12709</v>
      </c>
      <c r="B4001" s="627" t="s">
        <v>12999</v>
      </c>
      <c r="C4001" s="626" t="s">
        <v>8</v>
      </c>
      <c r="D4001" s="626" t="s">
        <v>11251</v>
      </c>
      <c r="E4001" s="628" t="s">
        <v>23</v>
      </c>
      <c r="F4001" s="816" t="s">
        <v>13681</v>
      </c>
      <c r="G4001" s="816"/>
      <c r="H4001" s="816">
        <v>0.3475452</v>
      </c>
      <c r="I4001" s="816"/>
      <c r="J4001" s="817">
        <v>2.4299999999999999E-2</v>
      </c>
      <c r="K4001" s="817"/>
      <c r="L4001" s="817"/>
    </row>
    <row r="4002" spans="1:12" ht="24" customHeight="1">
      <c r="A4002" s="636"/>
      <c r="B4002" s="636"/>
      <c r="C4002" s="636"/>
      <c r="D4002" s="636"/>
      <c r="E4002" s="636"/>
      <c r="F4002" s="636"/>
      <c r="G4002" s="636"/>
      <c r="H4002" s="636"/>
      <c r="I4002" s="636"/>
      <c r="J4002" s="636" t="s">
        <v>13675</v>
      </c>
      <c r="K4002" s="636"/>
      <c r="L4002" s="636" t="s">
        <v>13680</v>
      </c>
    </row>
    <row r="4003" spans="1:12" ht="24" customHeight="1">
      <c r="A4003" s="802" t="s">
        <v>12712</v>
      </c>
      <c r="B4003" s="802"/>
      <c r="C4003" s="802"/>
      <c r="D4003" s="802"/>
      <c r="E4003" s="802"/>
      <c r="F4003" s="802"/>
      <c r="G4003" s="802"/>
      <c r="H4003" s="802"/>
      <c r="I4003" s="612"/>
      <c r="J4003" s="612"/>
      <c r="K4003" s="612"/>
      <c r="L4003" s="612"/>
    </row>
    <row r="4004" spans="1:12" ht="17.100000000000001" customHeight="1">
      <c r="A4004" s="612" t="s">
        <v>13679</v>
      </c>
      <c r="B4004" s="636" t="s">
        <v>12698</v>
      </c>
      <c r="C4004" s="612" t="s">
        <v>12699</v>
      </c>
      <c r="D4004" s="612" t="s">
        <v>12700</v>
      </c>
      <c r="E4004" s="637" t="s">
        <v>12702</v>
      </c>
      <c r="F4004" s="801" t="s">
        <v>12704</v>
      </c>
      <c r="G4004" s="801"/>
      <c r="H4004" s="801" t="s">
        <v>13678</v>
      </c>
      <c r="I4004" s="801"/>
      <c r="J4004" s="801" t="s">
        <v>12705</v>
      </c>
      <c r="K4004" s="801"/>
      <c r="L4004" s="801"/>
    </row>
    <row r="4005" spans="1:12" ht="25.5">
      <c r="A4005" s="626" t="s">
        <v>12709</v>
      </c>
      <c r="B4005" s="627" t="s">
        <v>13002</v>
      </c>
      <c r="C4005" s="626" t="s">
        <v>8</v>
      </c>
      <c r="D4005" s="626" t="s">
        <v>9306</v>
      </c>
      <c r="E4005" s="628" t="s">
        <v>23</v>
      </c>
      <c r="F4005" s="816" t="s">
        <v>13677</v>
      </c>
      <c r="G4005" s="816"/>
      <c r="H4005" s="816">
        <v>0.3475452</v>
      </c>
      <c r="I4005" s="816"/>
      <c r="J4005" s="817">
        <v>0.1216</v>
      </c>
      <c r="K4005" s="817"/>
      <c r="L4005" s="817"/>
    </row>
    <row r="4006" spans="1:12" ht="17.100000000000001" customHeight="1">
      <c r="A4006" s="626" t="s">
        <v>12709</v>
      </c>
      <c r="B4006" s="627" t="s">
        <v>13004</v>
      </c>
      <c r="C4006" s="626" t="s">
        <v>8</v>
      </c>
      <c r="D4006" s="626" t="s">
        <v>7388</v>
      </c>
      <c r="E4006" s="628" t="s">
        <v>23</v>
      </c>
      <c r="F4006" s="816" t="s">
        <v>13676</v>
      </c>
      <c r="G4006" s="816"/>
      <c r="H4006" s="816">
        <v>0.3475452</v>
      </c>
      <c r="I4006" s="816"/>
      <c r="J4006" s="817">
        <v>0.76459999999999995</v>
      </c>
      <c r="K4006" s="817"/>
      <c r="L4006" s="817"/>
    </row>
    <row r="4007" spans="1:12" ht="24" customHeight="1">
      <c r="A4007" s="636"/>
      <c r="B4007" s="636"/>
      <c r="C4007" s="636"/>
      <c r="D4007" s="636"/>
      <c r="E4007" s="636"/>
      <c r="F4007" s="636"/>
      <c r="G4007" s="636"/>
      <c r="H4007" s="636"/>
      <c r="I4007" s="636"/>
      <c r="J4007" s="636" t="s">
        <v>13675</v>
      </c>
      <c r="K4007" s="636"/>
      <c r="L4007" s="636" t="s">
        <v>13816</v>
      </c>
    </row>
    <row r="4008" spans="1:12" ht="48" customHeight="1">
      <c r="A4008" s="612" t="s">
        <v>13673</v>
      </c>
      <c r="B4008" s="612"/>
      <c r="C4008" s="612"/>
      <c r="D4008" s="612"/>
      <c r="E4008" s="612"/>
      <c r="F4008" s="612"/>
      <c r="G4008" s="612"/>
      <c r="H4008" s="612"/>
      <c r="I4008" s="612"/>
      <c r="J4008" s="612"/>
      <c r="K4008" s="612"/>
      <c r="L4008" s="612"/>
    </row>
    <row r="4009" spans="1:12" ht="24" customHeight="1">
      <c r="A4009" s="636"/>
      <c r="B4009" s="636"/>
      <c r="C4009" s="636"/>
      <c r="D4009" s="636"/>
      <c r="E4009" s="636"/>
      <c r="F4009" s="636"/>
      <c r="G4009" s="636"/>
      <c r="H4009" s="636"/>
      <c r="I4009" s="636"/>
      <c r="J4009" s="636" t="s">
        <v>13672</v>
      </c>
      <c r="K4009" s="636"/>
      <c r="L4009" s="636" t="s">
        <v>15016</v>
      </c>
    </row>
    <row r="4010" spans="1:12" ht="17.100000000000001" customHeight="1">
      <c r="A4010" s="636"/>
      <c r="B4010" s="636"/>
      <c r="C4010" s="636"/>
      <c r="D4010" s="636"/>
      <c r="E4010" s="636"/>
      <c r="F4010" s="636"/>
      <c r="G4010" s="636"/>
      <c r="H4010" s="636"/>
      <c r="I4010" s="636"/>
      <c r="J4010" s="636" t="s">
        <v>13671</v>
      </c>
      <c r="K4010" s="636" t="s">
        <v>14461</v>
      </c>
      <c r="L4010" s="636" t="s">
        <v>15017</v>
      </c>
    </row>
    <row r="4011" spans="1:12">
      <c r="A4011" s="636"/>
      <c r="B4011" s="636"/>
      <c r="C4011" s="636"/>
      <c r="D4011" s="636"/>
      <c r="E4011" s="636"/>
      <c r="F4011" s="636"/>
      <c r="G4011" s="636"/>
      <c r="H4011" s="636"/>
      <c r="I4011" s="636"/>
      <c r="J4011" s="636" t="s">
        <v>13670</v>
      </c>
      <c r="K4011" s="636"/>
      <c r="L4011" s="636" t="s">
        <v>15018</v>
      </c>
    </row>
    <row r="4012" spans="1:12" ht="17.100000000000001" customHeight="1">
      <c r="A4012" s="636"/>
      <c r="B4012" s="636"/>
      <c r="C4012" s="636"/>
      <c r="D4012" s="636"/>
      <c r="E4012" s="636"/>
      <c r="F4012" s="636"/>
      <c r="G4012" s="636"/>
      <c r="H4012" s="636"/>
      <c r="I4012" s="636"/>
      <c r="J4012" s="636" t="s">
        <v>13669</v>
      </c>
      <c r="K4012" s="636" t="s">
        <v>13667</v>
      </c>
      <c r="L4012" s="636" t="s">
        <v>15019</v>
      </c>
    </row>
    <row r="4013" spans="1:12" ht="24" customHeight="1">
      <c r="A4013" s="636"/>
      <c r="B4013" s="636"/>
      <c r="C4013" s="636"/>
      <c r="D4013" s="636"/>
      <c r="E4013" s="636"/>
      <c r="F4013" s="636"/>
      <c r="G4013" s="636"/>
      <c r="H4013" s="636"/>
      <c r="I4013" s="636"/>
      <c r="J4013" s="636" t="s">
        <v>13668</v>
      </c>
      <c r="K4013" s="636"/>
      <c r="L4013" s="636" t="s">
        <v>15020</v>
      </c>
    </row>
    <row r="4014" spans="1:12" ht="17.100000000000001" customHeight="1">
      <c r="A4014" s="637"/>
      <c r="B4014" s="637"/>
      <c r="C4014" s="637"/>
      <c r="D4014" s="637"/>
      <c r="E4014" s="637"/>
      <c r="F4014" s="637"/>
      <c r="G4014" s="637"/>
      <c r="H4014" s="637"/>
      <c r="I4014" s="637"/>
      <c r="J4014" s="637"/>
      <c r="K4014" s="637"/>
      <c r="L4014" s="637"/>
    </row>
    <row r="4015" spans="1:12" ht="38.25">
      <c r="A4015" s="616" t="s">
        <v>14133</v>
      </c>
      <c r="B4015" s="617" t="s">
        <v>13618</v>
      </c>
      <c r="C4015" s="616" t="s">
        <v>8</v>
      </c>
      <c r="D4015" s="616" t="s">
        <v>4002</v>
      </c>
      <c r="E4015" s="618" t="s">
        <v>12725</v>
      </c>
      <c r="F4015" s="617"/>
      <c r="G4015" s="617"/>
      <c r="H4015" s="617"/>
      <c r="I4015" s="617"/>
      <c r="J4015" s="617"/>
      <c r="K4015" s="617"/>
      <c r="L4015" s="617"/>
    </row>
    <row r="4016" spans="1:12" ht="17.100000000000001" customHeight="1">
      <c r="A4016" s="802" t="s">
        <v>12711</v>
      </c>
      <c r="B4016" s="802"/>
      <c r="C4016" s="802"/>
      <c r="D4016" s="802"/>
      <c r="E4016" s="802"/>
      <c r="F4016" s="802"/>
      <c r="G4016" s="802"/>
      <c r="H4016" s="802"/>
      <c r="I4016" s="612"/>
      <c r="J4016" s="612"/>
      <c r="K4016" s="612"/>
      <c r="L4016" s="612"/>
    </row>
    <row r="4017" spans="1:12" ht="24" customHeight="1">
      <c r="A4017" s="612" t="s">
        <v>13679</v>
      </c>
      <c r="B4017" s="636" t="s">
        <v>12698</v>
      </c>
      <c r="C4017" s="612" t="s">
        <v>12699</v>
      </c>
      <c r="D4017" s="612" t="s">
        <v>12700</v>
      </c>
      <c r="E4017" s="637" t="s">
        <v>12702</v>
      </c>
      <c r="F4017" s="801" t="s">
        <v>12704</v>
      </c>
      <c r="G4017" s="801"/>
      <c r="H4017" s="801" t="s">
        <v>13678</v>
      </c>
      <c r="I4017" s="801"/>
      <c r="J4017" s="801" t="s">
        <v>12705</v>
      </c>
      <c r="K4017" s="801"/>
      <c r="L4017" s="801"/>
    </row>
    <row r="4018" spans="1:12" ht="17.100000000000001" customHeight="1">
      <c r="A4018" s="626" t="s">
        <v>12709</v>
      </c>
      <c r="B4018" s="627" t="s">
        <v>13003</v>
      </c>
      <c r="C4018" s="626" t="s">
        <v>8</v>
      </c>
      <c r="D4018" s="626" t="s">
        <v>9227</v>
      </c>
      <c r="E4018" s="628" t="s">
        <v>23</v>
      </c>
      <c r="F4018" s="816" t="s">
        <v>13732</v>
      </c>
      <c r="G4018" s="816"/>
      <c r="H4018" s="816">
        <v>3.0922100000000001E-2</v>
      </c>
      <c r="I4018" s="816"/>
      <c r="J4018" s="817">
        <v>2.0400000000000001E-2</v>
      </c>
      <c r="K4018" s="817"/>
      <c r="L4018" s="817"/>
    </row>
    <row r="4019" spans="1:12" ht="25.5">
      <c r="A4019" s="626" t="s">
        <v>12709</v>
      </c>
      <c r="B4019" s="627" t="s">
        <v>13001</v>
      </c>
      <c r="C4019" s="626" t="s">
        <v>8</v>
      </c>
      <c r="D4019" s="626" t="s">
        <v>9374</v>
      </c>
      <c r="E4019" s="628" t="s">
        <v>23</v>
      </c>
      <c r="F4019" s="816" t="s">
        <v>13728</v>
      </c>
      <c r="G4019" s="816"/>
      <c r="H4019" s="816">
        <v>3.0922100000000001E-2</v>
      </c>
      <c r="I4019" s="816"/>
      <c r="J4019" s="817">
        <v>2.9999999999999997E-4</v>
      </c>
      <c r="K4019" s="817"/>
      <c r="L4019" s="817"/>
    </row>
    <row r="4020" spans="1:12" ht="17.100000000000001" customHeight="1">
      <c r="A4020" s="626" t="s">
        <v>12709</v>
      </c>
      <c r="B4020" s="627" t="s">
        <v>13032</v>
      </c>
      <c r="C4020" s="626" t="s">
        <v>8</v>
      </c>
      <c r="D4020" s="626" t="s">
        <v>9217</v>
      </c>
      <c r="E4020" s="628" t="s">
        <v>23</v>
      </c>
      <c r="F4020" s="816" t="s">
        <v>13741</v>
      </c>
      <c r="G4020" s="816"/>
      <c r="H4020" s="816">
        <v>1.611939</v>
      </c>
      <c r="I4020" s="816"/>
      <c r="J4020" s="817">
        <v>1.7408999999999999</v>
      </c>
      <c r="K4020" s="817"/>
      <c r="L4020" s="817"/>
    </row>
    <row r="4021" spans="1:12" ht="24" customHeight="1">
      <c r="A4021" s="626" t="s">
        <v>12709</v>
      </c>
      <c r="B4021" s="627" t="s">
        <v>13031</v>
      </c>
      <c r="C4021" s="626" t="s">
        <v>8</v>
      </c>
      <c r="D4021" s="626" t="s">
        <v>9364</v>
      </c>
      <c r="E4021" s="628" t="s">
        <v>23</v>
      </c>
      <c r="F4021" s="816" t="s">
        <v>13740</v>
      </c>
      <c r="G4021" s="816"/>
      <c r="H4021" s="816">
        <v>1.611939</v>
      </c>
      <c r="I4021" s="816"/>
      <c r="J4021" s="817">
        <v>0.54810000000000003</v>
      </c>
      <c r="K4021" s="817"/>
      <c r="L4021" s="817"/>
    </row>
    <row r="4022" spans="1:12" ht="24" customHeight="1">
      <c r="A4022" s="636"/>
      <c r="B4022" s="636"/>
      <c r="C4022" s="636"/>
      <c r="D4022" s="636"/>
      <c r="E4022" s="636"/>
      <c r="F4022" s="636"/>
      <c r="G4022" s="636"/>
      <c r="H4022" s="636"/>
      <c r="I4022" s="636"/>
      <c r="J4022" s="636" t="s">
        <v>13675</v>
      </c>
      <c r="K4022" s="636"/>
      <c r="L4022" s="636" t="s">
        <v>13755</v>
      </c>
    </row>
    <row r="4023" spans="1:12" ht="17.100000000000001" customHeight="1">
      <c r="A4023" s="802" t="s">
        <v>12710</v>
      </c>
      <c r="B4023" s="802"/>
      <c r="C4023" s="802"/>
      <c r="D4023" s="802"/>
      <c r="E4023" s="802"/>
      <c r="F4023" s="802"/>
      <c r="G4023" s="802"/>
      <c r="H4023" s="802"/>
      <c r="I4023" s="612"/>
      <c r="J4023" s="612"/>
      <c r="K4023" s="612"/>
      <c r="L4023" s="612"/>
    </row>
    <row r="4024" spans="1:12" ht="17.100000000000001" customHeight="1">
      <c r="A4024" s="612" t="s">
        <v>13679</v>
      </c>
      <c r="B4024" s="636" t="s">
        <v>12698</v>
      </c>
      <c r="C4024" s="612" t="s">
        <v>12699</v>
      </c>
      <c r="D4024" s="612" t="s">
        <v>12700</v>
      </c>
      <c r="E4024" s="637" t="s">
        <v>12702</v>
      </c>
      <c r="F4024" s="801" t="s">
        <v>12704</v>
      </c>
      <c r="G4024" s="801"/>
      <c r="H4024" s="801" t="s">
        <v>13678</v>
      </c>
      <c r="I4024" s="801"/>
      <c r="J4024" s="801" t="s">
        <v>12705</v>
      </c>
      <c r="K4024" s="801"/>
      <c r="L4024" s="801"/>
    </row>
    <row r="4025" spans="1:12" ht="17.100000000000001" customHeight="1">
      <c r="A4025" s="626" t="s">
        <v>12709</v>
      </c>
      <c r="B4025" s="627" t="s">
        <v>13103</v>
      </c>
      <c r="C4025" s="626" t="s">
        <v>8</v>
      </c>
      <c r="D4025" s="626" t="s">
        <v>10570</v>
      </c>
      <c r="E4025" s="628" t="s">
        <v>23</v>
      </c>
      <c r="F4025" s="816" t="s">
        <v>14289</v>
      </c>
      <c r="G4025" s="816"/>
      <c r="H4025" s="816">
        <v>3.1223899999999999E-2</v>
      </c>
      <c r="I4025" s="816"/>
      <c r="J4025" s="817">
        <v>0.15890000000000001</v>
      </c>
      <c r="K4025" s="817"/>
      <c r="L4025" s="817"/>
    </row>
    <row r="4026" spans="1:12" ht="17.100000000000001" customHeight="1">
      <c r="A4026" s="626" t="s">
        <v>12709</v>
      </c>
      <c r="B4026" s="627" t="s">
        <v>13228</v>
      </c>
      <c r="C4026" s="626" t="s">
        <v>8</v>
      </c>
      <c r="D4026" s="626" t="s">
        <v>8289</v>
      </c>
      <c r="E4026" s="628" t="s">
        <v>23</v>
      </c>
      <c r="F4026" s="816" t="s">
        <v>14199</v>
      </c>
      <c r="G4026" s="816"/>
      <c r="H4026" s="816">
        <v>0.47548499999999999</v>
      </c>
      <c r="I4026" s="816"/>
      <c r="J4026" s="817">
        <v>2.5865999999999998</v>
      </c>
      <c r="K4026" s="817"/>
      <c r="L4026" s="817"/>
    </row>
    <row r="4027" spans="1:12" ht="17.100000000000001" customHeight="1">
      <c r="A4027" s="626" t="s">
        <v>12709</v>
      </c>
      <c r="B4027" s="627" t="s">
        <v>13212</v>
      </c>
      <c r="C4027" s="626" t="s">
        <v>8</v>
      </c>
      <c r="D4027" s="626" t="s">
        <v>8293</v>
      </c>
      <c r="E4027" s="628" t="s">
        <v>23</v>
      </c>
      <c r="F4027" s="816" t="s">
        <v>14470</v>
      </c>
      <c r="G4027" s="816"/>
      <c r="H4027" s="816">
        <v>1.1532712000000001</v>
      </c>
      <c r="I4027" s="816"/>
      <c r="J4027" s="817">
        <v>7.9691000000000001</v>
      </c>
      <c r="K4027" s="817"/>
      <c r="L4027" s="817"/>
    </row>
    <row r="4028" spans="1:12" ht="17.100000000000001" customHeight="1">
      <c r="A4028" s="636"/>
      <c r="B4028" s="636"/>
      <c r="C4028" s="636"/>
      <c r="D4028" s="636"/>
      <c r="E4028" s="636"/>
      <c r="F4028" s="636"/>
      <c r="G4028" s="636"/>
      <c r="H4028" s="636"/>
      <c r="I4028" s="636"/>
      <c r="J4028" s="636" t="s">
        <v>13675</v>
      </c>
      <c r="K4028" s="636"/>
      <c r="L4028" s="636" t="s">
        <v>14503</v>
      </c>
    </row>
    <row r="4029" spans="1:12" ht="17.100000000000001" customHeight="1">
      <c r="A4029" s="802" t="s">
        <v>12720</v>
      </c>
      <c r="B4029" s="802"/>
      <c r="C4029" s="802"/>
      <c r="D4029" s="802"/>
      <c r="E4029" s="802"/>
      <c r="F4029" s="802"/>
      <c r="G4029" s="802"/>
      <c r="H4029" s="802"/>
      <c r="I4029" s="612"/>
      <c r="J4029" s="612"/>
      <c r="K4029" s="612"/>
      <c r="L4029" s="612"/>
    </row>
    <row r="4030" spans="1:12" ht="30" customHeight="1">
      <c r="A4030" s="612" t="s">
        <v>13679</v>
      </c>
      <c r="B4030" s="636" t="s">
        <v>12698</v>
      </c>
      <c r="C4030" s="612" t="s">
        <v>12699</v>
      </c>
      <c r="D4030" s="612" t="s">
        <v>12700</v>
      </c>
      <c r="E4030" s="637" t="s">
        <v>12702</v>
      </c>
      <c r="F4030" s="801" t="s">
        <v>12704</v>
      </c>
      <c r="G4030" s="801"/>
      <c r="H4030" s="801" t="s">
        <v>13678</v>
      </c>
      <c r="I4030" s="801"/>
      <c r="J4030" s="801" t="s">
        <v>12705</v>
      </c>
      <c r="K4030" s="801"/>
      <c r="L4030" s="801"/>
    </row>
    <row r="4031" spans="1:12" ht="24" customHeight="1">
      <c r="A4031" s="626" t="s">
        <v>12709</v>
      </c>
      <c r="B4031" s="627" t="s">
        <v>13093</v>
      </c>
      <c r="C4031" s="626" t="s">
        <v>8</v>
      </c>
      <c r="D4031" s="626" t="s">
        <v>8980</v>
      </c>
      <c r="E4031" s="628" t="s">
        <v>58</v>
      </c>
      <c r="F4031" s="816" t="s">
        <v>14502</v>
      </c>
      <c r="G4031" s="816"/>
      <c r="H4031" s="816">
        <v>1.7000000000000001E-2</v>
      </c>
      <c r="I4031" s="816"/>
      <c r="J4031" s="817">
        <v>0.08</v>
      </c>
      <c r="K4031" s="817"/>
      <c r="L4031" s="817"/>
    </row>
    <row r="4032" spans="1:12" ht="14.25" customHeight="1">
      <c r="A4032" s="626" t="s">
        <v>12709</v>
      </c>
      <c r="B4032" s="627" t="s">
        <v>13613</v>
      </c>
      <c r="C4032" s="626" t="s">
        <v>8</v>
      </c>
      <c r="D4032" s="626" t="s">
        <v>11000</v>
      </c>
      <c r="E4032" s="628" t="s">
        <v>20</v>
      </c>
      <c r="F4032" s="816" t="s">
        <v>13753</v>
      </c>
      <c r="G4032" s="816"/>
      <c r="H4032" s="816">
        <v>3.4000000000000002E-2</v>
      </c>
      <c r="I4032" s="816"/>
      <c r="J4032" s="817">
        <v>0.46</v>
      </c>
      <c r="K4032" s="817"/>
      <c r="L4032" s="817"/>
    </row>
    <row r="4033" spans="1:12" ht="17.100000000000001" customHeight="1">
      <c r="A4033" s="626" t="s">
        <v>12709</v>
      </c>
      <c r="B4033" s="627" t="s">
        <v>13617</v>
      </c>
      <c r="C4033" s="626" t="s">
        <v>8</v>
      </c>
      <c r="D4033" s="626" t="s">
        <v>11010</v>
      </c>
      <c r="E4033" s="628" t="s">
        <v>20</v>
      </c>
      <c r="F4033" s="816" t="s">
        <v>13752</v>
      </c>
      <c r="G4033" s="816"/>
      <c r="H4033" s="816">
        <v>2.5999999999999999E-2</v>
      </c>
      <c r="I4033" s="816"/>
      <c r="J4033" s="817">
        <v>0.28999999999999998</v>
      </c>
      <c r="K4033" s="817"/>
      <c r="L4033" s="817"/>
    </row>
    <row r="4034" spans="1:12" ht="24" customHeight="1">
      <c r="A4034" s="626" t="s">
        <v>12709</v>
      </c>
      <c r="B4034" s="627" t="s">
        <v>13091</v>
      </c>
      <c r="C4034" s="626" t="s">
        <v>8</v>
      </c>
      <c r="D4034" s="626" t="s">
        <v>11248</v>
      </c>
      <c r="E4034" s="628" t="s">
        <v>17</v>
      </c>
      <c r="F4034" s="816" t="s">
        <v>14501</v>
      </c>
      <c r="G4034" s="816"/>
      <c r="H4034" s="816">
        <v>0.56699999999999995</v>
      </c>
      <c r="I4034" s="816"/>
      <c r="J4034" s="817">
        <v>1.1299999999999999</v>
      </c>
      <c r="K4034" s="817"/>
      <c r="L4034" s="817"/>
    </row>
    <row r="4035" spans="1:12" ht="24" customHeight="1">
      <c r="A4035" s="626" t="s">
        <v>12709</v>
      </c>
      <c r="B4035" s="627" t="s">
        <v>13189</v>
      </c>
      <c r="C4035" s="626" t="s">
        <v>8</v>
      </c>
      <c r="D4035" s="626" t="s">
        <v>11363</v>
      </c>
      <c r="E4035" s="628" t="s">
        <v>17</v>
      </c>
      <c r="F4035" s="816" t="s">
        <v>14500</v>
      </c>
      <c r="G4035" s="816"/>
      <c r="H4035" s="816">
        <v>1.008</v>
      </c>
      <c r="I4035" s="816"/>
      <c r="J4035" s="817">
        <v>8.8000000000000007</v>
      </c>
      <c r="K4035" s="817"/>
      <c r="L4035" s="817"/>
    </row>
    <row r="4036" spans="1:12" ht="24" customHeight="1">
      <c r="A4036" s="626" t="s">
        <v>12709</v>
      </c>
      <c r="B4036" s="627" t="s">
        <v>13194</v>
      </c>
      <c r="C4036" s="626" t="s">
        <v>8</v>
      </c>
      <c r="D4036" s="626" t="s">
        <v>10900</v>
      </c>
      <c r="E4036" s="628" t="s">
        <v>17</v>
      </c>
      <c r="F4036" s="816" t="s">
        <v>14499</v>
      </c>
      <c r="G4036" s="816"/>
      <c r="H4036" s="816">
        <v>0.60499999999999998</v>
      </c>
      <c r="I4036" s="816"/>
      <c r="J4036" s="817">
        <v>3.36</v>
      </c>
      <c r="K4036" s="817"/>
      <c r="L4036" s="817"/>
    </row>
    <row r="4037" spans="1:12" ht="24" customHeight="1">
      <c r="A4037" s="626" t="s">
        <v>12709</v>
      </c>
      <c r="B4037" s="627" t="s">
        <v>13056</v>
      </c>
      <c r="C4037" s="626" t="s">
        <v>8</v>
      </c>
      <c r="D4037" s="626" t="s">
        <v>11277</v>
      </c>
      <c r="E4037" s="628" t="s">
        <v>35</v>
      </c>
      <c r="F4037" s="816" t="s">
        <v>14498</v>
      </c>
      <c r="G4037" s="816"/>
      <c r="H4037" s="816">
        <v>3.4999999999999999E-6</v>
      </c>
      <c r="I4037" s="816"/>
      <c r="J4037" s="817">
        <v>4.4000000000000003E-3</v>
      </c>
      <c r="K4037" s="817"/>
      <c r="L4037" s="817"/>
    </row>
    <row r="4038" spans="1:12" ht="17.100000000000001" customHeight="1">
      <c r="A4038" s="626" t="s">
        <v>12709</v>
      </c>
      <c r="B4038" s="627" t="s">
        <v>12987</v>
      </c>
      <c r="C4038" s="626" t="s">
        <v>8</v>
      </c>
      <c r="D4038" s="626" t="s">
        <v>9192</v>
      </c>
      <c r="E4038" s="628" t="s">
        <v>12923</v>
      </c>
      <c r="F4038" s="816" t="s">
        <v>13999</v>
      </c>
      <c r="G4038" s="816"/>
      <c r="H4038" s="816">
        <v>5.37546E-2</v>
      </c>
      <c r="I4038" s="816"/>
      <c r="J4038" s="817">
        <v>4.3499999999999997E-2</v>
      </c>
      <c r="K4038" s="817"/>
      <c r="L4038" s="817"/>
    </row>
    <row r="4039" spans="1:12" ht="14.25" customHeight="1">
      <c r="A4039" s="636"/>
      <c r="B4039" s="636"/>
      <c r="C4039" s="636"/>
      <c r="D4039" s="636"/>
      <c r="E4039" s="636"/>
      <c r="F4039" s="636"/>
      <c r="G4039" s="636"/>
      <c r="H4039" s="636"/>
      <c r="I4039" s="636"/>
      <c r="J4039" s="636" t="s">
        <v>13675</v>
      </c>
      <c r="K4039" s="636"/>
      <c r="L4039" s="636" t="s">
        <v>14497</v>
      </c>
    </row>
    <row r="4040" spans="1:12" ht="17.100000000000001" customHeight="1">
      <c r="A4040" s="802" t="s">
        <v>12722</v>
      </c>
      <c r="B4040" s="802"/>
      <c r="C4040" s="802"/>
      <c r="D4040" s="802"/>
      <c r="E4040" s="802"/>
      <c r="F4040" s="802"/>
      <c r="G4040" s="802"/>
      <c r="H4040" s="802"/>
      <c r="I4040" s="612"/>
      <c r="J4040" s="612"/>
      <c r="K4040" s="612"/>
      <c r="L4040" s="612"/>
    </row>
    <row r="4041" spans="1:12" ht="24" customHeight="1">
      <c r="A4041" s="612" t="s">
        <v>13679</v>
      </c>
      <c r="B4041" s="636" t="s">
        <v>12698</v>
      </c>
      <c r="C4041" s="612" t="s">
        <v>12699</v>
      </c>
      <c r="D4041" s="612" t="s">
        <v>12700</v>
      </c>
      <c r="E4041" s="637" t="s">
        <v>12702</v>
      </c>
      <c r="F4041" s="801" t="s">
        <v>12704</v>
      </c>
      <c r="G4041" s="801"/>
      <c r="H4041" s="801" t="s">
        <v>13678</v>
      </c>
      <c r="I4041" s="801"/>
      <c r="J4041" s="801" t="s">
        <v>12705</v>
      </c>
      <c r="K4041" s="801"/>
      <c r="L4041" s="801"/>
    </row>
    <row r="4042" spans="1:12" ht="24" customHeight="1">
      <c r="A4042" s="626" t="s">
        <v>12709</v>
      </c>
      <c r="B4042" s="627" t="s">
        <v>12998</v>
      </c>
      <c r="C4042" s="626" t="s">
        <v>8</v>
      </c>
      <c r="D4042" s="626" t="s">
        <v>11861</v>
      </c>
      <c r="E4042" s="628" t="s">
        <v>23</v>
      </c>
      <c r="F4042" s="816" t="s">
        <v>13683</v>
      </c>
      <c r="G4042" s="816"/>
      <c r="H4042" s="816">
        <v>1.6428611</v>
      </c>
      <c r="I4042" s="816"/>
      <c r="J4042" s="817">
        <v>1.1664000000000001</v>
      </c>
      <c r="K4042" s="817"/>
      <c r="L4042" s="817"/>
    </row>
    <row r="4043" spans="1:12" ht="17.100000000000001" customHeight="1">
      <c r="A4043" s="636"/>
      <c r="B4043" s="636"/>
      <c r="C4043" s="636"/>
      <c r="D4043" s="636"/>
      <c r="E4043" s="636"/>
      <c r="F4043" s="636"/>
      <c r="G4043" s="636"/>
      <c r="H4043" s="636"/>
      <c r="I4043" s="636"/>
      <c r="J4043" s="636" t="s">
        <v>13675</v>
      </c>
      <c r="K4043" s="636"/>
      <c r="L4043" s="636" t="s">
        <v>13712</v>
      </c>
    </row>
    <row r="4044" spans="1:12">
      <c r="A4044" s="802" t="s">
        <v>12713</v>
      </c>
      <c r="B4044" s="802"/>
      <c r="C4044" s="802"/>
      <c r="D4044" s="802"/>
      <c r="E4044" s="802"/>
      <c r="F4044" s="802"/>
      <c r="G4044" s="802"/>
      <c r="H4044" s="802"/>
      <c r="I4044" s="612"/>
      <c r="J4044" s="612"/>
      <c r="K4044" s="612"/>
      <c r="L4044" s="612"/>
    </row>
    <row r="4045" spans="1:12" ht="17.100000000000001" customHeight="1">
      <c r="A4045" s="612" t="s">
        <v>13679</v>
      </c>
      <c r="B4045" s="636" t="s">
        <v>12698</v>
      </c>
      <c r="C4045" s="612" t="s">
        <v>12699</v>
      </c>
      <c r="D4045" s="612" t="s">
        <v>12700</v>
      </c>
      <c r="E4045" s="637" t="s">
        <v>12702</v>
      </c>
      <c r="F4045" s="801" t="s">
        <v>12704</v>
      </c>
      <c r="G4045" s="801"/>
      <c r="H4045" s="801" t="s">
        <v>13678</v>
      </c>
      <c r="I4045" s="801"/>
      <c r="J4045" s="801" t="s">
        <v>12705</v>
      </c>
      <c r="K4045" s="801"/>
      <c r="L4045" s="801"/>
    </row>
    <row r="4046" spans="1:12" ht="48" customHeight="1">
      <c r="A4046" s="626" t="s">
        <v>12709</v>
      </c>
      <c r="B4046" s="627" t="s">
        <v>12999</v>
      </c>
      <c r="C4046" s="626" t="s">
        <v>8</v>
      </c>
      <c r="D4046" s="626" t="s">
        <v>11251</v>
      </c>
      <c r="E4046" s="628" t="s">
        <v>23</v>
      </c>
      <c r="F4046" s="816" t="s">
        <v>13681</v>
      </c>
      <c r="G4046" s="816"/>
      <c r="H4046" s="816">
        <v>1.6428611</v>
      </c>
      <c r="I4046" s="816"/>
      <c r="J4046" s="817">
        <v>0.115</v>
      </c>
      <c r="K4046" s="817"/>
      <c r="L4046" s="817"/>
    </row>
    <row r="4047" spans="1:12" ht="17.100000000000001" customHeight="1">
      <c r="A4047" s="636"/>
      <c r="B4047" s="636"/>
      <c r="C4047" s="636"/>
      <c r="D4047" s="636"/>
      <c r="E4047" s="636"/>
      <c r="F4047" s="636"/>
      <c r="G4047" s="636"/>
      <c r="H4047" s="636"/>
      <c r="I4047" s="636"/>
      <c r="J4047" s="636" t="s">
        <v>13675</v>
      </c>
      <c r="K4047" s="636"/>
      <c r="L4047" s="636" t="s">
        <v>13751</v>
      </c>
    </row>
    <row r="4048" spans="1:12">
      <c r="A4048" s="802" t="s">
        <v>12712</v>
      </c>
      <c r="B4048" s="802"/>
      <c r="C4048" s="802"/>
      <c r="D4048" s="802"/>
      <c r="E4048" s="802"/>
      <c r="F4048" s="802"/>
      <c r="G4048" s="802"/>
      <c r="H4048" s="802"/>
      <c r="I4048" s="612"/>
      <c r="J4048" s="612"/>
      <c r="K4048" s="612"/>
      <c r="L4048" s="612"/>
    </row>
    <row r="4049" spans="1:12" ht="17.100000000000001" customHeight="1">
      <c r="A4049" s="612" t="s">
        <v>13679</v>
      </c>
      <c r="B4049" s="636" t="s">
        <v>12698</v>
      </c>
      <c r="C4049" s="612" t="s">
        <v>12699</v>
      </c>
      <c r="D4049" s="612" t="s">
        <v>12700</v>
      </c>
      <c r="E4049" s="637" t="s">
        <v>12702</v>
      </c>
      <c r="F4049" s="801" t="s">
        <v>12704</v>
      </c>
      <c r="G4049" s="801"/>
      <c r="H4049" s="801" t="s">
        <v>13678</v>
      </c>
      <c r="I4049" s="801"/>
      <c r="J4049" s="801" t="s">
        <v>12705</v>
      </c>
      <c r="K4049" s="801"/>
      <c r="L4049" s="801"/>
    </row>
    <row r="4050" spans="1:12" ht="24" customHeight="1">
      <c r="A4050" s="626" t="s">
        <v>12709</v>
      </c>
      <c r="B4050" s="627" t="s">
        <v>13002</v>
      </c>
      <c r="C4050" s="626" t="s">
        <v>8</v>
      </c>
      <c r="D4050" s="626" t="s">
        <v>9306</v>
      </c>
      <c r="E4050" s="628" t="s">
        <v>23</v>
      </c>
      <c r="F4050" s="816" t="s">
        <v>13677</v>
      </c>
      <c r="G4050" s="816"/>
      <c r="H4050" s="816">
        <v>1.6428611</v>
      </c>
      <c r="I4050" s="816"/>
      <c r="J4050" s="817">
        <v>0.57499999999999996</v>
      </c>
      <c r="K4050" s="817"/>
      <c r="L4050" s="817"/>
    </row>
    <row r="4051" spans="1:12" ht="17.100000000000001" customHeight="1">
      <c r="A4051" s="626" t="s">
        <v>12709</v>
      </c>
      <c r="B4051" s="627" t="s">
        <v>13004</v>
      </c>
      <c r="C4051" s="626" t="s">
        <v>8</v>
      </c>
      <c r="D4051" s="626" t="s">
        <v>7388</v>
      </c>
      <c r="E4051" s="628" t="s">
        <v>23</v>
      </c>
      <c r="F4051" s="816" t="s">
        <v>13676</v>
      </c>
      <c r="G4051" s="816"/>
      <c r="H4051" s="816">
        <v>1.6428611</v>
      </c>
      <c r="I4051" s="816"/>
      <c r="J4051" s="817">
        <v>3.6143000000000001</v>
      </c>
      <c r="K4051" s="817"/>
      <c r="L4051" s="817"/>
    </row>
    <row r="4052" spans="1:12">
      <c r="A4052" s="636"/>
      <c r="B4052" s="636"/>
      <c r="C4052" s="636"/>
      <c r="D4052" s="636"/>
      <c r="E4052" s="636"/>
      <c r="F4052" s="636"/>
      <c r="G4052" s="636"/>
      <c r="H4052" s="636"/>
      <c r="I4052" s="636"/>
      <c r="J4052" s="636" t="s">
        <v>13675</v>
      </c>
      <c r="K4052" s="636"/>
      <c r="L4052" s="636" t="s">
        <v>13750</v>
      </c>
    </row>
    <row r="4053" spans="1:12" ht="17.100000000000001" customHeight="1">
      <c r="A4053" s="612" t="s">
        <v>13673</v>
      </c>
      <c r="B4053" s="612"/>
      <c r="C4053" s="612"/>
      <c r="D4053" s="612"/>
      <c r="E4053" s="612"/>
      <c r="F4053" s="612"/>
      <c r="G4053" s="612"/>
      <c r="H4053" s="612"/>
      <c r="I4053" s="612"/>
      <c r="J4053" s="612"/>
      <c r="K4053" s="612"/>
      <c r="L4053" s="612"/>
    </row>
    <row r="4054" spans="1:12" ht="24" customHeight="1">
      <c r="A4054" s="636"/>
      <c r="B4054" s="636"/>
      <c r="C4054" s="636"/>
      <c r="D4054" s="636"/>
      <c r="E4054" s="636"/>
      <c r="F4054" s="636"/>
      <c r="G4054" s="636"/>
      <c r="H4054" s="636"/>
      <c r="I4054" s="636"/>
      <c r="J4054" s="636" t="s">
        <v>13672</v>
      </c>
      <c r="K4054" s="636"/>
      <c r="L4054" s="636" t="s">
        <v>15054</v>
      </c>
    </row>
    <row r="4055" spans="1:12" ht="17.100000000000001" customHeight="1">
      <c r="A4055" s="636"/>
      <c r="B4055" s="636"/>
      <c r="C4055" s="636"/>
      <c r="D4055" s="636"/>
      <c r="E4055" s="636"/>
      <c r="F4055" s="636"/>
      <c r="G4055" s="636"/>
      <c r="H4055" s="636"/>
      <c r="I4055" s="636"/>
      <c r="J4055" s="636" t="s">
        <v>13671</v>
      </c>
      <c r="K4055" s="636" t="s">
        <v>14461</v>
      </c>
      <c r="L4055" s="636" t="s">
        <v>15055</v>
      </c>
    </row>
    <row r="4056" spans="1:12">
      <c r="A4056" s="636"/>
      <c r="B4056" s="636"/>
      <c r="C4056" s="636"/>
      <c r="D4056" s="636"/>
      <c r="E4056" s="636"/>
      <c r="F4056" s="636"/>
      <c r="G4056" s="636"/>
      <c r="H4056" s="636"/>
      <c r="I4056" s="636"/>
      <c r="J4056" s="636" t="s">
        <v>13670</v>
      </c>
      <c r="K4056" s="636"/>
      <c r="L4056" s="636" t="s">
        <v>15056</v>
      </c>
    </row>
    <row r="4057" spans="1:12" ht="17.100000000000001" customHeight="1">
      <c r="A4057" s="636"/>
      <c r="B4057" s="636"/>
      <c r="C4057" s="636"/>
      <c r="D4057" s="636"/>
      <c r="E4057" s="636"/>
      <c r="F4057" s="636"/>
      <c r="G4057" s="636"/>
      <c r="H4057" s="636"/>
      <c r="I4057" s="636"/>
      <c r="J4057" s="636" t="s">
        <v>13669</v>
      </c>
      <c r="K4057" s="636" t="s">
        <v>13667</v>
      </c>
      <c r="L4057" s="636" t="s">
        <v>15057</v>
      </c>
    </row>
    <row r="4058" spans="1:12" ht="24" customHeight="1">
      <c r="A4058" s="636"/>
      <c r="B4058" s="636"/>
      <c r="C4058" s="636"/>
      <c r="D4058" s="636"/>
      <c r="E4058" s="636"/>
      <c r="F4058" s="636"/>
      <c r="G4058" s="636"/>
      <c r="H4058" s="636"/>
      <c r="I4058" s="636"/>
      <c r="J4058" s="636" t="s">
        <v>13668</v>
      </c>
      <c r="K4058" s="636"/>
      <c r="L4058" s="636" t="s">
        <v>15058</v>
      </c>
    </row>
    <row r="4059" spans="1:12" ht="24" customHeight="1">
      <c r="A4059" s="637"/>
      <c r="B4059" s="637"/>
      <c r="C4059" s="637"/>
      <c r="D4059" s="637"/>
      <c r="E4059" s="637"/>
      <c r="F4059" s="637"/>
      <c r="G4059" s="637"/>
      <c r="H4059" s="637"/>
      <c r="I4059" s="637"/>
      <c r="J4059" s="637"/>
      <c r="K4059" s="637"/>
      <c r="L4059" s="637"/>
    </row>
    <row r="4060" spans="1:12" ht="17.100000000000001" customHeight="1">
      <c r="A4060" s="616" t="s">
        <v>14132</v>
      </c>
      <c r="B4060" s="617" t="s">
        <v>13623</v>
      </c>
      <c r="C4060" s="616" t="s">
        <v>8</v>
      </c>
      <c r="D4060" s="616" t="s">
        <v>681</v>
      </c>
      <c r="E4060" s="618" t="s">
        <v>12730</v>
      </c>
      <c r="F4060" s="617"/>
      <c r="G4060" s="617"/>
      <c r="H4060" s="617"/>
      <c r="I4060" s="617"/>
      <c r="J4060" s="617"/>
      <c r="K4060" s="617"/>
      <c r="L4060" s="617"/>
    </row>
    <row r="4061" spans="1:12" ht="17.100000000000001" customHeight="1">
      <c r="A4061" s="802" t="s">
        <v>12711</v>
      </c>
      <c r="B4061" s="802"/>
      <c r="C4061" s="802"/>
      <c r="D4061" s="802"/>
      <c r="E4061" s="802"/>
      <c r="F4061" s="802"/>
      <c r="G4061" s="802"/>
      <c r="H4061" s="802"/>
      <c r="I4061" s="612"/>
      <c r="J4061" s="612"/>
      <c r="K4061" s="612"/>
      <c r="L4061" s="612"/>
    </row>
    <row r="4062" spans="1:12" ht="17.100000000000001" customHeight="1">
      <c r="A4062" s="612" t="s">
        <v>13679</v>
      </c>
      <c r="B4062" s="636" t="s">
        <v>12698</v>
      </c>
      <c r="C4062" s="612" t="s">
        <v>12699</v>
      </c>
      <c r="D4062" s="612" t="s">
        <v>12700</v>
      </c>
      <c r="E4062" s="637" t="s">
        <v>12702</v>
      </c>
      <c r="F4062" s="801" t="s">
        <v>12704</v>
      </c>
      <c r="G4062" s="801"/>
      <c r="H4062" s="801" t="s">
        <v>13678</v>
      </c>
      <c r="I4062" s="801"/>
      <c r="J4062" s="801" t="s">
        <v>12705</v>
      </c>
      <c r="K4062" s="801"/>
      <c r="L4062" s="801"/>
    </row>
    <row r="4063" spans="1:12" ht="17.100000000000001" customHeight="1">
      <c r="A4063" s="626" t="s">
        <v>12709</v>
      </c>
      <c r="B4063" s="627" t="s">
        <v>13268</v>
      </c>
      <c r="C4063" s="626" t="s">
        <v>8</v>
      </c>
      <c r="D4063" s="626" t="s">
        <v>8451</v>
      </c>
      <c r="E4063" s="628" t="s">
        <v>35</v>
      </c>
      <c r="F4063" s="816" t="s">
        <v>14506</v>
      </c>
      <c r="G4063" s="816"/>
      <c r="H4063" s="816">
        <v>5.0300000000000003E-5</v>
      </c>
      <c r="I4063" s="816"/>
      <c r="J4063" s="817">
        <v>0.54879999999999995</v>
      </c>
      <c r="K4063" s="817"/>
      <c r="L4063" s="817"/>
    </row>
    <row r="4064" spans="1:12" ht="17.100000000000001" customHeight="1">
      <c r="A4064" s="626" t="s">
        <v>12709</v>
      </c>
      <c r="B4064" s="627" t="s">
        <v>13003</v>
      </c>
      <c r="C4064" s="626" t="s">
        <v>8</v>
      </c>
      <c r="D4064" s="626" t="s">
        <v>9227</v>
      </c>
      <c r="E4064" s="628" t="s">
        <v>23</v>
      </c>
      <c r="F4064" s="816" t="s">
        <v>13732</v>
      </c>
      <c r="G4064" s="816"/>
      <c r="H4064" s="816">
        <v>0.53689819999999999</v>
      </c>
      <c r="I4064" s="816"/>
      <c r="J4064" s="817">
        <v>0.35439999999999999</v>
      </c>
      <c r="K4064" s="817"/>
      <c r="L4064" s="817"/>
    </row>
    <row r="4065" spans="1:12" ht="17.100000000000001" customHeight="1">
      <c r="A4065" s="626" t="s">
        <v>12709</v>
      </c>
      <c r="B4065" s="627" t="s">
        <v>13001</v>
      </c>
      <c r="C4065" s="626" t="s">
        <v>8</v>
      </c>
      <c r="D4065" s="626" t="s">
        <v>9374</v>
      </c>
      <c r="E4065" s="628" t="s">
        <v>23</v>
      </c>
      <c r="F4065" s="816" t="s">
        <v>13728</v>
      </c>
      <c r="G4065" s="816"/>
      <c r="H4065" s="816">
        <v>0.53689819999999999</v>
      </c>
      <c r="I4065" s="816"/>
      <c r="J4065" s="817">
        <v>5.4000000000000003E-3</v>
      </c>
      <c r="K4065" s="817"/>
      <c r="L4065" s="817"/>
    </row>
    <row r="4066" spans="1:12" ht="17.100000000000001" customHeight="1">
      <c r="A4066" s="626" t="s">
        <v>12709</v>
      </c>
      <c r="B4066" s="627" t="s">
        <v>13274</v>
      </c>
      <c r="C4066" s="626" t="s">
        <v>8</v>
      </c>
      <c r="D4066" s="626" t="s">
        <v>8201</v>
      </c>
      <c r="E4066" s="628" t="s">
        <v>35</v>
      </c>
      <c r="F4066" s="816" t="s">
        <v>14721</v>
      </c>
      <c r="G4066" s="816"/>
      <c r="H4066" s="816">
        <v>6.9999999999999997E-7</v>
      </c>
      <c r="I4066" s="816"/>
      <c r="J4066" s="817">
        <v>0.2243</v>
      </c>
      <c r="K4066" s="817"/>
      <c r="L4066" s="817"/>
    </row>
    <row r="4067" spans="1:12" ht="30" customHeight="1">
      <c r="A4067" s="626" t="s">
        <v>12709</v>
      </c>
      <c r="B4067" s="627" t="s">
        <v>13048</v>
      </c>
      <c r="C4067" s="626" t="s">
        <v>8</v>
      </c>
      <c r="D4067" s="626" t="s">
        <v>9233</v>
      </c>
      <c r="E4067" s="628" t="s">
        <v>23</v>
      </c>
      <c r="F4067" s="816" t="s">
        <v>13690</v>
      </c>
      <c r="G4067" s="816"/>
      <c r="H4067" s="816">
        <v>0.65887510000000005</v>
      </c>
      <c r="I4067" s="816"/>
      <c r="J4067" s="817">
        <v>0.67210000000000003</v>
      </c>
      <c r="K4067" s="817"/>
      <c r="L4067" s="817"/>
    </row>
    <row r="4068" spans="1:12" ht="24" customHeight="1">
      <c r="A4068" s="626" t="s">
        <v>12709</v>
      </c>
      <c r="B4068" s="627" t="s">
        <v>13047</v>
      </c>
      <c r="C4068" s="626" t="s">
        <v>8</v>
      </c>
      <c r="D4068" s="626" t="s">
        <v>9380</v>
      </c>
      <c r="E4068" s="628" t="s">
        <v>23</v>
      </c>
      <c r="F4068" s="816" t="s">
        <v>13689</v>
      </c>
      <c r="G4068" s="816"/>
      <c r="H4068" s="816">
        <v>0.65887510000000005</v>
      </c>
      <c r="I4068" s="816"/>
      <c r="J4068" s="817">
        <v>0.25040000000000001</v>
      </c>
      <c r="K4068" s="817"/>
      <c r="L4068" s="817"/>
    </row>
    <row r="4069" spans="1:12" ht="14.25" customHeight="1">
      <c r="A4069" s="636"/>
      <c r="B4069" s="636"/>
      <c r="C4069" s="636"/>
      <c r="D4069" s="636"/>
      <c r="E4069" s="636"/>
      <c r="F4069" s="636"/>
      <c r="G4069" s="636"/>
      <c r="H4069" s="636"/>
      <c r="I4069" s="636"/>
      <c r="J4069" s="636" t="s">
        <v>13675</v>
      </c>
      <c r="K4069" s="636"/>
      <c r="L4069" s="636" t="s">
        <v>14095</v>
      </c>
    </row>
    <row r="4070" spans="1:12" ht="17.100000000000001" customHeight="1">
      <c r="A4070" s="802" t="s">
        <v>12710</v>
      </c>
      <c r="B4070" s="802"/>
      <c r="C4070" s="802"/>
      <c r="D4070" s="802"/>
      <c r="E4070" s="802"/>
      <c r="F4070" s="802"/>
      <c r="G4070" s="802"/>
      <c r="H4070" s="802"/>
      <c r="I4070" s="612"/>
      <c r="J4070" s="612"/>
      <c r="K4070" s="612"/>
      <c r="L4070" s="612"/>
    </row>
    <row r="4071" spans="1:12" ht="48" customHeight="1">
      <c r="A4071" s="612" t="s">
        <v>13679</v>
      </c>
      <c r="B4071" s="636" t="s">
        <v>12698</v>
      </c>
      <c r="C4071" s="612" t="s">
        <v>12699</v>
      </c>
      <c r="D4071" s="612" t="s">
        <v>12700</v>
      </c>
      <c r="E4071" s="637" t="s">
        <v>12702</v>
      </c>
      <c r="F4071" s="801" t="s">
        <v>12704</v>
      </c>
      <c r="G4071" s="801"/>
      <c r="H4071" s="801" t="s">
        <v>13678</v>
      </c>
      <c r="I4071" s="801"/>
      <c r="J4071" s="801" t="s">
        <v>12705</v>
      </c>
      <c r="K4071" s="801"/>
      <c r="L4071" s="801"/>
    </row>
    <row r="4072" spans="1:12" ht="24" customHeight="1">
      <c r="A4072" s="626" t="s">
        <v>12709</v>
      </c>
      <c r="B4072" s="627" t="s">
        <v>13103</v>
      </c>
      <c r="C4072" s="626" t="s">
        <v>8</v>
      </c>
      <c r="D4072" s="626" t="s">
        <v>10570</v>
      </c>
      <c r="E4072" s="628" t="s">
        <v>23</v>
      </c>
      <c r="F4072" s="816" t="s">
        <v>14289</v>
      </c>
      <c r="G4072" s="816"/>
      <c r="H4072" s="816">
        <v>0.53126099999999998</v>
      </c>
      <c r="I4072" s="816"/>
      <c r="J4072" s="817">
        <v>2.7040999999999999</v>
      </c>
      <c r="K4072" s="817"/>
      <c r="L4072" s="817"/>
    </row>
    <row r="4073" spans="1:12" ht="24" customHeight="1">
      <c r="A4073" s="626" t="s">
        <v>12709</v>
      </c>
      <c r="B4073" s="627" t="s">
        <v>13126</v>
      </c>
      <c r="C4073" s="626" t="s">
        <v>8</v>
      </c>
      <c r="D4073" s="626" t="s">
        <v>10465</v>
      </c>
      <c r="E4073" s="628" t="s">
        <v>23</v>
      </c>
      <c r="F4073" s="816" t="s">
        <v>14604</v>
      </c>
      <c r="G4073" s="816"/>
      <c r="H4073" s="816">
        <v>9.0161000000000008E-3</v>
      </c>
      <c r="I4073" s="816"/>
      <c r="J4073" s="817">
        <v>4.9500000000000002E-2</v>
      </c>
      <c r="K4073" s="817"/>
      <c r="L4073" s="817"/>
    </row>
    <row r="4074" spans="1:12" ht="24" customHeight="1">
      <c r="A4074" s="626" t="s">
        <v>12709</v>
      </c>
      <c r="B4074" s="627" t="s">
        <v>13046</v>
      </c>
      <c r="C4074" s="626" t="s">
        <v>8</v>
      </c>
      <c r="D4074" s="626" t="s">
        <v>11281</v>
      </c>
      <c r="E4074" s="628" t="s">
        <v>23</v>
      </c>
      <c r="F4074" s="816" t="s">
        <v>13731</v>
      </c>
      <c r="G4074" s="816"/>
      <c r="H4074" s="816">
        <v>0.66747780000000001</v>
      </c>
      <c r="I4074" s="816"/>
      <c r="J4074" s="817">
        <v>3.4308000000000001</v>
      </c>
      <c r="K4074" s="817"/>
      <c r="L4074" s="817"/>
    </row>
    <row r="4075" spans="1:12" ht="24" customHeight="1">
      <c r="A4075" s="636"/>
      <c r="B4075" s="636"/>
      <c r="C4075" s="636"/>
      <c r="D4075" s="636"/>
      <c r="E4075" s="636"/>
      <c r="F4075" s="636"/>
      <c r="G4075" s="636"/>
      <c r="H4075" s="636"/>
      <c r="I4075" s="636"/>
      <c r="J4075" s="636" t="s">
        <v>13675</v>
      </c>
      <c r="K4075" s="636"/>
      <c r="L4075" s="636" t="s">
        <v>14203</v>
      </c>
    </row>
    <row r="4076" spans="1:12" ht="17.100000000000001" customHeight="1">
      <c r="A4076" s="802" t="s">
        <v>12720</v>
      </c>
      <c r="B4076" s="802"/>
      <c r="C4076" s="802"/>
      <c r="D4076" s="802"/>
      <c r="E4076" s="802"/>
      <c r="F4076" s="802"/>
      <c r="G4076" s="802"/>
      <c r="H4076" s="802"/>
      <c r="I4076" s="612"/>
      <c r="J4076" s="612"/>
      <c r="K4076" s="612"/>
      <c r="L4076" s="612"/>
    </row>
    <row r="4077" spans="1:12" ht="14.25" customHeight="1">
      <c r="A4077" s="612" t="s">
        <v>13679</v>
      </c>
      <c r="B4077" s="636" t="s">
        <v>12698</v>
      </c>
      <c r="C4077" s="612" t="s">
        <v>12699</v>
      </c>
      <c r="D4077" s="612" t="s">
        <v>12700</v>
      </c>
      <c r="E4077" s="637" t="s">
        <v>12702</v>
      </c>
      <c r="F4077" s="801" t="s">
        <v>12704</v>
      </c>
      <c r="G4077" s="801"/>
      <c r="H4077" s="801" t="s">
        <v>13678</v>
      </c>
      <c r="I4077" s="801"/>
      <c r="J4077" s="801" t="s">
        <v>12705</v>
      </c>
      <c r="K4077" s="801"/>
      <c r="L4077" s="801"/>
    </row>
    <row r="4078" spans="1:12" ht="17.100000000000001" customHeight="1">
      <c r="A4078" s="626" t="s">
        <v>12709</v>
      </c>
      <c r="B4078" s="627" t="s">
        <v>13266</v>
      </c>
      <c r="C4078" s="626" t="s">
        <v>8</v>
      </c>
      <c r="D4078" s="626" t="s">
        <v>9514</v>
      </c>
      <c r="E4078" s="628" t="s">
        <v>58</v>
      </c>
      <c r="F4078" s="816" t="s">
        <v>14009</v>
      </c>
      <c r="G4078" s="816"/>
      <c r="H4078" s="816">
        <v>0.28216649999999999</v>
      </c>
      <c r="I4078" s="816"/>
      <c r="J4078" s="817">
        <v>1.0609</v>
      </c>
      <c r="K4078" s="817"/>
      <c r="L4078" s="817"/>
    </row>
    <row r="4079" spans="1:12" ht="24" customHeight="1">
      <c r="A4079" s="626" t="s">
        <v>12709</v>
      </c>
      <c r="B4079" s="627" t="s">
        <v>13273</v>
      </c>
      <c r="C4079" s="626" t="s">
        <v>8</v>
      </c>
      <c r="D4079" s="626" t="s">
        <v>11409</v>
      </c>
      <c r="E4079" s="628" t="s">
        <v>35</v>
      </c>
      <c r="F4079" s="816" t="s">
        <v>14720</v>
      </c>
      <c r="G4079" s="816"/>
      <c r="H4079" s="816">
        <v>6.9999999999999997E-7</v>
      </c>
      <c r="I4079" s="816"/>
      <c r="J4079" s="817">
        <v>3.85E-2</v>
      </c>
      <c r="K4079" s="817"/>
      <c r="L4079" s="817"/>
    </row>
    <row r="4080" spans="1:12" ht="24" customHeight="1">
      <c r="A4080" s="626" t="s">
        <v>12709</v>
      </c>
      <c r="B4080" s="627" t="s">
        <v>13007</v>
      </c>
      <c r="C4080" s="626" t="s">
        <v>8</v>
      </c>
      <c r="D4080" s="626" t="s">
        <v>10549</v>
      </c>
      <c r="E4080" s="628" t="s">
        <v>58</v>
      </c>
      <c r="F4080" s="816" t="s">
        <v>14172</v>
      </c>
      <c r="G4080" s="816"/>
      <c r="H4080" s="816">
        <v>0.19292339999999999</v>
      </c>
      <c r="I4080" s="816"/>
      <c r="J4080" s="817">
        <v>0.62509999999999999</v>
      </c>
      <c r="K4080" s="817"/>
      <c r="L4080" s="817"/>
    </row>
    <row r="4081" spans="1:12" ht="17.100000000000001" customHeight="1">
      <c r="A4081" s="636"/>
      <c r="B4081" s="636"/>
      <c r="C4081" s="636"/>
      <c r="D4081" s="636"/>
      <c r="E4081" s="636"/>
      <c r="F4081" s="636"/>
      <c r="G4081" s="636"/>
      <c r="H4081" s="636"/>
      <c r="I4081" s="636"/>
      <c r="J4081" s="636" t="s">
        <v>13675</v>
      </c>
      <c r="K4081" s="636"/>
      <c r="L4081" s="636" t="s">
        <v>13766</v>
      </c>
    </row>
    <row r="4082" spans="1:12">
      <c r="A4082" s="802" t="s">
        <v>12722</v>
      </c>
      <c r="B4082" s="802"/>
      <c r="C4082" s="802"/>
      <c r="D4082" s="802"/>
      <c r="E4082" s="802"/>
      <c r="F4082" s="802"/>
      <c r="G4082" s="802"/>
      <c r="H4082" s="802"/>
      <c r="I4082" s="612"/>
      <c r="J4082" s="612"/>
      <c r="K4082" s="612"/>
      <c r="L4082" s="612"/>
    </row>
    <row r="4083" spans="1:12" ht="17.100000000000001" customHeight="1">
      <c r="A4083" s="612" t="s">
        <v>13679</v>
      </c>
      <c r="B4083" s="636" t="s">
        <v>12698</v>
      </c>
      <c r="C4083" s="612" t="s">
        <v>12699</v>
      </c>
      <c r="D4083" s="612" t="s">
        <v>12700</v>
      </c>
      <c r="E4083" s="637" t="s">
        <v>12702</v>
      </c>
      <c r="F4083" s="801" t="s">
        <v>12704</v>
      </c>
      <c r="G4083" s="801"/>
      <c r="H4083" s="801" t="s">
        <v>13678</v>
      </c>
      <c r="I4083" s="801"/>
      <c r="J4083" s="801" t="s">
        <v>12705</v>
      </c>
      <c r="K4083" s="801"/>
      <c r="L4083" s="801"/>
    </row>
    <row r="4084" spans="1:12" ht="24" customHeight="1">
      <c r="A4084" s="626" t="s">
        <v>12709</v>
      </c>
      <c r="B4084" s="627" t="s">
        <v>12998</v>
      </c>
      <c r="C4084" s="626" t="s">
        <v>8</v>
      </c>
      <c r="D4084" s="626" t="s">
        <v>11861</v>
      </c>
      <c r="E4084" s="628" t="s">
        <v>23</v>
      </c>
      <c r="F4084" s="816" t="s">
        <v>13683</v>
      </c>
      <c r="G4084" s="816"/>
      <c r="H4084" s="816">
        <v>1.1957732000000001</v>
      </c>
      <c r="I4084" s="816"/>
      <c r="J4084" s="817">
        <v>0.84899999999999998</v>
      </c>
      <c r="K4084" s="817"/>
      <c r="L4084" s="817"/>
    </row>
    <row r="4085" spans="1:12" ht="17.100000000000001" customHeight="1">
      <c r="A4085" s="636"/>
      <c r="B4085" s="636"/>
      <c r="C4085" s="636"/>
      <c r="D4085" s="636"/>
      <c r="E4085" s="636"/>
      <c r="F4085" s="636"/>
      <c r="G4085" s="636"/>
      <c r="H4085" s="636"/>
      <c r="I4085" s="636"/>
      <c r="J4085" s="636" t="s">
        <v>13675</v>
      </c>
      <c r="K4085" s="636"/>
      <c r="L4085" s="636" t="s">
        <v>13906</v>
      </c>
    </row>
    <row r="4086" spans="1:12">
      <c r="A4086" s="802" t="s">
        <v>12713</v>
      </c>
      <c r="B4086" s="802"/>
      <c r="C4086" s="802"/>
      <c r="D4086" s="802"/>
      <c r="E4086" s="802"/>
      <c r="F4086" s="802"/>
      <c r="G4086" s="802"/>
      <c r="H4086" s="802"/>
      <c r="I4086" s="612"/>
      <c r="J4086" s="612"/>
      <c r="K4086" s="612"/>
      <c r="L4086" s="612"/>
    </row>
    <row r="4087" spans="1:12" ht="17.100000000000001" customHeight="1">
      <c r="A4087" s="612" t="s">
        <v>13679</v>
      </c>
      <c r="B4087" s="636" t="s">
        <v>12698</v>
      </c>
      <c r="C4087" s="612" t="s">
        <v>12699</v>
      </c>
      <c r="D4087" s="612" t="s">
        <v>12700</v>
      </c>
      <c r="E4087" s="637" t="s">
        <v>12702</v>
      </c>
      <c r="F4087" s="801" t="s">
        <v>12704</v>
      </c>
      <c r="G4087" s="801"/>
      <c r="H4087" s="801" t="s">
        <v>13678</v>
      </c>
      <c r="I4087" s="801"/>
      <c r="J4087" s="801" t="s">
        <v>12705</v>
      </c>
      <c r="K4087" s="801"/>
      <c r="L4087" s="801"/>
    </row>
    <row r="4088" spans="1:12" ht="24" customHeight="1">
      <c r="A4088" s="626" t="s">
        <v>12709</v>
      </c>
      <c r="B4088" s="627" t="s">
        <v>12999</v>
      </c>
      <c r="C4088" s="626" t="s">
        <v>8</v>
      </c>
      <c r="D4088" s="626" t="s">
        <v>11251</v>
      </c>
      <c r="E4088" s="628" t="s">
        <v>23</v>
      </c>
      <c r="F4088" s="816" t="s">
        <v>13681</v>
      </c>
      <c r="G4088" s="816"/>
      <c r="H4088" s="816">
        <v>1.1957732000000001</v>
      </c>
      <c r="I4088" s="816"/>
      <c r="J4088" s="817">
        <v>8.3699999999999997E-2</v>
      </c>
      <c r="K4088" s="817"/>
      <c r="L4088" s="817"/>
    </row>
    <row r="4089" spans="1:12" ht="17.100000000000001" customHeight="1">
      <c r="A4089" s="636"/>
      <c r="B4089" s="636"/>
      <c r="C4089" s="636"/>
      <c r="D4089" s="636"/>
      <c r="E4089" s="636"/>
      <c r="F4089" s="636"/>
      <c r="G4089" s="636"/>
      <c r="H4089" s="636"/>
      <c r="I4089" s="636"/>
      <c r="J4089" s="636" t="s">
        <v>13675</v>
      </c>
      <c r="K4089" s="636"/>
      <c r="L4089" s="636" t="s">
        <v>13892</v>
      </c>
    </row>
    <row r="4090" spans="1:12">
      <c r="A4090" s="802" t="s">
        <v>12712</v>
      </c>
      <c r="B4090" s="802"/>
      <c r="C4090" s="802"/>
      <c r="D4090" s="802"/>
      <c r="E4090" s="802"/>
      <c r="F4090" s="802"/>
      <c r="G4090" s="802"/>
      <c r="H4090" s="802"/>
      <c r="I4090" s="612"/>
      <c r="J4090" s="612"/>
      <c r="K4090" s="612"/>
      <c r="L4090" s="612"/>
    </row>
    <row r="4091" spans="1:12" ht="17.100000000000001" customHeight="1">
      <c r="A4091" s="612" t="s">
        <v>13679</v>
      </c>
      <c r="B4091" s="636" t="s">
        <v>12698</v>
      </c>
      <c r="C4091" s="612" t="s">
        <v>12699</v>
      </c>
      <c r="D4091" s="612" t="s">
        <v>12700</v>
      </c>
      <c r="E4091" s="637" t="s">
        <v>12702</v>
      </c>
      <c r="F4091" s="801" t="s">
        <v>12704</v>
      </c>
      <c r="G4091" s="801"/>
      <c r="H4091" s="801" t="s">
        <v>13678</v>
      </c>
      <c r="I4091" s="801"/>
      <c r="J4091" s="801" t="s">
        <v>12705</v>
      </c>
      <c r="K4091" s="801"/>
      <c r="L4091" s="801"/>
    </row>
    <row r="4092" spans="1:12" ht="24" customHeight="1">
      <c r="A4092" s="626" t="s">
        <v>12709</v>
      </c>
      <c r="B4092" s="627" t="s">
        <v>13002</v>
      </c>
      <c r="C4092" s="626" t="s">
        <v>8</v>
      </c>
      <c r="D4092" s="626" t="s">
        <v>9306</v>
      </c>
      <c r="E4092" s="628" t="s">
        <v>23</v>
      </c>
      <c r="F4092" s="816" t="s">
        <v>13677</v>
      </c>
      <c r="G4092" s="816"/>
      <c r="H4092" s="816">
        <v>1.1957732000000001</v>
      </c>
      <c r="I4092" s="816"/>
      <c r="J4092" s="817">
        <v>0.41849999999999998</v>
      </c>
      <c r="K4092" s="817"/>
      <c r="L4092" s="817"/>
    </row>
    <row r="4093" spans="1:12" ht="17.100000000000001" customHeight="1">
      <c r="A4093" s="626" t="s">
        <v>12709</v>
      </c>
      <c r="B4093" s="627" t="s">
        <v>13004</v>
      </c>
      <c r="C4093" s="626" t="s">
        <v>8</v>
      </c>
      <c r="D4093" s="626" t="s">
        <v>7388</v>
      </c>
      <c r="E4093" s="628" t="s">
        <v>23</v>
      </c>
      <c r="F4093" s="816" t="s">
        <v>13676</v>
      </c>
      <c r="G4093" s="816"/>
      <c r="H4093" s="816">
        <v>1.1957732000000001</v>
      </c>
      <c r="I4093" s="816"/>
      <c r="J4093" s="817">
        <v>2.6307</v>
      </c>
      <c r="K4093" s="817"/>
      <c r="L4093" s="817"/>
    </row>
    <row r="4094" spans="1:12">
      <c r="A4094" s="636"/>
      <c r="B4094" s="636"/>
      <c r="C4094" s="636"/>
      <c r="D4094" s="636"/>
      <c r="E4094" s="636"/>
      <c r="F4094" s="636"/>
      <c r="G4094" s="636"/>
      <c r="H4094" s="636"/>
      <c r="I4094" s="636"/>
      <c r="J4094" s="636" t="s">
        <v>13675</v>
      </c>
      <c r="K4094" s="636"/>
      <c r="L4094" s="636" t="s">
        <v>14719</v>
      </c>
    </row>
    <row r="4095" spans="1:12" ht="17.100000000000001" customHeight="1">
      <c r="A4095" s="612" t="s">
        <v>13673</v>
      </c>
      <c r="B4095" s="612"/>
      <c r="C4095" s="612"/>
      <c r="D4095" s="612"/>
      <c r="E4095" s="612"/>
      <c r="F4095" s="612"/>
      <c r="G4095" s="612"/>
      <c r="H4095" s="612"/>
      <c r="I4095" s="612"/>
      <c r="J4095" s="612"/>
      <c r="K4095" s="612"/>
      <c r="L4095" s="612"/>
    </row>
    <row r="4096" spans="1:12" ht="24" customHeight="1">
      <c r="A4096" s="636"/>
      <c r="B4096" s="636"/>
      <c r="C4096" s="636"/>
      <c r="D4096" s="636"/>
      <c r="E4096" s="636"/>
      <c r="F4096" s="636"/>
      <c r="G4096" s="636"/>
      <c r="H4096" s="636"/>
      <c r="I4096" s="636"/>
      <c r="J4096" s="636" t="s">
        <v>13672</v>
      </c>
      <c r="K4096" s="636"/>
      <c r="L4096" s="636" t="s">
        <v>15031</v>
      </c>
    </row>
    <row r="4097" spans="1:12" ht="24" customHeight="1">
      <c r="A4097" s="636"/>
      <c r="B4097" s="636"/>
      <c r="C4097" s="636"/>
      <c r="D4097" s="636"/>
      <c r="E4097" s="636"/>
      <c r="F4097" s="636"/>
      <c r="G4097" s="636"/>
      <c r="H4097" s="636"/>
      <c r="I4097" s="636"/>
      <c r="J4097" s="636" t="s">
        <v>13671</v>
      </c>
      <c r="K4097" s="636" t="s">
        <v>14461</v>
      </c>
      <c r="L4097" s="636" t="s">
        <v>14968</v>
      </c>
    </row>
    <row r="4098" spans="1:12" ht="17.100000000000001" customHeight="1">
      <c r="A4098" s="636"/>
      <c r="B4098" s="636"/>
      <c r="C4098" s="636"/>
      <c r="D4098" s="636"/>
      <c r="E4098" s="636"/>
      <c r="F4098" s="636"/>
      <c r="G4098" s="636"/>
      <c r="H4098" s="636"/>
      <c r="I4098" s="636"/>
      <c r="J4098" s="636" t="s">
        <v>13670</v>
      </c>
      <c r="K4098" s="636"/>
      <c r="L4098" s="636" t="s">
        <v>15032</v>
      </c>
    </row>
    <row r="4099" spans="1:12" ht="17.100000000000001" customHeight="1">
      <c r="A4099" s="636"/>
      <c r="B4099" s="636"/>
      <c r="C4099" s="636"/>
      <c r="D4099" s="636"/>
      <c r="E4099" s="636"/>
      <c r="F4099" s="636"/>
      <c r="G4099" s="636"/>
      <c r="H4099" s="636"/>
      <c r="I4099" s="636"/>
      <c r="J4099" s="636" t="s">
        <v>13669</v>
      </c>
      <c r="K4099" s="636" t="s">
        <v>13667</v>
      </c>
      <c r="L4099" s="636" t="s">
        <v>15033</v>
      </c>
    </row>
    <row r="4100" spans="1:12" ht="17.100000000000001" customHeight="1">
      <c r="A4100" s="636"/>
      <c r="B4100" s="636"/>
      <c r="C4100" s="636"/>
      <c r="D4100" s="636"/>
      <c r="E4100" s="636"/>
      <c r="F4100" s="636"/>
      <c r="G4100" s="636"/>
      <c r="H4100" s="636"/>
      <c r="I4100" s="636"/>
      <c r="J4100" s="636" t="s">
        <v>13668</v>
      </c>
      <c r="K4100" s="636"/>
      <c r="L4100" s="636" t="s">
        <v>15034</v>
      </c>
    </row>
    <row r="4101" spans="1:12" ht="17.100000000000001" customHeight="1">
      <c r="A4101" s="637"/>
      <c r="B4101" s="637"/>
      <c r="C4101" s="637"/>
      <c r="D4101" s="637"/>
      <c r="E4101" s="637"/>
      <c r="F4101" s="637"/>
      <c r="G4101" s="637"/>
      <c r="H4101" s="637"/>
      <c r="I4101" s="637"/>
      <c r="J4101" s="637"/>
      <c r="K4101" s="637"/>
      <c r="L4101" s="637"/>
    </row>
    <row r="4102" spans="1:12" ht="17.100000000000001" customHeight="1">
      <c r="A4102" s="616" t="s">
        <v>14131</v>
      </c>
      <c r="B4102" s="617" t="s">
        <v>13625</v>
      </c>
      <c r="C4102" s="616" t="s">
        <v>8</v>
      </c>
      <c r="D4102" s="616" t="s">
        <v>4874</v>
      </c>
      <c r="E4102" s="618" t="s">
        <v>12725</v>
      </c>
      <c r="F4102" s="617"/>
      <c r="G4102" s="617"/>
      <c r="H4102" s="617"/>
      <c r="I4102" s="617"/>
      <c r="J4102" s="617"/>
      <c r="K4102" s="617"/>
      <c r="L4102" s="617"/>
    </row>
    <row r="4103" spans="1:12" ht="17.100000000000001" customHeight="1">
      <c r="A4103" s="802" t="s">
        <v>12711</v>
      </c>
      <c r="B4103" s="802"/>
      <c r="C4103" s="802"/>
      <c r="D4103" s="802"/>
      <c r="E4103" s="802"/>
      <c r="F4103" s="802"/>
      <c r="G4103" s="802"/>
      <c r="H4103" s="802"/>
      <c r="I4103" s="612"/>
      <c r="J4103" s="612"/>
      <c r="K4103" s="612"/>
      <c r="L4103" s="612"/>
    </row>
    <row r="4104" spans="1:12" ht="17.100000000000001" customHeight="1">
      <c r="A4104" s="612" t="s">
        <v>13679</v>
      </c>
      <c r="B4104" s="636" t="s">
        <v>12698</v>
      </c>
      <c r="C4104" s="612" t="s">
        <v>12699</v>
      </c>
      <c r="D4104" s="612" t="s">
        <v>12700</v>
      </c>
      <c r="E4104" s="637" t="s">
        <v>12702</v>
      </c>
      <c r="F4104" s="801" t="s">
        <v>12704</v>
      </c>
      <c r="G4104" s="801"/>
      <c r="H4104" s="801" t="s">
        <v>13678</v>
      </c>
      <c r="I4104" s="801"/>
      <c r="J4104" s="801" t="s">
        <v>12705</v>
      </c>
      <c r="K4104" s="801"/>
      <c r="L4104" s="801"/>
    </row>
    <row r="4105" spans="1:12" ht="30" customHeight="1">
      <c r="A4105" s="626" t="s">
        <v>12709</v>
      </c>
      <c r="B4105" s="627" t="s">
        <v>13048</v>
      </c>
      <c r="C4105" s="626" t="s">
        <v>8</v>
      </c>
      <c r="D4105" s="626" t="s">
        <v>9233</v>
      </c>
      <c r="E4105" s="628" t="s">
        <v>23</v>
      </c>
      <c r="F4105" s="816" t="s">
        <v>13690</v>
      </c>
      <c r="G4105" s="816"/>
      <c r="H4105" s="816">
        <v>8.4681099999999995E-2</v>
      </c>
      <c r="I4105" s="816"/>
      <c r="J4105" s="817">
        <v>8.6400000000000005E-2</v>
      </c>
      <c r="K4105" s="817"/>
      <c r="L4105" s="817"/>
    </row>
    <row r="4106" spans="1:12" ht="36" customHeight="1">
      <c r="A4106" s="626" t="s">
        <v>12709</v>
      </c>
      <c r="B4106" s="627" t="s">
        <v>13047</v>
      </c>
      <c r="C4106" s="626" t="s">
        <v>8</v>
      </c>
      <c r="D4106" s="626" t="s">
        <v>9380</v>
      </c>
      <c r="E4106" s="628" t="s">
        <v>23</v>
      </c>
      <c r="F4106" s="816" t="s">
        <v>13689</v>
      </c>
      <c r="G4106" s="816"/>
      <c r="H4106" s="816">
        <v>8.4681099999999995E-2</v>
      </c>
      <c r="I4106" s="816"/>
      <c r="J4106" s="817">
        <v>3.2199999999999999E-2</v>
      </c>
      <c r="K4106" s="817"/>
      <c r="L4106" s="817"/>
    </row>
    <row r="4107" spans="1:12" ht="14.25" customHeight="1">
      <c r="A4107" s="626" t="s">
        <v>12709</v>
      </c>
      <c r="B4107" s="627" t="s">
        <v>13052</v>
      </c>
      <c r="C4107" s="626" t="s">
        <v>8</v>
      </c>
      <c r="D4107" s="626" t="s">
        <v>9229</v>
      </c>
      <c r="E4107" s="628" t="s">
        <v>23</v>
      </c>
      <c r="F4107" s="816" t="s">
        <v>13692</v>
      </c>
      <c r="G4107" s="816"/>
      <c r="H4107" s="816">
        <v>0.42041699999999999</v>
      </c>
      <c r="I4107" s="816"/>
      <c r="J4107" s="817">
        <v>0.40360000000000001</v>
      </c>
      <c r="K4107" s="817"/>
      <c r="L4107" s="817"/>
    </row>
    <row r="4108" spans="1:12" ht="17.100000000000001" customHeight="1">
      <c r="A4108" s="626" t="s">
        <v>12709</v>
      </c>
      <c r="B4108" s="627" t="s">
        <v>13051</v>
      </c>
      <c r="C4108" s="626" t="s">
        <v>8</v>
      </c>
      <c r="D4108" s="626" t="s">
        <v>9376</v>
      </c>
      <c r="E4108" s="628" t="s">
        <v>23</v>
      </c>
      <c r="F4108" s="816" t="s">
        <v>13691</v>
      </c>
      <c r="G4108" s="816"/>
      <c r="H4108" s="816">
        <v>0.42041699999999999</v>
      </c>
      <c r="I4108" s="816"/>
      <c r="J4108" s="817">
        <v>0.2102</v>
      </c>
      <c r="K4108" s="817"/>
      <c r="L4108" s="817"/>
    </row>
    <row r="4109" spans="1:12" ht="48" customHeight="1">
      <c r="A4109" s="636"/>
      <c r="B4109" s="636"/>
      <c r="C4109" s="636"/>
      <c r="D4109" s="636"/>
      <c r="E4109" s="636"/>
      <c r="F4109" s="636"/>
      <c r="G4109" s="636"/>
      <c r="H4109" s="636"/>
      <c r="I4109" s="636"/>
      <c r="J4109" s="636" t="s">
        <v>13675</v>
      </c>
      <c r="K4109" s="636"/>
      <c r="L4109" s="636" t="s">
        <v>13820</v>
      </c>
    </row>
    <row r="4110" spans="1:12" ht="24" customHeight="1">
      <c r="A4110" s="802" t="s">
        <v>12710</v>
      </c>
      <c r="B4110" s="802"/>
      <c r="C4110" s="802"/>
      <c r="D4110" s="802"/>
      <c r="E4110" s="802"/>
      <c r="F4110" s="802"/>
      <c r="G4110" s="802"/>
      <c r="H4110" s="802"/>
      <c r="I4110" s="612"/>
      <c r="J4110" s="612"/>
      <c r="K4110" s="612"/>
      <c r="L4110" s="612"/>
    </row>
    <row r="4111" spans="1:12" ht="24" customHeight="1">
      <c r="A4111" s="612" t="s">
        <v>13679</v>
      </c>
      <c r="B4111" s="636" t="s">
        <v>12698</v>
      </c>
      <c r="C4111" s="612" t="s">
        <v>12699</v>
      </c>
      <c r="D4111" s="612" t="s">
        <v>12700</v>
      </c>
      <c r="E4111" s="637" t="s">
        <v>12702</v>
      </c>
      <c r="F4111" s="801" t="s">
        <v>12704</v>
      </c>
      <c r="G4111" s="801"/>
      <c r="H4111" s="801" t="s">
        <v>13678</v>
      </c>
      <c r="I4111" s="801"/>
      <c r="J4111" s="801" t="s">
        <v>12705</v>
      </c>
      <c r="K4111" s="801"/>
      <c r="L4111" s="801"/>
    </row>
    <row r="4112" spans="1:12" ht="17.100000000000001" customHeight="1">
      <c r="A4112" s="626" t="s">
        <v>12709</v>
      </c>
      <c r="B4112" s="627" t="s">
        <v>13226</v>
      </c>
      <c r="C4112" s="626" t="s">
        <v>8</v>
      </c>
      <c r="D4112" s="626" t="s">
        <v>7374</v>
      </c>
      <c r="E4112" s="628" t="s">
        <v>23</v>
      </c>
      <c r="F4112" s="816" t="s">
        <v>14702</v>
      </c>
      <c r="G4112" s="816"/>
      <c r="H4112" s="816">
        <v>8.5489499999999996E-2</v>
      </c>
      <c r="I4112" s="816"/>
      <c r="J4112" s="817">
        <v>0.57020000000000004</v>
      </c>
      <c r="K4112" s="817"/>
      <c r="L4112" s="817"/>
    </row>
    <row r="4113" spans="1:12" ht="14.25" customHeight="1">
      <c r="A4113" s="626" t="s">
        <v>12709</v>
      </c>
      <c r="B4113" s="627" t="s">
        <v>13170</v>
      </c>
      <c r="C4113" s="626" t="s">
        <v>8</v>
      </c>
      <c r="D4113" s="626" t="s">
        <v>9625</v>
      </c>
      <c r="E4113" s="628" t="s">
        <v>23</v>
      </c>
      <c r="F4113" s="816" t="s">
        <v>14574</v>
      </c>
      <c r="G4113" s="816"/>
      <c r="H4113" s="816">
        <v>0.42725160000000001</v>
      </c>
      <c r="I4113" s="816"/>
      <c r="J4113" s="817">
        <v>3.1274999999999999</v>
      </c>
      <c r="K4113" s="817"/>
      <c r="L4113" s="817"/>
    </row>
    <row r="4114" spans="1:12" ht="17.100000000000001" customHeight="1">
      <c r="A4114" s="636"/>
      <c r="B4114" s="636"/>
      <c r="C4114" s="636"/>
      <c r="D4114" s="636"/>
      <c r="E4114" s="636"/>
      <c r="F4114" s="636"/>
      <c r="G4114" s="636"/>
      <c r="H4114" s="636"/>
      <c r="I4114" s="636"/>
      <c r="J4114" s="636" t="s">
        <v>13675</v>
      </c>
      <c r="K4114" s="636"/>
      <c r="L4114" s="636" t="s">
        <v>13719</v>
      </c>
    </row>
    <row r="4115" spans="1:12" ht="24" customHeight="1">
      <c r="A4115" s="802" t="s">
        <v>12720</v>
      </c>
      <c r="B4115" s="802"/>
      <c r="C4115" s="802"/>
      <c r="D4115" s="802"/>
      <c r="E4115" s="802"/>
      <c r="F4115" s="802"/>
      <c r="G4115" s="802"/>
      <c r="H4115" s="802"/>
      <c r="I4115" s="612"/>
      <c r="J4115" s="612"/>
      <c r="K4115" s="612"/>
      <c r="L4115" s="612"/>
    </row>
    <row r="4116" spans="1:12" ht="17.100000000000001" customHeight="1">
      <c r="A4116" s="612" t="s">
        <v>13679</v>
      </c>
      <c r="B4116" s="636" t="s">
        <v>12698</v>
      </c>
      <c r="C4116" s="612" t="s">
        <v>12699</v>
      </c>
      <c r="D4116" s="612" t="s">
        <v>12700</v>
      </c>
      <c r="E4116" s="637" t="s">
        <v>12702</v>
      </c>
      <c r="F4116" s="801" t="s">
        <v>12704</v>
      </c>
      <c r="G4116" s="801"/>
      <c r="H4116" s="801" t="s">
        <v>13678</v>
      </c>
      <c r="I4116" s="801"/>
      <c r="J4116" s="801" t="s">
        <v>12705</v>
      </c>
      <c r="K4116" s="801"/>
      <c r="L4116" s="801"/>
    </row>
    <row r="4117" spans="1:12" ht="38.25">
      <c r="A4117" s="626" t="s">
        <v>12709</v>
      </c>
      <c r="B4117" s="627" t="s">
        <v>13624</v>
      </c>
      <c r="C4117" s="626" t="s">
        <v>8</v>
      </c>
      <c r="D4117" s="626" t="s">
        <v>10338</v>
      </c>
      <c r="E4117" s="628" t="s">
        <v>20</v>
      </c>
      <c r="F4117" s="816" t="s">
        <v>14718</v>
      </c>
      <c r="G4117" s="816"/>
      <c r="H4117" s="816">
        <v>1.5</v>
      </c>
      <c r="I4117" s="816"/>
      <c r="J4117" s="817">
        <v>14.35</v>
      </c>
      <c r="K4117" s="817"/>
      <c r="L4117" s="817"/>
    </row>
    <row r="4118" spans="1:12" ht="17.100000000000001" customHeight="1">
      <c r="A4118" s="636"/>
      <c r="B4118" s="636"/>
      <c r="C4118" s="636"/>
      <c r="D4118" s="636"/>
      <c r="E4118" s="636"/>
      <c r="F4118" s="636"/>
      <c r="G4118" s="636"/>
      <c r="H4118" s="636"/>
      <c r="I4118" s="636"/>
      <c r="J4118" s="636" t="s">
        <v>13675</v>
      </c>
      <c r="K4118" s="636"/>
      <c r="L4118" s="636" t="s">
        <v>13960</v>
      </c>
    </row>
    <row r="4119" spans="1:12" ht="24" customHeight="1">
      <c r="A4119" s="802" t="s">
        <v>12722</v>
      </c>
      <c r="B4119" s="802"/>
      <c r="C4119" s="802"/>
      <c r="D4119" s="802"/>
      <c r="E4119" s="802"/>
      <c r="F4119" s="802"/>
      <c r="G4119" s="802"/>
      <c r="H4119" s="802"/>
      <c r="I4119" s="612"/>
      <c r="J4119" s="612"/>
      <c r="K4119" s="612"/>
      <c r="L4119" s="612"/>
    </row>
    <row r="4120" spans="1:12" ht="24" customHeight="1">
      <c r="A4120" s="612" t="s">
        <v>13679</v>
      </c>
      <c r="B4120" s="636" t="s">
        <v>12698</v>
      </c>
      <c r="C4120" s="612" t="s">
        <v>12699</v>
      </c>
      <c r="D4120" s="612" t="s">
        <v>12700</v>
      </c>
      <c r="E4120" s="637" t="s">
        <v>12702</v>
      </c>
      <c r="F4120" s="801" t="s">
        <v>12704</v>
      </c>
      <c r="G4120" s="801"/>
      <c r="H4120" s="801" t="s">
        <v>13678</v>
      </c>
      <c r="I4120" s="801"/>
      <c r="J4120" s="801" t="s">
        <v>12705</v>
      </c>
      <c r="K4120" s="801"/>
      <c r="L4120" s="801"/>
    </row>
    <row r="4121" spans="1:12" ht="17.100000000000001" customHeight="1">
      <c r="A4121" s="626" t="s">
        <v>12709</v>
      </c>
      <c r="B4121" s="627" t="s">
        <v>12998</v>
      </c>
      <c r="C4121" s="626" t="s">
        <v>8</v>
      </c>
      <c r="D4121" s="626" t="s">
        <v>11861</v>
      </c>
      <c r="E4121" s="628" t="s">
        <v>23</v>
      </c>
      <c r="F4121" s="816" t="s">
        <v>13683</v>
      </c>
      <c r="G4121" s="816"/>
      <c r="H4121" s="816">
        <v>0.50509809999999999</v>
      </c>
      <c r="I4121" s="816"/>
      <c r="J4121" s="817">
        <v>0.35859999999999997</v>
      </c>
      <c r="K4121" s="817"/>
      <c r="L4121" s="817"/>
    </row>
    <row r="4122" spans="1:12">
      <c r="A4122" s="636"/>
      <c r="B4122" s="636"/>
      <c r="C4122" s="636"/>
      <c r="D4122" s="636"/>
      <c r="E4122" s="636"/>
      <c r="F4122" s="636"/>
      <c r="G4122" s="636"/>
      <c r="H4122" s="636"/>
      <c r="I4122" s="636"/>
      <c r="J4122" s="636" t="s">
        <v>13675</v>
      </c>
      <c r="K4122" s="636"/>
      <c r="L4122" s="636" t="s">
        <v>13688</v>
      </c>
    </row>
    <row r="4123" spans="1:12" ht="17.100000000000001" customHeight="1">
      <c r="A4123" s="802" t="s">
        <v>12713</v>
      </c>
      <c r="B4123" s="802"/>
      <c r="C4123" s="802"/>
      <c r="D4123" s="802"/>
      <c r="E4123" s="802"/>
      <c r="F4123" s="802"/>
      <c r="G4123" s="802"/>
      <c r="H4123" s="802"/>
      <c r="I4123" s="612"/>
      <c r="J4123" s="612"/>
      <c r="K4123" s="612"/>
      <c r="L4123" s="612"/>
    </row>
    <row r="4124" spans="1:12" ht="24" customHeight="1">
      <c r="A4124" s="612" t="s">
        <v>13679</v>
      </c>
      <c r="B4124" s="636" t="s">
        <v>12698</v>
      </c>
      <c r="C4124" s="612" t="s">
        <v>12699</v>
      </c>
      <c r="D4124" s="612" t="s">
        <v>12700</v>
      </c>
      <c r="E4124" s="637" t="s">
        <v>12702</v>
      </c>
      <c r="F4124" s="801" t="s">
        <v>12704</v>
      </c>
      <c r="G4124" s="801"/>
      <c r="H4124" s="801" t="s">
        <v>13678</v>
      </c>
      <c r="I4124" s="801"/>
      <c r="J4124" s="801" t="s">
        <v>12705</v>
      </c>
      <c r="K4124" s="801"/>
      <c r="L4124" s="801"/>
    </row>
    <row r="4125" spans="1:12" ht="17.100000000000001" customHeight="1">
      <c r="A4125" s="626" t="s">
        <v>12709</v>
      </c>
      <c r="B4125" s="627" t="s">
        <v>12999</v>
      </c>
      <c r="C4125" s="626" t="s">
        <v>8</v>
      </c>
      <c r="D4125" s="626" t="s">
        <v>11251</v>
      </c>
      <c r="E4125" s="628" t="s">
        <v>23</v>
      </c>
      <c r="F4125" s="816" t="s">
        <v>13681</v>
      </c>
      <c r="G4125" s="816"/>
      <c r="H4125" s="816">
        <v>0.50509809999999999</v>
      </c>
      <c r="I4125" s="816"/>
      <c r="J4125" s="817">
        <v>3.5400000000000001E-2</v>
      </c>
      <c r="K4125" s="817"/>
      <c r="L4125" s="817"/>
    </row>
    <row r="4126" spans="1:12">
      <c r="A4126" s="636"/>
      <c r="B4126" s="636"/>
      <c r="C4126" s="636"/>
      <c r="D4126" s="636"/>
      <c r="E4126" s="636"/>
      <c r="F4126" s="636"/>
      <c r="G4126" s="636"/>
      <c r="H4126" s="636"/>
      <c r="I4126" s="636"/>
      <c r="J4126" s="636" t="s">
        <v>13675</v>
      </c>
      <c r="K4126" s="636"/>
      <c r="L4126" s="636" t="s">
        <v>13716</v>
      </c>
    </row>
    <row r="4127" spans="1:12" ht="17.100000000000001" customHeight="1">
      <c r="A4127" s="802" t="s">
        <v>12712</v>
      </c>
      <c r="B4127" s="802"/>
      <c r="C4127" s="802"/>
      <c r="D4127" s="802"/>
      <c r="E4127" s="802"/>
      <c r="F4127" s="802"/>
      <c r="G4127" s="802"/>
      <c r="H4127" s="802"/>
      <c r="I4127" s="612"/>
      <c r="J4127" s="612"/>
      <c r="K4127" s="612"/>
      <c r="L4127" s="612"/>
    </row>
    <row r="4128" spans="1:12" ht="24" customHeight="1">
      <c r="A4128" s="612" t="s">
        <v>13679</v>
      </c>
      <c r="B4128" s="636" t="s">
        <v>12698</v>
      </c>
      <c r="C4128" s="612" t="s">
        <v>12699</v>
      </c>
      <c r="D4128" s="612" t="s">
        <v>12700</v>
      </c>
      <c r="E4128" s="637" t="s">
        <v>12702</v>
      </c>
      <c r="F4128" s="801" t="s">
        <v>12704</v>
      </c>
      <c r="G4128" s="801"/>
      <c r="H4128" s="801" t="s">
        <v>13678</v>
      </c>
      <c r="I4128" s="801"/>
      <c r="J4128" s="801" t="s">
        <v>12705</v>
      </c>
      <c r="K4128" s="801"/>
      <c r="L4128" s="801"/>
    </row>
    <row r="4129" spans="1:12" ht="17.100000000000001" customHeight="1">
      <c r="A4129" s="626" t="s">
        <v>12709</v>
      </c>
      <c r="B4129" s="627" t="s">
        <v>13002</v>
      </c>
      <c r="C4129" s="626" t="s">
        <v>8</v>
      </c>
      <c r="D4129" s="626" t="s">
        <v>9306</v>
      </c>
      <c r="E4129" s="628" t="s">
        <v>23</v>
      </c>
      <c r="F4129" s="816" t="s">
        <v>13677</v>
      </c>
      <c r="G4129" s="816"/>
      <c r="H4129" s="816">
        <v>0.50509809999999999</v>
      </c>
      <c r="I4129" s="816"/>
      <c r="J4129" s="817">
        <v>0.17680000000000001</v>
      </c>
      <c r="K4129" s="817"/>
      <c r="L4129" s="817"/>
    </row>
    <row r="4130" spans="1:12" ht="25.5">
      <c r="A4130" s="626" t="s">
        <v>12709</v>
      </c>
      <c r="B4130" s="627" t="s">
        <v>13004</v>
      </c>
      <c r="C4130" s="626" t="s">
        <v>8</v>
      </c>
      <c r="D4130" s="626" t="s">
        <v>7388</v>
      </c>
      <c r="E4130" s="628" t="s">
        <v>23</v>
      </c>
      <c r="F4130" s="816" t="s">
        <v>13676</v>
      </c>
      <c r="G4130" s="816"/>
      <c r="H4130" s="816">
        <v>0.50509809999999999</v>
      </c>
      <c r="I4130" s="816"/>
      <c r="J4130" s="817">
        <v>1.1112</v>
      </c>
      <c r="K4130" s="817"/>
      <c r="L4130" s="817"/>
    </row>
    <row r="4131" spans="1:12" ht="17.100000000000001" customHeight="1">
      <c r="A4131" s="636"/>
      <c r="B4131" s="636"/>
      <c r="C4131" s="636"/>
      <c r="D4131" s="636"/>
      <c r="E4131" s="636"/>
      <c r="F4131" s="636"/>
      <c r="G4131" s="636"/>
      <c r="H4131" s="636"/>
      <c r="I4131" s="636"/>
      <c r="J4131" s="636" t="s">
        <v>13675</v>
      </c>
      <c r="K4131" s="636"/>
      <c r="L4131" s="636" t="s">
        <v>13912</v>
      </c>
    </row>
    <row r="4132" spans="1:12" ht="24" customHeight="1">
      <c r="A4132" s="612" t="s">
        <v>13673</v>
      </c>
      <c r="B4132" s="612"/>
      <c r="C4132" s="612"/>
      <c r="D4132" s="612"/>
      <c r="E4132" s="612"/>
      <c r="F4132" s="612"/>
      <c r="G4132" s="612"/>
      <c r="H4132" s="612"/>
      <c r="I4132" s="612"/>
      <c r="J4132" s="612"/>
      <c r="K4132" s="612"/>
      <c r="L4132" s="612"/>
    </row>
    <row r="4133" spans="1:12" ht="24" customHeight="1">
      <c r="A4133" s="636"/>
      <c r="B4133" s="636"/>
      <c r="C4133" s="636"/>
      <c r="D4133" s="636"/>
      <c r="E4133" s="636"/>
      <c r="F4133" s="636"/>
      <c r="G4133" s="636"/>
      <c r="H4133" s="636"/>
      <c r="I4133" s="636"/>
      <c r="J4133" s="636" t="s">
        <v>13672</v>
      </c>
      <c r="K4133" s="636"/>
      <c r="L4133" s="636" t="s">
        <v>15026</v>
      </c>
    </row>
    <row r="4134" spans="1:12" ht="17.100000000000001" customHeight="1">
      <c r="A4134" s="636"/>
      <c r="B4134" s="636"/>
      <c r="C4134" s="636"/>
      <c r="D4134" s="636"/>
      <c r="E4134" s="636"/>
      <c r="F4134" s="636"/>
      <c r="G4134" s="636"/>
      <c r="H4134" s="636"/>
      <c r="I4134" s="636"/>
      <c r="J4134" s="636" t="s">
        <v>13671</v>
      </c>
      <c r="K4134" s="636" t="s">
        <v>14461</v>
      </c>
      <c r="L4134" s="636" t="s">
        <v>15027</v>
      </c>
    </row>
    <row r="4135" spans="1:12" ht="17.100000000000001" customHeight="1">
      <c r="A4135" s="636"/>
      <c r="B4135" s="636"/>
      <c r="C4135" s="636"/>
      <c r="D4135" s="636"/>
      <c r="E4135" s="636"/>
      <c r="F4135" s="636"/>
      <c r="G4135" s="636"/>
      <c r="H4135" s="636"/>
      <c r="I4135" s="636"/>
      <c r="J4135" s="636" t="s">
        <v>13670</v>
      </c>
      <c r="K4135" s="636"/>
      <c r="L4135" s="636" t="s">
        <v>15028</v>
      </c>
    </row>
    <row r="4136" spans="1:12" ht="17.100000000000001" customHeight="1">
      <c r="A4136" s="636"/>
      <c r="B4136" s="636"/>
      <c r="C4136" s="636"/>
      <c r="D4136" s="636"/>
      <c r="E4136" s="636"/>
      <c r="F4136" s="636"/>
      <c r="G4136" s="636"/>
      <c r="H4136" s="636"/>
      <c r="I4136" s="636"/>
      <c r="J4136" s="636" t="s">
        <v>13669</v>
      </c>
      <c r="K4136" s="636" t="s">
        <v>13667</v>
      </c>
      <c r="L4136" s="636" t="s">
        <v>15029</v>
      </c>
    </row>
    <row r="4137" spans="1:12" ht="17.100000000000001" customHeight="1">
      <c r="A4137" s="636"/>
      <c r="B4137" s="636"/>
      <c r="C4137" s="636"/>
      <c r="D4137" s="636"/>
      <c r="E4137" s="636"/>
      <c r="F4137" s="636"/>
      <c r="G4137" s="636"/>
      <c r="H4137" s="636"/>
      <c r="I4137" s="636"/>
      <c r="J4137" s="636" t="s">
        <v>13668</v>
      </c>
      <c r="K4137" s="636"/>
      <c r="L4137" s="636" t="s">
        <v>15030</v>
      </c>
    </row>
    <row r="4138" spans="1:12" ht="17.100000000000001" customHeight="1">
      <c r="A4138" s="637"/>
      <c r="B4138" s="637"/>
      <c r="C4138" s="637"/>
      <c r="D4138" s="637"/>
      <c r="E4138" s="637"/>
      <c r="F4138" s="637"/>
      <c r="G4138" s="637"/>
      <c r="H4138" s="637"/>
      <c r="I4138" s="637"/>
      <c r="J4138" s="637"/>
      <c r="K4138" s="637"/>
      <c r="L4138" s="637"/>
    </row>
    <row r="4139" spans="1:12" ht="17.100000000000001" customHeight="1">
      <c r="A4139" s="616" t="s">
        <v>14130</v>
      </c>
      <c r="B4139" s="617" t="s">
        <v>13637</v>
      </c>
      <c r="C4139" s="616" t="s">
        <v>8</v>
      </c>
      <c r="D4139" s="616" t="s">
        <v>38</v>
      </c>
      <c r="E4139" s="618" t="s">
        <v>12730</v>
      </c>
      <c r="F4139" s="617"/>
      <c r="G4139" s="617"/>
      <c r="H4139" s="617"/>
      <c r="I4139" s="617"/>
      <c r="J4139" s="617"/>
      <c r="K4139" s="617"/>
      <c r="L4139" s="617"/>
    </row>
    <row r="4140" spans="1:12" ht="17.100000000000001" customHeight="1">
      <c r="A4140" s="802" t="s">
        <v>12711</v>
      </c>
      <c r="B4140" s="802"/>
      <c r="C4140" s="802"/>
      <c r="D4140" s="802"/>
      <c r="E4140" s="802"/>
      <c r="F4140" s="802"/>
      <c r="G4140" s="802"/>
      <c r="H4140" s="802"/>
      <c r="I4140" s="612"/>
      <c r="J4140" s="612"/>
      <c r="K4140" s="612"/>
      <c r="L4140" s="612"/>
    </row>
    <row r="4141" spans="1:12" ht="30" customHeight="1">
      <c r="A4141" s="612" t="s">
        <v>13679</v>
      </c>
      <c r="B4141" s="636" t="s">
        <v>12698</v>
      </c>
      <c r="C4141" s="612" t="s">
        <v>12699</v>
      </c>
      <c r="D4141" s="612" t="s">
        <v>12700</v>
      </c>
      <c r="E4141" s="637" t="s">
        <v>12702</v>
      </c>
      <c r="F4141" s="801" t="s">
        <v>12704</v>
      </c>
      <c r="G4141" s="801"/>
      <c r="H4141" s="801" t="s">
        <v>13678</v>
      </c>
      <c r="I4141" s="801"/>
      <c r="J4141" s="801" t="s">
        <v>12705</v>
      </c>
      <c r="K4141" s="801"/>
      <c r="L4141" s="801"/>
    </row>
    <row r="4142" spans="1:12" ht="24" customHeight="1">
      <c r="A4142" s="626" t="s">
        <v>12709</v>
      </c>
      <c r="B4142" s="627" t="s">
        <v>13280</v>
      </c>
      <c r="C4142" s="626" t="s">
        <v>8</v>
      </c>
      <c r="D4142" s="626" t="s">
        <v>8193</v>
      </c>
      <c r="E4142" s="628" t="s">
        <v>35</v>
      </c>
      <c r="F4142" s="816" t="s">
        <v>14491</v>
      </c>
      <c r="G4142" s="816"/>
      <c r="H4142" s="816">
        <v>1.26E-5</v>
      </c>
      <c r="I4142" s="816"/>
      <c r="J4142" s="817">
        <v>3.6513</v>
      </c>
      <c r="K4142" s="817"/>
      <c r="L4142" s="817"/>
    </row>
    <row r="4143" spans="1:12" ht="14.25" customHeight="1">
      <c r="A4143" s="626" t="s">
        <v>12709</v>
      </c>
      <c r="B4143" s="627" t="s">
        <v>13003</v>
      </c>
      <c r="C4143" s="626" t="s">
        <v>8</v>
      </c>
      <c r="D4143" s="626" t="s">
        <v>9227</v>
      </c>
      <c r="E4143" s="628" t="s">
        <v>23</v>
      </c>
      <c r="F4143" s="816" t="s">
        <v>13732</v>
      </c>
      <c r="G4143" s="816"/>
      <c r="H4143" s="816">
        <v>0.2493167</v>
      </c>
      <c r="I4143" s="816"/>
      <c r="J4143" s="817">
        <v>0.16450000000000001</v>
      </c>
      <c r="K4143" s="817"/>
      <c r="L4143" s="817"/>
    </row>
    <row r="4144" spans="1:12" ht="17.100000000000001" customHeight="1">
      <c r="A4144" s="626" t="s">
        <v>12709</v>
      </c>
      <c r="B4144" s="627" t="s">
        <v>13001</v>
      </c>
      <c r="C4144" s="626" t="s">
        <v>8</v>
      </c>
      <c r="D4144" s="626" t="s">
        <v>9374</v>
      </c>
      <c r="E4144" s="628" t="s">
        <v>23</v>
      </c>
      <c r="F4144" s="816" t="s">
        <v>13728</v>
      </c>
      <c r="G4144" s="816"/>
      <c r="H4144" s="816">
        <v>0.2493167</v>
      </c>
      <c r="I4144" s="816"/>
      <c r="J4144" s="817">
        <v>2.5000000000000001E-3</v>
      </c>
      <c r="K4144" s="817"/>
      <c r="L4144" s="817"/>
    </row>
    <row r="4145" spans="1:12" ht="24" customHeight="1">
      <c r="A4145" s="626" t="s">
        <v>12709</v>
      </c>
      <c r="B4145" s="627" t="s">
        <v>13048</v>
      </c>
      <c r="C4145" s="626" t="s">
        <v>8</v>
      </c>
      <c r="D4145" s="626" t="s">
        <v>9233</v>
      </c>
      <c r="E4145" s="628" t="s">
        <v>23</v>
      </c>
      <c r="F4145" s="816" t="s">
        <v>13690</v>
      </c>
      <c r="G4145" s="816"/>
      <c r="H4145" s="816">
        <v>0.69808680000000001</v>
      </c>
      <c r="I4145" s="816"/>
      <c r="J4145" s="817">
        <v>0.71199999999999997</v>
      </c>
      <c r="K4145" s="817"/>
      <c r="L4145" s="817"/>
    </row>
    <row r="4146" spans="1:12" ht="24" customHeight="1">
      <c r="A4146" s="626" t="s">
        <v>12709</v>
      </c>
      <c r="B4146" s="627" t="s">
        <v>13047</v>
      </c>
      <c r="C4146" s="626" t="s">
        <v>8</v>
      </c>
      <c r="D4146" s="626" t="s">
        <v>9380</v>
      </c>
      <c r="E4146" s="628" t="s">
        <v>23</v>
      </c>
      <c r="F4146" s="816" t="s">
        <v>13689</v>
      </c>
      <c r="G4146" s="816"/>
      <c r="H4146" s="816">
        <v>0.69808680000000001</v>
      </c>
      <c r="I4146" s="816"/>
      <c r="J4146" s="817">
        <v>0.26529999999999998</v>
      </c>
      <c r="K4146" s="817"/>
      <c r="L4146" s="817"/>
    </row>
    <row r="4147" spans="1:12" ht="24" customHeight="1">
      <c r="A4147" s="636"/>
      <c r="B4147" s="636"/>
      <c r="C4147" s="636"/>
      <c r="D4147" s="636"/>
      <c r="E4147" s="636"/>
      <c r="F4147" s="636"/>
      <c r="G4147" s="636"/>
      <c r="H4147" s="636"/>
      <c r="I4147" s="636"/>
      <c r="J4147" s="636" t="s">
        <v>13675</v>
      </c>
      <c r="K4147" s="636"/>
      <c r="L4147" s="636" t="s">
        <v>13949</v>
      </c>
    </row>
    <row r="4148" spans="1:12" ht="24" customHeight="1">
      <c r="A4148" s="802" t="s">
        <v>12710</v>
      </c>
      <c r="B4148" s="802"/>
      <c r="C4148" s="802"/>
      <c r="D4148" s="802"/>
      <c r="E4148" s="802"/>
      <c r="F4148" s="802"/>
      <c r="G4148" s="802"/>
      <c r="H4148" s="802"/>
      <c r="I4148" s="612"/>
      <c r="J4148" s="612"/>
      <c r="K4148" s="612"/>
      <c r="L4148" s="612"/>
    </row>
    <row r="4149" spans="1:12" ht="17.100000000000001" customHeight="1">
      <c r="A4149" s="612" t="s">
        <v>13679</v>
      </c>
      <c r="B4149" s="636" t="s">
        <v>12698</v>
      </c>
      <c r="C4149" s="612" t="s">
        <v>12699</v>
      </c>
      <c r="D4149" s="612" t="s">
        <v>12700</v>
      </c>
      <c r="E4149" s="637" t="s">
        <v>12702</v>
      </c>
      <c r="F4149" s="801" t="s">
        <v>12704</v>
      </c>
      <c r="G4149" s="801"/>
      <c r="H4149" s="801" t="s">
        <v>13678</v>
      </c>
      <c r="I4149" s="801"/>
      <c r="J4149" s="801" t="s">
        <v>12705</v>
      </c>
      <c r="K4149" s="801"/>
      <c r="L4149" s="801"/>
    </row>
    <row r="4150" spans="1:12" ht="14.25" customHeight="1">
      <c r="A4150" s="626" t="s">
        <v>12709</v>
      </c>
      <c r="B4150" s="627" t="s">
        <v>13129</v>
      </c>
      <c r="C4150" s="626" t="s">
        <v>8</v>
      </c>
      <c r="D4150" s="626" t="s">
        <v>10467</v>
      </c>
      <c r="E4150" s="628" t="s">
        <v>23</v>
      </c>
      <c r="F4150" s="816" t="s">
        <v>14252</v>
      </c>
      <c r="G4150" s="816"/>
      <c r="H4150" s="816">
        <v>0.25041940000000001</v>
      </c>
      <c r="I4150" s="816"/>
      <c r="J4150" s="817">
        <v>1.2971999999999999</v>
      </c>
      <c r="K4150" s="817"/>
      <c r="L4150" s="817"/>
    </row>
    <row r="4151" spans="1:12" ht="17.100000000000001" customHeight="1">
      <c r="A4151" s="626" t="s">
        <v>12709</v>
      </c>
      <c r="B4151" s="627" t="s">
        <v>13046</v>
      </c>
      <c r="C4151" s="626" t="s">
        <v>8</v>
      </c>
      <c r="D4151" s="626" t="s">
        <v>11281</v>
      </c>
      <c r="E4151" s="628" t="s">
        <v>23</v>
      </c>
      <c r="F4151" s="816" t="s">
        <v>13731</v>
      </c>
      <c r="G4151" s="816"/>
      <c r="H4151" s="816">
        <v>0.70893030000000001</v>
      </c>
      <c r="I4151" s="816"/>
      <c r="J4151" s="817">
        <v>3.6438999999999999</v>
      </c>
      <c r="K4151" s="817"/>
      <c r="L4151" s="817"/>
    </row>
    <row r="4152" spans="1:12" ht="24" customHeight="1">
      <c r="A4152" s="636"/>
      <c r="B4152" s="636"/>
      <c r="C4152" s="636"/>
      <c r="D4152" s="636"/>
      <c r="E4152" s="636"/>
      <c r="F4152" s="636"/>
      <c r="G4152" s="636"/>
      <c r="H4152" s="636"/>
      <c r="I4152" s="636"/>
      <c r="J4152" s="636" t="s">
        <v>13675</v>
      </c>
      <c r="K4152" s="636"/>
      <c r="L4152" s="636" t="s">
        <v>14490</v>
      </c>
    </row>
    <row r="4153" spans="1:12" ht="24" customHeight="1">
      <c r="A4153" s="802" t="s">
        <v>12720</v>
      </c>
      <c r="B4153" s="802"/>
      <c r="C4153" s="802"/>
      <c r="D4153" s="802"/>
      <c r="E4153" s="802"/>
      <c r="F4153" s="802"/>
      <c r="G4153" s="802"/>
      <c r="H4153" s="802"/>
      <c r="I4153" s="612"/>
      <c r="J4153" s="612"/>
      <c r="K4153" s="612"/>
      <c r="L4153" s="612"/>
    </row>
    <row r="4154" spans="1:12" ht="17.100000000000001" customHeight="1">
      <c r="A4154" s="612" t="s">
        <v>13679</v>
      </c>
      <c r="B4154" s="636" t="s">
        <v>12698</v>
      </c>
      <c r="C4154" s="612" t="s">
        <v>12699</v>
      </c>
      <c r="D4154" s="612" t="s">
        <v>12700</v>
      </c>
      <c r="E4154" s="637" t="s">
        <v>12702</v>
      </c>
      <c r="F4154" s="801" t="s">
        <v>12704</v>
      </c>
      <c r="G4154" s="801"/>
      <c r="H4154" s="801" t="s">
        <v>13678</v>
      </c>
      <c r="I4154" s="801"/>
      <c r="J4154" s="801" t="s">
        <v>12705</v>
      </c>
      <c r="K4154" s="801"/>
      <c r="L4154" s="801"/>
    </row>
    <row r="4155" spans="1:12" ht="25.5">
      <c r="A4155" s="626" t="s">
        <v>12709</v>
      </c>
      <c r="B4155" s="627" t="s">
        <v>13281</v>
      </c>
      <c r="C4155" s="626" t="s">
        <v>8</v>
      </c>
      <c r="D4155" s="626" t="s">
        <v>8070</v>
      </c>
      <c r="E4155" s="628" t="s">
        <v>35</v>
      </c>
      <c r="F4155" s="816" t="s">
        <v>13730</v>
      </c>
      <c r="G4155" s="816"/>
      <c r="H4155" s="816">
        <v>1.26E-5</v>
      </c>
      <c r="I4155" s="816"/>
      <c r="J4155" s="817">
        <v>0.42749999999999999</v>
      </c>
      <c r="K4155" s="817"/>
      <c r="L4155" s="817"/>
    </row>
    <row r="4156" spans="1:12" ht="17.100000000000001" customHeight="1">
      <c r="A4156" s="636"/>
      <c r="B4156" s="636"/>
      <c r="C4156" s="636"/>
      <c r="D4156" s="636"/>
      <c r="E4156" s="636"/>
      <c r="F4156" s="636"/>
      <c r="G4156" s="636"/>
      <c r="H4156" s="636"/>
      <c r="I4156" s="636"/>
      <c r="J4156" s="636" t="s">
        <v>13675</v>
      </c>
      <c r="K4156" s="636"/>
      <c r="L4156" s="636" t="s">
        <v>13717</v>
      </c>
    </row>
    <row r="4157" spans="1:12" ht="24" customHeight="1">
      <c r="A4157" s="802" t="s">
        <v>12722</v>
      </c>
      <c r="B4157" s="802"/>
      <c r="C4157" s="802"/>
      <c r="D4157" s="802"/>
      <c r="E4157" s="802"/>
      <c r="F4157" s="802"/>
      <c r="G4157" s="802"/>
      <c r="H4157" s="802"/>
      <c r="I4157" s="612"/>
      <c r="J4157" s="612"/>
      <c r="K4157" s="612"/>
      <c r="L4157" s="612"/>
    </row>
    <row r="4158" spans="1:12" ht="17.100000000000001" customHeight="1">
      <c r="A4158" s="612" t="s">
        <v>13679</v>
      </c>
      <c r="B4158" s="636" t="s">
        <v>12698</v>
      </c>
      <c r="C4158" s="612" t="s">
        <v>12699</v>
      </c>
      <c r="D4158" s="612" t="s">
        <v>12700</v>
      </c>
      <c r="E4158" s="637" t="s">
        <v>12702</v>
      </c>
      <c r="F4158" s="801" t="s">
        <v>12704</v>
      </c>
      <c r="G4158" s="801"/>
      <c r="H4158" s="801" t="s">
        <v>13678</v>
      </c>
      <c r="I4158" s="801"/>
      <c r="J4158" s="801" t="s">
        <v>12705</v>
      </c>
      <c r="K4158" s="801"/>
      <c r="L4158" s="801"/>
    </row>
    <row r="4159" spans="1:12" ht="25.5">
      <c r="A4159" s="626" t="s">
        <v>12709</v>
      </c>
      <c r="B4159" s="627" t="s">
        <v>12998</v>
      </c>
      <c r="C4159" s="626" t="s">
        <v>8</v>
      </c>
      <c r="D4159" s="626" t="s">
        <v>11861</v>
      </c>
      <c r="E4159" s="628" t="s">
        <v>23</v>
      </c>
      <c r="F4159" s="816" t="s">
        <v>13683</v>
      </c>
      <c r="G4159" s="816"/>
      <c r="H4159" s="816">
        <v>0.94740360000000001</v>
      </c>
      <c r="I4159" s="816"/>
      <c r="J4159" s="817">
        <v>0.67269999999999996</v>
      </c>
      <c r="K4159" s="817"/>
      <c r="L4159" s="817"/>
    </row>
    <row r="4160" spans="1:12" ht="17.100000000000001" customHeight="1">
      <c r="A4160" s="636"/>
      <c r="B4160" s="636"/>
      <c r="C4160" s="636"/>
      <c r="D4160" s="636"/>
      <c r="E4160" s="636"/>
      <c r="F4160" s="636"/>
      <c r="G4160" s="636"/>
      <c r="H4160" s="636"/>
      <c r="I4160" s="636"/>
      <c r="J4160" s="636" t="s">
        <v>13675</v>
      </c>
      <c r="K4160" s="636"/>
      <c r="L4160" s="636" t="s">
        <v>13735</v>
      </c>
    </row>
    <row r="4161" spans="1:12" ht="24" customHeight="1">
      <c r="A4161" s="802" t="s">
        <v>12713</v>
      </c>
      <c r="B4161" s="802"/>
      <c r="C4161" s="802"/>
      <c r="D4161" s="802"/>
      <c r="E4161" s="802"/>
      <c r="F4161" s="802"/>
      <c r="G4161" s="802"/>
      <c r="H4161" s="802"/>
      <c r="I4161" s="612"/>
      <c r="J4161" s="612"/>
      <c r="K4161" s="612"/>
      <c r="L4161" s="612"/>
    </row>
    <row r="4162" spans="1:12" ht="17.100000000000001" customHeight="1">
      <c r="A4162" s="612" t="s">
        <v>13679</v>
      </c>
      <c r="B4162" s="636" t="s">
        <v>12698</v>
      </c>
      <c r="C4162" s="612" t="s">
        <v>12699</v>
      </c>
      <c r="D4162" s="612" t="s">
        <v>12700</v>
      </c>
      <c r="E4162" s="637" t="s">
        <v>12702</v>
      </c>
      <c r="F4162" s="801" t="s">
        <v>12704</v>
      </c>
      <c r="G4162" s="801"/>
      <c r="H4162" s="801" t="s">
        <v>13678</v>
      </c>
      <c r="I4162" s="801"/>
      <c r="J4162" s="801" t="s">
        <v>12705</v>
      </c>
      <c r="K4162" s="801"/>
      <c r="L4162" s="801"/>
    </row>
    <row r="4163" spans="1:12" ht="25.5">
      <c r="A4163" s="626" t="s">
        <v>12709</v>
      </c>
      <c r="B4163" s="627" t="s">
        <v>12999</v>
      </c>
      <c r="C4163" s="626" t="s">
        <v>8</v>
      </c>
      <c r="D4163" s="626" t="s">
        <v>11251</v>
      </c>
      <c r="E4163" s="628" t="s">
        <v>23</v>
      </c>
      <c r="F4163" s="816" t="s">
        <v>13681</v>
      </c>
      <c r="G4163" s="816"/>
      <c r="H4163" s="816">
        <v>0.94740360000000001</v>
      </c>
      <c r="I4163" s="816"/>
      <c r="J4163" s="817">
        <v>6.6299999999999998E-2</v>
      </c>
      <c r="K4163" s="817"/>
      <c r="L4163" s="817"/>
    </row>
    <row r="4164" spans="1:12" ht="17.100000000000001" customHeight="1">
      <c r="A4164" s="636"/>
      <c r="B4164" s="636"/>
      <c r="C4164" s="636"/>
      <c r="D4164" s="636"/>
      <c r="E4164" s="636"/>
      <c r="F4164" s="636"/>
      <c r="G4164" s="636"/>
      <c r="H4164" s="636"/>
      <c r="I4164" s="636"/>
      <c r="J4164" s="636" t="s">
        <v>13675</v>
      </c>
      <c r="K4164" s="636"/>
      <c r="L4164" s="636" t="s">
        <v>13681</v>
      </c>
    </row>
    <row r="4165" spans="1:12" ht="24" customHeight="1">
      <c r="A4165" s="802" t="s">
        <v>12712</v>
      </c>
      <c r="B4165" s="802"/>
      <c r="C4165" s="802"/>
      <c r="D4165" s="802"/>
      <c r="E4165" s="802"/>
      <c r="F4165" s="802"/>
      <c r="G4165" s="802"/>
      <c r="H4165" s="802"/>
      <c r="I4165" s="612"/>
      <c r="J4165" s="612"/>
      <c r="K4165" s="612"/>
      <c r="L4165" s="612"/>
    </row>
    <row r="4166" spans="1:12" ht="24" customHeight="1">
      <c r="A4166" s="612" t="s">
        <v>13679</v>
      </c>
      <c r="B4166" s="636" t="s">
        <v>12698</v>
      </c>
      <c r="C4166" s="612" t="s">
        <v>12699</v>
      </c>
      <c r="D4166" s="612" t="s">
        <v>12700</v>
      </c>
      <c r="E4166" s="637" t="s">
        <v>12702</v>
      </c>
      <c r="F4166" s="801" t="s">
        <v>12704</v>
      </c>
      <c r="G4166" s="801"/>
      <c r="H4166" s="801" t="s">
        <v>13678</v>
      </c>
      <c r="I4166" s="801"/>
      <c r="J4166" s="801" t="s">
        <v>12705</v>
      </c>
      <c r="K4166" s="801"/>
      <c r="L4166" s="801"/>
    </row>
    <row r="4167" spans="1:12" ht="17.100000000000001" customHeight="1">
      <c r="A4167" s="626" t="s">
        <v>12709</v>
      </c>
      <c r="B4167" s="627" t="s">
        <v>13002</v>
      </c>
      <c r="C4167" s="626" t="s">
        <v>8</v>
      </c>
      <c r="D4167" s="626" t="s">
        <v>9306</v>
      </c>
      <c r="E4167" s="628" t="s">
        <v>23</v>
      </c>
      <c r="F4167" s="816" t="s">
        <v>13677</v>
      </c>
      <c r="G4167" s="816"/>
      <c r="H4167" s="816">
        <v>0.94740360000000001</v>
      </c>
      <c r="I4167" s="816"/>
      <c r="J4167" s="817">
        <v>0.33160000000000001</v>
      </c>
      <c r="K4167" s="817"/>
      <c r="L4167" s="817"/>
    </row>
    <row r="4168" spans="1:12" ht="17.100000000000001" customHeight="1">
      <c r="A4168" s="626" t="s">
        <v>12709</v>
      </c>
      <c r="B4168" s="627" t="s">
        <v>13004</v>
      </c>
      <c r="C4168" s="626" t="s">
        <v>8</v>
      </c>
      <c r="D4168" s="626" t="s">
        <v>7388</v>
      </c>
      <c r="E4168" s="628" t="s">
        <v>23</v>
      </c>
      <c r="F4168" s="816" t="s">
        <v>13676</v>
      </c>
      <c r="G4168" s="816"/>
      <c r="H4168" s="816">
        <v>0.94740360000000001</v>
      </c>
      <c r="I4168" s="816"/>
      <c r="J4168" s="817">
        <v>2.0842999999999998</v>
      </c>
      <c r="K4168" s="817"/>
      <c r="L4168" s="817"/>
    </row>
    <row r="4169" spans="1:12" ht="17.100000000000001" customHeight="1">
      <c r="A4169" s="636"/>
      <c r="B4169" s="636"/>
      <c r="C4169" s="636"/>
      <c r="D4169" s="636"/>
      <c r="E4169" s="636"/>
      <c r="F4169" s="636"/>
      <c r="G4169" s="636"/>
      <c r="H4169" s="636"/>
      <c r="I4169" s="636"/>
      <c r="J4169" s="636" t="s">
        <v>13675</v>
      </c>
      <c r="K4169" s="636"/>
      <c r="L4169" s="636" t="s">
        <v>13734</v>
      </c>
    </row>
    <row r="4170" spans="1:12" ht="17.100000000000001" customHeight="1">
      <c r="A4170" s="612" t="s">
        <v>13673</v>
      </c>
      <c r="B4170" s="612"/>
      <c r="C4170" s="612"/>
      <c r="D4170" s="612"/>
      <c r="E4170" s="612"/>
      <c r="F4170" s="612"/>
      <c r="G4170" s="612"/>
      <c r="H4170" s="612"/>
      <c r="I4170" s="612"/>
      <c r="J4170" s="612"/>
      <c r="K4170" s="612"/>
      <c r="L4170" s="612"/>
    </row>
    <row r="4171" spans="1:12" ht="17.100000000000001" customHeight="1">
      <c r="A4171" s="636"/>
      <c r="B4171" s="636"/>
      <c r="C4171" s="636"/>
      <c r="D4171" s="636"/>
      <c r="E4171" s="636"/>
      <c r="F4171" s="636"/>
      <c r="G4171" s="636"/>
      <c r="H4171" s="636"/>
      <c r="I4171" s="636"/>
      <c r="J4171" s="636" t="s">
        <v>13672</v>
      </c>
      <c r="K4171" s="636"/>
      <c r="L4171" s="636" t="s">
        <v>14959</v>
      </c>
    </row>
    <row r="4172" spans="1:12" ht="17.100000000000001" customHeight="1">
      <c r="A4172" s="636"/>
      <c r="B4172" s="636"/>
      <c r="C4172" s="636"/>
      <c r="D4172" s="636"/>
      <c r="E4172" s="636"/>
      <c r="F4172" s="636"/>
      <c r="G4172" s="636"/>
      <c r="H4172" s="636"/>
      <c r="I4172" s="636"/>
      <c r="J4172" s="636" t="s">
        <v>13671</v>
      </c>
      <c r="K4172" s="636" t="s">
        <v>14461</v>
      </c>
      <c r="L4172" s="636" t="s">
        <v>14960</v>
      </c>
    </row>
    <row r="4173" spans="1:12" ht="17.100000000000001" customHeight="1">
      <c r="A4173" s="636"/>
      <c r="B4173" s="636"/>
      <c r="C4173" s="636"/>
      <c r="D4173" s="636"/>
      <c r="E4173" s="636"/>
      <c r="F4173" s="636"/>
      <c r="G4173" s="636"/>
      <c r="H4173" s="636"/>
      <c r="I4173" s="636"/>
      <c r="J4173" s="636" t="s">
        <v>13670</v>
      </c>
      <c r="K4173" s="636"/>
      <c r="L4173" s="636" t="s">
        <v>14961</v>
      </c>
    </row>
    <row r="4174" spans="1:12" ht="30" customHeight="1">
      <c r="A4174" s="636"/>
      <c r="B4174" s="636"/>
      <c r="C4174" s="636"/>
      <c r="D4174" s="636"/>
      <c r="E4174" s="636"/>
      <c r="F4174" s="636"/>
      <c r="G4174" s="636"/>
      <c r="H4174" s="636"/>
      <c r="I4174" s="636"/>
      <c r="J4174" s="636" t="s">
        <v>13669</v>
      </c>
      <c r="K4174" s="636" t="s">
        <v>13667</v>
      </c>
      <c r="L4174" s="636" t="s">
        <v>14962</v>
      </c>
    </row>
    <row r="4175" spans="1:12" ht="36" customHeight="1">
      <c r="A4175" s="636"/>
      <c r="B4175" s="636"/>
      <c r="C4175" s="636"/>
      <c r="D4175" s="636"/>
      <c r="E4175" s="636"/>
      <c r="F4175" s="636"/>
      <c r="G4175" s="636"/>
      <c r="H4175" s="636"/>
      <c r="I4175" s="636"/>
      <c r="J4175" s="636" t="s">
        <v>13668</v>
      </c>
      <c r="K4175" s="636"/>
      <c r="L4175" s="636" t="s">
        <v>14963</v>
      </c>
    </row>
    <row r="4176" spans="1:12" ht="14.25" customHeight="1">
      <c r="A4176" s="637"/>
      <c r="B4176" s="637"/>
      <c r="C4176" s="637"/>
      <c r="D4176" s="637"/>
      <c r="E4176" s="637"/>
      <c r="F4176" s="637"/>
      <c r="G4176" s="637"/>
      <c r="H4176" s="637"/>
      <c r="I4176" s="637"/>
      <c r="J4176" s="637"/>
      <c r="K4176" s="637"/>
      <c r="L4176" s="637"/>
    </row>
    <row r="4177" spans="1:12" ht="17.100000000000001" customHeight="1">
      <c r="A4177" s="616" t="s">
        <v>14129</v>
      </c>
      <c r="B4177" s="617" t="s">
        <v>13622</v>
      </c>
      <c r="C4177" s="616" t="s">
        <v>8</v>
      </c>
      <c r="D4177" s="616" t="s">
        <v>4682</v>
      </c>
      <c r="E4177" s="618" t="s">
        <v>140</v>
      </c>
      <c r="F4177" s="617"/>
      <c r="G4177" s="617"/>
      <c r="H4177" s="617"/>
      <c r="I4177" s="617"/>
      <c r="J4177" s="617"/>
      <c r="K4177" s="617"/>
      <c r="L4177" s="617"/>
    </row>
    <row r="4178" spans="1:12" ht="36" customHeight="1">
      <c r="A4178" s="802" t="s">
        <v>12711</v>
      </c>
      <c r="B4178" s="802"/>
      <c r="C4178" s="802"/>
      <c r="D4178" s="802"/>
      <c r="E4178" s="802"/>
      <c r="F4178" s="802"/>
      <c r="G4178" s="802"/>
      <c r="H4178" s="802"/>
      <c r="I4178" s="612"/>
      <c r="J4178" s="612"/>
      <c r="K4178" s="612"/>
      <c r="L4178" s="612"/>
    </row>
    <row r="4179" spans="1:12" ht="24" customHeight="1">
      <c r="A4179" s="612" t="s">
        <v>13679</v>
      </c>
      <c r="B4179" s="636" t="s">
        <v>12698</v>
      </c>
      <c r="C4179" s="612" t="s">
        <v>12699</v>
      </c>
      <c r="D4179" s="612" t="s">
        <v>12700</v>
      </c>
      <c r="E4179" s="637" t="s">
        <v>12702</v>
      </c>
      <c r="F4179" s="801" t="s">
        <v>12704</v>
      </c>
      <c r="G4179" s="801"/>
      <c r="H4179" s="801" t="s">
        <v>13678</v>
      </c>
      <c r="I4179" s="801"/>
      <c r="J4179" s="801" t="s">
        <v>12705</v>
      </c>
      <c r="K4179" s="801"/>
      <c r="L4179" s="801"/>
    </row>
    <row r="4180" spans="1:12" ht="24" customHeight="1">
      <c r="A4180" s="626" t="s">
        <v>12709</v>
      </c>
      <c r="B4180" s="627" t="s">
        <v>13289</v>
      </c>
      <c r="C4180" s="626" t="s">
        <v>8</v>
      </c>
      <c r="D4180" s="626" t="s">
        <v>8192</v>
      </c>
      <c r="E4180" s="628" t="s">
        <v>35</v>
      </c>
      <c r="F4180" s="816" t="s">
        <v>14489</v>
      </c>
      <c r="G4180" s="816"/>
      <c r="H4180" s="816">
        <v>1.3E-6</v>
      </c>
      <c r="I4180" s="816"/>
      <c r="J4180" s="817">
        <v>0.35770000000000002</v>
      </c>
      <c r="K4180" s="817"/>
      <c r="L4180" s="817"/>
    </row>
    <row r="4181" spans="1:12" ht="24" customHeight="1">
      <c r="A4181" s="626" t="s">
        <v>12709</v>
      </c>
      <c r="B4181" s="627" t="s">
        <v>13003</v>
      </c>
      <c r="C4181" s="626" t="s">
        <v>8</v>
      </c>
      <c r="D4181" s="626" t="s">
        <v>9227</v>
      </c>
      <c r="E4181" s="628" t="s">
        <v>23</v>
      </c>
      <c r="F4181" s="816" t="s">
        <v>13732</v>
      </c>
      <c r="G4181" s="816"/>
      <c r="H4181" s="816">
        <v>1.2175099999999999E-2</v>
      </c>
      <c r="I4181" s="816"/>
      <c r="J4181" s="817">
        <v>8.0000000000000002E-3</v>
      </c>
      <c r="K4181" s="817"/>
      <c r="L4181" s="817"/>
    </row>
    <row r="4182" spans="1:12" ht="24" customHeight="1">
      <c r="A4182" s="626" t="s">
        <v>12709</v>
      </c>
      <c r="B4182" s="627" t="s">
        <v>13001</v>
      </c>
      <c r="C4182" s="626" t="s">
        <v>8</v>
      </c>
      <c r="D4182" s="626" t="s">
        <v>9374</v>
      </c>
      <c r="E4182" s="628" t="s">
        <v>23</v>
      </c>
      <c r="F4182" s="816" t="s">
        <v>13728</v>
      </c>
      <c r="G4182" s="816"/>
      <c r="H4182" s="816">
        <v>1.2175099999999999E-2</v>
      </c>
      <c r="I4182" s="816"/>
      <c r="J4182" s="817">
        <v>1E-4</v>
      </c>
      <c r="K4182" s="817"/>
      <c r="L4182" s="817"/>
    </row>
    <row r="4183" spans="1:12" ht="24" customHeight="1">
      <c r="A4183" s="636"/>
      <c r="B4183" s="636"/>
      <c r="C4183" s="636"/>
      <c r="D4183" s="636"/>
      <c r="E4183" s="636"/>
      <c r="F4183" s="636"/>
      <c r="G4183" s="636"/>
      <c r="H4183" s="636"/>
      <c r="I4183" s="636"/>
      <c r="J4183" s="636" t="s">
        <v>13675</v>
      </c>
      <c r="K4183" s="636"/>
      <c r="L4183" s="636" t="s">
        <v>13798</v>
      </c>
    </row>
    <row r="4184" spans="1:12" ht="24" customHeight="1">
      <c r="A4184" s="802" t="s">
        <v>12710</v>
      </c>
      <c r="B4184" s="802"/>
      <c r="C4184" s="802"/>
      <c r="D4184" s="802"/>
      <c r="E4184" s="802"/>
      <c r="F4184" s="802"/>
      <c r="G4184" s="802"/>
      <c r="H4184" s="802"/>
      <c r="I4184" s="612"/>
      <c r="J4184" s="612"/>
      <c r="K4184" s="612"/>
      <c r="L4184" s="612"/>
    </row>
    <row r="4185" spans="1:12" ht="17.100000000000001" customHeight="1">
      <c r="A4185" s="612" t="s">
        <v>13679</v>
      </c>
      <c r="B4185" s="636" t="s">
        <v>12698</v>
      </c>
      <c r="C4185" s="612" t="s">
        <v>12699</v>
      </c>
      <c r="D4185" s="612" t="s">
        <v>12700</v>
      </c>
      <c r="E4185" s="637" t="s">
        <v>12702</v>
      </c>
      <c r="F4185" s="801" t="s">
        <v>12704</v>
      </c>
      <c r="G4185" s="801"/>
      <c r="H4185" s="801" t="s">
        <v>13678</v>
      </c>
      <c r="I4185" s="801"/>
      <c r="J4185" s="801" t="s">
        <v>12705</v>
      </c>
      <c r="K4185" s="801"/>
      <c r="L4185" s="801"/>
    </row>
    <row r="4186" spans="1:12" ht="14.25" customHeight="1">
      <c r="A4186" s="626" t="s">
        <v>12709</v>
      </c>
      <c r="B4186" s="627" t="s">
        <v>13129</v>
      </c>
      <c r="C4186" s="626" t="s">
        <v>8</v>
      </c>
      <c r="D4186" s="626" t="s">
        <v>10467</v>
      </c>
      <c r="E4186" s="628" t="s">
        <v>23</v>
      </c>
      <c r="F4186" s="816" t="s">
        <v>14252</v>
      </c>
      <c r="G4186" s="816"/>
      <c r="H4186" s="816">
        <v>1.1479899999999999E-2</v>
      </c>
      <c r="I4186" s="816"/>
      <c r="J4186" s="817">
        <v>5.9499999999999997E-2</v>
      </c>
      <c r="K4186" s="817"/>
      <c r="L4186" s="817"/>
    </row>
    <row r="4187" spans="1:12" ht="17.100000000000001" customHeight="1">
      <c r="A4187" s="636"/>
      <c r="B4187" s="636"/>
      <c r="C4187" s="636"/>
      <c r="D4187" s="636"/>
      <c r="E4187" s="636"/>
      <c r="F4187" s="636"/>
      <c r="G4187" s="636"/>
      <c r="H4187" s="636"/>
      <c r="I4187" s="636"/>
      <c r="J4187" s="636" t="s">
        <v>13675</v>
      </c>
      <c r="K4187" s="636"/>
      <c r="L4187" s="636" t="s">
        <v>13708</v>
      </c>
    </row>
    <row r="4188" spans="1:12" ht="24" customHeight="1">
      <c r="A4188" s="802" t="s">
        <v>12720</v>
      </c>
      <c r="B4188" s="802"/>
      <c r="C4188" s="802"/>
      <c r="D4188" s="802"/>
      <c r="E4188" s="802"/>
      <c r="F4188" s="802"/>
      <c r="G4188" s="802"/>
      <c r="H4188" s="802"/>
      <c r="I4188" s="612"/>
      <c r="J4188" s="612"/>
      <c r="K4188" s="612"/>
      <c r="L4188" s="612"/>
    </row>
    <row r="4189" spans="1:12" ht="24" customHeight="1">
      <c r="A4189" s="612" t="s">
        <v>13679</v>
      </c>
      <c r="B4189" s="636" t="s">
        <v>12698</v>
      </c>
      <c r="C4189" s="612" t="s">
        <v>12699</v>
      </c>
      <c r="D4189" s="612" t="s">
        <v>12700</v>
      </c>
      <c r="E4189" s="637" t="s">
        <v>12702</v>
      </c>
      <c r="F4189" s="801" t="s">
        <v>12704</v>
      </c>
      <c r="G4189" s="801"/>
      <c r="H4189" s="801" t="s">
        <v>13678</v>
      </c>
      <c r="I4189" s="801"/>
      <c r="J4189" s="801" t="s">
        <v>12705</v>
      </c>
      <c r="K4189" s="801"/>
      <c r="L4189" s="801"/>
    </row>
    <row r="4190" spans="1:12" ht="24" customHeight="1">
      <c r="A4190" s="626" t="s">
        <v>12709</v>
      </c>
      <c r="B4190" s="627" t="s">
        <v>13281</v>
      </c>
      <c r="C4190" s="626" t="s">
        <v>8</v>
      </c>
      <c r="D4190" s="626" t="s">
        <v>8070</v>
      </c>
      <c r="E4190" s="628" t="s">
        <v>35</v>
      </c>
      <c r="F4190" s="816" t="s">
        <v>13730</v>
      </c>
      <c r="G4190" s="816"/>
      <c r="H4190" s="816">
        <v>1.3E-6</v>
      </c>
      <c r="I4190" s="816"/>
      <c r="J4190" s="817">
        <v>4.41E-2</v>
      </c>
      <c r="K4190" s="817"/>
      <c r="L4190" s="817"/>
    </row>
    <row r="4191" spans="1:12" ht="17.100000000000001" customHeight="1">
      <c r="A4191" s="626" t="s">
        <v>12709</v>
      </c>
      <c r="B4191" s="627" t="s">
        <v>13007</v>
      </c>
      <c r="C4191" s="626" t="s">
        <v>8</v>
      </c>
      <c r="D4191" s="626" t="s">
        <v>10549</v>
      </c>
      <c r="E4191" s="628" t="s">
        <v>58</v>
      </c>
      <c r="F4191" s="816" t="s">
        <v>14172</v>
      </c>
      <c r="G4191" s="816"/>
      <c r="H4191" s="816">
        <v>0.13260540000000001</v>
      </c>
      <c r="I4191" s="816"/>
      <c r="J4191" s="817">
        <v>0.42959999999999998</v>
      </c>
      <c r="K4191" s="817"/>
      <c r="L4191" s="817"/>
    </row>
    <row r="4192" spans="1:12">
      <c r="A4192" s="636"/>
      <c r="B4192" s="636"/>
      <c r="C4192" s="636"/>
      <c r="D4192" s="636"/>
      <c r="E4192" s="636"/>
      <c r="F4192" s="636"/>
      <c r="G4192" s="636"/>
      <c r="H4192" s="636"/>
      <c r="I4192" s="636"/>
      <c r="J4192" s="636" t="s">
        <v>13675</v>
      </c>
      <c r="K4192" s="636"/>
      <c r="L4192" s="636" t="s">
        <v>14717</v>
      </c>
    </row>
    <row r="4193" spans="1:12" ht="17.100000000000001" customHeight="1">
      <c r="A4193" s="802" t="s">
        <v>12722</v>
      </c>
      <c r="B4193" s="802"/>
      <c r="C4193" s="802"/>
      <c r="D4193" s="802"/>
      <c r="E4193" s="802"/>
      <c r="F4193" s="802"/>
      <c r="G4193" s="802"/>
      <c r="H4193" s="802"/>
      <c r="I4193" s="612"/>
      <c r="J4193" s="612"/>
      <c r="K4193" s="612"/>
      <c r="L4193" s="612"/>
    </row>
    <row r="4194" spans="1:12" ht="24" customHeight="1">
      <c r="A4194" s="612" t="s">
        <v>13679</v>
      </c>
      <c r="B4194" s="636" t="s">
        <v>12698</v>
      </c>
      <c r="C4194" s="612" t="s">
        <v>12699</v>
      </c>
      <c r="D4194" s="612" t="s">
        <v>12700</v>
      </c>
      <c r="E4194" s="637" t="s">
        <v>12702</v>
      </c>
      <c r="F4194" s="801" t="s">
        <v>12704</v>
      </c>
      <c r="G4194" s="801"/>
      <c r="H4194" s="801" t="s">
        <v>13678</v>
      </c>
      <c r="I4194" s="801"/>
      <c r="J4194" s="801" t="s">
        <v>12705</v>
      </c>
      <c r="K4194" s="801"/>
      <c r="L4194" s="801"/>
    </row>
    <row r="4195" spans="1:12" ht="24" customHeight="1">
      <c r="A4195" s="626" t="s">
        <v>12709</v>
      </c>
      <c r="B4195" s="627" t="s">
        <v>12998</v>
      </c>
      <c r="C4195" s="626" t="s">
        <v>8</v>
      </c>
      <c r="D4195" s="626" t="s">
        <v>11861</v>
      </c>
      <c r="E4195" s="628" t="s">
        <v>23</v>
      </c>
      <c r="F4195" s="816" t="s">
        <v>13683</v>
      </c>
      <c r="G4195" s="816"/>
      <c r="H4195" s="816">
        <v>1.2175099999999999E-2</v>
      </c>
      <c r="I4195" s="816"/>
      <c r="J4195" s="817">
        <v>8.6E-3</v>
      </c>
      <c r="K4195" s="817"/>
      <c r="L4195" s="817"/>
    </row>
    <row r="4196" spans="1:12" ht="24" customHeight="1">
      <c r="A4196" s="636"/>
      <c r="B4196" s="636"/>
      <c r="C4196" s="636"/>
      <c r="D4196" s="636"/>
      <c r="E4196" s="636"/>
      <c r="F4196" s="636"/>
      <c r="G4196" s="636"/>
      <c r="H4196" s="636"/>
      <c r="I4196" s="636"/>
      <c r="J4196" s="636" t="s">
        <v>13675</v>
      </c>
      <c r="K4196" s="636"/>
      <c r="L4196" s="636" t="s">
        <v>13728</v>
      </c>
    </row>
    <row r="4197" spans="1:12" ht="24" customHeight="1">
      <c r="A4197" s="802" t="s">
        <v>12713</v>
      </c>
      <c r="B4197" s="802"/>
      <c r="C4197" s="802"/>
      <c r="D4197" s="802"/>
      <c r="E4197" s="802"/>
      <c r="F4197" s="802"/>
      <c r="G4197" s="802"/>
      <c r="H4197" s="802"/>
      <c r="I4197" s="612"/>
      <c r="J4197" s="612"/>
      <c r="K4197" s="612"/>
      <c r="L4197" s="612"/>
    </row>
    <row r="4198" spans="1:12" ht="17.100000000000001" customHeight="1">
      <c r="A4198" s="612" t="s">
        <v>13679</v>
      </c>
      <c r="B4198" s="636" t="s">
        <v>12698</v>
      </c>
      <c r="C4198" s="612" t="s">
        <v>12699</v>
      </c>
      <c r="D4198" s="612" t="s">
        <v>12700</v>
      </c>
      <c r="E4198" s="637" t="s">
        <v>12702</v>
      </c>
      <c r="F4198" s="801" t="s">
        <v>12704</v>
      </c>
      <c r="G4198" s="801"/>
      <c r="H4198" s="801" t="s">
        <v>13678</v>
      </c>
      <c r="I4198" s="801"/>
      <c r="J4198" s="801" t="s">
        <v>12705</v>
      </c>
      <c r="K4198" s="801"/>
      <c r="L4198" s="801"/>
    </row>
    <row r="4199" spans="1:12" ht="25.5">
      <c r="A4199" s="626" t="s">
        <v>12709</v>
      </c>
      <c r="B4199" s="627" t="s">
        <v>12999</v>
      </c>
      <c r="C4199" s="626" t="s">
        <v>8</v>
      </c>
      <c r="D4199" s="626" t="s">
        <v>11251</v>
      </c>
      <c r="E4199" s="628" t="s">
        <v>23</v>
      </c>
      <c r="F4199" s="816" t="s">
        <v>13681</v>
      </c>
      <c r="G4199" s="816"/>
      <c r="H4199" s="816">
        <v>1.2175099999999999E-2</v>
      </c>
      <c r="I4199" s="816"/>
      <c r="J4199" s="817">
        <v>8.9999999999999998E-4</v>
      </c>
      <c r="K4199" s="817"/>
      <c r="L4199" s="817"/>
    </row>
    <row r="4200" spans="1:12" ht="17.100000000000001" customHeight="1">
      <c r="A4200" s="636"/>
      <c r="B4200" s="636"/>
      <c r="C4200" s="636"/>
      <c r="D4200" s="636"/>
      <c r="E4200" s="636"/>
      <c r="F4200" s="636"/>
      <c r="G4200" s="636"/>
      <c r="H4200" s="636"/>
      <c r="I4200" s="636"/>
      <c r="J4200" s="636" t="s">
        <v>13675</v>
      </c>
      <c r="K4200" s="636"/>
      <c r="L4200" s="636" t="s">
        <v>13727</v>
      </c>
    </row>
    <row r="4201" spans="1:12" ht="24" customHeight="1">
      <c r="A4201" s="802" t="s">
        <v>12712</v>
      </c>
      <c r="B4201" s="802"/>
      <c r="C4201" s="802"/>
      <c r="D4201" s="802"/>
      <c r="E4201" s="802"/>
      <c r="F4201" s="802"/>
      <c r="G4201" s="802"/>
      <c r="H4201" s="802"/>
      <c r="I4201" s="612"/>
      <c r="J4201" s="612"/>
      <c r="K4201" s="612"/>
      <c r="L4201" s="612"/>
    </row>
    <row r="4202" spans="1:12" ht="17.100000000000001" customHeight="1">
      <c r="A4202" s="612" t="s">
        <v>13679</v>
      </c>
      <c r="B4202" s="636" t="s">
        <v>12698</v>
      </c>
      <c r="C4202" s="612" t="s">
        <v>12699</v>
      </c>
      <c r="D4202" s="612" t="s">
        <v>12700</v>
      </c>
      <c r="E4202" s="637" t="s">
        <v>12702</v>
      </c>
      <c r="F4202" s="801" t="s">
        <v>12704</v>
      </c>
      <c r="G4202" s="801"/>
      <c r="H4202" s="801" t="s">
        <v>13678</v>
      </c>
      <c r="I4202" s="801"/>
      <c r="J4202" s="801" t="s">
        <v>12705</v>
      </c>
      <c r="K4202" s="801"/>
      <c r="L4202" s="801"/>
    </row>
    <row r="4203" spans="1:12" ht="25.5">
      <c r="A4203" s="626" t="s">
        <v>12709</v>
      </c>
      <c r="B4203" s="627" t="s">
        <v>13002</v>
      </c>
      <c r="C4203" s="626" t="s">
        <v>8</v>
      </c>
      <c r="D4203" s="626" t="s">
        <v>9306</v>
      </c>
      <c r="E4203" s="628" t="s">
        <v>23</v>
      </c>
      <c r="F4203" s="816" t="s">
        <v>13677</v>
      </c>
      <c r="G4203" s="816"/>
      <c r="H4203" s="816">
        <v>1.2175099999999999E-2</v>
      </c>
      <c r="I4203" s="816"/>
      <c r="J4203" s="817">
        <v>4.3E-3</v>
      </c>
      <c r="K4203" s="817"/>
      <c r="L4203" s="817"/>
    </row>
    <row r="4204" spans="1:12" ht="17.100000000000001" customHeight="1">
      <c r="A4204" s="626" t="s">
        <v>12709</v>
      </c>
      <c r="B4204" s="627" t="s">
        <v>13004</v>
      </c>
      <c r="C4204" s="626" t="s">
        <v>8</v>
      </c>
      <c r="D4204" s="626" t="s">
        <v>7388</v>
      </c>
      <c r="E4204" s="628" t="s">
        <v>23</v>
      </c>
      <c r="F4204" s="816" t="s">
        <v>13676</v>
      </c>
      <c r="G4204" s="816"/>
      <c r="H4204" s="816">
        <v>1.2175099999999999E-2</v>
      </c>
      <c r="I4204" s="816"/>
      <c r="J4204" s="817">
        <v>2.6800000000000001E-2</v>
      </c>
      <c r="K4204" s="817"/>
      <c r="L4204" s="817"/>
    </row>
    <row r="4205" spans="1:12" ht="24" customHeight="1">
      <c r="A4205" s="636"/>
      <c r="B4205" s="636"/>
      <c r="C4205" s="636"/>
      <c r="D4205" s="636"/>
      <c r="E4205" s="636"/>
      <c r="F4205" s="636"/>
      <c r="G4205" s="636"/>
      <c r="H4205" s="636"/>
      <c r="I4205" s="636"/>
      <c r="J4205" s="636" t="s">
        <v>13675</v>
      </c>
      <c r="K4205" s="636"/>
      <c r="L4205" s="636" t="s">
        <v>13726</v>
      </c>
    </row>
    <row r="4206" spans="1:12" ht="17.100000000000001" customHeight="1">
      <c r="A4206" s="612" t="s">
        <v>13673</v>
      </c>
      <c r="B4206" s="612"/>
      <c r="C4206" s="612"/>
      <c r="D4206" s="612"/>
      <c r="E4206" s="612"/>
      <c r="F4206" s="612"/>
      <c r="G4206" s="612"/>
      <c r="H4206" s="612"/>
      <c r="I4206" s="612"/>
      <c r="J4206" s="612"/>
      <c r="K4206" s="612"/>
      <c r="L4206" s="612"/>
    </row>
    <row r="4207" spans="1:12">
      <c r="A4207" s="636"/>
      <c r="B4207" s="636"/>
      <c r="C4207" s="636"/>
      <c r="D4207" s="636"/>
      <c r="E4207" s="636"/>
      <c r="F4207" s="636"/>
      <c r="G4207" s="636"/>
      <c r="H4207" s="636"/>
      <c r="I4207" s="636"/>
      <c r="J4207" s="636" t="s">
        <v>13672</v>
      </c>
      <c r="K4207" s="636"/>
      <c r="L4207" s="636" t="s">
        <v>15035</v>
      </c>
    </row>
    <row r="4208" spans="1:12" ht="17.100000000000001" customHeight="1">
      <c r="A4208" s="636"/>
      <c r="B4208" s="636"/>
      <c r="C4208" s="636"/>
      <c r="D4208" s="636"/>
      <c r="E4208" s="636"/>
      <c r="F4208" s="636"/>
      <c r="G4208" s="636"/>
      <c r="H4208" s="636"/>
      <c r="I4208" s="636"/>
      <c r="J4208" s="636" t="s">
        <v>13671</v>
      </c>
      <c r="K4208" s="636" t="s">
        <v>14461</v>
      </c>
      <c r="L4208" s="636" t="s">
        <v>15036</v>
      </c>
    </row>
    <row r="4209" spans="1:12" ht="24" customHeight="1">
      <c r="A4209" s="636"/>
      <c r="B4209" s="636"/>
      <c r="C4209" s="636"/>
      <c r="D4209" s="636"/>
      <c r="E4209" s="636"/>
      <c r="F4209" s="636"/>
      <c r="G4209" s="636"/>
      <c r="H4209" s="636"/>
      <c r="I4209" s="636"/>
      <c r="J4209" s="636" t="s">
        <v>13670</v>
      </c>
      <c r="K4209" s="636"/>
      <c r="L4209" s="636" t="s">
        <v>15037</v>
      </c>
    </row>
    <row r="4210" spans="1:12" ht="24" customHeight="1">
      <c r="A4210" s="636"/>
      <c r="B4210" s="636"/>
      <c r="C4210" s="636"/>
      <c r="D4210" s="636"/>
      <c r="E4210" s="636"/>
      <c r="F4210" s="636"/>
      <c r="G4210" s="636"/>
      <c r="H4210" s="636"/>
      <c r="I4210" s="636"/>
      <c r="J4210" s="636" t="s">
        <v>13669</v>
      </c>
      <c r="K4210" s="636" t="s">
        <v>13667</v>
      </c>
      <c r="L4210" s="636" t="s">
        <v>14880</v>
      </c>
    </row>
    <row r="4211" spans="1:12" ht="17.100000000000001" customHeight="1">
      <c r="A4211" s="636"/>
      <c r="B4211" s="636"/>
      <c r="C4211" s="636"/>
      <c r="D4211" s="636"/>
      <c r="E4211" s="636"/>
      <c r="F4211" s="636"/>
      <c r="G4211" s="636"/>
      <c r="H4211" s="636"/>
      <c r="I4211" s="636"/>
      <c r="J4211" s="636" t="s">
        <v>13668</v>
      </c>
      <c r="K4211" s="636"/>
      <c r="L4211" s="636" t="s">
        <v>15038</v>
      </c>
    </row>
    <row r="4212" spans="1:12" ht="17.100000000000001" customHeight="1">
      <c r="A4212" s="637"/>
      <c r="B4212" s="637"/>
      <c r="C4212" s="637"/>
      <c r="D4212" s="637"/>
      <c r="E4212" s="637"/>
      <c r="F4212" s="637"/>
      <c r="G4212" s="637"/>
      <c r="H4212" s="637"/>
      <c r="I4212" s="637"/>
      <c r="J4212" s="637"/>
      <c r="K4212" s="637"/>
      <c r="L4212" s="637"/>
    </row>
    <row r="4213" spans="1:12" ht="17.100000000000001" customHeight="1">
      <c r="A4213" s="616" t="s">
        <v>14128</v>
      </c>
      <c r="B4213" s="617" t="s">
        <v>13621</v>
      </c>
      <c r="C4213" s="616" t="s">
        <v>8</v>
      </c>
      <c r="D4213" s="616" t="s">
        <v>3993</v>
      </c>
      <c r="E4213" s="618" t="s">
        <v>12730</v>
      </c>
      <c r="F4213" s="617"/>
      <c r="G4213" s="617"/>
      <c r="H4213" s="617"/>
      <c r="I4213" s="617"/>
      <c r="J4213" s="617"/>
      <c r="K4213" s="617"/>
      <c r="L4213" s="617"/>
    </row>
    <row r="4214" spans="1:12" ht="17.100000000000001" customHeight="1">
      <c r="A4214" s="802" t="s">
        <v>12711</v>
      </c>
      <c r="B4214" s="802"/>
      <c r="C4214" s="802"/>
      <c r="D4214" s="802"/>
      <c r="E4214" s="802"/>
      <c r="F4214" s="802"/>
      <c r="G4214" s="802"/>
      <c r="H4214" s="802"/>
      <c r="I4214" s="612"/>
      <c r="J4214" s="612"/>
      <c r="K4214" s="612"/>
      <c r="L4214" s="612"/>
    </row>
    <row r="4215" spans="1:12" ht="17.100000000000001" customHeight="1">
      <c r="A4215" s="612" t="s">
        <v>13679</v>
      </c>
      <c r="B4215" s="636" t="s">
        <v>12698</v>
      </c>
      <c r="C4215" s="612" t="s">
        <v>12699</v>
      </c>
      <c r="D4215" s="612" t="s">
        <v>12700</v>
      </c>
      <c r="E4215" s="637" t="s">
        <v>12702</v>
      </c>
      <c r="F4215" s="801" t="s">
        <v>12704</v>
      </c>
      <c r="G4215" s="801"/>
      <c r="H4215" s="801" t="s">
        <v>13678</v>
      </c>
      <c r="I4215" s="801"/>
      <c r="J4215" s="801" t="s">
        <v>12705</v>
      </c>
      <c r="K4215" s="801"/>
      <c r="L4215" s="801"/>
    </row>
    <row r="4216" spans="1:12" ht="17.100000000000001" customHeight="1">
      <c r="A4216" s="626" t="s">
        <v>12709</v>
      </c>
      <c r="B4216" s="627" t="s">
        <v>13052</v>
      </c>
      <c r="C4216" s="626" t="s">
        <v>8</v>
      </c>
      <c r="D4216" s="626" t="s">
        <v>9229</v>
      </c>
      <c r="E4216" s="628" t="s">
        <v>23</v>
      </c>
      <c r="F4216" s="816" t="s">
        <v>13692</v>
      </c>
      <c r="G4216" s="816"/>
      <c r="H4216" s="816">
        <v>1.4582215000000001</v>
      </c>
      <c r="I4216" s="816"/>
      <c r="J4216" s="817">
        <v>1.3998999999999999</v>
      </c>
      <c r="K4216" s="817"/>
      <c r="L4216" s="817"/>
    </row>
    <row r="4217" spans="1:12" ht="17.100000000000001" customHeight="1">
      <c r="A4217" s="626" t="s">
        <v>12709</v>
      </c>
      <c r="B4217" s="627" t="s">
        <v>13051</v>
      </c>
      <c r="C4217" s="626" t="s">
        <v>8</v>
      </c>
      <c r="D4217" s="626" t="s">
        <v>9376</v>
      </c>
      <c r="E4217" s="628" t="s">
        <v>23</v>
      </c>
      <c r="F4217" s="816" t="s">
        <v>13691</v>
      </c>
      <c r="G4217" s="816"/>
      <c r="H4217" s="816">
        <v>1.4582215000000001</v>
      </c>
      <c r="I4217" s="816"/>
      <c r="J4217" s="817">
        <v>0.72909999999999997</v>
      </c>
      <c r="K4217" s="817"/>
      <c r="L4217" s="817"/>
    </row>
    <row r="4218" spans="1:12" ht="30" customHeight="1">
      <c r="A4218" s="626" t="s">
        <v>12709</v>
      </c>
      <c r="B4218" s="627" t="s">
        <v>13048</v>
      </c>
      <c r="C4218" s="626" t="s">
        <v>8</v>
      </c>
      <c r="D4218" s="626" t="s">
        <v>9233</v>
      </c>
      <c r="E4218" s="628" t="s">
        <v>23</v>
      </c>
      <c r="F4218" s="816" t="s">
        <v>13690</v>
      </c>
      <c r="G4218" s="816"/>
      <c r="H4218" s="816">
        <v>4.1357920000000004</v>
      </c>
      <c r="I4218" s="816"/>
      <c r="J4218" s="817">
        <v>4.2184999999999997</v>
      </c>
      <c r="K4218" s="817"/>
      <c r="L4218" s="817"/>
    </row>
    <row r="4219" spans="1:12" ht="36" customHeight="1">
      <c r="A4219" s="626" t="s">
        <v>12709</v>
      </c>
      <c r="B4219" s="627" t="s">
        <v>13047</v>
      </c>
      <c r="C4219" s="626" t="s">
        <v>8</v>
      </c>
      <c r="D4219" s="626" t="s">
        <v>9380</v>
      </c>
      <c r="E4219" s="628" t="s">
        <v>23</v>
      </c>
      <c r="F4219" s="816" t="s">
        <v>13689</v>
      </c>
      <c r="G4219" s="816"/>
      <c r="H4219" s="816">
        <v>4.1357920000000004</v>
      </c>
      <c r="I4219" s="816"/>
      <c r="J4219" s="817">
        <v>1.5716000000000001</v>
      </c>
      <c r="K4219" s="817"/>
      <c r="L4219" s="817"/>
    </row>
    <row r="4220" spans="1:12" ht="14.25" customHeight="1">
      <c r="A4220" s="636"/>
      <c r="B4220" s="636"/>
      <c r="C4220" s="636"/>
      <c r="D4220" s="636"/>
      <c r="E4220" s="636"/>
      <c r="F4220" s="636"/>
      <c r="G4220" s="636"/>
      <c r="H4220" s="636"/>
      <c r="I4220" s="636"/>
      <c r="J4220" s="636" t="s">
        <v>13675</v>
      </c>
      <c r="K4220" s="636"/>
      <c r="L4220" s="636" t="s">
        <v>14127</v>
      </c>
    </row>
    <row r="4221" spans="1:12" ht="17.100000000000001" customHeight="1">
      <c r="A4221" s="802" t="s">
        <v>12710</v>
      </c>
      <c r="B4221" s="802"/>
      <c r="C4221" s="802"/>
      <c r="D4221" s="802"/>
      <c r="E4221" s="802"/>
      <c r="F4221" s="802"/>
      <c r="G4221" s="802"/>
      <c r="H4221" s="802"/>
      <c r="I4221" s="612"/>
      <c r="J4221" s="612"/>
      <c r="K4221" s="612"/>
      <c r="L4221" s="612"/>
    </row>
    <row r="4222" spans="1:12" ht="36" customHeight="1">
      <c r="A4222" s="612" t="s">
        <v>13679</v>
      </c>
      <c r="B4222" s="636" t="s">
        <v>12698</v>
      </c>
      <c r="C4222" s="612" t="s">
        <v>12699</v>
      </c>
      <c r="D4222" s="612" t="s">
        <v>12700</v>
      </c>
      <c r="E4222" s="637" t="s">
        <v>12702</v>
      </c>
      <c r="F4222" s="801" t="s">
        <v>12704</v>
      </c>
      <c r="G4222" s="801"/>
      <c r="H4222" s="801" t="s">
        <v>13678</v>
      </c>
      <c r="I4222" s="801"/>
      <c r="J4222" s="801" t="s">
        <v>12705</v>
      </c>
      <c r="K4222" s="801"/>
      <c r="L4222" s="801"/>
    </row>
    <row r="4223" spans="1:12" ht="24" customHeight="1">
      <c r="A4223" s="626" t="s">
        <v>12709</v>
      </c>
      <c r="B4223" s="627" t="s">
        <v>13099</v>
      </c>
      <c r="C4223" s="626" t="s">
        <v>8</v>
      </c>
      <c r="D4223" s="626" t="s">
        <v>10726</v>
      </c>
      <c r="E4223" s="628" t="s">
        <v>23</v>
      </c>
      <c r="F4223" s="816" t="s">
        <v>14470</v>
      </c>
      <c r="G4223" s="816"/>
      <c r="H4223" s="816">
        <v>1.4795517</v>
      </c>
      <c r="I4223" s="816"/>
      <c r="J4223" s="817">
        <v>10.223699999999999</v>
      </c>
      <c r="K4223" s="817"/>
      <c r="L4223" s="817"/>
    </row>
    <row r="4224" spans="1:12" ht="24" customHeight="1">
      <c r="A4224" s="626" t="s">
        <v>12709</v>
      </c>
      <c r="B4224" s="627" t="s">
        <v>13046</v>
      </c>
      <c r="C4224" s="626" t="s">
        <v>8</v>
      </c>
      <c r="D4224" s="626" t="s">
        <v>11281</v>
      </c>
      <c r="E4224" s="628" t="s">
        <v>23</v>
      </c>
      <c r="F4224" s="816" t="s">
        <v>13731</v>
      </c>
      <c r="G4224" s="816"/>
      <c r="H4224" s="816">
        <v>4.1962885999999999</v>
      </c>
      <c r="I4224" s="816"/>
      <c r="J4224" s="817">
        <v>21.568899999999999</v>
      </c>
      <c r="K4224" s="817"/>
      <c r="L4224" s="817"/>
    </row>
    <row r="4225" spans="1:12" ht="24" customHeight="1">
      <c r="A4225" s="636"/>
      <c r="B4225" s="636"/>
      <c r="C4225" s="636"/>
      <c r="D4225" s="636"/>
      <c r="E4225" s="636"/>
      <c r="F4225" s="636"/>
      <c r="G4225" s="636"/>
      <c r="H4225" s="636"/>
      <c r="I4225" s="636"/>
      <c r="J4225" s="636" t="s">
        <v>13675</v>
      </c>
      <c r="K4225" s="636"/>
      <c r="L4225" s="636" t="s">
        <v>14725</v>
      </c>
    </row>
    <row r="4226" spans="1:12" ht="24" customHeight="1">
      <c r="A4226" s="802" t="s">
        <v>12722</v>
      </c>
      <c r="B4226" s="802"/>
      <c r="C4226" s="802"/>
      <c r="D4226" s="802"/>
      <c r="E4226" s="802"/>
      <c r="F4226" s="802"/>
      <c r="G4226" s="802"/>
      <c r="H4226" s="802"/>
      <c r="I4226" s="612"/>
      <c r="J4226" s="612"/>
      <c r="K4226" s="612"/>
      <c r="L4226" s="612"/>
    </row>
    <row r="4227" spans="1:12" ht="17.100000000000001" customHeight="1">
      <c r="A4227" s="612" t="s">
        <v>13679</v>
      </c>
      <c r="B4227" s="636" t="s">
        <v>12698</v>
      </c>
      <c r="C4227" s="612" t="s">
        <v>12699</v>
      </c>
      <c r="D4227" s="612" t="s">
        <v>12700</v>
      </c>
      <c r="E4227" s="637" t="s">
        <v>12702</v>
      </c>
      <c r="F4227" s="801" t="s">
        <v>12704</v>
      </c>
      <c r="G4227" s="801"/>
      <c r="H4227" s="801" t="s">
        <v>13678</v>
      </c>
      <c r="I4227" s="801"/>
      <c r="J4227" s="801" t="s">
        <v>12705</v>
      </c>
      <c r="K4227" s="801"/>
      <c r="L4227" s="801"/>
    </row>
    <row r="4228" spans="1:12" ht="14.25" customHeight="1">
      <c r="A4228" s="626" t="s">
        <v>12709</v>
      </c>
      <c r="B4228" s="627" t="s">
        <v>12998</v>
      </c>
      <c r="C4228" s="626" t="s">
        <v>8</v>
      </c>
      <c r="D4228" s="626" t="s">
        <v>11861</v>
      </c>
      <c r="E4228" s="628" t="s">
        <v>23</v>
      </c>
      <c r="F4228" s="816" t="s">
        <v>13683</v>
      </c>
      <c r="G4228" s="816"/>
      <c r="H4228" s="816">
        <v>5.5940133999999997</v>
      </c>
      <c r="I4228" s="816"/>
      <c r="J4228" s="817">
        <v>3.9716999999999998</v>
      </c>
      <c r="K4228" s="817"/>
      <c r="L4228" s="817"/>
    </row>
    <row r="4229" spans="1:12" ht="17.100000000000001" customHeight="1">
      <c r="A4229" s="636"/>
      <c r="B4229" s="636"/>
      <c r="C4229" s="636"/>
      <c r="D4229" s="636"/>
      <c r="E4229" s="636"/>
      <c r="F4229" s="636"/>
      <c r="G4229" s="636"/>
      <c r="H4229" s="636"/>
      <c r="I4229" s="636"/>
      <c r="J4229" s="636" t="s">
        <v>13675</v>
      </c>
      <c r="K4229" s="636"/>
      <c r="L4229" s="636" t="s">
        <v>14126</v>
      </c>
    </row>
    <row r="4230" spans="1:12" ht="24" customHeight="1">
      <c r="A4230" s="802" t="s">
        <v>12713</v>
      </c>
      <c r="B4230" s="802"/>
      <c r="C4230" s="802"/>
      <c r="D4230" s="802"/>
      <c r="E4230" s="802"/>
      <c r="F4230" s="802"/>
      <c r="G4230" s="802"/>
      <c r="H4230" s="802"/>
      <c r="I4230" s="612"/>
      <c r="J4230" s="612"/>
      <c r="K4230" s="612"/>
      <c r="L4230" s="612"/>
    </row>
    <row r="4231" spans="1:12" ht="24" customHeight="1">
      <c r="A4231" s="612" t="s">
        <v>13679</v>
      </c>
      <c r="B4231" s="636" t="s">
        <v>12698</v>
      </c>
      <c r="C4231" s="612" t="s">
        <v>12699</v>
      </c>
      <c r="D4231" s="612" t="s">
        <v>12700</v>
      </c>
      <c r="E4231" s="637" t="s">
        <v>12702</v>
      </c>
      <c r="F4231" s="801" t="s">
        <v>12704</v>
      </c>
      <c r="G4231" s="801"/>
      <c r="H4231" s="801" t="s">
        <v>13678</v>
      </c>
      <c r="I4231" s="801"/>
      <c r="J4231" s="801" t="s">
        <v>12705</v>
      </c>
      <c r="K4231" s="801"/>
      <c r="L4231" s="801"/>
    </row>
    <row r="4232" spans="1:12" ht="17.100000000000001" customHeight="1">
      <c r="A4232" s="626" t="s">
        <v>12709</v>
      </c>
      <c r="B4232" s="627" t="s">
        <v>12999</v>
      </c>
      <c r="C4232" s="626" t="s">
        <v>8</v>
      </c>
      <c r="D4232" s="626" t="s">
        <v>11251</v>
      </c>
      <c r="E4232" s="628" t="s">
        <v>23</v>
      </c>
      <c r="F4232" s="816" t="s">
        <v>13681</v>
      </c>
      <c r="G4232" s="816"/>
      <c r="H4232" s="816">
        <v>5.5940133999999997</v>
      </c>
      <c r="I4232" s="816"/>
      <c r="J4232" s="817">
        <v>0.3916</v>
      </c>
      <c r="K4232" s="817"/>
      <c r="L4232" s="817"/>
    </row>
    <row r="4233" spans="1:12">
      <c r="A4233" s="636"/>
      <c r="B4233" s="636"/>
      <c r="C4233" s="636"/>
      <c r="D4233" s="636"/>
      <c r="E4233" s="636"/>
      <c r="F4233" s="636"/>
      <c r="G4233" s="636"/>
      <c r="H4233" s="636"/>
      <c r="I4233" s="636"/>
      <c r="J4233" s="636" t="s">
        <v>13675</v>
      </c>
      <c r="K4233" s="636"/>
      <c r="L4233" s="636" t="s">
        <v>13784</v>
      </c>
    </row>
    <row r="4234" spans="1:12" ht="17.100000000000001" customHeight="1">
      <c r="A4234" s="802" t="s">
        <v>12712</v>
      </c>
      <c r="B4234" s="802"/>
      <c r="C4234" s="802"/>
      <c r="D4234" s="802"/>
      <c r="E4234" s="802"/>
      <c r="F4234" s="802"/>
      <c r="G4234" s="802"/>
      <c r="H4234" s="802"/>
      <c r="I4234" s="612"/>
      <c r="J4234" s="612"/>
      <c r="K4234" s="612"/>
      <c r="L4234" s="612"/>
    </row>
    <row r="4235" spans="1:12" ht="24" customHeight="1">
      <c r="A4235" s="612" t="s">
        <v>13679</v>
      </c>
      <c r="B4235" s="636" t="s">
        <v>12698</v>
      </c>
      <c r="C4235" s="612" t="s">
        <v>12699</v>
      </c>
      <c r="D4235" s="612" t="s">
        <v>12700</v>
      </c>
      <c r="E4235" s="637" t="s">
        <v>12702</v>
      </c>
      <c r="F4235" s="801" t="s">
        <v>12704</v>
      </c>
      <c r="G4235" s="801"/>
      <c r="H4235" s="801" t="s">
        <v>13678</v>
      </c>
      <c r="I4235" s="801"/>
      <c r="J4235" s="801" t="s">
        <v>12705</v>
      </c>
      <c r="K4235" s="801"/>
      <c r="L4235" s="801"/>
    </row>
    <row r="4236" spans="1:12" ht="24" customHeight="1">
      <c r="A4236" s="626" t="s">
        <v>12709</v>
      </c>
      <c r="B4236" s="627" t="s">
        <v>13002</v>
      </c>
      <c r="C4236" s="626" t="s">
        <v>8</v>
      </c>
      <c r="D4236" s="626" t="s">
        <v>9306</v>
      </c>
      <c r="E4236" s="628" t="s">
        <v>23</v>
      </c>
      <c r="F4236" s="816" t="s">
        <v>13677</v>
      </c>
      <c r="G4236" s="816"/>
      <c r="H4236" s="816">
        <v>5.5940133999999997</v>
      </c>
      <c r="I4236" s="816"/>
      <c r="J4236" s="817">
        <v>1.9579</v>
      </c>
      <c r="K4236" s="817"/>
      <c r="L4236" s="817"/>
    </row>
    <row r="4237" spans="1:12" ht="24" customHeight="1">
      <c r="A4237" s="626" t="s">
        <v>12709</v>
      </c>
      <c r="B4237" s="627" t="s">
        <v>13004</v>
      </c>
      <c r="C4237" s="626" t="s">
        <v>8</v>
      </c>
      <c r="D4237" s="626" t="s">
        <v>7388</v>
      </c>
      <c r="E4237" s="628" t="s">
        <v>23</v>
      </c>
      <c r="F4237" s="816" t="s">
        <v>13676</v>
      </c>
      <c r="G4237" s="816"/>
      <c r="H4237" s="816">
        <v>5.5940133999999997</v>
      </c>
      <c r="I4237" s="816"/>
      <c r="J4237" s="817">
        <v>12.306800000000001</v>
      </c>
      <c r="K4237" s="817"/>
      <c r="L4237" s="817"/>
    </row>
    <row r="4238" spans="1:12" ht="24" customHeight="1">
      <c r="A4238" s="636"/>
      <c r="B4238" s="636"/>
      <c r="C4238" s="636"/>
      <c r="D4238" s="636"/>
      <c r="E4238" s="636"/>
      <c r="F4238" s="636"/>
      <c r="G4238" s="636"/>
      <c r="H4238" s="636"/>
      <c r="I4238" s="636"/>
      <c r="J4238" s="636" t="s">
        <v>13675</v>
      </c>
      <c r="K4238" s="636"/>
      <c r="L4238" s="636" t="s">
        <v>14296</v>
      </c>
    </row>
    <row r="4239" spans="1:12" ht="17.100000000000001" customHeight="1">
      <c r="A4239" s="612" t="s">
        <v>13673</v>
      </c>
      <c r="B4239" s="612"/>
      <c r="C4239" s="612"/>
      <c r="D4239" s="612"/>
      <c r="E4239" s="612"/>
      <c r="F4239" s="612"/>
      <c r="G4239" s="612"/>
      <c r="H4239" s="612"/>
      <c r="I4239" s="612"/>
      <c r="J4239" s="612"/>
      <c r="K4239" s="612"/>
      <c r="L4239" s="612"/>
    </row>
    <row r="4240" spans="1:12">
      <c r="A4240" s="636"/>
      <c r="B4240" s="636"/>
      <c r="C4240" s="636"/>
      <c r="D4240" s="636"/>
      <c r="E4240" s="636"/>
      <c r="F4240" s="636"/>
      <c r="G4240" s="636"/>
      <c r="H4240" s="636"/>
      <c r="I4240" s="636"/>
      <c r="J4240" s="636" t="s">
        <v>13672</v>
      </c>
      <c r="K4240" s="636"/>
      <c r="L4240" s="636" t="s">
        <v>15039</v>
      </c>
    </row>
    <row r="4241" spans="1:12" ht="17.100000000000001" customHeight="1">
      <c r="A4241" s="636"/>
      <c r="B4241" s="636"/>
      <c r="C4241" s="636"/>
      <c r="D4241" s="636"/>
      <c r="E4241" s="636"/>
      <c r="F4241" s="636"/>
      <c r="G4241" s="636"/>
      <c r="H4241" s="636"/>
      <c r="I4241" s="636"/>
      <c r="J4241" s="636" t="s">
        <v>13671</v>
      </c>
      <c r="K4241" s="636" t="s">
        <v>14461</v>
      </c>
      <c r="L4241" s="636" t="s">
        <v>15040</v>
      </c>
    </row>
    <row r="4242" spans="1:12" ht="24" customHeight="1">
      <c r="A4242" s="636"/>
      <c r="B4242" s="636"/>
      <c r="C4242" s="636"/>
      <c r="D4242" s="636"/>
      <c r="E4242" s="636"/>
      <c r="F4242" s="636"/>
      <c r="G4242" s="636"/>
      <c r="H4242" s="636"/>
      <c r="I4242" s="636"/>
      <c r="J4242" s="636" t="s">
        <v>13670</v>
      </c>
      <c r="K4242" s="636"/>
      <c r="L4242" s="636" t="s">
        <v>15041</v>
      </c>
    </row>
    <row r="4243" spans="1:12" ht="17.100000000000001" customHeight="1">
      <c r="A4243" s="636"/>
      <c r="B4243" s="636"/>
      <c r="C4243" s="636"/>
      <c r="D4243" s="636"/>
      <c r="E4243" s="636"/>
      <c r="F4243" s="636"/>
      <c r="G4243" s="636"/>
      <c r="H4243" s="636"/>
      <c r="I4243" s="636"/>
      <c r="J4243" s="636" t="s">
        <v>13669</v>
      </c>
      <c r="K4243" s="636" t="s">
        <v>13667</v>
      </c>
      <c r="L4243" s="636" t="s">
        <v>15042</v>
      </c>
    </row>
    <row r="4244" spans="1:12">
      <c r="A4244" s="636"/>
      <c r="B4244" s="636"/>
      <c r="C4244" s="636"/>
      <c r="D4244" s="636"/>
      <c r="E4244" s="636"/>
      <c r="F4244" s="636"/>
      <c r="G4244" s="636"/>
      <c r="H4244" s="636"/>
      <c r="I4244" s="636"/>
      <c r="J4244" s="636" t="s">
        <v>13668</v>
      </c>
      <c r="K4244" s="636"/>
      <c r="L4244" s="636" t="s">
        <v>15043</v>
      </c>
    </row>
    <row r="4245" spans="1:12" ht="17.100000000000001" customHeight="1">
      <c r="A4245" s="637"/>
      <c r="B4245" s="637"/>
      <c r="C4245" s="637"/>
      <c r="D4245" s="637"/>
      <c r="E4245" s="637"/>
      <c r="F4245" s="637"/>
      <c r="G4245" s="637"/>
      <c r="H4245" s="637"/>
      <c r="I4245" s="637"/>
      <c r="J4245" s="637"/>
      <c r="K4245" s="637"/>
      <c r="L4245" s="637"/>
    </row>
    <row r="4246" spans="1:12" ht="24" customHeight="1">
      <c r="A4246" s="616" t="s">
        <v>14125</v>
      </c>
      <c r="B4246" s="617" t="s">
        <v>13635</v>
      </c>
      <c r="C4246" s="616" t="s">
        <v>8</v>
      </c>
      <c r="D4246" s="616" t="s">
        <v>4022</v>
      </c>
      <c r="E4246" s="618" t="s">
        <v>12725</v>
      </c>
      <c r="F4246" s="617"/>
      <c r="G4246" s="617"/>
      <c r="H4246" s="617"/>
      <c r="I4246" s="617"/>
      <c r="J4246" s="617"/>
      <c r="K4246" s="617"/>
      <c r="L4246" s="617"/>
    </row>
    <row r="4247" spans="1:12" ht="17.100000000000001" customHeight="1">
      <c r="A4247" s="802" t="s">
        <v>12711</v>
      </c>
      <c r="B4247" s="802"/>
      <c r="C4247" s="802"/>
      <c r="D4247" s="802"/>
      <c r="E4247" s="802"/>
      <c r="F4247" s="802"/>
      <c r="G4247" s="802"/>
      <c r="H4247" s="802"/>
      <c r="I4247" s="612"/>
      <c r="J4247" s="612"/>
      <c r="K4247" s="612"/>
      <c r="L4247" s="612"/>
    </row>
    <row r="4248" spans="1:12">
      <c r="A4248" s="612" t="s">
        <v>13679</v>
      </c>
      <c r="B4248" s="636" t="s">
        <v>12698</v>
      </c>
      <c r="C4248" s="612" t="s">
        <v>12699</v>
      </c>
      <c r="D4248" s="612" t="s">
        <v>12700</v>
      </c>
      <c r="E4248" s="637" t="s">
        <v>12702</v>
      </c>
      <c r="F4248" s="801" t="s">
        <v>12704</v>
      </c>
      <c r="G4248" s="801"/>
      <c r="H4248" s="801" t="s">
        <v>13678</v>
      </c>
      <c r="I4248" s="801"/>
      <c r="J4248" s="801" t="s">
        <v>12705</v>
      </c>
      <c r="K4248" s="801"/>
      <c r="L4248" s="801"/>
    </row>
    <row r="4249" spans="1:12" ht="17.100000000000001" customHeight="1">
      <c r="A4249" s="626" t="s">
        <v>12709</v>
      </c>
      <c r="B4249" s="627" t="s">
        <v>13297</v>
      </c>
      <c r="C4249" s="626" t="s">
        <v>8</v>
      </c>
      <c r="D4249" s="626" t="s">
        <v>7681</v>
      </c>
      <c r="E4249" s="628" t="s">
        <v>35</v>
      </c>
      <c r="F4249" s="816" t="s">
        <v>14527</v>
      </c>
      <c r="G4249" s="816"/>
      <c r="H4249" s="816">
        <v>4.6999999999999999E-6</v>
      </c>
      <c r="I4249" s="816"/>
      <c r="J4249" s="817">
        <v>6.9199999999999998E-2</v>
      </c>
      <c r="K4249" s="817"/>
      <c r="L4249" s="817"/>
    </row>
    <row r="4250" spans="1:12" ht="24" customHeight="1">
      <c r="A4250" s="626" t="s">
        <v>12709</v>
      </c>
      <c r="B4250" s="627" t="s">
        <v>13048</v>
      </c>
      <c r="C4250" s="626" t="s">
        <v>8</v>
      </c>
      <c r="D4250" s="626" t="s">
        <v>9233</v>
      </c>
      <c r="E4250" s="628" t="s">
        <v>23</v>
      </c>
      <c r="F4250" s="816" t="s">
        <v>13690</v>
      </c>
      <c r="G4250" s="816"/>
      <c r="H4250" s="816">
        <v>0.1220914</v>
      </c>
      <c r="I4250" s="816"/>
      <c r="J4250" s="817">
        <v>0.1245</v>
      </c>
      <c r="K4250" s="817"/>
      <c r="L4250" s="817"/>
    </row>
    <row r="4251" spans="1:12" ht="24" customHeight="1">
      <c r="A4251" s="626" t="s">
        <v>12709</v>
      </c>
      <c r="B4251" s="627" t="s">
        <v>13047</v>
      </c>
      <c r="C4251" s="626" t="s">
        <v>8</v>
      </c>
      <c r="D4251" s="626" t="s">
        <v>9380</v>
      </c>
      <c r="E4251" s="628" t="s">
        <v>23</v>
      </c>
      <c r="F4251" s="816" t="s">
        <v>13689</v>
      </c>
      <c r="G4251" s="816"/>
      <c r="H4251" s="816">
        <v>0.1220914</v>
      </c>
      <c r="I4251" s="816"/>
      <c r="J4251" s="817">
        <v>4.6399999999999997E-2</v>
      </c>
      <c r="K4251" s="817"/>
      <c r="L4251" s="817"/>
    </row>
    <row r="4252" spans="1:12" ht="17.100000000000001" customHeight="1">
      <c r="A4252" s="626" t="s">
        <v>12709</v>
      </c>
      <c r="B4252" s="627" t="s">
        <v>13003</v>
      </c>
      <c r="C4252" s="626" t="s">
        <v>8</v>
      </c>
      <c r="D4252" s="626" t="s">
        <v>9227</v>
      </c>
      <c r="E4252" s="628" t="s">
        <v>23</v>
      </c>
      <c r="F4252" s="816" t="s">
        <v>13732</v>
      </c>
      <c r="G4252" s="816"/>
      <c r="H4252" s="816">
        <v>4.4999400000000002E-2</v>
      </c>
      <c r="I4252" s="816"/>
      <c r="J4252" s="817">
        <v>2.9700000000000001E-2</v>
      </c>
      <c r="K4252" s="817"/>
      <c r="L4252" s="817"/>
    </row>
    <row r="4253" spans="1:12" ht="17.100000000000001" customHeight="1">
      <c r="A4253" s="626" t="s">
        <v>12709</v>
      </c>
      <c r="B4253" s="627" t="s">
        <v>13001</v>
      </c>
      <c r="C4253" s="626" t="s">
        <v>8</v>
      </c>
      <c r="D4253" s="626" t="s">
        <v>9374</v>
      </c>
      <c r="E4253" s="628" t="s">
        <v>23</v>
      </c>
      <c r="F4253" s="816" t="s">
        <v>13728</v>
      </c>
      <c r="G4253" s="816"/>
      <c r="H4253" s="816">
        <v>4.4999400000000002E-2</v>
      </c>
      <c r="I4253" s="816"/>
      <c r="J4253" s="817">
        <v>4.0000000000000002E-4</v>
      </c>
      <c r="K4253" s="817"/>
      <c r="L4253" s="817"/>
    </row>
    <row r="4254" spans="1:12" ht="17.100000000000001" customHeight="1">
      <c r="A4254" s="626" t="s">
        <v>12709</v>
      </c>
      <c r="B4254" s="627" t="s">
        <v>13052</v>
      </c>
      <c r="C4254" s="626" t="s">
        <v>8</v>
      </c>
      <c r="D4254" s="626" t="s">
        <v>9229</v>
      </c>
      <c r="E4254" s="628" t="s">
        <v>23</v>
      </c>
      <c r="F4254" s="816" t="s">
        <v>13692</v>
      </c>
      <c r="G4254" s="816"/>
      <c r="H4254" s="816">
        <v>0.1859382</v>
      </c>
      <c r="I4254" s="816"/>
      <c r="J4254" s="817">
        <v>0.17849999999999999</v>
      </c>
      <c r="K4254" s="817"/>
      <c r="L4254" s="817"/>
    </row>
    <row r="4255" spans="1:12" ht="17.100000000000001" customHeight="1">
      <c r="A4255" s="626" t="s">
        <v>12709</v>
      </c>
      <c r="B4255" s="627" t="s">
        <v>13051</v>
      </c>
      <c r="C4255" s="626" t="s">
        <v>8</v>
      </c>
      <c r="D4255" s="626" t="s">
        <v>9376</v>
      </c>
      <c r="E4255" s="628" t="s">
        <v>23</v>
      </c>
      <c r="F4255" s="816" t="s">
        <v>13691</v>
      </c>
      <c r="G4255" s="816"/>
      <c r="H4255" s="816">
        <v>0.1859382</v>
      </c>
      <c r="I4255" s="816"/>
      <c r="J4255" s="817">
        <v>9.2999999999999999E-2</v>
      </c>
      <c r="K4255" s="817"/>
      <c r="L4255" s="817"/>
    </row>
    <row r="4256" spans="1:12" ht="17.100000000000001" customHeight="1">
      <c r="A4256" s="636"/>
      <c r="B4256" s="636"/>
      <c r="C4256" s="636"/>
      <c r="D4256" s="636"/>
      <c r="E4256" s="636"/>
      <c r="F4256" s="636"/>
      <c r="G4256" s="636"/>
      <c r="H4256" s="636"/>
      <c r="I4256" s="636"/>
      <c r="J4256" s="636" t="s">
        <v>13675</v>
      </c>
      <c r="K4256" s="636"/>
      <c r="L4256" s="636" t="s">
        <v>13872</v>
      </c>
    </row>
    <row r="4257" spans="1:12" ht="17.100000000000001" customHeight="1">
      <c r="A4257" s="802" t="s">
        <v>12710</v>
      </c>
      <c r="B4257" s="802"/>
      <c r="C4257" s="802"/>
      <c r="D4257" s="802"/>
      <c r="E4257" s="802"/>
      <c r="F4257" s="802"/>
      <c r="G4257" s="802"/>
      <c r="H4257" s="802"/>
      <c r="I4257" s="612"/>
      <c r="J4257" s="612"/>
      <c r="K4257" s="612"/>
      <c r="L4257" s="612"/>
    </row>
    <row r="4258" spans="1:12" ht="17.100000000000001" customHeight="1">
      <c r="A4258" s="612" t="s">
        <v>13679</v>
      </c>
      <c r="B4258" s="636" t="s">
        <v>12698</v>
      </c>
      <c r="C4258" s="612" t="s">
        <v>12699</v>
      </c>
      <c r="D4258" s="612" t="s">
        <v>12700</v>
      </c>
      <c r="E4258" s="637" t="s">
        <v>12702</v>
      </c>
      <c r="F4258" s="801" t="s">
        <v>12704</v>
      </c>
      <c r="G4258" s="801"/>
      <c r="H4258" s="801" t="s">
        <v>13678</v>
      </c>
      <c r="I4258" s="801"/>
      <c r="J4258" s="801" t="s">
        <v>12705</v>
      </c>
      <c r="K4258" s="801"/>
      <c r="L4258" s="801"/>
    </row>
    <row r="4259" spans="1:12" ht="30" customHeight="1">
      <c r="A4259" s="626" t="s">
        <v>12709</v>
      </c>
      <c r="B4259" s="627" t="s">
        <v>13046</v>
      </c>
      <c r="C4259" s="626" t="s">
        <v>8</v>
      </c>
      <c r="D4259" s="626" t="s">
        <v>11281</v>
      </c>
      <c r="E4259" s="628" t="s">
        <v>23</v>
      </c>
      <c r="F4259" s="816" t="s">
        <v>13731</v>
      </c>
      <c r="G4259" s="816"/>
      <c r="H4259" s="816">
        <v>0.1232996</v>
      </c>
      <c r="I4259" s="816"/>
      <c r="J4259" s="817">
        <v>0.63380000000000003</v>
      </c>
      <c r="K4259" s="817"/>
      <c r="L4259" s="817"/>
    </row>
    <row r="4260" spans="1:12" ht="24" customHeight="1">
      <c r="A4260" s="626" t="s">
        <v>12709</v>
      </c>
      <c r="B4260" s="627" t="s">
        <v>13116</v>
      </c>
      <c r="C4260" s="626" t="s">
        <v>8</v>
      </c>
      <c r="D4260" s="626" t="s">
        <v>10556</v>
      </c>
      <c r="E4260" s="628" t="s">
        <v>23</v>
      </c>
      <c r="F4260" s="816" t="s">
        <v>13770</v>
      </c>
      <c r="G4260" s="816"/>
      <c r="H4260" s="816">
        <v>4.5046099999999999E-2</v>
      </c>
      <c r="I4260" s="816"/>
      <c r="J4260" s="817">
        <v>0.21490000000000001</v>
      </c>
      <c r="K4260" s="817"/>
      <c r="L4260" s="817"/>
    </row>
    <row r="4261" spans="1:12" ht="14.25" customHeight="1">
      <c r="A4261" s="626" t="s">
        <v>12709</v>
      </c>
      <c r="B4261" s="627" t="s">
        <v>13099</v>
      </c>
      <c r="C4261" s="626" t="s">
        <v>8</v>
      </c>
      <c r="D4261" s="626" t="s">
        <v>10726</v>
      </c>
      <c r="E4261" s="628" t="s">
        <v>23</v>
      </c>
      <c r="F4261" s="816" t="s">
        <v>14470</v>
      </c>
      <c r="G4261" s="816"/>
      <c r="H4261" s="816">
        <v>0.18777830000000001</v>
      </c>
      <c r="I4261" s="816"/>
      <c r="J4261" s="817">
        <v>1.2975000000000001</v>
      </c>
      <c r="K4261" s="817"/>
      <c r="L4261" s="817"/>
    </row>
    <row r="4262" spans="1:12" ht="17.100000000000001" customHeight="1">
      <c r="A4262" s="636"/>
      <c r="B4262" s="636"/>
      <c r="C4262" s="636"/>
      <c r="D4262" s="636"/>
      <c r="E4262" s="636"/>
      <c r="F4262" s="636"/>
      <c r="G4262" s="636"/>
      <c r="H4262" s="636"/>
      <c r="I4262" s="636"/>
      <c r="J4262" s="636" t="s">
        <v>13675</v>
      </c>
      <c r="K4262" s="636"/>
      <c r="L4262" s="636" t="s">
        <v>13971</v>
      </c>
    </row>
    <row r="4263" spans="1:12" ht="24" customHeight="1">
      <c r="A4263" s="802" t="s">
        <v>12720</v>
      </c>
      <c r="B4263" s="802"/>
      <c r="C4263" s="802"/>
      <c r="D4263" s="802"/>
      <c r="E4263" s="802"/>
      <c r="F4263" s="802"/>
      <c r="G4263" s="802"/>
      <c r="H4263" s="802"/>
      <c r="I4263" s="612"/>
      <c r="J4263" s="612"/>
      <c r="K4263" s="612"/>
      <c r="L4263" s="612"/>
    </row>
    <row r="4264" spans="1:12" ht="24" customHeight="1">
      <c r="A4264" s="612" t="s">
        <v>13679</v>
      </c>
      <c r="B4264" s="636" t="s">
        <v>12698</v>
      </c>
      <c r="C4264" s="612" t="s">
        <v>12699</v>
      </c>
      <c r="D4264" s="612" t="s">
        <v>12700</v>
      </c>
      <c r="E4264" s="637" t="s">
        <v>12702</v>
      </c>
      <c r="F4264" s="801" t="s">
        <v>12704</v>
      </c>
      <c r="G4264" s="801"/>
      <c r="H4264" s="801" t="s">
        <v>13678</v>
      </c>
      <c r="I4264" s="801"/>
      <c r="J4264" s="801" t="s">
        <v>12705</v>
      </c>
      <c r="K4264" s="801"/>
      <c r="L4264" s="801"/>
    </row>
    <row r="4265" spans="1:12" ht="24" customHeight="1">
      <c r="A4265" s="626" t="s">
        <v>12709</v>
      </c>
      <c r="B4265" s="627" t="s">
        <v>13250</v>
      </c>
      <c r="C4265" s="626" t="s">
        <v>8</v>
      </c>
      <c r="D4265" s="626" t="s">
        <v>7526</v>
      </c>
      <c r="E4265" s="628" t="s">
        <v>12730</v>
      </c>
      <c r="F4265" s="816" t="s">
        <v>13747</v>
      </c>
      <c r="G4265" s="816"/>
      <c r="H4265" s="816">
        <v>2.8150000000000001E-2</v>
      </c>
      <c r="I4265" s="816"/>
      <c r="J4265" s="817">
        <v>1.7594000000000001</v>
      </c>
      <c r="K4265" s="817"/>
      <c r="L4265" s="817"/>
    </row>
    <row r="4266" spans="1:12" ht="24" customHeight="1">
      <c r="A4266" s="626" t="s">
        <v>12709</v>
      </c>
      <c r="B4266" s="627" t="s">
        <v>13249</v>
      </c>
      <c r="C4266" s="626" t="s">
        <v>8</v>
      </c>
      <c r="D4266" s="626" t="s">
        <v>8420</v>
      </c>
      <c r="E4266" s="628" t="s">
        <v>20</v>
      </c>
      <c r="F4266" s="816" t="s">
        <v>13700</v>
      </c>
      <c r="G4266" s="816"/>
      <c r="H4266" s="816">
        <v>7.2219012999999999</v>
      </c>
      <c r="I4266" s="816"/>
      <c r="J4266" s="817">
        <v>3.5387</v>
      </c>
      <c r="K4266" s="817"/>
      <c r="L4266" s="817"/>
    </row>
    <row r="4267" spans="1:12" ht="24" customHeight="1">
      <c r="A4267" s="626" t="s">
        <v>12709</v>
      </c>
      <c r="B4267" s="627" t="s">
        <v>13248</v>
      </c>
      <c r="C4267" s="626" t="s">
        <v>8</v>
      </c>
      <c r="D4267" s="626" t="s">
        <v>10712</v>
      </c>
      <c r="E4267" s="628" t="s">
        <v>12730</v>
      </c>
      <c r="F4267" s="816" t="s">
        <v>13745</v>
      </c>
      <c r="G4267" s="816"/>
      <c r="H4267" s="816">
        <v>1.9691500000000001E-2</v>
      </c>
      <c r="I4267" s="816"/>
      <c r="J4267" s="817">
        <v>1.5752999999999999</v>
      </c>
      <c r="K4267" s="817"/>
      <c r="L4267" s="817"/>
    </row>
    <row r="4268" spans="1:12" ht="24" customHeight="1">
      <c r="A4268" s="626" t="s">
        <v>12709</v>
      </c>
      <c r="B4268" s="627" t="s">
        <v>12987</v>
      </c>
      <c r="C4268" s="626" t="s">
        <v>8</v>
      </c>
      <c r="D4268" s="626" t="s">
        <v>9192</v>
      </c>
      <c r="E4268" s="628" t="s">
        <v>12923</v>
      </c>
      <c r="F4268" s="816" t="s">
        <v>13999</v>
      </c>
      <c r="G4268" s="816"/>
      <c r="H4268" s="816">
        <v>5.8363900000000003E-2</v>
      </c>
      <c r="I4268" s="816"/>
      <c r="J4268" s="817">
        <v>4.7300000000000002E-2</v>
      </c>
      <c r="K4268" s="817"/>
      <c r="L4268" s="817"/>
    </row>
    <row r="4269" spans="1:12" ht="24" customHeight="1">
      <c r="A4269" s="636"/>
      <c r="B4269" s="636"/>
      <c r="C4269" s="636"/>
      <c r="D4269" s="636"/>
      <c r="E4269" s="636"/>
      <c r="F4269" s="636"/>
      <c r="G4269" s="636"/>
      <c r="H4269" s="636"/>
      <c r="I4269" s="636"/>
      <c r="J4269" s="636" t="s">
        <v>13675</v>
      </c>
      <c r="K4269" s="636"/>
      <c r="L4269" s="636" t="s">
        <v>14724</v>
      </c>
    </row>
    <row r="4270" spans="1:12" ht="17.100000000000001" customHeight="1">
      <c r="A4270" s="802" t="s">
        <v>12722</v>
      </c>
      <c r="B4270" s="802"/>
      <c r="C4270" s="802"/>
      <c r="D4270" s="802"/>
      <c r="E4270" s="802"/>
      <c r="F4270" s="802"/>
      <c r="G4270" s="802"/>
      <c r="H4270" s="802"/>
      <c r="I4270" s="612"/>
      <c r="J4270" s="612"/>
      <c r="K4270" s="612"/>
      <c r="L4270" s="612"/>
    </row>
    <row r="4271" spans="1:12" ht="14.25" customHeight="1">
      <c r="A4271" s="612" t="s">
        <v>13679</v>
      </c>
      <c r="B4271" s="636" t="s">
        <v>12698</v>
      </c>
      <c r="C4271" s="612" t="s">
        <v>12699</v>
      </c>
      <c r="D4271" s="612" t="s">
        <v>12700</v>
      </c>
      <c r="E4271" s="637" t="s">
        <v>12702</v>
      </c>
      <c r="F4271" s="801" t="s">
        <v>12704</v>
      </c>
      <c r="G4271" s="801"/>
      <c r="H4271" s="801" t="s">
        <v>13678</v>
      </c>
      <c r="I4271" s="801"/>
      <c r="J4271" s="801" t="s">
        <v>12705</v>
      </c>
      <c r="K4271" s="801"/>
      <c r="L4271" s="801"/>
    </row>
    <row r="4272" spans="1:12" ht="17.100000000000001" customHeight="1">
      <c r="A4272" s="626" t="s">
        <v>12709</v>
      </c>
      <c r="B4272" s="627" t="s">
        <v>12998</v>
      </c>
      <c r="C4272" s="626" t="s">
        <v>8</v>
      </c>
      <c r="D4272" s="626" t="s">
        <v>11861</v>
      </c>
      <c r="E4272" s="628" t="s">
        <v>23</v>
      </c>
      <c r="F4272" s="816" t="s">
        <v>13683</v>
      </c>
      <c r="G4272" s="816"/>
      <c r="H4272" s="816">
        <v>0.35302899999999998</v>
      </c>
      <c r="I4272" s="816"/>
      <c r="J4272" s="817">
        <v>0.25069999999999998</v>
      </c>
      <c r="K4272" s="817"/>
      <c r="L4272" s="817"/>
    </row>
    <row r="4273" spans="1:12" ht="24" customHeight="1">
      <c r="A4273" s="636"/>
      <c r="B4273" s="636"/>
      <c r="C4273" s="636"/>
      <c r="D4273" s="636"/>
      <c r="E4273" s="636"/>
      <c r="F4273" s="636"/>
      <c r="G4273" s="636"/>
      <c r="H4273" s="636"/>
      <c r="I4273" s="636"/>
      <c r="J4273" s="636" t="s">
        <v>13675</v>
      </c>
      <c r="K4273" s="636"/>
      <c r="L4273" s="636" t="s">
        <v>13915</v>
      </c>
    </row>
    <row r="4274" spans="1:12" ht="24" customHeight="1">
      <c r="A4274" s="802" t="s">
        <v>12713</v>
      </c>
      <c r="B4274" s="802"/>
      <c r="C4274" s="802"/>
      <c r="D4274" s="802"/>
      <c r="E4274" s="802"/>
      <c r="F4274" s="802"/>
      <c r="G4274" s="802"/>
      <c r="H4274" s="802"/>
      <c r="I4274" s="612"/>
      <c r="J4274" s="612"/>
      <c r="K4274" s="612"/>
      <c r="L4274" s="612"/>
    </row>
    <row r="4275" spans="1:12" ht="24" customHeight="1">
      <c r="A4275" s="612" t="s">
        <v>13679</v>
      </c>
      <c r="B4275" s="636" t="s">
        <v>12698</v>
      </c>
      <c r="C4275" s="612" t="s">
        <v>12699</v>
      </c>
      <c r="D4275" s="612" t="s">
        <v>12700</v>
      </c>
      <c r="E4275" s="637" t="s">
        <v>12702</v>
      </c>
      <c r="F4275" s="801" t="s">
        <v>12704</v>
      </c>
      <c r="G4275" s="801"/>
      <c r="H4275" s="801" t="s">
        <v>13678</v>
      </c>
      <c r="I4275" s="801"/>
      <c r="J4275" s="801" t="s">
        <v>12705</v>
      </c>
      <c r="K4275" s="801"/>
      <c r="L4275" s="801"/>
    </row>
    <row r="4276" spans="1:12" ht="17.100000000000001" customHeight="1">
      <c r="A4276" s="626" t="s">
        <v>12709</v>
      </c>
      <c r="B4276" s="627" t="s">
        <v>12999</v>
      </c>
      <c r="C4276" s="626" t="s">
        <v>8</v>
      </c>
      <c r="D4276" s="626" t="s">
        <v>11251</v>
      </c>
      <c r="E4276" s="628" t="s">
        <v>23</v>
      </c>
      <c r="F4276" s="816" t="s">
        <v>13681</v>
      </c>
      <c r="G4276" s="816"/>
      <c r="H4276" s="816">
        <v>0.35302899999999998</v>
      </c>
      <c r="I4276" s="816"/>
      <c r="J4276" s="817">
        <v>2.47E-2</v>
      </c>
      <c r="K4276" s="817"/>
      <c r="L4276" s="817"/>
    </row>
    <row r="4277" spans="1:12">
      <c r="A4277" s="636"/>
      <c r="B4277" s="636"/>
      <c r="C4277" s="636"/>
      <c r="D4277" s="636"/>
      <c r="E4277" s="636"/>
      <c r="F4277" s="636"/>
      <c r="G4277" s="636"/>
      <c r="H4277" s="636"/>
      <c r="I4277" s="636"/>
      <c r="J4277" s="636" t="s">
        <v>13675</v>
      </c>
      <c r="K4277" s="636"/>
      <c r="L4277" s="636" t="s">
        <v>13680</v>
      </c>
    </row>
    <row r="4278" spans="1:12" ht="17.100000000000001" customHeight="1">
      <c r="A4278" s="802" t="s">
        <v>12712</v>
      </c>
      <c r="B4278" s="802"/>
      <c r="C4278" s="802"/>
      <c r="D4278" s="802"/>
      <c r="E4278" s="802"/>
      <c r="F4278" s="802"/>
      <c r="G4278" s="802"/>
      <c r="H4278" s="802"/>
      <c r="I4278" s="612"/>
      <c r="J4278" s="612"/>
      <c r="K4278" s="612"/>
      <c r="L4278" s="612"/>
    </row>
    <row r="4279" spans="1:12" ht="24" customHeight="1">
      <c r="A4279" s="612" t="s">
        <v>13679</v>
      </c>
      <c r="B4279" s="636" t="s">
        <v>12698</v>
      </c>
      <c r="C4279" s="612" t="s">
        <v>12699</v>
      </c>
      <c r="D4279" s="612" t="s">
        <v>12700</v>
      </c>
      <c r="E4279" s="637" t="s">
        <v>12702</v>
      </c>
      <c r="F4279" s="801" t="s">
        <v>12704</v>
      </c>
      <c r="G4279" s="801"/>
      <c r="H4279" s="801" t="s">
        <v>13678</v>
      </c>
      <c r="I4279" s="801"/>
      <c r="J4279" s="801" t="s">
        <v>12705</v>
      </c>
      <c r="K4279" s="801"/>
      <c r="L4279" s="801"/>
    </row>
    <row r="4280" spans="1:12" ht="17.100000000000001" customHeight="1">
      <c r="A4280" s="626" t="s">
        <v>12709</v>
      </c>
      <c r="B4280" s="627" t="s">
        <v>13002</v>
      </c>
      <c r="C4280" s="626" t="s">
        <v>8</v>
      </c>
      <c r="D4280" s="626" t="s">
        <v>9306</v>
      </c>
      <c r="E4280" s="628" t="s">
        <v>23</v>
      </c>
      <c r="F4280" s="816" t="s">
        <v>13677</v>
      </c>
      <c r="G4280" s="816"/>
      <c r="H4280" s="816">
        <v>0.35302899999999998</v>
      </c>
      <c r="I4280" s="816"/>
      <c r="J4280" s="817">
        <v>0.1236</v>
      </c>
      <c r="K4280" s="817"/>
      <c r="L4280" s="817"/>
    </row>
    <row r="4281" spans="1:12" ht="25.5">
      <c r="A4281" s="626" t="s">
        <v>12709</v>
      </c>
      <c r="B4281" s="627" t="s">
        <v>13004</v>
      </c>
      <c r="C4281" s="626" t="s">
        <v>8</v>
      </c>
      <c r="D4281" s="626" t="s">
        <v>7388</v>
      </c>
      <c r="E4281" s="628" t="s">
        <v>23</v>
      </c>
      <c r="F4281" s="816" t="s">
        <v>13676</v>
      </c>
      <c r="G4281" s="816"/>
      <c r="H4281" s="816">
        <v>0.35302899999999998</v>
      </c>
      <c r="I4281" s="816"/>
      <c r="J4281" s="817">
        <v>0.77669999999999995</v>
      </c>
      <c r="K4281" s="817"/>
      <c r="L4281" s="817"/>
    </row>
    <row r="4282" spans="1:12" ht="17.100000000000001" customHeight="1">
      <c r="A4282" s="636"/>
      <c r="B4282" s="636"/>
      <c r="C4282" s="636"/>
      <c r="D4282" s="636"/>
      <c r="E4282" s="636"/>
      <c r="F4282" s="636"/>
      <c r="G4282" s="636"/>
      <c r="H4282" s="636"/>
      <c r="I4282" s="636"/>
      <c r="J4282" s="636" t="s">
        <v>13675</v>
      </c>
      <c r="K4282" s="636"/>
      <c r="L4282" s="636" t="s">
        <v>13918</v>
      </c>
    </row>
    <row r="4283" spans="1:12" ht="24" customHeight="1">
      <c r="A4283" s="612" t="s">
        <v>13673</v>
      </c>
      <c r="B4283" s="612"/>
      <c r="C4283" s="612"/>
      <c r="D4283" s="612"/>
      <c r="E4283" s="612"/>
      <c r="F4283" s="612"/>
      <c r="G4283" s="612"/>
      <c r="H4283" s="612"/>
      <c r="I4283" s="612"/>
      <c r="J4283" s="612"/>
      <c r="K4283" s="612"/>
      <c r="L4283" s="612"/>
    </row>
    <row r="4284" spans="1:12" ht="17.100000000000001" customHeight="1">
      <c r="A4284" s="636"/>
      <c r="B4284" s="636"/>
      <c r="C4284" s="636"/>
      <c r="D4284" s="636"/>
      <c r="E4284" s="636"/>
      <c r="F4284" s="636"/>
      <c r="G4284" s="636"/>
      <c r="H4284" s="636"/>
      <c r="I4284" s="636"/>
      <c r="J4284" s="636" t="s">
        <v>13672</v>
      </c>
      <c r="K4284" s="636"/>
      <c r="L4284" s="636" t="s">
        <v>14982</v>
      </c>
    </row>
    <row r="4285" spans="1:12">
      <c r="A4285" s="636"/>
      <c r="B4285" s="636"/>
      <c r="C4285" s="636"/>
      <c r="D4285" s="636"/>
      <c r="E4285" s="636"/>
      <c r="F4285" s="636"/>
      <c r="G4285" s="636"/>
      <c r="H4285" s="636"/>
      <c r="I4285" s="636"/>
      <c r="J4285" s="636" t="s">
        <v>13671</v>
      </c>
      <c r="K4285" s="636" t="s">
        <v>14461</v>
      </c>
      <c r="L4285" s="636" t="s">
        <v>14983</v>
      </c>
    </row>
    <row r="4286" spans="1:12" ht="17.100000000000001" customHeight="1">
      <c r="A4286" s="636"/>
      <c r="B4286" s="636"/>
      <c r="C4286" s="636"/>
      <c r="D4286" s="636"/>
      <c r="E4286" s="636"/>
      <c r="F4286" s="636"/>
      <c r="G4286" s="636"/>
      <c r="H4286" s="636"/>
      <c r="I4286" s="636"/>
      <c r="J4286" s="636" t="s">
        <v>13670</v>
      </c>
      <c r="K4286" s="636"/>
      <c r="L4286" s="636" t="s">
        <v>14984</v>
      </c>
    </row>
    <row r="4287" spans="1:12" ht="24" customHeight="1">
      <c r="A4287" s="636"/>
      <c r="B4287" s="636"/>
      <c r="C4287" s="636"/>
      <c r="D4287" s="636"/>
      <c r="E4287" s="636"/>
      <c r="F4287" s="636"/>
      <c r="G4287" s="636"/>
      <c r="H4287" s="636"/>
      <c r="I4287" s="636"/>
      <c r="J4287" s="636" t="s">
        <v>13669</v>
      </c>
      <c r="K4287" s="636" t="s">
        <v>13667</v>
      </c>
      <c r="L4287" s="636" t="s">
        <v>14985</v>
      </c>
    </row>
    <row r="4288" spans="1:12" ht="17.100000000000001" customHeight="1">
      <c r="A4288" s="636"/>
      <c r="B4288" s="636"/>
      <c r="C4288" s="636"/>
      <c r="D4288" s="636"/>
      <c r="E4288" s="636"/>
      <c r="F4288" s="636"/>
      <c r="G4288" s="636"/>
      <c r="H4288" s="636"/>
      <c r="I4288" s="636"/>
      <c r="J4288" s="636" t="s">
        <v>13668</v>
      </c>
      <c r="K4288" s="636"/>
      <c r="L4288" s="636" t="s">
        <v>14986</v>
      </c>
    </row>
    <row r="4289" spans="1:12">
      <c r="A4289" s="637"/>
      <c r="B4289" s="637"/>
      <c r="C4289" s="637"/>
      <c r="D4289" s="637"/>
      <c r="E4289" s="637"/>
      <c r="F4289" s="637"/>
      <c r="G4289" s="637"/>
      <c r="H4289" s="637"/>
      <c r="I4289" s="637"/>
      <c r="J4289" s="637"/>
      <c r="K4289" s="637"/>
      <c r="L4289" s="637"/>
    </row>
    <row r="4290" spans="1:12" ht="17.100000000000001" customHeight="1">
      <c r="A4290" s="616" t="s">
        <v>14123</v>
      </c>
      <c r="B4290" s="617" t="s">
        <v>13634</v>
      </c>
      <c r="C4290" s="616" t="s">
        <v>8</v>
      </c>
      <c r="D4290" s="616" t="s">
        <v>3543</v>
      </c>
      <c r="E4290" s="618" t="s">
        <v>12730</v>
      </c>
      <c r="F4290" s="617"/>
      <c r="G4290" s="617"/>
      <c r="H4290" s="617"/>
      <c r="I4290" s="617"/>
      <c r="J4290" s="617"/>
      <c r="K4290" s="617"/>
      <c r="L4290" s="617"/>
    </row>
    <row r="4291" spans="1:12" ht="24" customHeight="1">
      <c r="A4291" s="802" t="s">
        <v>12711</v>
      </c>
      <c r="B4291" s="802"/>
      <c r="C4291" s="802"/>
      <c r="D4291" s="802"/>
      <c r="E4291" s="802"/>
      <c r="F4291" s="802"/>
      <c r="G4291" s="802"/>
      <c r="H4291" s="802"/>
      <c r="I4291" s="612"/>
      <c r="J4291" s="612"/>
      <c r="K4291" s="612"/>
      <c r="L4291" s="612"/>
    </row>
    <row r="4292" spans="1:12" ht="24" customHeight="1">
      <c r="A4292" s="612" t="s">
        <v>13679</v>
      </c>
      <c r="B4292" s="636" t="s">
        <v>12698</v>
      </c>
      <c r="C4292" s="612" t="s">
        <v>12699</v>
      </c>
      <c r="D4292" s="612" t="s">
        <v>12700</v>
      </c>
      <c r="E4292" s="637" t="s">
        <v>12702</v>
      </c>
      <c r="F4292" s="801" t="s">
        <v>12704</v>
      </c>
      <c r="G4292" s="801"/>
      <c r="H4292" s="801" t="s">
        <v>13678</v>
      </c>
      <c r="I4292" s="801"/>
      <c r="J4292" s="801" t="s">
        <v>12705</v>
      </c>
      <c r="K4292" s="801"/>
      <c r="L4292" s="801"/>
    </row>
    <row r="4293" spans="1:12" ht="17.100000000000001" customHeight="1">
      <c r="A4293" s="626" t="s">
        <v>12709</v>
      </c>
      <c r="B4293" s="627" t="s">
        <v>13302</v>
      </c>
      <c r="C4293" s="626" t="s">
        <v>8</v>
      </c>
      <c r="D4293" s="626" t="s">
        <v>7676</v>
      </c>
      <c r="E4293" s="628" t="s">
        <v>35</v>
      </c>
      <c r="F4293" s="816" t="s">
        <v>14526</v>
      </c>
      <c r="G4293" s="816"/>
      <c r="H4293" s="816">
        <v>1.493E-4</v>
      </c>
      <c r="I4293" s="816"/>
      <c r="J4293" s="817">
        <v>0.54069999999999996</v>
      </c>
      <c r="K4293" s="817"/>
      <c r="L4293" s="817"/>
    </row>
    <row r="4294" spans="1:12" ht="17.100000000000001" customHeight="1">
      <c r="A4294" s="626" t="s">
        <v>12709</v>
      </c>
      <c r="B4294" s="627" t="s">
        <v>13048</v>
      </c>
      <c r="C4294" s="626" t="s">
        <v>8</v>
      </c>
      <c r="D4294" s="626" t="s">
        <v>9233</v>
      </c>
      <c r="E4294" s="628" t="s">
        <v>23</v>
      </c>
      <c r="F4294" s="816" t="s">
        <v>13690</v>
      </c>
      <c r="G4294" s="816"/>
      <c r="H4294" s="816">
        <v>2.3063959000000001</v>
      </c>
      <c r="I4294" s="816"/>
      <c r="J4294" s="817">
        <v>2.3525</v>
      </c>
      <c r="K4294" s="817"/>
      <c r="L4294" s="817"/>
    </row>
    <row r="4295" spans="1:12" ht="17.100000000000001" customHeight="1">
      <c r="A4295" s="626" t="s">
        <v>12709</v>
      </c>
      <c r="B4295" s="627" t="s">
        <v>13047</v>
      </c>
      <c r="C4295" s="626" t="s">
        <v>8</v>
      </c>
      <c r="D4295" s="626" t="s">
        <v>9380</v>
      </c>
      <c r="E4295" s="628" t="s">
        <v>23</v>
      </c>
      <c r="F4295" s="816" t="s">
        <v>13689</v>
      </c>
      <c r="G4295" s="816"/>
      <c r="H4295" s="816">
        <v>2.3063959000000001</v>
      </c>
      <c r="I4295" s="816"/>
      <c r="J4295" s="817">
        <v>0.87639999999999996</v>
      </c>
      <c r="K4295" s="817"/>
      <c r="L4295" s="817"/>
    </row>
    <row r="4296" spans="1:12" ht="17.100000000000001" customHeight="1">
      <c r="A4296" s="626" t="s">
        <v>12709</v>
      </c>
      <c r="B4296" s="627" t="s">
        <v>13003</v>
      </c>
      <c r="C4296" s="626" t="s">
        <v>8</v>
      </c>
      <c r="D4296" s="626" t="s">
        <v>9227</v>
      </c>
      <c r="E4296" s="628" t="s">
        <v>23</v>
      </c>
      <c r="F4296" s="816" t="s">
        <v>13732</v>
      </c>
      <c r="G4296" s="816"/>
      <c r="H4296" s="816">
        <v>1.4577221</v>
      </c>
      <c r="I4296" s="816"/>
      <c r="J4296" s="817">
        <v>0.96209999999999996</v>
      </c>
      <c r="K4296" s="817"/>
      <c r="L4296" s="817"/>
    </row>
    <row r="4297" spans="1:12" ht="17.100000000000001" customHeight="1">
      <c r="A4297" s="626" t="s">
        <v>12709</v>
      </c>
      <c r="B4297" s="627" t="s">
        <v>13001</v>
      </c>
      <c r="C4297" s="626" t="s">
        <v>8</v>
      </c>
      <c r="D4297" s="626" t="s">
        <v>9374</v>
      </c>
      <c r="E4297" s="628" t="s">
        <v>23</v>
      </c>
      <c r="F4297" s="816" t="s">
        <v>13728</v>
      </c>
      <c r="G4297" s="816"/>
      <c r="H4297" s="816">
        <v>1.4577221</v>
      </c>
      <c r="I4297" s="816"/>
      <c r="J4297" s="817">
        <v>1.46E-2</v>
      </c>
      <c r="K4297" s="817"/>
      <c r="L4297" s="817"/>
    </row>
    <row r="4298" spans="1:12" ht="17.100000000000001" customHeight="1">
      <c r="A4298" s="636"/>
      <c r="B4298" s="636"/>
      <c r="C4298" s="636"/>
      <c r="D4298" s="636"/>
      <c r="E4298" s="636"/>
      <c r="F4298" s="636"/>
      <c r="G4298" s="636"/>
      <c r="H4298" s="636"/>
      <c r="I4298" s="636"/>
      <c r="J4298" s="636" t="s">
        <v>13675</v>
      </c>
      <c r="K4298" s="636"/>
      <c r="L4298" s="636" t="s">
        <v>14575</v>
      </c>
    </row>
    <row r="4299" spans="1:12" ht="17.100000000000001" customHeight="1">
      <c r="A4299" s="802" t="s">
        <v>12710</v>
      </c>
      <c r="B4299" s="802"/>
      <c r="C4299" s="802"/>
      <c r="D4299" s="802"/>
      <c r="E4299" s="802"/>
      <c r="F4299" s="802"/>
      <c r="G4299" s="802"/>
      <c r="H4299" s="802"/>
      <c r="I4299" s="612"/>
      <c r="J4299" s="612"/>
      <c r="K4299" s="612"/>
      <c r="L4299" s="612"/>
    </row>
    <row r="4300" spans="1:12" ht="30" customHeight="1">
      <c r="A4300" s="612" t="s">
        <v>13679</v>
      </c>
      <c r="B4300" s="636" t="s">
        <v>12698</v>
      </c>
      <c r="C4300" s="612" t="s">
        <v>12699</v>
      </c>
      <c r="D4300" s="612" t="s">
        <v>12700</v>
      </c>
      <c r="E4300" s="637" t="s">
        <v>12702</v>
      </c>
      <c r="F4300" s="801" t="s">
        <v>12704</v>
      </c>
      <c r="G4300" s="801"/>
      <c r="H4300" s="801" t="s">
        <v>13678</v>
      </c>
      <c r="I4300" s="801"/>
      <c r="J4300" s="801" t="s">
        <v>12705</v>
      </c>
      <c r="K4300" s="801"/>
      <c r="L4300" s="801"/>
    </row>
    <row r="4301" spans="1:12" ht="24" customHeight="1">
      <c r="A4301" s="626" t="s">
        <v>12709</v>
      </c>
      <c r="B4301" s="627" t="s">
        <v>13046</v>
      </c>
      <c r="C4301" s="626" t="s">
        <v>8</v>
      </c>
      <c r="D4301" s="626" t="s">
        <v>11281</v>
      </c>
      <c r="E4301" s="628" t="s">
        <v>23</v>
      </c>
      <c r="F4301" s="816" t="s">
        <v>13731</v>
      </c>
      <c r="G4301" s="816"/>
      <c r="H4301" s="816">
        <v>2.3424033</v>
      </c>
      <c r="I4301" s="816"/>
      <c r="J4301" s="817">
        <v>12.04</v>
      </c>
      <c r="K4301" s="817"/>
      <c r="L4301" s="817"/>
    </row>
    <row r="4302" spans="1:12" ht="14.25" customHeight="1">
      <c r="A4302" s="626" t="s">
        <v>12709</v>
      </c>
      <c r="B4302" s="627" t="s">
        <v>13116</v>
      </c>
      <c r="C4302" s="626" t="s">
        <v>8</v>
      </c>
      <c r="D4302" s="626" t="s">
        <v>10556</v>
      </c>
      <c r="E4302" s="628" t="s">
        <v>23</v>
      </c>
      <c r="F4302" s="816" t="s">
        <v>13770</v>
      </c>
      <c r="G4302" s="816"/>
      <c r="H4302" s="816">
        <v>1.4674932999999999</v>
      </c>
      <c r="I4302" s="816"/>
      <c r="J4302" s="817">
        <v>6.9999000000000002</v>
      </c>
      <c r="K4302" s="817"/>
      <c r="L4302" s="817"/>
    </row>
    <row r="4303" spans="1:12" ht="17.100000000000001" customHeight="1">
      <c r="A4303" s="636"/>
      <c r="B4303" s="636"/>
      <c r="C4303" s="636"/>
      <c r="D4303" s="636"/>
      <c r="E4303" s="636"/>
      <c r="F4303" s="636"/>
      <c r="G4303" s="636"/>
      <c r="H4303" s="636"/>
      <c r="I4303" s="636"/>
      <c r="J4303" s="636" t="s">
        <v>13675</v>
      </c>
      <c r="K4303" s="636"/>
      <c r="L4303" s="636" t="s">
        <v>14716</v>
      </c>
    </row>
    <row r="4304" spans="1:12" ht="24" customHeight="1">
      <c r="A4304" s="802" t="s">
        <v>12720</v>
      </c>
      <c r="B4304" s="802"/>
      <c r="C4304" s="802"/>
      <c r="D4304" s="802"/>
      <c r="E4304" s="802"/>
      <c r="F4304" s="802"/>
      <c r="G4304" s="802"/>
      <c r="H4304" s="802"/>
      <c r="I4304" s="612"/>
      <c r="J4304" s="612"/>
      <c r="K4304" s="612"/>
      <c r="L4304" s="612"/>
    </row>
    <row r="4305" spans="1:12" ht="24" customHeight="1">
      <c r="A4305" s="612" t="s">
        <v>13679</v>
      </c>
      <c r="B4305" s="636" t="s">
        <v>12698</v>
      </c>
      <c r="C4305" s="612" t="s">
        <v>12699</v>
      </c>
      <c r="D4305" s="612" t="s">
        <v>12700</v>
      </c>
      <c r="E4305" s="637" t="s">
        <v>12702</v>
      </c>
      <c r="F4305" s="801" t="s">
        <v>12704</v>
      </c>
      <c r="G4305" s="801"/>
      <c r="H4305" s="801" t="s">
        <v>13678</v>
      </c>
      <c r="I4305" s="801"/>
      <c r="J4305" s="801" t="s">
        <v>12705</v>
      </c>
      <c r="K4305" s="801"/>
      <c r="L4305" s="801"/>
    </row>
    <row r="4306" spans="1:12" ht="17.100000000000001" customHeight="1">
      <c r="A4306" s="626" t="s">
        <v>12709</v>
      </c>
      <c r="B4306" s="627" t="s">
        <v>13250</v>
      </c>
      <c r="C4306" s="626" t="s">
        <v>8</v>
      </c>
      <c r="D4306" s="626" t="s">
        <v>7526</v>
      </c>
      <c r="E4306" s="628" t="s">
        <v>12730</v>
      </c>
      <c r="F4306" s="816" t="s">
        <v>13747</v>
      </c>
      <c r="G4306" s="816"/>
      <c r="H4306" s="816">
        <v>0.72299999999999998</v>
      </c>
      <c r="I4306" s="816"/>
      <c r="J4306" s="817">
        <v>45.18</v>
      </c>
      <c r="K4306" s="817"/>
      <c r="L4306" s="817"/>
    </row>
    <row r="4307" spans="1:12" ht="14.25" customHeight="1">
      <c r="A4307" s="626" t="s">
        <v>12709</v>
      </c>
      <c r="B4307" s="627" t="s">
        <v>13249</v>
      </c>
      <c r="C4307" s="626" t="s">
        <v>8</v>
      </c>
      <c r="D4307" s="626" t="s">
        <v>8420</v>
      </c>
      <c r="E4307" s="628" t="s">
        <v>20</v>
      </c>
      <c r="F4307" s="816" t="s">
        <v>13700</v>
      </c>
      <c r="G4307" s="816"/>
      <c r="H4307" s="816">
        <v>362.66</v>
      </c>
      <c r="I4307" s="816"/>
      <c r="J4307" s="817">
        <v>177.7</v>
      </c>
      <c r="K4307" s="817"/>
      <c r="L4307" s="817"/>
    </row>
    <row r="4308" spans="1:12" ht="17.100000000000001" customHeight="1">
      <c r="A4308" s="626" t="s">
        <v>12709</v>
      </c>
      <c r="B4308" s="627" t="s">
        <v>13248</v>
      </c>
      <c r="C4308" s="626" t="s">
        <v>8</v>
      </c>
      <c r="D4308" s="626" t="s">
        <v>10712</v>
      </c>
      <c r="E4308" s="628" t="s">
        <v>12730</v>
      </c>
      <c r="F4308" s="816" t="s">
        <v>13745</v>
      </c>
      <c r="G4308" s="816"/>
      <c r="H4308" s="816">
        <v>0.59299999999999997</v>
      </c>
      <c r="I4308" s="816"/>
      <c r="J4308" s="817">
        <v>47.44</v>
      </c>
      <c r="K4308" s="817"/>
      <c r="L4308" s="817"/>
    </row>
    <row r="4309" spans="1:12" ht="24" customHeight="1">
      <c r="A4309" s="626" t="s">
        <v>12709</v>
      </c>
      <c r="B4309" s="627" t="s">
        <v>12987</v>
      </c>
      <c r="C4309" s="626" t="s">
        <v>8</v>
      </c>
      <c r="D4309" s="626" t="s">
        <v>9192</v>
      </c>
      <c r="E4309" s="628" t="s">
        <v>12923</v>
      </c>
      <c r="F4309" s="816" t="s">
        <v>13999</v>
      </c>
      <c r="G4309" s="816"/>
      <c r="H4309" s="816">
        <v>0.93603729999999996</v>
      </c>
      <c r="I4309" s="816"/>
      <c r="J4309" s="817">
        <v>0.75819999999999999</v>
      </c>
      <c r="K4309" s="817"/>
      <c r="L4309" s="817"/>
    </row>
    <row r="4310" spans="1:12" ht="24" customHeight="1">
      <c r="A4310" s="636"/>
      <c r="B4310" s="636"/>
      <c r="C4310" s="636"/>
      <c r="D4310" s="636"/>
      <c r="E4310" s="636"/>
      <c r="F4310" s="636"/>
      <c r="G4310" s="636"/>
      <c r="H4310" s="636"/>
      <c r="I4310" s="636"/>
      <c r="J4310" s="636" t="s">
        <v>13675</v>
      </c>
      <c r="K4310" s="636"/>
      <c r="L4310" s="636" t="s">
        <v>14715</v>
      </c>
    </row>
    <row r="4311" spans="1:12" ht="17.100000000000001" customHeight="1">
      <c r="A4311" s="802" t="s">
        <v>12722</v>
      </c>
      <c r="B4311" s="802"/>
      <c r="C4311" s="802"/>
      <c r="D4311" s="802"/>
      <c r="E4311" s="802"/>
      <c r="F4311" s="802"/>
      <c r="G4311" s="802"/>
      <c r="H4311" s="802"/>
      <c r="I4311" s="612"/>
      <c r="J4311" s="612"/>
      <c r="K4311" s="612"/>
      <c r="L4311" s="612"/>
    </row>
    <row r="4312" spans="1:12">
      <c r="A4312" s="612" t="s">
        <v>13679</v>
      </c>
      <c r="B4312" s="636" t="s">
        <v>12698</v>
      </c>
      <c r="C4312" s="612" t="s">
        <v>12699</v>
      </c>
      <c r="D4312" s="612" t="s">
        <v>12700</v>
      </c>
      <c r="E4312" s="637" t="s">
        <v>12702</v>
      </c>
      <c r="F4312" s="801" t="s">
        <v>12704</v>
      </c>
      <c r="G4312" s="801"/>
      <c r="H4312" s="801" t="s">
        <v>13678</v>
      </c>
      <c r="I4312" s="801"/>
      <c r="J4312" s="801" t="s">
        <v>12705</v>
      </c>
      <c r="K4312" s="801"/>
      <c r="L4312" s="801"/>
    </row>
    <row r="4313" spans="1:12" ht="17.100000000000001" customHeight="1">
      <c r="A4313" s="626" t="s">
        <v>12709</v>
      </c>
      <c r="B4313" s="627" t="s">
        <v>12998</v>
      </c>
      <c r="C4313" s="626" t="s">
        <v>8</v>
      </c>
      <c r="D4313" s="626" t="s">
        <v>11861</v>
      </c>
      <c r="E4313" s="628" t="s">
        <v>23</v>
      </c>
      <c r="F4313" s="816" t="s">
        <v>13683</v>
      </c>
      <c r="G4313" s="816"/>
      <c r="H4313" s="816">
        <v>3.7641179999999999</v>
      </c>
      <c r="I4313" s="816"/>
      <c r="J4313" s="817">
        <v>2.6724999999999999</v>
      </c>
      <c r="K4313" s="817"/>
      <c r="L4313" s="817"/>
    </row>
    <row r="4314" spans="1:12" ht="24" customHeight="1">
      <c r="A4314" s="636"/>
      <c r="B4314" s="636"/>
      <c r="C4314" s="636"/>
      <c r="D4314" s="636"/>
      <c r="E4314" s="636"/>
      <c r="F4314" s="636"/>
      <c r="G4314" s="636"/>
      <c r="H4314" s="636"/>
      <c r="I4314" s="636"/>
      <c r="J4314" s="636" t="s">
        <v>13675</v>
      </c>
      <c r="K4314" s="636"/>
      <c r="L4314" s="636" t="s">
        <v>14110</v>
      </c>
    </row>
    <row r="4315" spans="1:12" ht="36" customHeight="1">
      <c r="A4315" s="802" t="s">
        <v>12713</v>
      </c>
      <c r="B4315" s="802"/>
      <c r="C4315" s="802"/>
      <c r="D4315" s="802"/>
      <c r="E4315" s="802"/>
      <c r="F4315" s="802"/>
      <c r="G4315" s="802"/>
      <c r="H4315" s="802"/>
      <c r="I4315" s="612"/>
      <c r="J4315" s="612"/>
      <c r="K4315" s="612"/>
      <c r="L4315" s="612"/>
    </row>
    <row r="4316" spans="1:12" ht="24" customHeight="1">
      <c r="A4316" s="612" t="s">
        <v>13679</v>
      </c>
      <c r="B4316" s="636" t="s">
        <v>12698</v>
      </c>
      <c r="C4316" s="612" t="s">
        <v>12699</v>
      </c>
      <c r="D4316" s="612" t="s">
        <v>12700</v>
      </c>
      <c r="E4316" s="637" t="s">
        <v>12702</v>
      </c>
      <c r="F4316" s="801" t="s">
        <v>12704</v>
      </c>
      <c r="G4316" s="801"/>
      <c r="H4316" s="801" t="s">
        <v>13678</v>
      </c>
      <c r="I4316" s="801"/>
      <c r="J4316" s="801" t="s">
        <v>12705</v>
      </c>
      <c r="K4316" s="801"/>
      <c r="L4316" s="801"/>
    </row>
    <row r="4317" spans="1:12" ht="17.100000000000001" customHeight="1">
      <c r="A4317" s="626" t="s">
        <v>12709</v>
      </c>
      <c r="B4317" s="627" t="s">
        <v>12999</v>
      </c>
      <c r="C4317" s="626" t="s">
        <v>8</v>
      </c>
      <c r="D4317" s="626" t="s">
        <v>11251</v>
      </c>
      <c r="E4317" s="628" t="s">
        <v>23</v>
      </c>
      <c r="F4317" s="816" t="s">
        <v>13681</v>
      </c>
      <c r="G4317" s="816"/>
      <c r="H4317" s="816">
        <v>3.7641179999999999</v>
      </c>
      <c r="I4317" s="816"/>
      <c r="J4317" s="817">
        <v>0.26350000000000001</v>
      </c>
      <c r="K4317" s="817"/>
      <c r="L4317" s="817"/>
    </row>
    <row r="4318" spans="1:12">
      <c r="A4318" s="636"/>
      <c r="B4318" s="636"/>
      <c r="C4318" s="636"/>
      <c r="D4318" s="636"/>
      <c r="E4318" s="636"/>
      <c r="F4318" s="636"/>
      <c r="G4318" s="636"/>
      <c r="H4318" s="636"/>
      <c r="I4318" s="636"/>
      <c r="J4318" s="636" t="s">
        <v>13675</v>
      </c>
      <c r="K4318" s="636"/>
      <c r="L4318" s="636" t="s">
        <v>13869</v>
      </c>
    </row>
    <row r="4319" spans="1:12" ht="17.100000000000001" customHeight="1">
      <c r="A4319" s="802" t="s">
        <v>12712</v>
      </c>
      <c r="B4319" s="802"/>
      <c r="C4319" s="802"/>
      <c r="D4319" s="802"/>
      <c r="E4319" s="802"/>
      <c r="F4319" s="802"/>
      <c r="G4319" s="802"/>
      <c r="H4319" s="802"/>
      <c r="I4319" s="612"/>
      <c r="J4319" s="612"/>
      <c r="K4319" s="612"/>
      <c r="L4319" s="612"/>
    </row>
    <row r="4320" spans="1:12" ht="24" customHeight="1">
      <c r="A4320" s="612" t="s">
        <v>13679</v>
      </c>
      <c r="B4320" s="636" t="s">
        <v>12698</v>
      </c>
      <c r="C4320" s="612" t="s">
        <v>12699</v>
      </c>
      <c r="D4320" s="612" t="s">
        <v>12700</v>
      </c>
      <c r="E4320" s="637" t="s">
        <v>12702</v>
      </c>
      <c r="F4320" s="801" t="s">
        <v>12704</v>
      </c>
      <c r="G4320" s="801"/>
      <c r="H4320" s="801" t="s">
        <v>13678</v>
      </c>
      <c r="I4320" s="801"/>
      <c r="J4320" s="801" t="s">
        <v>12705</v>
      </c>
      <c r="K4320" s="801"/>
      <c r="L4320" s="801"/>
    </row>
    <row r="4321" spans="1:12" ht="17.100000000000001" customHeight="1">
      <c r="A4321" s="626" t="s">
        <v>12709</v>
      </c>
      <c r="B4321" s="627" t="s">
        <v>13002</v>
      </c>
      <c r="C4321" s="626" t="s">
        <v>8</v>
      </c>
      <c r="D4321" s="626" t="s">
        <v>9306</v>
      </c>
      <c r="E4321" s="628" t="s">
        <v>23</v>
      </c>
      <c r="F4321" s="816" t="s">
        <v>13677</v>
      </c>
      <c r="G4321" s="816"/>
      <c r="H4321" s="816">
        <v>3.7641179999999999</v>
      </c>
      <c r="I4321" s="816"/>
      <c r="J4321" s="817">
        <v>1.3173999999999999</v>
      </c>
      <c r="K4321" s="817"/>
      <c r="L4321" s="817"/>
    </row>
    <row r="4322" spans="1:12" ht="25.5">
      <c r="A4322" s="626" t="s">
        <v>12709</v>
      </c>
      <c r="B4322" s="627" t="s">
        <v>13004</v>
      </c>
      <c r="C4322" s="626" t="s">
        <v>8</v>
      </c>
      <c r="D4322" s="626" t="s">
        <v>7388</v>
      </c>
      <c r="E4322" s="628" t="s">
        <v>23</v>
      </c>
      <c r="F4322" s="816" t="s">
        <v>13676</v>
      </c>
      <c r="G4322" s="816"/>
      <c r="H4322" s="816">
        <v>3.7641179999999999</v>
      </c>
      <c r="I4322" s="816"/>
      <c r="J4322" s="817">
        <v>8.2811000000000003</v>
      </c>
      <c r="K4322" s="817"/>
      <c r="L4322" s="817"/>
    </row>
    <row r="4323" spans="1:12" ht="17.100000000000001" customHeight="1">
      <c r="A4323" s="636"/>
      <c r="B4323" s="636"/>
      <c r="C4323" s="636"/>
      <c r="D4323" s="636"/>
      <c r="E4323" s="636"/>
      <c r="F4323" s="636"/>
      <c r="G4323" s="636"/>
      <c r="H4323" s="636"/>
      <c r="I4323" s="636"/>
      <c r="J4323" s="636" t="s">
        <v>13675</v>
      </c>
      <c r="K4323" s="636"/>
      <c r="L4323" s="636" t="s">
        <v>14109</v>
      </c>
    </row>
    <row r="4324" spans="1:12" ht="24" customHeight="1">
      <c r="A4324" s="612" t="s">
        <v>13673</v>
      </c>
      <c r="B4324" s="612"/>
      <c r="C4324" s="612"/>
      <c r="D4324" s="612"/>
      <c r="E4324" s="612"/>
      <c r="F4324" s="612"/>
      <c r="G4324" s="612"/>
      <c r="H4324" s="612"/>
      <c r="I4324" s="612"/>
      <c r="J4324" s="612"/>
      <c r="K4324" s="612"/>
      <c r="L4324" s="612"/>
    </row>
    <row r="4325" spans="1:12" ht="17.100000000000001" customHeight="1">
      <c r="A4325" s="636"/>
      <c r="B4325" s="636"/>
      <c r="C4325" s="636"/>
      <c r="D4325" s="636"/>
      <c r="E4325" s="636"/>
      <c r="F4325" s="636"/>
      <c r="G4325" s="636"/>
      <c r="H4325" s="636"/>
      <c r="I4325" s="636"/>
      <c r="J4325" s="636" t="s">
        <v>13672</v>
      </c>
      <c r="K4325" s="636"/>
      <c r="L4325" s="636" t="s">
        <v>14987</v>
      </c>
    </row>
    <row r="4326" spans="1:12">
      <c r="A4326" s="636"/>
      <c r="B4326" s="636"/>
      <c r="C4326" s="636"/>
      <c r="D4326" s="636"/>
      <c r="E4326" s="636"/>
      <c r="F4326" s="636"/>
      <c r="G4326" s="636"/>
      <c r="H4326" s="636"/>
      <c r="I4326" s="636"/>
      <c r="J4326" s="636" t="s">
        <v>13671</v>
      </c>
      <c r="K4326" s="636" t="s">
        <v>14461</v>
      </c>
      <c r="L4326" s="636" t="s">
        <v>14988</v>
      </c>
    </row>
    <row r="4327" spans="1:12" ht="17.100000000000001" customHeight="1">
      <c r="A4327" s="636"/>
      <c r="B4327" s="636"/>
      <c r="C4327" s="636"/>
      <c r="D4327" s="636"/>
      <c r="E4327" s="636"/>
      <c r="F4327" s="636"/>
      <c r="G4327" s="636"/>
      <c r="H4327" s="636"/>
      <c r="I4327" s="636"/>
      <c r="J4327" s="636" t="s">
        <v>13670</v>
      </c>
      <c r="K4327" s="636"/>
      <c r="L4327" s="636" t="s">
        <v>14989</v>
      </c>
    </row>
    <row r="4328" spans="1:12" ht="24" customHeight="1">
      <c r="A4328" s="636"/>
      <c r="B4328" s="636"/>
      <c r="C4328" s="636"/>
      <c r="D4328" s="636"/>
      <c r="E4328" s="636"/>
      <c r="F4328" s="636"/>
      <c r="G4328" s="636"/>
      <c r="H4328" s="636"/>
      <c r="I4328" s="636"/>
      <c r="J4328" s="636" t="s">
        <v>13669</v>
      </c>
      <c r="K4328" s="636" t="s">
        <v>13667</v>
      </c>
      <c r="L4328" s="636" t="s">
        <v>14990</v>
      </c>
    </row>
    <row r="4329" spans="1:12" ht="24" customHeight="1">
      <c r="A4329" s="636"/>
      <c r="B4329" s="636"/>
      <c r="C4329" s="636"/>
      <c r="D4329" s="636"/>
      <c r="E4329" s="636"/>
      <c r="F4329" s="636"/>
      <c r="G4329" s="636"/>
      <c r="H4329" s="636"/>
      <c r="I4329" s="636"/>
      <c r="J4329" s="636" t="s">
        <v>13668</v>
      </c>
      <c r="K4329" s="636"/>
      <c r="L4329" s="636" t="s">
        <v>14991</v>
      </c>
    </row>
    <row r="4330" spans="1:12" ht="17.100000000000001" customHeight="1">
      <c r="A4330" s="637"/>
      <c r="B4330" s="637"/>
      <c r="C4330" s="637"/>
      <c r="D4330" s="637"/>
      <c r="E4330" s="637"/>
      <c r="F4330" s="637"/>
      <c r="G4330" s="637"/>
      <c r="H4330" s="637"/>
      <c r="I4330" s="637"/>
      <c r="J4330" s="637"/>
      <c r="K4330" s="637"/>
      <c r="L4330" s="637"/>
    </row>
    <row r="4331" spans="1:12" ht="17.100000000000001" customHeight="1">
      <c r="A4331" s="616" t="s">
        <v>14122</v>
      </c>
      <c r="B4331" s="617" t="s">
        <v>13633</v>
      </c>
      <c r="C4331" s="616" t="s">
        <v>8</v>
      </c>
      <c r="D4331" s="616" t="s">
        <v>55</v>
      </c>
      <c r="E4331" s="618" t="s">
        <v>12730</v>
      </c>
      <c r="F4331" s="617"/>
      <c r="G4331" s="617"/>
      <c r="H4331" s="617"/>
      <c r="I4331" s="617"/>
      <c r="J4331" s="617"/>
      <c r="K4331" s="617"/>
      <c r="L4331" s="617"/>
    </row>
    <row r="4332" spans="1:12" ht="17.100000000000001" customHeight="1">
      <c r="A4332" s="802" t="s">
        <v>12711</v>
      </c>
      <c r="B4332" s="802"/>
      <c r="C4332" s="802"/>
      <c r="D4332" s="802"/>
      <c r="E4332" s="802"/>
      <c r="F4332" s="802"/>
      <c r="G4332" s="802"/>
      <c r="H4332" s="802"/>
      <c r="I4332" s="612"/>
      <c r="J4332" s="612"/>
      <c r="K4332" s="612"/>
      <c r="L4332" s="612"/>
    </row>
    <row r="4333" spans="1:12" ht="17.100000000000001" customHeight="1">
      <c r="A4333" s="612" t="s">
        <v>13679</v>
      </c>
      <c r="B4333" s="636" t="s">
        <v>12698</v>
      </c>
      <c r="C4333" s="612" t="s">
        <v>12699</v>
      </c>
      <c r="D4333" s="612" t="s">
        <v>12700</v>
      </c>
      <c r="E4333" s="637" t="s">
        <v>12702</v>
      </c>
      <c r="F4333" s="801" t="s">
        <v>12704</v>
      </c>
      <c r="G4333" s="801"/>
      <c r="H4333" s="801" t="s">
        <v>13678</v>
      </c>
      <c r="I4333" s="801"/>
      <c r="J4333" s="801" t="s">
        <v>12705</v>
      </c>
      <c r="K4333" s="801"/>
      <c r="L4333" s="801"/>
    </row>
    <row r="4334" spans="1:12" ht="17.100000000000001" customHeight="1">
      <c r="A4334" s="626" t="s">
        <v>12709</v>
      </c>
      <c r="B4334" s="627" t="s">
        <v>12989</v>
      </c>
      <c r="C4334" s="626" t="s">
        <v>8</v>
      </c>
      <c r="D4334" s="626" t="s">
        <v>12342</v>
      </c>
      <c r="E4334" s="628" t="s">
        <v>35</v>
      </c>
      <c r="F4334" s="816" t="s">
        <v>14494</v>
      </c>
      <c r="G4334" s="816"/>
      <c r="H4334" s="816">
        <v>3.3110000000000002E-4</v>
      </c>
      <c r="I4334" s="816"/>
      <c r="J4334" s="817">
        <v>0.80200000000000005</v>
      </c>
      <c r="K4334" s="817"/>
      <c r="L4334" s="817"/>
    </row>
    <row r="4335" spans="1:12" ht="17.100000000000001" customHeight="1">
      <c r="A4335" s="626" t="s">
        <v>12709</v>
      </c>
      <c r="B4335" s="627" t="s">
        <v>13032</v>
      </c>
      <c r="C4335" s="626" t="s">
        <v>8</v>
      </c>
      <c r="D4335" s="626" t="s">
        <v>9217</v>
      </c>
      <c r="E4335" s="628" t="s">
        <v>23</v>
      </c>
      <c r="F4335" s="816" t="s">
        <v>13741</v>
      </c>
      <c r="G4335" s="816"/>
      <c r="H4335" s="816">
        <v>1.8448028999999999</v>
      </c>
      <c r="I4335" s="816"/>
      <c r="J4335" s="817">
        <v>1.9923999999999999</v>
      </c>
      <c r="K4335" s="817"/>
      <c r="L4335" s="817"/>
    </row>
    <row r="4336" spans="1:12" ht="17.100000000000001" customHeight="1">
      <c r="A4336" s="626" t="s">
        <v>12709</v>
      </c>
      <c r="B4336" s="627" t="s">
        <v>13031</v>
      </c>
      <c r="C4336" s="626" t="s">
        <v>8</v>
      </c>
      <c r="D4336" s="626" t="s">
        <v>9364</v>
      </c>
      <c r="E4336" s="628" t="s">
        <v>23</v>
      </c>
      <c r="F4336" s="816" t="s">
        <v>13740</v>
      </c>
      <c r="G4336" s="816"/>
      <c r="H4336" s="816">
        <v>1.8448028999999999</v>
      </c>
      <c r="I4336" s="816"/>
      <c r="J4336" s="817">
        <v>0.62719999999999998</v>
      </c>
      <c r="K4336" s="817"/>
      <c r="L4336" s="817"/>
    </row>
    <row r="4337" spans="1:12" ht="30" customHeight="1">
      <c r="A4337" s="626" t="s">
        <v>12709</v>
      </c>
      <c r="B4337" s="627" t="s">
        <v>13052</v>
      </c>
      <c r="C4337" s="626" t="s">
        <v>8</v>
      </c>
      <c r="D4337" s="626" t="s">
        <v>9229</v>
      </c>
      <c r="E4337" s="628" t="s">
        <v>23</v>
      </c>
      <c r="F4337" s="816" t="s">
        <v>13692</v>
      </c>
      <c r="G4337" s="816"/>
      <c r="H4337" s="816">
        <v>1.8448028999999999</v>
      </c>
      <c r="I4337" s="816"/>
      <c r="J4337" s="817">
        <v>1.7709999999999999</v>
      </c>
      <c r="K4337" s="817"/>
      <c r="L4337" s="817"/>
    </row>
    <row r="4338" spans="1:12" ht="24" customHeight="1">
      <c r="A4338" s="626" t="s">
        <v>12709</v>
      </c>
      <c r="B4338" s="627" t="s">
        <v>13051</v>
      </c>
      <c r="C4338" s="626" t="s">
        <v>8</v>
      </c>
      <c r="D4338" s="626" t="s">
        <v>9376</v>
      </c>
      <c r="E4338" s="628" t="s">
        <v>23</v>
      </c>
      <c r="F4338" s="816" t="s">
        <v>13691</v>
      </c>
      <c r="G4338" s="816"/>
      <c r="H4338" s="816">
        <v>1.8448028999999999</v>
      </c>
      <c r="I4338" s="816"/>
      <c r="J4338" s="817">
        <v>0.9224</v>
      </c>
      <c r="K4338" s="817"/>
      <c r="L4338" s="817"/>
    </row>
    <row r="4339" spans="1:12" ht="14.25" customHeight="1">
      <c r="A4339" s="626" t="s">
        <v>12709</v>
      </c>
      <c r="B4339" s="627" t="s">
        <v>13048</v>
      </c>
      <c r="C4339" s="626" t="s">
        <v>8</v>
      </c>
      <c r="D4339" s="626" t="s">
        <v>9233</v>
      </c>
      <c r="E4339" s="628" t="s">
        <v>23</v>
      </c>
      <c r="F4339" s="816" t="s">
        <v>13690</v>
      </c>
      <c r="G4339" s="816"/>
      <c r="H4339" s="816">
        <v>5.5344085999999999</v>
      </c>
      <c r="I4339" s="816"/>
      <c r="J4339" s="817">
        <v>5.6451000000000002</v>
      </c>
      <c r="K4339" s="817"/>
      <c r="L4339" s="817"/>
    </row>
    <row r="4340" spans="1:12" ht="17.100000000000001" customHeight="1">
      <c r="A4340" s="626" t="s">
        <v>12709</v>
      </c>
      <c r="B4340" s="627" t="s">
        <v>13047</v>
      </c>
      <c r="C4340" s="626" t="s">
        <v>8</v>
      </c>
      <c r="D4340" s="626" t="s">
        <v>9380</v>
      </c>
      <c r="E4340" s="628" t="s">
        <v>23</v>
      </c>
      <c r="F4340" s="816" t="s">
        <v>13689</v>
      </c>
      <c r="G4340" s="816"/>
      <c r="H4340" s="816">
        <v>5.5344085999999999</v>
      </c>
      <c r="I4340" s="816"/>
      <c r="J4340" s="817">
        <v>2.1031</v>
      </c>
      <c r="K4340" s="817"/>
      <c r="L4340" s="817"/>
    </row>
    <row r="4341" spans="1:12" ht="24" customHeight="1">
      <c r="A4341" s="636"/>
      <c r="B4341" s="636"/>
      <c r="C4341" s="636"/>
      <c r="D4341" s="636"/>
      <c r="E4341" s="636"/>
      <c r="F4341" s="636"/>
      <c r="G4341" s="636"/>
      <c r="H4341" s="636"/>
      <c r="I4341" s="636"/>
      <c r="J4341" s="636" t="s">
        <v>13675</v>
      </c>
      <c r="K4341" s="636"/>
      <c r="L4341" s="636" t="s">
        <v>14493</v>
      </c>
    </row>
    <row r="4342" spans="1:12" ht="24" customHeight="1">
      <c r="A4342" s="802" t="s">
        <v>12710</v>
      </c>
      <c r="B4342" s="802"/>
      <c r="C4342" s="802"/>
      <c r="D4342" s="802"/>
      <c r="E4342" s="802"/>
      <c r="F4342" s="802"/>
      <c r="G4342" s="802"/>
      <c r="H4342" s="802"/>
      <c r="I4342" s="612"/>
      <c r="J4342" s="612"/>
      <c r="K4342" s="612"/>
      <c r="L4342" s="612"/>
    </row>
    <row r="4343" spans="1:12" ht="17.100000000000001" customHeight="1">
      <c r="A4343" s="612" t="s">
        <v>13679</v>
      </c>
      <c r="B4343" s="636" t="s">
        <v>12698</v>
      </c>
      <c r="C4343" s="612" t="s">
        <v>12699</v>
      </c>
      <c r="D4343" s="612" t="s">
        <v>12700</v>
      </c>
      <c r="E4343" s="637" t="s">
        <v>12702</v>
      </c>
      <c r="F4343" s="801" t="s">
        <v>12704</v>
      </c>
      <c r="G4343" s="801"/>
      <c r="H4343" s="801" t="s">
        <v>13678</v>
      </c>
      <c r="I4343" s="801"/>
      <c r="J4343" s="801" t="s">
        <v>12705</v>
      </c>
      <c r="K4343" s="801"/>
      <c r="L4343" s="801"/>
    </row>
    <row r="4344" spans="1:12" ht="14.25" customHeight="1">
      <c r="A4344" s="626" t="s">
        <v>12709</v>
      </c>
      <c r="B4344" s="627" t="s">
        <v>13212</v>
      </c>
      <c r="C4344" s="626" t="s">
        <v>8</v>
      </c>
      <c r="D4344" s="626" t="s">
        <v>8293</v>
      </c>
      <c r="E4344" s="628" t="s">
        <v>23</v>
      </c>
      <c r="F4344" s="816" t="s">
        <v>14470</v>
      </c>
      <c r="G4344" s="816"/>
      <c r="H4344" s="816">
        <v>1.8599138</v>
      </c>
      <c r="I4344" s="816"/>
      <c r="J4344" s="817">
        <v>12.852</v>
      </c>
      <c r="K4344" s="817"/>
      <c r="L4344" s="817"/>
    </row>
    <row r="4345" spans="1:12" ht="17.100000000000001" customHeight="1">
      <c r="A4345" s="626" t="s">
        <v>12709</v>
      </c>
      <c r="B4345" s="627" t="s">
        <v>13099</v>
      </c>
      <c r="C4345" s="626" t="s">
        <v>8</v>
      </c>
      <c r="D4345" s="626" t="s">
        <v>10726</v>
      </c>
      <c r="E4345" s="628" t="s">
        <v>23</v>
      </c>
      <c r="F4345" s="816" t="s">
        <v>14470</v>
      </c>
      <c r="G4345" s="816"/>
      <c r="H4345" s="816">
        <v>1.8722776000000001</v>
      </c>
      <c r="I4345" s="816"/>
      <c r="J4345" s="817">
        <v>12.9374</v>
      </c>
      <c r="K4345" s="817"/>
      <c r="L4345" s="817"/>
    </row>
    <row r="4346" spans="1:12" ht="24" customHeight="1">
      <c r="A4346" s="626" t="s">
        <v>12709</v>
      </c>
      <c r="B4346" s="627" t="s">
        <v>13046</v>
      </c>
      <c r="C4346" s="626" t="s">
        <v>8</v>
      </c>
      <c r="D4346" s="626" t="s">
        <v>11281</v>
      </c>
      <c r="E4346" s="628" t="s">
        <v>23</v>
      </c>
      <c r="F4346" s="816" t="s">
        <v>13731</v>
      </c>
      <c r="G4346" s="816"/>
      <c r="H4346" s="816">
        <v>5.6168328000000001</v>
      </c>
      <c r="I4346" s="816"/>
      <c r="J4346" s="817">
        <v>28.8705</v>
      </c>
      <c r="K4346" s="817"/>
      <c r="L4346" s="817"/>
    </row>
    <row r="4347" spans="1:12" ht="24" customHeight="1">
      <c r="A4347" s="636"/>
      <c r="B4347" s="636"/>
      <c r="C4347" s="636"/>
      <c r="D4347" s="636"/>
      <c r="E4347" s="636"/>
      <c r="F4347" s="636"/>
      <c r="G4347" s="636"/>
      <c r="H4347" s="636"/>
      <c r="I4347" s="636"/>
      <c r="J4347" s="636" t="s">
        <v>13675</v>
      </c>
      <c r="K4347" s="636"/>
      <c r="L4347" s="636" t="s">
        <v>14492</v>
      </c>
    </row>
    <row r="4348" spans="1:12" ht="17.100000000000001" customHeight="1">
      <c r="A4348" s="802" t="s">
        <v>12720</v>
      </c>
      <c r="B4348" s="802"/>
      <c r="C4348" s="802"/>
      <c r="D4348" s="802"/>
      <c r="E4348" s="802"/>
      <c r="F4348" s="802"/>
      <c r="G4348" s="802"/>
      <c r="H4348" s="802"/>
      <c r="I4348" s="612"/>
      <c r="J4348" s="612"/>
      <c r="K4348" s="612"/>
      <c r="L4348" s="612"/>
    </row>
    <row r="4349" spans="1:12">
      <c r="A4349" s="612" t="s">
        <v>13679</v>
      </c>
      <c r="B4349" s="636" t="s">
        <v>12698</v>
      </c>
      <c r="C4349" s="612" t="s">
        <v>12699</v>
      </c>
      <c r="D4349" s="612" t="s">
        <v>12700</v>
      </c>
      <c r="E4349" s="637" t="s">
        <v>12702</v>
      </c>
      <c r="F4349" s="801" t="s">
        <v>12704</v>
      </c>
      <c r="G4349" s="801"/>
      <c r="H4349" s="801" t="s">
        <v>13678</v>
      </c>
      <c r="I4349" s="801"/>
      <c r="J4349" s="801" t="s">
        <v>12705</v>
      </c>
      <c r="K4349" s="801"/>
      <c r="L4349" s="801"/>
    </row>
    <row r="4350" spans="1:12" ht="17.100000000000001" customHeight="1">
      <c r="A4350" s="626" t="s">
        <v>12709</v>
      </c>
      <c r="B4350" s="627" t="s">
        <v>12987</v>
      </c>
      <c r="C4350" s="626" t="s">
        <v>8</v>
      </c>
      <c r="D4350" s="626" t="s">
        <v>9192</v>
      </c>
      <c r="E4350" s="628" t="s">
        <v>12923</v>
      </c>
      <c r="F4350" s="816" t="s">
        <v>13999</v>
      </c>
      <c r="G4350" s="816"/>
      <c r="H4350" s="816">
        <v>0.83945530000000002</v>
      </c>
      <c r="I4350" s="816"/>
      <c r="J4350" s="817">
        <v>0.68</v>
      </c>
      <c r="K4350" s="817"/>
      <c r="L4350" s="817"/>
    </row>
    <row r="4351" spans="1:12" ht="24" customHeight="1">
      <c r="A4351" s="636"/>
      <c r="B4351" s="636"/>
      <c r="C4351" s="636"/>
      <c r="D4351" s="636"/>
      <c r="E4351" s="636"/>
      <c r="F4351" s="636"/>
      <c r="G4351" s="636"/>
      <c r="H4351" s="636"/>
      <c r="I4351" s="636"/>
      <c r="J4351" s="636" t="s">
        <v>13675</v>
      </c>
      <c r="K4351" s="636"/>
      <c r="L4351" s="636" t="s">
        <v>13827</v>
      </c>
    </row>
    <row r="4352" spans="1:12" ht="36" customHeight="1">
      <c r="A4352" s="802" t="s">
        <v>12722</v>
      </c>
      <c r="B4352" s="802"/>
      <c r="C4352" s="802"/>
      <c r="D4352" s="802"/>
      <c r="E4352" s="802"/>
      <c r="F4352" s="802"/>
      <c r="G4352" s="802"/>
      <c r="H4352" s="802"/>
      <c r="I4352" s="612"/>
      <c r="J4352" s="612"/>
      <c r="K4352" s="612"/>
      <c r="L4352" s="612"/>
    </row>
    <row r="4353" spans="1:12" ht="24" customHeight="1">
      <c r="A4353" s="612" t="s">
        <v>13679</v>
      </c>
      <c r="B4353" s="636" t="s">
        <v>12698</v>
      </c>
      <c r="C4353" s="612" t="s">
        <v>12699</v>
      </c>
      <c r="D4353" s="612" t="s">
        <v>12700</v>
      </c>
      <c r="E4353" s="637" t="s">
        <v>12702</v>
      </c>
      <c r="F4353" s="801" t="s">
        <v>12704</v>
      </c>
      <c r="G4353" s="801"/>
      <c r="H4353" s="801" t="s">
        <v>13678</v>
      </c>
      <c r="I4353" s="801"/>
      <c r="J4353" s="801" t="s">
        <v>12705</v>
      </c>
      <c r="K4353" s="801"/>
      <c r="L4353" s="801"/>
    </row>
    <row r="4354" spans="1:12" ht="17.100000000000001" customHeight="1">
      <c r="A4354" s="626" t="s">
        <v>12709</v>
      </c>
      <c r="B4354" s="627" t="s">
        <v>12998</v>
      </c>
      <c r="C4354" s="626" t="s">
        <v>8</v>
      </c>
      <c r="D4354" s="626" t="s">
        <v>11861</v>
      </c>
      <c r="E4354" s="628" t="s">
        <v>23</v>
      </c>
      <c r="F4354" s="816" t="s">
        <v>13683</v>
      </c>
      <c r="G4354" s="816"/>
      <c r="H4354" s="816">
        <v>9.2240143000000003</v>
      </c>
      <c r="I4354" s="816"/>
      <c r="J4354" s="817">
        <v>6.5491000000000001</v>
      </c>
      <c r="K4354" s="817"/>
      <c r="L4354" s="817"/>
    </row>
    <row r="4355" spans="1:12">
      <c r="A4355" s="636"/>
      <c r="B4355" s="636"/>
      <c r="C4355" s="636"/>
      <c r="D4355" s="636"/>
      <c r="E4355" s="636"/>
      <c r="F4355" s="636"/>
      <c r="G4355" s="636"/>
      <c r="H4355" s="636"/>
      <c r="I4355" s="636"/>
      <c r="J4355" s="636" t="s">
        <v>13675</v>
      </c>
      <c r="K4355" s="636"/>
      <c r="L4355" s="636" t="s">
        <v>13739</v>
      </c>
    </row>
    <row r="4356" spans="1:12" ht="17.100000000000001" customHeight="1">
      <c r="A4356" s="802" t="s">
        <v>12713</v>
      </c>
      <c r="B4356" s="802"/>
      <c r="C4356" s="802"/>
      <c r="D4356" s="802"/>
      <c r="E4356" s="802"/>
      <c r="F4356" s="802"/>
      <c r="G4356" s="802"/>
      <c r="H4356" s="802"/>
      <c r="I4356" s="612"/>
      <c r="J4356" s="612"/>
      <c r="K4356" s="612"/>
      <c r="L4356" s="612"/>
    </row>
    <row r="4357" spans="1:12" ht="24" customHeight="1">
      <c r="A4357" s="612" t="s">
        <v>13679</v>
      </c>
      <c r="B4357" s="636" t="s">
        <v>12698</v>
      </c>
      <c r="C4357" s="612" t="s">
        <v>12699</v>
      </c>
      <c r="D4357" s="612" t="s">
        <v>12700</v>
      </c>
      <c r="E4357" s="637" t="s">
        <v>12702</v>
      </c>
      <c r="F4357" s="801" t="s">
        <v>12704</v>
      </c>
      <c r="G4357" s="801"/>
      <c r="H4357" s="801" t="s">
        <v>13678</v>
      </c>
      <c r="I4357" s="801"/>
      <c r="J4357" s="801" t="s">
        <v>12705</v>
      </c>
      <c r="K4357" s="801"/>
      <c r="L4357" s="801"/>
    </row>
    <row r="4358" spans="1:12" ht="17.100000000000001" customHeight="1">
      <c r="A4358" s="626" t="s">
        <v>12709</v>
      </c>
      <c r="B4358" s="627" t="s">
        <v>12999</v>
      </c>
      <c r="C4358" s="626" t="s">
        <v>8</v>
      </c>
      <c r="D4358" s="626" t="s">
        <v>11251</v>
      </c>
      <c r="E4358" s="628" t="s">
        <v>23</v>
      </c>
      <c r="F4358" s="816" t="s">
        <v>13681</v>
      </c>
      <c r="G4358" s="816"/>
      <c r="H4358" s="816">
        <v>9.2240143000000003</v>
      </c>
      <c r="I4358" s="816"/>
      <c r="J4358" s="817">
        <v>0.64570000000000005</v>
      </c>
      <c r="K4358" s="817"/>
      <c r="L4358" s="817"/>
    </row>
    <row r="4359" spans="1:12">
      <c r="A4359" s="636"/>
      <c r="B4359" s="636"/>
      <c r="C4359" s="636"/>
      <c r="D4359" s="636"/>
      <c r="E4359" s="636"/>
      <c r="F4359" s="636"/>
      <c r="G4359" s="636"/>
      <c r="H4359" s="636"/>
      <c r="I4359" s="636"/>
      <c r="J4359" s="636" t="s">
        <v>13675</v>
      </c>
      <c r="K4359" s="636"/>
      <c r="L4359" s="636" t="s">
        <v>13738</v>
      </c>
    </row>
    <row r="4360" spans="1:12" ht="17.100000000000001" customHeight="1">
      <c r="A4360" s="802" t="s">
        <v>12712</v>
      </c>
      <c r="B4360" s="802"/>
      <c r="C4360" s="802"/>
      <c r="D4360" s="802"/>
      <c r="E4360" s="802"/>
      <c r="F4360" s="802"/>
      <c r="G4360" s="802"/>
      <c r="H4360" s="802"/>
      <c r="I4360" s="612"/>
      <c r="J4360" s="612"/>
      <c r="K4360" s="612"/>
      <c r="L4360" s="612"/>
    </row>
    <row r="4361" spans="1:12" ht="24" customHeight="1">
      <c r="A4361" s="612" t="s">
        <v>13679</v>
      </c>
      <c r="B4361" s="636" t="s">
        <v>12698</v>
      </c>
      <c r="C4361" s="612" t="s">
        <v>12699</v>
      </c>
      <c r="D4361" s="612" t="s">
        <v>12700</v>
      </c>
      <c r="E4361" s="637" t="s">
        <v>12702</v>
      </c>
      <c r="F4361" s="801" t="s">
        <v>12704</v>
      </c>
      <c r="G4361" s="801"/>
      <c r="H4361" s="801" t="s">
        <v>13678</v>
      </c>
      <c r="I4361" s="801"/>
      <c r="J4361" s="801" t="s">
        <v>12705</v>
      </c>
      <c r="K4361" s="801"/>
      <c r="L4361" s="801"/>
    </row>
    <row r="4362" spans="1:12" ht="17.100000000000001" customHeight="1">
      <c r="A4362" s="626" t="s">
        <v>12709</v>
      </c>
      <c r="B4362" s="627" t="s">
        <v>13002</v>
      </c>
      <c r="C4362" s="626" t="s">
        <v>8</v>
      </c>
      <c r="D4362" s="626" t="s">
        <v>9306</v>
      </c>
      <c r="E4362" s="628" t="s">
        <v>23</v>
      </c>
      <c r="F4362" s="816" t="s">
        <v>13677</v>
      </c>
      <c r="G4362" s="816"/>
      <c r="H4362" s="816">
        <v>9.2240143000000003</v>
      </c>
      <c r="I4362" s="816"/>
      <c r="J4362" s="817">
        <v>3.2284000000000002</v>
      </c>
      <c r="K4362" s="817"/>
      <c r="L4362" s="817"/>
    </row>
    <row r="4363" spans="1:12" ht="25.5">
      <c r="A4363" s="626" t="s">
        <v>12709</v>
      </c>
      <c r="B4363" s="627" t="s">
        <v>13004</v>
      </c>
      <c r="C4363" s="626" t="s">
        <v>8</v>
      </c>
      <c r="D4363" s="626" t="s">
        <v>7388</v>
      </c>
      <c r="E4363" s="628" t="s">
        <v>23</v>
      </c>
      <c r="F4363" s="816" t="s">
        <v>13676</v>
      </c>
      <c r="G4363" s="816"/>
      <c r="H4363" s="816">
        <v>9.2240143000000003</v>
      </c>
      <c r="I4363" s="816"/>
      <c r="J4363" s="817">
        <v>20.2928</v>
      </c>
      <c r="K4363" s="817"/>
      <c r="L4363" s="817"/>
    </row>
    <row r="4364" spans="1:12" ht="17.100000000000001" customHeight="1">
      <c r="A4364" s="636"/>
      <c r="B4364" s="636"/>
      <c r="C4364" s="636"/>
      <c r="D4364" s="636"/>
      <c r="E4364" s="636"/>
      <c r="F4364" s="636"/>
      <c r="G4364" s="636"/>
      <c r="H4364" s="636"/>
      <c r="I4364" s="636"/>
      <c r="J4364" s="636" t="s">
        <v>13675</v>
      </c>
      <c r="K4364" s="636"/>
      <c r="L4364" s="636" t="s">
        <v>13737</v>
      </c>
    </row>
    <row r="4365" spans="1:12" ht="24" customHeight="1">
      <c r="A4365" s="612" t="s">
        <v>13673</v>
      </c>
      <c r="B4365" s="612"/>
      <c r="C4365" s="612"/>
      <c r="D4365" s="612"/>
      <c r="E4365" s="612"/>
      <c r="F4365" s="612"/>
      <c r="G4365" s="612"/>
      <c r="H4365" s="612"/>
      <c r="I4365" s="612"/>
      <c r="J4365" s="612"/>
      <c r="K4365" s="612"/>
      <c r="L4365" s="612"/>
    </row>
    <row r="4366" spans="1:12" ht="24" customHeight="1">
      <c r="A4366" s="636"/>
      <c r="B4366" s="636"/>
      <c r="C4366" s="636"/>
      <c r="D4366" s="636"/>
      <c r="E4366" s="636"/>
      <c r="F4366" s="636"/>
      <c r="G4366" s="636"/>
      <c r="H4366" s="636"/>
      <c r="I4366" s="636"/>
      <c r="J4366" s="636" t="s">
        <v>13672</v>
      </c>
      <c r="K4366" s="636"/>
      <c r="L4366" s="636" t="s">
        <v>14992</v>
      </c>
    </row>
    <row r="4367" spans="1:12" ht="17.100000000000001" customHeight="1">
      <c r="A4367" s="636"/>
      <c r="B4367" s="636"/>
      <c r="C4367" s="636"/>
      <c r="D4367" s="636"/>
      <c r="E4367" s="636"/>
      <c r="F4367" s="636"/>
      <c r="G4367" s="636"/>
      <c r="H4367" s="636"/>
      <c r="I4367" s="636"/>
      <c r="J4367" s="636" t="s">
        <v>13671</v>
      </c>
      <c r="K4367" s="636" t="s">
        <v>14461</v>
      </c>
      <c r="L4367" s="636" t="s">
        <v>14993</v>
      </c>
    </row>
    <row r="4368" spans="1:12" ht="17.100000000000001" customHeight="1">
      <c r="A4368" s="636"/>
      <c r="B4368" s="636"/>
      <c r="C4368" s="636"/>
      <c r="D4368" s="636"/>
      <c r="E4368" s="636"/>
      <c r="F4368" s="636"/>
      <c r="G4368" s="636"/>
      <c r="H4368" s="636"/>
      <c r="I4368" s="636"/>
      <c r="J4368" s="636" t="s">
        <v>13670</v>
      </c>
      <c r="K4368" s="636"/>
      <c r="L4368" s="636" t="s">
        <v>14994</v>
      </c>
    </row>
    <row r="4369" spans="1:12" ht="17.100000000000001" customHeight="1">
      <c r="A4369" s="636"/>
      <c r="B4369" s="636"/>
      <c r="C4369" s="636"/>
      <c r="D4369" s="636"/>
      <c r="E4369" s="636"/>
      <c r="F4369" s="636"/>
      <c r="G4369" s="636"/>
      <c r="H4369" s="636"/>
      <c r="I4369" s="636"/>
      <c r="J4369" s="636" t="s">
        <v>13669</v>
      </c>
      <c r="K4369" s="636" t="s">
        <v>13667</v>
      </c>
      <c r="L4369" s="636" t="s">
        <v>14995</v>
      </c>
    </row>
    <row r="4370" spans="1:12" ht="17.100000000000001" customHeight="1">
      <c r="A4370" s="636"/>
      <c r="B4370" s="636"/>
      <c r="C4370" s="636"/>
      <c r="D4370" s="636"/>
      <c r="E4370" s="636"/>
      <c r="F4370" s="636"/>
      <c r="G4370" s="636"/>
      <c r="H4370" s="636"/>
      <c r="I4370" s="636"/>
      <c r="J4370" s="636" t="s">
        <v>13668</v>
      </c>
      <c r="K4370" s="636"/>
      <c r="L4370" s="636" t="s">
        <v>14996</v>
      </c>
    </row>
    <row r="4371" spans="1:12" ht="17.100000000000001" customHeight="1">
      <c r="A4371" s="637"/>
      <c r="B4371" s="637"/>
      <c r="C4371" s="637"/>
      <c r="D4371" s="637"/>
      <c r="E4371" s="637"/>
      <c r="F4371" s="637"/>
      <c r="G4371" s="637"/>
      <c r="H4371" s="637"/>
      <c r="I4371" s="637"/>
      <c r="J4371" s="637"/>
      <c r="K4371" s="637"/>
      <c r="L4371" s="637"/>
    </row>
    <row r="4372" spans="1:12" ht="17.100000000000001" customHeight="1">
      <c r="A4372" s="616" t="s">
        <v>14121</v>
      </c>
      <c r="B4372" s="617" t="s">
        <v>13620</v>
      </c>
      <c r="C4372" s="616" t="s">
        <v>8</v>
      </c>
      <c r="D4372" s="616" t="s">
        <v>4009</v>
      </c>
      <c r="E4372" s="618" t="s">
        <v>20</v>
      </c>
      <c r="F4372" s="617"/>
      <c r="G4372" s="617"/>
      <c r="H4372" s="617"/>
      <c r="I4372" s="617"/>
      <c r="J4372" s="617"/>
      <c r="K4372" s="617"/>
      <c r="L4372" s="617"/>
    </row>
    <row r="4373" spans="1:12" ht="17.100000000000001" customHeight="1">
      <c r="A4373" s="802" t="s">
        <v>12711</v>
      </c>
      <c r="B4373" s="802"/>
      <c r="C4373" s="802"/>
      <c r="D4373" s="802"/>
      <c r="E4373" s="802"/>
      <c r="F4373" s="802"/>
      <c r="G4373" s="802"/>
      <c r="H4373" s="802"/>
      <c r="I4373" s="612"/>
      <c r="J4373" s="612"/>
      <c r="K4373" s="612"/>
      <c r="L4373" s="612"/>
    </row>
    <row r="4374" spans="1:12" ht="30" customHeight="1">
      <c r="A4374" s="612" t="s">
        <v>13679</v>
      </c>
      <c r="B4374" s="636" t="s">
        <v>12698</v>
      </c>
      <c r="C4374" s="612" t="s">
        <v>12699</v>
      </c>
      <c r="D4374" s="612" t="s">
        <v>12700</v>
      </c>
      <c r="E4374" s="637" t="s">
        <v>12702</v>
      </c>
      <c r="F4374" s="801" t="s">
        <v>12704</v>
      </c>
      <c r="G4374" s="801"/>
      <c r="H4374" s="801" t="s">
        <v>13678</v>
      </c>
      <c r="I4374" s="801"/>
      <c r="J4374" s="801" t="s">
        <v>12705</v>
      </c>
      <c r="K4374" s="801"/>
      <c r="L4374" s="801"/>
    </row>
    <row r="4375" spans="1:12" ht="36" customHeight="1">
      <c r="A4375" s="626" t="s">
        <v>12709</v>
      </c>
      <c r="B4375" s="627" t="s">
        <v>13052</v>
      </c>
      <c r="C4375" s="626" t="s">
        <v>8</v>
      </c>
      <c r="D4375" s="626" t="s">
        <v>9229</v>
      </c>
      <c r="E4375" s="628" t="s">
        <v>23</v>
      </c>
      <c r="F4375" s="816" t="s">
        <v>13692</v>
      </c>
      <c r="G4375" s="816"/>
      <c r="H4375" s="816">
        <v>0.34436410000000001</v>
      </c>
      <c r="I4375" s="816"/>
      <c r="J4375" s="817">
        <v>0.3306</v>
      </c>
      <c r="K4375" s="817"/>
      <c r="L4375" s="817"/>
    </row>
    <row r="4376" spans="1:12" ht="14.25" customHeight="1">
      <c r="A4376" s="626" t="s">
        <v>12709</v>
      </c>
      <c r="B4376" s="627" t="s">
        <v>13051</v>
      </c>
      <c r="C4376" s="626" t="s">
        <v>8</v>
      </c>
      <c r="D4376" s="626" t="s">
        <v>9376</v>
      </c>
      <c r="E4376" s="628" t="s">
        <v>23</v>
      </c>
      <c r="F4376" s="816" t="s">
        <v>13691</v>
      </c>
      <c r="G4376" s="816"/>
      <c r="H4376" s="816">
        <v>0.34436410000000001</v>
      </c>
      <c r="I4376" s="816"/>
      <c r="J4376" s="817">
        <v>0.17219999999999999</v>
      </c>
      <c r="K4376" s="817"/>
      <c r="L4376" s="817"/>
    </row>
    <row r="4377" spans="1:12" ht="17.100000000000001" customHeight="1">
      <c r="A4377" s="636"/>
      <c r="B4377" s="636"/>
      <c r="C4377" s="636"/>
      <c r="D4377" s="636"/>
      <c r="E4377" s="636"/>
      <c r="F4377" s="636"/>
      <c r="G4377" s="636"/>
      <c r="H4377" s="636"/>
      <c r="I4377" s="636"/>
      <c r="J4377" s="636" t="s">
        <v>13675</v>
      </c>
      <c r="K4377" s="636"/>
      <c r="L4377" s="636" t="s">
        <v>13691</v>
      </c>
    </row>
    <row r="4378" spans="1:12" ht="24" customHeight="1">
      <c r="A4378" s="802" t="s">
        <v>12710</v>
      </c>
      <c r="B4378" s="802"/>
      <c r="C4378" s="802"/>
      <c r="D4378" s="802"/>
      <c r="E4378" s="802"/>
      <c r="F4378" s="802"/>
      <c r="G4378" s="802"/>
      <c r="H4378" s="802"/>
      <c r="I4378" s="612"/>
      <c r="J4378" s="612"/>
      <c r="K4378" s="612"/>
      <c r="L4378" s="612"/>
    </row>
    <row r="4379" spans="1:12" ht="24" customHeight="1">
      <c r="A4379" s="612" t="s">
        <v>13679</v>
      </c>
      <c r="B4379" s="636" t="s">
        <v>12698</v>
      </c>
      <c r="C4379" s="612" t="s">
        <v>12699</v>
      </c>
      <c r="D4379" s="612" t="s">
        <v>12700</v>
      </c>
      <c r="E4379" s="637" t="s">
        <v>12702</v>
      </c>
      <c r="F4379" s="801" t="s">
        <v>12704</v>
      </c>
      <c r="G4379" s="801"/>
      <c r="H4379" s="801" t="s">
        <v>13678</v>
      </c>
      <c r="I4379" s="801"/>
      <c r="J4379" s="801" t="s">
        <v>12705</v>
      </c>
      <c r="K4379" s="801"/>
      <c r="L4379" s="801"/>
    </row>
    <row r="4380" spans="1:12" ht="24" customHeight="1">
      <c r="A4380" s="626" t="s">
        <v>12709</v>
      </c>
      <c r="B4380" s="627" t="s">
        <v>13230</v>
      </c>
      <c r="C4380" s="626" t="s">
        <v>8</v>
      </c>
      <c r="D4380" s="626" t="s">
        <v>7362</v>
      </c>
      <c r="E4380" s="628" t="s">
        <v>23</v>
      </c>
      <c r="F4380" s="816" t="s">
        <v>14514</v>
      </c>
      <c r="G4380" s="816"/>
      <c r="H4380" s="816">
        <v>7.4477100000000004E-2</v>
      </c>
      <c r="I4380" s="816"/>
      <c r="J4380" s="817">
        <v>0.35820000000000002</v>
      </c>
      <c r="K4380" s="817"/>
      <c r="L4380" s="817"/>
    </row>
    <row r="4381" spans="1:12" ht="24" customHeight="1">
      <c r="A4381" s="626" t="s">
        <v>12709</v>
      </c>
      <c r="B4381" s="627" t="s">
        <v>13224</v>
      </c>
      <c r="C4381" s="626" t="s">
        <v>8</v>
      </c>
      <c r="D4381" s="626" t="s">
        <v>7556</v>
      </c>
      <c r="E4381" s="628" t="s">
        <v>23</v>
      </c>
      <c r="F4381" s="816" t="s">
        <v>14470</v>
      </c>
      <c r="G4381" s="816"/>
      <c r="H4381" s="816">
        <v>0.27204699999999998</v>
      </c>
      <c r="I4381" s="816"/>
      <c r="J4381" s="817">
        <v>1.8797999999999999</v>
      </c>
      <c r="K4381" s="817"/>
      <c r="L4381" s="817"/>
    </row>
    <row r="4382" spans="1:12" ht="17.100000000000001" customHeight="1">
      <c r="A4382" s="636"/>
      <c r="B4382" s="636"/>
      <c r="C4382" s="636"/>
      <c r="D4382" s="636"/>
      <c r="E4382" s="636"/>
      <c r="F4382" s="636"/>
      <c r="G4382" s="636"/>
      <c r="H4382" s="636"/>
      <c r="I4382" s="636"/>
      <c r="J4382" s="636" t="s">
        <v>13675</v>
      </c>
      <c r="K4382" s="636"/>
      <c r="L4382" s="636" t="s">
        <v>14261</v>
      </c>
    </row>
    <row r="4383" spans="1:12" ht="14.25" customHeight="1">
      <c r="A4383" s="802" t="s">
        <v>12720</v>
      </c>
      <c r="B4383" s="802"/>
      <c r="C4383" s="802"/>
      <c r="D4383" s="802"/>
      <c r="E4383" s="802"/>
      <c r="F4383" s="802"/>
      <c r="G4383" s="802"/>
      <c r="H4383" s="802"/>
      <c r="I4383" s="612"/>
      <c r="J4383" s="612"/>
      <c r="K4383" s="612"/>
      <c r="L4383" s="612"/>
    </row>
    <row r="4384" spans="1:12" ht="17.100000000000001" customHeight="1">
      <c r="A4384" s="612" t="s">
        <v>13679</v>
      </c>
      <c r="B4384" s="636" t="s">
        <v>12698</v>
      </c>
      <c r="C4384" s="612" t="s">
        <v>12699</v>
      </c>
      <c r="D4384" s="612" t="s">
        <v>12700</v>
      </c>
      <c r="E4384" s="637" t="s">
        <v>12702</v>
      </c>
      <c r="F4384" s="801" t="s">
        <v>12704</v>
      </c>
      <c r="G4384" s="801"/>
      <c r="H4384" s="801" t="s">
        <v>13678</v>
      </c>
      <c r="I4384" s="801"/>
      <c r="J4384" s="801" t="s">
        <v>12705</v>
      </c>
      <c r="K4384" s="801"/>
      <c r="L4384" s="801"/>
    </row>
    <row r="4385" spans="1:12" ht="24" customHeight="1">
      <c r="A4385" s="626" t="s">
        <v>12709</v>
      </c>
      <c r="B4385" s="627" t="s">
        <v>13311</v>
      </c>
      <c r="C4385" s="626" t="s">
        <v>8</v>
      </c>
      <c r="D4385" s="626" t="s">
        <v>7522</v>
      </c>
      <c r="E4385" s="628" t="s">
        <v>20</v>
      </c>
      <c r="F4385" s="816" t="s">
        <v>14521</v>
      </c>
      <c r="G4385" s="816"/>
      <c r="H4385" s="816">
        <v>2.5000000000000001E-2</v>
      </c>
      <c r="I4385" s="816"/>
      <c r="J4385" s="817">
        <v>0.34</v>
      </c>
      <c r="K4385" s="817"/>
      <c r="L4385" s="817"/>
    </row>
    <row r="4386" spans="1:12" ht="24" customHeight="1">
      <c r="A4386" s="626" t="s">
        <v>12709</v>
      </c>
      <c r="B4386" s="627" t="s">
        <v>13310</v>
      </c>
      <c r="C4386" s="626" t="s">
        <v>8</v>
      </c>
      <c r="D4386" s="626" t="s">
        <v>9265</v>
      </c>
      <c r="E4386" s="628" t="s">
        <v>35</v>
      </c>
      <c r="F4386" s="816" t="s">
        <v>13875</v>
      </c>
      <c r="G4386" s="816"/>
      <c r="H4386" s="816">
        <v>1.9664999999999999</v>
      </c>
      <c r="I4386" s="816"/>
      <c r="J4386" s="817">
        <v>0.25</v>
      </c>
      <c r="K4386" s="817"/>
      <c r="L4386" s="817"/>
    </row>
    <row r="4387" spans="1:12" ht="24" customHeight="1">
      <c r="A4387" s="626" t="s">
        <v>12709</v>
      </c>
      <c r="B4387" s="627" t="s">
        <v>13235</v>
      </c>
      <c r="C4387" s="626" t="s">
        <v>8</v>
      </c>
      <c r="D4387" s="626" t="s">
        <v>7268</v>
      </c>
      <c r="E4387" s="628" t="s">
        <v>20</v>
      </c>
      <c r="F4387" s="816" t="s">
        <v>14520</v>
      </c>
      <c r="G4387" s="816"/>
      <c r="H4387" s="816">
        <v>1.0658653</v>
      </c>
      <c r="I4387" s="816"/>
      <c r="J4387" s="817">
        <v>5.1908000000000003</v>
      </c>
      <c r="K4387" s="817"/>
      <c r="L4387" s="817"/>
    </row>
    <row r="4388" spans="1:12" ht="17.100000000000001" customHeight="1">
      <c r="A4388" s="636"/>
      <c r="B4388" s="636"/>
      <c r="C4388" s="636"/>
      <c r="D4388" s="636"/>
      <c r="E4388" s="636"/>
      <c r="F4388" s="636"/>
      <c r="G4388" s="636"/>
      <c r="H4388" s="636"/>
      <c r="I4388" s="636"/>
      <c r="J4388" s="636" t="s">
        <v>13675</v>
      </c>
      <c r="K4388" s="636"/>
      <c r="L4388" s="636" t="s">
        <v>14723</v>
      </c>
    </row>
    <row r="4389" spans="1:12">
      <c r="A4389" s="802" t="s">
        <v>12722</v>
      </c>
      <c r="B4389" s="802"/>
      <c r="C4389" s="802"/>
      <c r="D4389" s="802"/>
      <c r="E4389" s="802"/>
      <c r="F4389" s="802"/>
      <c r="G4389" s="802"/>
      <c r="H4389" s="802"/>
      <c r="I4389" s="612"/>
      <c r="J4389" s="612"/>
      <c r="K4389" s="612"/>
      <c r="L4389" s="612"/>
    </row>
    <row r="4390" spans="1:12" ht="17.100000000000001" customHeight="1">
      <c r="A4390" s="612" t="s">
        <v>13679</v>
      </c>
      <c r="B4390" s="636" t="s">
        <v>12698</v>
      </c>
      <c r="C4390" s="612" t="s">
        <v>12699</v>
      </c>
      <c r="D4390" s="612" t="s">
        <v>12700</v>
      </c>
      <c r="E4390" s="637" t="s">
        <v>12702</v>
      </c>
      <c r="F4390" s="801" t="s">
        <v>12704</v>
      </c>
      <c r="G4390" s="801"/>
      <c r="H4390" s="801" t="s">
        <v>13678</v>
      </c>
      <c r="I4390" s="801"/>
      <c r="J4390" s="801" t="s">
        <v>12705</v>
      </c>
      <c r="K4390" s="801"/>
      <c r="L4390" s="801"/>
    </row>
    <row r="4391" spans="1:12" ht="24" customHeight="1">
      <c r="A4391" s="626" t="s">
        <v>12709</v>
      </c>
      <c r="B4391" s="627" t="s">
        <v>12998</v>
      </c>
      <c r="C4391" s="626" t="s">
        <v>8</v>
      </c>
      <c r="D4391" s="626" t="s">
        <v>11861</v>
      </c>
      <c r="E4391" s="628" t="s">
        <v>23</v>
      </c>
      <c r="F4391" s="816" t="s">
        <v>13683</v>
      </c>
      <c r="G4391" s="816"/>
      <c r="H4391" s="816">
        <v>0.34436410000000001</v>
      </c>
      <c r="I4391" s="816"/>
      <c r="J4391" s="817">
        <v>0.2445</v>
      </c>
      <c r="K4391" s="817"/>
      <c r="L4391" s="817"/>
    </row>
    <row r="4392" spans="1:12" ht="24" customHeight="1">
      <c r="A4392" s="636"/>
      <c r="B4392" s="636"/>
      <c r="C4392" s="636"/>
      <c r="D4392" s="636"/>
      <c r="E4392" s="636"/>
      <c r="F4392" s="636"/>
      <c r="G4392" s="636"/>
      <c r="H4392" s="636"/>
      <c r="I4392" s="636"/>
      <c r="J4392" s="636" t="s">
        <v>13675</v>
      </c>
      <c r="K4392" s="636"/>
      <c r="L4392" s="636" t="s">
        <v>13704</v>
      </c>
    </row>
    <row r="4393" spans="1:12" ht="24" customHeight="1">
      <c r="A4393" s="802" t="s">
        <v>12713</v>
      </c>
      <c r="B4393" s="802"/>
      <c r="C4393" s="802"/>
      <c r="D4393" s="802"/>
      <c r="E4393" s="802"/>
      <c r="F4393" s="802"/>
      <c r="G4393" s="802"/>
      <c r="H4393" s="802"/>
      <c r="I4393" s="612"/>
      <c r="J4393" s="612"/>
      <c r="K4393" s="612"/>
      <c r="L4393" s="612"/>
    </row>
    <row r="4394" spans="1:12" ht="24" customHeight="1">
      <c r="A4394" s="612" t="s">
        <v>13679</v>
      </c>
      <c r="B4394" s="636" t="s">
        <v>12698</v>
      </c>
      <c r="C4394" s="612" t="s">
        <v>12699</v>
      </c>
      <c r="D4394" s="612" t="s">
        <v>12700</v>
      </c>
      <c r="E4394" s="637" t="s">
        <v>12702</v>
      </c>
      <c r="F4394" s="801" t="s">
        <v>12704</v>
      </c>
      <c r="G4394" s="801"/>
      <c r="H4394" s="801" t="s">
        <v>13678</v>
      </c>
      <c r="I4394" s="801"/>
      <c r="J4394" s="801" t="s">
        <v>12705</v>
      </c>
      <c r="K4394" s="801"/>
      <c r="L4394" s="801"/>
    </row>
    <row r="4395" spans="1:12" ht="24" customHeight="1">
      <c r="A4395" s="626" t="s">
        <v>12709</v>
      </c>
      <c r="B4395" s="627" t="s">
        <v>12999</v>
      </c>
      <c r="C4395" s="626" t="s">
        <v>8</v>
      </c>
      <c r="D4395" s="626" t="s">
        <v>11251</v>
      </c>
      <c r="E4395" s="628" t="s">
        <v>23</v>
      </c>
      <c r="F4395" s="816" t="s">
        <v>13681</v>
      </c>
      <c r="G4395" s="816"/>
      <c r="H4395" s="816">
        <v>0.34436410000000001</v>
      </c>
      <c r="I4395" s="816"/>
      <c r="J4395" s="817">
        <v>2.41E-2</v>
      </c>
      <c r="K4395" s="817"/>
      <c r="L4395" s="817"/>
    </row>
    <row r="4396" spans="1:12" ht="24" customHeight="1">
      <c r="A4396" s="636"/>
      <c r="B4396" s="636"/>
      <c r="C4396" s="636"/>
      <c r="D4396" s="636"/>
      <c r="E4396" s="636"/>
      <c r="F4396" s="636"/>
      <c r="G4396" s="636"/>
      <c r="H4396" s="636"/>
      <c r="I4396" s="636"/>
      <c r="J4396" s="636" t="s">
        <v>13675</v>
      </c>
      <c r="K4396" s="636"/>
      <c r="L4396" s="636" t="s">
        <v>13680</v>
      </c>
    </row>
    <row r="4397" spans="1:12" ht="36" customHeight="1">
      <c r="A4397" s="802" t="s">
        <v>12712</v>
      </c>
      <c r="B4397" s="802"/>
      <c r="C4397" s="802"/>
      <c r="D4397" s="802"/>
      <c r="E4397" s="802"/>
      <c r="F4397" s="802"/>
      <c r="G4397" s="802"/>
      <c r="H4397" s="802"/>
      <c r="I4397" s="612"/>
      <c r="J4397" s="612"/>
      <c r="K4397" s="612"/>
      <c r="L4397" s="612"/>
    </row>
    <row r="4398" spans="1:12" ht="24" customHeight="1">
      <c r="A4398" s="612" t="s">
        <v>13679</v>
      </c>
      <c r="B4398" s="636" t="s">
        <v>12698</v>
      </c>
      <c r="C4398" s="612" t="s">
        <v>12699</v>
      </c>
      <c r="D4398" s="612" t="s">
        <v>12700</v>
      </c>
      <c r="E4398" s="637" t="s">
        <v>12702</v>
      </c>
      <c r="F4398" s="801" t="s">
        <v>12704</v>
      </c>
      <c r="G4398" s="801"/>
      <c r="H4398" s="801" t="s">
        <v>13678</v>
      </c>
      <c r="I4398" s="801"/>
      <c r="J4398" s="801" t="s">
        <v>12705</v>
      </c>
      <c r="K4398" s="801"/>
      <c r="L4398" s="801"/>
    </row>
    <row r="4399" spans="1:12" ht="17.100000000000001" customHeight="1">
      <c r="A4399" s="626" t="s">
        <v>12709</v>
      </c>
      <c r="B4399" s="627" t="s">
        <v>13002</v>
      </c>
      <c r="C4399" s="626" t="s">
        <v>8</v>
      </c>
      <c r="D4399" s="626" t="s">
        <v>9306</v>
      </c>
      <c r="E4399" s="628" t="s">
        <v>23</v>
      </c>
      <c r="F4399" s="816" t="s">
        <v>13677</v>
      </c>
      <c r="G4399" s="816"/>
      <c r="H4399" s="816">
        <v>0.34436410000000001</v>
      </c>
      <c r="I4399" s="816"/>
      <c r="J4399" s="817">
        <v>0.1205</v>
      </c>
      <c r="K4399" s="817"/>
      <c r="L4399" s="817"/>
    </row>
    <row r="4400" spans="1:12" ht="25.5">
      <c r="A4400" s="626" t="s">
        <v>12709</v>
      </c>
      <c r="B4400" s="627" t="s">
        <v>13004</v>
      </c>
      <c r="C4400" s="626" t="s">
        <v>8</v>
      </c>
      <c r="D4400" s="626" t="s">
        <v>7388</v>
      </c>
      <c r="E4400" s="628" t="s">
        <v>23</v>
      </c>
      <c r="F4400" s="816" t="s">
        <v>13676</v>
      </c>
      <c r="G4400" s="816"/>
      <c r="H4400" s="816">
        <v>0.34436410000000001</v>
      </c>
      <c r="I4400" s="816"/>
      <c r="J4400" s="817">
        <v>0.75760000000000005</v>
      </c>
      <c r="K4400" s="817"/>
      <c r="L4400" s="817"/>
    </row>
    <row r="4401" spans="1:12" ht="17.100000000000001" customHeight="1">
      <c r="A4401" s="636"/>
      <c r="B4401" s="636"/>
      <c r="C4401" s="636"/>
      <c r="D4401" s="636"/>
      <c r="E4401" s="636"/>
      <c r="F4401" s="636"/>
      <c r="G4401" s="636"/>
      <c r="H4401" s="636"/>
      <c r="I4401" s="636"/>
      <c r="J4401" s="636" t="s">
        <v>13675</v>
      </c>
      <c r="K4401" s="636"/>
      <c r="L4401" s="636" t="s">
        <v>13900</v>
      </c>
    </row>
    <row r="4402" spans="1:12" ht="24" customHeight="1">
      <c r="A4402" s="612" t="s">
        <v>13673</v>
      </c>
      <c r="B4402" s="612"/>
      <c r="C4402" s="612"/>
      <c r="D4402" s="612"/>
      <c r="E4402" s="612"/>
      <c r="F4402" s="612"/>
      <c r="G4402" s="612"/>
      <c r="H4402" s="612"/>
      <c r="I4402" s="612"/>
      <c r="J4402" s="612"/>
      <c r="K4402" s="612"/>
      <c r="L4402" s="612"/>
    </row>
    <row r="4403" spans="1:12" ht="17.100000000000001" customHeight="1">
      <c r="A4403" s="636"/>
      <c r="B4403" s="636"/>
      <c r="C4403" s="636"/>
      <c r="D4403" s="636"/>
      <c r="E4403" s="636"/>
      <c r="F4403" s="636"/>
      <c r="G4403" s="636"/>
      <c r="H4403" s="636"/>
      <c r="I4403" s="636"/>
      <c r="J4403" s="636" t="s">
        <v>13672</v>
      </c>
      <c r="K4403" s="636"/>
      <c r="L4403" s="636" t="s">
        <v>15044</v>
      </c>
    </row>
    <row r="4404" spans="1:12">
      <c r="A4404" s="636"/>
      <c r="B4404" s="636"/>
      <c r="C4404" s="636"/>
      <c r="D4404" s="636"/>
      <c r="E4404" s="636"/>
      <c r="F4404" s="636"/>
      <c r="G4404" s="636"/>
      <c r="H4404" s="636"/>
      <c r="I4404" s="636"/>
      <c r="J4404" s="636" t="s">
        <v>13671</v>
      </c>
      <c r="K4404" s="636" t="s">
        <v>14461</v>
      </c>
      <c r="L4404" s="636" t="s">
        <v>15045</v>
      </c>
    </row>
    <row r="4405" spans="1:12" ht="17.100000000000001" customHeight="1">
      <c r="A4405" s="636"/>
      <c r="B4405" s="636"/>
      <c r="C4405" s="636"/>
      <c r="D4405" s="636"/>
      <c r="E4405" s="636"/>
      <c r="F4405" s="636"/>
      <c r="G4405" s="636"/>
      <c r="H4405" s="636"/>
      <c r="I4405" s="636"/>
      <c r="J4405" s="636" t="s">
        <v>13670</v>
      </c>
      <c r="K4405" s="636"/>
      <c r="L4405" s="636" t="s">
        <v>15046</v>
      </c>
    </row>
    <row r="4406" spans="1:12" ht="24" customHeight="1">
      <c r="A4406" s="636"/>
      <c r="B4406" s="636"/>
      <c r="C4406" s="636"/>
      <c r="D4406" s="636"/>
      <c r="E4406" s="636"/>
      <c r="F4406" s="636"/>
      <c r="G4406" s="636"/>
      <c r="H4406" s="636"/>
      <c r="I4406" s="636"/>
      <c r="J4406" s="636" t="s">
        <v>13669</v>
      </c>
      <c r="K4406" s="636" t="s">
        <v>13667</v>
      </c>
      <c r="L4406" s="636" t="s">
        <v>15047</v>
      </c>
    </row>
    <row r="4407" spans="1:12" ht="17.100000000000001" customHeight="1">
      <c r="A4407" s="636"/>
      <c r="B4407" s="636"/>
      <c r="C4407" s="636"/>
      <c r="D4407" s="636"/>
      <c r="E4407" s="636"/>
      <c r="F4407" s="636"/>
      <c r="G4407" s="636"/>
      <c r="H4407" s="636"/>
      <c r="I4407" s="636"/>
      <c r="J4407" s="636" t="s">
        <v>13668</v>
      </c>
      <c r="K4407" s="636"/>
      <c r="L4407" s="636" t="s">
        <v>15048</v>
      </c>
    </row>
    <row r="4408" spans="1:12">
      <c r="A4408" s="637"/>
      <c r="B4408" s="637"/>
      <c r="C4408" s="637"/>
      <c r="D4408" s="637"/>
      <c r="E4408" s="637"/>
      <c r="F4408" s="637"/>
      <c r="G4408" s="637"/>
      <c r="H4408" s="637"/>
      <c r="I4408" s="637"/>
      <c r="J4408" s="637"/>
      <c r="K4408" s="637"/>
      <c r="L4408" s="637"/>
    </row>
    <row r="4409" spans="1:12" ht="17.100000000000001" customHeight="1">
      <c r="A4409" s="616" t="s">
        <v>14120</v>
      </c>
      <c r="B4409" s="617" t="s">
        <v>13632</v>
      </c>
      <c r="C4409" s="616" t="s">
        <v>8</v>
      </c>
      <c r="D4409" s="616" t="s">
        <v>4012</v>
      </c>
      <c r="E4409" s="618" t="s">
        <v>20</v>
      </c>
      <c r="F4409" s="617"/>
      <c r="G4409" s="617"/>
      <c r="H4409" s="617"/>
      <c r="I4409" s="617"/>
      <c r="J4409" s="617"/>
      <c r="K4409" s="617"/>
      <c r="L4409" s="617"/>
    </row>
    <row r="4410" spans="1:12" ht="24" customHeight="1">
      <c r="A4410" s="802" t="s">
        <v>12711</v>
      </c>
      <c r="B4410" s="802"/>
      <c r="C4410" s="802"/>
      <c r="D4410" s="802"/>
      <c r="E4410" s="802"/>
      <c r="F4410" s="802"/>
      <c r="G4410" s="802"/>
      <c r="H4410" s="802"/>
      <c r="I4410" s="612"/>
      <c r="J4410" s="612"/>
      <c r="K4410" s="612"/>
      <c r="L4410" s="612"/>
    </row>
    <row r="4411" spans="1:12" ht="24" customHeight="1">
      <c r="A4411" s="612" t="s">
        <v>13679</v>
      </c>
      <c r="B4411" s="636" t="s">
        <v>12698</v>
      </c>
      <c r="C4411" s="612" t="s">
        <v>12699</v>
      </c>
      <c r="D4411" s="612" t="s">
        <v>12700</v>
      </c>
      <c r="E4411" s="637" t="s">
        <v>12702</v>
      </c>
      <c r="F4411" s="801" t="s">
        <v>12704</v>
      </c>
      <c r="G4411" s="801"/>
      <c r="H4411" s="801" t="s">
        <v>13678</v>
      </c>
      <c r="I4411" s="801"/>
      <c r="J4411" s="801" t="s">
        <v>12705</v>
      </c>
      <c r="K4411" s="801"/>
      <c r="L4411" s="801"/>
    </row>
    <row r="4412" spans="1:12" ht="17.100000000000001" customHeight="1">
      <c r="A4412" s="626" t="s">
        <v>12709</v>
      </c>
      <c r="B4412" s="627" t="s">
        <v>13052</v>
      </c>
      <c r="C4412" s="626" t="s">
        <v>8</v>
      </c>
      <c r="D4412" s="626" t="s">
        <v>9229</v>
      </c>
      <c r="E4412" s="628" t="s">
        <v>23</v>
      </c>
      <c r="F4412" s="816" t="s">
        <v>13692</v>
      </c>
      <c r="G4412" s="816"/>
      <c r="H4412" s="816">
        <v>0.13184879999999999</v>
      </c>
      <c r="I4412" s="816"/>
      <c r="J4412" s="817">
        <v>0.12659999999999999</v>
      </c>
      <c r="K4412" s="817"/>
      <c r="L4412" s="817"/>
    </row>
    <row r="4413" spans="1:12" ht="17.100000000000001" customHeight="1">
      <c r="A4413" s="626" t="s">
        <v>12709</v>
      </c>
      <c r="B4413" s="627" t="s">
        <v>13051</v>
      </c>
      <c r="C4413" s="626" t="s">
        <v>8</v>
      </c>
      <c r="D4413" s="626" t="s">
        <v>9376</v>
      </c>
      <c r="E4413" s="628" t="s">
        <v>23</v>
      </c>
      <c r="F4413" s="816" t="s">
        <v>13691</v>
      </c>
      <c r="G4413" s="816"/>
      <c r="H4413" s="816">
        <v>0.13184879999999999</v>
      </c>
      <c r="I4413" s="816"/>
      <c r="J4413" s="817">
        <v>6.59E-2</v>
      </c>
      <c r="K4413" s="817"/>
      <c r="L4413" s="817"/>
    </row>
    <row r="4414" spans="1:12" ht="17.100000000000001" customHeight="1">
      <c r="A4414" s="636"/>
      <c r="B4414" s="636"/>
      <c r="C4414" s="636"/>
      <c r="D4414" s="636"/>
      <c r="E4414" s="636"/>
      <c r="F4414" s="636"/>
      <c r="G4414" s="636"/>
      <c r="H4414" s="636"/>
      <c r="I4414" s="636"/>
      <c r="J4414" s="636" t="s">
        <v>13675</v>
      </c>
      <c r="K4414" s="636"/>
      <c r="L4414" s="636" t="s">
        <v>13865</v>
      </c>
    </row>
    <row r="4415" spans="1:12" ht="17.100000000000001" customHeight="1">
      <c r="A4415" s="802" t="s">
        <v>12710</v>
      </c>
      <c r="B4415" s="802"/>
      <c r="C4415" s="802"/>
      <c r="D4415" s="802"/>
      <c r="E4415" s="802"/>
      <c r="F4415" s="802"/>
      <c r="G4415" s="802"/>
      <c r="H4415" s="802"/>
      <c r="I4415" s="612"/>
      <c r="J4415" s="612"/>
      <c r="K4415" s="612"/>
      <c r="L4415" s="612"/>
    </row>
    <row r="4416" spans="1:12" ht="17.100000000000001" customHeight="1">
      <c r="A4416" s="612" t="s">
        <v>13679</v>
      </c>
      <c r="B4416" s="636" t="s">
        <v>12698</v>
      </c>
      <c r="C4416" s="612" t="s">
        <v>12699</v>
      </c>
      <c r="D4416" s="612" t="s">
        <v>12700</v>
      </c>
      <c r="E4416" s="637" t="s">
        <v>12702</v>
      </c>
      <c r="F4416" s="801" t="s">
        <v>12704</v>
      </c>
      <c r="G4416" s="801"/>
      <c r="H4416" s="801" t="s">
        <v>13678</v>
      </c>
      <c r="I4416" s="801"/>
      <c r="J4416" s="801" t="s">
        <v>12705</v>
      </c>
      <c r="K4416" s="801"/>
      <c r="L4416" s="801"/>
    </row>
    <row r="4417" spans="1:12" ht="17.100000000000001" customHeight="1">
      <c r="A4417" s="626" t="s">
        <v>12709</v>
      </c>
      <c r="B4417" s="627" t="s">
        <v>13230</v>
      </c>
      <c r="C4417" s="626" t="s">
        <v>8</v>
      </c>
      <c r="D4417" s="626" t="s">
        <v>7362</v>
      </c>
      <c r="E4417" s="628" t="s">
        <v>23</v>
      </c>
      <c r="F4417" s="816" t="s">
        <v>14514</v>
      </c>
      <c r="G4417" s="816"/>
      <c r="H4417" s="816">
        <v>3.0772000000000001E-2</v>
      </c>
      <c r="I4417" s="816"/>
      <c r="J4417" s="817">
        <v>0.14799999999999999</v>
      </c>
      <c r="K4417" s="817"/>
      <c r="L4417" s="817"/>
    </row>
    <row r="4418" spans="1:12" ht="17.100000000000001" customHeight="1">
      <c r="A4418" s="626" t="s">
        <v>12709</v>
      </c>
      <c r="B4418" s="627" t="s">
        <v>13224</v>
      </c>
      <c r="C4418" s="626" t="s">
        <v>8</v>
      </c>
      <c r="D4418" s="626" t="s">
        <v>7556</v>
      </c>
      <c r="E4418" s="628" t="s">
        <v>23</v>
      </c>
      <c r="F4418" s="816" t="s">
        <v>14470</v>
      </c>
      <c r="G4418" s="816"/>
      <c r="H4418" s="816">
        <v>0.1014077</v>
      </c>
      <c r="I4418" s="816"/>
      <c r="J4418" s="817">
        <v>0.70069999999999999</v>
      </c>
      <c r="K4418" s="817"/>
      <c r="L4418" s="817"/>
    </row>
    <row r="4419" spans="1:12" ht="30" customHeight="1">
      <c r="A4419" s="636"/>
      <c r="B4419" s="636"/>
      <c r="C4419" s="636"/>
      <c r="D4419" s="636"/>
      <c r="E4419" s="636"/>
      <c r="F4419" s="636"/>
      <c r="G4419" s="636"/>
      <c r="H4419" s="636"/>
      <c r="I4419" s="636"/>
      <c r="J4419" s="636" t="s">
        <v>13675</v>
      </c>
      <c r="K4419" s="636"/>
      <c r="L4419" s="636" t="s">
        <v>13906</v>
      </c>
    </row>
    <row r="4420" spans="1:12" ht="24" customHeight="1">
      <c r="A4420" s="802" t="s">
        <v>12720</v>
      </c>
      <c r="B4420" s="802"/>
      <c r="C4420" s="802"/>
      <c r="D4420" s="802"/>
      <c r="E4420" s="802"/>
      <c r="F4420" s="802"/>
      <c r="G4420" s="802"/>
      <c r="H4420" s="802"/>
      <c r="I4420" s="612"/>
      <c r="J4420" s="612"/>
      <c r="K4420" s="612"/>
      <c r="L4420" s="612"/>
    </row>
    <row r="4421" spans="1:12" ht="14.25" customHeight="1">
      <c r="A4421" s="612" t="s">
        <v>13679</v>
      </c>
      <c r="B4421" s="636" t="s">
        <v>12698</v>
      </c>
      <c r="C4421" s="612" t="s">
        <v>12699</v>
      </c>
      <c r="D4421" s="612" t="s">
        <v>12700</v>
      </c>
      <c r="E4421" s="637" t="s">
        <v>12702</v>
      </c>
      <c r="F4421" s="801" t="s">
        <v>12704</v>
      </c>
      <c r="G4421" s="801"/>
      <c r="H4421" s="801" t="s">
        <v>13678</v>
      </c>
      <c r="I4421" s="801"/>
      <c r="J4421" s="801" t="s">
        <v>12705</v>
      </c>
      <c r="K4421" s="801"/>
      <c r="L4421" s="801"/>
    </row>
    <row r="4422" spans="1:12" ht="17.100000000000001" customHeight="1">
      <c r="A4422" s="626" t="s">
        <v>12709</v>
      </c>
      <c r="B4422" s="627" t="s">
        <v>13311</v>
      </c>
      <c r="C4422" s="626" t="s">
        <v>8</v>
      </c>
      <c r="D4422" s="626" t="s">
        <v>7522</v>
      </c>
      <c r="E4422" s="628" t="s">
        <v>20</v>
      </c>
      <c r="F4422" s="816" t="s">
        <v>14521</v>
      </c>
      <c r="G4422" s="816"/>
      <c r="H4422" s="816">
        <v>2.5000000000000001E-2</v>
      </c>
      <c r="I4422" s="816"/>
      <c r="J4422" s="817">
        <v>0.34</v>
      </c>
      <c r="K4422" s="817"/>
      <c r="L4422" s="817"/>
    </row>
    <row r="4423" spans="1:12" ht="24" customHeight="1">
      <c r="A4423" s="626" t="s">
        <v>12709</v>
      </c>
      <c r="B4423" s="627" t="s">
        <v>13310</v>
      </c>
      <c r="C4423" s="626" t="s">
        <v>8</v>
      </c>
      <c r="D4423" s="626" t="s">
        <v>9265</v>
      </c>
      <c r="E4423" s="628" t="s">
        <v>35</v>
      </c>
      <c r="F4423" s="816" t="s">
        <v>13875</v>
      </c>
      <c r="G4423" s="816"/>
      <c r="H4423" s="816">
        <v>0.46550000000000002</v>
      </c>
      <c r="I4423" s="816"/>
      <c r="J4423" s="817">
        <v>0.06</v>
      </c>
      <c r="K4423" s="817"/>
      <c r="L4423" s="817"/>
    </row>
    <row r="4424" spans="1:12" ht="24" customHeight="1">
      <c r="A4424" s="626" t="s">
        <v>12709</v>
      </c>
      <c r="B4424" s="627" t="s">
        <v>13246</v>
      </c>
      <c r="C4424" s="626" t="s">
        <v>8</v>
      </c>
      <c r="D4424" s="626" t="s">
        <v>7260</v>
      </c>
      <c r="E4424" s="628" t="s">
        <v>20</v>
      </c>
      <c r="F4424" s="816" t="s">
        <v>14713</v>
      </c>
      <c r="G4424" s="816"/>
      <c r="H4424" s="816">
        <v>1.1062145999999999</v>
      </c>
      <c r="I4424" s="816"/>
      <c r="J4424" s="817">
        <v>5.6970000000000001</v>
      </c>
      <c r="K4424" s="817"/>
      <c r="L4424" s="817"/>
    </row>
    <row r="4425" spans="1:12" ht="24" customHeight="1">
      <c r="A4425" s="636"/>
      <c r="B4425" s="636"/>
      <c r="C4425" s="636"/>
      <c r="D4425" s="636"/>
      <c r="E4425" s="636"/>
      <c r="F4425" s="636"/>
      <c r="G4425" s="636"/>
      <c r="H4425" s="636"/>
      <c r="I4425" s="636"/>
      <c r="J4425" s="636" t="s">
        <v>13675</v>
      </c>
      <c r="K4425" s="636"/>
      <c r="L4425" s="636" t="s">
        <v>14722</v>
      </c>
    </row>
    <row r="4426" spans="1:12" ht="48" customHeight="1">
      <c r="A4426" s="802" t="s">
        <v>12722</v>
      </c>
      <c r="B4426" s="802"/>
      <c r="C4426" s="802"/>
      <c r="D4426" s="802"/>
      <c r="E4426" s="802"/>
      <c r="F4426" s="802"/>
      <c r="G4426" s="802"/>
      <c r="H4426" s="802"/>
      <c r="I4426" s="612"/>
      <c r="J4426" s="612"/>
      <c r="K4426" s="612"/>
      <c r="L4426" s="612"/>
    </row>
    <row r="4427" spans="1:12" ht="24" customHeight="1">
      <c r="A4427" s="612" t="s">
        <v>13679</v>
      </c>
      <c r="B4427" s="636" t="s">
        <v>12698</v>
      </c>
      <c r="C4427" s="612" t="s">
        <v>12699</v>
      </c>
      <c r="D4427" s="612" t="s">
        <v>12700</v>
      </c>
      <c r="E4427" s="637" t="s">
        <v>12702</v>
      </c>
      <c r="F4427" s="801" t="s">
        <v>12704</v>
      </c>
      <c r="G4427" s="801"/>
      <c r="H4427" s="801" t="s">
        <v>13678</v>
      </c>
      <c r="I4427" s="801"/>
      <c r="J4427" s="801" t="s">
        <v>12705</v>
      </c>
      <c r="K4427" s="801"/>
      <c r="L4427" s="801"/>
    </row>
    <row r="4428" spans="1:12" ht="24" customHeight="1">
      <c r="A4428" s="626" t="s">
        <v>12709</v>
      </c>
      <c r="B4428" s="627" t="s">
        <v>12998</v>
      </c>
      <c r="C4428" s="626" t="s">
        <v>8</v>
      </c>
      <c r="D4428" s="626" t="s">
        <v>11861</v>
      </c>
      <c r="E4428" s="628" t="s">
        <v>23</v>
      </c>
      <c r="F4428" s="816" t="s">
        <v>13683</v>
      </c>
      <c r="G4428" s="816"/>
      <c r="H4428" s="816">
        <v>0.13184879999999999</v>
      </c>
      <c r="I4428" s="816"/>
      <c r="J4428" s="817">
        <v>9.3600000000000003E-2</v>
      </c>
      <c r="K4428" s="817"/>
      <c r="L4428" s="817"/>
    </row>
    <row r="4429" spans="1:12" ht="17.100000000000001" customHeight="1">
      <c r="A4429" s="636"/>
      <c r="B4429" s="636"/>
      <c r="C4429" s="636"/>
      <c r="D4429" s="636"/>
      <c r="E4429" s="636"/>
      <c r="F4429" s="636"/>
      <c r="G4429" s="636"/>
      <c r="H4429" s="636"/>
      <c r="I4429" s="636"/>
      <c r="J4429" s="636" t="s">
        <v>13675</v>
      </c>
      <c r="K4429" s="636"/>
      <c r="L4429" s="636" t="s">
        <v>13815</v>
      </c>
    </row>
    <row r="4430" spans="1:12" ht="14.25" customHeight="1">
      <c r="A4430" s="802" t="s">
        <v>12713</v>
      </c>
      <c r="B4430" s="802"/>
      <c r="C4430" s="802"/>
      <c r="D4430" s="802"/>
      <c r="E4430" s="802"/>
      <c r="F4430" s="802"/>
      <c r="G4430" s="802"/>
      <c r="H4430" s="802"/>
      <c r="I4430" s="612"/>
      <c r="J4430" s="612"/>
      <c r="K4430" s="612"/>
      <c r="L4430" s="612"/>
    </row>
    <row r="4431" spans="1:12" ht="17.100000000000001" customHeight="1">
      <c r="A4431" s="612" t="s">
        <v>13679</v>
      </c>
      <c r="B4431" s="636" t="s">
        <v>12698</v>
      </c>
      <c r="C4431" s="612" t="s">
        <v>12699</v>
      </c>
      <c r="D4431" s="612" t="s">
        <v>12700</v>
      </c>
      <c r="E4431" s="637" t="s">
        <v>12702</v>
      </c>
      <c r="F4431" s="801" t="s">
        <v>12704</v>
      </c>
      <c r="G4431" s="801"/>
      <c r="H4431" s="801" t="s">
        <v>13678</v>
      </c>
      <c r="I4431" s="801"/>
      <c r="J4431" s="801" t="s">
        <v>12705</v>
      </c>
      <c r="K4431" s="801"/>
      <c r="L4431" s="801"/>
    </row>
    <row r="4432" spans="1:12" ht="24" customHeight="1">
      <c r="A4432" s="626" t="s">
        <v>12709</v>
      </c>
      <c r="B4432" s="627" t="s">
        <v>12999</v>
      </c>
      <c r="C4432" s="626" t="s">
        <v>8</v>
      </c>
      <c r="D4432" s="626" t="s">
        <v>11251</v>
      </c>
      <c r="E4432" s="628" t="s">
        <v>23</v>
      </c>
      <c r="F4432" s="816" t="s">
        <v>13681</v>
      </c>
      <c r="G4432" s="816"/>
      <c r="H4432" s="816">
        <v>0.13184879999999999</v>
      </c>
      <c r="I4432" s="816"/>
      <c r="J4432" s="817">
        <v>9.1999999999999998E-3</v>
      </c>
      <c r="K4432" s="817"/>
      <c r="L4432" s="817"/>
    </row>
    <row r="4433" spans="1:12" ht="24" customHeight="1">
      <c r="A4433" s="636"/>
      <c r="B4433" s="636"/>
      <c r="C4433" s="636"/>
      <c r="D4433" s="636"/>
      <c r="E4433" s="636"/>
      <c r="F4433" s="636"/>
      <c r="G4433" s="636"/>
      <c r="H4433" s="636"/>
      <c r="I4433" s="636"/>
      <c r="J4433" s="636" t="s">
        <v>13675</v>
      </c>
      <c r="K4433" s="636"/>
      <c r="L4433" s="636" t="s">
        <v>13728</v>
      </c>
    </row>
    <row r="4434" spans="1:12" ht="24" customHeight="1">
      <c r="A4434" s="802" t="s">
        <v>12712</v>
      </c>
      <c r="B4434" s="802"/>
      <c r="C4434" s="802"/>
      <c r="D4434" s="802"/>
      <c r="E4434" s="802"/>
      <c r="F4434" s="802"/>
      <c r="G4434" s="802"/>
      <c r="H4434" s="802"/>
      <c r="I4434" s="612"/>
      <c r="J4434" s="612"/>
      <c r="K4434" s="612"/>
      <c r="L4434" s="612"/>
    </row>
    <row r="4435" spans="1:12" ht="17.100000000000001" customHeight="1">
      <c r="A4435" s="612" t="s">
        <v>13679</v>
      </c>
      <c r="B4435" s="636" t="s">
        <v>12698</v>
      </c>
      <c r="C4435" s="612" t="s">
        <v>12699</v>
      </c>
      <c r="D4435" s="612" t="s">
        <v>12700</v>
      </c>
      <c r="E4435" s="637" t="s">
        <v>12702</v>
      </c>
      <c r="F4435" s="801" t="s">
        <v>12704</v>
      </c>
      <c r="G4435" s="801"/>
      <c r="H4435" s="801" t="s">
        <v>13678</v>
      </c>
      <c r="I4435" s="801"/>
      <c r="J4435" s="801" t="s">
        <v>12705</v>
      </c>
      <c r="K4435" s="801"/>
      <c r="L4435" s="801"/>
    </row>
    <row r="4436" spans="1:12" ht="25.5">
      <c r="A4436" s="626" t="s">
        <v>12709</v>
      </c>
      <c r="B4436" s="627" t="s">
        <v>13002</v>
      </c>
      <c r="C4436" s="626" t="s">
        <v>8</v>
      </c>
      <c r="D4436" s="626" t="s">
        <v>9306</v>
      </c>
      <c r="E4436" s="628" t="s">
        <v>23</v>
      </c>
      <c r="F4436" s="816" t="s">
        <v>13677</v>
      </c>
      <c r="G4436" s="816"/>
      <c r="H4436" s="816">
        <v>0.13184879999999999</v>
      </c>
      <c r="I4436" s="816"/>
      <c r="J4436" s="817">
        <v>4.6100000000000002E-2</v>
      </c>
      <c r="K4436" s="817"/>
      <c r="L4436" s="817"/>
    </row>
    <row r="4437" spans="1:12" ht="17.100000000000001" customHeight="1">
      <c r="A4437" s="626" t="s">
        <v>12709</v>
      </c>
      <c r="B4437" s="627" t="s">
        <v>13004</v>
      </c>
      <c r="C4437" s="626" t="s">
        <v>8</v>
      </c>
      <c r="D4437" s="626" t="s">
        <v>7388</v>
      </c>
      <c r="E4437" s="628" t="s">
        <v>23</v>
      </c>
      <c r="F4437" s="816" t="s">
        <v>13676</v>
      </c>
      <c r="G4437" s="816"/>
      <c r="H4437" s="816">
        <v>0.13184879999999999</v>
      </c>
      <c r="I4437" s="816"/>
      <c r="J4437" s="817">
        <v>0.29010000000000002</v>
      </c>
      <c r="K4437" s="817"/>
      <c r="L4437" s="817"/>
    </row>
    <row r="4438" spans="1:12" ht="24" customHeight="1">
      <c r="A4438" s="636"/>
      <c r="B4438" s="636"/>
      <c r="C4438" s="636"/>
      <c r="D4438" s="636"/>
      <c r="E4438" s="636"/>
      <c r="F4438" s="636"/>
      <c r="G4438" s="636"/>
      <c r="H4438" s="636"/>
      <c r="I4438" s="636"/>
      <c r="J4438" s="636" t="s">
        <v>13675</v>
      </c>
      <c r="K4438" s="636"/>
      <c r="L4438" s="636" t="s">
        <v>13740</v>
      </c>
    </row>
    <row r="4439" spans="1:12" ht="48" customHeight="1">
      <c r="A4439" s="612" t="s">
        <v>13673</v>
      </c>
      <c r="B4439" s="612"/>
      <c r="C4439" s="612"/>
      <c r="D4439" s="612"/>
      <c r="E4439" s="612"/>
      <c r="F4439" s="612"/>
      <c r="G4439" s="612"/>
      <c r="H4439" s="612"/>
      <c r="I4439" s="612"/>
      <c r="J4439" s="612"/>
      <c r="K4439" s="612"/>
      <c r="L4439" s="612"/>
    </row>
    <row r="4440" spans="1:12" ht="24" customHeight="1">
      <c r="A4440" s="636"/>
      <c r="B4440" s="636"/>
      <c r="C4440" s="636"/>
      <c r="D4440" s="636"/>
      <c r="E4440" s="636"/>
      <c r="F4440" s="636"/>
      <c r="G4440" s="636"/>
      <c r="H4440" s="636"/>
      <c r="I4440" s="636"/>
      <c r="J4440" s="636" t="s">
        <v>13672</v>
      </c>
      <c r="K4440" s="636"/>
      <c r="L4440" s="636" t="s">
        <v>14997</v>
      </c>
    </row>
    <row r="4441" spans="1:12" ht="17.100000000000001" customHeight="1">
      <c r="A4441" s="636"/>
      <c r="B4441" s="636"/>
      <c r="C4441" s="636"/>
      <c r="D4441" s="636"/>
      <c r="E4441" s="636"/>
      <c r="F4441" s="636"/>
      <c r="G4441" s="636"/>
      <c r="H4441" s="636"/>
      <c r="I4441" s="636"/>
      <c r="J4441" s="636" t="s">
        <v>13671</v>
      </c>
      <c r="K4441" s="636" t="s">
        <v>14461</v>
      </c>
      <c r="L4441" s="636" t="s">
        <v>14998</v>
      </c>
    </row>
    <row r="4442" spans="1:12">
      <c r="A4442" s="636"/>
      <c r="B4442" s="636"/>
      <c r="C4442" s="636"/>
      <c r="D4442" s="636"/>
      <c r="E4442" s="636"/>
      <c r="F4442" s="636"/>
      <c r="G4442" s="636"/>
      <c r="H4442" s="636"/>
      <c r="I4442" s="636"/>
      <c r="J4442" s="636" t="s">
        <v>13670</v>
      </c>
      <c r="K4442" s="636"/>
      <c r="L4442" s="636" t="s">
        <v>14999</v>
      </c>
    </row>
    <row r="4443" spans="1:12" ht="17.100000000000001" customHeight="1">
      <c r="A4443" s="636"/>
      <c r="B4443" s="636"/>
      <c r="C4443" s="636"/>
      <c r="D4443" s="636"/>
      <c r="E4443" s="636"/>
      <c r="F4443" s="636"/>
      <c r="G4443" s="636"/>
      <c r="H4443" s="636"/>
      <c r="I4443" s="636"/>
      <c r="J4443" s="636" t="s">
        <v>13669</v>
      </c>
      <c r="K4443" s="636" t="s">
        <v>13667</v>
      </c>
      <c r="L4443" s="636" t="s">
        <v>15000</v>
      </c>
    </row>
    <row r="4444" spans="1:12" ht="24" customHeight="1">
      <c r="A4444" s="636"/>
      <c r="B4444" s="636"/>
      <c r="C4444" s="636"/>
      <c r="D4444" s="636"/>
      <c r="E4444" s="636"/>
      <c r="F4444" s="636"/>
      <c r="G4444" s="636"/>
      <c r="H4444" s="636"/>
      <c r="I4444" s="636"/>
      <c r="J4444" s="636" t="s">
        <v>13668</v>
      </c>
      <c r="K4444" s="636"/>
      <c r="L4444" s="636" t="s">
        <v>15001</v>
      </c>
    </row>
    <row r="4445" spans="1:12" ht="17.100000000000001" customHeight="1">
      <c r="A4445" s="637"/>
      <c r="B4445" s="637"/>
      <c r="C4445" s="637"/>
      <c r="D4445" s="637"/>
      <c r="E4445" s="637"/>
      <c r="F4445" s="637"/>
      <c r="G4445" s="637"/>
      <c r="H4445" s="637"/>
      <c r="I4445" s="637"/>
      <c r="J4445" s="637"/>
      <c r="K4445" s="637"/>
      <c r="L4445" s="637"/>
    </row>
    <row r="4446" spans="1:12" ht="38.25">
      <c r="A4446" s="616" t="s">
        <v>14118</v>
      </c>
      <c r="B4446" s="617" t="s">
        <v>13618</v>
      </c>
      <c r="C4446" s="616" t="s">
        <v>8</v>
      </c>
      <c r="D4446" s="616" t="s">
        <v>4002</v>
      </c>
      <c r="E4446" s="618" t="s">
        <v>12725</v>
      </c>
      <c r="F4446" s="617"/>
      <c r="G4446" s="617"/>
      <c r="H4446" s="617"/>
      <c r="I4446" s="617"/>
      <c r="J4446" s="617"/>
      <c r="K4446" s="617"/>
      <c r="L4446" s="617"/>
    </row>
    <row r="4447" spans="1:12" ht="17.100000000000001" customHeight="1">
      <c r="A4447" s="802" t="s">
        <v>12711</v>
      </c>
      <c r="B4447" s="802"/>
      <c r="C4447" s="802"/>
      <c r="D4447" s="802"/>
      <c r="E4447" s="802"/>
      <c r="F4447" s="802"/>
      <c r="G4447" s="802"/>
      <c r="H4447" s="802"/>
      <c r="I4447" s="612"/>
      <c r="J4447" s="612"/>
      <c r="K4447" s="612"/>
      <c r="L4447" s="612"/>
    </row>
    <row r="4448" spans="1:12" ht="24" customHeight="1">
      <c r="A4448" s="612" t="s">
        <v>13679</v>
      </c>
      <c r="B4448" s="636" t="s">
        <v>12698</v>
      </c>
      <c r="C4448" s="612" t="s">
        <v>12699</v>
      </c>
      <c r="D4448" s="612" t="s">
        <v>12700</v>
      </c>
      <c r="E4448" s="637" t="s">
        <v>12702</v>
      </c>
      <c r="F4448" s="801" t="s">
        <v>12704</v>
      </c>
      <c r="G4448" s="801"/>
      <c r="H4448" s="801" t="s">
        <v>13678</v>
      </c>
      <c r="I4448" s="801"/>
      <c r="J4448" s="801" t="s">
        <v>12705</v>
      </c>
      <c r="K4448" s="801"/>
      <c r="L4448" s="801"/>
    </row>
    <row r="4449" spans="1:12" ht="17.100000000000001" customHeight="1">
      <c r="A4449" s="626" t="s">
        <v>12709</v>
      </c>
      <c r="B4449" s="627" t="s">
        <v>13003</v>
      </c>
      <c r="C4449" s="626" t="s">
        <v>8</v>
      </c>
      <c r="D4449" s="626" t="s">
        <v>9227</v>
      </c>
      <c r="E4449" s="628" t="s">
        <v>23</v>
      </c>
      <c r="F4449" s="816" t="s">
        <v>13732</v>
      </c>
      <c r="G4449" s="816"/>
      <c r="H4449" s="816">
        <v>3.0922100000000001E-2</v>
      </c>
      <c r="I4449" s="816"/>
      <c r="J4449" s="817">
        <v>2.0400000000000001E-2</v>
      </c>
      <c r="K4449" s="817"/>
      <c r="L4449" s="817"/>
    </row>
    <row r="4450" spans="1:12" ht="25.5">
      <c r="A4450" s="626" t="s">
        <v>12709</v>
      </c>
      <c r="B4450" s="627" t="s">
        <v>13001</v>
      </c>
      <c r="C4450" s="626" t="s">
        <v>8</v>
      </c>
      <c r="D4450" s="626" t="s">
        <v>9374</v>
      </c>
      <c r="E4450" s="628" t="s">
        <v>23</v>
      </c>
      <c r="F4450" s="816" t="s">
        <v>13728</v>
      </c>
      <c r="G4450" s="816"/>
      <c r="H4450" s="816">
        <v>3.0922100000000001E-2</v>
      </c>
      <c r="I4450" s="816"/>
      <c r="J4450" s="817">
        <v>2.9999999999999997E-4</v>
      </c>
      <c r="K4450" s="817"/>
      <c r="L4450" s="817"/>
    </row>
    <row r="4451" spans="1:12" ht="17.100000000000001" customHeight="1">
      <c r="A4451" s="626" t="s">
        <v>12709</v>
      </c>
      <c r="B4451" s="627" t="s">
        <v>13032</v>
      </c>
      <c r="C4451" s="626" t="s">
        <v>8</v>
      </c>
      <c r="D4451" s="626" t="s">
        <v>9217</v>
      </c>
      <c r="E4451" s="628" t="s">
        <v>23</v>
      </c>
      <c r="F4451" s="816" t="s">
        <v>13741</v>
      </c>
      <c r="G4451" s="816"/>
      <c r="H4451" s="816">
        <v>1.611939</v>
      </c>
      <c r="I4451" s="816"/>
      <c r="J4451" s="817">
        <v>1.7408999999999999</v>
      </c>
      <c r="K4451" s="817"/>
      <c r="L4451" s="817"/>
    </row>
    <row r="4452" spans="1:12" ht="24" customHeight="1">
      <c r="A4452" s="626" t="s">
        <v>12709</v>
      </c>
      <c r="B4452" s="627" t="s">
        <v>13031</v>
      </c>
      <c r="C4452" s="626" t="s">
        <v>8</v>
      </c>
      <c r="D4452" s="626" t="s">
        <v>9364</v>
      </c>
      <c r="E4452" s="628" t="s">
        <v>23</v>
      </c>
      <c r="F4452" s="816" t="s">
        <v>13740</v>
      </c>
      <c r="G4452" s="816"/>
      <c r="H4452" s="816">
        <v>1.611939</v>
      </c>
      <c r="I4452" s="816"/>
      <c r="J4452" s="817">
        <v>0.54810000000000003</v>
      </c>
      <c r="K4452" s="817"/>
      <c r="L4452" s="817"/>
    </row>
    <row r="4453" spans="1:12" ht="24" customHeight="1">
      <c r="A4453" s="636"/>
      <c r="B4453" s="636"/>
      <c r="C4453" s="636"/>
      <c r="D4453" s="636"/>
      <c r="E4453" s="636"/>
      <c r="F4453" s="636"/>
      <c r="G4453" s="636"/>
      <c r="H4453" s="636"/>
      <c r="I4453" s="636"/>
      <c r="J4453" s="636" t="s">
        <v>13675</v>
      </c>
      <c r="K4453" s="636"/>
      <c r="L4453" s="636" t="s">
        <v>13755</v>
      </c>
    </row>
    <row r="4454" spans="1:12" ht="17.100000000000001" customHeight="1">
      <c r="A4454" s="802" t="s">
        <v>12710</v>
      </c>
      <c r="B4454" s="802"/>
      <c r="C4454" s="802"/>
      <c r="D4454" s="802"/>
      <c r="E4454" s="802"/>
      <c r="F4454" s="802"/>
      <c r="G4454" s="802"/>
      <c r="H4454" s="802"/>
      <c r="I4454" s="612"/>
      <c r="J4454" s="612"/>
      <c r="K4454" s="612"/>
      <c r="L4454" s="612"/>
    </row>
    <row r="4455" spans="1:12" ht="17.100000000000001" customHeight="1">
      <c r="A4455" s="612" t="s">
        <v>13679</v>
      </c>
      <c r="B4455" s="636" t="s">
        <v>12698</v>
      </c>
      <c r="C4455" s="612" t="s">
        <v>12699</v>
      </c>
      <c r="D4455" s="612" t="s">
        <v>12700</v>
      </c>
      <c r="E4455" s="637" t="s">
        <v>12702</v>
      </c>
      <c r="F4455" s="801" t="s">
        <v>12704</v>
      </c>
      <c r="G4455" s="801"/>
      <c r="H4455" s="801" t="s">
        <v>13678</v>
      </c>
      <c r="I4455" s="801"/>
      <c r="J4455" s="801" t="s">
        <v>12705</v>
      </c>
      <c r="K4455" s="801"/>
      <c r="L4455" s="801"/>
    </row>
    <row r="4456" spans="1:12" ht="17.100000000000001" customHeight="1">
      <c r="A4456" s="626" t="s">
        <v>12709</v>
      </c>
      <c r="B4456" s="627" t="s">
        <v>13103</v>
      </c>
      <c r="C4456" s="626" t="s">
        <v>8</v>
      </c>
      <c r="D4456" s="626" t="s">
        <v>10570</v>
      </c>
      <c r="E4456" s="628" t="s">
        <v>23</v>
      </c>
      <c r="F4456" s="816" t="s">
        <v>14289</v>
      </c>
      <c r="G4456" s="816"/>
      <c r="H4456" s="816">
        <v>3.1223899999999999E-2</v>
      </c>
      <c r="I4456" s="816"/>
      <c r="J4456" s="817">
        <v>0.15890000000000001</v>
      </c>
      <c r="K4456" s="817"/>
      <c r="L4456" s="817"/>
    </row>
    <row r="4457" spans="1:12" ht="17.100000000000001" customHeight="1">
      <c r="A4457" s="626" t="s">
        <v>12709</v>
      </c>
      <c r="B4457" s="627" t="s">
        <v>13228</v>
      </c>
      <c r="C4457" s="626" t="s">
        <v>8</v>
      </c>
      <c r="D4457" s="626" t="s">
        <v>8289</v>
      </c>
      <c r="E4457" s="628" t="s">
        <v>23</v>
      </c>
      <c r="F4457" s="816" t="s">
        <v>14199</v>
      </c>
      <c r="G4457" s="816"/>
      <c r="H4457" s="816">
        <v>0.47548499999999999</v>
      </c>
      <c r="I4457" s="816"/>
      <c r="J4457" s="817">
        <v>2.5865999999999998</v>
      </c>
      <c r="K4457" s="817"/>
      <c r="L4457" s="817"/>
    </row>
    <row r="4458" spans="1:12" ht="17.100000000000001" customHeight="1">
      <c r="A4458" s="626" t="s">
        <v>12709</v>
      </c>
      <c r="B4458" s="627" t="s">
        <v>13212</v>
      </c>
      <c r="C4458" s="626" t="s">
        <v>8</v>
      </c>
      <c r="D4458" s="626" t="s">
        <v>8293</v>
      </c>
      <c r="E4458" s="628" t="s">
        <v>23</v>
      </c>
      <c r="F4458" s="816" t="s">
        <v>14470</v>
      </c>
      <c r="G4458" s="816"/>
      <c r="H4458" s="816">
        <v>1.1532712000000001</v>
      </c>
      <c r="I4458" s="816"/>
      <c r="J4458" s="817">
        <v>7.9691000000000001</v>
      </c>
      <c r="K4458" s="817"/>
      <c r="L4458" s="817"/>
    </row>
    <row r="4459" spans="1:12" ht="17.100000000000001" customHeight="1">
      <c r="A4459" s="636"/>
      <c r="B4459" s="636"/>
      <c r="C4459" s="636"/>
      <c r="D4459" s="636"/>
      <c r="E4459" s="636"/>
      <c r="F4459" s="636"/>
      <c r="G4459" s="636"/>
      <c r="H4459" s="636"/>
      <c r="I4459" s="636"/>
      <c r="J4459" s="636" t="s">
        <v>13675</v>
      </c>
      <c r="K4459" s="636"/>
      <c r="L4459" s="636" t="s">
        <v>14503</v>
      </c>
    </row>
    <row r="4460" spans="1:12" ht="17.100000000000001" customHeight="1">
      <c r="A4460" s="802" t="s">
        <v>12720</v>
      </c>
      <c r="B4460" s="802"/>
      <c r="C4460" s="802"/>
      <c r="D4460" s="802"/>
      <c r="E4460" s="802"/>
      <c r="F4460" s="802"/>
      <c r="G4460" s="802"/>
      <c r="H4460" s="802"/>
      <c r="I4460" s="612"/>
      <c r="J4460" s="612"/>
      <c r="K4460" s="612"/>
      <c r="L4460" s="612"/>
    </row>
    <row r="4461" spans="1:12" ht="30" customHeight="1">
      <c r="A4461" s="612" t="s">
        <v>13679</v>
      </c>
      <c r="B4461" s="636" t="s">
        <v>12698</v>
      </c>
      <c r="C4461" s="612" t="s">
        <v>12699</v>
      </c>
      <c r="D4461" s="612" t="s">
        <v>12700</v>
      </c>
      <c r="E4461" s="637" t="s">
        <v>12702</v>
      </c>
      <c r="F4461" s="801" t="s">
        <v>12704</v>
      </c>
      <c r="G4461" s="801"/>
      <c r="H4461" s="801" t="s">
        <v>13678</v>
      </c>
      <c r="I4461" s="801"/>
      <c r="J4461" s="801" t="s">
        <v>12705</v>
      </c>
      <c r="K4461" s="801"/>
      <c r="L4461" s="801"/>
    </row>
    <row r="4462" spans="1:12" ht="24" customHeight="1">
      <c r="A4462" s="626" t="s">
        <v>12709</v>
      </c>
      <c r="B4462" s="627" t="s">
        <v>13093</v>
      </c>
      <c r="C4462" s="626" t="s">
        <v>8</v>
      </c>
      <c r="D4462" s="626" t="s">
        <v>8980</v>
      </c>
      <c r="E4462" s="628" t="s">
        <v>58</v>
      </c>
      <c r="F4462" s="816" t="s">
        <v>14502</v>
      </c>
      <c r="G4462" s="816"/>
      <c r="H4462" s="816">
        <v>1.7000000000000001E-2</v>
      </c>
      <c r="I4462" s="816"/>
      <c r="J4462" s="817">
        <v>0.08</v>
      </c>
      <c r="K4462" s="817"/>
      <c r="L4462" s="817"/>
    </row>
    <row r="4463" spans="1:12" ht="14.25" customHeight="1">
      <c r="A4463" s="626" t="s">
        <v>12709</v>
      </c>
      <c r="B4463" s="627" t="s">
        <v>13613</v>
      </c>
      <c r="C4463" s="626" t="s">
        <v>8</v>
      </c>
      <c r="D4463" s="626" t="s">
        <v>11000</v>
      </c>
      <c r="E4463" s="628" t="s">
        <v>20</v>
      </c>
      <c r="F4463" s="816" t="s">
        <v>13753</v>
      </c>
      <c r="G4463" s="816"/>
      <c r="H4463" s="816">
        <v>3.4000000000000002E-2</v>
      </c>
      <c r="I4463" s="816"/>
      <c r="J4463" s="817">
        <v>0.46</v>
      </c>
      <c r="K4463" s="817"/>
      <c r="L4463" s="817"/>
    </row>
    <row r="4464" spans="1:12" ht="17.100000000000001" customHeight="1">
      <c r="A4464" s="626" t="s">
        <v>12709</v>
      </c>
      <c r="B4464" s="627" t="s">
        <v>13617</v>
      </c>
      <c r="C4464" s="626" t="s">
        <v>8</v>
      </c>
      <c r="D4464" s="626" t="s">
        <v>11010</v>
      </c>
      <c r="E4464" s="628" t="s">
        <v>20</v>
      </c>
      <c r="F4464" s="816" t="s">
        <v>13752</v>
      </c>
      <c r="G4464" s="816"/>
      <c r="H4464" s="816">
        <v>2.5999999999999999E-2</v>
      </c>
      <c r="I4464" s="816"/>
      <c r="J4464" s="817">
        <v>0.28999999999999998</v>
      </c>
      <c r="K4464" s="817"/>
      <c r="L4464" s="817"/>
    </row>
    <row r="4465" spans="1:12" ht="24" customHeight="1">
      <c r="A4465" s="626" t="s">
        <v>12709</v>
      </c>
      <c r="B4465" s="627" t="s">
        <v>13091</v>
      </c>
      <c r="C4465" s="626" t="s">
        <v>8</v>
      </c>
      <c r="D4465" s="626" t="s">
        <v>11248</v>
      </c>
      <c r="E4465" s="628" t="s">
        <v>17</v>
      </c>
      <c r="F4465" s="816" t="s">
        <v>14501</v>
      </c>
      <c r="G4465" s="816"/>
      <c r="H4465" s="816">
        <v>0.56699999999999995</v>
      </c>
      <c r="I4465" s="816"/>
      <c r="J4465" s="817">
        <v>1.1299999999999999</v>
      </c>
      <c r="K4465" s="817"/>
      <c r="L4465" s="817"/>
    </row>
    <row r="4466" spans="1:12" ht="24" customHeight="1">
      <c r="A4466" s="626" t="s">
        <v>12709</v>
      </c>
      <c r="B4466" s="627" t="s">
        <v>13189</v>
      </c>
      <c r="C4466" s="626" t="s">
        <v>8</v>
      </c>
      <c r="D4466" s="626" t="s">
        <v>11363</v>
      </c>
      <c r="E4466" s="628" t="s">
        <v>17</v>
      </c>
      <c r="F4466" s="816" t="s">
        <v>14500</v>
      </c>
      <c r="G4466" s="816"/>
      <c r="H4466" s="816">
        <v>1.008</v>
      </c>
      <c r="I4466" s="816"/>
      <c r="J4466" s="817">
        <v>8.8000000000000007</v>
      </c>
      <c r="K4466" s="817"/>
      <c r="L4466" s="817"/>
    </row>
    <row r="4467" spans="1:12" ht="24" customHeight="1">
      <c r="A4467" s="626" t="s">
        <v>12709</v>
      </c>
      <c r="B4467" s="627" t="s">
        <v>13194</v>
      </c>
      <c r="C4467" s="626" t="s">
        <v>8</v>
      </c>
      <c r="D4467" s="626" t="s">
        <v>10900</v>
      </c>
      <c r="E4467" s="628" t="s">
        <v>17</v>
      </c>
      <c r="F4467" s="816" t="s">
        <v>14499</v>
      </c>
      <c r="G4467" s="816"/>
      <c r="H4467" s="816">
        <v>0.60499999999999998</v>
      </c>
      <c r="I4467" s="816"/>
      <c r="J4467" s="817">
        <v>3.36</v>
      </c>
      <c r="K4467" s="817"/>
      <c r="L4467" s="817"/>
    </row>
    <row r="4468" spans="1:12" ht="24" customHeight="1">
      <c r="A4468" s="626" t="s">
        <v>12709</v>
      </c>
      <c r="B4468" s="627" t="s">
        <v>13056</v>
      </c>
      <c r="C4468" s="626" t="s">
        <v>8</v>
      </c>
      <c r="D4468" s="626" t="s">
        <v>11277</v>
      </c>
      <c r="E4468" s="628" t="s">
        <v>35</v>
      </c>
      <c r="F4468" s="816" t="s">
        <v>14498</v>
      </c>
      <c r="G4468" s="816"/>
      <c r="H4468" s="816">
        <v>3.4999999999999999E-6</v>
      </c>
      <c r="I4468" s="816"/>
      <c r="J4468" s="817">
        <v>4.4000000000000003E-3</v>
      </c>
      <c r="K4468" s="817"/>
      <c r="L4468" s="817"/>
    </row>
    <row r="4469" spans="1:12" ht="17.100000000000001" customHeight="1">
      <c r="A4469" s="626" t="s">
        <v>12709</v>
      </c>
      <c r="B4469" s="627" t="s">
        <v>12987</v>
      </c>
      <c r="C4469" s="626" t="s">
        <v>8</v>
      </c>
      <c r="D4469" s="626" t="s">
        <v>9192</v>
      </c>
      <c r="E4469" s="628" t="s">
        <v>12923</v>
      </c>
      <c r="F4469" s="816" t="s">
        <v>13999</v>
      </c>
      <c r="G4469" s="816"/>
      <c r="H4469" s="816">
        <v>5.37546E-2</v>
      </c>
      <c r="I4469" s="816"/>
      <c r="J4469" s="817">
        <v>4.3499999999999997E-2</v>
      </c>
      <c r="K4469" s="817"/>
      <c r="L4469" s="817"/>
    </row>
    <row r="4470" spans="1:12" ht="14.25" customHeight="1">
      <c r="A4470" s="636"/>
      <c r="B4470" s="636"/>
      <c r="C4470" s="636"/>
      <c r="D4470" s="636"/>
      <c r="E4470" s="636"/>
      <c r="F4470" s="636"/>
      <c r="G4470" s="636"/>
      <c r="H4470" s="636"/>
      <c r="I4470" s="636"/>
      <c r="J4470" s="636" t="s">
        <v>13675</v>
      </c>
      <c r="K4470" s="636"/>
      <c r="L4470" s="636" t="s">
        <v>14497</v>
      </c>
    </row>
    <row r="4471" spans="1:12" ht="17.100000000000001" customHeight="1">
      <c r="A4471" s="802" t="s">
        <v>12722</v>
      </c>
      <c r="B4471" s="802"/>
      <c r="C4471" s="802"/>
      <c r="D4471" s="802"/>
      <c r="E4471" s="802"/>
      <c r="F4471" s="802"/>
      <c r="G4471" s="802"/>
      <c r="H4471" s="802"/>
      <c r="I4471" s="612"/>
      <c r="J4471" s="612"/>
      <c r="K4471" s="612"/>
      <c r="L4471" s="612"/>
    </row>
    <row r="4472" spans="1:12" ht="24" customHeight="1">
      <c r="A4472" s="612" t="s">
        <v>13679</v>
      </c>
      <c r="B4472" s="636" t="s">
        <v>12698</v>
      </c>
      <c r="C4472" s="612" t="s">
        <v>12699</v>
      </c>
      <c r="D4472" s="612" t="s">
        <v>12700</v>
      </c>
      <c r="E4472" s="637" t="s">
        <v>12702</v>
      </c>
      <c r="F4472" s="801" t="s">
        <v>12704</v>
      </c>
      <c r="G4472" s="801"/>
      <c r="H4472" s="801" t="s">
        <v>13678</v>
      </c>
      <c r="I4472" s="801"/>
      <c r="J4472" s="801" t="s">
        <v>12705</v>
      </c>
      <c r="K4472" s="801"/>
      <c r="L4472" s="801"/>
    </row>
    <row r="4473" spans="1:12" ht="24" customHeight="1">
      <c r="A4473" s="626" t="s">
        <v>12709</v>
      </c>
      <c r="B4473" s="627" t="s">
        <v>12998</v>
      </c>
      <c r="C4473" s="626" t="s">
        <v>8</v>
      </c>
      <c r="D4473" s="626" t="s">
        <v>11861</v>
      </c>
      <c r="E4473" s="628" t="s">
        <v>23</v>
      </c>
      <c r="F4473" s="816" t="s">
        <v>13683</v>
      </c>
      <c r="G4473" s="816"/>
      <c r="H4473" s="816">
        <v>1.6428611</v>
      </c>
      <c r="I4473" s="816"/>
      <c r="J4473" s="817">
        <v>1.1664000000000001</v>
      </c>
      <c r="K4473" s="817"/>
      <c r="L4473" s="817"/>
    </row>
    <row r="4474" spans="1:12" ht="17.100000000000001" customHeight="1">
      <c r="A4474" s="636"/>
      <c r="B4474" s="636"/>
      <c r="C4474" s="636"/>
      <c r="D4474" s="636"/>
      <c r="E4474" s="636"/>
      <c r="F4474" s="636"/>
      <c r="G4474" s="636"/>
      <c r="H4474" s="636"/>
      <c r="I4474" s="636"/>
      <c r="J4474" s="636" t="s">
        <v>13675</v>
      </c>
      <c r="K4474" s="636"/>
      <c r="L4474" s="636" t="s">
        <v>13712</v>
      </c>
    </row>
    <row r="4475" spans="1:12">
      <c r="A4475" s="802" t="s">
        <v>12713</v>
      </c>
      <c r="B4475" s="802"/>
      <c r="C4475" s="802"/>
      <c r="D4475" s="802"/>
      <c r="E4475" s="802"/>
      <c r="F4475" s="802"/>
      <c r="G4475" s="802"/>
      <c r="H4475" s="802"/>
      <c r="I4475" s="612"/>
      <c r="J4475" s="612"/>
      <c r="K4475" s="612"/>
      <c r="L4475" s="612"/>
    </row>
    <row r="4476" spans="1:12" ht="17.100000000000001" customHeight="1">
      <c r="A4476" s="612" t="s">
        <v>13679</v>
      </c>
      <c r="B4476" s="636" t="s">
        <v>12698</v>
      </c>
      <c r="C4476" s="612" t="s">
        <v>12699</v>
      </c>
      <c r="D4476" s="612" t="s">
        <v>12700</v>
      </c>
      <c r="E4476" s="637" t="s">
        <v>12702</v>
      </c>
      <c r="F4476" s="801" t="s">
        <v>12704</v>
      </c>
      <c r="G4476" s="801"/>
      <c r="H4476" s="801" t="s">
        <v>13678</v>
      </c>
      <c r="I4476" s="801"/>
      <c r="J4476" s="801" t="s">
        <v>12705</v>
      </c>
      <c r="K4476" s="801"/>
      <c r="L4476" s="801"/>
    </row>
    <row r="4477" spans="1:12" ht="48" customHeight="1">
      <c r="A4477" s="626" t="s">
        <v>12709</v>
      </c>
      <c r="B4477" s="627" t="s">
        <v>12999</v>
      </c>
      <c r="C4477" s="626" t="s">
        <v>8</v>
      </c>
      <c r="D4477" s="626" t="s">
        <v>11251</v>
      </c>
      <c r="E4477" s="628" t="s">
        <v>23</v>
      </c>
      <c r="F4477" s="816" t="s">
        <v>13681</v>
      </c>
      <c r="G4477" s="816"/>
      <c r="H4477" s="816">
        <v>1.6428611</v>
      </c>
      <c r="I4477" s="816"/>
      <c r="J4477" s="817">
        <v>0.115</v>
      </c>
      <c r="K4477" s="817"/>
      <c r="L4477" s="817"/>
    </row>
    <row r="4478" spans="1:12" ht="17.100000000000001" customHeight="1">
      <c r="A4478" s="636"/>
      <c r="B4478" s="636"/>
      <c r="C4478" s="636"/>
      <c r="D4478" s="636"/>
      <c r="E4478" s="636"/>
      <c r="F4478" s="636"/>
      <c r="G4478" s="636"/>
      <c r="H4478" s="636"/>
      <c r="I4478" s="636"/>
      <c r="J4478" s="636" t="s">
        <v>13675</v>
      </c>
      <c r="K4478" s="636"/>
      <c r="L4478" s="636" t="s">
        <v>13751</v>
      </c>
    </row>
    <row r="4479" spans="1:12">
      <c r="A4479" s="802" t="s">
        <v>12712</v>
      </c>
      <c r="B4479" s="802"/>
      <c r="C4479" s="802"/>
      <c r="D4479" s="802"/>
      <c r="E4479" s="802"/>
      <c r="F4479" s="802"/>
      <c r="G4479" s="802"/>
      <c r="H4479" s="802"/>
      <c r="I4479" s="612"/>
      <c r="J4479" s="612"/>
      <c r="K4479" s="612"/>
      <c r="L4479" s="612"/>
    </row>
    <row r="4480" spans="1:12" ht="17.100000000000001" customHeight="1">
      <c r="A4480" s="612" t="s">
        <v>13679</v>
      </c>
      <c r="B4480" s="636" t="s">
        <v>12698</v>
      </c>
      <c r="C4480" s="612" t="s">
        <v>12699</v>
      </c>
      <c r="D4480" s="612" t="s">
        <v>12700</v>
      </c>
      <c r="E4480" s="637" t="s">
        <v>12702</v>
      </c>
      <c r="F4480" s="801" t="s">
        <v>12704</v>
      </c>
      <c r="G4480" s="801"/>
      <c r="H4480" s="801" t="s">
        <v>13678</v>
      </c>
      <c r="I4480" s="801"/>
      <c r="J4480" s="801" t="s">
        <v>12705</v>
      </c>
      <c r="K4480" s="801"/>
      <c r="L4480" s="801"/>
    </row>
    <row r="4481" spans="1:12" ht="24" customHeight="1">
      <c r="A4481" s="626" t="s">
        <v>12709</v>
      </c>
      <c r="B4481" s="627" t="s">
        <v>13002</v>
      </c>
      <c r="C4481" s="626" t="s">
        <v>8</v>
      </c>
      <c r="D4481" s="626" t="s">
        <v>9306</v>
      </c>
      <c r="E4481" s="628" t="s">
        <v>23</v>
      </c>
      <c r="F4481" s="816" t="s">
        <v>13677</v>
      </c>
      <c r="G4481" s="816"/>
      <c r="H4481" s="816">
        <v>1.6428611</v>
      </c>
      <c r="I4481" s="816"/>
      <c r="J4481" s="817">
        <v>0.57499999999999996</v>
      </c>
      <c r="K4481" s="817"/>
      <c r="L4481" s="817"/>
    </row>
    <row r="4482" spans="1:12" ht="17.100000000000001" customHeight="1">
      <c r="A4482" s="626" t="s">
        <v>12709</v>
      </c>
      <c r="B4482" s="627" t="s">
        <v>13004</v>
      </c>
      <c r="C4482" s="626" t="s">
        <v>8</v>
      </c>
      <c r="D4482" s="626" t="s">
        <v>7388</v>
      </c>
      <c r="E4482" s="628" t="s">
        <v>23</v>
      </c>
      <c r="F4482" s="816" t="s">
        <v>13676</v>
      </c>
      <c r="G4482" s="816"/>
      <c r="H4482" s="816">
        <v>1.6428611</v>
      </c>
      <c r="I4482" s="816"/>
      <c r="J4482" s="817">
        <v>3.6143000000000001</v>
      </c>
      <c r="K4482" s="817"/>
      <c r="L4482" s="817"/>
    </row>
    <row r="4483" spans="1:12">
      <c r="A4483" s="636"/>
      <c r="B4483" s="636"/>
      <c r="C4483" s="636"/>
      <c r="D4483" s="636"/>
      <c r="E4483" s="636"/>
      <c r="F4483" s="636"/>
      <c r="G4483" s="636"/>
      <c r="H4483" s="636"/>
      <c r="I4483" s="636"/>
      <c r="J4483" s="636" t="s">
        <v>13675</v>
      </c>
      <c r="K4483" s="636"/>
      <c r="L4483" s="636" t="s">
        <v>13750</v>
      </c>
    </row>
    <row r="4484" spans="1:12" ht="17.100000000000001" customHeight="1">
      <c r="A4484" s="612" t="s">
        <v>13673</v>
      </c>
      <c r="B4484" s="612"/>
      <c r="C4484" s="612"/>
      <c r="D4484" s="612"/>
      <c r="E4484" s="612"/>
      <c r="F4484" s="612"/>
      <c r="G4484" s="612"/>
      <c r="H4484" s="612"/>
      <c r="I4484" s="612"/>
      <c r="J4484" s="612"/>
      <c r="K4484" s="612"/>
      <c r="L4484" s="612"/>
    </row>
    <row r="4485" spans="1:12" ht="24" customHeight="1">
      <c r="A4485" s="636"/>
      <c r="B4485" s="636"/>
      <c r="C4485" s="636"/>
      <c r="D4485" s="636"/>
      <c r="E4485" s="636"/>
      <c r="F4485" s="636"/>
      <c r="G4485" s="636"/>
      <c r="H4485" s="636"/>
      <c r="I4485" s="636"/>
      <c r="J4485" s="636" t="s">
        <v>13672</v>
      </c>
      <c r="K4485" s="636"/>
      <c r="L4485" s="636" t="s">
        <v>15054</v>
      </c>
    </row>
    <row r="4486" spans="1:12" ht="17.100000000000001" customHeight="1">
      <c r="A4486" s="636"/>
      <c r="B4486" s="636"/>
      <c r="C4486" s="636"/>
      <c r="D4486" s="636"/>
      <c r="E4486" s="636"/>
      <c r="F4486" s="636"/>
      <c r="G4486" s="636"/>
      <c r="H4486" s="636"/>
      <c r="I4486" s="636"/>
      <c r="J4486" s="636" t="s">
        <v>13671</v>
      </c>
      <c r="K4486" s="636" t="s">
        <v>14461</v>
      </c>
      <c r="L4486" s="636" t="s">
        <v>15055</v>
      </c>
    </row>
    <row r="4487" spans="1:12">
      <c r="A4487" s="636"/>
      <c r="B4487" s="636"/>
      <c r="C4487" s="636"/>
      <c r="D4487" s="636"/>
      <c r="E4487" s="636"/>
      <c r="F4487" s="636"/>
      <c r="G4487" s="636"/>
      <c r="H4487" s="636"/>
      <c r="I4487" s="636"/>
      <c r="J4487" s="636" t="s">
        <v>13670</v>
      </c>
      <c r="K4487" s="636"/>
      <c r="L4487" s="636" t="s">
        <v>15056</v>
      </c>
    </row>
    <row r="4488" spans="1:12" ht="17.100000000000001" customHeight="1">
      <c r="A4488" s="636"/>
      <c r="B4488" s="636"/>
      <c r="C4488" s="636"/>
      <c r="D4488" s="636"/>
      <c r="E4488" s="636"/>
      <c r="F4488" s="636"/>
      <c r="G4488" s="636"/>
      <c r="H4488" s="636"/>
      <c r="I4488" s="636"/>
      <c r="J4488" s="636" t="s">
        <v>13669</v>
      </c>
      <c r="K4488" s="636" t="s">
        <v>13667</v>
      </c>
      <c r="L4488" s="636" t="s">
        <v>15057</v>
      </c>
    </row>
    <row r="4489" spans="1:12" ht="24" customHeight="1">
      <c r="A4489" s="636"/>
      <c r="B4489" s="636"/>
      <c r="C4489" s="636"/>
      <c r="D4489" s="636"/>
      <c r="E4489" s="636"/>
      <c r="F4489" s="636"/>
      <c r="G4489" s="636"/>
      <c r="H4489" s="636"/>
      <c r="I4489" s="636"/>
      <c r="J4489" s="636" t="s">
        <v>13668</v>
      </c>
      <c r="K4489" s="636"/>
      <c r="L4489" s="636" t="s">
        <v>15058</v>
      </c>
    </row>
    <row r="4490" spans="1:12" ht="24" customHeight="1">
      <c r="A4490" s="637"/>
      <c r="B4490" s="637"/>
      <c r="C4490" s="637"/>
      <c r="D4490" s="637"/>
      <c r="E4490" s="637"/>
      <c r="F4490" s="637"/>
      <c r="G4490" s="637"/>
      <c r="H4490" s="637"/>
      <c r="I4490" s="637"/>
      <c r="J4490" s="637"/>
      <c r="K4490" s="637"/>
      <c r="L4490" s="637"/>
    </row>
    <row r="4491" spans="1:12" ht="17.100000000000001" customHeight="1">
      <c r="A4491" s="616" t="s">
        <v>14117</v>
      </c>
      <c r="B4491" s="617" t="s">
        <v>13623</v>
      </c>
      <c r="C4491" s="616" t="s">
        <v>8</v>
      </c>
      <c r="D4491" s="616" t="s">
        <v>681</v>
      </c>
      <c r="E4491" s="618" t="s">
        <v>12730</v>
      </c>
      <c r="F4491" s="617"/>
      <c r="G4491" s="617"/>
      <c r="H4491" s="617"/>
      <c r="I4491" s="617"/>
      <c r="J4491" s="617"/>
      <c r="K4491" s="617"/>
      <c r="L4491" s="617"/>
    </row>
    <row r="4492" spans="1:12" ht="17.100000000000001" customHeight="1">
      <c r="A4492" s="802" t="s">
        <v>12711</v>
      </c>
      <c r="B4492" s="802"/>
      <c r="C4492" s="802"/>
      <c r="D4492" s="802"/>
      <c r="E4492" s="802"/>
      <c r="F4492" s="802"/>
      <c r="G4492" s="802"/>
      <c r="H4492" s="802"/>
      <c r="I4492" s="612"/>
      <c r="J4492" s="612"/>
      <c r="K4492" s="612"/>
      <c r="L4492" s="612"/>
    </row>
    <row r="4493" spans="1:12" ht="17.100000000000001" customHeight="1">
      <c r="A4493" s="612" t="s">
        <v>13679</v>
      </c>
      <c r="B4493" s="636" t="s">
        <v>12698</v>
      </c>
      <c r="C4493" s="612" t="s">
        <v>12699</v>
      </c>
      <c r="D4493" s="612" t="s">
        <v>12700</v>
      </c>
      <c r="E4493" s="637" t="s">
        <v>12702</v>
      </c>
      <c r="F4493" s="801" t="s">
        <v>12704</v>
      </c>
      <c r="G4493" s="801"/>
      <c r="H4493" s="801" t="s">
        <v>13678</v>
      </c>
      <c r="I4493" s="801"/>
      <c r="J4493" s="801" t="s">
        <v>12705</v>
      </c>
      <c r="K4493" s="801"/>
      <c r="L4493" s="801"/>
    </row>
    <row r="4494" spans="1:12" ht="17.100000000000001" customHeight="1">
      <c r="A4494" s="626" t="s">
        <v>12709</v>
      </c>
      <c r="B4494" s="627" t="s">
        <v>13268</v>
      </c>
      <c r="C4494" s="626" t="s">
        <v>8</v>
      </c>
      <c r="D4494" s="626" t="s">
        <v>8451</v>
      </c>
      <c r="E4494" s="628" t="s">
        <v>35</v>
      </c>
      <c r="F4494" s="816" t="s">
        <v>14506</v>
      </c>
      <c r="G4494" s="816"/>
      <c r="H4494" s="816">
        <v>5.0300000000000003E-5</v>
      </c>
      <c r="I4494" s="816"/>
      <c r="J4494" s="817">
        <v>0.54879999999999995</v>
      </c>
      <c r="K4494" s="817"/>
      <c r="L4494" s="817"/>
    </row>
    <row r="4495" spans="1:12" ht="17.100000000000001" customHeight="1">
      <c r="A4495" s="626" t="s">
        <v>12709</v>
      </c>
      <c r="B4495" s="627" t="s">
        <v>13003</v>
      </c>
      <c r="C4495" s="626" t="s">
        <v>8</v>
      </c>
      <c r="D4495" s="626" t="s">
        <v>9227</v>
      </c>
      <c r="E4495" s="628" t="s">
        <v>23</v>
      </c>
      <c r="F4495" s="816" t="s">
        <v>13732</v>
      </c>
      <c r="G4495" s="816"/>
      <c r="H4495" s="816">
        <v>0.53689819999999999</v>
      </c>
      <c r="I4495" s="816"/>
      <c r="J4495" s="817">
        <v>0.35439999999999999</v>
      </c>
      <c r="K4495" s="817"/>
      <c r="L4495" s="817"/>
    </row>
    <row r="4496" spans="1:12" ht="17.100000000000001" customHeight="1">
      <c r="A4496" s="626" t="s">
        <v>12709</v>
      </c>
      <c r="B4496" s="627" t="s">
        <v>13001</v>
      </c>
      <c r="C4496" s="626" t="s">
        <v>8</v>
      </c>
      <c r="D4496" s="626" t="s">
        <v>9374</v>
      </c>
      <c r="E4496" s="628" t="s">
        <v>23</v>
      </c>
      <c r="F4496" s="816" t="s">
        <v>13728</v>
      </c>
      <c r="G4496" s="816"/>
      <c r="H4496" s="816">
        <v>0.53689819999999999</v>
      </c>
      <c r="I4496" s="816"/>
      <c r="J4496" s="817">
        <v>5.4000000000000003E-3</v>
      </c>
      <c r="K4496" s="817"/>
      <c r="L4496" s="817"/>
    </row>
    <row r="4497" spans="1:12" ht="17.100000000000001" customHeight="1">
      <c r="A4497" s="626" t="s">
        <v>12709</v>
      </c>
      <c r="B4497" s="627" t="s">
        <v>13274</v>
      </c>
      <c r="C4497" s="626" t="s">
        <v>8</v>
      </c>
      <c r="D4497" s="626" t="s">
        <v>8201</v>
      </c>
      <c r="E4497" s="628" t="s">
        <v>35</v>
      </c>
      <c r="F4497" s="816" t="s">
        <v>14721</v>
      </c>
      <c r="G4497" s="816"/>
      <c r="H4497" s="816">
        <v>6.9999999999999997E-7</v>
      </c>
      <c r="I4497" s="816"/>
      <c r="J4497" s="817">
        <v>0.2243</v>
      </c>
      <c r="K4497" s="817"/>
      <c r="L4497" s="817"/>
    </row>
    <row r="4498" spans="1:12" ht="30" customHeight="1">
      <c r="A4498" s="626" t="s">
        <v>12709</v>
      </c>
      <c r="B4498" s="627" t="s">
        <v>13048</v>
      </c>
      <c r="C4498" s="626" t="s">
        <v>8</v>
      </c>
      <c r="D4498" s="626" t="s">
        <v>9233</v>
      </c>
      <c r="E4498" s="628" t="s">
        <v>23</v>
      </c>
      <c r="F4498" s="816" t="s">
        <v>13690</v>
      </c>
      <c r="G4498" s="816"/>
      <c r="H4498" s="816">
        <v>0.65887510000000005</v>
      </c>
      <c r="I4498" s="816"/>
      <c r="J4498" s="817">
        <v>0.67210000000000003</v>
      </c>
      <c r="K4498" s="817"/>
      <c r="L4498" s="817"/>
    </row>
    <row r="4499" spans="1:12" ht="24" customHeight="1">
      <c r="A4499" s="626" t="s">
        <v>12709</v>
      </c>
      <c r="B4499" s="627" t="s">
        <v>13047</v>
      </c>
      <c r="C4499" s="626" t="s">
        <v>8</v>
      </c>
      <c r="D4499" s="626" t="s">
        <v>9380</v>
      </c>
      <c r="E4499" s="628" t="s">
        <v>23</v>
      </c>
      <c r="F4499" s="816" t="s">
        <v>13689</v>
      </c>
      <c r="G4499" s="816"/>
      <c r="H4499" s="816">
        <v>0.65887510000000005</v>
      </c>
      <c r="I4499" s="816"/>
      <c r="J4499" s="817">
        <v>0.25040000000000001</v>
      </c>
      <c r="K4499" s="817"/>
      <c r="L4499" s="817"/>
    </row>
    <row r="4500" spans="1:12" ht="14.25" customHeight="1">
      <c r="A4500" s="636"/>
      <c r="B4500" s="636"/>
      <c r="C4500" s="636"/>
      <c r="D4500" s="636"/>
      <c r="E4500" s="636"/>
      <c r="F4500" s="636"/>
      <c r="G4500" s="636"/>
      <c r="H4500" s="636"/>
      <c r="I4500" s="636"/>
      <c r="J4500" s="636" t="s">
        <v>13675</v>
      </c>
      <c r="K4500" s="636"/>
      <c r="L4500" s="636" t="s">
        <v>14095</v>
      </c>
    </row>
    <row r="4501" spans="1:12" ht="17.100000000000001" customHeight="1">
      <c r="A4501" s="802" t="s">
        <v>12710</v>
      </c>
      <c r="B4501" s="802"/>
      <c r="C4501" s="802"/>
      <c r="D4501" s="802"/>
      <c r="E4501" s="802"/>
      <c r="F4501" s="802"/>
      <c r="G4501" s="802"/>
      <c r="H4501" s="802"/>
      <c r="I4501" s="612"/>
      <c r="J4501" s="612"/>
      <c r="K4501" s="612"/>
      <c r="L4501" s="612"/>
    </row>
    <row r="4502" spans="1:12" ht="48" customHeight="1">
      <c r="A4502" s="612" t="s">
        <v>13679</v>
      </c>
      <c r="B4502" s="636" t="s">
        <v>12698</v>
      </c>
      <c r="C4502" s="612" t="s">
        <v>12699</v>
      </c>
      <c r="D4502" s="612" t="s">
        <v>12700</v>
      </c>
      <c r="E4502" s="637" t="s">
        <v>12702</v>
      </c>
      <c r="F4502" s="801" t="s">
        <v>12704</v>
      </c>
      <c r="G4502" s="801"/>
      <c r="H4502" s="801" t="s">
        <v>13678</v>
      </c>
      <c r="I4502" s="801"/>
      <c r="J4502" s="801" t="s">
        <v>12705</v>
      </c>
      <c r="K4502" s="801"/>
      <c r="L4502" s="801"/>
    </row>
    <row r="4503" spans="1:12" ht="24" customHeight="1">
      <c r="A4503" s="626" t="s">
        <v>12709</v>
      </c>
      <c r="B4503" s="627" t="s">
        <v>13103</v>
      </c>
      <c r="C4503" s="626" t="s">
        <v>8</v>
      </c>
      <c r="D4503" s="626" t="s">
        <v>10570</v>
      </c>
      <c r="E4503" s="628" t="s">
        <v>23</v>
      </c>
      <c r="F4503" s="816" t="s">
        <v>14289</v>
      </c>
      <c r="G4503" s="816"/>
      <c r="H4503" s="816">
        <v>0.53126099999999998</v>
      </c>
      <c r="I4503" s="816"/>
      <c r="J4503" s="817">
        <v>2.7040999999999999</v>
      </c>
      <c r="K4503" s="817"/>
      <c r="L4503" s="817"/>
    </row>
    <row r="4504" spans="1:12" ht="24" customHeight="1">
      <c r="A4504" s="626" t="s">
        <v>12709</v>
      </c>
      <c r="B4504" s="627" t="s">
        <v>13126</v>
      </c>
      <c r="C4504" s="626" t="s">
        <v>8</v>
      </c>
      <c r="D4504" s="626" t="s">
        <v>10465</v>
      </c>
      <c r="E4504" s="628" t="s">
        <v>23</v>
      </c>
      <c r="F4504" s="816" t="s">
        <v>14604</v>
      </c>
      <c r="G4504" s="816"/>
      <c r="H4504" s="816">
        <v>9.0161000000000008E-3</v>
      </c>
      <c r="I4504" s="816"/>
      <c r="J4504" s="817">
        <v>4.9500000000000002E-2</v>
      </c>
      <c r="K4504" s="817"/>
      <c r="L4504" s="817"/>
    </row>
    <row r="4505" spans="1:12" ht="24" customHeight="1">
      <c r="A4505" s="626" t="s">
        <v>12709</v>
      </c>
      <c r="B4505" s="627" t="s">
        <v>13046</v>
      </c>
      <c r="C4505" s="626" t="s">
        <v>8</v>
      </c>
      <c r="D4505" s="626" t="s">
        <v>11281</v>
      </c>
      <c r="E4505" s="628" t="s">
        <v>23</v>
      </c>
      <c r="F4505" s="816" t="s">
        <v>13731</v>
      </c>
      <c r="G4505" s="816"/>
      <c r="H4505" s="816">
        <v>0.66747780000000001</v>
      </c>
      <c r="I4505" s="816"/>
      <c r="J4505" s="817">
        <v>3.4308000000000001</v>
      </c>
      <c r="K4505" s="817"/>
      <c r="L4505" s="817"/>
    </row>
    <row r="4506" spans="1:12" ht="24" customHeight="1">
      <c r="A4506" s="636"/>
      <c r="B4506" s="636"/>
      <c r="C4506" s="636"/>
      <c r="D4506" s="636"/>
      <c r="E4506" s="636"/>
      <c r="F4506" s="636"/>
      <c r="G4506" s="636"/>
      <c r="H4506" s="636"/>
      <c r="I4506" s="636"/>
      <c r="J4506" s="636" t="s">
        <v>13675</v>
      </c>
      <c r="K4506" s="636"/>
      <c r="L4506" s="636" t="s">
        <v>14203</v>
      </c>
    </row>
    <row r="4507" spans="1:12" ht="17.100000000000001" customHeight="1">
      <c r="A4507" s="802" t="s">
        <v>12720</v>
      </c>
      <c r="B4507" s="802"/>
      <c r="C4507" s="802"/>
      <c r="D4507" s="802"/>
      <c r="E4507" s="802"/>
      <c r="F4507" s="802"/>
      <c r="G4507" s="802"/>
      <c r="H4507" s="802"/>
      <c r="I4507" s="612"/>
      <c r="J4507" s="612"/>
      <c r="K4507" s="612"/>
      <c r="L4507" s="612"/>
    </row>
    <row r="4508" spans="1:12" ht="14.25" customHeight="1">
      <c r="A4508" s="612" t="s">
        <v>13679</v>
      </c>
      <c r="B4508" s="636" t="s">
        <v>12698</v>
      </c>
      <c r="C4508" s="612" t="s">
        <v>12699</v>
      </c>
      <c r="D4508" s="612" t="s">
        <v>12700</v>
      </c>
      <c r="E4508" s="637" t="s">
        <v>12702</v>
      </c>
      <c r="F4508" s="801" t="s">
        <v>12704</v>
      </c>
      <c r="G4508" s="801"/>
      <c r="H4508" s="801" t="s">
        <v>13678</v>
      </c>
      <c r="I4508" s="801"/>
      <c r="J4508" s="801" t="s">
        <v>12705</v>
      </c>
      <c r="K4508" s="801"/>
      <c r="L4508" s="801"/>
    </row>
    <row r="4509" spans="1:12" ht="17.100000000000001" customHeight="1">
      <c r="A4509" s="626" t="s">
        <v>12709</v>
      </c>
      <c r="B4509" s="627" t="s">
        <v>13266</v>
      </c>
      <c r="C4509" s="626" t="s">
        <v>8</v>
      </c>
      <c r="D4509" s="626" t="s">
        <v>9514</v>
      </c>
      <c r="E4509" s="628" t="s">
        <v>58</v>
      </c>
      <c r="F4509" s="816" t="s">
        <v>14009</v>
      </c>
      <c r="G4509" s="816"/>
      <c r="H4509" s="816">
        <v>0.28216649999999999</v>
      </c>
      <c r="I4509" s="816"/>
      <c r="J4509" s="817">
        <v>1.0609</v>
      </c>
      <c r="K4509" s="817"/>
      <c r="L4509" s="817"/>
    </row>
    <row r="4510" spans="1:12" ht="24" customHeight="1">
      <c r="A4510" s="626" t="s">
        <v>12709</v>
      </c>
      <c r="B4510" s="627" t="s">
        <v>13273</v>
      </c>
      <c r="C4510" s="626" t="s">
        <v>8</v>
      </c>
      <c r="D4510" s="626" t="s">
        <v>11409</v>
      </c>
      <c r="E4510" s="628" t="s">
        <v>35</v>
      </c>
      <c r="F4510" s="816" t="s">
        <v>14720</v>
      </c>
      <c r="G4510" s="816"/>
      <c r="H4510" s="816">
        <v>6.9999999999999997E-7</v>
      </c>
      <c r="I4510" s="816"/>
      <c r="J4510" s="817">
        <v>3.85E-2</v>
      </c>
      <c r="K4510" s="817"/>
      <c r="L4510" s="817"/>
    </row>
    <row r="4511" spans="1:12" ht="24" customHeight="1">
      <c r="A4511" s="626" t="s">
        <v>12709</v>
      </c>
      <c r="B4511" s="627" t="s">
        <v>13007</v>
      </c>
      <c r="C4511" s="626" t="s">
        <v>8</v>
      </c>
      <c r="D4511" s="626" t="s">
        <v>10549</v>
      </c>
      <c r="E4511" s="628" t="s">
        <v>58</v>
      </c>
      <c r="F4511" s="816" t="s">
        <v>14172</v>
      </c>
      <c r="G4511" s="816"/>
      <c r="H4511" s="816">
        <v>0.19292339999999999</v>
      </c>
      <c r="I4511" s="816"/>
      <c r="J4511" s="817">
        <v>0.62509999999999999</v>
      </c>
      <c r="K4511" s="817"/>
      <c r="L4511" s="817"/>
    </row>
    <row r="4512" spans="1:12" ht="17.100000000000001" customHeight="1">
      <c r="A4512" s="636"/>
      <c r="B4512" s="636"/>
      <c r="C4512" s="636"/>
      <c r="D4512" s="636"/>
      <c r="E4512" s="636"/>
      <c r="F4512" s="636"/>
      <c r="G4512" s="636"/>
      <c r="H4512" s="636"/>
      <c r="I4512" s="636"/>
      <c r="J4512" s="636" t="s">
        <v>13675</v>
      </c>
      <c r="K4512" s="636"/>
      <c r="L4512" s="636" t="s">
        <v>13766</v>
      </c>
    </row>
    <row r="4513" spans="1:12">
      <c r="A4513" s="802" t="s">
        <v>12722</v>
      </c>
      <c r="B4513" s="802"/>
      <c r="C4513" s="802"/>
      <c r="D4513" s="802"/>
      <c r="E4513" s="802"/>
      <c r="F4513" s="802"/>
      <c r="G4513" s="802"/>
      <c r="H4513" s="802"/>
      <c r="I4513" s="612"/>
      <c r="J4513" s="612"/>
      <c r="K4513" s="612"/>
      <c r="L4513" s="612"/>
    </row>
    <row r="4514" spans="1:12" ht="17.100000000000001" customHeight="1">
      <c r="A4514" s="612" t="s">
        <v>13679</v>
      </c>
      <c r="B4514" s="636" t="s">
        <v>12698</v>
      </c>
      <c r="C4514" s="612" t="s">
        <v>12699</v>
      </c>
      <c r="D4514" s="612" t="s">
        <v>12700</v>
      </c>
      <c r="E4514" s="637" t="s">
        <v>12702</v>
      </c>
      <c r="F4514" s="801" t="s">
        <v>12704</v>
      </c>
      <c r="G4514" s="801"/>
      <c r="H4514" s="801" t="s">
        <v>13678</v>
      </c>
      <c r="I4514" s="801"/>
      <c r="J4514" s="801" t="s">
        <v>12705</v>
      </c>
      <c r="K4514" s="801"/>
      <c r="L4514" s="801"/>
    </row>
    <row r="4515" spans="1:12" ht="24" customHeight="1">
      <c r="A4515" s="626" t="s">
        <v>12709</v>
      </c>
      <c r="B4515" s="627" t="s">
        <v>12998</v>
      </c>
      <c r="C4515" s="626" t="s">
        <v>8</v>
      </c>
      <c r="D4515" s="626" t="s">
        <v>11861</v>
      </c>
      <c r="E4515" s="628" t="s">
        <v>23</v>
      </c>
      <c r="F4515" s="816" t="s">
        <v>13683</v>
      </c>
      <c r="G4515" s="816"/>
      <c r="H4515" s="816">
        <v>1.1957732000000001</v>
      </c>
      <c r="I4515" s="816"/>
      <c r="J4515" s="817">
        <v>0.84899999999999998</v>
      </c>
      <c r="K4515" s="817"/>
      <c r="L4515" s="817"/>
    </row>
    <row r="4516" spans="1:12" ht="17.100000000000001" customHeight="1">
      <c r="A4516" s="636"/>
      <c r="B4516" s="636"/>
      <c r="C4516" s="636"/>
      <c r="D4516" s="636"/>
      <c r="E4516" s="636"/>
      <c r="F4516" s="636"/>
      <c r="G4516" s="636"/>
      <c r="H4516" s="636"/>
      <c r="I4516" s="636"/>
      <c r="J4516" s="636" t="s">
        <v>13675</v>
      </c>
      <c r="K4516" s="636"/>
      <c r="L4516" s="636" t="s">
        <v>13906</v>
      </c>
    </row>
    <row r="4517" spans="1:12">
      <c r="A4517" s="802" t="s">
        <v>12713</v>
      </c>
      <c r="B4517" s="802"/>
      <c r="C4517" s="802"/>
      <c r="D4517" s="802"/>
      <c r="E4517" s="802"/>
      <c r="F4517" s="802"/>
      <c r="G4517" s="802"/>
      <c r="H4517" s="802"/>
      <c r="I4517" s="612"/>
      <c r="J4517" s="612"/>
      <c r="K4517" s="612"/>
      <c r="L4517" s="612"/>
    </row>
    <row r="4518" spans="1:12" ht="17.100000000000001" customHeight="1">
      <c r="A4518" s="612" t="s">
        <v>13679</v>
      </c>
      <c r="B4518" s="636" t="s">
        <v>12698</v>
      </c>
      <c r="C4518" s="612" t="s">
        <v>12699</v>
      </c>
      <c r="D4518" s="612" t="s">
        <v>12700</v>
      </c>
      <c r="E4518" s="637" t="s">
        <v>12702</v>
      </c>
      <c r="F4518" s="801" t="s">
        <v>12704</v>
      </c>
      <c r="G4518" s="801"/>
      <c r="H4518" s="801" t="s">
        <v>13678</v>
      </c>
      <c r="I4518" s="801"/>
      <c r="J4518" s="801" t="s">
        <v>12705</v>
      </c>
      <c r="K4518" s="801"/>
      <c r="L4518" s="801"/>
    </row>
    <row r="4519" spans="1:12" ht="24" customHeight="1">
      <c r="A4519" s="626" t="s">
        <v>12709</v>
      </c>
      <c r="B4519" s="627" t="s">
        <v>12999</v>
      </c>
      <c r="C4519" s="626" t="s">
        <v>8</v>
      </c>
      <c r="D4519" s="626" t="s">
        <v>11251</v>
      </c>
      <c r="E4519" s="628" t="s">
        <v>23</v>
      </c>
      <c r="F4519" s="816" t="s">
        <v>13681</v>
      </c>
      <c r="G4519" s="816"/>
      <c r="H4519" s="816">
        <v>1.1957732000000001</v>
      </c>
      <c r="I4519" s="816"/>
      <c r="J4519" s="817">
        <v>8.3699999999999997E-2</v>
      </c>
      <c r="K4519" s="817"/>
      <c r="L4519" s="817"/>
    </row>
    <row r="4520" spans="1:12" ht="17.100000000000001" customHeight="1">
      <c r="A4520" s="636"/>
      <c r="B4520" s="636"/>
      <c r="C4520" s="636"/>
      <c r="D4520" s="636"/>
      <c r="E4520" s="636"/>
      <c r="F4520" s="636"/>
      <c r="G4520" s="636"/>
      <c r="H4520" s="636"/>
      <c r="I4520" s="636"/>
      <c r="J4520" s="636" t="s">
        <v>13675</v>
      </c>
      <c r="K4520" s="636"/>
      <c r="L4520" s="636" t="s">
        <v>13892</v>
      </c>
    </row>
    <row r="4521" spans="1:12">
      <c r="A4521" s="802" t="s">
        <v>12712</v>
      </c>
      <c r="B4521" s="802"/>
      <c r="C4521" s="802"/>
      <c r="D4521" s="802"/>
      <c r="E4521" s="802"/>
      <c r="F4521" s="802"/>
      <c r="G4521" s="802"/>
      <c r="H4521" s="802"/>
      <c r="I4521" s="612"/>
      <c r="J4521" s="612"/>
      <c r="K4521" s="612"/>
      <c r="L4521" s="612"/>
    </row>
    <row r="4522" spans="1:12" ht="17.100000000000001" customHeight="1">
      <c r="A4522" s="612" t="s">
        <v>13679</v>
      </c>
      <c r="B4522" s="636" t="s">
        <v>12698</v>
      </c>
      <c r="C4522" s="612" t="s">
        <v>12699</v>
      </c>
      <c r="D4522" s="612" t="s">
        <v>12700</v>
      </c>
      <c r="E4522" s="637" t="s">
        <v>12702</v>
      </c>
      <c r="F4522" s="801" t="s">
        <v>12704</v>
      </c>
      <c r="G4522" s="801"/>
      <c r="H4522" s="801" t="s">
        <v>13678</v>
      </c>
      <c r="I4522" s="801"/>
      <c r="J4522" s="801" t="s">
        <v>12705</v>
      </c>
      <c r="K4522" s="801"/>
      <c r="L4522" s="801"/>
    </row>
    <row r="4523" spans="1:12" ht="24" customHeight="1">
      <c r="A4523" s="626" t="s">
        <v>12709</v>
      </c>
      <c r="B4523" s="627" t="s">
        <v>13002</v>
      </c>
      <c r="C4523" s="626" t="s">
        <v>8</v>
      </c>
      <c r="D4523" s="626" t="s">
        <v>9306</v>
      </c>
      <c r="E4523" s="628" t="s">
        <v>23</v>
      </c>
      <c r="F4523" s="816" t="s">
        <v>13677</v>
      </c>
      <c r="G4523" s="816"/>
      <c r="H4523" s="816">
        <v>1.1957732000000001</v>
      </c>
      <c r="I4523" s="816"/>
      <c r="J4523" s="817">
        <v>0.41849999999999998</v>
      </c>
      <c r="K4523" s="817"/>
      <c r="L4523" s="817"/>
    </row>
    <row r="4524" spans="1:12" ht="17.100000000000001" customHeight="1">
      <c r="A4524" s="626" t="s">
        <v>12709</v>
      </c>
      <c r="B4524" s="627" t="s">
        <v>13004</v>
      </c>
      <c r="C4524" s="626" t="s">
        <v>8</v>
      </c>
      <c r="D4524" s="626" t="s">
        <v>7388</v>
      </c>
      <c r="E4524" s="628" t="s">
        <v>23</v>
      </c>
      <c r="F4524" s="816" t="s">
        <v>13676</v>
      </c>
      <c r="G4524" s="816"/>
      <c r="H4524" s="816">
        <v>1.1957732000000001</v>
      </c>
      <c r="I4524" s="816"/>
      <c r="J4524" s="817">
        <v>2.6307</v>
      </c>
      <c r="K4524" s="817"/>
      <c r="L4524" s="817"/>
    </row>
    <row r="4525" spans="1:12">
      <c r="A4525" s="636"/>
      <c r="B4525" s="636"/>
      <c r="C4525" s="636"/>
      <c r="D4525" s="636"/>
      <c r="E4525" s="636"/>
      <c r="F4525" s="636"/>
      <c r="G4525" s="636"/>
      <c r="H4525" s="636"/>
      <c r="I4525" s="636"/>
      <c r="J4525" s="636" t="s">
        <v>13675</v>
      </c>
      <c r="K4525" s="636"/>
      <c r="L4525" s="636" t="s">
        <v>14719</v>
      </c>
    </row>
    <row r="4526" spans="1:12" ht="17.100000000000001" customHeight="1">
      <c r="A4526" s="612" t="s">
        <v>13673</v>
      </c>
      <c r="B4526" s="612"/>
      <c r="C4526" s="612"/>
      <c r="D4526" s="612"/>
      <c r="E4526" s="612"/>
      <c r="F4526" s="612"/>
      <c r="G4526" s="612"/>
      <c r="H4526" s="612"/>
      <c r="I4526" s="612"/>
      <c r="J4526" s="612"/>
      <c r="K4526" s="612"/>
      <c r="L4526" s="612"/>
    </row>
    <row r="4527" spans="1:12" ht="24" customHeight="1">
      <c r="A4527" s="636"/>
      <c r="B4527" s="636"/>
      <c r="C4527" s="636"/>
      <c r="D4527" s="636"/>
      <c r="E4527" s="636"/>
      <c r="F4527" s="636"/>
      <c r="G4527" s="636"/>
      <c r="H4527" s="636"/>
      <c r="I4527" s="636"/>
      <c r="J4527" s="636" t="s">
        <v>13672</v>
      </c>
      <c r="K4527" s="636"/>
      <c r="L4527" s="636" t="s">
        <v>15031</v>
      </c>
    </row>
    <row r="4528" spans="1:12" ht="24" customHeight="1">
      <c r="A4528" s="636"/>
      <c r="B4528" s="636"/>
      <c r="C4528" s="636"/>
      <c r="D4528" s="636"/>
      <c r="E4528" s="636"/>
      <c r="F4528" s="636"/>
      <c r="G4528" s="636"/>
      <c r="H4528" s="636"/>
      <c r="I4528" s="636"/>
      <c r="J4528" s="636" t="s">
        <v>13671</v>
      </c>
      <c r="K4528" s="636" t="s">
        <v>14461</v>
      </c>
      <c r="L4528" s="636" t="s">
        <v>14968</v>
      </c>
    </row>
    <row r="4529" spans="1:12" ht="17.100000000000001" customHeight="1">
      <c r="A4529" s="636"/>
      <c r="B4529" s="636"/>
      <c r="C4529" s="636"/>
      <c r="D4529" s="636"/>
      <c r="E4529" s="636"/>
      <c r="F4529" s="636"/>
      <c r="G4529" s="636"/>
      <c r="H4529" s="636"/>
      <c r="I4529" s="636"/>
      <c r="J4529" s="636" t="s">
        <v>13670</v>
      </c>
      <c r="K4529" s="636"/>
      <c r="L4529" s="636" t="s">
        <v>15032</v>
      </c>
    </row>
    <row r="4530" spans="1:12" ht="17.100000000000001" customHeight="1">
      <c r="A4530" s="636"/>
      <c r="B4530" s="636"/>
      <c r="C4530" s="636"/>
      <c r="D4530" s="636"/>
      <c r="E4530" s="636"/>
      <c r="F4530" s="636"/>
      <c r="G4530" s="636"/>
      <c r="H4530" s="636"/>
      <c r="I4530" s="636"/>
      <c r="J4530" s="636" t="s">
        <v>13669</v>
      </c>
      <c r="K4530" s="636" t="s">
        <v>13667</v>
      </c>
      <c r="L4530" s="636" t="s">
        <v>15033</v>
      </c>
    </row>
    <row r="4531" spans="1:12" ht="17.100000000000001" customHeight="1">
      <c r="A4531" s="636"/>
      <c r="B4531" s="636"/>
      <c r="C4531" s="636"/>
      <c r="D4531" s="636"/>
      <c r="E4531" s="636"/>
      <c r="F4531" s="636"/>
      <c r="G4531" s="636"/>
      <c r="H4531" s="636"/>
      <c r="I4531" s="636"/>
      <c r="J4531" s="636" t="s">
        <v>13668</v>
      </c>
      <c r="K4531" s="636"/>
      <c r="L4531" s="636" t="s">
        <v>15034</v>
      </c>
    </row>
    <row r="4532" spans="1:12" ht="17.100000000000001" customHeight="1">
      <c r="A4532" s="637"/>
      <c r="B4532" s="637"/>
      <c r="C4532" s="637"/>
      <c r="D4532" s="637"/>
      <c r="E4532" s="637"/>
      <c r="F4532" s="637"/>
      <c r="G4532" s="637"/>
      <c r="H4532" s="637"/>
      <c r="I4532" s="637"/>
      <c r="J4532" s="637"/>
      <c r="K4532" s="637"/>
      <c r="L4532" s="637"/>
    </row>
    <row r="4533" spans="1:12" ht="17.100000000000001" customHeight="1">
      <c r="A4533" s="616" t="s">
        <v>14115</v>
      </c>
      <c r="B4533" s="617" t="s">
        <v>13625</v>
      </c>
      <c r="C4533" s="616" t="s">
        <v>8</v>
      </c>
      <c r="D4533" s="616" t="s">
        <v>4874</v>
      </c>
      <c r="E4533" s="618" t="s">
        <v>12725</v>
      </c>
      <c r="F4533" s="617"/>
      <c r="G4533" s="617"/>
      <c r="H4533" s="617"/>
      <c r="I4533" s="617"/>
      <c r="J4533" s="617"/>
      <c r="K4533" s="617"/>
      <c r="L4533" s="617"/>
    </row>
    <row r="4534" spans="1:12" ht="17.100000000000001" customHeight="1">
      <c r="A4534" s="802" t="s">
        <v>12711</v>
      </c>
      <c r="B4534" s="802"/>
      <c r="C4534" s="802"/>
      <c r="D4534" s="802"/>
      <c r="E4534" s="802"/>
      <c r="F4534" s="802"/>
      <c r="G4534" s="802"/>
      <c r="H4534" s="802"/>
      <c r="I4534" s="612"/>
      <c r="J4534" s="612"/>
      <c r="K4534" s="612"/>
      <c r="L4534" s="612"/>
    </row>
    <row r="4535" spans="1:12" ht="17.100000000000001" customHeight="1">
      <c r="A4535" s="612" t="s">
        <v>13679</v>
      </c>
      <c r="B4535" s="636" t="s">
        <v>12698</v>
      </c>
      <c r="C4535" s="612" t="s">
        <v>12699</v>
      </c>
      <c r="D4535" s="612" t="s">
        <v>12700</v>
      </c>
      <c r="E4535" s="637" t="s">
        <v>12702</v>
      </c>
      <c r="F4535" s="801" t="s">
        <v>12704</v>
      </c>
      <c r="G4535" s="801"/>
      <c r="H4535" s="801" t="s">
        <v>13678</v>
      </c>
      <c r="I4535" s="801"/>
      <c r="J4535" s="801" t="s">
        <v>12705</v>
      </c>
      <c r="K4535" s="801"/>
      <c r="L4535" s="801"/>
    </row>
    <row r="4536" spans="1:12" ht="30" customHeight="1">
      <c r="A4536" s="626" t="s">
        <v>12709</v>
      </c>
      <c r="B4536" s="627" t="s">
        <v>13048</v>
      </c>
      <c r="C4536" s="626" t="s">
        <v>8</v>
      </c>
      <c r="D4536" s="626" t="s">
        <v>9233</v>
      </c>
      <c r="E4536" s="628" t="s">
        <v>23</v>
      </c>
      <c r="F4536" s="816" t="s">
        <v>13690</v>
      </c>
      <c r="G4536" s="816"/>
      <c r="H4536" s="816">
        <v>8.4681099999999995E-2</v>
      </c>
      <c r="I4536" s="816"/>
      <c r="J4536" s="817">
        <v>8.6400000000000005E-2</v>
      </c>
      <c r="K4536" s="817"/>
      <c r="L4536" s="817"/>
    </row>
    <row r="4537" spans="1:12" ht="36" customHeight="1">
      <c r="A4537" s="626" t="s">
        <v>12709</v>
      </c>
      <c r="B4537" s="627" t="s">
        <v>13047</v>
      </c>
      <c r="C4537" s="626" t="s">
        <v>8</v>
      </c>
      <c r="D4537" s="626" t="s">
        <v>9380</v>
      </c>
      <c r="E4537" s="628" t="s">
        <v>23</v>
      </c>
      <c r="F4537" s="816" t="s">
        <v>13689</v>
      </c>
      <c r="G4537" s="816"/>
      <c r="H4537" s="816">
        <v>8.4681099999999995E-2</v>
      </c>
      <c r="I4537" s="816"/>
      <c r="J4537" s="817">
        <v>3.2199999999999999E-2</v>
      </c>
      <c r="K4537" s="817"/>
      <c r="L4537" s="817"/>
    </row>
    <row r="4538" spans="1:12" ht="14.25" customHeight="1">
      <c r="A4538" s="626" t="s">
        <v>12709</v>
      </c>
      <c r="B4538" s="627" t="s">
        <v>13052</v>
      </c>
      <c r="C4538" s="626" t="s">
        <v>8</v>
      </c>
      <c r="D4538" s="626" t="s">
        <v>9229</v>
      </c>
      <c r="E4538" s="628" t="s">
        <v>23</v>
      </c>
      <c r="F4538" s="816" t="s">
        <v>13692</v>
      </c>
      <c r="G4538" s="816"/>
      <c r="H4538" s="816">
        <v>0.42041699999999999</v>
      </c>
      <c r="I4538" s="816"/>
      <c r="J4538" s="817">
        <v>0.40360000000000001</v>
      </c>
      <c r="K4538" s="817"/>
      <c r="L4538" s="817"/>
    </row>
    <row r="4539" spans="1:12" ht="17.100000000000001" customHeight="1">
      <c r="A4539" s="626" t="s">
        <v>12709</v>
      </c>
      <c r="B4539" s="627" t="s">
        <v>13051</v>
      </c>
      <c r="C4539" s="626" t="s">
        <v>8</v>
      </c>
      <c r="D4539" s="626" t="s">
        <v>9376</v>
      </c>
      <c r="E4539" s="628" t="s">
        <v>23</v>
      </c>
      <c r="F4539" s="816" t="s">
        <v>13691</v>
      </c>
      <c r="G4539" s="816"/>
      <c r="H4539" s="816">
        <v>0.42041699999999999</v>
      </c>
      <c r="I4539" s="816"/>
      <c r="J4539" s="817">
        <v>0.2102</v>
      </c>
      <c r="K4539" s="817"/>
      <c r="L4539" s="817"/>
    </row>
    <row r="4540" spans="1:12" ht="48" customHeight="1">
      <c r="A4540" s="636"/>
      <c r="B4540" s="636"/>
      <c r="C4540" s="636"/>
      <c r="D4540" s="636"/>
      <c r="E4540" s="636"/>
      <c r="F4540" s="636"/>
      <c r="G4540" s="636"/>
      <c r="H4540" s="636"/>
      <c r="I4540" s="636"/>
      <c r="J4540" s="636" t="s">
        <v>13675</v>
      </c>
      <c r="K4540" s="636"/>
      <c r="L4540" s="636" t="s">
        <v>13820</v>
      </c>
    </row>
    <row r="4541" spans="1:12" ht="24" customHeight="1">
      <c r="A4541" s="802" t="s">
        <v>12710</v>
      </c>
      <c r="B4541" s="802"/>
      <c r="C4541" s="802"/>
      <c r="D4541" s="802"/>
      <c r="E4541" s="802"/>
      <c r="F4541" s="802"/>
      <c r="G4541" s="802"/>
      <c r="H4541" s="802"/>
      <c r="I4541" s="612"/>
      <c r="J4541" s="612"/>
      <c r="K4541" s="612"/>
      <c r="L4541" s="612"/>
    </row>
    <row r="4542" spans="1:12" ht="24" customHeight="1">
      <c r="A4542" s="612" t="s">
        <v>13679</v>
      </c>
      <c r="B4542" s="636" t="s">
        <v>12698</v>
      </c>
      <c r="C4542" s="612" t="s">
        <v>12699</v>
      </c>
      <c r="D4542" s="612" t="s">
        <v>12700</v>
      </c>
      <c r="E4542" s="637" t="s">
        <v>12702</v>
      </c>
      <c r="F4542" s="801" t="s">
        <v>12704</v>
      </c>
      <c r="G4542" s="801"/>
      <c r="H4542" s="801" t="s">
        <v>13678</v>
      </c>
      <c r="I4542" s="801"/>
      <c r="J4542" s="801" t="s">
        <v>12705</v>
      </c>
      <c r="K4542" s="801"/>
      <c r="L4542" s="801"/>
    </row>
    <row r="4543" spans="1:12" ht="17.100000000000001" customHeight="1">
      <c r="A4543" s="626" t="s">
        <v>12709</v>
      </c>
      <c r="B4543" s="627" t="s">
        <v>13226</v>
      </c>
      <c r="C4543" s="626" t="s">
        <v>8</v>
      </c>
      <c r="D4543" s="626" t="s">
        <v>7374</v>
      </c>
      <c r="E4543" s="628" t="s">
        <v>23</v>
      </c>
      <c r="F4543" s="816" t="s">
        <v>14702</v>
      </c>
      <c r="G4543" s="816"/>
      <c r="H4543" s="816">
        <v>8.5489499999999996E-2</v>
      </c>
      <c r="I4543" s="816"/>
      <c r="J4543" s="817">
        <v>0.57020000000000004</v>
      </c>
      <c r="K4543" s="817"/>
      <c r="L4543" s="817"/>
    </row>
    <row r="4544" spans="1:12" ht="14.25" customHeight="1">
      <c r="A4544" s="626" t="s">
        <v>12709</v>
      </c>
      <c r="B4544" s="627" t="s">
        <v>13170</v>
      </c>
      <c r="C4544" s="626" t="s">
        <v>8</v>
      </c>
      <c r="D4544" s="626" t="s">
        <v>9625</v>
      </c>
      <c r="E4544" s="628" t="s">
        <v>23</v>
      </c>
      <c r="F4544" s="816" t="s">
        <v>14574</v>
      </c>
      <c r="G4544" s="816"/>
      <c r="H4544" s="816">
        <v>0.42725160000000001</v>
      </c>
      <c r="I4544" s="816"/>
      <c r="J4544" s="817">
        <v>3.1274999999999999</v>
      </c>
      <c r="K4544" s="817"/>
      <c r="L4544" s="817"/>
    </row>
    <row r="4545" spans="1:12" ht="17.100000000000001" customHeight="1">
      <c r="A4545" s="636"/>
      <c r="B4545" s="636"/>
      <c r="C4545" s="636"/>
      <c r="D4545" s="636"/>
      <c r="E4545" s="636"/>
      <c r="F4545" s="636"/>
      <c r="G4545" s="636"/>
      <c r="H4545" s="636"/>
      <c r="I4545" s="636"/>
      <c r="J4545" s="636" t="s">
        <v>13675</v>
      </c>
      <c r="K4545" s="636"/>
      <c r="L4545" s="636" t="s">
        <v>13719</v>
      </c>
    </row>
    <row r="4546" spans="1:12" ht="24" customHeight="1">
      <c r="A4546" s="802" t="s">
        <v>12720</v>
      </c>
      <c r="B4546" s="802"/>
      <c r="C4546" s="802"/>
      <c r="D4546" s="802"/>
      <c r="E4546" s="802"/>
      <c r="F4546" s="802"/>
      <c r="G4546" s="802"/>
      <c r="H4546" s="802"/>
      <c r="I4546" s="612"/>
      <c r="J4546" s="612"/>
      <c r="K4546" s="612"/>
      <c r="L4546" s="612"/>
    </row>
    <row r="4547" spans="1:12" ht="17.100000000000001" customHeight="1">
      <c r="A4547" s="612" t="s">
        <v>13679</v>
      </c>
      <c r="B4547" s="636" t="s">
        <v>12698</v>
      </c>
      <c r="C4547" s="612" t="s">
        <v>12699</v>
      </c>
      <c r="D4547" s="612" t="s">
        <v>12700</v>
      </c>
      <c r="E4547" s="637" t="s">
        <v>12702</v>
      </c>
      <c r="F4547" s="801" t="s">
        <v>12704</v>
      </c>
      <c r="G4547" s="801"/>
      <c r="H4547" s="801" t="s">
        <v>13678</v>
      </c>
      <c r="I4547" s="801"/>
      <c r="J4547" s="801" t="s">
        <v>12705</v>
      </c>
      <c r="K4547" s="801"/>
      <c r="L4547" s="801"/>
    </row>
    <row r="4548" spans="1:12" ht="38.25">
      <c r="A4548" s="626" t="s">
        <v>12709</v>
      </c>
      <c r="B4548" s="627" t="s">
        <v>13624</v>
      </c>
      <c r="C4548" s="626" t="s">
        <v>8</v>
      </c>
      <c r="D4548" s="626" t="s">
        <v>10338</v>
      </c>
      <c r="E4548" s="628" t="s">
        <v>20</v>
      </c>
      <c r="F4548" s="816" t="s">
        <v>14718</v>
      </c>
      <c r="G4548" s="816"/>
      <c r="H4548" s="816">
        <v>1.5</v>
      </c>
      <c r="I4548" s="816"/>
      <c r="J4548" s="817">
        <v>14.35</v>
      </c>
      <c r="K4548" s="817"/>
      <c r="L4548" s="817"/>
    </row>
    <row r="4549" spans="1:12" ht="17.100000000000001" customHeight="1">
      <c r="A4549" s="636"/>
      <c r="B4549" s="636"/>
      <c r="C4549" s="636"/>
      <c r="D4549" s="636"/>
      <c r="E4549" s="636"/>
      <c r="F4549" s="636"/>
      <c r="G4549" s="636"/>
      <c r="H4549" s="636"/>
      <c r="I4549" s="636"/>
      <c r="J4549" s="636" t="s">
        <v>13675</v>
      </c>
      <c r="K4549" s="636"/>
      <c r="L4549" s="636" t="s">
        <v>13960</v>
      </c>
    </row>
    <row r="4550" spans="1:12" ht="24" customHeight="1">
      <c r="A4550" s="802" t="s">
        <v>12722</v>
      </c>
      <c r="B4550" s="802"/>
      <c r="C4550" s="802"/>
      <c r="D4550" s="802"/>
      <c r="E4550" s="802"/>
      <c r="F4550" s="802"/>
      <c r="G4550" s="802"/>
      <c r="H4550" s="802"/>
      <c r="I4550" s="612"/>
      <c r="J4550" s="612"/>
      <c r="K4550" s="612"/>
      <c r="L4550" s="612"/>
    </row>
    <row r="4551" spans="1:12" ht="24" customHeight="1">
      <c r="A4551" s="612" t="s">
        <v>13679</v>
      </c>
      <c r="B4551" s="636" t="s">
        <v>12698</v>
      </c>
      <c r="C4551" s="612" t="s">
        <v>12699</v>
      </c>
      <c r="D4551" s="612" t="s">
        <v>12700</v>
      </c>
      <c r="E4551" s="637" t="s">
        <v>12702</v>
      </c>
      <c r="F4551" s="801" t="s">
        <v>12704</v>
      </c>
      <c r="G4551" s="801"/>
      <c r="H4551" s="801" t="s">
        <v>13678</v>
      </c>
      <c r="I4551" s="801"/>
      <c r="J4551" s="801" t="s">
        <v>12705</v>
      </c>
      <c r="K4551" s="801"/>
      <c r="L4551" s="801"/>
    </row>
    <row r="4552" spans="1:12" ht="17.100000000000001" customHeight="1">
      <c r="A4552" s="626" t="s">
        <v>12709</v>
      </c>
      <c r="B4552" s="627" t="s">
        <v>12998</v>
      </c>
      <c r="C4552" s="626" t="s">
        <v>8</v>
      </c>
      <c r="D4552" s="626" t="s">
        <v>11861</v>
      </c>
      <c r="E4552" s="628" t="s">
        <v>23</v>
      </c>
      <c r="F4552" s="816" t="s">
        <v>13683</v>
      </c>
      <c r="G4552" s="816"/>
      <c r="H4552" s="816">
        <v>0.50509809999999999</v>
      </c>
      <c r="I4552" s="816"/>
      <c r="J4552" s="817">
        <v>0.35859999999999997</v>
      </c>
      <c r="K4552" s="817"/>
      <c r="L4552" s="817"/>
    </row>
    <row r="4553" spans="1:12">
      <c r="A4553" s="636"/>
      <c r="B4553" s="636"/>
      <c r="C4553" s="636"/>
      <c r="D4553" s="636"/>
      <c r="E4553" s="636"/>
      <c r="F4553" s="636"/>
      <c r="G4553" s="636"/>
      <c r="H4553" s="636"/>
      <c r="I4553" s="636"/>
      <c r="J4553" s="636" t="s">
        <v>13675</v>
      </c>
      <c r="K4553" s="636"/>
      <c r="L4553" s="636" t="s">
        <v>13688</v>
      </c>
    </row>
    <row r="4554" spans="1:12" ht="17.100000000000001" customHeight="1">
      <c r="A4554" s="802" t="s">
        <v>12713</v>
      </c>
      <c r="B4554" s="802"/>
      <c r="C4554" s="802"/>
      <c r="D4554" s="802"/>
      <c r="E4554" s="802"/>
      <c r="F4554" s="802"/>
      <c r="G4554" s="802"/>
      <c r="H4554" s="802"/>
      <c r="I4554" s="612"/>
      <c r="J4554" s="612"/>
      <c r="K4554" s="612"/>
      <c r="L4554" s="612"/>
    </row>
    <row r="4555" spans="1:12" ht="24" customHeight="1">
      <c r="A4555" s="612" t="s">
        <v>13679</v>
      </c>
      <c r="B4555" s="636" t="s">
        <v>12698</v>
      </c>
      <c r="C4555" s="612" t="s">
        <v>12699</v>
      </c>
      <c r="D4555" s="612" t="s">
        <v>12700</v>
      </c>
      <c r="E4555" s="637" t="s">
        <v>12702</v>
      </c>
      <c r="F4555" s="801" t="s">
        <v>12704</v>
      </c>
      <c r="G4555" s="801"/>
      <c r="H4555" s="801" t="s">
        <v>13678</v>
      </c>
      <c r="I4555" s="801"/>
      <c r="J4555" s="801" t="s">
        <v>12705</v>
      </c>
      <c r="K4555" s="801"/>
      <c r="L4555" s="801"/>
    </row>
    <row r="4556" spans="1:12" ht="17.100000000000001" customHeight="1">
      <c r="A4556" s="626" t="s">
        <v>12709</v>
      </c>
      <c r="B4556" s="627" t="s">
        <v>12999</v>
      </c>
      <c r="C4556" s="626" t="s">
        <v>8</v>
      </c>
      <c r="D4556" s="626" t="s">
        <v>11251</v>
      </c>
      <c r="E4556" s="628" t="s">
        <v>23</v>
      </c>
      <c r="F4556" s="816" t="s">
        <v>13681</v>
      </c>
      <c r="G4556" s="816"/>
      <c r="H4556" s="816">
        <v>0.50509809999999999</v>
      </c>
      <c r="I4556" s="816"/>
      <c r="J4556" s="817">
        <v>3.5400000000000001E-2</v>
      </c>
      <c r="K4556" s="817"/>
      <c r="L4556" s="817"/>
    </row>
    <row r="4557" spans="1:12">
      <c r="A4557" s="636"/>
      <c r="B4557" s="636"/>
      <c r="C4557" s="636"/>
      <c r="D4557" s="636"/>
      <c r="E4557" s="636"/>
      <c r="F4557" s="636"/>
      <c r="G4557" s="636"/>
      <c r="H4557" s="636"/>
      <c r="I4557" s="636"/>
      <c r="J4557" s="636" t="s">
        <v>13675</v>
      </c>
      <c r="K4557" s="636"/>
      <c r="L4557" s="636" t="s">
        <v>13716</v>
      </c>
    </row>
    <row r="4558" spans="1:12" ht="17.100000000000001" customHeight="1">
      <c r="A4558" s="802" t="s">
        <v>12712</v>
      </c>
      <c r="B4558" s="802"/>
      <c r="C4558" s="802"/>
      <c r="D4558" s="802"/>
      <c r="E4558" s="802"/>
      <c r="F4558" s="802"/>
      <c r="G4558" s="802"/>
      <c r="H4558" s="802"/>
      <c r="I4558" s="612"/>
      <c r="J4558" s="612"/>
      <c r="K4558" s="612"/>
      <c r="L4558" s="612"/>
    </row>
    <row r="4559" spans="1:12" ht="24" customHeight="1">
      <c r="A4559" s="612" t="s">
        <v>13679</v>
      </c>
      <c r="B4559" s="636" t="s">
        <v>12698</v>
      </c>
      <c r="C4559" s="612" t="s">
        <v>12699</v>
      </c>
      <c r="D4559" s="612" t="s">
        <v>12700</v>
      </c>
      <c r="E4559" s="637" t="s">
        <v>12702</v>
      </c>
      <c r="F4559" s="801" t="s">
        <v>12704</v>
      </c>
      <c r="G4559" s="801"/>
      <c r="H4559" s="801" t="s">
        <v>13678</v>
      </c>
      <c r="I4559" s="801"/>
      <c r="J4559" s="801" t="s">
        <v>12705</v>
      </c>
      <c r="K4559" s="801"/>
      <c r="L4559" s="801"/>
    </row>
    <row r="4560" spans="1:12" ht="17.100000000000001" customHeight="1">
      <c r="A4560" s="626" t="s">
        <v>12709</v>
      </c>
      <c r="B4560" s="627" t="s">
        <v>13002</v>
      </c>
      <c r="C4560" s="626" t="s">
        <v>8</v>
      </c>
      <c r="D4560" s="626" t="s">
        <v>9306</v>
      </c>
      <c r="E4560" s="628" t="s">
        <v>23</v>
      </c>
      <c r="F4560" s="816" t="s">
        <v>13677</v>
      </c>
      <c r="G4560" s="816"/>
      <c r="H4560" s="816">
        <v>0.50509809999999999</v>
      </c>
      <c r="I4560" s="816"/>
      <c r="J4560" s="817">
        <v>0.17680000000000001</v>
      </c>
      <c r="K4560" s="817"/>
      <c r="L4560" s="817"/>
    </row>
    <row r="4561" spans="1:12" ht="25.5">
      <c r="A4561" s="626" t="s">
        <v>12709</v>
      </c>
      <c r="B4561" s="627" t="s">
        <v>13004</v>
      </c>
      <c r="C4561" s="626" t="s">
        <v>8</v>
      </c>
      <c r="D4561" s="626" t="s">
        <v>7388</v>
      </c>
      <c r="E4561" s="628" t="s">
        <v>23</v>
      </c>
      <c r="F4561" s="816" t="s">
        <v>13676</v>
      </c>
      <c r="G4561" s="816"/>
      <c r="H4561" s="816">
        <v>0.50509809999999999</v>
      </c>
      <c r="I4561" s="816"/>
      <c r="J4561" s="817">
        <v>1.1112</v>
      </c>
      <c r="K4561" s="817"/>
      <c r="L4561" s="817"/>
    </row>
    <row r="4562" spans="1:12" ht="17.100000000000001" customHeight="1">
      <c r="A4562" s="636"/>
      <c r="B4562" s="636"/>
      <c r="C4562" s="636"/>
      <c r="D4562" s="636"/>
      <c r="E4562" s="636"/>
      <c r="F4562" s="636"/>
      <c r="G4562" s="636"/>
      <c r="H4562" s="636"/>
      <c r="I4562" s="636"/>
      <c r="J4562" s="636" t="s">
        <v>13675</v>
      </c>
      <c r="K4562" s="636"/>
      <c r="L4562" s="636" t="s">
        <v>13912</v>
      </c>
    </row>
    <row r="4563" spans="1:12" ht="24" customHeight="1">
      <c r="A4563" s="612" t="s">
        <v>13673</v>
      </c>
      <c r="B4563" s="612"/>
      <c r="C4563" s="612"/>
      <c r="D4563" s="612"/>
      <c r="E4563" s="612"/>
      <c r="F4563" s="612"/>
      <c r="G4563" s="612"/>
      <c r="H4563" s="612"/>
      <c r="I4563" s="612"/>
      <c r="J4563" s="612"/>
      <c r="K4563" s="612"/>
      <c r="L4563" s="612"/>
    </row>
    <row r="4564" spans="1:12" ht="24" customHeight="1">
      <c r="A4564" s="636"/>
      <c r="B4564" s="636"/>
      <c r="C4564" s="636"/>
      <c r="D4564" s="636"/>
      <c r="E4564" s="636"/>
      <c r="F4564" s="636"/>
      <c r="G4564" s="636"/>
      <c r="H4564" s="636"/>
      <c r="I4564" s="636"/>
      <c r="J4564" s="636" t="s">
        <v>13672</v>
      </c>
      <c r="K4564" s="636"/>
      <c r="L4564" s="636" t="s">
        <v>15026</v>
      </c>
    </row>
    <row r="4565" spans="1:12" ht="17.100000000000001" customHeight="1">
      <c r="A4565" s="636"/>
      <c r="B4565" s="636"/>
      <c r="C4565" s="636"/>
      <c r="D4565" s="636"/>
      <c r="E4565" s="636"/>
      <c r="F4565" s="636"/>
      <c r="G4565" s="636"/>
      <c r="H4565" s="636"/>
      <c r="I4565" s="636"/>
      <c r="J4565" s="636" t="s">
        <v>13671</v>
      </c>
      <c r="K4565" s="636" t="s">
        <v>14461</v>
      </c>
      <c r="L4565" s="636" t="s">
        <v>15027</v>
      </c>
    </row>
    <row r="4566" spans="1:12" ht="17.100000000000001" customHeight="1">
      <c r="A4566" s="636"/>
      <c r="B4566" s="636"/>
      <c r="C4566" s="636"/>
      <c r="D4566" s="636"/>
      <c r="E4566" s="636"/>
      <c r="F4566" s="636"/>
      <c r="G4566" s="636"/>
      <c r="H4566" s="636"/>
      <c r="I4566" s="636"/>
      <c r="J4566" s="636" t="s">
        <v>13670</v>
      </c>
      <c r="K4566" s="636"/>
      <c r="L4566" s="636" t="s">
        <v>15028</v>
      </c>
    </row>
    <row r="4567" spans="1:12" ht="17.100000000000001" customHeight="1">
      <c r="A4567" s="636"/>
      <c r="B4567" s="636"/>
      <c r="C4567" s="636"/>
      <c r="D4567" s="636"/>
      <c r="E4567" s="636"/>
      <c r="F4567" s="636"/>
      <c r="G4567" s="636"/>
      <c r="H4567" s="636"/>
      <c r="I4567" s="636"/>
      <c r="J4567" s="636" t="s">
        <v>13669</v>
      </c>
      <c r="K4567" s="636" t="s">
        <v>13667</v>
      </c>
      <c r="L4567" s="636" t="s">
        <v>15029</v>
      </c>
    </row>
    <row r="4568" spans="1:12" ht="17.100000000000001" customHeight="1">
      <c r="A4568" s="636"/>
      <c r="B4568" s="636"/>
      <c r="C4568" s="636"/>
      <c r="D4568" s="636"/>
      <c r="E4568" s="636"/>
      <c r="F4568" s="636"/>
      <c r="G4568" s="636"/>
      <c r="H4568" s="636"/>
      <c r="I4568" s="636"/>
      <c r="J4568" s="636" t="s">
        <v>13668</v>
      </c>
      <c r="K4568" s="636"/>
      <c r="L4568" s="636" t="s">
        <v>15030</v>
      </c>
    </row>
    <row r="4569" spans="1:12" ht="17.100000000000001" customHeight="1">
      <c r="A4569" s="637"/>
      <c r="B4569" s="637"/>
      <c r="C4569" s="637"/>
      <c r="D4569" s="637"/>
      <c r="E4569" s="637"/>
      <c r="F4569" s="637"/>
      <c r="G4569" s="637"/>
      <c r="H4569" s="637"/>
      <c r="I4569" s="637"/>
      <c r="J4569" s="637"/>
      <c r="K4569" s="637"/>
      <c r="L4569" s="637"/>
    </row>
    <row r="4570" spans="1:12" ht="17.100000000000001" customHeight="1">
      <c r="A4570" s="616" t="s">
        <v>14113</v>
      </c>
      <c r="B4570" s="617" t="s">
        <v>13637</v>
      </c>
      <c r="C4570" s="616" t="s">
        <v>8</v>
      </c>
      <c r="D4570" s="616" t="s">
        <v>38</v>
      </c>
      <c r="E4570" s="618" t="s">
        <v>12730</v>
      </c>
      <c r="F4570" s="617"/>
      <c r="G4570" s="617"/>
      <c r="H4570" s="617"/>
      <c r="I4570" s="617"/>
      <c r="J4570" s="617"/>
      <c r="K4570" s="617"/>
      <c r="L4570" s="617"/>
    </row>
    <row r="4571" spans="1:12" ht="17.100000000000001" customHeight="1">
      <c r="A4571" s="802" t="s">
        <v>12711</v>
      </c>
      <c r="B4571" s="802"/>
      <c r="C4571" s="802"/>
      <c r="D4571" s="802"/>
      <c r="E4571" s="802"/>
      <c r="F4571" s="802"/>
      <c r="G4571" s="802"/>
      <c r="H4571" s="802"/>
      <c r="I4571" s="612"/>
      <c r="J4571" s="612"/>
      <c r="K4571" s="612"/>
      <c r="L4571" s="612"/>
    </row>
    <row r="4572" spans="1:12" ht="30" customHeight="1">
      <c r="A4572" s="612" t="s">
        <v>13679</v>
      </c>
      <c r="B4572" s="636" t="s">
        <v>12698</v>
      </c>
      <c r="C4572" s="612" t="s">
        <v>12699</v>
      </c>
      <c r="D4572" s="612" t="s">
        <v>12700</v>
      </c>
      <c r="E4572" s="637" t="s">
        <v>12702</v>
      </c>
      <c r="F4572" s="801" t="s">
        <v>12704</v>
      </c>
      <c r="G4572" s="801"/>
      <c r="H4572" s="801" t="s">
        <v>13678</v>
      </c>
      <c r="I4572" s="801"/>
      <c r="J4572" s="801" t="s">
        <v>12705</v>
      </c>
      <c r="K4572" s="801"/>
      <c r="L4572" s="801"/>
    </row>
    <row r="4573" spans="1:12" ht="36" customHeight="1">
      <c r="A4573" s="626" t="s">
        <v>12709</v>
      </c>
      <c r="B4573" s="627" t="s">
        <v>13280</v>
      </c>
      <c r="C4573" s="626" t="s">
        <v>8</v>
      </c>
      <c r="D4573" s="626" t="s">
        <v>8193</v>
      </c>
      <c r="E4573" s="628" t="s">
        <v>35</v>
      </c>
      <c r="F4573" s="816" t="s">
        <v>14491</v>
      </c>
      <c r="G4573" s="816"/>
      <c r="H4573" s="816">
        <v>1.26E-5</v>
      </c>
      <c r="I4573" s="816"/>
      <c r="J4573" s="817">
        <v>3.6513</v>
      </c>
      <c r="K4573" s="817"/>
      <c r="L4573" s="817"/>
    </row>
    <row r="4574" spans="1:12" ht="14.25" customHeight="1">
      <c r="A4574" s="626" t="s">
        <v>12709</v>
      </c>
      <c r="B4574" s="627" t="s">
        <v>13003</v>
      </c>
      <c r="C4574" s="626" t="s">
        <v>8</v>
      </c>
      <c r="D4574" s="626" t="s">
        <v>9227</v>
      </c>
      <c r="E4574" s="628" t="s">
        <v>23</v>
      </c>
      <c r="F4574" s="816" t="s">
        <v>13732</v>
      </c>
      <c r="G4574" s="816"/>
      <c r="H4574" s="816">
        <v>0.2493167</v>
      </c>
      <c r="I4574" s="816"/>
      <c r="J4574" s="817">
        <v>0.16450000000000001</v>
      </c>
      <c r="K4574" s="817"/>
      <c r="L4574" s="817"/>
    </row>
    <row r="4575" spans="1:12" ht="17.100000000000001" customHeight="1">
      <c r="A4575" s="626" t="s">
        <v>12709</v>
      </c>
      <c r="B4575" s="627" t="s">
        <v>13001</v>
      </c>
      <c r="C4575" s="626" t="s">
        <v>8</v>
      </c>
      <c r="D4575" s="626" t="s">
        <v>9374</v>
      </c>
      <c r="E4575" s="628" t="s">
        <v>23</v>
      </c>
      <c r="F4575" s="816" t="s">
        <v>13728</v>
      </c>
      <c r="G4575" s="816"/>
      <c r="H4575" s="816">
        <v>0.2493167</v>
      </c>
      <c r="I4575" s="816"/>
      <c r="J4575" s="817">
        <v>2.5000000000000001E-3</v>
      </c>
      <c r="K4575" s="817"/>
      <c r="L4575" s="817"/>
    </row>
    <row r="4576" spans="1:12" ht="36" customHeight="1">
      <c r="A4576" s="626" t="s">
        <v>12709</v>
      </c>
      <c r="B4576" s="627" t="s">
        <v>13048</v>
      </c>
      <c r="C4576" s="626" t="s">
        <v>8</v>
      </c>
      <c r="D4576" s="626" t="s">
        <v>9233</v>
      </c>
      <c r="E4576" s="628" t="s">
        <v>23</v>
      </c>
      <c r="F4576" s="816" t="s">
        <v>13690</v>
      </c>
      <c r="G4576" s="816"/>
      <c r="H4576" s="816">
        <v>0.69808680000000001</v>
      </c>
      <c r="I4576" s="816"/>
      <c r="J4576" s="817">
        <v>0.71199999999999997</v>
      </c>
      <c r="K4576" s="817"/>
      <c r="L4576" s="817"/>
    </row>
    <row r="4577" spans="1:12" ht="24" customHeight="1">
      <c r="A4577" s="626" t="s">
        <v>12709</v>
      </c>
      <c r="B4577" s="627" t="s">
        <v>13047</v>
      </c>
      <c r="C4577" s="626" t="s">
        <v>8</v>
      </c>
      <c r="D4577" s="626" t="s">
        <v>9380</v>
      </c>
      <c r="E4577" s="628" t="s">
        <v>23</v>
      </c>
      <c r="F4577" s="816" t="s">
        <v>13689</v>
      </c>
      <c r="G4577" s="816"/>
      <c r="H4577" s="816">
        <v>0.69808680000000001</v>
      </c>
      <c r="I4577" s="816"/>
      <c r="J4577" s="817">
        <v>0.26529999999999998</v>
      </c>
      <c r="K4577" s="817"/>
      <c r="L4577" s="817"/>
    </row>
    <row r="4578" spans="1:12" ht="24" customHeight="1">
      <c r="A4578" s="636"/>
      <c r="B4578" s="636"/>
      <c r="C4578" s="636"/>
      <c r="D4578" s="636"/>
      <c r="E4578" s="636"/>
      <c r="F4578" s="636"/>
      <c r="G4578" s="636"/>
      <c r="H4578" s="636"/>
      <c r="I4578" s="636"/>
      <c r="J4578" s="636" t="s">
        <v>13675</v>
      </c>
      <c r="K4578" s="636"/>
      <c r="L4578" s="636" t="s">
        <v>13949</v>
      </c>
    </row>
    <row r="4579" spans="1:12" ht="24" customHeight="1">
      <c r="A4579" s="802" t="s">
        <v>12710</v>
      </c>
      <c r="B4579" s="802"/>
      <c r="C4579" s="802"/>
      <c r="D4579" s="802"/>
      <c r="E4579" s="802"/>
      <c r="F4579" s="802"/>
      <c r="G4579" s="802"/>
      <c r="H4579" s="802"/>
      <c r="I4579" s="612"/>
      <c r="J4579" s="612"/>
      <c r="K4579" s="612"/>
      <c r="L4579" s="612"/>
    </row>
    <row r="4580" spans="1:12" ht="24" customHeight="1">
      <c r="A4580" s="612" t="s">
        <v>13679</v>
      </c>
      <c r="B4580" s="636" t="s">
        <v>12698</v>
      </c>
      <c r="C4580" s="612" t="s">
        <v>12699</v>
      </c>
      <c r="D4580" s="612" t="s">
        <v>12700</v>
      </c>
      <c r="E4580" s="637" t="s">
        <v>12702</v>
      </c>
      <c r="F4580" s="801" t="s">
        <v>12704</v>
      </c>
      <c r="G4580" s="801"/>
      <c r="H4580" s="801" t="s">
        <v>13678</v>
      </c>
      <c r="I4580" s="801"/>
      <c r="J4580" s="801" t="s">
        <v>12705</v>
      </c>
      <c r="K4580" s="801"/>
      <c r="L4580" s="801"/>
    </row>
    <row r="4581" spans="1:12" ht="17.100000000000001" customHeight="1">
      <c r="A4581" s="626" t="s">
        <v>12709</v>
      </c>
      <c r="B4581" s="627" t="s">
        <v>13129</v>
      </c>
      <c r="C4581" s="626" t="s">
        <v>8</v>
      </c>
      <c r="D4581" s="626" t="s">
        <v>10467</v>
      </c>
      <c r="E4581" s="628" t="s">
        <v>23</v>
      </c>
      <c r="F4581" s="816" t="s">
        <v>14252</v>
      </c>
      <c r="G4581" s="816"/>
      <c r="H4581" s="816">
        <v>0.25041940000000001</v>
      </c>
      <c r="I4581" s="816"/>
      <c r="J4581" s="817">
        <v>1.2971999999999999</v>
      </c>
      <c r="K4581" s="817"/>
      <c r="L4581" s="817"/>
    </row>
    <row r="4582" spans="1:12" ht="14.25" customHeight="1">
      <c r="A4582" s="626" t="s">
        <v>12709</v>
      </c>
      <c r="B4582" s="627" t="s">
        <v>13046</v>
      </c>
      <c r="C4582" s="626" t="s">
        <v>8</v>
      </c>
      <c r="D4582" s="626" t="s">
        <v>11281</v>
      </c>
      <c r="E4582" s="628" t="s">
        <v>23</v>
      </c>
      <c r="F4582" s="816" t="s">
        <v>13731</v>
      </c>
      <c r="G4582" s="816"/>
      <c r="H4582" s="816">
        <v>0.70893030000000001</v>
      </c>
      <c r="I4582" s="816"/>
      <c r="J4582" s="817">
        <v>3.6438999999999999</v>
      </c>
      <c r="K4582" s="817"/>
      <c r="L4582" s="817"/>
    </row>
    <row r="4583" spans="1:12" ht="17.100000000000001" customHeight="1">
      <c r="A4583" s="636"/>
      <c r="B4583" s="636"/>
      <c r="C4583" s="636"/>
      <c r="D4583" s="636"/>
      <c r="E4583" s="636"/>
      <c r="F4583" s="636"/>
      <c r="G4583" s="636"/>
      <c r="H4583" s="636"/>
      <c r="I4583" s="636"/>
      <c r="J4583" s="636" t="s">
        <v>13675</v>
      </c>
      <c r="K4583" s="636"/>
      <c r="L4583" s="636" t="s">
        <v>14490</v>
      </c>
    </row>
    <row r="4584" spans="1:12" ht="24" customHeight="1">
      <c r="A4584" s="802" t="s">
        <v>12720</v>
      </c>
      <c r="B4584" s="802"/>
      <c r="C4584" s="802"/>
      <c r="D4584" s="802"/>
      <c r="E4584" s="802"/>
      <c r="F4584" s="802"/>
      <c r="G4584" s="802"/>
      <c r="H4584" s="802"/>
      <c r="I4584" s="612"/>
      <c r="J4584" s="612"/>
      <c r="K4584" s="612"/>
      <c r="L4584" s="612"/>
    </row>
    <row r="4585" spans="1:12" ht="24" customHeight="1">
      <c r="A4585" s="612" t="s">
        <v>13679</v>
      </c>
      <c r="B4585" s="636" t="s">
        <v>12698</v>
      </c>
      <c r="C4585" s="612" t="s">
        <v>12699</v>
      </c>
      <c r="D4585" s="612" t="s">
        <v>12700</v>
      </c>
      <c r="E4585" s="637" t="s">
        <v>12702</v>
      </c>
      <c r="F4585" s="801" t="s">
        <v>12704</v>
      </c>
      <c r="G4585" s="801"/>
      <c r="H4585" s="801" t="s">
        <v>13678</v>
      </c>
      <c r="I4585" s="801"/>
      <c r="J4585" s="801" t="s">
        <v>12705</v>
      </c>
      <c r="K4585" s="801"/>
      <c r="L4585" s="801"/>
    </row>
    <row r="4586" spans="1:12" ht="17.100000000000001" customHeight="1">
      <c r="A4586" s="626" t="s">
        <v>12709</v>
      </c>
      <c r="B4586" s="627" t="s">
        <v>13281</v>
      </c>
      <c r="C4586" s="626" t="s">
        <v>8</v>
      </c>
      <c r="D4586" s="626" t="s">
        <v>8070</v>
      </c>
      <c r="E4586" s="628" t="s">
        <v>35</v>
      </c>
      <c r="F4586" s="816" t="s">
        <v>13730</v>
      </c>
      <c r="G4586" s="816"/>
      <c r="H4586" s="816">
        <v>1.26E-5</v>
      </c>
      <c r="I4586" s="816"/>
      <c r="J4586" s="817">
        <v>0.42749999999999999</v>
      </c>
      <c r="K4586" s="817"/>
      <c r="L4586" s="817"/>
    </row>
    <row r="4587" spans="1:12">
      <c r="A4587" s="636"/>
      <c r="B4587" s="636"/>
      <c r="C4587" s="636"/>
      <c r="D4587" s="636"/>
      <c r="E4587" s="636"/>
      <c r="F4587" s="636"/>
      <c r="G4587" s="636"/>
      <c r="H4587" s="636"/>
      <c r="I4587" s="636"/>
      <c r="J4587" s="636" t="s">
        <v>13675</v>
      </c>
      <c r="K4587" s="636"/>
      <c r="L4587" s="636" t="s">
        <v>13717</v>
      </c>
    </row>
    <row r="4588" spans="1:12" ht="17.100000000000001" customHeight="1">
      <c r="A4588" s="802" t="s">
        <v>12722</v>
      </c>
      <c r="B4588" s="802"/>
      <c r="C4588" s="802"/>
      <c r="D4588" s="802"/>
      <c r="E4588" s="802"/>
      <c r="F4588" s="802"/>
      <c r="G4588" s="802"/>
      <c r="H4588" s="802"/>
      <c r="I4588" s="612"/>
      <c r="J4588" s="612"/>
      <c r="K4588" s="612"/>
      <c r="L4588" s="612"/>
    </row>
    <row r="4589" spans="1:12" ht="24" customHeight="1">
      <c r="A4589" s="612" t="s">
        <v>13679</v>
      </c>
      <c r="B4589" s="636" t="s">
        <v>12698</v>
      </c>
      <c r="C4589" s="612" t="s">
        <v>12699</v>
      </c>
      <c r="D4589" s="612" t="s">
        <v>12700</v>
      </c>
      <c r="E4589" s="637" t="s">
        <v>12702</v>
      </c>
      <c r="F4589" s="801" t="s">
        <v>12704</v>
      </c>
      <c r="G4589" s="801"/>
      <c r="H4589" s="801" t="s">
        <v>13678</v>
      </c>
      <c r="I4589" s="801"/>
      <c r="J4589" s="801" t="s">
        <v>12705</v>
      </c>
      <c r="K4589" s="801"/>
      <c r="L4589" s="801"/>
    </row>
    <row r="4590" spans="1:12" ht="24" customHeight="1">
      <c r="A4590" s="626" t="s">
        <v>12709</v>
      </c>
      <c r="B4590" s="627" t="s">
        <v>12998</v>
      </c>
      <c r="C4590" s="626" t="s">
        <v>8</v>
      </c>
      <c r="D4590" s="626" t="s">
        <v>11861</v>
      </c>
      <c r="E4590" s="628" t="s">
        <v>23</v>
      </c>
      <c r="F4590" s="816" t="s">
        <v>13683</v>
      </c>
      <c r="G4590" s="816"/>
      <c r="H4590" s="816">
        <v>0.94740360000000001</v>
      </c>
      <c r="I4590" s="816"/>
      <c r="J4590" s="817">
        <v>0.67269999999999996</v>
      </c>
      <c r="K4590" s="817"/>
      <c r="L4590" s="817"/>
    </row>
    <row r="4591" spans="1:12" ht="24" customHeight="1">
      <c r="A4591" s="636"/>
      <c r="B4591" s="636"/>
      <c r="C4591" s="636"/>
      <c r="D4591" s="636"/>
      <c r="E4591" s="636"/>
      <c r="F4591" s="636"/>
      <c r="G4591" s="636"/>
      <c r="H4591" s="636"/>
      <c r="I4591" s="636"/>
      <c r="J4591" s="636" t="s">
        <v>13675</v>
      </c>
      <c r="K4591" s="636"/>
      <c r="L4591" s="636" t="s">
        <v>13735</v>
      </c>
    </row>
    <row r="4592" spans="1:12" ht="24" customHeight="1">
      <c r="A4592" s="802" t="s">
        <v>12713</v>
      </c>
      <c r="B4592" s="802"/>
      <c r="C4592" s="802"/>
      <c r="D4592" s="802"/>
      <c r="E4592" s="802"/>
      <c r="F4592" s="802"/>
      <c r="G4592" s="802"/>
      <c r="H4592" s="802"/>
      <c r="I4592" s="612"/>
      <c r="J4592" s="612"/>
      <c r="K4592" s="612"/>
      <c r="L4592" s="612"/>
    </row>
    <row r="4593" spans="1:12" ht="17.100000000000001" customHeight="1">
      <c r="A4593" s="612" t="s">
        <v>13679</v>
      </c>
      <c r="B4593" s="636" t="s">
        <v>12698</v>
      </c>
      <c r="C4593" s="612" t="s">
        <v>12699</v>
      </c>
      <c r="D4593" s="612" t="s">
        <v>12700</v>
      </c>
      <c r="E4593" s="637" t="s">
        <v>12702</v>
      </c>
      <c r="F4593" s="801" t="s">
        <v>12704</v>
      </c>
      <c r="G4593" s="801"/>
      <c r="H4593" s="801" t="s">
        <v>13678</v>
      </c>
      <c r="I4593" s="801"/>
      <c r="J4593" s="801" t="s">
        <v>12705</v>
      </c>
      <c r="K4593" s="801"/>
      <c r="L4593" s="801"/>
    </row>
    <row r="4594" spans="1:12" ht="25.5">
      <c r="A4594" s="626" t="s">
        <v>12709</v>
      </c>
      <c r="B4594" s="627" t="s">
        <v>12999</v>
      </c>
      <c r="C4594" s="626" t="s">
        <v>8</v>
      </c>
      <c r="D4594" s="626" t="s">
        <v>11251</v>
      </c>
      <c r="E4594" s="628" t="s">
        <v>23</v>
      </c>
      <c r="F4594" s="816" t="s">
        <v>13681</v>
      </c>
      <c r="G4594" s="816"/>
      <c r="H4594" s="816">
        <v>0.94740360000000001</v>
      </c>
      <c r="I4594" s="816"/>
      <c r="J4594" s="817">
        <v>6.6299999999999998E-2</v>
      </c>
      <c r="K4594" s="817"/>
      <c r="L4594" s="817"/>
    </row>
    <row r="4595" spans="1:12" ht="17.100000000000001" customHeight="1">
      <c r="A4595" s="636"/>
      <c r="B4595" s="636"/>
      <c r="C4595" s="636"/>
      <c r="D4595" s="636"/>
      <c r="E4595" s="636"/>
      <c r="F4595" s="636"/>
      <c r="G4595" s="636"/>
      <c r="H4595" s="636"/>
      <c r="I4595" s="636"/>
      <c r="J4595" s="636" t="s">
        <v>13675</v>
      </c>
      <c r="K4595" s="636"/>
      <c r="L4595" s="636" t="s">
        <v>13681</v>
      </c>
    </row>
    <row r="4596" spans="1:12" ht="24" customHeight="1">
      <c r="A4596" s="802" t="s">
        <v>12712</v>
      </c>
      <c r="B4596" s="802"/>
      <c r="C4596" s="802"/>
      <c r="D4596" s="802"/>
      <c r="E4596" s="802"/>
      <c r="F4596" s="802"/>
      <c r="G4596" s="802"/>
      <c r="H4596" s="802"/>
      <c r="I4596" s="612"/>
      <c r="J4596" s="612"/>
      <c r="K4596" s="612"/>
      <c r="L4596" s="612"/>
    </row>
    <row r="4597" spans="1:12" ht="17.100000000000001" customHeight="1">
      <c r="A4597" s="612" t="s">
        <v>13679</v>
      </c>
      <c r="B4597" s="636" t="s">
        <v>12698</v>
      </c>
      <c r="C4597" s="612" t="s">
        <v>12699</v>
      </c>
      <c r="D4597" s="612" t="s">
        <v>12700</v>
      </c>
      <c r="E4597" s="637" t="s">
        <v>12702</v>
      </c>
      <c r="F4597" s="801" t="s">
        <v>12704</v>
      </c>
      <c r="G4597" s="801"/>
      <c r="H4597" s="801" t="s">
        <v>13678</v>
      </c>
      <c r="I4597" s="801"/>
      <c r="J4597" s="801" t="s">
        <v>12705</v>
      </c>
      <c r="K4597" s="801"/>
      <c r="L4597" s="801"/>
    </row>
    <row r="4598" spans="1:12" ht="25.5">
      <c r="A4598" s="626" t="s">
        <v>12709</v>
      </c>
      <c r="B4598" s="627" t="s">
        <v>13002</v>
      </c>
      <c r="C4598" s="626" t="s">
        <v>8</v>
      </c>
      <c r="D4598" s="626" t="s">
        <v>9306</v>
      </c>
      <c r="E4598" s="628" t="s">
        <v>23</v>
      </c>
      <c r="F4598" s="816" t="s">
        <v>13677</v>
      </c>
      <c r="G4598" s="816"/>
      <c r="H4598" s="816">
        <v>0.94740360000000001</v>
      </c>
      <c r="I4598" s="816"/>
      <c r="J4598" s="817">
        <v>0.33160000000000001</v>
      </c>
      <c r="K4598" s="817"/>
      <c r="L4598" s="817"/>
    </row>
    <row r="4599" spans="1:12" ht="17.100000000000001" customHeight="1">
      <c r="A4599" s="626" t="s">
        <v>12709</v>
      </c>
      <c r="B4599" s="627" t="s">
        <v>13004</v>
      </c>
      <c r="C4599" s="626" t="s">
        <v>8</v>
      </c>
      <c r="D4599" s="626" t="s">
        <v>7388</v>
      </c>
      <c r="E4599" s="628" t="s">
        <v>23</v>
      </c>
      <c r="F4599" s="816" t="s">
        <v>13676</v>
      </c>
      <c r="G4599" s="816"/>
      <c r="H4599" s="816">
        <v>0.94740360000000001</v>
      </c>
      <c r="I4599" s="816"/>
      <c r="J4599" s="817">
        <v>2.0842999999999998</v>
      </c>
      <c r="K4599" s="817"/>
      <c r="L4599" s="817"/>
    </row>
    <row r="4600" spans="1:12" ht="24" customHeight="1">
      <c r="A4600" s="636"/>
      <c r="B4600" s="636"/>
      <c r="C4600" s="636"/>
      <c r="D4600" s="636"/>
      <c r="E4600" s="636"/>
      <c r="F4600" s="636"/>
      <c r="G4600" s="636"/>
      <c r="H4600" s="636"/>
      <c r="I4600" s="636"/>
      <c r="J4600" s="636" t="s">
        <v>13675</v>
      </c>
      <c r="K4600" s="636"/>
      <c r="L4600" s="636" t="s">
        <v>13734</v>
      </c>
    </row>
    <row r="4601" spans="1:12" ht="17.100000000000001" customHeight="1">
      <c r="A4601" s="612" t="s">
        <v>13673</v>
      </c>
      <c r="B4601" s="612"/>
      <c r="C4601" s="612"/>
      <c r="D4601" s="612"/>
      <c r="E4601" s="612"/>
      <c r="F4601" s="612"/>
      <c r="G4601" s="612"/>
      <c r="H4601" s="612"/>
      <c r="I4601" s="612"/>
      <c r="J4601" s="612"/>
      <c r="K4601" s="612"/>
      <c r="L4601" s="612"/>
    </row>
    <row r="4602" spans="1:12">
      <c r="A4602" s="636"/>
      <c r="B4602" s="636"/>
      <c r="C4602" s="636"/>
      <c r="D4602" s="636"/>
      <c r="E4602" s="636"/>
      <c r="F4602" s="636"/>
      <c r="G4602" s="636"/>
      <c r="H4602" s="636"/>
      <c r="I4602" s="636"/>
      <c r="J4602" s="636" t="s">
        <v>13672</v>
      </c>
      <c r="K4602" s="636"/>
      <c r="L4602" s="636" t="s">
        <v>14959</v>
      </c>
    </row>
    <row r="4603" spans="1:12" ht="17.100000000000001" customHeight="1">
      <c r="A4603" s="636"/>
      <c r="B4603" s="636"/>
      <c r="C4603" s="636"/>
      <c r="D4603" s="636"/>
      <c r="E4603" s="636"/>
      <c r="F4603" s="636"/>
      <c r="G4603" s="636"/>
      <c r="H4603" s="636"/>
      <c r="I4603" s="636"/>
      <c r="J4603" s="636" t="s">
        <v>13671</v>
      </c>
      <c r="K4603" s="636" t="s">
        <v>14461</v>
      </c>
      <c r="L4603" s="636" t="s">
        <v>14960</v>
      </c>
    </row>
    <row r="4604" spans="1:12" ht="24" customHeight="1">
      <c r="A4604" s="636"/>
      <c r="B4604" s="636"/>
      <c r="C4604" s="636"/>
      <c r="D4604" s="636"/>
      <c r="E4604" s="636"/>
      <c r="F4604" s="636"/>
      <c r="G4604" s="636"/>
      <c r="H4604" s="636"/>
      <c r="I4604" s="636"/>
      <c r="J4604" s="636" t="s">
        <v>13670</v>
      </c>
      <c r="K4604" s="636"/>
      <c r="L4604" s="636" t="s">
        <v>14961</v>
      </c>
    </row>
    <row r="4605" spans="1:12" ht="24" customHeight="1">
      <c r="A4605" s="636"/>
      <c r="B4605" s="636"/>
      <c r="C4605" s="636"/>
      <c r="D4605" s="636"/>
      <c r="E4605" s="636"/>
      <c r="F4605" s="636"/>
      <c r="G4605" s="636"/>
      <c r="H4605" s="636"/>
      <c r="I4605" s="636"/>
      <c r="J4605" s="636" t="s">
        <v>13669</v>
      </c>
      <c r="K4605" s="636" t="s">
        <v>13667</v>
      </c>
      <c r="L4605" s="636" t="s">
        <v>14962</v>
      </c>
    </row>
    <row r="4606" spans="1:12" ht="17.100000000000001" customHeight="1">
      <c r="A4606" s="636"/>
      <c r="B4606" s="636"/>
      <c r="C4606" s="636"/>
      <c r="D4606" s="636"/>
      <c r="E4606" s="636"/>
      <c r="F4606" s="636"/>
      <c r="G4606" s="636"/>
      <c r="H4606" s="636"/>
      <c r="I4606" s="636"/>
      <c r="J4606" s="636" t="s">
        <v>13668</v>
      </c>
      <c r="K4606" s="636"/>
      <c r="L4606" s="636" t="s">
        <v>14963</v>
      </c>
    </row>
    <row r="4607" spans="1:12" ht="17.100000000000001" customHeight="1">
      <c r="A4607" s="637"/>
      <c r="B4607" s="637"/>
      <c r="C4607" s="637"/>
      <c r="D4607" s="637"/>
      <c r="E4607" s="637"/>
      <c r="F4607" s="637"/>
      <c r="G4607" s="637"/>
      <c r="H4607" s="637"/>
      <c r="I4607" s="637"/>
      <c r="J4607" s="637"/>
      <c r="K4607" s="637"/>
      <c r="L4607" s="637"/>
    </row>
    <row r="4608" spans="1:12" ht="17.100000000000001" customHeight="1">
      <c r="A4608" s="616" t="s">
        <v>14112</v>
      </c>
      <c r="B4608" s="617" t="s">
        <v>13622</v>
      </c>
      <c r="C4608" s="616" t="s">
        <v>8</v>
      </c>
      <c r="D4608" s="616" t="s">
        <v>4682</v>
      </c>
      <c r="E4608" s="618" t="s">
        <v>140</v>
      </c>
      <c r="F4608" s="617"/>
      <c r="G4608" s="617"/>
      <c r="H4608" s="617"/>
      <c r="I4608" s="617"/>
      <c r="J4608" s="617"/>
      <c r="K4608" s="617"/>
      <c r="L4608" s="617"/>
    </row>
    <row r="4609" spans="1:12" ht="17.100000000000001" customHeight="1">
      <c r="A4609" s="802" t="s">
        <v>12711</v>
      </c>
      <c r="B4609" s="802"/>
      <c r="C4609" s="802"/>
      <c r="D4609" s="802"/>
      <c r="E4609" s="802"/>
      <c r="F4609" s="802"/>
      <c r="G4609" s="802"/>
      <c r="H4609" s="802"/>
      <c r="I4609" s="612"/>
      <c r="J4609" s="612"/>
      <c r="K4609" s="612"/>
      <c r="L4609" s="612"/>
    </row>
    <row r="4610" spans="1:12" ht="17.100000000000001" customHeight="1">
      <c r="A4610" s="612" t="s">
        <v>13679</v>
      </c>
      <c r="B4610" s="636" t="s">
        <v>12698</v>
      </c>
      <c r="C4610" s="612" t="s">
        <v>12699</v>
      </c>
      <c r="D4610" s="612" t="s">
        <v>12700</v>
      </c>
      <c r="E4610" s="637" t="s">
        <v>12702</v>
      </c>
      <c r="F4610" s="801" t="s">
        <v>12704</v>
      </c>
      <c r="G4610" s="801"/>
      <c r="H4610" s="801" t="s">
        <v>13678</v>
      </c>
      <c r="I4610" s="801"/>
      <c r="J4610" s="801" t="s">
        <v>12705</v>
      </c>
      <c r="K4610" s="801"/>
      <c r="L4610" s="801"/>
    </row>
    <row r="4611" spans="1:12" ht="17.100000000000001" customHeight="1">
      <c r="A4611" s="626" t="s">
        <v>12709</v>
      </c>
      <c r="B4611" s="627" t="s">
        <v>13289</v>
      </c>
      <c r="C4611" s="626" t="s">
        <v>8</v>
      </c>
      <c r="D4611" s="626" t="s">
        <v>8192</v>
      </c>
      <c r="E4611" s="628" t="s">
        <v>35</v>
      </c>
      <c r="F4611" s="816" t="s">
        <v>14489</v>
      </c>
      <c r="G4611" s="816"/>
      <c r="H4611" s="816">
        <v>1.3E-6</v>
      </c>
      <c r="I4611" s="816"/>
      <c r="J4611" s="817">
        <v>0.35770000000000002</v>
      </c>
      <c r="K4611" s="817"/>
      <c r="L4611" s="817"/>
    </row>
    <row r="4612" spans="1:12" ht="17.100000000000001" customHeight="1">
      <c r="A4612" s="626" t="s">
        <v>12709</v>
      </c>
      <c r="B4612" s="627" t="s">
        <v>13003</v>
      </c>
      <c r="C4612" s="626" t="s">
        <v>8</v>
      </c>
      <c r="D4612" s="626" t="s">
        <v>9227</v>
      </c>
      <c r="E4612" s="628" t="s">
        <v>23</v>
      </c>
      <c r="F4612" s="816" t="s">
        <v>13732</v>
      </c>
      <c r="G4612" s="816"/>
      <c r="H4612" s="816">
        <v>1.2175099999999999E-2</v>
      </c>
      <c r="I4612" s="816"/>
      <c r="J4612" s="817">
        <v>8.0000000000000002E-3</v>
      </c>
      <c r="K4612" s="817"/>
      <c r="L4612" s="817"/>
    </row>
    <row r="4613" spans="1:12" ht="30" customHeight="1">
      <c r="A4613" s="626" t="s">
        <v>12709</v>
      </c>
      <c r="B4613" s="627" t="s">
        <v>13001</v>
      </c>
      <c r="C4613" s="626" t="s">
        <v>8</v>
      </c>
      <c r="D4613" s="626" t="s">
        <v>9374</v>
      </c>
      <c r="E4613" s="628" t="s">
        <v>23</v>
      </c>
      <c r="F4613" s="816" t="s">
        <v>13728</v>
      </c>
      <c r="G4613" s="816"/>
      <c r="H4613" s="816">
        <v>1.2175099999999999E-2</v>
      </c>
      <c r="I4613" s="816"/>
      <c r="J4613" s="817">
        <v>1E-4</v>
      </c>
      <c r="K4613" s="817"/>
      <c r="L4613" s="817"/>
    </row>
    <row r="4614" spans="1:12" ht="24" customHeight="1">
      <c r="A4614" s="636"/>
      <c r="B4614" s="636"/>
      <c r="C4614" s="636"/>
      <c r="D4614" s="636"/>
      <c r="E4614" s="636"/>
      <c r="F4614" s="636"/>
      <c r="G4614" s="636"/>
      <c r="H4614" s="636"/>
      <c r="I4614" s="636"/>
      <c r="J4614" s="636" t="s">
        <v>13675</v>
      </c>
      <c r="K4614" s="636"/>
      <c r="L4614" s="636" t="s">
        <v>13798</v>
      </c>
    </row>
    <row r="4615" spans="1:12" ht="14.25" customHeight="1">
      <c r="A4615" s="802" t="s">
        <v>12710</v>
      </c>
      <c r="B4615" s="802"/>
      <c r="C4615" s="802"/>
      <c r="D4615" s="802"/>
      <c r="E4615" s="802"/>
      <c r="F4615" s="802"/>
      <c r="G4615" s="802"/>
      <c r="H4615" s="802"/>
      <c r="I4615" s="612"/>
      <c r="J4615" s="612"/>
      <c r="K4615" s="612"/>
      <c r="L4615" s="612"/>
    </row>
    <row r="4616" spans="1:12" ht="17.100000000000001" customHeight="1">
      <c r="A4616" s="612" t="s">
        <v>13679</v>
      </c>
      <c r="B4616" s="636" t="s">
        <v>12698</v>
      </c>
      <c r="C4616" s="612" t="s">
        <v>12699</v>
      </c>
      <c r="D4616" s="612" t="s">
        <v>12700</v>
      </c>
      <c r="E4616" s="637" t="s">
        <v>12702</v>
      </c>
      <c r="F4616" s="801" t="s">
        <v>12704</v>
      </c>
      <c r="G4616" s="801"/>
      <c r="H4616" s="801" t="s">
        <v>13678</v>
      </c>
      <c r="I4616" s="801"/>
      <c r="J4616" s="801" t="s">
        <v>12705</v>
      </c>
      <c r="K4616" s="801"/>
      <c r="L4616" s="801"/>
    </row>
    <row r="4617" spans="1:12" ht="24" customHeight="1">
      <c r="A4617" s="626" t="s">
        <v>12709</v>
      </c>
      <c r="B4617" s="627" t="s">
        <v>13129</v>
      </c>
      <c r="C4617" s="626" t="s">
        <v>8</v>
      </c>
      <c r="D4617" s="626" t="s">
        <v>10467</v>
      </c>
      <c r="E4617" s="628" t="s">
        <v>23</v>
      </c>
      <c r="F4617" s="816" t="s">
        <v>14252</v>
      </c>
      <c r="G4617" s="816"/>
      <c r="H4617" s="816">
        <v>1.1479899999999999E-2</v>
      </c>
      <c r="I4617" s="816"/>
      <c r="J4617" s="817">
        <v>5.9499999999999997E-2</v>
      </c>
      <c r="K4617" s="817"/>
      <c r="L4617" s="817"/>
    </row>
    <row r="4618" spans="1:12" ht="24" customHeight="1">
      <c r="A4618" s="636"/>
      <c r="B4618" s="636"/>
      <c r="C4618" s="636"/>
      <c r="D4618" s="636"/>
      <c r="E4618" s="636"/>
      <c r="F4618" s="636"/>
      <c r="G4618" s="636"/>
      <c r="H4618" s="636"/>
      <c r="I4618" s="636"/>
      <c r="J4618" s="636" t="s">
        <v>13675</v>
      </c>
      <c r="K4618" s="636"/>
      <c r="L4618" s="636" t="s">
        <v>13708</v>
      </c>
    </row>
    <row r="4619" spans="1:12" ht="24" customHeight="1">
      <c r="A4619" s="802" t="s">
        <v>12720</v>
      </c>
      <c r="B4619" s="802"/>
      <c r="C4619" s="802"/>
      <c r="D4619" s="802"/>
      <c r="E4619" s="802"/>
      <c r="F4619" s="802"/>
      <c r="G4619" s="802"/>
      <c r="H4619" s="802"/>
      <c r="I4619" s="612"/>
      <c r="J4619" s="612"/>
      <c r="K4619" s="612"/>
      <c r="L4619" s="612"/>
    </row>
    <row r="4620" spans="1:12" ht="24" customHeight="1">
      <c r="A4620" s="612" t="s">
        <v>13679</v>
      </c>
      <c r="B4620" s="636" t="s">
        <v>12698</v>
      </c>
      <c r="C4620" s="612" t="s">
        <v>12699</v>
      </c>
      <c r="D4620" s="612" t="s">
        <v>12700</v>
      </c>
      <c r="E4620" s="637" t="s">
        <v>12702</v>
      </c>
      <c r="F4620" s="801" t="s">
        <v>12704</v>
      </c>
      <c r="G4620" s="801"/>
      <c r="H4620" s="801" t="s">
        <v>13678</v>
      </c>
      <c r="I4620" s="801"/>
      <c r="J4620" s="801" t="s">
        <v>12705</v>
      </c>
      <c r="K4620" s="801"/>
      <c r="L4620" s="801"/>
    </row>
    <row r="4621" spans="1:12" ht="24" customHeight="1">
      <c r="A4621" s="626" t="s">
        <v>12709</v>
      </c>
      <c r="B4621" s="627" t="s">
        <v>13281</v>
      </c>
      <c r="C4621" s="626" t="s">
        <v>8</v>
      </c>
      <c r="D4621" s="626" t="s">
        <v>8070</v>
      </c>
      <c r="E4621" s="628" t="s">
        <v>35</v>
      </c>
      <c r="F4621" s="816" t="s">
        <v>13730</v>
      </c>
      <c r="G4621" s="816"/>
      <c r="H4621" s="816">
        <v>1.3E-6</v>
      </c>
      <c r="I4621" s="816"/>
      <c r="J4621" s="817">
        <v>4.41E-2</v>
      </c>
      <c r="K4621" s="817"/>
      <c r="L4621" s="817"/>
    </row>
    <row r="4622" spans="1:12" ht="24" customHeight="1">
      <c r="A4622" s="626" t="s">
        <v>12709</v>
      </c>
      <c r="B4622" s="627" t="s">
        <v>13007</v>
      </c>
      <c r="C4622" s="626" t="s">
        <v>8</v>
      </c>
      <c r="D4622" s="626" t="s">
        <v>10549</v>
      </c>
      <c r="E4622" s="628" t="s">
        <v>58</v>
      </c>
      <c r="F4622" s="816" t="s">
        <v>14172</v>
      </c>
      <c r="G4622" s="816"/>
      <c r="H4622" s="816">
        <v>0.13260540000000001</v>
      </c>
      <c r="I4622" s="816"/>
      <c r="J4622" s="817">
        <v>0.42959999999999998</v>
      </c>
      <c r="K4622" s="817"/>
      <c r="L4622" s="817"/>
    </row>
    <row r="4623" spans="1:12" ht="24" customHeight="1">
      <c r="A4623" s="636"/>
      <c r="B4623" s="636"/>
      <c r="C4623" s="636"/>
      <c r="D4623" s="636"/>
      <c r="E4623" s="636"/>
      <c r="F4623" s="636"/>
      <c r="G4623" s="636"/>
      <c r="H4623" s="636"/>
      <c r="I4623" s="636"/>
      <c r="J4623" s="636" t="s">
        <v>13675</v>
      </c>
      <c r="K4623" s="636"/>
      <c r="L4623" s="636" t="s">
        <v>14717</v>
      </c>
    </row>
    <row r="4624" spans="1:12" ht="17.100000000000001" customHeight="1">
      <c r="A4624" s="802" t="s">
        <v>12722</v>
      </c>
      <c r="B4624" s="802"/>
      <c r="C4624" s="802"/>
      <c r="D4624" s="802"/>
      <c r="E4624" s="802"/>
      <c r="F4624" s="802"/>
      <c r="G4624" s="802"/>
      <c r="H4624" s="802"/>
      <c r="I4624" s="612"/>
      <c r="J4624" s="612"/>
      <c r="K4624" s="612"/>
      <c r="L4624" s="612"/>
    </row>
    <row r="4625" spans="1:12" ht="14.25" customHeight="1">
      <c r="A4625" s="612" t="s">
        <v>13679</v>
      </c>
      <c r="B4625" s="636" t="s">
        <v>12698</v>
      </c>
      <c r="C4625" s="612" t="s">
        <v>12699</v>
      </c>
      <c r="D4625" s="612" t="s">
        <v>12700</v>
      </c>
      <c r="E4625" s="637" t="s">
        <v>12702</v>
      </c>
      <c r="F4625" s="801" t="s">
        <v>12704</v>
      </c>
      <c r="G4625" s="801"/>
      <c r="H4625" s="801" t="s">
        <v>13678</v>
      </c>
      <c r="I4625" s="801"/>
      <c r="J4625" s="801" t="s">
        <v>12705</v>
      </c>
      <c r="K4625" s="801"/>
      <c r="L4625" s="801"/>
    </row>
    <row r="4626" spans="1:12" ht="17.100000000000001" customHeight="1">
      <c r="A4626" s="626" t="s">
        <v>12709</v>
      </c>
      <c r="B4626" s="627" t="s">
        <v>12998</v>
      </c>
      <c r="C4626" s="626" t="s">
        <v>8</v>
      </c>
      <c r="D4626" s="626" t="s">
        <v>11861</v>
      </c>
      <c r="E4626" s="628" t="s">
        <v>23</v>
      </c>
      <c r="F4626" s="816" t="s">
        <v>13683</v>
      </c>
      <c r="G4626" s="816"/>
      <c r="H4626" s="816">
        <v>1.2175099999999999E-2</v>
      </c>
      <c r="I4626" s="816"/>
      <c r="J4626" s="817">
        <v>8.6E-3</v>
      </c>
      <c r="K4626" s="817"/>
      <c r="L4626" s="817"/>
    </row>
    <row r="4627" spans="1:12" ht="24" customHeight="1">
      <c r="A4627" s="636"/>
      <c r="B4627" s="636"/>
      <c r="C4627" s="636"/>
      <c r="D4627" s="636"/>
      <c r="E4627" s="636"/>
      <c r="F4627" s="636"/>
      <c r="G4627" s="636"/>
      <c r="H4627" s="636"/>
      <c r="I4627" s="636"/>
      <c r="J4627" s="636" t="s">
        <v>13675</v>
      </c>
      <c r="K4627" s="636"/>
      <c r="L4627" s="636" t="s">
        <v>13728</v>
      </c>
    </row>
    <row r="4628" spans="1:12" ht="24" customHeight="1">
      <c r="A4628" s="802" t="s">
        <v>12713</v>
      </c>
      <c r="B4628" s="802"/>
      <c r="C4628" s="802"/>
      <c r="D4628" s="802"/>
      <c r="E4628" s="802"/>
      <c r="F4628" s="802"/>
      <c r="G4628" s="802"/>
      <c r="H4628" s="802"/>
      <c r="I4628" s="612"/>
      <c r="J4628" s="612"/>
      <c r="K4628" s="612"/>
      <c r="L4628" s="612"/>
    </row>
    <row r="4629" spans="1:12" ht="24" customHeight="1">
      <c r="A4629" s="612" t="s">
        <v>13679</v>
      </c>
      <c r="B4629" s="636" t="s">
        <v>12698</v>
      </c>
      <c r="C4629" s="612" t="s">
        <v>12699</v>
      </c>
      <c r="D4629" s="612" t="s">
        <v>12700</v>
      </c>
      <c r="E4629" s="637" t="s">
        <v>12702</v>
      </c>
      <c r="F4629" s="801" t="s">
        <v>12704</v>
      </c>
      <c r="G4629" s="801"/>
      <c r="H4629" s="801" t="s">
        <v>13678</v>
      </c>
      <c r="I4629" s="801"/>
      <c r="J4629" s="801" t="s">
        <v>12705</v>
      </c>
      <c r="K4629" s="801"/>
      <c r="L4629" s="801"/>
    </row>
    <row r="4630" spans="1:12" ht="17.100000000000001" customHeight="1">
      <c r="A4630" s="626" t="s">
        <v>12709</v>
      </c>
      <c r="B4630" s="627" t="s">
        <v>12999</v>
      </c>
      <c r="C4630" s="626" t="s">
        <v>8</v>
      </c>
      <c r="D4630" s="626" t="s">
        <v>11251</v>
      </c>
      <c r="E4630" s="628" t="s">
        <v>23</v>
      </c>
      <c r="F4630" s="816" t="s">
        <v>13681</v>
      </c>
      <c r="G4630" s="816"/>
      <c r="H4630" s="816">
        <v>1.2175099999999999E-2</v>
      </c>
      <c r="I4630" s="816"/>
      <c r="J4630" s="817">
        <v>8.9999999999999998E-4</v>
      </c>
      <c r="K4630" s="817"/>
      <c r="L4630" s="817"/>
    </row>
    <row r="4631" spans="1:12">
      <c r="A4631" s="636"/>
      <c r="B4631" s="636"/>
      <c r="C4631" s="636"/>
      <c r="D4631" s="636"/>
      <c r="E4631" s="636"/>
      <c r="F4631" s="636"/>
      <c r="G4631" s="636"/>
      <c r="H4631" s="636"/>
      <c r="I4631" s="636"/>
      <c r="J4631" s="636" t="s">
        <v>13675</v>
      </c>
      <c r="K4631" s="636"/>
      <c r="L4631" s="636" t="s">
        <v>13727</v>
      </c>
    </row>
    <row r="4632" spans="1:12" ht="17.100000000000001" customHeight="1">
      <c r="A4632" s="802" t="s">
        <v>12712</v>
      </c>
      <c r="B4632" s="802"/>
      <c r="C4632" s="802"/>
      <c r="D4632" s="802"/>
      <c r="E4632" s="802"/>
      <c r="F4632" s="802"/>
      <c r="G4632" s="802"/>
      <c r="H4632" s="802"/>
      <c r="I4632" s="612"/>
      <c r="J4632" s="612"/>
      <c r="K4632" s="612"/>
      <c r="L4632" s="612"/>
    </row>
    <row r="4633" spans="1:12" ht="24" customHeight="1">
      <c r="A4633" s="612" t="s">
        <v>13679</v>
      </c>
      <c r="B4633" s="636" t="s">
        <v>12698</v>
      </c>
      <c r="C4633" s="612" t="s">
        <v>12699</v>
      </c>
      <c r="D4633" s="612" t="s">
        <v>12700</v>
      </c>
      <c r="E4633" s="637" t="s">
        <v>12702</v>
      </c>
      <c r="F4633" s="801" t="s">
        <v>12704</v>
      </c>
      <c r="G4633" s="801"/>
      <c r="H4633" s="801" t="s">
        <v>13678</v>
      </c>
      <c r="I4633" s="801"/>
      <c r="J4633" s="801" t="s">
        <v>12705</v>
      </c>
      <c r="K4633" s="801"/>
      <c r="L4633" s="801"/>
    </row>
    <row r="4634" spans="1:12" ht="17.100000000000001" customHeight="1">
      <c r="A4634" s="626" t="s">
        <v>12709</v>
      </c>
      <c r="B4634" s="627" t="s">
        <v>13002</v>
      </c>
      <c r="C4634" s="626" t="s">
        <v>8</v>
      </c>
      <c r="D4634" s="626" t="s">
        <v>9306</v>
      </c>
      <c r="E4634" s="628" t="s">
        <v>23</v>
      </c>
      <c r="F4634" s="816" t="s">
        <v>13677</v>
      </c>
      <c r="G4634" s="816"/>
      <c r="H4634" s="816">
        <v>1.2175099999999999E-2</v>
      </c>
      <c r="I4634" s="816"/>
      <c r="J4634" s="817">
        <v>4.3E-3</v>
      </c>
      <c r="K4634" s="817"/>
      <c r="L4634" s="817"/>
    </row>
    <row r="4635" spans="1:12" ht="25.5">
      <c r="A4635" s="626" t="s">
        <v>12709</v>
      </c>
      <c r="B4635" s="627" t="s">
        <v>13004</v>
      </c>
      <c r="C4635" s="626" t="s">
        <v>8</v>
      </c>
      <c r="D4635" s="626" t="s">
        <v>7388</v>
      </c>
      <c r="E4635" s="628" t="s">
        <v>23</v>
      </c>
      <c r="F4635" s="816" t="s">
        <v>13676</v>
      </c>
      <c r="G4635" s="816"/>
      <c r="H4635" s="816">
        <v>1.2175099999999999E-2</v>
      </c>
      <c r="I4635" s="816"/>
      <c r="J4635" s="817">
        <v>2.6800000000000001E-2</v>
      </c>
      <c r="K4635" s="817"/>
      <c r="L4635" s="817"/>
    </row>
    <row r="4636" spans="1:12" ht="17.100000000000001" customHeight="1">
      <c r="A4636" s="636"/>
      <c r="B4636" s="636"/>
      <c r="C4636" s="636"/>
      <c r="D4636" s="636"/>
      <c r="E4636" s="636"/>
      <c r="F4636" s="636"/>
      <c r="G4636" s="636"/>
      <c r="H4636" s="636"/>
      <c r="I4636" s="636"/>
      <c r="J4636" s="636" t="s">
        <v>13675</v>
      </c>
      <c r="K4636" s="636"/>
      <c r="L4636" s="636" t="s">
        <v>13726</v>
      </c>
    </row>
    <row r="4637" spans="1:12" ht="24" customHeight="1">
      <c r="A4637" s="612" t="s">
        <v>13673</v>
      </c>
      <c r="B4637" s="612"/>
      <c r="C4637" s="612"/>
      <c r="D4637" s="612"/>
      <c r="E4637" s="612"/>
      <c r="F4637" s="612"/>
      <c r="G4637" s="612"/>
      <c r="H4637" s="612"/>
      <c r="I4637" s="612"/>
      <c r="J4637" s="612"/>
      <c r="K4637" s="612"/>
      <c r="L4637" s="612"/>
    </row>
    <row r="4638" spans="1:12" ht="17.100000000000001" customHeight="1">
      <c r="A4638" s="636"/>
      <c r="B4638" s="636"/>
      <c r="C4638" s="636"/>
      <c r="D4638" s="636"/>
      <c r="E4638" s="636"/>
      <c r="F4638" s="636"/>
      <c r="G4638" s="636"/>
      <c r="H4638" s="636"/>
      <c r="I4638" s="636"/>
      <c r="J4638" s="636" t="s">
        <v>13672</v>
      </c>
      <c r="K4638" s="636"/>
      <c r="L4638" s="636" t="s">
        <v>15035</v>
      </c>
    </row>
    <row r="4639" spans="1:12">
      <c r="A4639" s="636"/>
      <c r="B4639" s="636"/>
      <c r="C4639" s="636"/>
      <c r="D4639" s="636"/>
      <c r="E4639" s="636"/>
      <c r="F4639" s="636"/>
      <c r="G4639" s="636"/>
      <c r="H4639" s="636"/>
      <c r="I4639" s="636"/>
      <c r="J4639" s="636" t="s">
        <v>13671</v>
      </c>
      <c r="K4639" s="636" t="s">
        <v>14461</v>
      </c>
      <c r="L4639" s="636" t="s">
        <v>15036</v>
      </c>
    </row>
    <row r="4640" spans="1:12" ht="17.100000000000001" customHeight="1">
      <c r="A4640" s="636"/>
      <c r="B4640" s="636"/>
      <c r="C4640" s="636"/>
      <c r="D4640" s="636"/>
      <c r="E4640" s="636"/>
      <c r="F4640" s="636"/>
      <c r="G4640" s="636"/>
      <c r="H4640" s="636"/>
      <c r="I4640" s="636"/>
      <c r="J4640" s="636" t="s">
        <v>13670</v>
      </c>
      <c r="K4640" s="636"/>
      <c r="L4640" s="636" t="s">
        <v>15037</v>
      </c>
    </row>
    <row r="4641" spans="1:12" ht="24" customHeight="1">
      <c r="A4641" s="636"/>
      <c r="B4641" s="636"/>
      <c r="C4641" s="636"/>
      <c r="D4641" s="636"/>
      <c r="E4641" s="636"/>
      <c r="F4641" s="636"/>
      <c r="G4641" s="636"/>
      <c r="H4641" s="636"/>
      <c r="I4641" s="636"/>
      <c r="J4641" s="636" t="s">
        <v>13669</v>
      </c>
      <c r="K4641" s="636" t="s">
        <v>13667</v>
      </c>
      <c r="L4641" s="636" t="s">
        <v>14880</v>
      </c>
    </row>
    <row r="4642" spans="1:12" ht="17.100000000000001" customHeight="1">
      <c r="A4642" s="636"/>
      <c r="B4642" s="636"/>
      <c r="C4642" s="636"/>
      <c r="D4642" s="636"/>
      <c r="E4642" s="636"/>
      <c r="F4642" s="636"/>
      <c r="G4642" s="636"/>
      <c r="H4642" s="636"/>
      <c r="I4642" s="636"/>
      <c r="J4642" s="636" t="s">
        <v>13668</v>
      </c>
      <c r="K4642" s="636"/>
      <c r="L4642" s="636" t="s">
        <v>15038</v>
      </c>
    </row>
    <row r="4643" spans="1:12">
      <c r="A4643" s="637"/>
      <c r="B4643" s="637"/>
      <c r="C4643" s="637"/>
      <c r="D4643" s="637"/>
      <c r="E4643" s="637"/>
      <c r="F4643" s="637"/>
      <c r="G4643" s="637"/>
      <c r="H4643" s="637"/>
      <c r="I4643" s="637"/>
      <c r="J4643" s="637"/>
      <c r="K4643" s="637"/>
      <c r="L4643" s="637"/>
    </row>
    <row r="4644" spans="1:12" ht="17.100000000000001" customHeight="1">
      <c r="A4644" s="616" t="s">
        <v>14111</v>
      </c>
      <c r="B4644" s="617" t="s">
        <v>13634</v>
      </c>
      <c r="C4644" s="616" t="s">
        <v>8</v>
      </c>
      <c r="D4644" s="616" t="s">
        <v>3543</v>
      </c>
      <c r="E4644" s="618" t="s">
        <v>12730</v>
      </c>
      <c r="F4644" s="617"/>
      <c r="G4644" s="617"/>
      <c r="H4644" s="617"/>
      <c r="I4644" s="617"/>
      <c r="J4644" s="617"/>
      <c r="K4644" s="617"/>
      <c r="L4644" s="617"/>
    </row>
    <row r="4645" spans="1:12" ht="24" customHeight="1">
      <c r="A4645" s="802" t="s">
        <v>12711</v>
      </c>
      <c r="B4645" s="802"/>
      <c r="C4645" s="802"/>
      <c r="D4645" s="802"/>
      <c r="E4645" s="802"/>
      <c r="F4645" s="802"/>
      <c r="G4645" s="802"/>
      <c r="H4645" s="802"/>
      <c r="I4645" s="612"/>
      <c r="J4645" s="612"/>
      <c r="K4645" s="612"/>
      <c r="L4645" s="612"/>
    </row>
    <row r="4646" spans="1:12" ht="24" customHeight="1">
      <c r="A4646" s="612" t="s">
        <v>13679</v>
      </c>
      <c r="B4646" s="636" t="s">
        <v>12698</v>
      </c>
      <c r="C4646" s="612" t="s">
        <v>12699</v>
      </c>
      <c r="D4646" s="612" t="s">
        <v>12700</v>
      </c>
      <c r="E4646" s="637" t="s">
        <v>12702</v>
      </c>
      <c r="F4646" s="801" t="s">
        <v>12704</v>
      </c>
      <c r="G4646" s="801"/>
      <c r="H4646" s="801" t="s">
        <v>13678</v>
      </c>
      <c r="I4646" s="801"/>
      <c r="J4646" s="801" t="s">
        <v>12705</v>
      </c>
      <c r="K4646" s="801"/>
      <c r="L4646" s="801"/>
    </row>
    <row r="4647" spans="1:12" ht="17.100000000000001" customHeight="1">
      <c r="A4647" s="626" t="s">
        <v>12709</v>
      </c>
      <c r="B4647" s="627" t="s">
        <v>13302</v>
      </c>
      <c r="C4647" s="626" t="s">
        <v>8</v>
      </c>
      <c r="D4647" s="626" t="s">
        <v>7676</v>
      </c>
      <c r="E4647" s="628" t="s">
        <v>35</v>
      </c>
      <c r="F4647" s="816" t="s">
        <v>14526</v>
      </c>
      <c r="G4647" s="816"/>
      <c r="H4647" s="816">
        <v>1.493E-4</v>
      </c>
      <c r="I4647" s="816"/>
      <c r="J4647" s="817">
        <v>0.54069999999999996</v>
      </c>
      <c r="K4647" s="817"/>
      <c r="L4647" s="817"/>
    </row>
    <row r="4648" spans="1:12" ht="17.100000000000001" customHeight="1">
      <c r="A4648" s="626" t="s">
        <v>12709</v>
      </c>
      <c r="B4648" s="627" t="s">
        <v>13048</v>
      </c>
      <c r="C4648" s="626" t="s">
        <v>8</v>
      </c>
      <c r="D4648" s="626" t="s">
        <v>9233</v>
      </c>
      <c r="E4648" s="628" t="s">
        <v>23</v>
      </c>
      <c r="F4648" s="816" t="s">
        <v>13690</v>
      </c>
      <c r="G4648" s="816"/>
      <c r="H4648" s="816">
        <v>2.3063959000000001</v>
      </c>
      <c r="I4648" s="816"/>
      <c r="J4648" s="817">
        <v>2.3525</v>
      </c>
      <c r="K4648" s="817"/>
      <c r="L4648" s="817"/>
    </row>
    <row r="4649" spans="1:12" ht="17.100000000000001" customHeight="1">
      <c r="A4649" s="626" t="s">
        <v>12709</v>
      </c>
      <c r="B4649" s="627" t="s">
        <v>13047</v>
      </c>
      <c r="C4649" s="626" t="s">
        <v>8</v>
      </c>
      <c r="D4649" s="626" t="s">
        <v>9380</v>
      </c>
      <c r="E4649" s="628" t="s">
        <v>23</v>
      </c>
      <c r="F4649" s="816" t="s">
        <v>13689</v>
      </c>
      <c r="G4649" s="816"/>
      <c r="H4649" s="816">
        <v>2.3063959000000001</v>
      </c>
      <c r="I4649" s="816"/>
      <c r="J4649" s="817">
        <v>0.87639999999999996</v>
      </c>
      <c r="K4649" s="817"/>
      <c r="L4649" s="817"/>
    </row>
    <row r="4650" spans="1:12" ht="17.100000000000001" customHeight="1">
      <c r="A4650" s="626" t="s">
        <v>12709</v>
      </c>
      <c r="B4650" s="627" t="s">
        <v>13003</v>
      </c>
      <c r="C4650" s="626" t="s">
        <v>8</v>
      </c>
      <c r="D4650" s="626" t="s">
        <v>9227</v>
      </c>
      <c r="E4650" s="628" t="s">
        <v>23</v>
      </c>
      <c r="F4650" s="816" t="s">
        <v>13732</v>
      </c>
      <c r="G4650" s="816"/>
      <c r="H4650" s="816">
        <v>1.4577221</v>
      </c>
      <c r="I4650" s="816"/>
      <c r="J4650" s="817">
        <v>0.96209999999999996</v>
      </c>
      <c r="K4650" s="817"/>
      <c r="L4650" s="817"/>
    </row>
    <row r="4651" spans="1:12" ht="17.100000000000001" customHeight="1">
      <c r="A4651" s="626" t="s">
        <v>12709</v>
      </c>
      <c r="B4651" s="627" t="s">
        <v>13001</v>
      </c>
      <c r="C4651" s="626" t="s">
        <v>8</v>
      </c>
      <c r="D4651" s="626" t="s">
        <v>9374</v>
      </c>
      <c r="E4651" s="628" t="s">
        <v>23</v>
      </c>
      <c r="F4651" s="816" t="s">
        <v>13728</v>
      </c>
      <c r="G4651" s="816"/>
      <c r="H4651" s="816">
        <v>1.4577221</v>
      </c>
      <c r="I4651" s="816"/>
      <c r="J4651" s="817">
        <v>1.46E-2</v>
      </c>
      <c r="K4651" s="817"/>
      <c r="L4651" s="817"/>
    </row>
    <row r="4652" spans="1:12" ht="17.100000000000001" customHeight="1">
      <c r="A4652" s="636"/>
      <c r="B4652" s="636"/>
      <c r="C4652" s="636"/>
      <c r="D4652" s="636"/>
      <c r="E4652" s="636"/>
      <c r="F4652" s="636"/>
      <c r="G4652" s="636"/>
      <c r="H4652" s="636"/>
      <c r="I4652" s="636"/>
      <c r="J4652" s="636" t="s">
        <v>13675</v>
      </c>
      <c r="K4652" s="636"/>
      <c r="L4652" s="636" t="s">
        <v>14575</v>
      </c>
    </row>
    <row r="4653" spans="1:12" ht="17.100000000000001" customHeight="1">
      <c r="A4653" s="802" t="s">
        <v>12710</v>
      </c>
      <c r="B4653" s="802"/>
      <c r="C4653" s="802"/>
      <c r="D4653" s="802"/>
      <c r="E4653" s="802"/>
      <c r="F4653" s="802"/>
      <c r="G4653" s="802"/>
      <c r="H4653" s="802"/>
      <c r="I4653" s="612"/>
      <c r="J4653" s="612"/>
      <c r="K4653" s="612"/>
      <c r="L4653" s="612"/>
    </row>
    <row r="4654" spans="1:12" ht="30" customHeight="1">
      <c r="A4654" s="612" t="s">
        <v>13679</v>
      </c>
      <c r="B4654" s="636" t="s">
        <v>12698</v>
      </c>
      <c r="C4654" s="612" t="s">
        <v>12699</v>
      </c>
      <c r="D4654" s="612" t="s">
        <v>12700</v>
      </c>
      <c r="E4654" s="637" t="s">
        <v>12702</v>
      </c>
      <c r="F4654" s="801" t="s">
        <v>12704</v>
      </c>
      <c r="G4654" s="801"/>
      <c r="H4654" s="801" t="s">
        <v>13678</v>
      </c>
      <c r="I4654" s="801"/>
      <c r="J4654" s="801" t="s">
        <v>12705</v>
      </c>
      <c r="K4654" s="801"/>
      <c r="L4654" s="801"/>
    </row>
    <row r="4655" spans="1:12" ht="48" customHeight="1">
      <c r="A4655" s="626" t="s">
        <v>12709</v>
      </c>
      <c r="B4655" s="627" t="s">
        <v>13046</v>
      </c>
      <c r="C4655" s="626" t="s">
        <v>8</v>
      </c>
      <c r="D4655" s="626" t="s">
        <v>11281</v>
      </c>
      <c r="E4655" s="628" t="s">
        <v>23</v>
      </c>
      <c r="F4655" s="816" t="s">
        <v>13731</v>
      </c>
      <c r="G4655" s="816"/>
      <c r="H4655" s="816">
        <v>2.3424033</v>
      </c>
      <c r="I4655" s="816"/>
      <c r="J4655" s="817">
        <v>12.04</v>
      </c>
      <c r="K4655" s="817"/>
      <c r="L4655" s="817"/>
    </row>
    <row r="4656" spans="1:12" ht="14.25" customHeight="1">
      <c r="A4656" s="626" t="s">
        <v>12709</v>
      </c>
      <c r="B4656" s="627" t="s">
        <v>13116</v>
      </c>
      <c r="C4656" s="626" t="s">
        <v>8</v>
      </c>
      <c r="D4656" s="626" t="s">
        <v>10556</v>
      </c>
      <c r="E4656" s="628" t="s">
        <v>23</v>
      </c>
      <c r="F4656" s="816" t="s">
        <v>13770</v>
      </c>
      <c r="G4656" s="816"/>
      <c r="H4656" s="816">
        <v>1.4674932999999999</v>
      </c>
      <c r="I4656" s="816"/>
      <c r="J4656" s="817">
        <v>6.9999000000000002</v>
      </c>
      <c r="K4656" s="817"/>
      <c r="L4656" s="817"/>
    </row>
    <row r="4657" spans="1:12" ht="17.100000000000001" customHeight="1">
      <c r="A4657" s="636"/>
      <c r="B4657" s="636"/>
      <c r="C4657" s="636"/>
      <c r="D4657" s="636"/>
      <c r="E4657" s="636"/>
      <c r="F4657" s="636"/>
      <c r="G4657" s="636"/>
      <c r="H4657" s="636"/>
      <c r="I4657" s="636"/>
      <c r="J4657" s="636" t="s">
        <v>13675</v>
      </c>
      <c r="K4657" s="636"/>
      <c r="L4657" s="636" t="s">
        <v>14716</v>
      </c>
    </row>
    <row r="4658" spans="1:12" ht="24" customHeight="1">
      <c r="A4658" s="802" t="s">
        <v>12720</v>
      </c>
      <c r="B4658" s="802"/>
      <c r="C4658" s="802"/>
      <c r="D4658" s="802"/>
      <c r="E4658" s="802"/>
      <c r="F4658" s="802"/>
      <c r="G4658" s="802"/>
      <c r="H4658" s="802"/>
      <c r="I4658" s="612"/>
      <c r="J4658" s="612"/>
      <c r="K4658" s="612"/>
      <c r="L4658" s="612"/>
    </row>
    <row r="4659" spans="1:12" ht="24" customHeight="1">
      <c r="A4659" s="612" t="s">
        <v>13679</v>
      </c>
      <c r="B4659" s="636" t="s">
        <v>12698</v>
      </c>
      <c r="C4659" s="612" t="s">
        <v>12699</v>
      </c>
      <c r="D4659" s="612" t="s">
        <v>12700</v>
      </c>
      <c r="E4659" s="637" t="s">
        <v>12702</v>
      </c>
      <c r="F4659" s="801" t="s">
        <v>12704</v>
      </c>
      <c r="G4659" s="801"/>
      <c r="H4659" s="801" t="s">
        <v>13678</v>
      </c>
      <c r="I4659" s="801"/>
      <c r="J4659" s="801" t="s">
        <v>12705</v>
      </c>
      <c r="K4659" s="801"/>
      <c r="L4659" s="801"/>
    </row>
    <row r="4660" spans="1:12" ht="17.100000000000001" customHeight="1">
      <c r="A4660" s="626" t="s">
        <v>12709</v>
      </c>
      <c r="B4660" s="627" t="s">
        <v>13250</v>
      </c>
      <c r="C4660" s="626" t="s">
        <v>8</v>
      </c>
      <c r="D4660" s="626" t="s">
        <v>7526</v>
      </c>
      <c r="E4660" s="628" t="s">
        <v>12730</v>
      </c>
      <c r="F4660" s="816" t="s">
        <v>13747</v>
      </c>
      <c r="G4660" s="816"/>
      <c r="H4660" s="816">
        <v>0.72299999999999998</v>
      </c>
      <c r="I4660" s="816"/>
      <c r="J4660" s="817">
        <v>45.18</v>
      </c>
      <c r="K4660" s="817"/>
      <c r="L4660" s="817"/>
    </row>
    <row r="4661" spans="1:12" ht="14.25" customHeight="1">
      <c r="A4661" s="626" t="s">
        <v>12709</v>
      </c>
      <c r="B4661" s="627" t="s">
        <v>13249</v>
      </c>
      <c r="C4661" s="626" t="s">
        <v>8</v>
      </c>
      <c r="D4661" s="626" t="s">
        <v>8420</v>
      </c>
      <c r="E4661" s="628" t="s">
        <v>20</v>
      </c>
      <c r="F4661" s="816" t="s">
        <v>13700</v>
      </c>
      <c r="G4661" s="816"/>
      <c r="H4661" s="816">
        <v>362.66</v>
      </c>
      <c r="I4661" s="816"/>
      <c r="J4661" s="817">
        <v>177.7</v>
      </c>
      <c r="K4661" s="817"/>
      <c r="L4661" s="817"/>
    </row>
    <row r="4662" spans="1:12" ht="17.100000000000001" customHeight="1">
      <c r="A4662" s="626" t="s">
        <v>12709</v>
      </c>
      <c r="B4662" s="627" t="s">
        <v>13248</v>
      </c>
      <c r="C4662" s="626" t="s">
        <v>8</v>
      </c>
      <c r="D4662" s="626" t="s">
        <v>10712</v>
      </c>
      <c r="E4662" s="628" t="s">
        <v>12730</v>
      </c>
      <c r="F4662" s="816" t="s">
        <v>13745</v>
      </c>
      <c r="G4662" s="816"/>
      <c r="H4662" s="816">
        <v>0.59299999999999997</v>
      </c>
      <c r="I4662" s="816"/>
      <c r="J4662" s="817">
        <v>47.44</v>
      </c>
      <c r="K4662" s="817"/>
      <c r="L4662" s="817"/>
    </row>
    <row r="4663" spans="1:12" ht="24" customHeight="1">
      <c r="A4663" s="626" t="s">
        <v>12709</v>
      </c>
      <c r="B4663" s="627" t="s">
        <v>12987</v>
      </c>
      <c r="C4663" s="626" t="s">
        <v>8</v>
      </c>
      <c r="D4663" s="626" t="s">
        <v>9192</v>
      </c>
      <c r="E4663" s="628" t="s">
        <v>12923</v>
      </c>
      <c r="F4663" s="816" t="s">
        <v>13999</v>
      </c>
      <c r="G4663" s="816"/>
      <c r="H4663" s="816">
        <v>0.93603729999999996</v>
      </c>
      <c r="I4663" s="816"/>
      <c r="J4663" s="817">
        <v>0.75819999999999999</v>
      </c>
      <c r="K4663" s="817"/>
      <c r="L4663" s="817"/>
    </row>
    <row r="4664" spans="1:12" ht="24" customHeight="1">
      <c r="A4664" s="636"/>
      <c r="B4664" s="636"/>
      <c r="C4664" s="636"/>
      <c r="D4664" s="636"/>
      <c r="E4664" s="636"/>
      <c r="F4664" s="636"/>
      <c r="G4664" s="636"/>
      <c r="H4664" s="636"/>
      <c r="I4664" s="636"/>
      <c r="J4664" s="636" t="s">
        <v>13675</v>
      </c>
      <c r="K4664" s="636"/>
      <c r="L4664" s="636" t="s">
        <v>14715</v>
      </c>
    </row>
    <row r="4665" spans="1:12" ht="17.100000000000001" customHeight="1">
      <c r="A4665" s="802" t="s">
        <v>12722</v>
      </c>
      <c r="B4665" s="802"/>
      <c r="C4665" s="802"/>
      <c r="D4665" s="802"/>
      <c r="E4665" s="802"/>
      <c r="F4665" s="802"/>
      <c r="G4665" s="802"/>
      <c r="H4665" s="802"/>
      <c r="I4665" s="612"/>
      <c r="J4665" s="612"/>
      <c r="K4665" s="612"/>
      <c r="L4665" s="612"/>
    </row>
    <row r="4666" spans="1:12">
      <c r="A4666" s="612" t="s">
        <v>13679</v>
      </c>
      <c r="B4666" s="636" t="s">
        <v>12698</v>
      </c>
      <c r="C4666" s="612" t="s">
        <v>12699</v>
      </c>
      <c r="D4666" s="612" t="s">
        <v>12700</v>
      </c>
      <c r="E4666" s="637" t="s">
        <v>12702</v>
      </c>
      <c r="F4666" s="801" t="s">
        <v>12704</v>
      </c>
      <c r="G4666" s="801"/>
      <c r="H4666" s="801" t="s">
        <v>13678</v>
      </c>
      <c r="I4666" s="801"/>
      <c r="J4666" s="801" t="s">
        <v>12705</v>
      </c>
      <c r="K4666" s="801"/>
      <c r="L4666" s="801"/>
    </row>
    <row r="4667" spans="1:12" ht="17.100000000000001" customHeight="1">
      <c r="A4667" s="626" t="s">
        <v>12709</v>
      </c>
      <c r="B4667" s="627" t="s">
        <v>12998</v>
      </c>
      <c r="C4667" s="626" t="s">
        <v>8</v>
      </c>
      <c r="D4667" s="626" t="s">
        <v>11861</v>
      </c>
      <c r="E4667" s="628" t="s">
        <v>23</v>
      </c>
      <c r="F4667" s="816" t="s">
        <v>13683</v>
      </c>
      <c r="G4667" s="816"/>
      <c r="H4667" s="816">
        <v>3.7641179999999999</v>
      </c>
      <c r="I4667" s="816"/>
      <c r="J4667" s="817">
        <v>2.6724999999999999</v>
      </c>
      <c r="K4667" s="817"/>
      <c r="L4667" s="817"/>
    </row>
    <row r="4668" spans="1:12" ht="24" customHeight="1">
      <c r="A4668" s="636"/>
      <c r="B4668" s="636"/>
      <c r="C4668" s="636"/>
      <c r="D4668" s="636"/>
      <c r="E4668" s="636"/>
      <c r="F4668" s="636"/>
      <c r="G4668" s="636"/>
      <c r="H4668" s="636"/>
      <c r="I4668" s="636"/>
      <c r="J4668" s="636" t="s">
        <v>13675</v>
      </c>
      <c r="K4668" s="636"/>
      <c r="L4668" s="636" t="s">
        <v>14110</v>
      </c>
    </row>
    <row r="4669" spans="1:12" ht="36" customHeight="1">
      <c r="A4669" s="802" t="s">
        <v>12713</v>
      </c>
      <c r="B4669" s="802"/>
      <c r="C4669" s="802"/>
      <c r="D4669" s="802"/>
      <c r="E4669" s="802"/>
      <c r="F4669" s="802"/>
      <c r="G4669" s="802"/>
      <c r="H4669" s="802"/>
      <c r="I4669" s="612"/>
      <c r="J4669" s="612"/>
      <c r="K4669" s="612"/>
      <c r="L4669" s="612"/>
    </row>
    <row r="4670" spans="1:12" ht="24" customHeight="1">
      <c r="A4670" s="612" t="s">
        <v>13679</v>
      </c>
      <c r="B4670" s="636" t="s">
        <v>12698</v>
      </c>
      <c r="C4670" s="612" t="s">
        <v>12699</v>
      </c>
      <c r="D4670" s="612" t="s">
        <v>12700</v>
      </c>
      <c r="E4670" s="637" t="s">
        <v>12702</v>
      </c>
      <c r="F4670" s="801" t="s">
        <v>12704</v>
      </c>
      <c r="G4670" s="801"/>
      <c r="H4670" s="801" t="s">
        <v>13678</v>
      </c>
      <c r="I4670" s="801"/>
      <c r="J4670" s="801" t="s">
        <v>12705</v>
      </c>
      <c r="K4670" s="801"/>
      <c r="L4670" s="801"/>
    </row>
    <row r="4671" spans="1:12" ht="17.100000000000001" customHeight="1">
      <c r="A4671" s="626" t="s">
        <v>12709</v>
      </c>
      <c r="B4671" s="627" t="s">
        <v>12999</v>
      </c>
      <c r="C4671" s="626" t="s">
        <v>8</v>
      </c>
      <c r="D4671" s="626" t="s">
        <v>11251</v>
      </c>
      <c r="E4671" s="628" t="s">
        <v>23</v>
      </c>
      <c r="F4671" s="816" t="s">
        <v>13681</v>
      </c>
      <c r="G4671" s="816"/>
      <c r="H4671" s="816">
        <v>3.7641179999999999</v>
      </c>
      <c r="I4671" s="816"/>
      <c r="J4671" s="817">
        <v>0.26350000000000001</v>
      </c>
      <c r="K4671" s="817"/>
      <c r="L4671" s="817"/>
    </row>
    <row r="4672" spans="1:12">
      <c r="A4672" s="636"/>
      <c r="B4672" s="636"/>
      <c r="C4672" s="636"/>
      <c r="D4672" s="636"/>
      <c r="E4672" s="636"/>
      <c r="F4672" s="636"/>
      <c r="G4672" s="636"/>
      <c r="H4672" s="636"/>
      <c r="I4672" s="636"/>
      <c r="J4672" s="636" t="s">
        <v>13675</v>
      </c>
      <c r="K4672" s="636"/>
      <c r="L4672" s="636" t="s">
        <v>13869</v>
      </c>
    </row>
    <row r="4673" spans="1:12" ht="17.100000000000001" customHeight="1">
      <c r="A4673" s="802" t="s">
        <v>12712</v>
      </c>
      <c r="B4673" s="802"/>
      <c r="C4673" s="802"/>
      <c r="D4673" s="802"/>
      <c r="E4673" s="802"/>
      <c r="F4673" s="802"/>
      <c r="G4673" s="802"/>
      <c r="H4673" s="802"/>
      <c r="I4673" s="612"/>
      <c r="J4673" s="612"/>
      <c r="K4673" s="612"/>
      <c r="L4673" s="612"/>
    </row>
    <row r="4674" spans="1:12" ht="24" customHeight="1">
      <c r="A4674" s="612" t="s">
        <v>13679</v>
      </c>
      <c r="B4674" s="636" t="s">
        <v>12698</v>
      </c>
      <c r="C4674" s="612" t="s">
        <v>12699</v>
      </c>
      <c r="D4674" s="612" t="s">
        <v>12700</v>
      </c>
      <c r="E4674" s="637" t="s">
        <v>12702</v>
      </c>
      <c r="F4674" s="801" t="s">
        <v>12704</v>
      </c>
      <c r="G4674" s="801"/>
      <c r="H4674" s="801" t="s">
        <v>13678</v>
      </c>
      <c r="I4674" s="801"/>
      <c r="J4674" s="801" t="s">
        <v>12705</v>
      </c>
      <c r="K4674" s="801"/>
      <c r="L4674" s="801"/>
    </row>
    <row r="4675" spans="1:12" ht="17.100000000000001" customHeight="1">
      <c r="A4675" s="626" t="s">
        <v>12709</v>
      </c>
      <c r="B4675" s="627" t="s">
        <v>13002</v>
      </c>
      <c r="C4675" s="626" t="s">
        <v>8</v>
      </c>
      <c r="D4675" s="626" t="s">
        <v>9306</v>
      </c>
      <c r="E4675" s="628" t="s">
        <v>23</v>
      </c>
      <c r="F4675" s="816" t="s">
        <v>13677</v>
      </c>
      <c r="G4675" s="816"/>
      <c r="H4675" s="816">
        <v>3.7641179999999999</v>
      </c>
      <c r="I4675" s="816"/>
      <c r="J4675" s="817">
        <v>1.3173999999999999</v>
      </c>
      <c r="K4675" s="817"/>
      <c r="L4675" s="817"/>
    </row>
    <row r="4676" spans="1:12" ht="25.5">
      <c r="A4676" s="626" t="s">
        <v>12709</v>
      </c>
      <c r="B4676" s="627" t="s">
        <v>13004</v>
      </c>
      <c r="C4676" s="626" t="s">
        <v>8</v>
      </c>
      <c r="D4676" s="626" t="s">
        <v>7388</v>
      </c>
      <c r="E4676" s="628" t="s">
        <v>23</v>
      </c>
      <c r="F4676" s="816" t="s">
        <v>13676</v>
      </c>
      <c r="G4676" s="816"/>
      <c r="H4676" s="816">
        <v>3.7641179999999999</v>
      </c>
      <c r="I4676" s="816"/>
      <c r="J4676" s="817">
        <v>8.2811000000000003</v>
      </c>
      <c r="K4676" s="817"/>
      <c r="L4676" s="817"/>
    </row>
    <row r="4677" spans="1:12" ht="17.100000000000001" customHeight="1">
      <c r="A4677" s="636"/>
      <c r="B4677" s="636"/>
      <c r="C4677" s="636"/>
      <c r="D4677" s="636"/>
      <c r="E4677" s="636"/>
      <c r="F4677" s="636"/>
      <c r="G4677" s="636"/>
      <c r="H4677" s="636"/>
      <c r="I4677" s="636"/>
      <c r="J4677" s="636" t="s">
        <v>13675</v>
      </c>
      <c r="K4677" s="636"/>
      <c r="L4677" s="636" t="s">
        <v>14109</v>
      </c>
    </row>
    <row r="4678" spans="1:12" ht="24" customHeight="1">
      <c r="A4678" s="612" t="s">
        <v>13673</v>
      </c>
      <c r="B4678" s="612"/>
      <c r="C4678" s="612"/>
      <c r="D4678" s="612"/>
      <c r="E4678" s="612"/>
      <c r="F4678" s="612"/>
      <c r="G4678" s="612"/>
      <c r="H4678" s="612"/>
      <c r="I4678" s="612"/>
      <c r="J4678" s="612"/>
      <c r="K4678" s="612"/>
      <c r="L4678" s="612"/>
    </row>
    <row r="4679" spans="1:12" ht="17.100000000000001" customHeight="1">
      <c r="A4679" s="636"/>
      <c r="B4679" s="636"/>
      <c r="C4679" s="636"/>
      <c r="D4679" s="636"/>
      <c r="E4679" s="636"/>
      <c r="F4679" s="636"/>
      <c r="G4679" s="636"/>
      <c r="H4679" s="636"/>
      <c r="I4679" s="636"/>
      <c r="J4679" s="636" t="s">
        <v>13672</v>
      </c>
      <c r="K4679" s="636"/>
      <c r="L4679" s="636" t="s">
        <v>14987</v>
      </c>
    </row>
    <row r="4680" spans="1:12">
      <c r="A4680" s="636"/>
      <c r="B4680" s="636"/>
      <c r="C4680" s="636"/>
      <c r="D4680" s="636"/>
      <c r="E4680" s="636"/>
      <c r="F4680" s="636"/>
      <c r="G4680" s="636"/>
      <c r="H4680" s="636"/>
      <c r="I4680" s="636"/>
      <c r="J4680" s="636" t="s">
        <v>13671</v>
      </c>
      <c r="K4680" s="636" t="s">
        <v>14461</v>
      </c>
      <c r="L4680" s="636" t="s">
        <v>14988</v>
      </c>
    </row>
    <row r="4681" spans="1:12" ht="17.100000000000001" customHeight="1">
      <c r="A4681" s="636"/>
      <c r="B4681" s="636"/>
      <c r="C4681" s="636"/>
      <c r="D4681" s="636"/>
      <c r="E4681" s="636"/>
      <c r="F4681" s="636"/>
      <c r="G4681" s="636"/>
      <c r="H4681" s="636"/>
      <c r="I4681" s="636"/>
      <c r="J4681" s="636" t="s">
        <v>13670</v>
      </c>
      <c r="K4681" s="636"/>
      <c r="L4681" s="636" t="s">
        <v>14989</v>
      </c>
    </row>
    <row r="4682" spans="1:12" ht="24" customHeight="1">
      <c r="A4682" s="636"/>
      <c r="B4682" s="636"/>
      <c r="C4682" s="636"/>
      <c r="D4682" s="636"/>
      <c r="E4682" s="636"/>
      <c r="F4682" s="636"/>
      <c r="G4682" s="636"/>
      <c r="H4682" s="636"/>
      <c r="I4682" s="636"/>
      <c r="J4682" s="636" t="s">
        <v>13669</v>
      </c>
      <c r="K4682" s="636" t="s">
        <v>13667</v>
      </c>
      <c r="L4682" s="636" t="s">
        <v>14990</v>
      </c>
    </row>
    <row r="4683" spans="1:12" ht="24" customHeight="1">
      <c r="A4683" s="636"/>
      <c r="B4683" s="636"/>
      <c r="C4683" s="636"/>
      <c r="D4683" s="636"/>
      <c r="E4683" s="636"/>
      <c r="F4683" s="636"/>
      <c r="G4683" s="636"/>
      <c r="H4683" s="636"/>
      <c r="I4683" s="636"/>
      <c r="J4683" s="636" t="s">
        <v>13668</v>
      </c>
      <c r="K4683" s="636"/>
      <c r="L4683" s="636" t="s">
        <v>14991</v>
      </c>
    </row>
    <row r="4684" spans="1:12" ht="17.100000000000001" customHeight="1">
      <c r="A4684" s="637"/>
      <c r="B4684" s="637"/>
      <c r="C4684" s="637"/>
      <c r="D4684" s="637"/>
      <c r="E4684" s="637"/>
      <c r="F4684" s="637"/>
      <c r="G4684" s="637"/>
      <c r="H4684" s="637"/>
      <c r="I4684" s="637"/>
      <c r="J4684" s="637"/>
      <c r="K4684" s="637"/>
      <c r="L4684" s="637"/>
    </row>
    <row r="4685" spans="1:12" ht="17.100000000000001" customHeight="1">
      <c r="A4685" s="616" t="s">
        <v>14108</v>
      </c>
      <c r="B4685" s="617" t="s">
        <v>13633</v>
      </c>
      <c r="C4685" s="616" t="s">
        <v>8</v>
      </c>
      <c r="D4685" s="616" t="s">
        <v>55</v>
      </c>
      <c r="E4685" s="618" t="s">
        <v>12730</v>
      </c>
      <c r="F4685" s="617"/>
      <c r="G4685" s="617"/>
      <c r="H4685" s="617"/>
      <c r="I4685" s="617"/>
      <c r="J4685" s="617"/>
      <c r="K4685" s="617"/>
      <c r="L4685" s="617"/>
    </row>
    <row r="4686" spans="1:12" ht="17.100000000000001" customHeight="1">
      <c r="A4686" s="802" t="s">
        <v>12711</v>
      </c>
      <c r="B4686" s="802"/>
      <c r="C4686" s="802"/>
      <c r="D4686" s="802"/>
      <c r="E4686" s="802"/>
      <c r="F4686" s="802"/>
      <c r="G4686" s="802"/>
      <c r="H4686" s="802"/>
      <c r="I4686" s="612"/>
      <c r="J4686" s="612"/>
      <c r="K4686" s="612"/>
      <c r="L4686" s="612"/>
    </row>
    <row r="4687" spans="1:12" ht="17.100000000000001" customHeight="1">
      <c r="A4687" s="612" t="s">
        <v>13679</v>
      </c>
      <c r="B4687" s="636" t="s">
        <v>12698</v>
      </c>
      <c r="C4687" s="612" t="s">
        <v>12699</v>
      </c>
      <c r="D4687" s="612" t="s">
        <v>12700</v>
      </c>
      <c r="E4687" s="637" t="s">
        <v>12702</v>
      </c>
      <c r="F4687" s="801" t="s">
        <v>12704</v>
      </c>
      <c r="G4687" s="801"/>
      <c r="H4687" s="801" t="s">
        <v>13678</v>
      </c>
      <c r="I4687" s="801"/>
      <c r="J4687" s="801" t="s">
        <v>12705</v>
      </c>
      <c r="K4687" s="801"/>
      <c r="L4687" s="801"/>
    </row>
    <row r="4688" spans="1:12" ht="17.100000000000001" customHeight="1">
      <c r="A4688" s="626" t="s">
        <v>12709</v>
      </c>
      <c r="B4688" s="627" t="s">
        <v>12989</v>
      </c>
      <c r="C4688" s="626" t="s">
        <v>8</v>
      </c>
      <c r="D4688" s="626" t="s">
        <v>12342</v>
      </c>
      <c r="E4688" s="628" t="s">
        <v>35</v>
      </c>
      <c r="F4688" s="816" t="s">
        <v>14494</v>
      </c>
      <c r="G4688" s="816"/>
      <c r="H4688" s="816">
        <v>3.3110000000000002E-4</v>
      </c>
      <c r="I4688" s="816"/>
      <c r="J4688" s="817">
        <v>0.80200000000000005</v>
      </c>
      <c r="K4688" s="817"/>
      <c r="L4688" s="817"/>
    </row>
    <row r="4689" spans="1:12" ht="17.100000000000001" customHeight="1">
      <c r="A4689" s="626" t="s">
        <v>12709</v>
      </c>
      <c r="B4689" s="627" t="s">
        <v>13032</v>
      </c>
      <c r="C4689" s="626" t="s">
        <v>8</v>
      </c>
      <c r="D4689" s="626" t="s">
        <v>9217</v>
      </c>
      <c r="E4689" s="628" t="s">
        <v>23</v>
      </c>
      <c r="F4689" s="816" t="s">
        <v>13741</v>
      </c>
      <c r="G4689" s="816"/>
      <c r="H4689" s="816">
        <v>1.8448028999999999</v>
      </c>
      <c r="I4689" s="816"/>
      <c r="J4689" s="817">
        <v>1.9923999999999999</v>
      </c>
      <c r="K4689" s="817"/>
      <c r="L4689" s="817"/>
    </row>
    <row r="4690" spans="1:12" ht="17.100000000000001" customHeight="1">
      <c r="A4690" s="626" t="s">
        <v>12709</v>
      </c>
      <c r="B4690" s="627" t="s">
        <v>13031</v>
      </c>
      <c r="C4690" s="626" t="s">
        <v>8</v>
      </c>
      <c r="D4690" s="626" t="s">
        <v>9364</v>
      </c>
      <c r="E4690" s="628" t="s">
        <v>23</v>
      </c>
      <c r="F4690" s="816" t="s">
        <v>13740</v>
      </c>
      <c r="G4690" s="816"/>
      <c r="H4690" s="816">
        <v>1.8448028999999999</v>
      </c>
      <c r="I4690" s="816"/>
      <c r="J4690" s="817">
        <v>0.62719999999999998</v>
      </c>
      <c r="K4690" s="817"/>
      <c r="L4690" s="817"/>
    </row>
    <row r="4691" spans="1:12" ht="30" customHeight="1">
      <c r="A4691" s="626" t="s">
        <v>12709</v>
      </c>
      <c r="B4691" s="627" t="s">
        <v>13052</v>
      </c>
      <c r="C4691" s="626" t="s">
        <v>8</v>
      </c>
      <c r="D4691" s="626" t="s">
        <v>9229</v>
      </c>
      <c r="E4691" s="628" t="s">
        <v>23</v>
      </c>
      <c r="F4691" s="816" t="s">
        <v>13692</v>
      </c>
      <c r="G4691" s="816"/>
      <c r="H4691" s="816">
        <v>1.8448028999999999</v>
      </c>
      <c r="I4691" s="816"/>
      <c r="J4691" s="817">
        <v>1.7709999999999999</v>
      </c>
      <c r="K4691" s="817"/>
      <c r="L4691" s="817"/>
    </row>
    <row r="4692" spans="1:12" ht="48" customHeight="1">
      <c r="A4692" s="626" t="s">
        <v>12709</v>
      </c>
      <c r="B4692" s="627" t="s">
        <v>13051</v>
      </c>
      <c r="C4692" s="626" t="s">
        <v>8</v>
      </c>
      <c r="D4692" s="626" t="s">
        <v>9376</v>
      </c>
      <c r="E4692" s="628" t="s">
        <v>23</v>
      </c>
      <c r="F4692" s="816" t="s">
        <v>13691</v>
      </c>
      <c r="G4692" s="816"/>
      <c r="H4692" s="816">
        <v>1.8448028999999999</v>
      </c>
      <c r="I4692" s="816"/>
      <c r="J4692" s="817">
        <v>0.9224</v>
      </c>
      <c r="K4692" s="817"/>
      <c r="L4692" s="817"/>
    </row>
    <row r="4693" spans="1:12" ht="14.25" customHeight="1">
      <c r="A4693" s="626" t="s">
        <v>12709</v>
      </c>
      <c r="B4693" s="627" t="s">
        <v>13048</v>
      </c>
      <c r="C4693" s="626" t="s">
        <v>8</v>
      </c>
      <c r="D4693" s="626" t="s">
        <v>9233</v>
      </c>
      <c r="E4693" s="628" t="s">
        <v>23</v>
      </c>
      <c r="F4693" s="816" t="s">
        <v>13690</v>
      </c>
      <c r="G4693" s="816"/>
      <c r="H4693" s="816">
        <v>5.5344085999999999</v>
      </c>
      <c r="I4693" s="816"/>
      <c r="J4693" s="817">
        <v>5.6451000000000002</v>
      </c>
      <c r="K4693" s="817"/>
      <c r="L4693" s="817"/>
    </row>
    <row r="4694" spans="1:12" ht="17.100000000000001" customHeight="1">
      <c r="A4694" s="626" t="s">
        <v>12709</v>
      </c>
      <c r="B4694" s="627" t="s">
        <v>13047</v>
      </c>
      <c r="C4694" s="626" t="s">
        <v>8</v>
      </c>
      <c r="D4694" s="626" t="s">
        <v>9380</v>
      </c>
      <c r="E4694" s="628" t="s">
        <v>23</v>
      </c>
      <c r="F4694" s="816" t="s">
        <v>13689</v>
      </c>
      <c r="G4694" s="816"/>
      <c r="H4694" s="816">
        <v>5.5344085999999999</v>
      </c>
      <c r="I4694" s="816"/>
      <c r="J4694" s="817">
        <v>2.1031</v>
      </c>
      <c r="K4694" s="817"/>
      <c r="L4694" s="817"/>
    </row>
    <row r="4695" spans="1:12" ht="24" customHeight="1">
      <c r="A4695" s="636"/>
      <c r="B4695" s="636"/>
      <c r="C4695" s="636"/>
      <c r="D4695" s="636"/>
      <c r="E4695" s="636"/>
      <c r="F4695" s="636"/>
      <c r="G4695" s="636"/>
      <c r="H4695" s="636"/>
      <c r="I4695" s="636"/>
      <c r="J4695" s="636" t="s">
        <v>13675</v>
      </c>
      <c r="K4695" s="636"/>
      <c r="L4695" s="636" t="s">
        <v>14493</v>
      </c>
    </row>
    <row r="4696" spans="1:12" ht="24" customHeight="1">
      <c r="A4696" s="802" t="s">
        <v>12710</v>
      </c>
      <c r="B4696" s="802"/>
      <c r="C4696" s="802"/>
      <c r="D4696" s="802"/>
      <c r="E4696" s="802"/>
      <c r="F4696" s="802"/>
      <c r="G4696" s="802"/>
      <c r="H4696" s="802"/>
      <c r="I4696" s="612"/>
      <c r="J4696" s="612"/>
      <c r="K4696" s="612"/>
      <c r="L4696" s="612"/>
    </row>
    <row r="4697" spans="1:12" ht="17.100000000000001" customHeight="1">
      <c r="A4697" s="612" t="s">
        <v>13679</v>
      </c>
      <c r="B4697" s="636" t="s">
        <v>12698</v>
      </c>
      <c r="C4697" s="612" t="s">
        <v>12699</v>
      </c>
      <c r="D4697" s="612" t="s">
        <v>12700</v>
      </c>
      <c r="E4697" s="637" t="s">
        <v>12702</v>
      </c>
      <c r="F4697" s="801" t="s">
        <v>12704</v>
      </c>
      <c r="G4697" s="801"/>
      <c r="H4697" s="801" t="s">
        <v>13678</v>
      </c>
      <c r="I4697" s="801"/>
      <c r="J4697" s="801" t="s">
        <v>12705</v>
      </c>
      <c r="K4697" s="801"/>
      <c r="L4697" s="801"/>
    </row>
    <row r="4698" spans="1:12" ht="14.25" customHeight="1">
      <c r="A4698" s="626" t="s">
        <v>12709</v>
      </c>
      <c r="B4698" s="627" t="s">
        <v>13212</v>
      </c>
      <c r="C4698" s="626" t="s">
        <v>8</v>
      </c>
      <c r="D4698" s="626" t="s">
        <v>8293</v>
      </c>
      <c r="E4698" s="628" t="s">
        <v>23</v>
      </c>
      <c r="F4698" s="816" t="s">
        <v>14470</v>
      </c>
      <c r="G4698" s="816"/>
      <c r="H4698" s="816">
        <v>1.8599138</v>
      </c>
      <c r="I4698" s="816"/>
      <c r="J4698" s="817">
        <v>12.852</v>
      </c>
      <c r="K4698" s="817"/>
      <c r="L4698" s="817"/>
    </row>
    <row r="4699" spans="1:12" ht="17.100000000000001" customHeight="1">
      <c r="A4699" s="626" t="s">
        <v>12709</v>
      </c>
      <c r="B4699" s="627" t="s">
        <v>13099</v>
      </c>
      <c r="C4699" s="626" t="s">
        <v>8</v>
      </c>
      <c r="D4699" s="626" t="s">
        <v>10726</v>
      </c>
      <c r="E4699" s="628" t="s">
        <v>23</v>
      </c>
      <c r="F4699" s="816" t="s">
        <v>14470</v>
      </c>
      <c r="G4699" s="816"/>
      <c r="H4699" s="816">
        <v>1.8722776000000001</v>
      </c>
      <c r="I4699" s="816"/>
      <c r="J4699" s="817">
        <v>12.9374</v>
      </c>
      <c r="K4699" s="817"/>
      <c r="L4699" s="817"/>
    </row>
    <row r="4700" spans="1:12" ht="24" customHeight="1">
      <c r="A4700" s="626" t="s">
        <v>12709</v>
      </c>
      <c r="B4700" s="627" t="s">
        <v>13046</v>
      </c>
      <c r="C4700" s="626" t="s">
        <v>8</v>
      </c>
      <c r="D4700" s="626" t="s">
        <v>11281</v>
      </c>
      <c r="E4700" s="628" t="s">
        <v>23</v>
      </c>
      <c r="F4700" s="816" t="s">
        <v>13731</v>
      </c>
      <c r="G4700" s="816"/>
      <c r="H4700" s="816">
        <v>5.6168328000000001</v>
      </c>
      <c r="I4700" s="816"/>
      <c r="J4700" s="817">
        <v>28.8705</v>
      </c>
      <c r="K4700" s="817"/>
      <c r="L4700" s="817"/>
    </row>
    <row r="4701" spans="1:12" ht="24" customHeight="1">
      <c r="A4701" s="636"/>
      <c r="B4701" s="636"/>
      <c r="C4701" s="636"/>
      <c r="D4701" s="636"/>
      <c r="E4701" s="636"/>
      <c r="F4701" s="636"/>
      <c r="G4701" s="636"/>
      <c r="H4701" s="636"/>
      <c r="I4701" s="636"/>
      <c r="J4701" s="636" t="s">
        <v>13675</v>
      </c>
      <c r="K4701" s="636"/>
      <c r="L4701" s="636" t="s">
        <v>14492</v>
      </c>
    </row>
    <row r="4702" spans="1:12" ht="17.100000000000001" customHeight="1">
      <c r="A4702" s="802" t="s">
        <v>12720</v>
      </c>
      <c r="B4702" s="802"/>
      <c r="C4702" s="802"/>
      <c r="D4702" s="802"/>
      <c r="E4702" s="802"/>
      <c r="F4702" s="802"/>
      <c r="G4702" s="802"/>
      <c r="H4702" s="802"/>
      <c r="I4702" s="612"/>
      <c r="J4702" s="612"/>
      <c r="K4702" s="612"/>
      <c r="L4702" s="612"/>
    </row>
    <row r="4703" spans="1:12">
      <c r="A4703" s="612" t="s">
        <v>13679</v>
      </c>
      <c r="B4703" s="636" t="s">
        <v>12698</v>
      </c>
      <c r="C4703" s="612" t="s">
        <v>12699</v>
      </c>
      <c r="D4703" s="612" t="s">
        <v>12700</v>
      </c>
      <c r="E4703" s="637" t="s">
        <v>12702</v>
      </c>
      <c r="F4703" s="801" t="s">
        <v>12704</v>
      </c>
      <c r="G4703" s="801"/>
      <c r="H4703" s="801" t="s">
        <v>13678</v>
      </c>
      <c r="I4703" s="801"/>
      <c r="J4703" s="801" t="s">
        <v>12705</v>
      </c>
      <c r="K4703" s="801"/>
      <c r="L4703" s="801"/>
    </row>
    <row r="4704" spans="1:12" ht="17.100000000000001" customHeight="1">
      <c r="A4704" s="626" t="s">
        <v>12709</v>
      </c>
      <c r="B4704" s="627" t="s">
        <v>12987</v>
      </c>
      <c r="C4704" s="626" t="s">
        <v>8</v>
      </c>
      <c r="D4704" s="626" t="s">
        <v>9192</v>
      </c>
      <c r="E4704" s="628" t="s">
        <v>12923</v>
      </c>
      <c r="F4704" s="816" t="s">
        <v>13999</v>
      </c>
      <c r="G4704" s="816"/>
      <c r="H4704" s="816">
        <v>0.83945530000000002</v>
      </c>
      <c r="I4704" s="816"/>
      <c r="J4704" s="817">
        <v>0.68</v>
      </c>
      <c r="K4704" s="817"/>
      <c r="L4704" s="817"/>
    </row>
    <row r="4705" spans="1:12" ht="24" customHeight="1">
      <c r="A4705" s="636"/>
      <c r="B4705" s="636"/>
      <c r="C4705" s="636"/>
      <c r="D4705" s="636"/>
      <c r="E4705" s="636"/>
      <c r="F4705" s="636"/>
      <c r="G4705" s="636"/>
      <c r="H4705" s="636"/>
      <c r="I4705" s="636"/>
      <c r="J4705" s="636" t="s">
        <v>13675</v>
      </c>
      <c r="K4705" s="636"/>
      <c r="L4705" s="636" t="s">
        <v>13827</v>
      </c>
    </row>
    <row r="4706" spans="1:12" ht="36" customHeight="1">
      <c r="A4706" s="802" t="s">
        <v>12722</v>
      </c>
      <c r="B4706" s="802"/>
      <c r="C4706" s="802"/>
      <c r="D4706" s="802"/>
      <c r="E4706" s="802"/>
      <c r="F4706" s="802"/>
      <c r="G4706" s="802"/>
      <c r="H4706" s="802"/>
      <c r="I4706" s="612"/>
      <c r="J4706" s="612"/>
      <c r="K4706" s="612"/>
      <c r="L4706" s="612"/>
    </row>
    <row r="4707" spans="1:12" ht="24" customHeight="1">
      <c r="A4707" s="612" t="s">
        <v>13679</v>
      </c>
      <c r="B4707" s="636" t="s">
        <v>12698</v>
      </c>
      <c r="C4707" s="612" t="s">
        <v>12699</v>
      </c>
      <c r="D4707" s="612" t="s">
        <v>12700</v>
      </c>
      <c r="E4707" s="637" t="s">
        <v>12702</v>
      </c>
      <c r="F4707" s="801" t="s">
        <v>12704</v>
      </c>
      <c r="G4707" s="801"/>
      <c r="H4707" s="801" t="s">
        <v>13678</v>
      </c>
      <c r="I4707" s="801"/>
      <c r="J4707" s="801" t="s">
        <v>12705</v>
      </c>
      <c r="K4707" s="801"/>
      <c r="L4707" s="801"/>
    </row>
    <row r="4708" spans="1:12" ht="17.100000000000001" customHeight="1">
      <c r="A4708" s="626" t="s">
        <v>12709</v>
      </c>
      <c r="B4708" s="627" t="s">
        <v>12998</v>
      </c>
      <c r="C4708" s="626" t="s">
        <v>8</v>
      </c>
      <c r="D4708" s="626" t="s">
        <v>11861</v>
      </c>
      <c r="E4708" s="628" t="s">
        <v>23</v>
      </c>
      <c r="F4708" s="816" t="s">
        <v>13683</v>
      </c>
      <c r="G4708" s="816"/>
      <c r="H4708" s="816">
        <v>9.2240143000000003</v>
      </c>
      <c r="I4708" s="816"/>
      <c r="J4708" s="817">
        <v>6.5491000000000001</v>
      </c>
      <c r="K4708" s="817"/>
      <c r="L4708" s="817"/>
    </row>
    <row r="4709" spans="1:12">
      <c r="A4709" s="636"/>
      <c r="B4709" s="636"/>
      <c r="C4709" s="636"/>
      <c r="D4709" s="636"/>
      <c r="E4709" s="636"/>
      <c r="F4709" s="636"/>
      <c r="G4709" s="636"/>
      <c r="H4709" s="636"/>
      <c r="I4709" s="636"/>
      <c r="J4709" s="636" t="s">
        <v>13675</v>
      </c>
      <c r="K4709" s="636"/>
      <c r="L4709" s="636" t="s">
        <v>13739</v>
      </c>
    </row>
    <row r="4710" spans="1:12" ht="17.100000000000001" customHeight="1">
      <c r="A4710" s="802" t="s">
        <v>12713</v>
      </c>
      <c r="B4710" s="802"/>
      <c r="C4710" s="802"/>
      <c r="D4710" s="802"/>
      <c r="E4710" s="802"/>
      <c r="F4710" s="802"/>
      <c r="G4710" s="802"/>
      <c r="H4710" s="802"/>
      <c r="I4710" s="612"/>
      <c r="J4710" s="612"/>
      <c r="K4710" s="612"/>
      <c r="L4710" s="612"/>
    </row>
    <row r="4711" spans="1:12" ht="24" customHeight="1">
      <c r="A4711" s="612" t="s">
        <v>13679</v>
      </c>
      <c r="B4711" s="636" t="s">
        <v>12698</v>
      </c>
      <c r="C4711" s="612" t="s">
        <v>12699</v>
      </c>
      <c r="D4711" s="612" t="s">
        <v>12700</v>
      </c>
      <c r="E4711" s="637" t="s">
        <v>12702</v>
      </c>
      <c r="F4711" s="801" t="s">
        <v>12704</v>
      </c>
      <c r="G4711" s="801"/>
      <c r="H4711" s="801" t="s">
        <v>13678</v>
      </c>
      <c r="I4711" s="801"/>
      <c r="J4711" s="801" t="s">
        <v>12705</v>
      </c>
      <c r="K4711" s="801"/>
      <c r="L4711" s="801"/>
    </row>
    <row r="4712" spans="1:12" ht="17.100000000000001" customHeight="1">
      <c r="A4712" s="626" t="s">
        <v>12709</v>
      </c>
      <c r="B4712" s="627" t="s">
        <v>12999</v>
      </c>
      <c r="C4712" s="626" t="s">
        <v>8</v>
      </c>
      <c r="D4712" s="626" t="s">
        <v>11251</v>
      </c>
      <c r="E4712" s="628" t="s">
        <v>23</v>
      </c>
      <c r="F4712" s="816" t="s">
        <v>13681</v>
      </c>
      <c r="G4712" s="816"/>
      <c r="H4712" s="816">
        <v>9.2240143000000003</v>
      </c>
      <c r="I4712" s="816"/>
      <c r="J4712" s="817">
        <v>0.64570000000000005</v>
      </c>
      <c r="K4712" s="817"/>
      <c r="L4712" s="817"/>
    </row>
    <row r="4713" spans="1:12">
      <c r="A4713" s="636"/>
      <c r="B4713" s="636"/>
      <c r="C4713" s="636"/>
      <c r="D4713" s="636"/>
      <c r="E4713" s="636"/>
      <c r="F4713" s="636"/>
      <c r="G4713" s="636"/>
      <c r="H4713" s="636"/>
      <c r="I4713" s="636"/>
      <c r="J4713" s="636" t="s">
        <v>13675</v>
      </c>
      <c r="K4713" s="636"/>
      <c r="L4713" s="636" t="s">
        <v>13738</v>
      </c>
    </row>
    <row r="4714" spans="1:12" ht="17.100000000000001" customHeight="1">
      <c r="A4714" s="802" t="s">
        <v>12712</v>
      </c>
      <c r="B4714" s="802"/>
      <c r="C4714" s="802"/>
      <c r="D4714" s="802"/>
      <c r="E4714" s="802"/>
      <c r="F4714" s="802"/>
      <c r="G4714" s="802"/>
      <c r="H4714" s="802"/>
      <c r="I4714" s="612"/>
      <c r="J4714" s="612"/>
      <c r="K4714" s="612"/>
      <c r="L4714" s="612"/>
    </row>
    <row r="4715" spans="1:12" ht="24" customHeight="1">
      <c r="A4715" s="612" t="s">
        <v>13679</v>
      </c>
      <c r="B4715" s="636" t="s">
        <v>12698</v>
      </c>
      <c r="C4715" s="612" t="s">
        <v>12699</v>
      </c>
      <c r="D4715" s="612" t="s">
        <v>12700</v>
      </c>
      <c r="E4715" s="637" t="s">
        <v>12702</v>
      </c>
      <c r="F4715" s="801" t="s">
        <v>12704</v>
      </c>
      <c r="G4715" s="801"/>
      <c r="H4715" s="801" t="s">
        <v>13678</v>
      </c>
      <c r="I4715" s="801"/>
      <c r="J4715" s="801" t="s">
        <v>12705</v>
      </c>
      <c r="K4715" s="801"/>
      <c r="L4715" s="801"/>
    </row>
    <row r="4716" spans="1:12" ht="17.100000000000001" customHeight="1">
      <c r="A4716" s="626" t="s">
        <v>12709</v>
      </c>
      <c r="B4716" s="627" t="s">
        <v>13002</v>
      </c>
      <c r="C4716" s="626" t="s">
        <v>8</v>
      </c>
      <c r="D4716" s="626" t="s">
        <v>9306</v>
      </c>
      <c r="E4716" s="628" t="s">
        <v>23</v>
      </c>
      <c r="F4716" s="816" t="s">
        <v>13677</v>
      </c>
      <c r="G4716" s="816"/>
      <c r="H4716" s="816">
        <v>9.2240143000000003</v>
      </c>
      <c r="I4716" s="816"/>
      <c r="J4716" s="817">
        <v>3.2284000000000002</v>
      </c>
      <c r="K4716" s="817"/>
      <c r="L4716" s="817"/>
    </row>
    <row r="4717" spans="1:12" ht="25.5">
      <c r="A4717" s="626" t="s">
        <v>12709</v>
      </c>
      <c r="B4717" s="627" t="s">
        <v>13004</v>
      </c>
      <c r="C4717" s="626" t="s">
        <v>8</v>
      </c>
      <c r="D4717" s="626" t="s">
        <v>7388</v>
      </c>
      <c r="E4717" s="628" t="s">
        <v>23</v>
      </c>
      <c r="F4717" s="816" t="s">
        <v>13676</v>
      </c>
      <c r="G4717" s="816"/>
      <c r="H4717" s="816">
        <v>9.2240143000000003</v>
      </c>
      <c r="I4717" s="816"/>
      <c r="J4717" s="817">
        <v>20.2928</v>
      </c>
      <c r="K4717" s="817"/>
      <c r="L4717" s="817"/>
    </row>
    <row r="4718" spans="1:12" ht="17.100000000000001" customHeight="1">
      <c r="A4718" s="636"/>
      <c r="B4718" s="636"/>
      <c r="C4718" s="636"/>
      <c r="D4718" s="636"/>
      <c r="E4718" s="636"/>
      <c r="F4718" s="636"/>
      <c r="G4718" s="636"/>
      <c r="H4718" s="636"/>
      <c r="I4718" s="636"/>
      <c r="J4718" s="636" t="s">
        <v>13675</v>
      </c>
      <c r="K4718" s="636"/>
      <c r="L4718" s="636" t="s">
        <v>13737</v>
      </c>
    </row>
    <row r="4719" spans="1:12" ht="24" customHeight="1">
      <c r="A4719" s="612" t="s">
        <v>13673</v>
      </c>
      <c r="B4719" s="612"/>
      <c r="C4719" s="612"/>
      <c r="D4719" s="612"/>
      <c r="E4719" s="612"/>
      <c r="F4719" s="612"/>
      <c r="G4719" s="612"/>
      <c r="H4719" s="612"/>
      <c r="I4719" s="612"/>
      <c r="J4719" s="612"/>
      <c r="K4719" s="612"/>
      <c r="L4719" s="612"/>
    </row>
    <row r="4720" spans="1:12" ht="24" customHeight="1">
      <c r="A4720" s="636"/>
      <c r="B4720" s="636"/>
      <c r="C4720" s="636"/>
      <c r="D4720" s="636"/>
      <c r="E4720" s="636"/>
      <c r="F4720" s="636"/>
      <c r="G4720" s="636"/>
      <c r="H4720" s="636"/>
      <c r="I4720" s="636"/>
      <c r="J4720" s="636" t="s">
        <v>13672</v>
      </c>
      <c r="K4720" s="636"/>
      <c r="L4720" s="636" t="s">
        <v>14992</v>
      </c>
    </row>
    <row r="4721" spans="1:12" ht="17.100000000000001" customHeight="1">
      <c r="A4721" s="636"/>
      <c r="B4721" s="636"/>
      <c r="C4721" s="636"/>
      <c r="D4721" s="636"/>
      <c r="E4721" s="636"/>
      <c r="F4721" s="636"/>
      <c r="G4721" s="636"/>
      <c r="H4721" s="636"/>
      <c r="I4721" s="636"/>
      <c r="J4721" s="636" t="s">
        <v>13671</v>
      </c>
      <c r="K4721" s="636" t="s">
        <v>14461</v>
      </c>
      <c r="L4721" s="636" t="s">
        <v>14993</v>
      </c>
    </row>
    <row r="4722" spans="1:12" ht="17.100000000000001" customHeight="1">
      <c r="A4722" s="636"/>
      <c r="B4722" s="636"/>
      <c r="C4722" s="636"/>
      <c r="D4722" s="636"/>
      <c r="E4722" s="636"/>
      <c r="F4722" s="636"/>
      <c r="G4722" s="636"/>
      <c r="H4722" s="636"/>
      <c r="I4722" s="636"/>
      <c r="J4722" s="636" t="s">
        <v>13670</v>
      </c>
      <c r="K4722" s="636"/>
      <c r="L4722" s="636" t="s">
        <v>14994</v>
      </c>
    </row>
    <row r="4723" spans="1:12" ht="17.100000000000001" customHeight="1">
      <c r="A4723" s="636"/>
      <c r="B4723" s="636"/>
      <c r="C4723" s="636"/>
      <c r="D4723" s="636"/>
      <c r="E4723" s="636"/>
      <c r="F4723" s="636"/>
      <c r="G4723" s="636"/>
      <c r="H4723" s="636"/>
      <c r="I4723" s="636"/>
      <c r="J4723" s="636" t="s">
        <v>13669</v>
      </c>
      <c r="K4723" s="636" t="s">
        <v>13667</v>
      </c>
      <c r="L4723" s="636" t="s">
        <v>14995</v>
      </c>
    </row>
    <row r="4724" spans="1:12" ht="17.100000000000001" customHeight="1">
      <c r="A4724" s="636"/>
      <c r="B4724" s="636"/>
      <c r="C4724" s="636"/>
      <c r="D4724" s="636"/>
      <c r="E4724" s="636"/>
      <c r="F4724" s="636"/>
      <c r="G4724" s="636"/>
      <c r="H4724" s="636"/>
      <c r="I4724" s="636"/>
      <c r="J4724" s="636" t="s">
        <v>13668</v>
      </c>
      <c r="K4724" s="636"/>
      <c r="L4724" s="636" t="s">
        <v>14996</v>
      </c>
    </row>
    <row r="4725" spans="1:12" ht="17.100000000000001" customHeight="1">
      <c r="A4725" s="637"/>
      <c r="B4725" s="637"/>
      <c r="C4725" s="637"/>
      <c r="D4725" s="637"/>
      <c r="E4725" s="637"/>
      <c r="F4725" s="637"/>
      <c r="G4725" s="637"/>
      <c r="H4725" s="637"/>
      <c r="I4725" s="637"/>
      <c r="J4725" s="637"/>
      <c r="K4725" s="637"/>
      <c r="L4725" s="637"/>
    </row>
    <row r="4726" spans="1:12" ht="17.100000000000001" customHeight="1">
      <c r="A4726" s="616" t="s">
        <v>14107</v>
      </c>
      <c r="B4726" s="617" t="s">
        <v>13628</v>
      </c>
      <c r="C4726" s="616" t="s">
        <v>8</v>
      </c>
      <c r="D4726" s="616" t="s">
        <v>2961</v>
      </c>
      <c r="E4726" s="618" t="s">
        <v>20</v>
      </c>
      <c r="F4726" s="617"/>
      <c r="G4726" s="617"/>
      <c r="H4726" s="617"/>
      <c r="I4726" s="617"/>
      <c r="J4726" s="617"/>
      <c r="K4726" s="617"/>
      <c r="L4726" s="617"/>
    </row>
    <row r="4727" spans="1:12" ht="17.100000000000001" customHeight="1">
      <c r="A4727" s="802" t="s">
        <v>12711</v>
      </c>
      <c r="B4727" s="802"/>
      <c r="C4727" s="802"/>
      <c r="D4727" s="802"/>
      <c r="E4727" s="802"/>
      <c r="F4727" s="802"/>
      <c r="G4727" s="802"/>
      <c r="H4727" s="802"/>
      <c r="I4727" s="612"/>
      <c r="J4727" s="612"/>
      <c r="K4727" s="612"/>
      <c r="L4727" s="612"/>
    </row>
    <row r="4728" spans="1:12" ht="30" customHeight="1">
      <c r="A4728" s="612" t="s">
        <v>13679</v>
      </c>
      <c r="B4728" s="636" t="s">
        <v>12698</v>
      </c>
      <c r="C4728" s="612" t="s">
        <v>12699</v>
      </c>
      <c r="D4728" s="612" t="s">
        <v>12700</v>
      </c>
      <c r="E4728" s="637" t="s">
        <v>12702</v>
      </c>
      <c r="F4728" s="801" t="s">
        <v>12704</v>
      </c>
      <c r="G4728" s="801"/>
      <c r="H4728" s="801" t="s">
        <v>13678</v>
      </c>
      <c r="I4728" s="801"/>
      <c r="J4728" s="801" t="s">
        <v>12705</v>
      </c>
      <c r="K4728" s="801"/>
      <c r="L4728" s="801"/>
    </row>
    <row r="4729" spans="1:12" ht="48" customHeight="1">
      <c r="A4729" s="626" t="s">
        <v>12709</v>
      </c>
      <c r="B4729" s="627" t="s">
        <v>13052</v>
      </c>
      <c r="C4729" s="626" t="s">
        <v>8</v>
      </c>
      <c r="D4729" s="626" t="s">
        <v>9229</v>
      </c>
      <c r="E4729" s="628" t="s">
        <v>23</v>
      </c>
      <c r="F4729" s="816" t="s">
        <v>13692</v>
      </c>
      <c r="G4729" s="816"/>
      <c r="H4729" s="816">
        <v>0.3475452</v>
      </c>
      <c r="I4729" s="816"/>
      <c r="J4729" s="817">
        <v>0.33360000000000001</v>
      </c>
      <c r="K4729" s="817"/>
      <c r="L4729" s="817"/>
    </row>
    <row r="4730" spans="1:12" ht="14.25" customHeight="1">
      <c r="A4730" s="626" t="s">
        <v>12709</v>
      </c>
      <c r="B4730" s="627" t="s">
        <v>13051</v>
      </c>
      <c r="C4730" s="626" t="s">
        <v>8</v>
      </c>
      <c r="D4730" s="626" t="s">
        <v>9376</v>
      </c>
      <c r="E4730" s="628" t="s">
        <v>23</v>
      </c>
      <c r="F4730" s="816" t="s">
        <v>13691</v>
      </c>
      <c r="G4730" s="816"/>
      <c r="H4730" s="816">
        <v>0.3475452</v>
      </c>
      <c r="I4730" s="816"/>
      <c r="J4730" s="817">
        <v>0.17380000000000001</v>
      </c>
      <c r="K4730" s="817"/>
      <c r="L4730" s="817"/>
    </row>
    <row r="4731" spans="1:12" ht="17.100000000000001" customHeight="1">
      <c r="A4731" s="636"/>
      <c r="B4731" s="636"/>
      <c r="C4731" s="636"/>
      <c r="D4731" s="636"/>
      <c r="E4731" s="636"/>
      <c r="F4731" s="636"/>
      <c r="G4731" s="636"/>
      <c r="H4731" s="636"/>
      <c r="I4731" s="636"/>
      <c r="J4731" s="636" t="s">
        <v>13675</v>
      </c>
      <c r="K4731" s="636"/>
      <c r="L4731" s="636" t="s">
        <v>13746</v>
      </c>
    </row>
    <row r="4732" spans="1:12" ht="24" customHeight="1">
      <c r="A4732" s="802" t="s">
        <v>12710</v>
      </c>
      <c r="B4732" s="802"/>
      <c r="C4732" s="802"/>
      <c r="D4732" s="802"/>
      <c r="E4732" s="802"/>
      <c r="F4732" s="802"/>
      <c r="G4732" s="802"/>
      <c r="H4732" s="802"/>
      <c r="I4732" s="612"/>
      <c r="J4732" s="612"/>
      <c r="K4732" s="612"/>
      <c r="L4732" s="612"/>
    </row>
    <row r="4733" spans="1:12" ht="24" customHeight="1">
      <c r="A4733" s="612" t="s">
        <v>13679</v>
      </c>
      <c r="B4733" s="636" t="s">
        <v>12698</v>
      </c>
      <c r="C4733" s="612" t="s">
        <v>12699</v>
      </c>
      <c r="D4733" s="612" t="s">
        <v>12700</v>
      </c>
      <c r="E4733" s="637" t="s">
        <v>12702</v>
      </c>
      <c r="F4733" s="801" t="s">
        <v>12704</v>
      </c>
      <c r="G4733" s="801"/>
      <c r="H4733" s="801" t="s">
        <v>13678</v>
      </c>
      <c r="I4733" s="801"/>
      <c r="J4733" s="801" t="s">
        <v>12705</v>
      </c>
      <c r="K4733" s="801"/>
      <c r="L4733" s="801"/>
    </row>
    <row r="4734" spans="1:12" ht="24" customHeight="1">
      <c r="A4734" s="626" t="s">
        <v>12709</v>
      </c>
      <c r="B4734" s="627" t="s">
        <v>13230</v>
      </c>
      <c r="C4734" s="626" t="s">
        <v>8</v>
      </c>
      <c r="D4734" s="626" t="s">
        <v>7362</v>
      </c>
      <c r="E4734" s="628" t="s">
        <v>23</v>
      </c>
      <c r="F4734" s="816" t="s">
        <v>14514</v>
      </c>
      <c r="G4734" s="816"/>
      <c r="H4734" s="816">
        <v>4.76648E-2</v>
      </c>
      <c r="I4734" s="816"/>
      <c r="J4734" s="817">
        <v>0.2293</v>
      </c>
      <c r="K4734" s="817"/>
      <c r="L4734" s="817"/>
    </row>
    <row r="4735" spans="1:12" ht="24" customHeight="1">
      <c r="A4735" s="626" t="s">
        <v>12709</v>
      </c>
      <c r="B4735" s="627" t="s">
        <v>13224</v>
      </c>
      <c r="C4735" s="626" t="s">
        <v>8</v>
      </c>
      <c r="D4735" s="626" t="s">
        <v>7556</v>
      </c>
      <c r="E4735" s="628" t="s">
        <v>23</v>
      </c>
      <c r="F4735" s="816" t="s">
        <v>14470</v>
      </c>
      <c r="G4735" s="816"/>
      <c r="H4735" s="816">
        <v>0.30244599999999999</v>
      </c>
      <c r="I4735" s="816"/>
      <c r="J4735" s="817">
        <v>2.0899000000000001</v>
      </c>
      <c r="K4735" s="817"/>
      <c r="L4735" s="817"/>
    </row>
    <row r="4736" spans="1:12" ht="17.100000000000001" customHeight="1">
      <c r="A4736" s="636"/>
      <c r="B4736" s="636"/>
      <c r="C4736" s="636"/>
      <c r="D4736" s="636"/>
      <c r="E4736" s="636"/>
      <c r="F4736" s="636"/>
      <c r="G4736" s="636"/>
      <c r="H4736" s="636"/>
      <c r="I4736" s="636"/>
      <c r="J4736" s="636" t="s">
        <v>13675</v>
      </c>
      <c r="K4736" s="636"/>
      <c r="L4736" s="636" t="s">
        <v>14714</v>
      </c>
    </row>
    <row r="4737" spans="1:12" ht="14.25" customHeight="1">
      <c r="A4737" s="802" t="s">
        <v>12720</v>
      </c>
      <c r="B4737" s="802"/>
      <c r="C4737" s="802"/>
      <c r="D4737" s="802"/>
      <c r="E4737" s="802"/>
      <c r="F4737" s="802"/>
      <c r="G4737" s="802"/>
      <c r="H4737" s="802"/>
      <c r="I4737" s="612"/>
      <c r="J4737" s="612"/>
      <c r="K4737" s="612"/>
      <c r="L4737" s="612"/>
    </row>
    <row r="4738" spans="1:12" ht="17.100000000000001" customHeight="1">
      <c r="A4738" s="612" t="s">
        <v>13679</v>
      </c>
      <c r="B4738" s="636" t="s">
        <v>12698</v>
      </c>
      <c r="C4738" s="612" t="s">
        <v>12699</v>
      </c>
      <c r="D4738" s="612" t="s">
        <v>12700</v>
      </c>
      <c r="E4738" s="637" t="s">
        <v>12702</v>
      </c>
      <c r="F4738" s="801" t="s">
        <v>12704</v>
      </c>
      <c r="G4738" s="801"/>
      <c r="H4738" s="801" t="s">
        <v>13678</v>
      </c>
      <c r="I4738" s="801"/>
      <c r="J4738" s="801" t="s">
        <v>12705</v>
      </c>
      <c r="K4738" s="801"/>
      <c r="L4738" s="801"/>
    </row>
    <row r="4739" spans="1:12" ht="24" customHeight="1">
      <c r="A4739" s="626" t="s">
        <v>12709</v>
      </c>
      <c r="B4739" s="627" t="s">
        <v>13311</v>
      </c>
      <c r="C4739" s="626" t="s">
        <v>8</v>
      </c>
      <c r="D4739" s="626" t="s">
        <v>7522</v>
      </c>
      <c r="E4739" s="628" t="s">
        <v>20</v>
      </c>
      <c r="F4739" s="816" t="s">
        <v>14521</v>
      </c>
      <c r="G4739" s="816"/>
      <c r="H4739" s="816">
        <v>2.5000000000000001E-2</v>
      </c>
      <c r="I4739" s="816"/>
      <c r="J4739" s="817">
        <v>0.34</v>
      </c>
      <c r="K4739" s="817"/>
      <c r="L4739" s="817"/>
    </row>
    <row r="4740" spans="1:12" ht="24" customHeight="1">
      <c r="A4740" s="626" t="s">
        <v>12709</v>
      </c>
      <c r="B4740" s="627" t="s">
        <v>13310</v>
      </c>
      <c r="C4740" s="626" t="s">
        <v>8</v>
      </c>
      <c r="D4740" s="626" t="s">
        <v>9265</v>
      </c>
      <c r="E4740" s="628" t="s">
        <v>35</v>
      </c>
      <c r="F4740" s="816" t="s">
        <v>13875</v>
      </c>
      <c r="G4740" s="816"/>
      <c r="H4740" s="816">
        <v>1.19</v>
      </c>
      <c r="I4740" s="816"/>
      <c r="J4740" s="817">
        <v>0.15</v>
      </c>
      <c r="K4740" s="817"/>
      <c r="L4740" s="817"/>
    </row>
    <row r="4741" spans="1:12" ht="24" customHeight="1">
      <c r="A4741" s="626" t="s">
        <v>12709</v>
      </c>
      <c r="B4741" s="627" t="s">
        <v>13235</v>
      </c>
      <c r="C4741" s="626" t="s">
        <v>8</v>
      </c>
      <c r="D4741" s="626" t="s">
        <v>7268</v>
      </c>
      <c r="E4741" s="628" t="s">
        <v>20</v>
      </c>
      <c r="F4741" s="816" t="s">
        <v>14520</v>
      </c>
      <c r="G4741" s="816"/>
      <c r="H4741" s="816">
        <v>1.0658452</v>
      </c>
      <c r="I4741" s="816"/>
      <c r="J4741" s="817">
        <v>5.1906999999999996</v>
      </c>
      <c r="K4741" s="817"/>
      <c r="L4741" s="817"/>
    </row>
    <row r="4742" spans="1:12" ht="17.100000000000001" customHeight="1">
      <c r="A4742" s="636"/>
      <c r="B4742" s="636"/>
      <c r="C4742" s="636"/>
      <c r="D4742" s="636"/>
      <c r="E4742" s="636"/>
      <c r="F4742" s="636"/>
      <c r="G4742" s="636"/>
      <c r="H4742" s="636"/>
      <c r="I4742" s="636"/>
      <c r="J4742" s="636" t="s">
        <v>13675</v>
      </c>
      <c r="K4742" s="636"/>
      <c r="L4742" s="636" t="s">
        <v>14655</v>
      </c>
    </row>
    <row r="4743" spans="1:12">
      <c r="A4743" s="802" t="s">
        <v>12722</v>
      </c>
      <c r="B4743" s="802"/>
      <c r="C4743" s="802"/>
      <c r="D4743" s="802"/>
      <c r="E4743" s="802"/>
      <c r="F4743" s="802"/>
      <c r="G4743" s="802"/>
      <c r="H4743" s="802"/>
      <c r="I4743" s="612"/>
      <c r="J4743" s="612"/>
      <c r="K4743" s="612"/>
      <c r="L4743" s="612"/>
    </row>
    <row r="4744" spans="1:12" ht="17.100000000000001" customHeight="1">
      <c r="A4744" s="612" t="s">
        <v>13679</v>
      </c>
      <c r="B4744" s="636" t="s">
        <v>12698</v>
      </c>
      <c r="C4744" s="612" t="s">
        <v>12699</v>
      </c>
      <c r="D4744" s="612" t="s">
        <v>12700</v>
      </c>
      <c r="E4744" s="637" t="s">
        <v>12702</v>
      </c>
      <c r="F4744" s="801" t="s">
        <v>12704</v>
      </c>
      <c r="G4744" s="801"/>
      <c r="H4744" s="801" t="s">
        <v>13678</v>
      </c>
      <c r="I4744" s="801"/>
      <c r="J4744" s="801" t="s">
        <v>12705</v>
      </c>
      <c r="K4744" s="801"/>
      <c r="L4744" s="801"/>
    </row>
    <row r="4745" spans="1:12" ht="24" customHeight="1">
      <c r="A4745" s="626" t="s">
        <v>12709</v>
      </c>
      <c r="B4745" s="627" t="s">
        <v>12998</v>
      </c>
      <c r="C4745" s="626" t="s">
        <v>8</v>
      </c>
      <c r="D4745" s="626" t="s">
        <v>11861</v>
      </c>
      <c r="E4745" s="628" t="s">
        <v>23</v>
      </c>
      <c r="F4745" s="816" t="s">
        <v>13683</v>
      </c>
      <c r="G4745" s="816"/>
      <c r="H4745" s="816">
        <v>0.3475452</v>
      </c>
      <c r="I4745" s="816"/>
      <c r="J4745" s="817">
        <v>0.24679999999999999</v>
      </c>
      <c r="K4745" s="817"/>
      <c r="L4745" s="817"/>
    </row>
    <row r="4746" spans="1:12" ht="24" customHeight="1">
      <c r="A4746" s="636"/>
      <c r="B4746" s="636"/>
      <c r="C4746" s="636"/>
      <c r="D4746" s="636"/>
      <c r="E4746" s="636"/>
      <c r="F4746" s="636"/>
      <c r="G4746" s="636"/>
      <c r="H4746" s="636"/>
      <c r="I4746" s="636"/>
      <c r="J4746" s="636" t="s">
        <v>13675</v>
      </c>
      <c r="K4746" s="636"/>
      <c r="L4746" s="636" t="s">
        <v>13915</v>
      </c>
    </row>
    <row r="4747" spans="1:12" ht="24" customHeight="1">
      <c r="A4747" s="802" t="s">
        <v>12713</v>
      </c>
      <c r="B4747" s="802"/>
      <c r="C4747" s="802"/>
      <c r="D4747" s="802"/>
      <c r="E4747" s="802"/>
      <c r="F4747" s="802"/>
      <c r="G4747" s="802"/>
      <c r="H4747" s="802"/>
      <c r="I4747" s="612"/>
      <c r="J4747" s="612"/>
      <c r="K4747" s="612"/>
      <c r="L4747" s="612"/>
    </row>
    <row r="4748" spans="1:12" ht="24" customHeight="1">
      <c r="A4748" s="612" t="s">
        <v>13679</v>
      </c>
      <c r="B4748" s="636" t="s">
        <v>12698</v>
      </c>
      <c r="C4748" s="612" t="s">
        <v>12699</v>
      </c>
      <c r="D4748" s="612" t="s">
        <v>12700</v>
      </c>
      <c r="E4748" s="637" t="s">
        <v>12702</v>
      </c>
      <c r="F4748" s="801" t="s">
        <v>12704</v>
      </c>
      <c r="G4748" s="801"/>
      <c r="H4748" s="801" t="s">
        <v>13678</v>
      </c>
      <c r="I4748" s="801"/>
      <c r="J4748" s="801" t="s">
        <v>12705</v>
      </c>
      <c r="K4748" s="801"/>
      <c r="L4748" s="801"/>
    </row>
    <row r="4749" spans="1:12" ht="24" customHeight="1">
      <c r="A4749" s="626" t="s">
        <v>12709</v>
      </c>
      <c r="B4749" s="627" t="s">
        <v>12999</v>
      </c>
      <c r="C4749" s="626" t="s">
        <v>8</v>
      </c>
      <c r="D4749" s="626" t="s">
        <v>11251</v>
      </c>
      <c r="E4749" s="628" t="s">
        <v>23</v>
      </c>
      <c r="F4749" s="816" t="s">
        <v>13681</v>
      </c>
      <c r="G4749" s="816"/>
      <c r="H4749" s="816">
        <v>0.3475452</v>
      </c>
      <c r="I4749" s="816"/>
      <c r="J4749" s="817">
        <v>2.4299999999999999E-2</v>
      </c>
      <c r="K4749" s="817"/>
      <c r="L4749" s="817"/>
    </row>
    <row r="4750" spans="1:12" ht="36" customHeight="1">
      <c r="A4750" s="636"/>
      <c r="B4750" s="636"/>
      <c r="C4750" s="636"/>
      <c r="D4750" s="636"/>
      <c r="E4750" s="636"/>
      <c r="F4750" s="636"/>
      <c r="G4750" s="636"/>
      <c r="H4750" s="636"/>
      <c r="I4750" s="636"/>
      <c r="J4750" s="636" t="s">
        <v>13675</v>
      </c>
      <c r="K4750" s="636"/>
      <c r="L4750" s="636" t="s">
        <v>13680</v>
      </c>
    </row>
    <row r="4751" spans="1:12" ht="24" customHeight="1">
      <c r="A4751" s="802" t="s">
        <v>12712</v>
      </c>
      <c r="B4751" s="802"/>
      <c r="C4751" s="802"/>
      <c r="D4751" s="802"/>
      <c r="E4751" s="802"/>
      <c r="F4751" s="802"/>
      <c r="G4751" s="802"/>
      <c r="H4751" s="802"/>
      <c r="I4751" s="612"/>
      <c r="J4751" s="612"/>
      <c r="K4751" s="612"/>
      <c r="L4751" s="612"/>
    </row>
    <row r="4752" spans="1:12" ht="17.100000000000001" customHeight="1">
      <c r="A4752" s="612" t="s">
        <v>13679</v>
      </c>
      <c r="B4752" s="636" t="s">
        <v>12698</v>
      </c>
      <c r="C4752" s="612" t="s">
        <v>12699</v>
      </c>
      <c r="D4752" s="612" t="s">
        <v>12700</v>
      </c>
      <c r="E4752" s="637" t="s">
        <v>12702</v>
      </c>
      <c r="F4752" s="801" t="s">
        <v>12704</v>
      </c>
      <c r="G4752" s="801"/>
      <c r="H4752" s="801" t="s">
        <v>13678</v>
      </c>
      <c r="I4752" s="801"/>
      <c r="J4752" s="801" t="s">
        <v>12705</v>
      </c>
      <c r="K4752" s="801"/>
      <c r="L4752" s="801"/>
    </row>
    <row r="4753" spans="1:12" ht="25.5">
      <c r="A4753" s="626" t="s">
        <v>12709</v>
      </c>
      <c r="B4753" s="627" t="s">
        <v>13002</v>
      </c>
      <c r="C4753" s="626" t="s">
        <v>8</v>
      </c>
      <c r="D4753" s="626" t="s">
        <v>9306</v>
      </c>
      <c r="E4753" s="628" t="s">
        <v>23</v>
      </c>
      <c r="F4753" s="816" t="s">
        <v>13677</v>
      </c>
      <c r="G4753" s="816"/>
      <c r="H4753" s="816">
        <v>0.3475452</v>
      </c>
      <c r="I4753" s="816"/>
      <c r="J4753" s="817">
        <v>0.1216</v>
      </c>
      <c r="K4753" s="817"/>
      <c r="L4753" s="817"/>
    </row>
    <row r="4754" spans="1:12" ht="17.100000000000001" customHeight="1">
      <c r="A4754" s="626" t="s">
        <v>12709</v>
      </c>
      <c r="B4754" s="627" t="s">
        <v>13004</v>
      </c>
      <c r="C4754" s="626" t="s">
        <v>8</v>
      </c>
      <c r="D4754" s="626" t="s">
        <v>7388</v>
      </c>
      <c r="E4754" s="628" t="s">
        <v>23</v>
      </c>
      <c r="F4754" s="816" t="s">
        <v>13676</v>
      </c>
      <c r="G4754" s="816"/>
      <c r="H4754" s="816">
        <v>0.3475452</v>
      </c>
      <c r="I4754" s="816"/>
      <c r="J4754" s="817">
        <v>0.76459999999999995</v>
      </c>
      <c r="K4754" s="817"/>
      <c r="L4754" s="817"/>
    </row>
    <row r="4755" spans="1:12" ht="24" customHeight="1">
      <c r="A4755" s="636"/>
      <c r="B4755" s="636"/>
      <c r="C4755" s="636"/>
      <c r="D4755" s="636"/>
      <c r="E4755" s="636"/>
      <c r="F4755" s="636"/>
      <c r="G4755" s="636"/>
      <c r="H4755" s="636"/>
      <c r="I4755" s="636"/>
      <c r="J4755" s="636" t="s">
        <v>13675</v>
      </c>
      <c r="K4755" s="636"/>
      <c r="L4755" s="636" t="s">
        <v>13816</v>
      </c>
    </row>
    <row r="4756" spans="1:12" ht="17.100000000000001" customHeight="1">
      <c r="A4756" s="612" t="s">
        <v>13673</v>
      </c>
      <c r="B4756" s="612"/>
      <c r="C4756" s="612"/>
      <c r="D4756" s="612"/>
      <c r="E4756" s="612"/>
      <c r="F4756" s="612"/>
      <c r="G4756" s="612"/>
      <c r="H4756" s="612"/>
      <c r="I4756" s="612"/>
      <c r="J4756" s="612"/>
      <c r="K4756" s="612"/>
      <c r="L4756" s="612"/>
    </row>
    <row r="4757" spans="1:12">
      <c r="A4757" s="636"/>
      <c r="B4757" s="636"/>
      <c r="C4757" s="636"/>
      <c r="D4757" s="636"/>
      <c r="E4757" s="636"/>
      <c r="F4757" s="636"/>
      <c r="G4757" s="636"/>
      <c r="H4757" s="636"/>
      <c r="I4757" s="636"/>
      <c r="J4757" s="636" t="s">
        <v>13672</v>
      </c>
      <c r="K4757" s="636"/>
      <c r="L4757" s="636" t="s">
        <v>15016</v>
      </c>
    </row>
    <row r="4758" spans="1:12" ht="17.100000000000001" customHeight="1">
      <c r="A4758" s="636"/>
      <c r="B4758" s="636"/>
      <c r="C4758" s="636"/>
      <c r="D4758" s="636"/>
      <c r="E4758" s="636"/>
      <c r="F4758" s="636"/>
      <c r="G4758" s="636"/>
      <c r="H4758" s="636"/>
      <c r="I4758" s="636"/>
      <c r="J4758" s="636" t="s">
        <v>13671</v>
      </c>
      <c r="K4758" s="636" t="s">
        <v>14461</v>
      </c>
      <c r="L4758" s="636" t="s">
        <v>15017</v>
      </c>
    </row>
    <row r="4759" spans="1:12" ht="24" customHeight="1">
      <c r="A4759" s="636"/>
      <c r="B4759" s="636"/>
      <c r="C4759" s="636"/>
      <c r="D4759" s="636"/>
      <c r="E4759" s="636"/>
      <c r="F4759" s="636"/>
      <c r="G4759" s="636"/>
      <c r="H4759" s="636"/>
      <c r="I4759" s="636"/>
      <c r="J4759" s="636" t="s">
        <v>13670</v>
      </c>
      <c r="K4759" s="636"/>
      <c r="L4759" s="636" t="s">
        <v>15018</v>
      </c>
    </row>
    <row r="4760" spans="1:12" ht="17.100000000000001" customHeight="1">
      <c r="A4760" s="636"/>
      <c r="B4760" s="636"/>
      <c r="C4760" s="636"/>
      <c r="D4760" s="636"/>
      <c r="E4760" s="636"/>
      <c r="F4760" s="636"/>
      <c r="G4760" s="636"/>
      <c r="H4760" s="636"/>
      <c r="I4760" s="636"/>
      <c r="J4760" s="636" t="s">
        <v>13669</v>
      </c>
      <c r="K4760" s="636" t="s">
        <v>13667</v>
      </c>
      <c r="L4760" s="636" t="s">
        <v>15019</v>
      </c>
    </row>
    <row r="4761" spans="1:12">
      <c r="A4761" s="636"/>
      <c r="B4761" s="636"/>
      <c r="C4761" s="636"/>
      <c r="D4761" s="636"/>
      <c r="E4761" s="636"/>
      <c r="F4761" s="636"/>
      <c r="G4761" s="636"/>
      <c r="H4761" s="636"/>
      <c r="I4761" s="636"/>
      <c r="J4761" s="636" t="s">
        <v>13668</v>
      </c>
      <c r="K4761" s="636"/>
      <c r="L4761" s="636" t="s">
        <v>15020</v>
      </c>
    </row>
    <row r="4762" spans="1:12" ht="17.100000000000001" customHeight="1">
      <c r="A4762" s="637"/>
      <c r="B4762" s="637"/>
      <c r="C4762" s="637"/>
      <c r="D4762" s="637"/>
      <c r="E4762" s="637"/>
      <c r="F4762" s="637"/>
      <c r="G4762" s="637"/>
      <c r="H4762" s="637"/>
      <c r="I4762" s="637"/>
      <c r="J4762" s="637"/>
      <c r="K4762" s="637"/>
      <c r="L4762" s="637"/>
    </row>
    <row r="4763" spans="1:12" ht="24" customHeight="1">
      <c r="A4763" s="616" t="s">
        <v>14106</v>
      </c>
      <c r="B4763" s="617" t="s">
        <v>13630</v>
      </c>
      <c r="C4763" s="616" t="s">
        <v>8</v>
      </c>
      <c r="D4763" s="616" t="s">
        <v>2964</v>
      </c>
      <c r="E4763" s="618" t="s">
        <v>20</v>
      </c>
      <c r="F4763" s="617"/>
      <c r="G4763" s="617"/>
      <c r="H4763" s="617"/>
      <c r="I4763" s="617"/>
      <c r="J4763" s="617"/>
      <c r="K4763" s="617"/>
      <c r="L4763" s="617"/>
    </row>
    <row r="4764" spans="1:12" ht="24" customHeight="1">
      <c r="A4764" s="802" t="s">
        <v>12711</v>
      </c>
      <c r="B4764" s="802"/>
      <c r="C4764" s="802"/>
      <c r="D4764" s="802"/>
      <c r="E4764" s="802"/>
      <c r="F4764" s="802"/>
      <c r="G4764" s="802"/>
      <c r="H4764" s="802"/>
      <c r="I4764" s="612"/>
      <c r="J4764" s="612"/>
      <c r="K4764" s="612"/>
      <c r="L4764" s="612"/>
    </row>
    <row r="4765" spans="1:12" ht="17.100000000000001" customHeight="1">
      <c r="A4765" s="612" t="s">
        <v>13679</v>
      </c>
      <c r="B4765" s="636" t="s">
        <v>12698</v>
      </c>
      <c r="C4765" s="612" t="s">
        <v>12699</v>
      </c>
      <c r="D4765" s="612" t="s">
        <v>12700</v>
      </c>
      <c r="E4765" s="637" t="s">
        <v>12702</v>
      </c>
      <c r="F4765" s="801" t="s">
        <v>12704</v>
      </c>
      <c r="G4765" s="801"/>
      <c r="H4765" s="801" t="s">
        <v>13678</v>
      </c>
      <c r="I4765" s="801"/>
      <c r="J4765" s="801" t="s">
        <v>12705</v>
      </c>
      <c r="K4765" s="801"/>
      <c r="L4765" s="801"/>
    </row>
    <row r="4766" spans="1:12" ht="17.100000000000001" customHeight="1">
      <c r="A4766" s="626" t="s">
        <v>12709</v>
      </c>
      <c r="B4766" s="627" t="s">
        <v>13052</v>
      </c>
      <c r="C4766" s="626" t="s">
        <v>8</v>
      </c>
      <c r="D4766" s="626" t="s">
        <v>9229</v>
      </c>
      <c r="E4766" s="628" t="s">
        <v>23</v>
      </c>
      <c r="F4766" s="816" t="s">
        <v>13692</v>
      </c>
      <c r="G4766" s="816"/>
      <c r="H4766" s="816">
        <v>0.12520290000000001</v>
      </c>
      <c r="I4766" s="816"/>
      <c r="J4766" s="817">
        <v>0.1202</v>
      </c>
      <c r="K4766" s="817"/>
      <c r="L4766" s="817"/>
    </row>
    <row r="4767" spans="1:12" ht="17.100000000000001" customHeight="1">
      <c r="A4767" s="626" t="s">
        <v>12709</v>
      </c>
      <c r="B4767" s="627" t="s">
        <v>13051</v>
      </c>
      <c r="C4767" s="626" t="s">
        <v>8</v>
      </c>
      <c r="D4767" s="626" t="s">
        <v>9376</v>
      </c>
      <c r="E4767" s="628" t="s">
        <v>23</v>
      </c>
      <c r="F4767" s="816" t="s">
        <v>13691</v>
      </c>
      <c r="G4767" s="816"/>
      <c r="H4767" s="816">
        <v>0.12520290000000001</v>
      </c>
      <c r="I4767" s="816"/>
      <c r="J4767" s="817">
        <v>6.2600000000000003E-2</v>
      </c>
      <c r="K4767" s="817"/>
      <c r="L4767" s="817"/>
    </row>
    <row r="4768" spans="1:12" ht="17.100000000000001" customHeight="1">
      <c r="A4768" s="636"/>
      <c r="B4768" s="636"/>
      <c r="C4768" s="636"/>
      <c r="D4768" s="636"/>
      <c r="E4768" s="636"/>
      <c r="F4768" s="636"/>
      <c r="G4768" s="636"/>
      <c r="H4768" s="636"/>
      <c r="I4768" s="636"/>
      <c r="J4768" s="636" t="s">
        <v>13675</v>
      </c>
      <c r="K4768" s="636"/>
      <c r="L4768" s="636" t="s">
        <v>13682</v>
      </c>
    </row>
    <row r="4769" spans="1:12" ht="17.100000000000001" customHeight="1">
      <c r="A4769" s="802" t="s">
        <v>12710</v>
      </c>
      <c r="B4769" s="802"/>
      <c r="C4769" s="802"/>
      <c r="D4769" s="802"/>
      <c r="E4769" s="802"/>
      <c r="F4769" s="802"/>
      <c r="G4769" s="802"/>
      <c r="H4769" s="802"/>
      <c r="I4769" s="612"/>
      <c r="J4769" s="612"/>
      <c r="K4769" s="612"/>
      <c r="L4769" s="612"/>
    </row>
    <row r="4770" spans="1:12" ht="17.100000000000001" customHeight="1">
      <c r="A4770" s="612" t="s">
        <v>13679</v>
      </c>
      <c r="B4770" s="636" t="s">
        <v>12698</v>
      </c>
      <c r="C4770" s="612" t="s">
        <v>12699</v>
      </c>
      <c r="D4770" s="612" t="s">
        <v>12700</v>
      </c>
      <c r="E4770" s="637" t="s">
        <v>12702</v>
      </c>
      <c r="F4770" s="801" t="s">
        <v>12704</v>
      </c>
      <c r="G4770" s="801"/>
      <c r="H4770" s="801" t="s">
        <v>13678</v>
      </c>
      <c r="I4770" s="801"/>
      <c r="J4770" s="801" t="s">
        <v>12705</v>
      </c>
      <c r="K4770" s="801"/>
      <c r="L4770" s="801"/>
    </row>
    <row r="4771" spans="1:12" ht="17.100000000000001" customHeight="1">
      <c r="A4771" s="626" t="s">
        <v>12709</v>
      </c>
      <c r="B4771" s="627" t="s">
        <v>13230</v>
      </c>
      <c r="C4771" s="626" t="s">
        <v>8</v>
      </c>
      <c r="D4771" s="626" t="s">
        <v>7362</v>
      </c>
      <c r="E4771" s="628" t="s">
        <v>23</v>
      </c>
      <c r="F4771" s="816" t="s">
        <v>14514</v>
      </c>
      <c r="G4771" s="816"/>
      <c r="H4771" s="816">
        <v>1.73256E-2</v>
      </c>
      <c r="I4771" s="816"/>
      <c r="J4771" s="817">
        <v>8.3299999999999999E-2</v>
      </c>
      <c r="K4771" s="817"/>
      <c r="L4771" s="817"/>
    </row>
    <row r="4772" spans="1:12" ht="30" customHeight="1">
      <c r="A4772" s="626" t="s">
        <v>12709</v>
      </c>
      <c r="B4772" s="627" t="s">
        <v>13224</v>
      </c>
      <c r="C4772" s="626" t="s">
        <v>8</v>
      </c>
      <c r="D4772" s="626" t="s">
        <v>7556</v>
      </c>
      <c r="E4772" s="628" t="s">
        <v>23</v>
      </c>
      <c r="F4772" s="816" t="s">
        <v>14470</v>
      </c>
      <c r="G4772" s="816"/>
      <c r="H4772" s="816">
        <v>0.1076382</v>
      </c>
      <c r="I4772" s="816"/>
      <c r="J4772" s="817">
        <v>0.74380000000000002</v>
      </c>
      <c r="K4772" s="817"/>
      <c r="L4772" s="817"/>
    </row>
    <row r="4773" spans="1:12" ht="60" customHeight="1">
      <c r="A4773" s="636"/>
      <c r="B4773" s="636"/>
      <c r="C4773" s="636"/>
      <c r="D4773" s="636"/>
      <c r="E4773" s="636"/>
      <c r="F4773" s="636"/>
      <c r="G4773" s="636"/>
      <c r="H4773" s="636"/>
      <c r="I4773" s="636"/>
      <c r="J4773" s="636" t="s">
        <v>13675</v>
      </c>
      <c r="K4773" s="636"/>
      <c r="L4773" s="636" t="s">
        <v>13705</v>
      </c>
    </row>
    <row r="4774" spans="1:12" ht="14.25" customHeight="1">
      <c r="A4774" s="802" t="s">
        <v>12720</v>
      </c>
      <c r="B4774" s="802"/>
      <c r="C4774" s="802"/>
      <c r="D4774" s="802"/>
      <c r="E4774" s="802"/>
      <c r="F4774" s="802"/>
      <c r="G4774" s="802"/>
      <c r="H4774" s="802"/>
      <c r="I4774" s="612"/>
      <c r="J4774" s="612"/>
      <c r="K4774" s="612"/>
      <c r="L4774" s="612"/>
    </row>
    <row r="4775" spans="1:12" ht="17.100000000000001" customHeight="1">
      <c r="A4775" s="612" t="s">
        <v>13679</v>
      </c>
      <c r="B4775" s="636" t="s">
        <v>12698</v>
      </c>
      <c r="C4775" s="612" t="s">
        <v>12699</v>
      </c>
      <c r="D4775" s="612" t="s">
        <v>12700</v>
      </c>
      <c r="E4775" s="637" t="s">
        <v>12702</v>
      </c>
      <c r="F4775" s="801" t="s">
        <v>12704</v>
      </c>
      <c r="G4775" s="801"/>
      <c r="H4775" s="801" t="s">
        <v>13678</v>
      </c>
      <c r="I4775" s="801"/>
      <c r="J4775" s="801" t="s">
        <v>12705</v>
      </c>
      <c r="K4775" s="801"/>
      <c r="L4775" s="801"/>
    </row>
    <row r="4776" spans="1:12" ht="36" customHeight="1">
      <c r="A4776" s="626" t="s">
        <v>12709</v>
      </c>
      <c r="B4776" s="627" t="s">
        <v>13311</v>
      </c>
      <c r="C4776" s="626" t="s">
        <v>8</v>
      </c>
      <c r="D4776" s="626" t="s">
        <v>7522</v>
      </c>
      <c r="E4776" s="628" t="s">
        <v>20</v>
      </c>
      <c r="F4776" s="816" t="s">
        <v>14521</v>
      </c>
      <c r="G4776" s="816"/>
      <c r="H4776" s="816">
        <v>2.5000000000000001E-2</v>
      </c>
      <c r="I4776" s="816"/>
      <c r="J4776" s="817">
        <v>0.34</v>
      </c>
      <c r="K4776" s="817"/>
      <c r="L4776" s="817"/>
    </row>
    <row r="4777" spans="1:12" ht="24" customHeight="1">
      <c r="A4777" s="626" t="s">
        <v>12709</v>
      </c>
      <c r="B4777" s="627" t="s">
        <v>13310</v>
      </c>
      <c r="C4777" s="626" t="s">
        <v>8</v>
      </c>
      <c r="D4777" s="626" t="s">
        <v>9265</v>
      </c>
      <c r="E4777" s="628" t="s">
        <v>35</v>
      </c>
      <c r="F4777" s="816" t="s">
        <v>13875</v>
      </c>
      <c r="G4777" s="816"/>
      <c r="H4777" s="816">
        <v>0.54300000000000004</v>
      </c>
      <c r="I4777" s="816"/>
      <c r="J4777" s="817">
        <v>7.0000000000000007E-2</v>
      </c>
      <c r="K4777" s="817"/>
      <c r="L4777" s="817"/>
    </row>
    <row r="4778" spans="1:12" ht="24" customHeight="1">
      <c r="A4778" s="626" t="s">
        <v>12709</v>
      </c>
      <c r="B4778" s="627" t="s">
        <v>13246</v>
      </c>
      <c r="C4778" s="626" t="s">
        <v>8</v>
      </c>
      <c r="D4778" s="626" t="s">
        <v>7260</v>
      </c>
      <c r="E4778" s="628" t="s">
        <v>20</v>
      </c>
      <c r="F4778" s="816" t="s">
        <v>14713</v>
      </c>
      <c r="G4778" s="816"/>
      <c r="H4778" s="816">
        <v>1.1073723</v>
      </c>
      <c r="I4778" s="816"/>
      <c r="J4778" s="817">
        <v>5.7030000000000003</v>
      </c>
      <c r="K4778" s="817"/>
      <c r="L4778" s="817"/>
    </row>
    <row r="4779" spans="1:12" ht="24" customHeight="1">
      <c r="A4779" s="636"/>
      <c r="B4779" s="636"/>
      <c r="C4779" s="636"/>
      <c r="D4779" s="636"/>
      <c r="E4779" s="636"/>
      <c r="F4779" s="636"/>
      <c r="G4779" s="636"/>
      <c r="H4779" s="636"/>
      <c r="I4779" s="636"/>
      <c r="J4779" s="636" t="s">
        <v>13675</v>
      </c>
      <c r="K4779" s="636"/>
      <c r="L4779" s="636" t="s">
        <v>13831</v>
      </c>
    </row>
    <row r="4780" spans="1:12" ht="24" customHeight="1">
      <c r="A4780" s="802" t="s">
        <v>12722</v>
      </c>
      <c r="B4780" s="802"/>
      <c r="C4780" s="802"/>
      <c r="D4780" s="802"/>
      <c r="E4780" s="802"/>
      <c r="F4780" s="802"/>
      <c r="G4780" s="802"/>
      <c r="H4780" s="802"/>
      <c r="I4780" s="612"/>
      <c r="J4780" s="612"/>
      <c r="K4780" s="612"/>
      <c r="L4780" s="612"/>
    </row>
    <row r="4781" spans="1:12" ht="24" customHeight="1">
      <c r="A4781" s="612" t="s">
        <v>13679</v>
      </c>
      <c r="B4781" s="636" t="s">
        <v>12698</v>
      </c>
      <c r="C4781" s="612" t="s">
        <v>12699</v>
      </c>
      <c r="D4781" s="612" t="s">
        <v>12700</v>
      </c>
      <c r="E4781" s="637" t="s">
        <v>12702</v>
      </c>
      <c r="F4781" s="801" t="s">
        <v>12704</v>
      </c>
      <c r="G4781" s="801"/>
      <c r="H4781" s="801" t="s">
        <v>13678</v>
      </c>
      <c r="I4781" s="801"/>
      <c r="J4781" s="801" t="s">
        <v>12705</v>
      </c>
      <c r="K4781" s="801"/>
      <c r="L4781" s="801"/>
    </row>
    <row r="4782" spans="1:12" ht="24" customHeight="1">
      <c r="A4782" s="626" t="s">
        <v>12709</v>
      </c>
      <c r="B4782" s="627" t="s">
        <v>12998</v>
      </c>
      <c r="C4782" s="626" t="s">
        <v>8</v>
      </c>
      <c r="D4782" s="626" t="s">
        <v>11861</v>
      </c>
      <c r="E4782" s="628" t="s">
        <v>23</v>
      </c>
      <c r="F4782" s="816" t="s">
        <v>13683</v>
      </c>
      <c r="G4782" s="816"/>
      <c r="H4782" s="816">
        <v>0.12520290000000001</v>
      </c>
      <c r="I4782" s="816"/>
      <c r="J4782" s="817">
        <v>8.8900000000000007E-2</v>
      </c>
      <c r="K4782" s="817"/>
      <c r="L4782" s="817"/>
    </row>
    <row r="4783" spans="1:12" ht="17.100000000000001" customHeight="1">
      <c r="A4783" s="636"/>
      <c r="B4783" s="636"/>
      <c r="C4783" s="636"/>
      <c r="D4783" s="636"/>
      <c r="E4783" s="636"/>
      <c r="F4783" s="636"/>
      <c r="G4783" s="636"/>
      <c r="H4783" s="636"/>
      <c r="I4783" s="636"/>
      <c r="J4783" s="636" t="s">
        <v>13675</v>
      </c>
      <c r="K4783" s="636"/>
      <c r="L4783" s="636" t="s">
        <v>13815</v>
      </c>
    </row>
    <row r="4784" spans="1:12" ht="14.25" customHeight="1">
      <c r="A4784" s="802" t="s">
        <v>12713</v>
      </c>
      <c r="B4784" s="802"/>
      <c r="C4784" s="802"/>
      <c r="D4784" s="802"/>
      <c r="E4784" s="802"/>
      <c r="F4784" s="802"/>
      <c r="G4784" s="802"/>
      <c r="H4784" s="802"/>
      <c r="I4784" s="612"/>
      <c r="J4784" s="612"/>
      <c r="K4784" s="612"/>
      <c r="L4784" s="612"/>
    </row>
    <row r="4785" spans="1:12" ht="17.100000000000001" customHeight="1">
      <c r="A4785" s="612" t="s">
        <v>13679</v>
      </c>
      <c r="B4785" s="636" t="s">
        <v>12698</v>
      </c>
      <c r="C4785" s="612" t="s">
        <v>12699</v>
      </c>
      <c r="D4785" s="612" t="s">
        <v>12700</v>
      </c>
      <c r="E4785" s="637" t="s">
        <v>12702</v>
      </c>
      <c r="F4785" s="801" t="s">
        <v>12704</v>
      </c>
      <c r="G4785" s="801"/>
      <c r="H4785" s="801" t="s">
        <v>13678</v>
      </c>
      <c r="I4785" s="801"/>
      <c r="J4785" s="801" t="s">
        <v>12705</v>
      </c>
      <c r="K4785" s="801"/>
      <c r="L4785" s="801"/>
    </row>
    <row r="4786" spans="1:12" ht="24" customHeight="1">
      <c r="A4786" s="626" t="s">
        <v>12709</v>
      </c>
      <c r="B4786" s="627" t="s">
        <v>12999</v>
      </c>
      <c r="C4786" s="626" t="s">
        <v>8</v>
      </c>
      <c r="D4786" s="626" t="s">
        <v>11251</v>
      </c>
      <c r="E4786" s="628" t="s">
        <v>23</v>
      </c>
      <c r="F4786" s="816" t="s">
        <v>13681</v>
      </c>
      <c r="G4786" s="816"/>
      <c r="H4786" s="816">
        <v>0.12520290000000001</v>
      </c>
      <c r="I4786" s="816"/>
      <c r="J4786" s="817">
        <v>8.8000000000000005E-3</v>
      </c>
      <c r="K4786" s="817"/>
      <c r="L4786" s="817"/>
    </row>
    <row r="4787" spans="1:12" ht="24" customHeight="1">
      <c r="A4787" s="636"/>
      <c r="B4787" s="636"/>
      <c r="C4787" s="636"/>
      <c r="D4787" s="636"/>
      <c r="E4787" s="636"/>
      <c r="F4787" s="636"/>
      <c r="G4787" s="636"/>
      <c r="H4787" s="636"/>
      <c r="I4787" s="636"/>
      <c r="J4787" s="636" t="s">
        <v>13675</v>
      </c>
      <c r="K4787" s="636"/>
      <c r="L4787" s="636" t="s">
        <v>13728</v>
      </c>
    </row>
    <row r="4788" spans="1:12" ht="24" customHeight="1">
      <c r="A4788" s="802" t="s">
        <v>12712</v>
      </c>
      <c r="B4788" s="802"/>
      <c r="C4788" s="802"/>
      <c r="D4788" s="802"/>
      <c r="E4788" s="802"/>
      <c r="F4788" s="802"/>
      <c r="G4788" s="802"/>
      <c r="H4788" s="802"/>
      <c r="I4788" s="612"/>
      <c r="J4788" s="612"/>
      <c r="K4788" s="612"/>
      <c r="L4788" s="612"/>
    </row>
    <row r="4789" spans="1:12" ht="17.100000000000001" customHeight="1">
      <c r="A4789" s="612" t="s">
        <v>13679</v>
      </c>
      <c r="B4789" s="636" t="s">
        <v>12698</v>
      </c>
      <c r="C4789" s="612" t="s">
        <v>12699</v>
      </c>
      <c r="D4789" s="612" t="s">
        <v>12700</v>
      </c>
      <c r="E4789" s="637" t="s">
        <v>12702</v>
      </c>
      <c r="F4789" s="801" t="s">
        <v>12704</v>
      </c>
      <c r="G4789" s="801"/>
      <c r="H4789" s="801" t="s">
        <v>13678</v>
      </c>
      <c r="I4789" s="801"/>
      <c r="J4789" s="801" t="s">
        <v>12705</v>
      </c>
      <c r="K4789" s="801"/>
      <c r="L4789" s="801"/>
    </row>
    <row r="4790" spans="1:12" ht="25.5">
      <c r="A4790" s="626" t="s">
        <v>12709</v>
      </c>
      <c r="B4790" s="627" t="s">
        <v>13002</v>
      </c>
      <c r="C4790" s="626" t="s">
        <v>8</v>
      </c>
      <c r="D4790" s="626" t="s">
        <v>9306</v>
      </c>
      <c r="E4790" s="628" t="s">
        <v>23</v>
      </c>
      <c r="F4790" s="816" t="s">
        <v>13677</v>
      </c>
      <c r="G4790" s="816"/>
      <c r="H4790" s="816">
        <v>0.12520290000000001</v>
      </c>
      <c r="I4790" s="816"/>
      <c r="J4790" s="817">
        <v>4.3799999999999999E-2</v>
      </c>
      <c r="K4790" s="817"/>
      <c r="L4790" s="817"/>
    </row>
    <row r="4791" spans="1:12" ht="17.100000000000001" customHeight="1">
      <c r="A4791" s="626" t="s">
        <v>12709</v>
      </c>
      <c r="B4791" s="627" t="s">
        <v>13004</v>
      </c>
      <c r="C4791" s="626" t="s">
        <v>8</v>
      </c>
      <c r="D4791" s="626" t="s">
        <v>7388</v>
      </c>
      <c r="E4791" s="628" t="s">
        <v>23</v>
      </c>
      <c r="F4791" s="816" t="s">
        <v>13676</v>
      </c>
      <c r="G4791" s="816"/>
      <c r="H4791" s="816">
        <v>0.12520290000000001</v>
      </c>
      <c r="I4791" s="816"/>
      <c r="J4791" s="817">
        <v>0.27539999999999998</v>
      </c>
      <c r="K4791" s="817"/>
      <c r="L4791" s="817"/>
    </row>
    <row r="4792" spans="1:12" ht="24" customHeight="1">
      <c r="A4792" s="636"/>
      <c r="B4792" s="636"/>
      <c r="C4792" s="636"/>
      <c r="D4792" s="636"/>
      <c r="E4792" s="636"/>
      <c r="F4792" s="636"/>
      <c r="G4792" s="636"/>
      <c r="H4792" s="636"/>
      <c r="I4792" s="636"/>
      <c r="J4792" s="636" t="s">
        <v>13675</v>
      </c>
      <c r="K4792" s="636"/>
      <c r="L4792" s="636" t="s">
        <v>14026</v>
      </c>
    </row>
    <row r="4793" spans="1:12" ht="24" customHeight="1">
      <c r="A4793" s="612" t="s">
        <v>13673</v>
      </c>
      <c r="B4793" s="612"/>
      <c r="C4793" s="612"/>
      <c r="D4793" s="612"/>
      <c r="E4793" s="612"/>
      <c r="F4793" s="612"/>
      <c r="G4793" s="612"/>
      <c r="H4793" s="612"/>
      <c r="I4793" s="612"/>
      <c r="J4793" s="612"/>
      <c r="K4793" s="612"/>
      <c r="L4793" s="612"/>
    </row>
    <row r="4794" spans="1:12" ht="36" customHeight="1">
      <c r="A4794" s="636"/>
      <c r="B4794" s="636"/>
      <c r="C4794" s="636"/>
      <c r="D4794" s="636"/>
      <c r="E4794" s="636"/>
      <c r="F4794" s="636"/>
      <c r="G4794" s="636"/>
      <c r="H4794" s="636"/>
      <c r="I4794" s="636"/>
      <c r="J4794" s="636" t="s">
        <v>13672</v>
      </c>
      <c r="K4794" s="636"/>
      <c r="L4794" s="636" t="s">
        <v>15006</v>
      </c>
    </row>
    <row r="4795" spans="1:12" ht="24" customHeight="1">
      <c r="A4795" s="636"/>
      <c r="B4795" s="636"/>
      <c r="C4795" s="636"/>
      <c r="D4795" s="636"/>
      <c r="E4795" s="636"/>
      <c r="F4795" s="636"/>
      <c r="G4795" s="636"/>
      <c r="H4795" s="636"/>
      <c r="I4795" s="636"/>
      <c r="J4795" s="636" t="s">
        <v>13671</v>
      </c>
      <c r="K4795" s="636" t="s">
        <v>14461</v>
      </c>
      <c r="L4795" s="636" t="s">
        <v>15007</v>
      </c>
    </row>
    <row r="4796" spans="1:12" ht="24" customHeight="1">
      <c r="A4796" s="636"/>
      <c r="B4796" s="636"/>
      <c r="C4796" s="636"/>
      <c r="D4796" s="636"/>
      <c r="E4796" s="636"/>
      <c r="F4796" s="636"/>
      <c r="G4796" s="636"/>
      <c r="H4796" s="636"/>
      <c r="I4796" s="636"/>
      <c r="J4796" s="636" t="s">
        <v>13670</v>
      </c>
      <c r="K4796" s="636"/>
      <c r="L4796" s="636" t="s">
        <v>15008</v>
      </c>
    </row>
    <row r="4797" spans="1:12" ht="24" customHeight="1">
      <c r="A4797" s="636"/>
      <c r="B4797" s="636"/>
      <c r="C4797" s="636"/>
      <c r="D4797" s="636"/>
      <c r="E4797" s="636"/>
      <c r="F4797" s="636"/>
      <c r="G4797" s="636"/>
      <c r="H4797" s="636"/>
      <c r="I4797" s="636"/>
      <c r="J4797" s="636" t="s">
        <v>13669</v>
      </c>
      <c r="K4797" s="636" t="s">
        <v>13667</v>
      </c>
      <c r="L4797" s="636" t="s">
        <v>15009</v>
      </c>
    </row>
    <row r="4798" spans="1:12" ht="24" customHeight="1">
      <c r="A4798" s="636"/>
      <c r="B4798" s="636"/>
      <c r="C4798" s="636"/>
      <c r="D4798" s="636"/>
      <c r="E4798" s="636"/>
      <c r="F4798" s="636"/>
      <c r="G4798" s="636"/>
      <c r="H4798" s="636"/>
      <c r="I4798" s="636"/>
      <c r="J4798" s="636" t="s">
        <v>13668</v>
      </c>
      <c r="K4798" s="636"/>
      <c r="L4798" s="636" t="s">
        <v>15010</v>
      </c>
    </row>
    <row r="4799" spans="1:12" ht="17.100000000000001" customHeight="1">
      <c r="A4799" s="637"/>
      <c r="B4799" s="637"/>
      <c r="C4799" s="637"/>
      <c r="D4799" s="637"/>
      <c r="E4799" s="637"/>
      <c r="F4799" s="637"/>
      <c r="G4799" s="637"/>
      <c r="H4799" s="637"/>
      <c r="I4799" s="637"/>
      <c r="J4799" s="637"/>
      <c r="K4799" s="637"/>
      <c r="L4799" s="637"/>
    </row>
    <row r="4800" spans="1:12" ht="51">
      <c r="A4800" s="616" t="s">
        <v>14105</v>
      </c>
      <c r="B4800" s="617" t="s">
        <v>13616</v>
      </c>
      <c r="C4800" s="616" t="s">
        <v>8</v>
      </c>
      <c r="D4800" s="616" t="s">
        <v>2707</v>
      </c>
      <c r="E4800" s="618" t="s">
        <v>12725</v>
      </c>
      <c r="F4800" s="617"/>
      <c r="G4800" s="617"/>
      <c r="H4800" s="617"/>
      <c r="I4800" s="617"/>
      <c r="J4800" s="617"/>
      <c r="K4800" s="617"/>
      <c r="L4800" s="617"/>
    </row>
    <row r="4801" spans="1:12" ht="17.100000000000001" customHeight="1">
      <c r="A4801" s="802" t="s">
        <v>12711</v>
      </c>
      <c r="B4801" s="802"/>
      <c r="C4801" s="802"/>
      <c r="D4801" s="802"/>
      <c r="E4801" s="802"/>
      <c r="F4801" s="802"/>
      <c r="G4801" s="802"/>
      <c r="H4801" s="802"/>
      <c r="I4801" s="612"/>
      <c r="J4801" s="612"/>
      <c r="K4801" s="612"/>
      <c r="L4801" s="612"/>
    </row>
    <row r="4802" spans="1:12" ht="24" customHeight="1">
      <c r="A4802" s="612" t="s">
        <v>13679</v>
      </c>
      <c r="B4802" s="636" t="s">
        <v>12698</v>
      </c>
      <c r="C4802" s="612" t="s">
        <v>12699</v>
      </c>
      <c r="D4802" s="612" t="s">
        <v>12700</v>
      </c>
      <c r="E4802" s="637" t="s">
        <v>12702</v>
      </c>
      <c r="F4802" s="801" t="s">
        <v>12704</v>
      </c>
      <c r="G4802" s="801"/>
      <c r="H4802" s="801" t="s">
        <v>13678</v>
      </c>
      <c r="I4802" s="801"/>
      <c r="J4802" s="801" t="s">
        <v>12705</v>
      </c>
      <c r="K4802" s="801"/>
      <c r="L4802" s="801"/>
    </row>
    <row r="4803" spans="1:12" ht="17.100000000000001" customHeight="1">
      <c r="A4803" s="626" t="s">
        <v>12709</v>
      </c>
      <c r="B4803" s="627" t="s">
        <v>13003</v>
      </c>
      <c r="C4803" s="626" t="s">
        <v>8</v>
      </c>
      <c r="D4803" s="626" t="s">
        <v>9227</v>
      </c>
      <c r="E4803" s="628" t="s">
        <v>23</v>
      </c>
      <c r="F4803" s="816" t="s">
        <v>13732</v>
      </c>
      <c r="G4803" s="816"/>
      <c r="H4803" s="816">
        <v>3.7114899999999999E-2</v>
      </c>
      <c r="I4803" s="816"/>
      <c r="J4803" s="817">
        <v>2.4500000000000001E-2</v>
      </c>
      <c r="K4803" s="817"/>
      <c r="L4803" s="817"/>
    </row>
    <row r="4804" spans="1:12" ht="25.5">
      <c r="A4804" s="626" t="s">
        <v>12709</v>
      </c>
      <c r="B4804" s="627" t="s">
        <v>13001</v>
      </c>
      <c r="C4804" s="626" t="s">
        <v>8</v>
      </c>
      <c r="D4804" s="626" t="s">
        <v>9374</v>
      </c>
      <c r="E4804" s="628" t="s">
        <v>23</v>
      </c>
      <c r="F4804" s="816" t="s">
        <v>13728</v>
      </c>
      <c r="G4804" s="816"/>
      <c r="H4804" s="816">
        <v>3.7114899999999999E-2</v>
      </c>
      <c r="I4804" s="816"/>
      <c r="J4804" s="817">
        <v>4.0000000000000002E-4</v>
      </c>
      <c r="K4804" s="817"/>
      <c r="L4804" s="817"/>
    </row>
    <row r="4805" spans="1:12" ht="17.100000000000001" customHeight="1">
      <c r="A4805" s="626" t="s">
        <v>12709</v>
      </c>
      <c r="B4805" s="627" t="s">
        <v>13032</v>
      </c>
      <c r="C4805" s="626" t="s">
        <v>8</v>
      </c>
      <c r="D4805" s="626" t="s">
        <v>9217</v>
      </c>
      <c r="E4805" s="628" t="s">
        <v>23</v>
      </c>
      <c r="F4805" s="816" t="s">
        <v>13741</v>
      </c>
      <c r="G4805" s="816"/>
      <c r="H4805" s="816">
        <v>2.9719389999999999</v>
      </c>
      <c r="I4805" s="816"/>
      <c r="J4805" s="817">
        <v>3.2097000000000002</v>
      </c>
      <c r="K4805" s="817"/>
      <c r="L4805" s="817"/>
    </row>
    <row r="4806" spans="1:12" ht="24" customHeight="1">
      <c r="A4806" s="626" t="s">
        <v>12709</v>
      </c>
      <c r="B4806" s="627" t="s">
        <v>13031</v>
      </c>
      <c r="C4806" s="626" t="s">
        <v>8</v>
      </c>
      <c r="D4806" s="626" t="s">
        <v>9364</v>
      </c>
      <c r="E4806" s="628" t="s">
        <v>23</v>
      </c>
      <c r="F4806" s="816" t="s">
        <v>13740</v>
      </c>
      <c r="G4806" s="816"/>
      <c r="H4806" s="816">
        <v>2.9719389999999999</v>
      </c>
      <c r="I4806" s="816"/>
      <c r="J4806" s="817">
        <v>1.0105</v>
      </c>
      <c r="K4806" s="817"/>
      <c r="L4806" s="817"/>
    </row>
    <row r="4807" spans="1:12" ht="17.100000000000001" customHeight="1">
      <c r="A4807" s="636"/>
      <c r="B4807" s="636"/>
      <c r="C4807" s="636"/>
      <c r="D4807" s="636"/>
      <c r="E4807" s="636"/>
      <c r="F4807" s="636"/>
      <c r="G4807" s="636"/>
      <c r="H4807" s="636"/>
      <c r="I4807" s="636"/>
      <c r="J4807" s="636" t="s">
        <v>13675</v>
      </c>
      <c r="K4807" s="636"/>
      <c r="L4807" s="636" t="s">
        <v>14143</v>
      </c>
    </row>
    <row r="4808" spans="1:12">
      <c r="A4808" s="802" t="s">
        <v>12710</v>
      </c>
      <c r="B4808" s="802"/>
      <c r="C4808" s="802"/>
      <c r="D4808" s="802"/>
      <c r="E4808" s="802"/>
      <c r="F4808" s="802"/>
      <c r="G4808" s="802"/>
      <c r="H4808" s="802"/>
      <c r="I4808" s="612"/>
      <c r="J4808" s="612"/>
      <c r="K4808" s="612"/>
      <c r="L4808" s="612"/>
    </row>
    <row r="4809" spans="1:12" ht="17.100000000000001" customHeight="1">
      <c r="A4809" s="612" t="s">
        <v>13679</v>
      </c>
      <c r="B4809" s="636" t="s">
        <v>12698</v>
      </c>
      <c r="C4809" s="612" t="s">
        <v>12699</v>
      </c>
      <c r="D4809" s="612" t="s">
        <v>12700</v>
      </c>
      <c r="E4809" s="637" t="s">
        <v>12702</v>
      </c>
      <c r="F4809" s="801" t="s">
        <v>12704</v>
      </c>
      <c r="G4809" s="801"/>
      <c r="H4809" s="801" t="s">
        <v>13678</v>
      </c>
      <c r="I4809" s="801"/>
      <c r="J4809" s="801" t="s">
        <v>12705</v>
      </c>
      <c r="K4809" s="801"/>
      <c r="L4809" s="801"/>
    </row>
    <row r="4810" spans="1:12" ht="24" customHeight="1">
      <c r="A4810" s="626" t="s">
        <v>12709</v>
      </c>
      <c r="B4810" s="627" t="s">
        <v>13103</v>
      </c>
      <c r="C4810" s="626" t="s">
        <v>8</v>
      </c>
      <c r="D4810" s="626" t="s">
        <v>10570</v>
      </c>
      <c r="E4810" s="628" t="s">
        <v>23</v>
      </c>
      <c r="F4810" s="816" t="s">
        <v>14289</v>
      </c>
      <c r="G4810" s="816"/>
      <c r="H4810" s="816">
        <v>3.7406300000000003E-2</v>
      </c>
      <c r="I4810" s="816"/>
      <c r="J4810" s="817">
        <v>0.19040000000000001</v>
      </c>
      <c r="K4810" s="817"/>
      <c r="L4810" s="817"/>
    </row>
    <row r="4811" spans="1:12" ht="24" customHeight="1">
      <c r="A4811" s="626" t="s">
        <v>12709</v>
      </c>
      <c r="B4811" s="627" t="s">
        <v>13228</v>
      </c>
      <c r="C4811" s="626" t="s">
        <v>8</v>
      </c>
      <c r="D4811" s="626" t="s">
        <v>8289</v>
      </c>
      <c r="E4811" s="628" t="s">
        <v>23</v>
      </c>
      <c r="F4811" s="816" t="s">
        <v>14199</v>
      </c>
      <c r="G4811" s="816"/>
      <c r="H4811" s="816">
        <v>0.46769909999999998</v>
      </c>
      <c r="I4811" s="816"/>
      <c r="J4811" s="817">
        <v>2.5442999999999998</v>
      </c>
      <c r="K4811" s="817"/>
      <c r="L4811" s="817"/>
    </row>
    <row r="4812" spans="1:12" ht="17.100000000000001" customHeight="1">
      <c r="A4812" s="626" t="s">
        <v>12709</v>
      </c>
      <c r="B4812" s="627" t="s">
        <v>13212</v>
      </c>
      <c r="C4812" s="626" t="s">
        <v>8</v>
      </c>
      <c r="D4812" s="626" t="s">
        <v>8293</v>
      </c>
      <c r="E4812" s="628" t="s">
        <v>23</v>
      </c>
      <c r="F4812" s="816" t="s">
        <v>14470</v>
      </c>
      <c r="G4812" s="816"/>
      <c r="H4812" s="816">
        <v>2.5286409999999999</v>
      </c>
      <c r="I4812" s="816"/>
      <c r="J4812" s="817">
        <v>17.472899999999999</v>
      </c>
      <c r="K4812" s="817"/>
      <c r="L4812" s="817"/>
    </row>
    <row r="4813" spans="1:12" ht="17.100000000000001" customHeight="1">
      <c r="A4813" s="636"/>
      <c r="B4813" s="636"/>
      <c r="C4813" s="636"/>
      <c r="D4813" s="636"/>
      <c r="E4813" s="636"/>
      <c r="F4813" s="636"/>
      <c r="G4813" s="636"/>
      <c r="H4813" s="636"/>
      <c r="I4813" s="636"/>
      <c r="J4813" s="636" t="s">
        <v>13675</v>
      </c>
      <c r="K4813" s="636"/>
      <c r="L4813" s="636" t="s">
        <v>14712</v>
      </c>
    </row>
    <row r="4814" spans="1:12" ht="17.100000000000001" customHeight="1">
      <c r="A4814" s="802" t="s">
        <v>12720</v>
      </c>
      <c r="B4814" s="802"/>
      <c r="C4814" s="802"/>
      <c r="D4814" s="802"/>
      <c r="E4814" s="802"/>
      <c r="F4814" s="802"/>
      <c r="G4814" s="802"/>
      <c r="H4814" s="802"/>
      <c r="I4814" s="612"/>
      <c r="J4814" s="612"/>
      <c r="K4814" s="612"/>
      <c r="L4814" s="612"/>
    </row>
    <row r="4815" spans="1:12" ht="17.100000000000001" customHeight="1">
      <c r="A4815" s="612" t="s">
        <v>13679</v>
      </c>
      <c r="B4815" s="636" t="s">
        <v>12698</v>
      </c>
      <c r="C4815" s="612" t="s">
        <v>12699</v>
      </c>
      <c r="D4815" s="612" t="s">
        <v>12700</v>
      </c>
      <c r="E4815" s="637" t="s">
        <v>12702</v>
      </c>
      <c r="F4815" s="801" t="s">
        <v>12704</v>
      </c>
      <c r="G4815" s="801"/>
      <c r="H4815" s="801" t="s">
        <v>13678</v>
      </c>
      <c r="I4815" s="801"/>
      <c r="J4815" s="801" t="s">
        <v>12705</v>
      </c>
      <c r="K4815" s="801"/>
      <c r="L4815" s="801"/>
    </row>
    <row r="4816" spans="1:12" ht="17.100000000000001" customHeight="1">
      <c r="A4816" s="626" t="s">
        <v>12709</v>
      </c>
      <c r="B4816" s="627" t="s">
        <v>13093</v>
      </c>
      <c r="C4816" s="626" t="s">
        <v>8</v>
      </c>
      <c r="D4816" s="626" t="s">
        <v>8980</v>
      </c>
      <c r="E4816" s="628" t="s">
        <v>58</v>
      </c>
      <c r="F4816" s="816" t="s">
        <v>14502</v>
      </c>
      <c r="G4816" s="816"/>
      <c r="H4816" s="816">
        <v>1.7000000000000001E-2</v>
      </c>
      <c r="I4816" s="816"/>
      <c r="J4816" s="817">
        <v>0.08</v>
      </c>
      <c r="K4816" s="817"/>
      <c r="L4816" s="817"/>
    </row>
    <row r="4817" spans="1:12" ht="17.100000000000001" customHeight="1">
      <c r="A4817" s="626" t="s">
        <v>12709</v>
      </c>
      <c r="B4817" s="627" t="s">
        <v>13613</v>
      </c>
      <c r="C4817" s="626" t="s">
        <v>8</v>
      </c>
      <c r="D4817" s="626" t="s">
        <v>11000</v>
      </c>
      <c r="E4817" s="628" t="s">
        <v>20</v>
      </c>
      <c r="F4817" s="816" t="s">
        <v>13753</v>
      </c>
      <c r="G4817" s="816"/>
      <c r="H4817" s="816">
        <v>2.7E-2</v>
      </c>
      <c r="I4817" s="816"/>
      <c r="J4817" s="817">
        <v>0.37</v>
      </c>
      <c r="K4817" s="817"/>
      <c r="L4817" s="817"/>
    </row>
    <row r="4818" spans="1:12" ht="17.100000000000001" customHeight="1">
      <c r="A4818" s="626" t="s">
        <v>12709</v>
      </c>
      <c r="B4818" s="627" t="s">
        <v>13091</v>
      </c>
      <c r="C4818" s="626" t="s">
        <v>8</v>
      </c>
      <c r="D4818" s="626" t="s">
        <v>11248</v>
      </c>
      <c r="E4818" s="628" t="s">
        <v>17</v>
      </c>
      <c r="F4818" s="816" t="s">
        <v>14501</v>
      </c>
      <c r="G4818" s="816"/>
      <c r="H4818" s="816">
        <v>1.9698374999999999</v>
      </c>
      <c r="I4818" s="816"/>
      <c r="J4818" s="817">
        <v>3.9397000000000002</v>
      </c>
      <c r="K4818" s="817"/>
      <c r="L4818" s="817"/>
    </row>
    <row r="4819" spans="1:12" ht="30" customHeight="1">
      <c r="A4819" s="626" t="s">
        <v>12709</v>
      </c>
      <c r="B4819" s="627" t="s">
        <v>13189</v>
      </c>
      <c r="C4819" s="626" t="s">
        <v>8</v>
      </c>
      <c r="D4819" s="626" t="s">
        <v>11363</v>
      </c>
      <c r="E4819" s="628" t="s">
        <v>17</v>
      </c>
      <c r="F4819" s="816" t="s">
        <v>14500</v>
      </c>
      <c r="G4819" s="816"/>
      <c r="H4819" s="816">
        <v>1.1021742000000001</v>
      </c>
      <c r="I4819" s="816"/>
      <c r="J4819" s="817">
        <v>9.6329999999999991</v>
      </c>
      <c r="K4819" s="817"/>
      <c r="L4819" s="817"/>
    </row>
    <row r="4820" spans="1:12" ht="48" customHeight="1">
      <c r="A4820" s="626" t="s">
        <v>12709</v>
      </c>
      <c r="B4820" s="627" t="s">
        <v>13190</v>
      </c>
      <c r="C4820" s="626" t="s">
        <v>8</v>
      </c>
      <c r="D4820" s="626" t="s">
        <v>11009</v>
      </c>
      <c r="E4820" s="628" t="s">
        <v>20</v>
      </c>
      <c r="F4820" s="816" t="s">
        <v>13824</v>
      </c>
      <c r="G4820" s="816"/>
      <c r="H4820" s="816">
        <v>1.6220600000000002E-2</v>
      </c>
      <c r="I4820" s="816"/>
      <c r="J4820" s="817">
        <v>0.18129999999999999</v>
      </c>
      <c r="K4820" s="817"/>
      <c r="L4820" s="817"/>
    </row>
    <row r="4821" spans="1:12" ht="14.25" customHeight="1">
      <c r="A4821" s="626" t="s">
        <v>12709</v>
      </c>
      <c r="B4821" s="627" t="s">
        <v>13056</v>
      </c>
      <c r="C4821" s="626" t="s">
        <v>8</v>
      </c>
      <c r="D4821" s="626" t="s">
        <v>11277</v>
      </c>
      <c r="E4821" s="628" t="s">
        <v>35</v>
      </c>
      <c r="F4821" s="816" t="s">
        <v>14498</v>
      </c>
      <c r="G4821" s="816"/>
      <c r="H4821" s="816">
        <v>3.9999999999999998E-6</v>
      </c>
      <c r="I4821" s="816"/>
      <c r="J4821" s="817">
        <v>5.0000000000000001E-3</v>
      </c>
      <c r="K4821" s="817"/>
      <c r="L4821" s="817"/>
    </row>
    <row r="4822" spans="1:12" ht="17.100000000000001" customHeight="1">
      <c r="A4822" s="626" t="s">
        <v>12709</v>
      </c>
      <c r="B4822" s="627" t="s">
        <v>12987</v>
      </c>
      <c r="C4822" s="626" t="s">
        <v>8</v>
      </c>
      <c r="D4822" s="626" t="s">
        <v>9192</v>
      </c>
      <c r="E4822" s="628" t="s">
        <v>12923</v>
      </c>
      <c r="F4822" s="816" t="s">
        <v>13999</v>
      </c>
      <c r="G4822" s="816"/>
      <c r="H4822" s="816">
        <v>5.4905299999999997E-2</v>
      </c>
      <c r="I4822" s="816"/>
      <c r="J4822" s="817">
        <v>4.4499999999999998E-2</v>
      </c>
      <c r="K4822" s="817"/>
      <c r="L4822" s="817"/>
    </row>
    <row r="4823" spans="1:12" ht="36" customHeight="1">
      <c r="A4823" s="636"/>
      <c r="B4823" s="636"/>
      <c r="C4823" s="636"/>
      <c r="D4823" s="636"/>
      <c r="E4823" s="636"/>
      <c r="F4823" s="636"/>
      <c r="G4823" s="636"/>
      <c r="H4823" s="636"/>
      <c r="I4823" s="636"/>
      <c r="J4823" s="636" t="s">
        <v>13675</v>
      </c>
      <c r="K4823" s="636"/>
      <c r="L4823" s="636" t="s">
        <v>14711</v>
      </c>
    </row>
    <row r="4824" spans="1:12" ht="24" customHeight="1">
      <c r="A4824" s="802" t="s">
        <v>12722</v>
      </c>
      <c r="B4824" s="802"/>
      <c r="C4824" s="802"/>
      <c r="D4824" s="802"/>
      <c r="E4824" s="802"/>
      <c r="F4824" s="802"/>
      <c r="G4824" s="802"/>
      <c r="H4824" s="802"/>
      <c r="I4824" s="612"/>
      <c r="J4824" s="612"/>
      <c r="K4824" s="612"/>
      <c r="L4824" s="612"/>
    </row>
    <row r="4825" spans="1:12" ht="24" customHeight="1">
      <c r="A4825" s="612" t="s">
        <v>13679</v>
      </c>
      <c r="B4825" s="636" t="s">
        <v>12698</v>
      </c>
      <c r="C4825" s="612" t="s">
        <v>12699</v>
      </c>
      <c r="D4825" s="612" t="s">
        <v>12700</v>
      </c>
      <c r="E4825" s="637" t="s">
        <v>12702</v>
      </c>
      <c r="F4825" s="801" t="s">
        <v>12704</v>
      </c>
      <c r="G4825" s="801"/>
      <c r="H4825" s="801" t="s">
        <v>13678</v>
      </c>
      <c r="I4825" s="801"/>
      <c r="J4825" s="801" t="s">
        <v>12705</v>
      </c>
      <c r="K4825" s="801"/>
      <c r="L4825" s="801"/>
    </row>
    <row r="4826" spans="1:12" ht="24" customHeight="1">
      <c r="A4826" s="626" t="s">
        <v>12709</v>
      </c>
      <c r="B4826" s="627" t="s">
        <v>12998</v>
      </c>
      <c r="C4826" s="626" t="s">
        <v>8</v>
      </c>
      <c r="D4826" s="626" t="s">
        <v>11861</v>
      </c>
      <c r="E4826" s="628" t="s">
        <v>23</v>
      </c>
      <c r="F4826" s="816" t="s">
        <v>13683</v>
      </c>
      <c r="G4826" s="816"/>
      <c r="H4826" s="816">
        <v>3.0090539000000001</v>
      </c>
      <c r="I4826" s="816"/>
      <c r="J4826" s="817">
        <v>2.1364000000000001</v>
      </c>
      <c r="K4826" s="817"/>
      <c r="L4826" s="817"/>
    </row>
    <row r="4827" spans="1:12" ht="24" customHeight="1">
      <c r="A4827" s="636"/>
      <c r="B4827" s="636"/>
      <c r="C4827" s="636"/>
      <c r="D4827" s="636"/>
      <c r="E4827" s="636"/>
      <c r="F4827" s="636"/>
      <c r="G4827" s="636"/>
      <c r="H4827" s="636"/>
      <c r="I4827" s="636"/>
      <c r="J4827" s="636" t="s">
        <v>13675</v>
      </c>
      <c r="K4827" s="636"/>
      <c r="L4827" s="636" t="s">
        <v>14104</v>
      </c>
    </row>
    <row r="4828" spans="1:12" ht="24" customHeight="1">
      <c r="A4828" s="802" t="s">
        <v>12713</v>
      </c>
      <c r="B4828" s="802"/>
      <c r="C4828" s="802"/>
      <c r="D4828" s="802"/>
      <c r="E4828" s="802"/>
      <c r="F4828" s="802"/>
      <c r="G4828" s="802"/>
      <c r="H4828" s="802"/>
      <c r="I4828" s="612"/>
      <c r="J4828" s="612"/>
      <c r="K4828" s="612"/>
      <c r="L4828" s="612"/>
    </row>
    <row r="4829" spans="1:12" ht="24" customHeight="1">
      <c r="A4829" s="612" t="s">
        <v>13679</v>
      </c>
      <c r="B4829" s="636" t="s">
        <v>12698</v>
      </c>
      <c r="C4829" s="612" t="s">
        <v>12699</v>
      </c>
      <c r="D4829" s="612" t="s">
        <v>12700</v>
      </c>
      <c r="E4829" s="637" t="s">
        <v>12702</v>
      </c>
      <c r="F4829" s="801" t="s">
        <v>12704</v>
      </c>
      <c r="G4829" s="801"/>
      <c r="H4829" s="801" t="s">
        <v>13678</v>
      </c>
      <c r="I4829" s="801"/>
      <c r="J4829" s="801" t="s">
        <v>12705</v>
      </c>
      <c r="K4829" s="801"/>
      <c r="L4829" s="801"/>
    </row>
    <row r="4830" spans="1:12" ht="17.100000000000001" customHeight="1">
      <c r="A4830" s="626" t="s">
        <v>12709</v>
      </c>
      <c r="B4830" s="627" t="s">
        <v>12999</v>
      </c>
      <c r="C4830" s="626" t="s">
        <v>8</v>
      </c>
      <c r="D4830" s="626" t="s">
        <v>11251</v>
      </c>
      <c r="E4830" s="628" t="s">
        <v>23</v>
      </c>
      <c r="F4830" s="816" t="s">
        <v>13681</v>
      </c>
      <c r="G4830" s="816"/>
      <c r="H4830" s="816">
        <v>3.0090539000000001</v>
      </c>
      <c r="I4830" s="816"/>
      <c r="J4830" s="817">
        <v>0.21060000000000001</v>
      </c>
      <c r="K4830" s="817"/>
      <c r="L4830" s="817"/>
    </row>
    <row r="4831" spans="1:12" ht="14.25" customHeight="1">
      <c r="A4831" s="636"/>
      <c r="B4831" s="636"/>
      <c r="C4831" s="636"/>
      <c r="D4831" s="636"/>
      <c r="E4831" s="636"/>
      <c r="F4831" s="636"/>
      <c r="G4831" s="636"/>
      <c r="H4831" s="636"/>
      <c r="I4831" s="636"/>
      <c r="J4831" s="636" t="s">
        <v>13675</v>
      </c>
      <c r="K4831" s="636"/>
      <c r="L4831" s="636" t="s">
        <v>13775</v>
      </c>
    </row>
    <row r="4832" spans="1:12" ht="17.100000000000001" customHeight="1">
      <c r="A4832" s="802" t="s">
        <v>12712</v>
      </c>
      <c r="B4832" s="802"/>
      <c r="C4832" s="802"/>
      <c r="D4832" s="802"/>
      <c r="E4832" s="802"/>
      <c r="F4832" s="802"/>
      <c r="G4832" s="802"/>
      <c r="H4832" s="802"/>
      <c r="I4832" s="612"/>
      <c r="J4832" s="612"/>
      <c r="K4832" s="612"/>
      <c r="L4832" s="612"/>
    </row>
    <row r="4833" spans="1:12" ht="24" customHeight="1">
      <c r="A4833" s="612" t="s">
        <v>13679</v>
      </c>
      <c r="B4833" s="636" t="s">
        <v>12698</v>
      </c>
      <c r="C4833" s="612" t="s">
        <v>12699</v>
      </c>
      <c r="D4833" s="612" t="s">
        <v>12700</v>
      </c>
      <c r="E4833" s="637" t="s">
        <v>12702</v>
      </c>
      <c r="F4833" s="801" t="s">
        <v>12704</v>
      </c>
      <c r="G4833" s="801"/>
      <c r="H4833" s="801" t="s">
        <v>13678</v>
      </c>
      <c r="I4833" s="801"/>
      <c r="J4833" s="801" t="s">
        <v>12705</v>
      </c>
      <c r="K4833" s="801"/>
      <c r="L4833" s="801"/>
    </row>
    <row r="4834" spans="1:12" ht="24" customHeight="1">
      <c r="A4834" s="626" t="s">
        <v>12709</v>
      </c>
      <c r="B4834" s="627" t="s">
        <v>13002</v>
      </c>
      <c r="C4834" s="626" t="s">
        <v>8</v>
      </c>
      <c r="D4834" s="626" t="s">
        <v>9306</v>
      </c>
      <c r="E4834" s="628" t="s">
        <v>23</v>
      </c>
      <c r="F4834" s="816" t="s">
        <v>13677</v>
      </c>
      <c r="G4834" s="816"/>
      <c r="H4834" s="816">
        <v>3.0090539000000001</v>
      </c>
      <c r="I4834" s="816"/>
      <c r="J4834" s="817">
        <v>1.0531999999999999</v>
      </c>
      <c r="K4834" s="817"/>
      <c r="L4834" s="817"/>
    </row>
    <row r="4835" spans="1:12" ht="24" customHeight="1">
      <c r="A4835" s="626" t="s">
        <v>12709</v>
      </c>
      <c r="B4835" s="627" t="s">
        <v>13004</v>
      </c>
      <c r="C4835" s="626" t="s">
        <v>8</v>
      </c>
      <c r="D4835" s="626" t="s">
        <v>7388</v>
      </c>
      <c r="E4835" s="628" t="s">
        <v>23</v>
      </c>
      <c r="F4835" s="816" t="s">
        <v>13676</v>
      </c>
      <c r="G4835" s="816"/>
      <c r="H4835" s="816">
        <v>3.0090539000000001</v>
      </c>
      <c r="I4835" s="816"/>
      <c r="J4835" s="817">
        <v>6.6199000000000003</v>
      </c>
      <c r="K4835" s="817"/>
      <c r="L4835" s="817"/>
    </row>
    <row r="4836" spans="1:12" ht="17.100000000000001" customHeight="1">
      <c r="A4836" s="636"/>
      <c r="B4836" s="636"/>
      <c r="C4836" s="636"/>
      <c r="D4836" s="636"/>
      <c r="E4836" s="636"/>
      <c r="F4836" s="636"/>
      <c r="G4836" s="636"/>
      <c r="H4836" s="636"/>
      <c r="I4836" s="636"/>
      <c r="J4836" s="636" t="s">
        <v>13675</v>
      </c>
      <c r="K4836" s="636"/>
      <c r="L4836" s="636" t="s">
        <v>14103</v>
      </c>
    </row>
    <row r="4837" spans="1:12">
      <c r="A4837" s="612" t="s">
        <v>13673</v>
      </c>
      <c r="B4837" s="612"/>
      <c r="C4837" s="612"/>
      <c r="D4837" s="612"/>
      <c r="E4837" s="612"/>
      <c r="F4837" s="612"/>
      <c r="G4837" s="612"/>
      <c r="H4837" s="612"/>
      <c r="I4837" s="612"/>
      <c r="J4837" s="612"/>
      <c r="K4837" s="612"/>
      <c r="L4837" s="612"/>
    </row>
    <row r="4838" spans="1:12" ht="17.100000000000001" customHeight="1">
      <c r="A4838" s="636"/>
      <c r="B4838" s="636"/>
      <c r="C4838" s="636"/>
      <c r="D4838" s="636"/>
      <c r="E4838" s="636"/>
      <c r="F4838" s="636"/>
      <c r="G4838" s="636"/>
      <c r="H4838" s="636"/>
      <c r="I4838" s="636"/>
      <c r="J4838" s="636" t="s">
        <v>13672</v>
      </c>
      <c r="K4838" s="636"/>
      <c r="L4838" s="636" t="s">
        <v>15059</v>
      </c>
    </row>
    <row r="4839" spans="1:12" ht="24" customHeight="1">
      <c r="A4839" s="636"/>
      <c r="B4839" s="636"/>
      <c r="C4839" s="636"/>
      <c r="D4839" s="636"/>
      <c r="E4839" s="636"/>
      <c r="F4839" s="636"/>
      <c r="G4839" s="636"/>
      <c r="H4839" s="636"/>
      <c r="I4839" s="636"/>
      <c r="J4839" s="636" t="s">
        <v>13671</v>
      </c>
      <c r="K4839" s="636" t="s">
        <v>14461</v>
      </c>
      <c r="L4839" s="636" t="s">
        <v>15060</v>
      </c>
    </row>
    <row r="4840" spans="1:12" ht="24" customHeight="1">
      <c r="A4840" s="636"/>
      <c r="B4840" s="636"/>
      <c r="C4840" s="636"/>
      <c r="D4840" s="636"/>
      <c r="E4840" s="636"/>
      <c r="F4840" s="636"/>
      <c r="G4840" s="636"/>
      <c r="H4840" s="636"/>
      <c r="I4840" s="636"/>
      <c r="J4840" s="636" t="s">
        <v>13670</v>
      </c>
      <c r="K4840" s="636"/>
      <c r="L4840" s="636" t="s">
        <v>15061</v>
      </c>
    </row>
    <row r="4841" spans="1:12" ht="24" customHeight="1">
      <c r="A4841" s="636"/>
      <c r="B4841" s="636"/>
      <c r="C4841" s="636"/>
      <c r="D4841" s="636"/>
      <c r="E4841" s="636"/>
      <c r="F4841" s="636"/>
      <c r="G4841" s="636"/>
      <c r="H4841" s="636"/>
      <c r="I4841" s="636"/>
      <c r="J4841" s="636" t="s">
        <v>13669</v>
      </c>
      <c r="K4841" s="636" t="s">
        <v>13667</v>
      </c>
      <c r="L4841" s="636" t="s">
        <v>15062</v>
      </c>
    </row>
    <row r="4842" spans="1:12" ht="17.100000000000001" customHeight="1">
      <c r="A4842" s="636"/>
      <c r="B4842" s="636"/>
      <c r="C4842" s="636"/>
      <c r="D4842" s="636"/>
      <c r="E4842" s="636"/>
      <c r="F4842" s="636"/>
      <c r="G4842" s="636"/>
      <c r="H4842" s="636"/>
      <c r="I4842" s="636"/>
      <c r="J4842" s="636" t="s">
        <v>13668</v>
      </c>
      <c r="K4842" s="636"/>
      <c r="L4842" s="636" t="s">
        <v>15063</v>
      </c>
    </row>
    <row r="4843" spans="1:12">
      <c r="A4843" s="637"/>
      <c r="B4843" s="637"/>
      <c r="C4843" s="637"/>
      <c r="D4843" s="637"/>
      <c r="E4843" s="637"/>
      <c r="F4843" s="637"/>
      <c r="G4843" s="637"/>
      <c r="H4843" s="637"/>
      <c r="I4843" s="637"/>
      <c r="J4843" s="637"/>
      <c r="K4843" s="637"/>
      <c r="L4843" s="637"/>
    </row>
    <row r="4844" spans="1:12" ht="17.100000000000001" customHeight="1">
      <c r="A4844" s="616" t="s">
        <v>14102</v>
      </c>
      <c r="B4844" s="617" t="s">
        <v>13609</v>
      </c>
      <c r="C4844" s="616" t="s">
        <v>8</v>
      </c>
      <c r="D4844" s="616" t="s">
        <v>1318</v>
      </c>
      <c r="E4844" s="618" t="s">
        <v>12725</v>
      </c>
      <c r="F4844" s="617"/>
      <c r="G4844" s="617"/>
      <c r="H4844" s="617"/>
      <c r="I4844" s="617"/>
      <c r="J4844" s="617"/>
      <c r="K4844" s="617"/>
      <c r="L4844" s="617"/>
    </row>
    <row r="4845" spans="1:12" ht="24" customHeight="1">
      <c r="A4845" s="802" t="s">
        <v>12711</v>
      </c>
      <c r="B4845" s="802"/>
      <c r="C4845" s="802"/>
      <c r="D4845" s="802"/>
      <c r="E4845" s="802"/>
      <c r="F4845" s="802"/>
      <c r="G4845" s="802"/>
      <c r="H4845" s="802"/>
      <c r="I4845" s="612"/>
      <c r="J4845" s="612"/>
      <c r="K4845" s="612"/>
      <c r="L4845" s="612"/>
    </row>
    <row r="4846" spans="1:12" ht="17.100000000000001" customHeight="1">
      <c r="A4846" s="612" t="s">
        <v>13679</v>
      </c>
      <c r="B4846" s="636" t="s">
        <v>12698</v>
      </c>
      <c r="C4846" s="612" t="s">
        <v>12699</v>
      </c>
      <c r="D4846" s="612" t="s">
        <v>12700</v>
      </c>
      <c r="E4846" s="637" t="s">
        <v>12702</v>
      </c>
      <c r="F4846" s="801" t="s">
        <v>12704</v>
      </c>
      <c r="G4846" s="801"/>
      <c r="H4846" s="801" t="s">
        <v>13678</v>
      </c>
      <c r="I4846" s="801"/>
      <c r="J4846" s="801" t="s">
        <v>12705</v>
      </c>
      <c r="K4846" s="801"/>
      <c r="L4846" s="801"/>
    </row>
    <row r="4847" spans="1:12" ht="38.25">
      <c r="A4847" s="626" t="s">
        <v>12709</v>
      </c>
      <c r="B4847" s="627" t="s">
        <v>13302</v>
      </c>
      <c r="C4847" s="626" t="s">
        <v>8</v>
      </c>
      <c r="D4847" s="626" t="s">
        <v>7676</v>
      </c>
      <c r="E4847" s="628" t="s">
        <v>35</v>
      </c>
      <c r="F4847" s="816" t="s">
        <v>14526</v>
      </c>
      <c r="G4847" s="816"/>
      <c r="H4847" s="816">
        <v>4.0999999999999997E-6</v>
      </c>
      <c r="I4847" s="816"/>
      <c r="J4847" s="817">
        <v>1.4800000000000001E-2</v>
      </c>
      <c r="K4847" s="817"/>
      <c r="L4847" s="817"/>
    </row>
    <row r="4848" spans="1:12" ht="17.100000000000001" customHeight="1">
      <c r="A4848" s="626" t="s">
        <v>12709</v>
      </c>
      <c r="B4848" s="627" t="s">
        <v>13003</v>
      </c>
      <c r="C4848" s="626" t="s">
        <v>8</v>
      </c>
      <c r="D4848" s="626" t="s">
        <v>9227</v>
      </c>
      <c r="E4848" s="628" t="s">
        <v>23</v>
      </c>
      <c r="F4848" s="816" t="s">
        <v>13732</v>
      </c>
      <c r="G4848" s="816"/>
      <c r="H4848" s="816">
        <v>4.6687300000000001E-2</v>
      </c>
      <c r="I4848" s="816"/>
      <c r="J4848" s="817">
        <v>3.0800000000000001E-2</v>
      </c>
      <c r="K4848" s="817"/>
      <c r="L4848" s="817"/>
    </row>
    <row r="4849" spans="1:12" ht="24" customHeight="1">
      <c r="A4849" s="626" t="s">
        <v>12709</v>
      </c>
      <c r="B4849" s="627" t="s">
        <v>13001</v>
      </c>
      <c r="C4849" s="626" t="s">
        <v>8</v>
      </c>
      <c r="D4849" s="626" t="s">
        <v>9374</v>
      </c>
      <c r="E4849" s="628" t="s">
        <v>23</v>
      </c>
      <c r="F4849" s="816" t="s">
        <v>13728</v>
      </c>
      <c r="G4849" s="816"/>
      <c r="H4849" s="816">
        <v>4.6687300000000001E-2</v>
      </c>
      <c r="I4849" s="816"/>
      <c r="J4849" s="817">
        <v>5.0000000000000001E-4</v>
      </c>
      <c r="K4849" s="817"/>
      <c r="L4849" s="817"/>
    </row>
    <row r="4850" spans="1:12" ht="17.100000000000001" customHeight="1">
      <c r="A4850" s="626" t="s">
        <v>12709</v>
      </c>
      <c r="B4850" s="627" t="s">
        <v>13052</v>
      </c>
      <c r="C4850" s="626" t="s">
        <v>8</v>
      </c>
      <c r="D4850" s="626" t="s">
        <v>9229</v>
      </c>
      <c r="E4850" s="628" t="s">
        <v>23</v>
      </c>
      <c r="F4850" s="816" t="s">
        <v>13692</v>
      </c>
      <c r="G4850" s="816"/>
      <c r="H4850" s="816">
        <v>0.47884369999999998</v>
      </c>
      <c r="I4850" s="816"/>
      <c r="J4850" s="817">
        <v>0.4597</v>
      </c>
      <c r="K4850" s="817"/>
      <c r="L4850" s="817"/>
    </row>
    <row r="4851" spans="1:12" ht="25.5">
      <c r="A4851" s="626" t="s">
        <v>12709</v>
      </c>
      <c r="B4851" s="627" t="s">
        <v>13051</v>
      </c>
      <c r="C4851" s="626" t="s">
        <v>8</v>
      </c>
      <c r="D4851" s="626" t="s">
        <v>9376</v>
      </c>
      <c r="E4851" s="628" t="s">
        <v>23</v>
      </c>
      <c r="F4851" s="816" t="s">
        <v>13691</v>
      </c>
      <c r="G4851" s="816"/>
      <c r="H4851" s="816">
        <v>0.47884369999999998</v>
      </c>
      <c r="I4851" s="816"/>
      <c r="J4851" s="817">
        <v>0.2394</v>
      </c>
      <c r="K4851" s="817"/>
      <c r="L4851" s="817"/>
    </row>
    <row r="4852" spans="1:12" ht="17.100000000000001" customHeight="1">
      <c r="A4852" s="626" t="s">
        <v>12709</v>
      </c>
      <c r="B4852" s="627" t="s">
        <v>13048</v>
      </c>
      <c r="C4852" s="626" t="s">
        <v>8</v>
      </c>
      <c r="D4852" s="626" t="s">
        <v>9233</v>
      </c>
      <c r="E4852" s="628" t="s">
        <v>23</v>
      </c>
      <c r="F4852" s="816" t="s">
        <v>13690</v>
      </c>
      <c r="G4852" s="816"/>
      <c r="H4852" s="816">
        <v>0.23942189999999999</v>
      </c>
      <c r="I4852" s="816"/>
      <c r="J4852" s="817">
        <v>0.2442</v>
      </c>
      <c r="K4852" s="817"/>
      <c r="L4852" s="817"/>
    </row>
    <row r="4853" spans="1:12" ht="24" customHeight="1">
      <c r="A4853" s="626" t="s">
        <v>12709</v>
      </c>
      <c r="B4853" s="627" t="s">
        <v>13047</v>
      </c>
      <c r="C4853" s="626" t="s">
        <v>8</v>
      </c>
      <c r="D4853" s="626" t="s">
        <v>9380</v>
      </c>
      <c r="E4853" s="628" t="s">
        <v>23</v>
      </c>
      <c r="F4853" s="816" t="s">
        <v>13689</v>
      </c>
      <c r="G4853" s="816"/>
      <c r="H4853" s="816">
        <v>0.23942189999999999</v>
      </c>
      <c r="I4853" s="816"/>
      <c r="J4853" s="817">
        <v>9.0999999999999998E-2</v>
      </c>
      <c r="K4853" s="817"/>
      <c r="L4853" s="817"/>
    </row>
    <row r="4854" spans="1:12" ht="24" customHeight="1">
      <c r="A4854" s="636"/>
      <c r="B4854" s="636"/>
      <c r="C4854" s="636"/>
      <c r="D4854" s="636"/>
      <c r="E4854" s="636"/>
      <c r="F4854" s="636"/>
      <c r="G4854" s="636"/>
      <c r="H4854" s="636"/>
      <c r="I4854" s="636"/>
      <c r="J4854" s="636" t="s">
        <v>13675</v>
      </c>
      <c r="K4854" s="636"/>
      <c r="L4854" s="636" t="s">
        <v>13741</v>
      </c>
    </row>
    <row r="4855" spans="1:12" ht="17.100000000000001" customHeight="1">
      <c r="A4855" s="802" t="s">
        <v>12710</v>
      </c>
      <c r="B4855" s="802"/>
      <c r="C4855" s="802"/>
      <c r="D4855" s="802"/>
      <c r="E4855" s="802"/>
      <c r="F4855" s="802"/>
      <c r="G4855" s="802"/>
      <c r="H4855" s="802"/>
      <c r="I4855" s="612"/>
      <c r="J4855" s="612"/>
      <c r="K4855" s="612"/>
      <c r="L4855" s="612"/>
    </row>
    <row r="4856" spans="1:12" ht="17.100000000000001" customHeight="1">
      <c r="A4856" s="612" t="s">
        <v>13679</v>
      </c>
      <c r="B4856" s="636" t="s">
        <v>12698</v>
      </c>
      <c r="C4856" s="612" t="s">
        <v>12699</v>
      </c>
      <c r="D4856" s="612" t="s">
        <v>12700</v>
      </c>
      <c r="E4856" s="637" t="s">
        <v>12702</v>
      </c>
      <c r="F4856" s="801" t="s">
        <v>12704</v>
      </c>
      <c r="G4856" s="801"/>
      <c r="H4856" s="801" t="s">
        <v>13678</v>
      </c>
      <c r="I4856" s="801"/>
      <c r="J4856" s="801" t="s">
        <v>12705</v>
      </c>
      <c r="K4856" s="801"/>
      <c r="L4856" s="801"/>
    </row>
    <row r="4857" spans="1:12" ht="17.100000000000001" customHeight="1">
      <c r="A4857" s="626" t="s">
        <v>12709</v>
      </c>
      <c r="B4857" s="627" t="s">
        <v>13116</v>
      </c>
      <c r="C4857" s="626" t="s">
        <v>8</v>
      </c>
      <c r="D4857" s="626" t="s">
        <v>10556</v>
      </c>
      <c r="E4857" s="628" t="s">
        <v>23</v>
      </c>
      <c r="F4857" s="816" t="s">
        <v>13770</v>
      </c>
      <c r="G4857" s="816"/>
      <c r="H4857" s="816">
        <v>4.6985199999999998E-2</v>
      </c>
      <c r="I4857" s="816"/>
      <c r="J4857" s="817">
        <v>0.22409999999999999</v>
      </c>
      <c r="K4857" s="817"/>
      <c r="L4857" s="817"/>
    </row>
    <row r="4858" spans="1:12" ht="17.100000000000001" customHeight="1">
      <c r="A4858" s="626" t="s">
        <v>12709</v>
      </c>
      <c r="B4858" s="627" t="s">
        <v>13099</v>
      </c>
      <c r="C4858" s="626" t="s">
        <v>8</v>
      </c>
      <c r="D4858" s="626" t="s">
        <v>10726</v>
      </c>
      <c r="E4858" s="628" t="s">
        <v>23</v>
      </c>
      <c r="F4858" s="816" t="s">
        <v>14470</v>
      </c>
      <c r="G4858" s="816"/>
      <c r="H4858" s="816">
        <v>0.48616409999999999</v>
      </c>
      <c r="I4858" s="816"/>
      <c r="J4858" s="817">
        <v>3.3593999999999999</v>
      </c>
      <c r="K4858" s="817"/>
      <c r="L4858" s="817"/>
    </row>
    <row r="4859" spans="1:12" ht="17.100000000000001" customHeight="1">
      <c r="A4859" s="626" t="s">
        <v>12709</v>
      </c>
      <c r="B4859" s="627" t="s">
        <v>13046</v>
      </c>
      <c r="C4859" s="626" t="s">
        <v>8</v>
      </c>
      <c r="D4859" s="626" t="s">
        <v>11281</v>
      </c>
      <c r="E4859" s="628" t="s">
        <v>23</v>
      </c>
      <c r="F4859" s="816" t="s">
        <v>13731</v>
      </c>
      <c r="G4859" s="816"/>
      <c r="H4859" s="816">
        <v>0.24308199999999999</v>
      </c>
      <c r="I4859" s="816"/>
      <c r="J4859" s="817">
        <v>1.2494000000000001</v>
      </c>
      <c r="K4859" s="817"/>
      <c r="L4859" s="817"/>
    </row>
    <row r="4860" spans="1:12" ht="17.100000000000001" customHeight="1">
      <c r="A4860" s="636"/>
      <c r="B4860" s="636"/>
      <c r="C4860" s="636"/>
      <c r="D4860" s="636"/>
      <c r="E4860" s="636"/>
      <c r="F4860" s="636"/>
      <c r="G4860" s="636"/>
      <c r="H4860" s="636"/>
      <c r="I4860" s="636"/>
      <c r="J4860" s="636" t="s">
        <v>13675</v>
      </c>
      <c r="K4860" s="636"/>
      <c r="L4860" s="636" t="s">
        <v>13754</v>
      </c>
    </row>
    <row r="4861" spans="1:12" ht="17.100000000000001" customHeight="1">
      <c r="A4861" s="802" t="s">
        <v>12720</v>
      </c>
      <c r="B4861" s="802"/>
      <c r="C4861" s="802"/>
      <c r="D4861" s="802"/>
      <c r="E4861" s="802"/>
      <c r="F4861" s="802"/>
      <c r="G4861" s="802"/>
      <c r="H4861" s="802"/>
      <c r="I4861" s="612"/>
      <c r="J4861" s="612"/>
      <c r="K4861" s="612"/>
      <c r="L4861" s="612"/>
    </row>
    <row r="4862" spans="1:12" ht="30" customHeight="1">
      <c r="A4862" s="612" t="s">
        <v>13679</v>
      </c>
      <c r="B4862" s="636" t="s">
        <v>12698</v>
      </c>
      <c r="C4862" s="612" t="s">
        <v>12699</v>
      </c>
      <c r="D4862" s="612" t="s">
        <v>12700</v>
      </c>
      <c r="E4862" s="637" t="s">
        <v>12702</v>
      </c>
      <c r="F4862" s="801" t="s">
        <v>12704</v>
      </c>
      <c r="G4862" s="801"/>
      <c r="H4862" s="801" t="s">
        <v>13678</v>
      </c>
      <c r="I4862" s="801"/>
      <c r="J4862" s="801" t="s">
        <v>12705</v>
      </c>
      <c r="K4862" s="801"/>
      <c r="L4862" s="801"/>
    </row>
    <row r="4863" spans="1:12" ht="60" customHeight="1">
      <c r="A4863" s="626" t="s">
        <v>12709</v>
      </c>
      <c r="B4863" s="627" t="s">
        <v>13608</v>
      </c>
      <c r="C4863" s="626" t="s">
        <v>8</v>
      </c>
      <c r="D4863" s="626" t="s">
        <v>7694</v>
      </c>
      <c r="E4863" s="628" t="s">
        <v>35</v>
      </c>
      <c r="F4863" s="816" t="s">
        <v>13853</v>
      </c>
      <c r="G4863" s="816"/>
      <c r="H4863" s="816">
        <v>13.35</v>
      </c>
      <c r="I4863" s="816"/>
      <c r="J4863" s="817">
        <v>18.690000000000001</v>
      </c>
      <c r="K4863" s="817"/>
      <c r="L4863" s="817"/>
    </row>
    <row r="4864" spans="1:12" ht="14.25" customHeight="1">
      <c r="A4864" s="626" t="s">
        <v>12709</v>
      </c>
      <c r="B4864" s="627" t="s">
        <v>13607</v>
      </c>
      <c r="C4864" s="626" t="s">
        <v>8</v>
      </c>
      <c r="D4864" s="626" t="s">
        <v>10792</v>
      </c>
      <c r="E4864" s="628" t="s">
        <v>12777</v>
      </c>
      <c r="F4864" s="816" t="s">
        <v>14710</v>
      </c>
      <c r="G4864" s="816"/>
      <c r="H4864" s="816">
        <v>5.0000000000000001E-3</v>
      </c>
      <c r="I4864" s="816"/>
      <c r="J4864" s="817">
        <v>0.16</v>
      </c>
      <c r="K4864" s="817"/>
      <c r="L4864" s="817"/>
    </row>
    <row r="4865" spans="1:12" ht="17.100000000000001" customHeight="1">
      <c r="A4865" s="626" t="s">
        <v>12709</v>
      </c>
      <c r="B4865" s="627" t="s">
        <v>13606</v>
      </c>
      <c r="C4865" s="626" t="s">
        <v>8</v>
      </c>
      <c r="D4865" s="626" t="s">
        <v>11651</v>
      </c>
      <c r="E4865" s="628" t="s">
        <v>17</v>
      </c>
      <c r="F4865" s="816" t="s">
        <v>13711</v>
      </c>
      <c r="G4865" s="816"/>
      <c r="H4865" s="816">
        <v>0.42</v>
      </c>
      <c r="I4865" s="816"/>
      <c r="J4865" s="817">
        <v>0.74</v>
      </c>
      <c r="K4865" s="817"/>
      <c r="L4865" s="817"/>
    </row>
    <row r="4866" spans="1:12" ht="36" customHeight="1">
      <c r="A4866" s="626" t="s">
        <v>12709</v>
      </c>
      <c r="B4866" s="627" t="s">
        <v>13250</v>
      </c>
      <c r="C4866" s="626" t="s">
        <v>8</v>
      </c>
      <c r="D4866" s="626" t="s">
        <v>7526</v>
      </c>
      <c r="E4866" s="628" t="s">
        <v>12730</v>
      </c>
      <c r="F4866" s="816" t="s">
        <v>13747</v>
      </c>
      <c r="G4866" s="816"/>
      <c r="H4866" s="816">
        <v>1.2034899999999999E-2</v>
      </c>
      <c r="I4866" s="816"/>
      <c r="J4866" s="817">
        <v>0.75219999999999998</v>
      </c>
      <c r="K4866" s="817"/>
      <c r="L4866" s="817"/>
    </row>
    <row r="4867" spans="1:12" ht="24" customHeight="1">
      <c r="A4867" s="626" t="s">
        <v>12709</v>
      </c>
      <c r="B4867" s="627" t="s">
        <v>13249</v>
      </c>
      <c r="C4867" s="626" t="s">
        <v>8</v>
      </c>
      <c r="D4867" s="626" t="s">
        <v>8420</v>
      </c>
      <c r="E4867" s="628" t="s">
        <v>20</v>
      </c>
      <c r="F4867" s="816" t="s">
        <v>13700</v>
      </c>
      <c r="G4867" s="816"/>
      <c r="H4867" s="816">
        <v>2.0320372</v>
      </c>
      <c r="I4867" s="816"/>
      <c r="J4867" s="817">
        <v>0.99570000000000003</v>
      </c>
      <c r="K4867" s="817"/>
      <c r="L4867" s="817"/>
    </row>
    <row r="4868" spans="1:12" ht="24" customHeight="1">
      <c r="A4868" s="626" t="s">
        <v>12709</v>
      </c>
      <c r="B4868" s="627" t="s">
        <v>13319</v>
      </c>
      <c r="C4868" s="626" t="s">
        <v>8</v>
      </c>
      <c r="D4868" s="626" t="s">
        <v>8160</v>
      </c>
      <c r="E4868" s="628" t="s">
        <v>20</v>
      </c>
      <c r="F4868" s="816" t="s">
        <v>13729</v>
      </c>
      <c r="G4868" s="816"/>
      <c r="H4868" s="816">
        <v>1.8062783</v>
      </c>
      <c r="I4868" s="816"/>
      <c r="J4868" s="817">
        <v>1.1198999999999999</v>
      </c>
      <c r="K4868" s="817"/>
      <c r="L4868" s="817"/>
    </row>
    <row r="4869" spans="1:12" ht="24" customHeight="1">
      <c r="A4869" s="626" t="s">
        <v>12709</v>
      </c>
      <c r="B4869" s="627" t="s">
        <v>12987</v>
      </c>
      <c r="C4869" s="626" t="s">
        <v>8</v>
      </c>
      <c r="D4869" s="626" t="s">
        <v>9192</v>
      </c>
      <c r="E4869" s="628" t="s">
        <v>12923</v>
      </c>
      <c r="F4869" s="816" t="s">
        <v>13999</v>
      </c>
      <c r="G4869" s="816"/>
      <c r="H4869" s="816">
        <v>1.36171E-2</v>
      </c>
      <c r="I4869" s="816"/>
      <c r="J4869" s="817">
        <v>1.0999999999999999E-2</v>
      </c>
      <c r="K4869" s="817"/>
      <c r="L4869" s="817"/>
    </row>
    <row r="4870" spans="1:12" ht="24" customHeight="1">
      <c r="A4870" s="636"/>
      <c r="B4870" s="636"/>
      <c r="C4870" s="636"/>
      <c r="D4870" s="636"/>
      <c r="E4870" s="636"/>
      <c r="F4870" s="636"/>
      <c r="G4870" s="636"/>
      <c r="H4870" s="636"/>
      <c r="I4870" s="636"/>
      <c r="J4870" s="636" t="s">
        <v>13675</v>
      </c>
      <c r="K4870" s="636"/>
      <c r="L4870" s="636" t="s">
        <v>14709</v>
      </c>
    </row>
    <row r="4871" spans="1:12" ht="24" customHeight="1">
      <c r="A4871" s="802" t="s">
        <v>12722</v>
      </c>
      <c r="B4871" s="802"/>
      <c r="C4871" s="802"/>
      <c r="D4871" s="802"/>
      <c r="E4871" s="802"/>
      <c r="F4871" s="802"/>
      <c r="G4871" s="802"/>
      <c r="H4871" s="802"/>
      <c r="I4871" s="612"/>
      <c r="J4871" s="612"/>
      <c r="K4871" s="612"/>
      <c r="L4871" s="612"/>
    </row>
    <row r="4872" spans="1:12" ht="24" customHeight="1">
      <c r="A4872" s="612" t="s">
        <v>13679</v>
      </c>
      <c r="B4872" s="636" t="s">
        <v>12698</v>
      </c>
      <c r="C4872" s="612" t="s">
        <v>12699</v>
      </c>
      <c r="D4872" s="612" t="s">
        <v>12700</v>
      </c>
      <c r="E4872" s="637" t="s">
        <v>12702</v>
      </c>
      <c r="F4872" s="801" t="s">
        <v>12704</v>
      </c>
      <c r="G4872" s="801"/>
      <c r="H4872" s="801" t="s">
        <v>13678</v>
      </c>
      <c r="I4872" s="801"/>
      <c r="J4872" s="801" t="s">
        <v>12705</v>
      </c>
      <c r="K4872" s="801"/>
      <c r="L4872" s="801"/>
    </row>
    <row r="4873" spans="1:12" ht="17.100000000000001" customHeight="1">
      <c r="A4873" s="626" t="s">
        <v>12709</v>
      </c>
      <c r="B4873" s="627" t="s">
        <v>12998</v>
      </c>
      <c r="C4873" s="626" t="s">
        <v>8</v>
      </c>
      <c r="D4873" s="626" t="s">
        <v>11861</v>
      </c>
      <c r="E4873" s="628" t="s">
        <v>23</v>
      </c>
      <c r="F4873" s="816" t="s">
        <v>13683</v>
      </c>
      <c r="G4873" s="816"/>
      <c r="H4873" s="816">
        <v>0.76495290000000005</v>
      </c>
      <c r="I4873" s="816"/>
      <c r="J4873" s="817">
        <v>0.54310000000000003</v>
      </c>
      <c r="K4873" s="817"/>
      <c r="L4873" s="817"/>
    </row>
    <row r="4874" spans="1:12" ht="14.25" customHeight="1">
      <c r="A4874" s="636"/>
      <c r="B4874" s="636"/>
      <c r="C4874" s="636"/>
      <c r="D4874" s="636"/>
      <c r="E4874" s="636"/>
      <c r="F4874" s="636"/>
      <c r="G4874" s="636"/>
      <c r="H4874" s="636"/>
      <c r="I4874" s="636"/>
      <c r="J4874" s="636" t="s">
        <v>13675</v>
      </c>
      <c r="K4874" s="636"/>
      <c r="L4874" s="636" t="s">
        <v>13872</v>
      </c>
    </row>
    <row r="4875" spans="1:12" ht="17.100000000000001" customHeight="1">
      <c r="A4875" s="802" t="s">
        <v>12713</v>
      </c>
      <c r="B4875" s="802"/>
      <c r="C4875" s="802"/>
      <c r="D4875" s="802"/>
      <c r="E4875" s="802"/>
      <c r="F4875" s="802"/>
      <c r="G4875" s="802"/>
      <c r="H4875" s="802"/>
      <c r="I4875" s="612"/>
      <c r="J4875" s="612"/>
      <c r="K4875" s="612"/>
      <c r="L4875" s="612"/>
    </row>
    <row r="4876" spans="1:12" ht="24" customHeight="1">
      <c r="A4876" s="612" t="s">
        <v>13679</v>
      </c>
      <c r="B4876" s="636" t="s">
        <v>12698</v>
      </c>
      <c r="C4876" s="612" t="s">
        <v>12699</v>
      </c>
      <c r="D4876" s="612" t="s">
        <v>12700</v>
      </c>
      <c r="E4876" s="637" t="s">
        <v>12702</v>
      </c>
      <c r="F4876" s="801" t="s">
        <v>12704</v>
      </c>
      <c r="G4876" s="801"/>
      <c r="H4876" s="801" t="s">
        <v>13678</v>
      </c>
      <c r="I4876" s="801"/>
      <c r="J4876" s="801" t="s">
        <v>12705</v>
      </c>
      <c r="K4876" s="801"/>
      <c r="L4876" s="801"/>
    </row>
    <row r="4877" spans="1:12" ht="24" customHeight="1">
      <c r="A4877" s="626" t="s">
        <v>12709</v>
      </c>
      <c r="B4877" s="627" t="s">
        <v>12999</v>
      </c>
      <c r="C4877" s="626" t="s">
        <v>8</v>
      </c>
      <c r="D4877" s="626" t="s">
        <v>11251</v>
      </c>
      <c r="E4877" s="628" t="s">
        <v>23</v>
      </c>
      <c r="F4877" s="816" t="s">
        <v>13681</v>
      </c>
      <c r="G4877" s="816"/>
      <c r="H4877" s="816">
        <v>0.76495290000000005</v>
      </c>
      <c r="I4877" s="816"/>
      <c r="J4877" s="817">
        <v>5.3499999999999999E-2</v>
      </c>
      <c r="K4877" s="817"/>
      <c r="L4877" s="817"/>
    </row>
    <row r="4878" spans="1:12" ht="24" customHeight="1">
      <c r="A4878" s="636"/>
      <c r="B4878" s="636"/>
      <c r="C4878" s="636"/>
      <c r="D4878" s="636"/>
      <c r="E4878" s="636"/>
      <c r="F4878" s="636"/>
      <c r="G4878" s="636"/>
      <c r="H4878" s="636"/>
      <c r="I4878" s="636"/>
      <c r="J4878" s="636" t="s">
        <v>13675</v>
      </c>
      <c r="K4878" s="636"/>
      <c r="L4878" s="636" t="s">
        <v>13767</v>
      </c>
    </row>
    <row r="4879" spans="1:12" ht="17.100000000000001" customHeight="1">
      <c r="A4879" s="802" t="s">
        <v>12712</v>
      </c>
      <c r="B4879" s="802"/>
      <c r="C4879" s="802"/>
      <c r="D4879" s="802"/>
      <c r="E4879" s="802"/>
      <c r="F4879" s="802"/>
      <c r="G4879" s="802"/>
      <c r="H4879" s="802"/>
      <c r="I4879" s="612"/>
      <c r="J4879" s="612"/>
      <c r="K4879" s="612"/>
      <c r="L4879" s="612"/>
    </row>
    <row r="4880" spans="1:12">
      <c r="A4880" s="612" t="s">
        <v>13679</v>
      </c>
      <c r="B4880" s="636" t="s">
        <v>12698</v>
      </c>
      <c r="C4880" s="612" t="s">
        <v>12699</v>
      </c>
      <c r="D4880" s="612" t="s">
        <v>12700</v>
      </c>
      <c r="E4880" s="637" t="s">
        <v>12702</v>
      </c>
      <c r="F4880" s="801" t="s">
        <v>12704</v>
      </c>
      <c r="G4880" s="801"/>
      <c r="H4880" s="801" t="s">
        <v>13678</v>
      </c>
      <c r="I4880" s="801"/>
      <c r="J4880" s="801" t="s">
        <v>12705</v>
      </c>
      <c r="K4880" s="801"/>
      <c r="L4880" s="801"/>
    </row>
    <row r="4881" spans="1:12" ht="17.100000000000001" customHeight="1">
      <c r="A4881" s="626" t="s">
        <v>12709</v>
      </c>
      <c r="B4881" s="627" t="s">
        <v>13002</v>
      </c>
      <c r="C4881" s="626" t="s">
        <v>8</v>
      </c>
      <c r="D4881" s="626" t="s">
        <v>9306</v>
      </c>
      <c r="E4881" s="628" t="s">
        <v>23</v>
      </c>
      <c r="F4881" s="816" t="s">
        <v>13677</v>
      </c>
      <c r="G4881" s="816"/>
      <c r="H4881" s="816">
        <v>0.76495290000000005</v>
      </c>
      <c r="I4881" s="816"/>
      <c r="J4881" s="817">
        <v>0.26769999999999999</v>
      </c>
      <c r="K4881" s="817"/>
      <c r="L4881" s="817"/>
    </row>
    <row r="4882" spans="1:12" ht="24" customHeight="1">
      <c r="A4882" s="626" t="s">
        <v>12709</v>
      </c>
      <c r="B4882" s="627" t="s">
        <v>13004</v>
      </c>
      <c r="C4882" s="626" t="s">
        <v>8</v>
      </c>
      <c r="D4882" s="626" t="s">
        <v>7388</v>
      </c>
      <c r="E4882" s="628" t="s">
        <v>23</v>
      </c>
      <c r="F4882" s="816" t="s">
        <v>13676</v>
      </c>
      <c r="G4882" s="816"/>
      <c r="H4882" s="816">
        <v>0.76495290000000005</v>
      </c>
      <c r="I4882" s="816"/>
      <c r="J4882" s="817">
        <v>1.6829000000000001</v>
      </c>
      <c r="K4882" s="817"/>
      <c r="L4882" s="817"/>
    </row>
    <row r="4883" spans="1:12" ht="24" customHeight="1">
      <c r="A4883" s="636"/>
      <c r="B4883" s="636"/>
      <c r="C4883" s="636"/>
      <c r="D4883" s="636"/>
      <c r="E4883" s="636"/>
      <c r="F4883" s="636"/>
      <c r="G4883" s="636"/>
      <c r="H4883" s="636"/>
      <c r="I4883" s="636"/>
      <c r="J4883" s="636" t="s">
        <v>13675</v>
      </c>
      <c r="K4883" s="636"/>
      <c r="L4883" s="636" t="s">
        <v>14099</v>
      </c>
    </row>
    <row r="4884" spans="1:12" ht="24" customHeight="1">
      <c r="A4884" s="612" t="s">
        <v>13673</v>
      </c>
      <c r="B4884" s="612"/>
      <c r="C4884" s="612"/>
      <c r="D4884" s="612"/>
      <c r="E4884" s="612"/>
      <c r="F4884" s="612"/>
      <c r="G4884" s="612"/>
      <c r="H4884" s="612"/>
      <c r="I4884" s="612"/>
      <c r="J4884" s="612"/>
      <c r="K4884" s="612"/>
      <c r="L4884" s="612"/>
    </row>
    <row r="4885" spans="1:12" ht="24" customHeight="1">
      <c r="A4885" s="636"/>
      <c r="B4885" s="636"/>
      <c r="C4885" s="636"/>
      <c r="D4885" s="636"/>
      <c r="E4885" s="636"/>
      <c r="F4885" s="636"/>
      <c r="G4885" s="636"/>
      <c r="H4885" s="636"/>
      <c r="I4885" s="636"/>
      <c r="J4885" s="636" t="s">
        <v>13672</v>
      </c>
      <c r="K4885" s="636"/>
      <c r="L4885" s="636" t="s">
        <v>15083</v>
      </c>
    </row>
    <row r="4886" spans="1:12" ht="17.100000000000001" customHeight="1">
      <c r="A4886" s="636"/>
      <c r="B4886" s="636"/>
      <c r="C4886" s="636"/>
      <c r="D4886" s="636"/>
      <c r="E4886" s="636"/>
      <c r="F4886" s="636"/>
      <c r="G4886" s="636"/>
      <c r="H4886" s="636"/>
      <c r="I4886" s="636"/>
      <c r="J4886" s="636" t="s">
        <v>13671</v>
      </c>
      <c r="K4886" s="636" t="s">
        <v>14461</v>
      </c>
      <c r="L4886" s="636" t="s">
        <v>14939</v>
      </c>
    </row>
    <row r="4887" spans="1:12">
      <c r="A4887" s="636"/>
      <c r="B4887" s="636"/>
      <c r="C4887" s="636"/>
      <c r="D4887" s="636"/>
      <c r="E4887" s="636"/>
      <c r="F4887" s="636"/>
      <c r="G4887" s="636"/>
      <c r="H4887" s="636"/>
      <c r="I4887" s="636"/>
      <c r="J4887" s="636" t="s">
        <v>13670</v>
      </c>
      <c r="K4887" s="636"/>
      <c r="L4887" s="636" t="s">
        <v>15084</v>
      </c>
    </row>
    <row r="4888" spans="1:12" ht="17.100000000000001" customHeight="1">
      <c r="A4888" s="636"/>
      <c r="B4888" s="636"/>
      <c r="C4888" s="636"/>
      <c r="D4888" s="636"/>
      <c r="E4888" s="636"/>
      <c r="F4888" s="636"/>
      <c r="G4888" s="636"/>
      <c r="H4888" s="636"/>
      <c r="I4888" s="636"/>
      <c r="J4888" s="636" t="s">
        <v>13669</v>
      </c>
      <c r="K4888" s="636" t="s">
        <v>13667</v>
      </c>
      <c r="L4888" s="636" t="s">
        <v>15085</v>
      </c>
    </row>
    <row r="4889" spans="1:12" ht="24" customHeight="1">
      <c r="A4889" s="636"/>
      <c r="B4889" s="636"/>
      <c r="C4889" s="636"/>
      <c r="D4889" s="636"/>
      <c r="E4889" s="636"/>
      <c r="F4889" s="636"/>
      <c r="G4889" s="636"/>
      <c r="H4889" s="636"/>
      <c r="I4889" s="636"/>
      <c r="J4889" s="636" t="s">
        <v>13668</v>
      </c>
      <c r="K4889" s="636"/>
      <c r="L4889" s="636" t="s">
        <v>14922</v>
      </c>
    </row>
    <row r="4890" spans="1:12" ht="17.100000000000001" customHeight="1">
      <c r="A4890" s="637"/>
      <c r="B4890" s="637"/>
      <c r="C4890" s="637"/>
      <c r="D4890" s="637"/>
      <c r="E4890" s="637"/>
      <c r="F4890" s="637"/>
      <c r="G4890" s="637"/>
      <c r="H4890" s="637"/>
      <c r="I4890" s="637"/>
      <c r="J4890" s="637"/>
      <c r="K4890" s="637"/>
      <c r="L4890" s="637"/>
    </row>
    <row r="4891" spans="1:12" ht="51">
      <c r="A4891" s="616" t="s">
        <v>14098</v>
      </c>
      <c r="B4891" s="617" t="s">
        <v>13573</v>
      </c>
      <c r="C4891" s="616" t="s">
        <v>8</v>
      </c>
      <c r="D4891" s="616" t="s">
        <v>233</v>
      </c>
      <c r="E4891" s="618" t="s">
        <v>12725</v>
      </c>
      <c r="F4891" s="617"/>
      <c r="G4891" s="617"/>
      <c r="H4891" s="617"/>
      <c r="I4891" s="617"/>
      <c r="J4891" s="617"/>
      <c r="K4891" s="617"/>
      <c r="L4891" s="617"/>
    </row>
    <row r="4892" spans="1:12" ht="17.100000000000001" customHeight="1">
      <c r="A4892" s="802" t="s">
        <v>12711</v>
      </c>
      <c r="B4892" s="802"/>
      <c r="C4892" s="802"/>
      <c r="D4892" s="802"/>
      <c r="E4892" s="802"/>
      <c r="F4892" s="802"/>
      <c r="G4892" s="802"/>
      <c r="H4892" s="802"/>
      <c r="I4892" s="612"/>
      <c r="J4892" s="612"/>
      <c r="K4892" s="612"/>
      <c r="L4892" s="612"/>
    </row>
    <row r="4893" spans="1:12" ht="24" customHeight="1">
      <c r="A4893" s="612" t="s">
        <v>13679</v>
      </c>
      <c r="B4893" s="636" t="s">
        <v>12698</v>
      </c>
      <c r="C4893" s="612" t="s">
        <v>12699</v>
      </c>
      <c r="D4893" s="612" t="s">
        <v>12700</v>
      </c>
      <c r="E4893" s="637" t="s">
        <v>12702</v>
      </c>
      <c r="F4893" s="801" t="s">
        <v>12704</v>
      </c>
      <c r="G4893" s="801"/>
      <c r="H4893" s="801" t="s">
        <v>13678</v>
      </c>
      <c r="I4893" s="801"/>
      <c r="J4893" s="801" t="s">
        <v>12705</v>
      </c>
      <c r="K4893" s="801"/>
      <c r="L4893" s="801"/>
    </row>
    <row r="4894" spans="1:12" ht="17.100000000000001" customHeight="1">
      <c r="A4894" s="626" t="s">
        <v>12709</v>
      </c>
      <c r="B4894" s="627" t="s">
        <v>13302</v>
      </c>
      <c r="C4894" s="626" t="s">
        <v>8</v>
      </c>
      <c r="D4894" s="626" t="s">
        <v>7676</v>
      </c>
      <c r="E4894" s="628" t="s">
        <v>35</v>
      </c>
      <c r="F4894" s="816" t="s">
        <v>14526</v>
      </c>
      <c r="G4894" s="816"/>
      <c r="H4894" s="816">
        <v>1.5999999999999999E-6</v>
      </c>
      <c r="I4894" s="816"/>
      <c r="J4894" s="817">
        <v>5.7999999999999996E-3</v>
      </c>
      <c r="K4894" s="817"/>
      <c r="L4894" s="817"/>
    </row>
    <row r="4895" spans="1:12" ht="25.5">
      <c r="A4895" s="626" t="s">
        <v>12709</v>
      </c>
      <c r="B4895" s="627" t="s">
        <v>13003</v>
      </c>
      <c r="C4895" s="626" t="s">
        <v>8</v>
      </c>
      <c r="D4895" s="626" t="s">
        <v>9227</v>
      </c>
      <c r="E4895" s="628" t="s">
        <v>23</v>
      </c>
      <c r="F4895" s="816" t="s">
        <v>13732</v>
      </c>
      <c r="G4895" s="816"/>
      <c r="H4895" s="816">
        <v>1.8082399999999998E-2</v>
      </c>
      <c r="I4895" s="816"/>
      <c r="J4895" s="817">
        <v>1.1900000000000001E-2</v>
      </c>
      <c r="K4895" s="817"/>
      <c r="L4895" s="817"/>
    </row>
    <row r="4896" spans="1:12" ht="17.100000000000001" customHeight="1">
      <c r="A4896" s="626" t="s">
        <v>12709</v>
      </c>
      <c r="B4896" s="627" t="s">
        <v>13001</v>
      </c>
      <c r="C4896" s="626" t="s">
        <v>8</v>
      </c>
      <c r="D4896" s="626" t="s">
        <v>9374</v>
      </c>
      <c r="E4896" s="628" t="s">
        <v>23</v>
      </c>
      <c r="F4896" s="816" t="s">
        <v>13728</v>
      </c>
      <c r="G4896" s="816"/>
      <c r="H4896" s="816">
        <v>1.8082399999999998E-2</v>
      </c>
      <c r="I4896" s="816"/>
      <c r="J4896" s="817">
        <v>2.0000000000000001E-4</v>
      </c>
      <c r="K4896" s="817"/>
      <c r="L4896" s="817"/>
    </row>
    <row r="4897" spans="1:12" ht="24" customHeight="1">
      <c r="A4897" s="626" t="s">
        <v>12709</v>
      </c>
      <c r="B4897" s="627" t="s">
        <v>13052</v>
      </c>
      <c r="C4897" s="626" t="s">
        <v>8</v>
      </c>
      <c r="D4897" s="626" t="s">
        <v>9229</v>
      </c>
      <c r="E4897" s="628" t="s">
        <v>23</v>
      </c>
      <c r="F4897" s="816" t="s">
        <v>13692</v>
      </c>
      <c r="G4897" s="816"/>
      <c r="H4897" s="816">
        <v>0.1823787</v>
      </c>
      <c r="I4897" s="816"/>
      <c r="J4897" s="817">
        <v>0.17510000000000001</v>
      </c>
      <c r="K4897" s="817"/>
      <c r="L4897" s="817"/>
    </row>
    <row r="4898" spans="1:12" ht="24" customHeight="1">
      <c r="A4898" s="626" t="s">
        <v>12709</v>
      </c>
      <c r="B4898" s="627" t="s">
        <v>13051</v>
      </c>
      <c r="C4898" s="626" t="s">
        <v>8</v>
      </c>
      <c r="D4898" s="626" t="s">
        <v>9376</v>
      </c>
      <c r="E4898" s="628" t="s">
        <v>23</v>
      </c>
      <c r="F4898" s="816" t="s">
        <v>13691</v>
      </c>
      <c r="G4898" s="816"/>
      <c r="H4898" s="816">
        <v>0.1823787</v>
      </c>
      <c r="I4898" s="816"/>
      <c r="J4898" s="817">
        <v>9.1200000000000003E-2</v>
      </c>
      <c r="K4898" s="817"/>
      <c r="L4898" s="817"/>
    </row>
    <row r="4899" spans="1:12" ht="17.100000000000001" customHeight="1">
      <c r="A4899" s="626" t="s">
        <v>12709</v>
      </c>
      <c r="B4899" s="627" t="s">
        <v>13048</v>
      </c>
      <c r="C4899" s="626" t="s">
        <v>8</v>
      </c>
      <c r="D4899" s="626" t="s">
        <v>9233</v>
      </c>
      <c r="E4899" s="628" t="s">
        <v>23</v>
      </c>
      <c r="F4899" s="816" t="s">
        <v>13690</v>
      </c>
      <c r="G4899" s="816"/>
      <c r="H4899" s="816">
        <v>9.0691099999999997E-2</v>
      </c>
      <c r="I4899" s="816"/>
      <c r="J4899" s="817">
        <v>9.2499999999999999E-2</v>
      </c>
      <c r="K4899" s="817"/>
      <c r="L4899" s="817"/>
    </row>
    <row r="4900" spans="1:12" ht="17.100000000000001" customHeight="1">
      <c r="A4900" s="626" t="s">
        <v>12709</v>
      </c>
      <c r="B4900" s="627" t="s">
        <v>13047</v>
      </c>
      <c r="C4900" s="626" t="s">
        <v>8</v>
      </c>
      <c r="D4900" s="626" t="s">
        <v>9380</v>
      </c>
      <c r="E4900" s="628" t="s">
        <v>23</v>
      </c>
      <c r="F4900" s="816" t="s">
        <v>13689</v>
      </c>
      <c r="G4900" s="816"/>
      <c r="H4900" s="816">
        <v>9.0691099999999997E-2</v>
      </c>
      <c r="I4900" s="816"/>
      <c r="J4900" s="817">
        <v>3.4500000000000003E-2</v>
      </c>
      <c r="K4900" s="817"/>
      <c r="L4900" s="817"/>
    </row>
    <row r="4901" spans="1:12" ht="17.100000000000001" customHeight="1">
      <c r="A4901" s="636"/>
      <c r="B4901" s="636"/>
      <c r="C4901" s="636"/>
      <c r="D4901" s="636"/>
      <c r="E4901" s="636"/>
      <c r="F4901" s="636"/>
      <c r="G4901" s="636"/>
      <c r="H4901" s="636"/>
      <c r="I4901" s="636"/>
      <c r="J4901" s="636" t="s">
        <v>13675</v>
      </c>
      <c r="K4901" s="636"/>
      <c r="L4901" s="636" t="s">
        <v>13905</v>
      </c>
    </row>
    <row r="4902" spans="1:12" ht="17.100000000000001" customHeight="1">
      <c r="A4902" s="802" t="s">
        <v>12710</v>
      </c>
      <c r="B4902" s="802"/>
      <c r="C4902" s="802"/>
      <c r="D4902" s="802"/>
      <c r="E4902" s="802"/>
      <c r="F4902" s="802"/>
      <c r="G4902" s="802"/>
      <c r="H4902" s="802"/>
      <c r="I4902" s="612"/>
      <c r="J4902" s="612"/>
      <c r="K4902" s="612"/>
      <c r="L4902" s="612"/>
    </row>
    <row r="4903" spans="1:12" ht="17.100000000000001" customHeight="1">
      <c r="A4903" s="612" t="s">
        <v>13679</v>
      </c>
      <c r="B4903" s="636" t="s">
        <v>12698</v>
      </c>
      <c r="C4903" s="612" t="s">
        <v>12699</v>
      </c>
      <c r="D4903" s="612" t="s">
        <v>12700</v>
      </c>
      <c r="E4903" s="637" t="s">
        <v>12702</v>
      </c>
      <c r="F4903" s="801" t="s">
        <v>12704</v>
      </c>
      <c r="G4903" s="801"/>
      <c r="H4903" s="801" t="s">
        <v>13678</v>
      </c>
      <c r="I4903" s="801"/>
      <c r="J4903" s="801" t="s">
        <v>12705</v>
      </c>
      <c r="K4903" s="801"/>
      <c r="L4903" s="801"/>
    </row>
    <row r="4904" spans="1:12" ht="17.100000000000001" customHeight="1">
      <c r="A4904" s="626" t="s">
        <v>12709</v>
      </c>
      <c r="B4904" s="627" t="s">
        <v>13116</v>
      </c>
      <c r="C4904" s="626" t="s">
        <v>8</v>
      </c>
      <c r="D4904" s="626" t="s">
        <v>10556</v>
      </c>
      <c r="E4904" s="628" t="s">
        <v>23</v>
      </c>
      <c r="F4904" s="816" t="s">
        <v>13770</v>
      </c>
      <c r="G4904" s="816"/>
      <c r="H4904" s="816">
        <v>1.8182500000000001E-2</v>
      </c>
      <c r="I4904" s="816"/>
      <c r="J4904" s="817">
        <v>8.6699999999999999E-2</v>
      </c>
      <c r="K4904" s="817"/>
      <c r="L4904" s="817"/>
    </row>
    <row r="4905" spans="1:12" ht="17.100000000000001" customHeight="1">
      <c r="A4905" s="626" t="s">
        <v>12709</v>
      </c>
      <c r="B4905" s="627" t="s">
        <v>13099</v>
      </c>
      <c r="C4905" s="626" t="s">
        <v>8</v>
      </c>
      <c r="D4905" s="626" t="s">
        <v>10726</v>
      </c>
      <c r="E4905" s="628" t="s">
        <v>23</v>
      </c>
      <c r="F4905" s="816" t="s">
        <v>14470</v>
      </c>
      <c r="G4905" s="816"/>
      <c r="H4905" s="816">
        <v>0.18501100000000001</v>
      </c>
      <c r="I4905" s="816"/>
      <c r="J4905" s="817">
        <v>1.2784</v>
      </c>
      <c r="K4905" s="817"/>
      <c r="L4905" s="817"/>
    </row>
    <row r="4906" spans="1:12" ht="30" customHeight="1">
      <c r="A4906" s="626" t="s">
        <v>12709</v>
      </c>
      <c r="B4906" s="627" t="s">
        <v>13046</v>
      </c>
      <c r="C4906" s="626" t="s">
        <v>8</v>
      </c>
      <c r="D4906" s="626" t="s">
        <v>11281</v>
      </c>
      <c r="E4906" s="628" t="s">
        <v>23</v>
      </c>
      <c r="F4906" s="816" t="s">
        <v>13731</v>
      </c>
      <c r="G4906" s="816"/>
      <c r="H4906" s="816">
        <v>9.1999999999999998E-2</v>
      </c>
      <c r="I4906" s="816"/>
      <c r="J4906" s="817">
        <v>0.47289999999999999</v>
      </c>
      <c r="K4906" s="817"/>
      <c r="L4906" s="817"/>
    </row>
    <row r="4907" spans="1:12" ht="24" customHeight="1">
      <c r="A4907" s="636"/>
      <c r="B4907" s="636"/>
      <c r="C4907" s="636"/>
      <c r="D4907" s="636"/>
      <c r="E4907" s="636"/>
      <c r="F4907" s="636"/>
      <c r="G4907" s="636"/>
      <c r="H4907" s="636"/>
      <c r="I4907" s="636"/>
      <c r="J4907" s="636" t="s">
        <v>13675</v>
      </c>
      <c r="K4907" s="636"/>
      <c r="L4907" s="636" t="s">
        <v>14599</v>
      </c>
    </row>
    <row r="4908" spans="1:12" ht="14.25" customHeight="1">
      <c r="A4908" s="802" t="s">
        <v>12720</v>
      </c>
      <c r="B4908" s="802"/>
      <c r="C4908" s="802"/>
      <c r="D4908" s="802"/>
      <c r="E4908" s="802"/>
      <c r="F4908" s="802"/>
      <c r="G4908" s="802"/>
      <c r="H4908" s="802"/>
      <c r="I4908" s="612"/>
      <c r="J4908" s="612"/>
      <c r="K4908" s="612"/>
      <c r="L4908" s="612"/>
    </row>
    <row r="4909" spans="1:12" ht="17.100000000000001" customHeight="1">
      <c r="A4909" s="612" t="s">
        <v>13679</v>
      </c>
      <c r="B4909" s="636" t="s">
        <v>12698</v>
      </c>
      <c r="C4909" s="612" t="s">
        <v>12699</v>
      </c>
      <c r="D4909" s="612" t="s">
        <v>12700</v>
      </c>
      <c r="E4909" s="637" t="s">
        <v>12702</v>
      </c>
      <c r="F4909" s="801" t="s">
        <v>12704</v>
      </c>
      <c r="G4909" s="801"/>
      <c r="H4909" s="801" t="s">
        <v>13678</v>
      </c>
      <c r="I4909" s="801"/>
      <c r="J4909" s="801" t="s">
        <v>12705</v>
      </c>
      <c r="K4909" s="801"/>
      <c r="L4909" s="801"/>
    </row>
    <row r="4910" spans="1:12" ht="24" customHeight="1">
      <c r="A4910" s="626" t="s">
        <v>12709</v>
      </c>
      <c r="B4910" s="627" t="s">
        <v>13249</v>
      </c>
      <c r="C4910" s="626" t="s">
        <v>8</v>
      </c>
      <c r="D4910" s="626" t="s">
        <v>8420</v>
      </c>
      <c r="E4910" s="628" t="s">
        <v>20</v>
      </c>
      <c r="F4910" s="816" t="s">
        <v>13700</v>
      </c>
      <c r="G4910" s="816"/>
      <c r="H4910" s="816">
        <v>1.7851769</v>
      </c>
      <c r="I4910" s="816"/>
      <c r="J4910" s="817">
        <v>0.87470000000000003</v>
      </c>
      <c r="K4910" s="817"/>
      <c r="L4910" s="817"/>
    </row>
    <row r="4911" spans="1:12" ht="24" customHeight="1">
      <c r="A4911" s="626" t="s">
        <v>12709</v>
      </c>
      <c r="B4911" s="627" t="s">
        <v>13315</v>
      </c>
      <c r="C4911" s="626" t="s">
        <v>8</v>
      </c>
      <c r="D4911" s="626" t="s">
        <v>7525</v>
      </c>
      <c r="E4911" s="628" t="s">
        <v>12730</v>
      </c>
      <c r="F4911" s="816" t="s">
        <v>14519</v>
      </c>
      <c r="G4911" s="816"/>
      <c r="H4911" s="816">
        <v>3.9765E-3</v>
      </c>
      <c r="I4911" s="816"/>
      <c r="J4911" s="817">
        <v>0.26440000000000002</v>
      </c>
      <c r="K4911" s="817"/>
      <c r="L4911" s="817"/>
    </row>
    <row r="4912" spans="1:12" ht="24" customHeight="1">
      <c r="A4912" s="626" t="s">
        <v>12709</v>
      </c>
      <c r="B4912" s="627" t="s">
        <v>12987</v>
      </c>
      <c r="C4912" s="626" t="s">
        <v>8</v>
      </c>
      <c r="D4912" s="626" t="s">
        <v>9192</v>
      </c>
      <c r="E4912" s="628" t="s">
        <v>12923</v>
      </c>
      <c r="F4912" s="816" t="s">
        <v>13999</v>
      </c>
      <c r="G4912" s="816"/>
      <c r="H4912" s="816">
        <v>5.2845000000000001E-3</v>
      </c>
      <c r="I4912" s="816"/>
      <c r="J4912" s="817">
        <v>4.3E-3</v>
      </c>
      <c r="K4912" s="817"/>
      <c r="L4912" s="817"/>
    </row>
    <row r="4913" spans="1:12" ht="24" customHeight="1">
      <c r="A4913" s="636"/>
      <c r="B4913" s="636"/>
      <c r="C4913" s="636"/>
      <c r="D4913" s="636"/>
      <c r="E4913" s="636"/>
      <c r="F4913" s="636"/>
      <c r="G4913" s="636"/>
      <c r="H4913" s="636"/>
      <c r="I4913" s="636"/>
      <c r="J4913" s="636" t="s">
        <v>13675</v>
      </c>
      <c r="K4913" s="636"/>
      <c r="L4913" s="636" t="s">
        <v>14182</v>
      </c>
    </row>
    <row r="4914" spans="1:12" ht="17.100000000000001" customHeight="1">
      <c r="A4914" s="802" t="s">
        <v>12722</v>
      </c>
      <c r="B4914" s="802"/>
      <c r="C4914" s="802"/>
      <c r="D4914" s="802"/>
      <c r="E4914" s="802"/>
      <c r="F4914" s="802"/>
      <c r="G4914" s="802"/>
      <c r="H4914" s="802"/>
      <c r="I4914" s="612"/>
      <c r="J4914" s="612"/>
      <c r="K4914" s="612"/>
      <c r="L4914" s="612"/>
    </row>
    <row r="4915" spans="1:12" ht="14.25" customHeight="1">
      <c r="A4915" s="612" t="s">
        <v>13679</v>
      </c>
      <c r="B4915" s="636" t="s">
        <v>12698</v>
      </c>
      <c r="C4915" s="612" t="s">
        <v>12699</v>
      </c>
      <c r="D4915" s="612" t="s">
        <v>12700</v>
      </c>
      <c r="E4915" s="637" t="s">
        <v>12702</v>
      </c>
      <c r="F4915" s="801" t="s">
        <v>12704</v>
      </c>
      <c r="G4915" s="801"/>
      <c r="H4915" s="801" t="s">
        <v>13678</v>
      </c>
      <c r="I4915" s="801"/>
      <c r="J4915" s="801" t="s">
        <v>12705</v>
      </c>
      <c r="K4915" s="801"/>
      <c r="L4915" s="801"/>
    </row>
    <row r="4916" spans="1:12" ht="17.100000000000001" customHeight="1">
      <c r="A4916" s="626" t="s">
        <v>12709</v>
      </c>
      <c r="B4916" s="627" t="s">
        <v>12998</v>
      </c>
      <c r="C4916" s="626" t="s">
        <v>8</v>
      </c>
      <c r="D4916" s="626" t="s">
        <v>11861</v>
      </c>
      <c r="E4916" s="628" t="s">
        <v>23</v>
      </c>
      <c r="F4916" s="816" t="s">
        <v>13683</v>
      </c>
      <c r="G4916" s="816"/>
      <c r="H4916" s="816">
        <v>0.29115220000000003</v>
      </c>
      <c r="I4916" s="816"/>
      <c r="J4916" s="817">
        <v>0.20669999999999999</v>
      </c>
      <c r="K4916" s="817"/>
      <c r="L4916" s="817"/>
    </row>
    <row r="4917" spans="1:12" ht="24" customHeight="1">
      <c r="A4917" s="636"/>
      <c r="B4917" s="636"/>
      <c r="C4917" s="636"/>
      <c r="D4917" s="636"/>
      <c r="E4917" s="636"/>
      <c r="F4917" s="636"/>
      <c r="G4917" s="636"/>
      <c r="H4917" s="636"/>
      <c r="I4917" s="636"/>
      <c r="J4917" s="636" t="s">
        <v>13675</v>
      </c>
      <c r="K4917" s="636"/>
      <c r="L4917" s="636" t="s">
        <v>13775</v>
      </c>
    </row>
    <row r="4918" spans="1:12" ht="24" customHeight="1">
      <c r="A4918" s="802" t="s">
        <v>12713</v>
      </c>
      <c r="B4918" s="802"/>
      <c r="C4918" s="802"/>
      <c r="D4918" s="802"/>
      <c r="E4918" s="802"/>
      <c r="F4918" s="802"/>
      <c r="G4918" s="802"/>
      <c r="H4918" s="802"/>
      <c r="I4918" s="612"/>
      <c r="J4918" s="612"/>
      <c r="K4918" s="612"/>
      <c r="L4918" s="612"/>
    </row>
    <row r="4919" spans="1:12" ht="17.100000000000001" customHeight="1">
      <c r="A4919" s="612" t="s">
        <v>13679</v>
      </c>
      <c r="B4919" s="636" t="s">
        <v>12698</v>
      </c>
      <c r="C4919" s="612" t="s">
        <v>12699</v>
      </c>
      <c r="D4919" s="612" t="s">
        <v>12700</v>
      </c>
      <c r="E4919" s="637" t="s">
        <v>12702</v>
      </c>
      <c r="F4919" s="801" t="s">
        <v>12704</v>
      </c>
      <c r="G4919" s="801"/>
      <c r="H4919" s="801" t="s">
        <v>13678</v>
      </c>
      <c r="I4919" s="801"/>
      <c r="J4919" s="801" t="s">
        <v>12705</v>
      </c>
      <c r="K4919" s="801"/>
      <c r="L4919" s="801"/>
    </row>
    <row r="4920" spans="1:12" ht="25.5">
      <c r="A4920" s="626" t="s">
        <v>12709</v>
      </c>
      <c r="B4920" s="627" t="s">
        <v>12999</v>
      </c>
      <c r="C4920" s="626" t="s">
        <v>8</v>
      </c>
      <c r="D4920" s="626" t="s">
        <v>11251</v>
      </c>
      <c r="E4920" s="628" t="s">
        <v>23</v>
      </c>
      <c r="F4920" s="816" t="s">
        <v>13681</v>
      </c>
      <c r="G4920" s="816"/>
      <c r="H4920" s="816">
        <v>0.29115220000000003</v>
      </c>
      <c r="I4920" s="816"/>
      <c r="J4920" s="817">
        <v>2.0400000000000001E-2</v>
      </c>
      <c r="K4920" s="817"/>
      <c r="L4920" s="817"/>
    </row>
    <row r="4921" spans="1:12" ht="17.100000000000001" customHeight="1">
      <c r="A4921" s="636"/>
      <c r="B4921" s="636"/>
      <c r="C4921" s="636"/>
      <c r="D4921" s="636"/>
      <c r="E4921" s="636"/>
      <c r="F4921" s="636"/>
      <c r="G4921" s="636"/>
      <c r="H4921" s="636"/>
      <c r="I4921" s="636"/>
      <c r="J4921" s="636" t="s">
        <v>13675</v>
      </c>
      <c r="K4921" s="636"/>
      <c r="L4921" s="636" t="s">
        <v>13680</v>
      </c>
    </row>
    <row r="4922" spans="1:12" ht="24" customHeight="1">
      <c r="A4922" s="802" t="s">
        <v>12712</v>
      </c>
      <c r="B4922" s="802"/>
      <c r="C4922" s="802"/>
      <c r="D4922" s="802"/>
      <c r="E4922" s="802"/>
      <c r="F4922" s="802"/>
      <c r="G4922" s="802"/>
      <c r="H4922" s="802"/>
      <c r="I4922" s="612"/>
      <c r="J4922" s="612"/>
      <c r="K4922" s="612"/>
      <c r="L4922" s="612"/>
    </row>
    <row r="4923" spans="1:12" ht="17.100000000000001" customHeight="1">
      <c r="A4923" s="612" t="s">
        <v>13679</v>
      </c>
      <c r="B4923" s="636" t="s">
        <v>12698</v>
      </c>
      <c r="C4923" s="612" t="s">
        <v>12699</v>
      </c>
      <c r="D4923" s="612" t="s">
        <v>12700</v>
      </c>
      <c r="E4923" s="637" t="s">
        <v>12702</v>
      </c>
      <c r="F4923" s="801" t="s">
        <v>12704</v>
      </c>
      <c r="G4923" s="801"/>
      <c r="H4923" s="801" t="s">
        <v>13678</v>
      </c>
      <c r="I4923" s="801"/>
      <c r="J4923" s="801" t="s">
        <v>12705</v>
      </c>
      <c r="K4923" s="801"/>
      <c r="L4923" s="801"/>
    </row>
    <row r="4924" spans="1:12" ht="25.5">
      <c r="A4924" s="626" t="s">
        <v>12709</v>
      </c>
      <c r="B4924" s="627" t="s">
        <v>13002</v>
      </c>
      <c r="C4924" s="626" t="s">
        <v>8</v>
      </c>
      <c r="D4924" s="626" t="s">
        <v>9306</v>
      </c>
      <c r="E4924" s="628" t="s">
        <v>23</v>
      </c>
      <c r="F4924" s="816" t="s">
        <v>13677</v>
      </c>
      <c r="G4924" s="816"/>
      <c r="H4924" s="816">
        <v>0.29115220000000003</v>
      </c>
      <c r="I4924" s="816"/>
      <c r="J4924" s="817">
        <v>0.1019</v>
      </c>
      <c r="K4924" s="817"/>
      <c r="L4924" s="817"/>
    </row>
    <row r="4925" spans="1:12" ht="17.100000000000001" customHeight="1">
      <c r="A4925" s="626" t="s">
        <v>12709</v>
      </c>
      <c r="B4925" s="627" t="s">
        <v>13004</v>
      </c>
      <c r="C4925" s="626" t="s">
        <v>8</v>
      </c>
      <c r="D4925" s="626" t="s">
        <v>7388</v>
      </c>
      <c r="E4925" s="628" t="s">
        <v>23</v>
      </c>
      <c r="F4925" s="816" t="s">
        <v>13676</v>
      </c>
      <c r="G4925" s="816"/>
      <c r="H4925" s="816">
        <v>0.29115220000000003</v>
      </c>
      <c r="I4925" s="816"/>
      <c r="J4925" s="817">
        <v>0.64049999999999996</v>
      </c>
      <c r="K4925" s="817"/>
      <c r="L4925" s="817"/>
    </row>
    <row r="4926" spans="1:12" ht="24" customHeight="1">
      <c r="A4926" s="636"/>
      <c r="B4926" s="636"/>
      <c r="C4926" s="636"/>
      <c r="D4926" s="636"/>
      <c r="E4926" s="636"/>
      <c r="F4926" s="636"/>
      <c r="G4926" s="636"/>
      <c r="H4926" s="636"/>
      <c r="I4926" s="636"/>
      <c r="J4926" s="636" t="s">
        <v>13675</v>
      </c>
      <c r="K4926" s="636"/>
      <c r="L4926" s="636" t="s">
        <v>13720</v>
      </c>
    </row>
    <row r="4927" spans="1:12" ht="17.100000000000001" customHeight="1">
      <c r="A4927" s="612" t="s">
        <v>13673</v>
      </c>
      <c r="B4927" s="612"/>
      <c r="C4927" s="612"/>
      <c r="D4927" s="612"/>
      <c r="E4927" s="612"/>
      <c r="F4927" s="612"/>
      <c r="G4927" s="612"/>
      <c r="H4927" s="612"/>
      <c r="I4927" s="612"/>
      <c r="J4927" s="612"/>
      <c r="K4927" s="612"/>
      <c r="L4927" s="612"/>
    </row>
    <row r="4928" spans="1:12">
      <c r="A4928" s="636"/>
      <c r="B4928" s="636"/>
      <c r="C4928" s="636"/>
      <c r="D4928" s="636"/>
      <c r="E4928" s="636"/>
      <c r="F4928" s="636"/>
      <c r="G4928" s="636"/>
      <c r="H4928" s="636"/>
      <c r="I4928" s="636"/>
      <c r="J4928" s="636" t="s">
        <v>13672</v>
      </c>
      <c r="K4928" s="636"/>
      <c r="L4928" s="636" t="s">
        <v>15179</v>
      </c>
    </row>
    <row r="4929" spans="1:12" ht="17.100000000000001" customHeight="1">
      <c r="A4929" s="636"/>
      <c r="B4929" s="636"/>
      <c r="C4929" s="636"/>
      <c r="D4929" s="636"/>
      <c r="E4929" s="636"/>
      <c r="F4929" s="636"/>
      <c r="G4929" s="636"/>
      <c r="H4929" s="636"/>
      <c r="I4929" s="636"/>
      <c r="J4929" s="636" t="s">
        <v>13671</v>
      </c>
      <c r="K4929" s="636" t="s">
        <v>14461</v>
      </c>
      <c r="L4929" s="636" t="s">
        <v>14895</v>
      </c>
    </row>
    <row r="4930" spans="1:12" ht="24" customHeight="1">
      <c r="A4930" s="636"/>
      <c r="B4930" s="636"/>
      <c r="C4930" s="636"/>
      <c r="D4930" s="636"/>
      <c r="E4930" s="636"/>
      <c r="F4930" s="636"/>
      <c r="G4930" s="636"/>
      <c r="H4930" s="636"/>
      <c r="I4930" s="636"/>
      <c r="J4930" s="636" t="s">
        <v>13670</v>
      </c>
      <c r="K4930" s="636"/>
      <c r="L4930" s="636" t="s">
        <v>15180</v>
      </c>
    </row>
    <row r="4931" spans="1:12" ht="17.100000000000001" customHeight="1">
      <c r="A4931" s="636"/>
      <c r="B4931" s="636"/>
      <c r="C4931" s="636"/>
      <c r="D4931" s="636"/>
      <c r="E4931" s="636"/>
      <c r="F4931" s="636"/>
      <c r="G4931" s="636"/>
      <c r="H4931" s="636"/>
      <c r="I4931" s="636"/>
      <c r="J4931" s="636" t="s">
        <v>13669</v>
      </c>
      <c r="K4931" s="636" t="s">
        <v>13667</v>
      </c>
      <c r="L4931" s="636" t="s">
        <v>15181</v>
      </c>
    </row>
    <row r="4932" spans="1:12">
      <c r="A4932" s="636"/>
      <c r="B4932" s="636"/>
      <c r="C4932" s="636"/>
      <c r="D4932" s="636"/>
      <c r="E4932" s="636"/>
      <c r="F4932" s="636"/>
      <c r="G4932" s="636"/>
      <c r="H4932" s="636"/>
      <c r="I4932" s="636"/>
      <c r="J4932" s="636" t="s">
        <v>13668</v>
      </c>
      <c r="K4932" s="636"/>
      <c r="L4932" s="636" t="s">
        <v>15182</v>
      </c>
    </row>
    <row r="4933" spans="1:12" ht="17.100000000000001" customHeight="1">
      <c r="A4933" s="637"/>
      <c r="B4933" s="637"/>
      <c r="C4933" s="637"/>
      <c r="D4933" s="637"/>
      <c r="E4933" s="637"/>
      <c r="F4933" s="637"/>
      <c r="G4933" s="637"/>
      <c r="H4933" s="637"/>
      <c r="I4933" s="637"/>
      <c r="J4933" s="637"/>
      <c r="K4933" s="637"/>
      <c r="L4933" s="637"/>
    </row>
    <row r="4934" spans="1:12" ht="24" customHeight="1">
      <c r="A4934" s="616" t="s">
        <v>14096</v>
      </c>
      <c r="B4934" s="617" t="s">
        <v>13571</v>
      </c>
      <c r="C4934" s="616" t="s">
        <v>8</v>
      </c>
      <c r="D4934" s="616" t="s">
        <v>1369</v>
      </c>
      <c r="E4934" s="618" t="s">
        <v>12725</v>
      </c>
      <c r="F4934" s="617"/>
      <c r="G4934" s="617"/>
      <c r="H4934" s="617"/>
      <c r="I4934" s="617"/>
      <c r="J4934" s="617"/>
      <c r="K4934" s="617"/>
      <c r="L4934" s="617"/>
    </row>
    <row r="4935" spans="1:12" ht="24" customHeight="1">
      <c r="A4935" s="802" t="s">
        <v>12711</v>
      </c>
      <c r="B4935" s="802"/>
      <c r="C4935" s="802"/>
      <c r="D4935" s="802"/>
      <c r="E4935" s="802"/>
      <c r="F4935" s="802"/>
      <c r="G4935" s="802"/>
      <c r="H4935" s="802"/>
      <c r="I4935" s="612"/>
      <c r="J4935" s="612"/>
      <c r="K4935" s="612"/>
      <c r="L4935" s="612"/>
    </row>
    <row r="4936" spans="1:12" ht="17.100000000000001" customHeight="1">
      <c r="A4936" s="612" t="s">
        <v>13679</v>
      </c>
      <c r="B4936" s="636" t="s">
        <v>12698</v>
      </c>
      <c r="C4936" s="612" t="s">
        <v>12699</v>
      </c>
      <c r="D4936" s="612" t="s">
        <v>12700</v>
      </c>
      <c r="E4936" s="637" t="s">
        <v>12702</v>
      </c>
      <c r="F4936" s="801" t="s">
        <v>12704</v>
      </c>
      <c r="G4936" s="801"/>
      <c r="H4936" s="801" t="s">
        <v>13678</v>
      </c>
      <c r="I4936" s="801"/>
      <c r="J4936" s="801" t="s">
        <v>12705</v>
      </c>
      <c r="K4936" s="801"/>
      <c r="L4936" s="801"/>
    </row>
    <row r="4937" spans="1:12" ht="17.100000000000001" customHeight="1">
      <c r="A4937" s="626" t="s">
        <v>12709</v>
      </c>
      <c r="B4937" s="627" t="s">
        <v>13302</v>
      </c>
      <c r="C4937" s="626" t="s">
        <v>8</v>
      </c>
      <c r="D4937" s="626" t="s">
        <v>7676</v>
      </c>
      <c r="E4937" s="628" t="s">
        <v>35</v>
      </c>
      <c r="F4937" s="816" t="s">
        <v>14526</v>
      </c>
      <c r="G4937" s="816"/>
      <c r="H4937" s="816">
        <v>1.45E-5</v>
      </c>
      <c r="I4937" s="816"/>
      <c r="J4937" s="817">
        <v>5.2499999999999998E-2</v>
      </c>
      <c r="K4937" s="817"/>
      <c r="L4937" s="817"/>
    </row>
    <row r="4938" spans="1:12" ht="17.100000000000001" customHeight="1">
      <c r="A4938" s="626" t="s">
        <v>12709</v>
      </c>
      <c r="B4938" s="627" t="s">
        <v>13003</v>
      </c>
      <c r="C4938" s="626" t="s">
        <v>8</v>
      </c>
      <c r="D4938" s="626" t="s">
        <v>9227</v>
      </c>
      <c r="E4938" s="628" t="s">
        <v>23</v>
      </c>
      <c r="F4938" s="816" t="s">
        <v>13732</v>
      </c>
      <c r="G4938" s="816"/>
      <c r="H4938" s="816">
        <v>0.1690334</v>
      </c>
      <c r="I4938" s="816"/>
      <c r="J4938" s="817">
        <v>0.1116</v>
      </c>
      <c r="K4938" s="817"/>
      <c r="L4938" s="817"/>
    </row>
    <row r="4939" spans="1:12" ht="17.100000000000001" customHeight="1">
      <c r="A4939" s="626" t="s">
        <v>12709</v>
      </c>
      <c r="B4939" s="627" t="s">
        <v>13001</v>
      </c>
      <c r="C4939" s="626" t="s">
        <v>8</v>
      </c>
      <c r="D4939" s="626" t="s">
        <v>9374</v>
      </c>
      <c r="E4939" s="628" t="s">
        <v>23</v>
      </c>
      <c r="F4939" s="816" t="s">
        <v>13728</v>
      </c>
      <c r="G4939" s="816"/>
      <c r="H4939" s="816">
        <v>0.1690334</v>
      </c>
      <c r="I4939" s="816"/>
      <c r="J4939" s="817">
        <v>1.6999999999999999E-3</v>
      </c>
      <c r="K4939" s="817"/>
      <c r="L4939" s="817"/>
    </row>
    <row r="4940" spans="1:12" ht="17.100000000000001" customHeight="1">
      <c r="A4940" s="626" t="s">
        <v>12709</v>
      </c>
      <c r="B4940" s="627" t="s">
        <v>13052</v>
      </c>
      <c r="C4940" s="626" t="s">
        <v>8</v>
      </c>
      <c r="D4940" s="626" t="s">
        <v>9229</v>
      </c>
      <c r="E4940" s="628" t="s">
        <v>23</v>
      </c>
      <c r="F4940" s="816" t="s">
        <v>13692</v>
      </c>
      <c r="G4940" s="816"/>
      <c r="H4940" s="816">
        <v>0.46953729999999999</v>
      </c>
      <c r="I4940" s="816"/>
      <c r="J4940" s="817">
        <v>0.45079999999999998</v>
      </c>
      <c r="K4940" s="817"/>
      <c r="L4940" s="817"/>
    </row>
    <row r="4941" spans="1:12" ht="17.100000000000001" customHeight="1">
      <c r="A4941" s="626" t="s">
        <v>12709</v>
      </c>
      <c r="B4941" s="627" t="s">
        <v>13051</v>
      </c>
      <c r="C4941" s="626" t="s">
        <v>8</v>
      </c>
      <c r="D4941" s="626" t="s">
        <v>9376</v>
      </c>
      <c r="E4941" s="628" t="s">
        <v>23</v>
      </c>
      <c r="F4941" s="816" t="s">
        <v>13691</v>
      </c>
      <c r="G4941" s="816"/>
      <c r="H4941" s="816">
        <v>0.46953729999999999</v>
      </c>
      <c r="I4941" s="816"/>
      <c r="J4941" s="817">
        <v>0.23480000000000001</v>
      </c>
      <c r="K4941" s="817"/>
      <c r="L4941" s="817"/>
    </row>
    <row r="4942" spans="1:12" ht="17.100000000000001" customHeight="1">
      <c r="A4942" s="626" t="s">
        <v>12709</v>
      </c>
      <c r="B4942" s="627" t="s">
        <v>13048</v>
      </c>
      <c r="C4942" s="626" t="s">
        <v>8</v>
      </c>
      <c r="D4942" s="626" t="s">
        <v>9233</v>
      </c>
      <c r="E4942" s="628" t="s">
        <v>23</v>
      </c>
      <c r="F4942" s="816" t="s">
        <v>13690</v>
      </c>
      <c r="G4942" s="816"/>
      <c r="H4942" s="816">
        <v>0.1708317</v>
      </c>
      <c r="I4942" s="816"/>
      <c r="J4942" s="817">
        <v>0.17419999999999999</v>
      </c>
      <c r="K4942" s="817"/>
      <c r="L4942" s="817"/>
    </row>
    <row r="4943" spans="1:12" ht="30" customHeight="1">
      <c r="A4943" s="626" t="s">
        <v>12709</v>
      </c>
      <c r="B4943" s="627" t="s">
        <v>13047</v>
      </c>
      <c r="C4943" s="626" t="s">
        <v>8</v>
      </c>
      <c r="D4943" s="626" t="s">
        <v>9380</v>
      </c>
      <c r="E4943" s="628" t="s">
        <v>23</v>
      </c>
      <c r="F4943" s="816" t="s">
        <v>13689</v>
      </c>
      <c r="G4943" s="816"/>
      <c r="H4943" s="816">
        <v>0.1708317</v>
      </c>
      <c r="I4943" s="816"/>
      <c r="J4943" s="817">
        <v>6.4899999999999999E-2</v>
      </c>
      <c r="K4943" s="817"/>
      <c r="L4943" s="817"/>
    </row>
    <row r="4944" spans="1:12" ht="48" customHeight="1">
      <c r="A4944" s="636"/>
      <c r="B4944" s="636"/>
      <c r="C4944" s="636"/>
      <c r="D4944" s="636"/>
      <c r="E4944" s="636"/>
      <c r="F4944" s="636"/>
      <c r="G4944" s="636"/>
      <c r="H4944" s="636"/>
      <c r="I4944" s="636"/>
      <c r="J4944" s="636" t="s">
        <v>13675</v>
      </c>
      <c r="K4944" s="636"/>
      <c r="L4944" s="636" t="s">
        <v>13897</v>
      </c>
    </row>
    <row r="4945" spans="1:12" ht="14.25" customHeight="1">
      <c r="A4945" s="802" t="s">
        <v>12710</v>
      </c>
      <c r="B4945" s="802"/>
      <c r="C4945" s="802"/>
      <c r="D4945" s="802"/>
      <c r="E4945" s="802"/>
      <c r="F4945" s="802"/>
      <c r="G4945" s="802"/>
      <c r="H4945" s="802"/>
      <c r="I4945" s="612"/>
      <c r="J4945" s="612"/>
      <c r="K4945" s="612"/>
      <c r="L4945" s="612"/>
    </row>
    <row r="4946" spans="1:12" ht="17.100000000000001" customHeight="1">
      <c r="A4946" s="612" t="s">
        <v>13679</v>
      </c>
      <c r="B4946" s="636" t="s">
        <v>12698</v>
      </c>
      <c r="C4946" s="612" t="s">
        <v>12699</v>
      </c>
      <c r="D4946" s="612" t="s">
        <v>12700</v>
      </c>
      <c r="E4946" s="637" t="s">
        <v>12702</v>
      </c>
      <c r="F4946" s="801" t="s">
        <v>12704</v>
      </c>
      <c r="G4946" s="801"/>
      <c r="H4946" s="801" t="s">
        <v>13678</v>
      </c>
      <c r="I4946" s="801"/>
      <c r="J4946" s="801" t="s">
        <v>12705</v>
      </c>
      <c r="K4946" s="801"/>
      <c r="L4946" s="801"/>
    </row>
    <row r="4947" spans="1:12" ht="36" customHeight="1">
      <c r="A4947" s="626" t="s">
        <v>12709</v>
      </c>
      <c r="B4947" s="627" t="s">
        <v>13116</v>
      </c>
      <c r="C4947" s="626" t="s">
        <v>8</v>
      </c>
      <c r="D4947" s="626" t="s">
        <v>10556</v>
      </c>
      <c r="E4947" s="628" t="s">
        <v>23</v>
      </c>
      <c r="F4947" s="816" t="s">
        <v>13770</v>
      </c>
      <c r="G4947" s="816"/>
      <c r="H4947" s="816">
        <v>0.16986329999999999</v>
      </c>
      <c r="I4947" s="816"/>
      <c r="J4947" s="817">
        <v>0.81020000000000003</v>
      </c>
      <c r="K4947" s="817"/>
      <c r="L4947" s="817"/>
    </row>
    <row r="4948" spans="1:12" ht="24" customHeight="1">
      <c r="A4948" s="626" t="s">
        <v>12709</v>
      </c>
      <c r="B4948" s="627" t="s">
        <v>13099</v>
      </c>
      <c r="C4948" s="626" t="s">
        <v>8</v>
      </c>
      <c r="D4948" s="626" t="s">
        <v>10726</v>
      </c>
      <c r="E4948" s="628" t="s">
        <v>23</v>
      </c>
      <c r="F4948" s="816" t="s">
        <v>14470</v>
      </c>
      <c r="G4948" s="816"/>
      <c r="H4948" s="816">
        <v>0.4760182</v>
      </c>
      <c r="I4948" s="816"/>
      <c r="J4948" s="817">
        <v>3.2892999999999999</v>
      </c>
      <c r="K4948" s="817"/>
      <c r="L4948" s="817"/>
    </row>
    <row r="4949" spans="1:12" ht="24" customHeight="1">
      <c r="A4949" s="626" t="s">
        <v>12709</v>
      </c>
      <c r="B4949" s="627" t="s">
        <v>13046</v>
      </c>
      <c r="C4949" s="626" t="s">
        <v>8</v>
      </c>
      <c r="D4949" s="626" t="s">
        <v>11281</v>
      </c>
      <c r="E4949" s="628" t="s">
        <v>23</v>
      </c>
      <c r="F4949" s="816" t="s">
        <v>13731</v>
      </c>
      <c r="G4949" s="816"/>
      <c r="H4949" s="816">
        <v>0.1731896</v>
      </c>
      <c r="I4949" s="816"/>
      <c r="J4949" s="817">
        <v>0.89019999999999999</v>
      </c>
      <c r="K4949" s="817"/>
      <c r="L4949" s="817"/>
    </row>
    <row r="4950" spans="1:12" ht="17.100000000000001" customHeight="1">
      <c r="A4950" s="636"/>
      <c r="B4950" s="636"/>
      <c r="C4950" s="636"/>
      <c r="D4950" s="636"/>
      <c r="E4950" s="636"/>
      <c r="F4950" s="636"/>
      <c r="G4950" s="636"/>
      <c r="H4950" s="636"/>
      <c r="I4950" s="636"/>
      <c r="J4950" s="636" t="s">
        <v>13675</v>
      </c>
      <c r="K4950" s="636"/>
      <c r="L4950" s="636" t="s">
        <v>14708</v>
      </c>
    </row>
    <row r="4951" spans="1:12" ht="14.25" customHeight="1">
      <c r="A4951" s="802" t="s">
        <v>12720</v>
      </c>
      <c r="B4951" s="802"/>
      <c r="C4951" s="802"/>
      <c r="D4951" s="802"/>
      <c r="E4951" s="802"/>
      <c r="F4951" s="802"/>
      <c r="G4951" s="802"/>
      <c r="H4951" s="802"/>
      <c r="I4951" s="612"/>
      <c r="J4951" s="612"/>
      <c r="K4951" s="612"/>
      <c r="L4951" s="612"/>
    </row>
    <row r="4952" spans="1:12" ht="17.100000000000001" customHeight="1">
      <c r="A4952" s="612" t="s">
        <v>13679</v>
      </c>
      <c r="B4952" s="636" t="s">
        <v>12698</v>
      </c>
      <c r="C4952" s="612" t="s">
        <v>12699</v>
      </c>
      <c r="D4952" s="612" t="s">
        <v>12700</v>
      </c>
      <c r="E4952" s="637" t="s">
        <v>12702</v>
      </c>
      <c r="F4952" s="801" t="s">
        <v>12704</v>
      </c>
      <c r="G4952" s="801"/>
      <c r="H4952" s="801" t="s">
        <v>13678</v>
      </c>
      <c r="I4952" s="801"/>
      <c r="J4952" s="801" t="s">
        <v>12705</v>
      </c>
      <c r="K4952" s="801"/>
      <c r="L4952" s="801"/>
    </row>
    <row r="4953" spans="1:12" ht="24" customHeight="1">
      <c r="A4953" s="626" t="s">
        <v>12709</v>
      </c>
      <c r="B4953" s="627" t="s">
        <v>13250</v>
      </c>
      <c r="C4953" s="626" t="s">
        <v>8</v>
      </c>
      <c r="D4953" s="626" t="s">
        <v>7526</v>
      </c>
      <c r="E4953" s="628" t="s">
        <v>12730</v>
      </c>
      <c r="F4953" s="816" t="s">
        <v>13747</v>
      </c>
      <c r="G4953" s="816"/>
      <c r="H4953" s="816">
        <v>4.3573099999999997E-2</v>
      </c>
      <c r="I4953" s="816"/>
      <c r="J4953" s="817">
        <v>2.7233000000000001</v>
      </c>
      <c r="K4953" s="817"/>
      <c r="L4953" s="817"/>
    </row>
    <row r="4954" spans="1:12" ht="17.100000000000001" customHeight="1">
      <c r="A4954" s="626" t="s">
        <v>12709</v>
      </c>
      <c r="B4954" s="627" t="s">
        <v>13249</v>
      </c>
      <c r="C4954" s="626" t="s">
        <v>8</v>
      </c>
      <c r="D4954" s="626" t="s">
        <v>8420</v>
      </c>
      <c r="E4954" s="628" t="s">
        <v>20</v>
      </c>
      <c r="F4954" s="816" t="s">
        <v>13700</v>
      </c>
      <c r="G4954" s="816"/>
      <c r="H4954" s="816">
        <v>7.3570858000000001</v>
      </c>
      <c r="I4954" s="816"/>
      <c r="J4954" s="817">
        <v>3.605</v>
      </c>
      <c r="K4954" s="817"/>
      <c r="L4954" s="817"/>
    </row>
    <row r="4955" spans="1:12" ht="25.5">
      <c r="A4955" s="626" t="s">
        <v>12709</v>
      </c>
      <c r="B4955" s="627" t="s">
        <v>13319</v>
      </c>
      <c r="C4955" s="626" t="s">
        <v>8</v>
      </c>
      <c r="D4955" s="626" t="s">
        <v>8160</v>
      </c>
      <c r="E4955" s="628" t="s">
        <v>20</v>
      </c>
      <c r="F4955" s="816" t="s">
        <v>13729</v>
      </c>
      <c r="G4955" s="816"/>
      <c r="H4955" s="816">
        <v>6.5397153000000001</v>
      </c>
      <c r="I4955" s="816"/>
      <c r="J4955" s="817">
        <v>4.0545999999999998</v>
      </c>
      <c r="K4955" s="817"/>
      <c r="L4955" s="817"/>
    </row>
    <row r="4956" spans="1:12" ht="17.100000000000001" customHeight="1">
      <c r="A4956" s="626" t="s">
        <v>12709</v>
      </c>
      <c r="B4956" s="627" t="s">
        <v>12987</v>
      </c>
      <c r="C4956" s="626" t="s">
        <v>8</v>
      </c>
      <c r="D4956" s="626" t="s">
        <v>9192</v>
      </c>
      <c r="E4956" s="628" t="s">
        <v>12923</v>
      </c>
      <c r="F4956" s="816" t="s">
        <v>13999</v>
      </c>
      <c r="G4956" s="816"/>
      <c r="H4956" s="816">
        <v>4.9301400000000002E-2</v>
      </c>
      <c r="I4956" s="816"/>
      <c r="J4956" s="817">
        <v>3.9899999999999998E-2</v>
      </c>
      <c r="K4956" s="817"/>
      <c r="L4956" s="817"/>
    </row>
    <row r="4957" spans="1:12" ht="24" customHeight="1">
      <c r="A4957" s="636"/>
      <c r="B4957" s="636"/>
      <c r="C4957" s="636"/>
      <c r="D4957" s="636"/>
      <c r="E4957" s="636"/>
      <c r="F4957" s="636"/>
      <c r="G4957" s="636"/>
      <c r="H4957" s="636"/>
      <c r="I4957" s="636"/>
      <c r="J4957" s="636" t="s">
        <v>13675</v>
      </c>
      <c r="K4957" s="636"/>
      <c r="L4957" s="636" t="s">
        <v>14707</v>
      </c>
    </row>
    <row r="4958" spans="1:12" ht="24" customHeight="1">
      <c r="A4958" s="802" t="s">
        <v>12722</v>
      </c>
      <c r="B4958" s="802"/>
      <c r="C4958" s="802"/>
      <c r="D4958" s="802"/>
      <c r="E4958" s="802"/>
      <c r="F4958" s="802"/>
      <c r="G4958" s="802"/>
      <c r="H4958" s="802"/>
      <c r="I4958" s="612"/>
      <c r="J4958" s="612"/>
      <c r="K4958" s="612"/>
      <c r="L4958" s="612"/>
    </row>
    <row r="4959" spans="1:12" ht="24" customHeight="1">
      <c r="A4959" s="612" t="s">
        <v>13679</v>
      </c>
      <c r="B4959" s="636" t="s">
        <v>12698</v>
      </c>
      <c r="C4959" s="612" t="s">
        <v>12699</v>
      </c>
      <c r="D4959" s="612" t="s">
        <v>12700</v>
      </c>
      <c r="E4959" s="637" t="s">
        <v>12702</v>
      </c>
      <c r="F4959" s="801" t="s">
        <v>12704</v>
      </c>
      <c r="G4959" s="801"/>
      <c r="H4959" s="801" t="s">
        <v>13678</v>
      </c>
      <c r="I4959" s="801"/>
      <c r="J4959" s="801" t="s">
        <v>12705</v>
      </c>
      <c r="K4959" s="801"/>
      <c r="L4959" s="801"/>
    </row>
    <row r="4960" spans="1:12" ht="17.100000000000001" customHeight="1">
      <c r="A4960" s="626" t="s">
        <v>12709</v>
      </c>
      <c r="B4960" s="627" t="s">
        <v>12998</v>
      </c>
      <c r="C4960" s="626" t="s">
        <v>8</v>
      </c>
      <c r="D4960" s="626" t="s">
        <v>11861</v>
      </c>
      <c r="E4960" s="628" t="s">
        <v>23</v>
      </c>
      <c r="F4960" s="816" t="s">
        <v>13683</v>
      </c>
      <c r="G4960" s="816"/>
      <c r="H4960" s="816">
        <v>0.80940239999999997</v>
      </c>
      <c r="I4960" s="816"/>
      <c r="J4960" s="817">
        <v>0.57469999999999999</v>
      </c>
      <c r="K4960" s="817"/>
      <c r="L4960" s="817"/>
    </row>
    <row r="4961" spans="1:12">
      <c r="A4961" s="636"/>
      <c r="B4961" s="636"/>
      <c r="C4961" s="636"/>
      <c r="D4961" s="636"/>
      <c r="E4961" s="636"/>
      <c r="F4961" s="636"/>
      <c r="G4961" s="636"/>
      <c r="H4961" s="636"/>
      <c r="I4961" s="636"/>
      <c r="J4961" s="636" t="s">
        <v>13675</v>
      </c>
      <c r="K4961" s="636"/>
      <c r="L4961" s="636" t="s">
        <v>13849</v>
      </c>
    </row>
    <row r="4962" spans="1:12" ht="17.100000000000001" customHeight="1">
      <c r="A4962" s="802" t="s">
        <v>12713</v>
      </c>
      <c r="B4962" s="802"/>
      <c r="C4962" s="802"/>
      <c r="D4962" s="802"/>
      <c r="E4962" s="802"/>
      <c r="F4962" s="802"/>
      <c r="G4962" s="802"/>
      <c r="H4962" s="802"/>
      <c r="I4962" s="612"/>
      <c r="J4962" s="612"/>
      <c r="K4962" s="612"/>
      <c r="L4962" s="612"/>
    </row>
    <row r="4963" spans="1:12" ht="24" customHeight="1">
      <c r="A4963" s="612" t="s">
        <v>13679</v>
      </c>
      <c r="B4963" s="636" t="s">
        <v>12698</v>
      </c>
      <c r="C4963" s="612" t="s">
        <v>12699</v>
      </c>
      <c r="D4963" s="612" t="s">
        <v>12700</v>
      </c>
      <c r="E4963" s="637" t="s">
        <v>12702</v>
      </c>
      <c r="F4963" s="801" t="s">
        <v>12704</v>
      </c>
      <c r="G4963" s="801"/>
      <c r="H4963" s="801" t="s">
        <v>13678</v>
      </c>
      <c r="I4963" s="801"/>
      <c r="J4963" s="801" t="s">
        <v>12705</v>
      </c>
      <c r="K4963" s="801"/>
      <c r="L4963" s="801"/>
    </row>
    <row r="4964" spans="1:12" ht="17.100000000000001" customHeight="1">
      <c r="A4964" s="626" t="s">
        <v>12709</v>
      </c>
      <c r="B4964" s="627" t="s">
        <v>12999</v>
      </c>
      <c r="C4964" s="626" t="s">
        <v>8</v>
      </c>
      <c r="D4964" s="626" t="s">
        <v>11251</v>
      </c>
      <c r="E4964" s="628" t="s">
        <v>23</v>
      </c>
      <c r="F4964" s="816" t="s">
        <v>13681</v>
      </c>
      <c r="G4964" s="816"/>
      <c r="H4964" s="816">
        <v>0.80940239999999997</v>
      </c>
      <c r="I4964" s="816"/>
      <c r="J4964" s="817">
        <v>5.67E-2</v>
      </c>
      <c r="K4964" s="817"/>
      <c r="L4964" s="817"/>
    </row>
    <row r="4965" spans="1:12">
      <c r="A4965" s="636"/>
      <c r="B4965" s="636"/>
      <c r="C4965" s="636"/>
      <c r="D4965" s="636"/>
      <c r="E4965" s="636"/>
      <c r="F4965" s="636"/>
      <c r="G4965" s="636"/>
      <c r="H4965" s="636"/>
      <c r="I4965" s="636"/>
      <c r="J4965" s="636" t="s">
        <v>13675</v>
      </c>
      <c r="K4965" s="636"/>
      <c r="L4965" s="636" t="s">
        <v>13708</v>
      </c>
    </row>
    <row r="4966" spans="1:12" ht="17.100000000000001" customHeight="1">
      <c r="A4966" s="802" t="s">
        <v>12712</v>
      </c>
      <c r="B4966" s="802"/>
      <c r="C4966" s="802"/>
      <c r="D4966" s="802"/>
      <c r="E4966" s="802"/>
      <c r="F4966" s="802"/>
      <c r="G4966" s="802"/>
      <c r="H4966" s="802"/>
      <c r="I4966" s="612"/>
      <c r="J4966" s="612"/>
      <c r="K4966" s="612"/>
      <c r="L4966" s="612"/>
    </row>
    <row r="4967" spans="1:12" ht="24" customHeight="1">
      <c r="A4967" s="612" t="s">
        <v>13679</v>
      </c>
      <c r="B4967" s="636" t="s">
        <v>12698</v>
      </c>
      <c r="C4967" s="612" t="s">
        <v>12699</v>
      </c>
      <c r="D4967" s="612" t="s">
        <v>12700</v>
      </c>
      <c r="E4967" s="637" t="s">
        <v>12702</v>
      </c>
      <c r="F4967" s="801" t="s">
        <v>12704</v>
      </c>
      <c r="G4967" s="801"/>
      <c r="H4967" s="801" t="s">
        <v>13678</v>
      </c>
      <c r="I4967" s="801"/>
      <c r="J4967" s="801" t="s">
        <v>12705</v>
      </c>
      <c r="K4967" s="801"/>
      <c r="L4967" s="801"/>
    </row>
    <row r="4968" spans="1:12" ht="17.100000000000001" customHeight="1">
      <c r="A4968" s="626" t="s">
        <v>12709</v>
      </c>
      <c r="B4968" s="627" t="s">
        <v>13002</v>
      </c>
      <c r="C4968" s="626" t="s">
        <v>8</v>
      </c>
      <c r="D4968" s="626" t="s">
        <v>9306</v>
      </c>
      <c r="E4968" s="628" t="s">
        <v>23</v>
      </c>
      <c r="F4968" s="816" t="s">
        <v>13677</v>
      </c>
      <c r="G4968" s="816"/>
      <c r="H4968" s="816">
        <v>0.80940239999999997</v>
      </c>
      <c r="I4968" s="816"/>
      <c r="J4968" s="817">
        <v>0.2833</v>
      </c>
      <c r="K4968" s="817"/>
      <c r="L4968" s="817"/>
    </row>
    <row r="4969" spans="1:12" ht="25.5">
      <c r="A4969" s="626" t="s">
        <v>12709</v>
      </c>
      <c r="B4969" s="627" t="s">
        <v>13004</v>
      </c>
      <c r="C4969" s="626" t="s">
        <v>8</v>
      </c>
      <c r="D4969" s="626" t="s">
        <v>7388</v>
      </c>
      <c r="E4969" s="628" t="s">
        <v>23</v>
      </c>
      <c r="F4969" s="816" t="s">
        <v>13676</v>
      </c>
      <c r="G4969" s="816"/>
      <c r="H4969" s="816">
        <v>0.80940239999999997</v>
      </c>
      <c r="I4969" s="816"/>
      <c r="J4969" s="817">
        <v>1.7806999999999999</v>
      </c>
      <c r="K4969" s="817"/>
      <c r="L4969" s="817"/>
    </row>
    <row r="4970" spans="1:12" ht="17.100000000000001" customHeight="1">
      <c r="A4970" s="636"/>
      <c r="B4970" s="636"/>
      <c r="C4970" s="636"/>
      <c r="D4970" s="636"/>
      <c r="E4970" s="636"/>
      <c r="F4970" s="636"/>
      <c r="G4970" s="636"/>
      <c r="H4970" s="636"/>
      <c r="I4970" s="636"/>
      <c r="J4970" s="636" t="s">
        <v>13675</v>
      </c>
      <c r="K4970" s="636"/>
      <c r="L4970" s="636" t="s">
        <v>14095</v>
      </c>
    </row>
    <row r="4971" spans="1:12" ht="24" customHeight="1">
      <c r="A4971" s="612" t="s">
        <v>13673</v>
      </c>
      <c r="B4971" s="612"/>
      <c r="C4971" s="612"/>
      <c r="D4971" s="612"/>
      <c r="E4971" s="612"/>
      <c r="F4971" s="612"/>
      <c r="G4971" s="612"/>
      <c r="H4971" s="612"/>
      <c r="I4971" s="612"/>
      <c r="J4971" s="612"/>
      <c r="K4971" s="612"/>
      <c r="L4971" s="612"/>
    </row>
    <row r="4972" spans="1:12" ht="24" customHeight="1">
      <c r="A4972" s="636"/>
      <c r="B4972" s="636"/>
      <c r="C4972" s="636"/>
      <c r="D4972" s="636"/>
      <c r="E4972" s="636"/>
      <c r="F4972" s="636"/>
      <c r="G4972" s="636"/>
      <c r="H4972" s="636"/>
      <c r="I4972" s="636"/>
      <c r="J4972" s="636" t="s">
        <v>13672</v>
      </c>
      <c r="K4972" s="636"/>
      <c r="L4972" s="636" t="s">
        <v>15188</v>
      </c>
    </row>
    <row r="4973" spans="1:12" ht="17.100000000000001" customHeight="1">
      <c r="A4973" s="636"/>
      <c r="B4973" s="636"/>
      <c r="C4973" s="636"/>
      <c r="D4973" s="636"/>
      <c r="E4973" s="636"/>
      <c r="F4973" s="636"/>
      <c r="G4973" s="636"/>
      <c r="H4973" s="636"/>
      <c r="I4973" s="636"/>
      <c r="J4973" s="636" t="s">
        <v>13671</v>
      </c>
      <c r="K4973" s="636" t="s">
        <v>14461</v>
      </c>
      <c r="L4973" s="636" t="s">
        <v>15189</v>
      </c>
    </row>
    <row r="4974" spans="1:12" ht="17.100000000000001" customHeight="1">
      <c r="A4974" s="636"/>
      <c r="B4974" s="636"/>
      <c r="C4974" s="636"/>
      <c r="D4974" s="636"/>
      <c r="E4974" s="636"/>
      <c r="F4974" s="636"/>
      <c r="G4974" s="636"/>
      <c r="H4974" s="636"/>
      <c r="I4974" s="636"/>
      <c r="J4974" s="636" t="s">
        <v>13670</v>
      </c>
      <c r="K4974" s="636"/>
      <c r="L4974" s="636" t="s">
        <v>15190</v>
      </c>
    </row>
    <row r="4975" spans="1:12" ht="17.100000000000001" customHeight="1">
      <c r="A4975" s="636"/>
      <c r="B4975" s="636"/>
      <c r="C4975" s="636"/>
      <c r="D4975" s="636"/>
      <c r="E4975" s="636"/>
      <c r="F4975" s="636"/>
      <c r="G4975" s="636"/>
      <c r="H4975" s="636"/>
      <c r="I4975" s="636"/>
      <c r="J4975" s="636" t="s">
        <v>13669</v>
      </c>
      <c r="K4975" s="636" t="s">
        <v>13667</v>
      </c>
      <c r="L4975" s="636" t="s">
        <v>15191</v>
      </c>
    </row>
    <row r="4976" spans="1:12" ht="17.100000000000001" customHeight="1">
      <c r="A4976" s="636"/>
      <c r="B4976" s="636"/>
      <c r="C4976" s="636"/>
      <c r="D4976" s="636"/>
      <c r="E4976" s="636"/>
      <c r="F4976" s="636"/>
      <c r="G4976" s="636"/>
      <c r="H4976" s="636"/>
      <c r="I4976" s="636"/>
      <c r="J4976" s="636" t="s">
        <v>13668</v>
      </c>
      <c r="K4976" s="636"/>
      <c r="L4976" s="636" t="s">
        <v>15192</v>
      </c>
    </row>
    <row r="4977" spans="1:12" ht="17.100000000000001" customHeight="1">
      <c r="A4977" s="637"/>
      <c r="B4977" s="637"/>
      <c r="C4977" s="637"/>
      <c r="D4977" s="637"/>
      <c r="E4977" s="637"/>
      <c r="F4977" s="637"/>
      <c r="G4977" s="637"/>
      <c r="H4977" s="637"/>
      <c r="I4977" s="637"/>
      <c r="J4977" s="637"/>
      <c r="K4977" s="637"/>
      <c r="L4977" s="637"/>
    </row>
    <row r="4978" spans="1:12" ht="17.100000000000001" customHeight="1">
      <c r="A4978" s="616" t="s">
        <v>14094</v>
      </c>
      <c r="B4978" s="617" t="s">
        <v>13555</v>
      </c>
      <c r="C4978" s="616" t="s">
        <v>8</v>
      </c>
      <c r="D4978" s="616" t="s">
        <v>34</v>
      </c>
      <c r="E4978" s="618" t="s">
        <v>12725</v>
      </c>
      <c r="F4978" s="617"/>
      <c r="G4978" s="617"/>
      <c r="H4978" s="617"/>
      <c r="I4978" s="617"/>
      <c r="J4978" s="617"/>
      <c r="K4978" s="617"/>
      <c r="L4978" s="617"/>
    </row>
    <row r="4979" spans="1:12" ht="17.100000000000001" customHeight="1">
      <c r="A4979" s="802" t="s">
        <v>12711</v>
      </c>
      <c r="B4979" s="802"/>
      <c r="C4979" s="802"/>
      <c r="D4979" s="802"/>
      <c r="E4979" s="802"/>
      <c r="F4979" s="802"/>
      <c r="G4979" s="802"/>
      <c r="H4979" s="802"/>
      <c r="I4979" s="612"/>
      <c r="J4979" s="612"/>
      <c r="K4979" s="612"/>
      <c r="L4979" s="612"/>
    </row>
    <row r="4980" spans="1:12" ht="30" customHeight="1">
      <c r="A4980" s="612" t="s">
        <v>13679</v>
      </c>
      <c r="B4980" s="636" t="s">
        <v>12698</v>
      </c>
      <c r="C4980" s="612" t="s">
        <v>12699</v>
      </c>
      <c r="D4980" s="612" t="s">
        <v>12700</v>
      </c>
      <c r="E4980" s="637" t="s">
        <v>12702</v>
      </c>
      <c r="F4980" s="801" t="s">
        <v>12704</v>
      </c>
      <c r="G4980" s="801"/>
      <c r="H4980" s="801" t="s">
        <v>13678</v>
      </c>
      <c r="I4980" s="801"/>
      <c r="J4980" s="801" t="s">
        <v>12705</v>
      </c>
      <c r="K4980" s="801"/>
      <c r="L4980" s="801"/>
    </row>
    <row r="4981" spans="1:12" ht="24" customHeight="1">
      <c r="A4981" s="626" t="s">
        <v>12709</v>
      </c>
      <c r="B4981" s="627" t="s">
        <v>13088</v>
      </c>
      <c r="C4981" s="626" t="s">
        <v>8</v>
      </c>
      <c r="D4981" s="626" t="s">
        <v>9231</v>
      </c>
      <c r="E4981" s="628" t="s">
        <v>23</v>
      </c>
      <c r="F4981" s="816" t="s">
        <v>13713</v>
      </c>
      <c r="G4981" s="816"/>
      <c r="H4981" s="816">
        <v>0.18664149999999999</v>
      </c>
      <c r="I4981" s="816"/>
      <c r="J4981" s="817">
        <v>0.27250000000000002</v>
      </c>
      <c r="K4981" s="817"/>
      <c r="L4981" s="817"/>
    </row>
    <row r="4982" spans="1:12" ht="14.25" customHeight="1">
      <c r="A4982" s="626" t="s">
        <v>12709</v>
      </c>
      <c r="B4982" s="627" t="s">
        <v>13087</v>
      </c>
      <c r="C4982" s="626" t="s">
        <v>8</v>
      </c>
      <c r="D4982" s="626" t="s">
        <v>9378</v>
      </c>
      <c r="E4982" s="628" t="s">
        <v>23</v>
      </c>
      <c r="F4982" s="816" t="s">
        <v>13712</v>
      </c>
      <c r="G4982" s="816"/>
      <c r="H4982" s="816">
        <v>0.18664149999999999</v>
      </c>
      <c r="I4982" s="816"/>
      <c r="J4982" s="817">
        <v>0.21840000000000001</v>
      </c>
      <c r="K4982" s="817"/>
      <c r="L4982" s="817"/>
    </row>
    <row r="4983" spans="1:12" ht="17.100000000000001" customHeight="1">
      <c r="A4983" s="626" t="s">
        <v>12709</v>
      </c>
      <c r="B4983" s="627" t="s">
        <v>13048</v>
      </c>
      <c r="C4983" s="626" t="s">
        <v>8</v>
      </c>
      <c r="D4983" s="626" t="s">
        <v>9233</v>
      </c>
      <c r="E4983" s="628" t="s">
        <v>23</v>
      </c>
      <c r="F4983" s="816" t="s">
        <v>13690</v>
      </c>
      <c r="G4983" s="816"/>
      <c r="H4983" s="816">
        <v>6.8867700000000004E-2</v>
      </c>
      <c r="I4983" s="816"/>
      <c r="J4983" s="817">
        <v>7.0199999999999999E-2</v>
      </c>
      <c r="K4983" s="817"/>
      <c r="L4983" s="817"/>
    </row>
    <row r="4984" spans="1:12" ht="24" customHeight="1">
      <c r="A4984" s="626" t="s">
        <v>12709</v>
      </c>
      <c r="B4984" s="627" t="s">
        <v>13047</v>
      </c>
      <c r="C4984" s="626" t="s">
        <v>8</v>
      </c>
      <c r="D4984" s="626" t="s">
        <v>9380</v>
      </c>
      <c r="E4984" s="628" t="s">
        <v>23</v>
      </c>
      <c r="F4984" s="816" t="s">
        <v>13689</v>
      </c>
      <c r="G4984" s="816"/>
      <c r="H4984" s="816">
        <v>6.8867700000000004E-2</v>
      </c>
      <c r="I4984" s="816"/>
      <c r="J4984" s="817">
        <v>2.6200000000000001E-2</v>
      </c>
      <c r="K4984" s="817"/>
      <c r="L4984" s="817"/>
    </row>
    <row r="4985" spans="1:12" ht="24" customHeight="1">
      <c r="A4985" s="636"/>
      <c r="B4985" s="636"/>
      <c r="C4985" s="636"/>
      <c r="D4985" s="636"/>
      <c r="E4985" s="636"/>
      <c r="F4985" s="636"/>
      <c r="G4985" s="636"/>
      <c r="H4985" s="636"/>
      <c r="I4985" s="636"/>
      <c r="J4985" s="636" t="s">
        <v>13675</v>
      </c>
      <c r="K4985" s="636"/>
      <c r="L4985" s="636" t="s">
        <v>13709</v>
      </c>
    </row>
    <row r="4986" spans="1:12" ht="24" customHeight="1">
      <c r="A4986" s="802" t="s">
        <v>12710</v>
      </c>
      <c r="B4986" s="802"/>
      <c r="C4986" s="802"/>
      <c r="D4986" s="802"/>
      <c r="E4986" s="802"/>
      <c r="F4986" s="802"/>
      <c r="G4986" s="802"/>
      <c r="H4986" s="802"/>
      <c r="I4986" s="612"/>
      <c r="J4986" s="612"/>
      <c r="K4986" s="612"/>
      <c r="L4986" s="612"/>
    </row>
    <row r="4987" spans="1:12" ht="24" customHeight="1">
      <c r="A4987" s="612" t="s">
        <v>13679</v>
      </c>
      <c r="B4987" s="636" t="s">
        <v>12698</v>
      </c>
      <c r="C4987" s="612" t="s">
        <v>12699</v>
      </c>
      <c r="D4987" s="612" t="s">
        <v>12700</v>
      </c>
      <c r="E4987" s="637" t="s">
        <v>12702</v>
      </c>
      <c r="F4987" s="801" t="s">
        <v>12704</v>
      </c>
      <c r="G4987" s="801"/>
      <c r="H4987" s="801" t="s">
        <v>13678</v>
      </c>
      <c r="I4987" s="801"/>
      <c r="J4987" s="801" t="s">
        <v>12705</v>
      </c>
      <c r="K4987" s="801"/>
      <c r="L4987" s="801"/>
    </row>
    <row r="4988" spans="1:12" ht="17.100000000000001" customHeight="1">
      <c r="A4988" s="626" t="s">
        <v>12709</v>
      </c>
      <c r="B4988" s="627" t="s">
        <v>13086</v>
      </c>
      <c r="C4988" s="626" t="s">
        <v>8</v>
      </c>
      <c r="D4988" s="626" t="s">
        <v>10798</v>
      </c>
      <c r="E4988" s="628" t="s">
        <v>23</v>
      </c>
      <c r="F4988" s="816" t="s">
        <v>14470</v>
      </c>
      <c r="G4988" s="816"/>
      <c r="H4988" s="816">
        <v>0.1882779</v>
      </c>
      <c r="I4988" s="816"/>
      <c r="J4988" s="817">
        <v>1.3009999999999999</v>
      </c>
      <c r="K4988" s="817"/>
      <c r="L4988" s="817"/>
    </row>
    <row r="4989" spans="1:12" ht="14.25" customHeight="1">
      <c r="A4989" s="626" t="s">
        <v>12709</v>
      </c>
      <c r="B4989" s="627" t="s">
        <v>13046</v>
      </c>
      <c r="C4989" s="626" t="s">
        <v>8</v>
      </c>
      <c r="D4989" s="626" t="s">
        <v>11281</v>
      </c>
      <c r="E4989" s="628" t="s">
        <v>23</v>
      </c>
      <c r="F4989" s="816" t="s">
        <v>13731</v>
      </c>
      <c r="G4989" s="816"/>
      <c r="H4989" s="816">
        <v>6.9774100000000006E-2</v>
      </c>
      <c r="I4989" s="816"/>
      <c r="J4989" s="817">
        <v>0.35859999999999997</v>
      </c>
      <c r="K4989" s="817"/>
      <c r="L4989" s="817"/>
    </row>
    <row r="4990" spans="1:12" ht="17.100000000000001" customHeight="1">
      <c r="A4990" s="636"/>
      <c r="B4990" s="636"/>
      <c r="C4990" s="636"/>
      <c r="D4990" s="636"/>
      <c r="E4990" s="636"/>
      <c r="F4990" s="636"/>
      <c r="G4990" s="636"/>
      <c r="H4990" s="636"/>
      <c r="I4990" s="636"/>
      <c r="J4990" s="636" t="s">
        <v>13675</v>
      </c>
      <c r="K4990" s="636"/>
      <c r="L4990" s="636" t="s">
        <v>13930</v>
      </c>
    </row>
    <row r="4991" spans="1:12" ht="24" customHeight="1">
      <c r="A4991" s="802" t="s">
        <v>12720</v>
      </c>
      <c r="B4991" s="802"/>
      <c r="C4991" s="802"/>
      <c r="D4991" s="802"/>
      <c r="E4991" s="802"/>
      <c r="F4991" s="802"/>
      <c r="G4991" s="802"/>
      <c r="H4991" s="802"/>
      <c r="I4991" s="612"/>
      <c r="J4991" s="612"/>
      <c r="K4991" s="612"/>
      <c r="L4991" s="612"/>
    </row>
    <row r="4992" spans="1:12" ht="24" customHeight="1">
      <c r="A4992" s="612" t="s">
        <v>13679</v>
      </c>
      <c r="B4992" s="636" t="s">
        <v>12698</v>
      </c>
      <c r="C4992" s="612" t="s">
        <v>12699</v>
      </c>
      <c r="D4992" s="612" t="s">
        <v>12700</v>
      </c>
      <c r="E4992" s="637" t="s">
        <v>12702</v>
      </c>
      <c r="F4992" s="801" t="s">
        <v>12704</v>
      </c>
      <c r="G4992" s="801"/>
      <c r="H4992" s="801" t="s">
        <v>13678</v>
      </c>
      <c r="I4992" s="801"/>
      <c r="J4992" s="801" t="s">
        <v>12705</v>
      </c>
      <c r="K4992" s="801"/>
      <c r="L4992" s="801"/>
    </row>
    <row r="4993" spans="1:12" ht="17.100000000000001" customHeight="1">
      <c r="A4993" s="626" t="s">
        <v>12709</v>
      </c>
      <c r="B4993" s="627" t="s">
        <v>13554</v>
      </c>
      <c r="C4993" s="626" t="s">
        <v>8</v>
      </c>
      <c r="D4993" s="626" t="s">
        <v>11782</v>
      </c>
      <c r="E4993" s="628" t="s">
        <v>58</v>
      </c>
      <c r="F4993" s="816" t="s">
        <v>14093</v>
      </c>
      <c r="G4993" s="816"/>
      <c r="H4993" s="816">
        <v>0.33</v>
      </c>
      <c r="I4993" s="816"/>
      <c r="J4993" s="817">
        <v>6.78</v>
      </c>
      <c r="K4993" s="817"/>
      <c r="L4993" s="817"/>
    </row>
    <row r="4994" spans="1:12">
      <c r="A4994" s="636"/>
      <c r="B4994" s="636"/>
      <c r="C4994" s="636"/>
      <c r="D4994" s="636"/>
      <c r="E4994" s="636"/>
      <c r="F4994" s="636"/>
      <c r="G4994" s="636"/>
      <c r="H4994" s="636"/>
      <c r="I4994" s="636"/>
      <c r="J4994" s="636" t="s">
        <v>13675</v>
      </c>
      <c r="K4994" s="636"/>
      <c r="L4994" s="636" t="s">
        <v>14092</v>
      </c>
    </row>
    <row r="4995" spans="1:12" ht="17.100000000000001" customHeight="1">
      <c r="A4995" s="802" t="s">
        <v>12722</v>
      </c>
      <c r="B4995" s="802"/>
      <c r="C4995" s="802"/>
      <c r="D4995" s="802"/>
      <c r="E4995" s="802"/>
      <c r="F4995" s="802"/>
      <c r="G4995" s="802"/>
      <c r="H4995" s="802"/>
      <c r="I4995" s="612"/>
      <c r="J4995" s="612"/>
      <c r="K4995" s="612"/>
      <c r="L4995" s="612"/>
    </row>
    <row r="4996" spans="1:12" ht="24" customHeight="1">
      <c r="A4996" s="612" t="s">
        <v>13679</v>
      </c>
      <c r="B4996" s="636" t="s">
        <v>12698</v>
      </c>
      <c r="C4996" s="612" t="s">
        <v>12699</v>
      </c>
      <c r="D4996" s="612" t="s">
        <v>12700</v>
      </c>
      <c r="E4996" s="637" t="s">
        <v>12702</v>
      </c>
      <c r="F4996" s="801" t="s">
        <v>12704</v>
      </c>
      <c r="G4996" s="801"/>
      <c r="H4996" s="801" t="s">
        <v>13678</v>
      </c>
      <c r="I4996" s="801"/>
      <c r="J4996" s="801" t="s">
        <v>12705</v>
      </c>
      <c r="K4996" s="801"/>
      <c r="L4996" s="801"/>
    </row>
    <row r="4997" spans="1:12" ht="24" customHeight="1">
      <c r="A4997" s="626" t="s">
        <v>12709</v>
      </c>
      <c r="B4997" s="627" t="s">
        <v>12998</v>
      </c>
      <c r="C4997" s="626" t="s">
        <v>8</v>
      </c>
      <c r="D4997" s="626" t="s">
        <v>11861</v>
      </c>
      <c r="E4997" s="628" t="s">
        <v>23</v>
      </c>
      <c r="F4997" s="816" t="s">
        <v>13683</v>
      </c>
      <c r="G4997" s="816"/>
      <c r="H4997" s="816">
        <v>0.25550919999999999</v>
      </c>
      <c r="I4997" s="816"/>
      <c r="J4997" s="817">
        <v>0.18140000000000001</v>
      </c>
      <c r="K4997" s="817"/>
      <c r="L4997" s="817"/>
    </row>
    <row r="4998" spans="1:12" ht="24" customHeight="1">
      <c r="A4998" s="636"/>
      <c r="B4998" s="636"/>
      <c r="C4998" s="636"/>
      <c r="D4998" s="636"/>
      <c r="E4998" s="636"/>
      <c r="F4998" s="636"/>
      <c r="G4998" s="636"/>
      <c r="H4998" s="636"/>
      <c r="I4998" s="636"/>
      <c r="J4998" s="636" t="s">
        <v>13675</v>
      </c>
      <c r="K4998" s="636"/>
      <c r="L4998" s="636" t="s">
        <v>13682</v>
      </c>
    </row>
    <row r="4999" spans="1:12" ht="24" customHeight="1">
      <c r="A4999" s="802" t="s">
        <v>12713</v>
      </c>
      <c r="B4999" s="802"/>
      <c r="C4999" s="802"/>
      <c r="D4999" s="802"/>
      <c r="E4999" s="802"/>
      <c r="F4999" s="802"/>
      <c r="G4999" s="802"/>
      <c r="H4999" s="802"/>
      <c r="I4999" s="612"/>
      <c r="J4999" s="612"/>
      <c r="K4999" s="612"/>
      <c r="L4999" s="612"/>
    </row>
    <row r="5000" spans="1:12" ht="17.100000000000001" customHeight="1">
      <c r="A5000" s="612" t="s">
        <v>13679</v>
      </c>
      <c r="B5000" s="636" t="s">
        <v>12698</v>
      </c>
      <c r="C5000" s="612" t="s">
        <v>12699</v>
      </c>
      <c r="D5000" s="612" t="s">
        <v>12700</v>
      </c>
      <c r="E5000" s="637" t="s">
        <v>12702</v>
      </c>
      <c r="F5000" s="801" t="s">
        <v>12704</v>
      </c>
      <c r="G5000" s="801"/>
      <c r="H5000" s="801" t="s">
        <v>13678</v>
      </c>
      <c r="I5000" s="801"/>
      <c r="J5000" s="801" t="s">
        <v>12705</v>
      </c>
      <c r="K5000" s="801"/>
      <c r="L5000" s="801"/>
    </row>
    <row r="5001" spans="1:12" ht="25.5">
      <c r="A5001" s="626" t="s">
        <v>12709</v>
      </c>
      <c r="B5001" s="627" t="s">
        <v>12999</v>
      </c>
      <c r="C5001" s="626" t="s">
        <v>8</v>
      </c>
      <c r="D5001" s="626" t="s">
        <v>11251</v>
      </c>
      <c r="E5001" s="628" t="s">
        <v>23</v>
      </c>
      <c r="F5001" s="816" t="s">
        <v>13681</v>
      </c>
      <c r="G5001" s="816"/>
      <c r="H5001" s="816">
        <v>0.25550919999999999</v>
      </c>
      <c r="I5001" s="816"/>
      <c r="J5001" s="817">
        <v>1.7899999999999999E-2</v>
      </c>
      <c r="K5001" s="817"/>
      <c r="L5001" s="817"/>
    </row>
    <row r="5002" spans="1:12" ht="17.100000000000001" customHeight="1">
      <c r="A5002" s="636"/>
      <c r="B5002" s="636"/>
      <c r="C5002" s="636"/>
      <c r="D5002" s="636"/>
      <c r="E5002" s="636"/>
      <c r="F5002" s="636"/>
      <c r="G5002" s="636"/>
      <c r="H5002" s="636"/>
      <c r="I5002" s="636"/>
      <c r="J5002" s="636" t="s">
        <v>13675</v>
      </c>
      <c r="K5002" s="636"/>
      <c r="L5002" s="636" t="s">
        <v>13680</v>
      </c>
    </row>
    <row r="5003" spans="1:12" ht="24" customHeight="1">
      <c r="A5003" s="802" t="s">
        <v>12712</v>
      </c>
      <c r="B5003" s="802"/>
      <c r="C5003" s="802"/>
      <c r="D5003" s="802"/>
      <c r="E5003" s="802"/>
      <c r="F5003" s="802"/>
      <c r="G5003" s="802"/>
      <c r="H5003" s="802"/>
      <c r="I5003" s="612"/>
      <c r="J5003" s="612"/>
      <c r="K5003" s="612"/>
      <c r="L5003" s="612"/>
    </row>
    <row r="5004" spans="1:12" ht="17.100000000000001" customHeight="1">
      <c r="A5004" s="612" t="s">
        <v>13679</v>
      </c>
      <c r="B5004" s="636" t="s">
        <v>12698</v>
      </c>
      <c r="C5004" s="612" t="s">
        <v>12699</v>
      </c>
      <c r="D5004" s="612" t="s">
        <v>12700</v>
      </c>
      <c r="E5004" s="637" t="s">
        <v>12702</v>
      </c>
      <c r="F5004" s="801" t="s">
        <v>12704</v>
      </c>
      <c r="G5004" s="801"/>
      <c r="H5004" s="801" t="s">
        <v>13678</v>
      </c>
      <c r="I5004" s="801"/>
      <c r="J5004" s="801" t="s">
        <v>12705</v>
      </c>
      <c r="K5004" s="801"/>
      <c r="L5004" s="801"/>
    </row>
    <row r="5005" spans="1:12" ht="25.5">
      <c r="A5005" s="626" t="s">
        <v>12709</v>
      </c>
      <c r="B5005" s="627" t="s">
        <v>13002</v>
      </c>
      <c r="C5005" s="626" t="s">
        <v>8</v>
      </c>
      <c r="D5005" s="626" t="s">
        <v>9306</v>
      </c>
      <c r="E5005" s="628" t="s">
        <v>23</v>
      </c>
      <c r="F5005" s="816" t="s">
        <v>13677</v>
      </c>
      <c r="G5005" s="816"/>
      <c r="H5005" s="816">
        <v>0.25550919999999999</v>
      </c>
      <c r="I5005" s="816"/>
      <c r="J5005" s="817">
        <v>8.9399999999999993E-2</v>
      </c>
      <c r="K5005" s="817"/>
      <c r="L5005" s="817"/>
    </row>
    <row r="5006" spans="1:12" ht="17.100000000000001" customHeight="1">
      <c r="A5006" s="626" t="s">
        <v>12709</v>
      </c>
      <c r="B5006" s="627" t="s">
        <v>13004</v>
      </c>
      <c r="C5006" s="626" t="s">
        <v>8</v>
      </c>
      <c r="D5006" s="626" t="s">
        <v>7388</v>
      </c>
      <c r="E5006" s="628" t="s">
        <v>23</v>
      </c>
      <c r="F5006" s="816" t="s">
        <v>13676</v>
      </c>
      <c r="G5006" s="816"/>
      <c r="H5006" s="816">
        <v>0.25550919999999999</v>
      </c>
      <c r="I5006" s="816"/>
      <c r="J5006" s="817">
        <v>0.56210000000000004</v>
      </c>
      <c r="K5006" s="817"/>
      <c r="L5006" s="817"/>
    </row>
    <row r="5007" spans="1:12" ht="24" customHeight="1">
      <c r="A5007" s="636"/>
      <c r="B5007" s="636"/>
      <c r="C5007" s="636"/>
      <c r="D5007" s="636"/>
      <c r="E5007" s="636"/>
      <c r="F5007" s="636"/>
      <c r="G5007" s="636"/>
      <c r="H5007" s="636"/>
      <c r="I5007" s="636"/>
      <c r="J5007" s="636" t="s">
        <v>13675</v>
      </c>
      <c r="K5007" s="636"/>
      <c r="L5007" s="636" t="s">
        <v>13738</v>
      </c>
    </row>
    <row r="5008" spans="1:12" ht="17.100000000000001" customHeight="1">
      <c r="A5008" s="612" t="s">
        <v>13673</v>
      </c>
      <c r="B5008" s="612"/>
      <c r="C5008" s="612"/>
      <c r="D5008" s="612"/>
      <c r="E5008" s="612"/>
      <c r="F5008" s="612"/>
      <c r="G5008" s="612"/>
      <c r="H5008" s="612"/>
      <c r="I5008" s="612"/>
      <c r="J5008" s="612"/>
      <c r="K5008" s="612"/>
      <c r="L5008" s="612"/>
    </row>
    <row r="5009" spans="1:12">
      <c r="A5009" s="636"/>
      <c r="B5009" s="636"/>
      <c r="C5009" s="636"/>
      <c r="D5009" s="636"/>
      <c r="E5009" s="636"/>
      <c r="F5009" s="636"/>
      <c r="G5009" s="636"/>
      <c r="H5009" s="636"/>
      <c r="I5009" s="636"/>
      <c r="J5009" s="636" t="s">
        <v>13672</v>
      </c>
      <c r="K5009" s="636"/>
      <c r="L5009" s="636" t="s">
        <v>15211</v>
      </c>
    </row>
    <row r="5010" spans="1:12" ht="17.100000000000001" customHeight="1">
      <c r="A5010" s="636"/>
      <c r="B5010" s="636"/>
      <c r="C5010" s="636"/>
      <c r="D5010" s="636"/>
      <c r="E5010" s="636"/>
      <c r="F5010" s="636"/>
      <c r="G5010" s="636"/>
      <c r="H5010" s="636"/>
      <c r="I5010" s="636"/>
      <c r="J5010" s="636" t="s">
        <v>13671</v>
      </c>
      <c r="K5010" s="636" t="s">
        <v>14461</v>
      </c>
      <c r="L5010" s="636" t="s">
        <v>15212</v>
      </c>
    </row>
    <row r="5011" spans="1:12" ht="24" customHeight="1">
      <c r="A5011" s="636"/>
      <c r="B5011" s="636"/>
      <c r="C5011" s="636"/>
      <c r="D5011" s="636"/>
      <c r="E5011" s="636"/>
      <c r="F5011" s="636"/>
      <c r="G5011" s="636"/>
      <c r="H5011" s="636"/>
      <c r="I5011" s="636"/>
      <c r="J5011" s="636" t="s">
        <v>13670</v>
      </c>
      <c r="K5011" s="636"/>
      <c r="L5011" s="636" t="s">
        <v>15213</v>
      </c>
    </row>
    <row r="5012" spans="1:12" ht="24" customHeight="1">
      <c r="A5012" s="636"/>
      <c r="B5012" s="636"/>
      <c r="C5012" s="636"/>
      <c r="D5012" s="636"/>
      <c r="E5012" s="636"/>
      <c r="F5012" s="636"/>
      <c r="G5012" s="636"/>
      <c r="H5012" s="636"/>
      <c r="I5012" s="636"/>
      <c r="J5012" s="636" t="s">
        <v>13669</v>
      </c>
      <c r="K5012" s="636" t="s">
        <v>13667</v>
      </c>
      <c r="L5012" s="636" t="s">
        <v>15214</v>
      </c>
    </row>
    <row r="5013" spans="1:12" ht="17.100000000000001" customHeight="1">
      <c r="A5013" s="636"/>
      <c r="B5013" s="636"/>
      <c r="C5013" s="636"/>
      <c r="D5013" s="636"/>
      <c r="E5013" s="636"/>
      <c r="F5013" s="636"/>
      <c r="G5013" s="636"/>
      <c r="H5013" s="636"/>
      <c r="I5013" s="636"/>
      <c r="J5013" s="636" t="s">
        <v>13668</v>
      </c>
      <c r="K5013" s="636"/>
      <c r="L5013" s="636" t="s">
        <v>15215</v>
      </c>
    </row>
    <row r="5014" spans="1:12" ht="17.100000000000001" customHeight="1">
      <c r="A5014" s="637"/>
      <c r="B5014" s="637"/>
      <c r="C5014" s="637"/>
      <c r="D5014" s="637"/>
      <c r="E5014" s="637"/>
      <c r="F5014" s="637"/>
      <c r="G5014" s="637"/>
      <c r="H5014" s="637"/>
      <c r="I5014" s="637"/>
      <c r="J5014" s="637"/>
      <c r="K5014" s="637"/>
      <c r="L5014" s="637"/>
    </row>
    <row r="5015" spans="1:12" ht="17.100000000000001" customHeight="1">
      <c r="A5015" s="616" t="s">
        <v>14091</v>
      </c>
      <c r="B5015" s="617" t="s">
        <v>13553</v>
      </c>
      <c r="C5015" s="616" t="s">
        <v>8</v>
      </c>
      <c r="D5015" s="616" t="s">
        <v>7046</v>
      </c>
      <c r="E5015" s="618" t="s">
        <v>12725</v>
      </c>
      <c r="F5015" s="617"/>
      <c r="G5015" s="617"/>
      <c r="H5015" s="617"/>
      <c r="I5015" s="617"/>
      <c r="J5015" s="617"/>
      <c r="K5015" s="617"/>
      <c r="L5015" s="617"/>
    </row>
    <row r="5016" spans="1:12" ht="17.100000000000001" customHeight="1">
      <c r="A5016" s="802" t="s">
        <v>12711</v>
      </c>
      <c r="B5016" s="802"/>
      <c r="C5016" s="802"/>
      <c r="D5016" s="802"/>
      <c r="E5016" s="802"/>
      <c r="F5016" s="802"/>
      <c r="G5016" s="802"/>
      <c r="H5016" s="802"/>
      <c r="I5016" s="612"/>
      <c r="J5016" s="612"/>
      <c r="K5016" s="612"/>
      <c r="L5016" s="612"/>
    </row>
    <row r="5017" spans="1:12" ht="17.100000000000001" customHeight="1">
      <c r="A5017" s="612" t="s">
        <v>13679</v>
      </c>
      <c r="B5017" s="636" t="s">
        <v>12698</v>
      </c>
      <c r="C5017" s="612" t="s">
        <v>12699</v>
      </c>
      <c r="D5017" s="612" t="s">
        <v>12700</v>
      </c>
      <c r="E5017" s="637" t="s">
        <v>12702</v>
      </c>
      <c r="F5017" s="801" t="s">
        <v>12704</v>
      </c>
      <c r="G5017" s="801"/>
      <c r="H5017" s="801" t="s">
        <v>13678</v>
      </c>
      <c r="I5017" s="801"/>
      <c r="J5017" s="801" t="s">
        <v>12705</v>
      </c>
      <c r="K5017" s="801"/>
      <c r="L5017" s="801"/>
    </row>
    <row r="5018" spans="1:12" ht="17.100000000000001" customHeight="1">
      <c r="A5018" s="626" t="s">
        <v>12709</v>
      </c>
      <c r="B5018" s="627" t="s">
        <v>13264</v>
      </c>
      <c r="C5018" s="626" t="s">
        <v>8</v>
      </c>
      <c r="D5018" s="626" t="s">
        <v>8460</v>
      </c>
      <c r="E5018" s="628" t="s">
        <v>35</v>
      </c>
      <c r="F5018" s="816" t="s">
        <v>14090</v>
      </c>
      <c r="G5018" s="816"/>
      <c r="H5018" s="816">
        <v>8.4499999999999994E-5</v>
      </c>
      <c r="I5018" s="816"/>
      <c r="J5018" s="817">
        <v>0.18310000000000001</v>
      </c>
      <c r="K5018" s="817"/>
      <c r="L5018" s="817"/>
    </row>
    <row r="5019" spans="1:12" ht="17.100000000000001" customHeight="1">
      <c r="A5019" s="626" t="s">
        <v>12709</v>
      </c>
      <c r="B5019" s="627" t="s">
        <v>13088</v>
      </c>
      <c r="C5019" s="626" t="s">
        <v>8</v>
      </c>
      <c r="D5019" s="626" t="s">
        <v>9231</v>
      </c>
      <c r="E5019" s="628" t="s">
        <v>23</v>
      </c>
      <c r="F5019" s="816" t="s">
        <v>13713</v>
      </c>
      <c r="G5019" s="816"/>
      <c r="H5019" s="816">
        <v>1.0510176</v>
      </c>
      <c r="I5019" s="816"/>
      <c r="J5019" s="817">
        <v>1.5345</v>
      </c>
      <c r="K5019" s="817"/>
      <c r="L5019" s="817"/>
    </row>
    <row r="5020" spans="1:12" ht="30" customHeight="1">
      <c r="A5020" s="626" t="s">
        <v>12709</v>
      </c>
      <c r="B5020" s="627" t="s">
        <v>13087</v>
      </c>
      <c r="C5020" s="626" t="s">
        <v>8</v>
      </c>
      <c r="D5020" s="626" t="s">
        <v>9378</v>
      </c>
      <c r="E5020" s="628" t="s">
        <v>23</v>
      </c>
      <c r="F5020" s="816" t="s">
        <v>13712</v>
      </c>
      <c r="G5020" s="816"/>
      <c r="H5020" s="816">
        <v>1.0510176</v>
      </c>
      <c r="I5020" s="816"/>
      <c r="J5020" s="817">
        <v>1.2297</v>
      </c>
      <c r="K5020" s="817"/>
      <c r="L5020" s="817"/>
    </row>
    <row r="5021" spans="1:12" ht="24" customHeight="1">
      <c r="A5021" s="636"/>
      <c r="B5021" s="636"/>
      <c r="C5021" s="636"/>
      <c r="D5021" s="636"/>
      <c r="E5021" s="636"/>
      <c r="F5021" s="636"/>
      <c r="G5021" s="636"/>
      <c r="H5021" s="636"/>
      <c r="I5021" s="636"/>
      <c r="J5021" s="636" t="s">
        <v>13675</v>
      </c>
      <c r="K5021" s="636"/>
      <c r="L5021" s="636" t="s">
        <v>14706</v>
      </c>
    </row>
    <row r="5022" spans="1:12" ht="14.25" customHeight="1">
      <c r="A5022" s="802" t="s">
        <v>12710</v>
      </c>
      <c r="B5022" s="802"/>
      <c r="C5022" s="802"/>
      <c r="D5022" s="802"/>
      <c r="E5022" s="802"/>
      <c r="F5022" s="802"/>
      <c r="G5022" s="802"/>
      <c r="H5022" s="802"/>
      <c r="I5022" s="612"/>
      <c r="J5022" s="612"/>
      <c r="K5022" s="612"/>
      <c r="L5022" s="612"/>
    </row>
    <row r="5023" spans="1:12" ht="17.100000000000001" customHeight="1">
      <c r="A5023" s="612" t="s">
        <v>13679</v>
      </c>
      <c r="B5023" s="636" t="s">
        <v>12698</v>
      </c>
      <c r="C5023" s="612" t="s">
        <v>12699</v>
      </c>
      <c r="D5023" s="612" t="s">
        <v>12700</v>
      </c>
      <c r="E5023" s="637" t="s">
        <v>12702</v>
      </c>
      <c r="F5023" s="801" t="s">
        <v>12704</v>
      </c>
      <c r="G5023" s="801"/>
      <c r="H5023" s="801" t="s">
        <v>13678</v>
      </c>
      <c r="I5023" s="801"/>
      <c r="J5023" s="801" t="s">
        <v>12705</v>
      </c>
      <c r="K5023" s="801"/>
      <c r="L5023" s="801"/>
    </row>
    <row r="5024" spans="1:12" ht="24" customHeight="1">
      <c r="A5024" s="626" t="s">
        <v>12709</v>
      </c>
      <c r="B5024" s="627" t="s">
        <v>13086</v>
      </c>
      <c r="C5024" s="626" t="s">
        <v>8</v>
      </c>
      <c r="D5024" s="626" t="s">
        <v>10798</v>
      </c>
      <c r="E5024" s="628" t="s">
        <v>23</v>
      </c>
      <c r="F5024" s="816" t="s">
        <v>14470</v>
      </c>
      <c r="G5024" s="816"/>
      <c r="H5024" s="816">
        <v>1.0639864000000001</v>
      </c>
      <c r="I5024" s="816"/>
      <c r="J5024" s="817">
        <v>7.3521000000000001</v>
      </c>
      <c r="K5024" s="817"/>
      <c r="L5024" s="817"/>
    </row>
    <row r="5025" spans="1:12" ht="24" customHeight="1">
      <c r="A5025" s="636"/>
      <c r="B5025" s="636"/>
      <c r="C5025" s="636"/>
      <c r="D5025" s="636"/>
      <c r="E5025" s="636"/>
      <c r="F5025" s="636"/>
      <c r="G5025" s="636"/>
      <c r="H5025" s="636"/>
      <c r="I5025" s="636"/>
      <c r="J5025" s="636" t="s">
        <v>13675</v>
      </c>
      <c r="K5025" s="636"/>
      <c r="L5025" s="636" t="s">
        <v>14482</v>
      </c>
    </row>
    <row r="5026" spans="1:12" ht="24" customHeight="1">
      <c r="A5026" s="802" t="s">
        <v>12720</v>
      </c>
      <c r="B5026" s="802"/>
      <c r="C5026" s="802"/>
      <c r="D5026" s="802"/>
      <c r="E5026" s="802"/>
      <c r="F5026" s="802"/>
      <c r="G5026" s="802"/>
      <c r="H5026" s="802"/>
      <c r="I5026" s="612"/>
      <c r="J5026" s="612"/>
      <c r="K5026" s="612"/>
      <c r="L5026" s="612"/>
    </row>
    <row r="5027" spans="1:12" ht="24" customHeight="1">
      <c r="A5027" s="612" t="s">
        <v>13679</v>
      </c>
      <c r="B5027" s="636" t="s">
        <v>12698</v>
      </c>
      <c r="C5027" s="612" t="s">
        <v>12699</v>
      </c>
      <c r="D5027" s="612" t="s">
        <v>12700</v>
      </c>
      <c r="E5027" s="637" t="s">
        <v>12702</v>
      </c>
      <c r="F5027" s="801" t="s">
        <v>12704</v>
      </c>
      <c r="G5027" s="801"/>
      <c r="H5027" s="801" t="s">
        <v>13678</v>
      </c>
      <c r="I5027" s="801"/>
      <c r="J5027" s="801" t="s">
        <v>12705</v>
      </c>
      <c r="K5027" s="801"/>
      <c r="L5027" s="801"/>
    </row>
    <row r="5028" spans="1:12" ht="17.100000000000001" customHeight="1">
      <c r="A5028" s="626" t="s">
        <v>12709</v>
      </c>
      <c r="B5028" s="627" t="s">
        <v>13551</v>
      </c>
      <c r="C5028" s="626" t="s">
        <v>8</v>
      </c>
      <c r="D5028" s="626" t="s">
        <v>11317</v>
      </c>
      <c r="E5028" s="628" t="s">
        <v>58</v>
      </c>
      <c r="F5028" s="816" t="s">
        <v>14704</v>
      </c>
      <c r="G5028" s="816"/>
      <c r="H5028" s="816">
        <v>0.124</v>
      </c>
      <c r="I5028" s="816"/>
      <c r="J5028" s="817">
        <v>1.5</v>
      </c>
      <c r="K5028" s="817"/>
      <c r="L5028" s="817"/>
    </row>
    <row r="5029" spans="1:12" ht="14.25" customHeight="1">
      <c r="A5029" s="626" t="s">
        <v>12709</v>
      </c>
      <c r="B5029" s="627" t="s">
        <v>13552</v>
      </c>
      <c r="C5029" s="626" t="s">
        <v>8</v>
      </c>
      <c r="D5029" s="626" t="s">
        <v>11790</v>
      </c>
      <c r="E5029" s="628" t="s">
        <v>58</v>
      </c>
      <c r="F5029" s="816" t="s">
        <v>14089</v>
      </c>
      <c r="G5029" s="816"/>
      <c r="H5029" s="816">
        <v>0.41339999999999999</v>
      </c>
      <c r="I5029" s="816"/>
      <c r="J5029" s="817">
        <v>9.85</v>
      </c>
      <c r="K5029" s="817"/>
      <c r="L5029" s="817"/>
    </row>
    <row r="5030" spans="1:12" ht="17.100000000000001" customHeight="1">
      <c r="A5030" s="626" t="s">
        <v>12709</v>
      </c>
      <c r="B5030" s="627" t="s">
        <v>12987</v>
      </c>
      <c r="C5030" s="626" t="s">
        <v>8</v>
      </c>
      <c r="D5030" s="626" t="s">
        <v>9192</v>
      </c>
      <c r="E5030" s="628" t="s">
        <v>12923</v>
      </c>
      <c r="F5030" s="816" t="s">
        <v>13999</v>
      </c>
      <c r="G5030" s="816"/>
      <c r="H5030" s="816">
        <v>0.38886549999999998</v>
      </c>
      <c r="I5030" s="816"/>
      <c r="J5030" s="817">
        <v>0.315</v>
      </c>
      <c r="K5030" s="817"/>
      <c r="L5030" s="817"/>
    </row>
    <row r="5031" spans="1:12" ht="24" customHeight="1">
      <c r="A5031" s="636"/>
      <c r="B5031" s="636"/>
      <c r="C5031" s="636"/>
      <c r="D5031" s="636"/>
      <c r="E5031" s="636"/>
      <c r="F5031" s="636"/>
      <c r="G5031" s="636"/>
      <c r="H5031" s="636"/>
      <c r="I5031" s="636"/>
      <c r="J5031" s="636" t="s">
        <v>13675</v>
      </c>
      <c r="K5031" s="636"/>
      <c r="L5031" s="636" t="s">
        <v>14705</v>
      </c>
    </row>
    <row r="5032" spans="1:12" ht="24" customHeight="1">
      <c r="A5032" s="802" t="s">
        <v>12722</v>
      </c>
      <c r="B5032" s="802"/>
      <c r="C5032" s="802"/>
      <c r="D5032" s="802"/>
      <c r="E5032" s="802"/>
      <c r="F5032" s="802"/>
      <c r="G5032" s="802"/>
      <c r="H5032" s="802"/>
      <c r="I5032" s="612"/>
      <c r="J5032" s="612"/>
      <c r="K5032" s="612"/>
      <c r="L5032" s="612"/>
    </row>
    <row r="5033" spans="1:12" ht="17.100000000000001" customHeight="1">
      <c r="A5033" s="612" t="s">
        <v>13679</v>
      </c>
      <c r="B5033" s="636" t="s">
        <v>12698</v>
      </c>
      <c r="C5033" s="612" t="s">
        <v>12699</v>
      </c>
      <c r="D5033" s="612" t="s">
        <v>12700</v>
      </c>
      <c r="E5033" s="637" t="s">
        <v>12702</v>
      </c>
      <c r="F5033" s="801" t="s">
        <v>12704</v>
      </c>
      <c r="G5033" s="801"/>
      <c r="H5033" s="801" t="s">
        <v>13678</v>
      </c>
      <c r="I5033" s="801"/>
      <c r="J5033" s="801" t="s">
        <v>12705</v>
      </c>
      <c r="K5033" s="801"/>
      <c r="L5033" s="801"/>
    </row>
    <row r="5034" spans="1:12" ht="25.5">
      <c r="A5034" s="626" t="s">
        <v>12709</v>
      </c>
      <c r="B5034" s="627" t="s">
        <v>12998</v>
      </c>
      <c r="C5034" s="626" t="s">
        <v>8</v>
      </c>
      <c r="D5034" s="626" t="s">
        <v>11861</v>
      </c>
      <c r="E5034" s="628" t="s">
        <v>23</v>
      </c>
      <c r="F5034" s="816" t="s">
        <v>13683</v>
      </c>
      <c r="G5034" s="816"/>
      <c r="H5034" s="816">
        <v>1.0510176</v>
      </c>
      <c r="I5034" s="816"/>
      <c r="J5034" s="817">
        <v>0.74619999999999997</v>
      </c>
      <c r="K5034" s="817"/>
      <c r="L5034" s="817"/>
    </row>
    <row r="5035" spans="1:12" ht="17.100000000000001" customHeight="1">
      <c r="A5035" s="636"/>
      <c r="B5035" s="636"/>
      <c r="C5035" s="636"/>
      <c r="D5035" s="636"/>
      <c r="E5035" s="636"/>
      <c r="F5035" s="636"/>
      <c r="G5035" s="636"/>
      <c r="H5035" s="636"/>
      <c r="I5035" s="636"/>
      <c r="J5035" s="636" t="s">
        <v>13675</v>
      </c>
      <c r="K5035" s="636"/>
      <c r="L5035" s="636" t="s">
        <v>14088</v>
      </c>
    </row>
    <row r="5036" spans="1:12" ht="24" customHeight="1">
      <c r="A5036" s="802" t="s">
        <v>12713</v>
      </c>
      <c r="B5036" s="802"/>
      <c r="C5036" s="802"/>
      <c r="D5036" s="802"/>
      <c r="E5036" s="802"/>
      <c r="F5036" s="802"/>
      <c r="G5036" s="802"/>
      <c r="H5036" s="802"/>
      <c r="I5036" s="612"/>
      <c r="J5036" s="612"/>
      <c r="K5036" s="612"/>
      <c r="L5036" s="612"/>
    </row>
    <row r="5037" spans="1:12" ht="17.100000000000001" customHeight="1">
      <c r="A5037" s="612" t="s">
        <v>13679</v>
      </c>
      <c r="B5037" s="636" t="s">
        <v>12698</v>
      </c>
      <c r="C5037" s="612" t="s">
        <v>12699</v>
      </c>
      <c r="D5037" s="612" t="s">
        <v>12700</v>
      </c>
      <c r="E5037" s="637" t="s">
        <v>12702</v>
      </c>
      <c r="F5037" s="801" t="s">
        <v>12704</v>
      </c>
      <c r="G5037" s="801"/>
      <c r="H5037" s="801" t="s">
        <v>13678</v>
      </c>
      <c r="I5037" s="801"/>
      <c r="J5037" s="801" t="s">
        <v>12705</v>
      </c>
      <c r="K5037" s="801"/>
      <c r="L5037" s="801"/>
    </row>
    <row r="5038" spans="1:12" ht="25.5">
      <c r="A5038" s="626" t="s">
        <v>12709</v>
      </c>
      <c r="B5038" s="627" t="s">
        <v>12999</v>
      </c>
      <c r="C5038" s="626" t="s">
        <v>8</v>
      </c>
      <c r="D5038" s="626" t="s">
        <v>11251</v>
      </c>
      <c r="E5038" s="628" t="s">
        <v>23</v>
      </c>
      <c r="F5038" s="816" t="s">
        <v>13681</v>
      </c>
      <c r="G5038" s="816"/>
      <c r="H5038" s="816">
        <v>1.0510176</v>
      </c>
      <c r="I5038" s="816"/>
      <c r="J5038" s="817">
        <v>7.3599999999999999E-2</v>
      </c>
      <c r="K5038" s="817"/>
      <c r="L5038" s="817"/>
    </row>
    <row r="5039" spans="1:12" ht="17.100000000000001" customHeight="1">
      <c r="A5039" s="636"/>
      <c r="B5039" s="636"/>
      <c r="C5039" s="636"/>
      <c r="D5039" s="636"/>
      <c r="E5039" s="636"/>
      <c r="F5039" s="636"/>
      <c r="G5039" s="636"/>
      <c r="H5039" s="636"/>
      <c r="I5039" s="636"/>
      <c r="J5039" s="636" t="s">
        <v>13675</v>
      </c>
      <c r="K5039" s="636"/>
      <c r="L5039" s="636" t="s">
        <v>13681</v>
      </c>
    </row>
    <row r="5040" spans="1:12" ht="24" customHeight="1">
      <c r="A5040" s="802" t="s">
        <v>12712</v>
      </c>
      <c r="B5040" s="802"/>
      <c r="C5040" s="802"/>
      <c r="D5040" s="802"/>
      <c r="E5040" s="802"/>
      <c r="F5040" s="802"/>
      <c r="G5040" s="802"/>
      <c r="H5040" s="802"/>
      <c r="I5040" s="612"/>
      <c r="J5040" s="612"/>
      <c r="K5040" s="612"/>
      <c r="L5040" s="612"/>
    </row>
    <row r="5041" spans="1:12" ht="17.100000000000001" customHeight="1">
      <c r="A5041" s="612" t="s">
        <v>13679</v>
      </c>
      <c r="B5041" s="636" t="s">
        <v>12698</v>
      </c>
      <c r="C5041" s="612" t="s">
        <v>12699</v>
      </c>
      <c r="D5041" s="612" t="s">
        <v>12700</v>
      </c>
      <c r="E5041" s="637" t="s">
        <v>12702</v>
      </c>
      <c r="F5041" s="801" t="s">
        <v>12704</v>
      </c>
      <c r="G5041" s="801"/>
      <c r="H5041" s="801" t="s">
        <v>13678</v>
      </c>
      <c r="I5041" s="801"/>
      <c r="J5041" s="801" t="s">
        <v>12705</v>
      </c>
      <c r="K5041" s="801"/>
      <c r="L5041" s="801"/>
    </row>
    <row r="5042" spans="1:12" ht="25.5">
      <c r="A5042" s="626" t="s">
        <v>12709</v>
      </c>
      <c r="B5042" s="627" t="s">
        <v>13002</v>
      </c>
      <c r="C5042" s="626" t="s">
        <v>8</v>
      </c>
      <c r="D5042" s="626" t="s">
        <v>9306</v>
      </c>
      <c r="E5042" s="628" t="s">
        <v>23</v>
      </c>
      <c r="F5042" s="816" t="s">
        <v>13677</v>
      </c>
      <c r="G5042" s="816"/>
      <c r="H5042" s="816">
        <v>1.0510176</v>
      </c>
      <c r="I5042" s="816"/>
      <c r="J5042" s="817">
        <v>0.3679</v>
      </c>
      <c r="K5042" s="817"/>
      <c r="L5042" s="817"/>
    </row>
    <row r="5043" spans="1:12" ht="17.100000000000001" customHeight="1">
      <c r="A5043" s="626" t="s">
        <v>12709</v>
      </c>
      <c r="B5043" s="627" t="s">
        <v>13004</v>
      </c>
      <c r="C5043" s="626" t="s">
        <v>8</v>
      </c>
      <c r="D5043" s="626" t="s">
        <v>7388</v>
      </c>
      <c r="E5043" s="628" t="s">
        <v>23</v>
      </c>
      <c r="F5043" s="816" t="s">
        <v>13676</v>
      </c>
      <c r="G5043" s="816"/>
      <c r="H5043" s="816">
        <v>1.0510176</v>
      </c>
      <c r="I5043" s="816"/>
      <c r="J5043" s="817">
        <v>2.3121999999999998</v>
      </c>
      <c r="K5043" s="817"/>
      <c r="L5043" s="817"/>
    </row>
    <row r="5044" spans="1:12" ht="24" customHeight="1">
      <c r="A5044" s="636"/>
      <c r="B5044" s="636"/>
      <c r="C5044" s="636"/>
      <c r="D5044" s="636"/>
      <c r="E5044" s="636"/>
      <c r="F5044" s="636"/>
      <c r="G5044" s="636"/>
      <c r="H5044" s="636"/>
      <c r="I5044" s="636"/>
      <c r="J5044" s="636" t="s">
        <v>13675</v>
      </c>
      <c r="K5044" s="636"/>
      <c r="L5044" s="636" t="s">
        <v>14087</v>
      </c>
    </row>
    <row r="5045" spans="1:12" ht="17.100000000000001" customHeight="1">
      <c r="A5045" s="612" t="s">
        <v>13673</v>
      </c>
      <c r="B5045" s="612"/>
      <c r="C5045" s="612"/>
      <c r="D5045" s="612"/>
      <c r="E5045" s="612"/>
      <c r="F5045" s="612"/>
      <c r="G5045" s="612"/>
      <c r="H5045" s="612"/>
      <c r="I5045" s="612"/>
      <c r="J5045" s="612"/>
      <c r="K5045" s="612"/>
      <c r="L5045" s="612"/>
    </row>
    <row r="5046" spans="1:12">
      <c r="A5046" s="636"/>
      <c r="B5046" s="636"/>
      <c r="C5046" s="636"/>
      <c r="D5046" s="636"/>
      <c r="E5046" s="636"/>
      <c r="F5046" s="636"/>
      <c r="G5046" s="636"/>
      <c r="H5046" s="636"/>
      <c r="I5046" s="636"/>
      <c r="J5046" s="636" t="s">
        <v>13672</v>
      </c>
      <c r="K5046" s="636"/>
      <c r="L5046" s="636" t="s">
        <v>15216</v>
      </c>
    </row>
    <row r="5047" spans="1:12" ht="17.100000000000001" customHeight="1">
      <c r="A5047" s="636"/>
      <c r="B5047" s="636"/>
      <c r="C5047" s="636"/>
      <c r="D5047" s="636"/>
      <c r="E5047" s="636"/>
      <c r="F5047" s="636"/>
      <c r="G5047" s="636"/>
      <c r="H5047" s="636"/>
      <c r="I5047" s="636"/>
      <c r="J5047" s="636" t="s">
        <v>13671</v>
      </c>
      <c r="K5047" s="636" t="s">
        <v>14461</v>
      </c>
      <c r="L5047" s="636" t="s">
        <v>15217</v>
      </c>
    </row>
    <row r="5048" spans="1:12" ht="24" customHeight="1">
      <c r="A5048" s="636"/>
      <c r="B5048" s="636"/>
      <c r="C5048" s="636"/>
      <c r="D5048" s="636"/>
      <c r="E5048" s="636"/>
      <c r="F5048" s="636"/>
      <c r="G5048" s="636"/>
      <c r="H5048" s="636"/>
      <c r="I5048" s="636"/>
      <c r="J5048" s="636" t="s">
        <v>13670</v>
      </c>
      <c r="K5048" s="636"/>
      <c r="L5048" s="636" t="s">
        <v>15218</v>
      </c>
    </row>
    <row r="5049" spans="1:12" ht="24" customHeight="1">
      <c r="A5049" s="636"/>
      <c r="B5049" s="636"/>
      <c r="C5049" s="636"/>
      <c r="D5049" s="636"/>
      <c r="E5049" s="636"/>
      <c r="F5049" s="636"/>
      <c r="G5049" s="636"/>
      <c r="H5049" s="636"/>
      <c r="I5049" s="636"/>
      <c r="J5049" s="636" t="s">
        <v>13669</v>
      </c>
      <c r="K5049" s="636" t="s">
        <v>13667</v>
      </c>
      <c r="L5049" s="636" t="s">
        <v>15219</v>
      </c>
    </row>
    <row r="5050" spans="1:12" ht="17.100000000000001" customHeight="1">
      <c r="A5050" s="636"/>
      <c r="B5050" s="636"/>
      <c r="C5050" s="636"/>
      <c r="D5050" s="636"/>
      <c r="E5050" s="636"/>
      <c r="F5050" s="636"/>
      <c r="G5050" s="636"/>
      <c r="H5050" s="636"/>
      <c r="I5050" s="636"/>
      <c r="J5050" s="636" t="s">
        <v>13668</v>
      </c>
      <c r="K5050" s="636"/>
      <c r="L5050" s="636" t="s">
        <v>15220</v>
      </c>
    </row>
    <row r="5051" spans="1:12" ht="17.100000000000001" customHeight="1">
      <c r="A5051" s="637"/>
      <c r="B5051" s="637"/>
      <c r="C5051" s="637"/>
      <c r="D5051" s="637"/>
      <c r="E5051" s="637"/>
      <c r="F5051" s="637"/>
      <c r="G5051" s="637"/>
      <c r="H5051" s="637"/>
      <c r="I5051" s="637"/>
      <c r="J5051" s="637"/>
      <c r="K5051" s="637"/>
      <c r="L5051" s="637"/>
    </row>
    <row r="5052" spans="1:12" ht="17.100000000000001" customHeight="1">
      <c r="A5052" s="616" t="s">
        <v>14085</v>
      </c>
      <c r="B5052" s="617" t="s">
        <v>12814</v>
      </c>
      <c r="C5052" s="616" t="s">
        <v>8</v>
      </c>
      <c r="D5052" s="616" t="s">
        <v>811</v>
      </c>
      <c r="E5052" s="618" t="s">
        <v>12725</v>
      </c>
      <c r="F5052" s="617"/>
      <c r="G5052" s="617"/>
      <c r="H5052" s="617"/>
      <c r="I5052" s="617"/>
      <c r="J5052" s="617"/>
      <c r="K5052" s="617"/>
      <c r="L5052" s="617"/>
    </row>
    <row r="5053" spans="1:12" ht="17.100000000000001" customHeight="1">
      <c r="A5053" s="802" t="s">
        <v>12711</v>
      </c>
      <c r="B5053" s="802"/>
      <c r="C5053" s="802"/>
      <c r="D5053" s="802"/>
      <c r="E5053" s="802"/>
      <c r="F5053" s="802"/>
      <c r="G5053" s="802"/>
      <c r="H5053" s="802"/>
      <c r="I5053" s="612"/>
      <c r="J5053" s="612"/>
      <c r="K5053" s="612"/>
      <c r="L5053" s="612"/>
    </row>
    <row r="5054" spans="1:12" ht="17.100000000000001" customHeight="1">
      <c r="A5054" s="612" t="s">
        <v>13679</v>
      </c>
      <c r="B5054" s="636" t="s">
        <v>12698</v>
      </c>
      <c r="C5054" s="612" t="s">
        <v>12699</v>
      </c>
      <c r="D5054" s="612" t="s">
        <v>12700</v>
      </c>
      <c r="E5054" s="637" t="s">
        <v>12702</v>
      </c>
      <c r="F5054" s="801" t="s">
        <v>12704</v>
      </c>
      <c r="G5054" s="801"/>
      <c r="H5054" s="801" t="s">
        <v>13678</v>
      </c>
      <c r="I5054" s="801"/>
      <c r="J5054" s="801" t="s">
        <v>12705</v>
      </c>
      <c r="K5054" s="801"/>
      <c r="L5054" s="801"/>
    </row>
    <row r="5055" spans="1:12" ht="17.100000000000001" customHeight="1">
      <c r="A5055" s="626" t="s">
        <v>12709</v>
      </c>
      <c r="B5055" s="627" t="s">
        <v>13088</v>
      </c>
      <c r="C5055" s="626" t="s">
        <v>8</v>
      </c>
      <c r="D5055" s="626" t="s">
        <v>9231</v>
      </c>
      <c r="E5055" s="628" t="s">
        <v>23</v>
      </c>
      <c r="F5055" s="816" t="s">
        <v>13713</v>
      </c>
      <c r="G5055" s="816"/>
      <c r="H5055" s="816">
        <v>0.34940280000000001</v>
      </c>
      <c r="I5055" s="816"/>
      <c r="J5055" s="817">
        <v>0.5101</v>
      </c>
      <c r="K5055" s="817"/>
      <c r="L5055" s="817"/>
    </row>
    <row r="5056" spans="1:12" ht="17.100000000000001" customHeight="1">
      <c r="A5056" s="626" t="s">
        <v>12709</v>
      </c>
      <c r="B5056" s="627" t="s">
        <v>13087</v>
      </c>
      <c r="C5056" s="626" t="s">
        <v>8</v>
      </c>
      <c r="D5056" s="626" t="s">
        <v>9378</v>
      </c>
      <c r="E5056" s="628" t="s">
        <v>23</v>
      </c>
      <c r="F5056" s="816" t="s">
        <v>13712</v>
      </c>
      <c r="G5056" s="816"/>
      <c r="H5056" s="816">
        <v>0.34940280000000001</v>
      </c>
      <c r="I5056" s="816"/>
      <c r="J5056" s="817">
        <v>0.4088</v>
      </c>
      <c r="K5056" s="817"/>
      <c r="L5056" s="817"/>
    </row>
    <row r="5057" spans="1:12" ht="30" customHeight="1">
      <c r="A5057" s="626" t="s">
        <v>12709</v>
      </c>
      <c r="B5057" s="627" t="s">
        <v>13048</v>
      </c>
      <c r="C5057" s="626" t="s">
        <v>8</v>
      </c>
      <c r="D5057" s="626" t="s">
        <v>9233</v>
      </c>
      <c r="E5057" s="628" t="s">
        <v>23</v>
      </c>
      <c r="F5057" s="816" t="s">
        <v>13690</v>
      </c>
      <c r="G5057" s="816"/>
      <c r="H5057" s="816">
        <v>0.2495734</v>
      </c>
      <c r="I5057" s="816"/>
      <c r="J5057" s="817">
        <v>0.25459999999999999</v>
      </c>
      <c r="K5057" s="817"/>
      <c r="L5057" s="817"/>
    </row>
    <row r="5058" spans="1:12" ht="24" customHeight="1">
      <c r="A5058" s="626" t="s">
        <v>12709</v>
      </c>
      <c r="B5058" s="627" t="s">
        <v>13047</v>
      </c>
      <c r="C5058" s="626" t="s">
        <v>8</v>
      </c>
      <c r="D5058" s="626" t="s">
        <v>9380</v>
      </c>
      <c r="E5058" s="628" t="s">
        <v>23</v>
      </c>
      <c r="F5058" s="816" t="s">
        <v>13689</v>
      </c>
      <c r="G5058" s="816"/>
      <c r="H5058" s="816">
        <v>0.2495734</v>
      </c>
      <c r="I5058" s="816"/>
      <c r="J5058" s="817">
        <v>9.4799999999999995E-2</v>
      </c>
      <c r="K5058" s="817"/>
      <c r="L5058" s="817"/>
    </row>
    <row r="5059" spans="1:12" ht="14.25" customHeight="1">
      <c r="A5059" s="636"/>
      <c r="B5059" s="636"/>
      <c r="C5059" s="636"/>
      <c r="D5059" s="636"/>
      <c r="E5059" s="636"/>
      <c r="F5059" s="636"/>
      <c r="G5059" s="636"/>
      <c r="H5059" s="636"/>
      <c r="I5059" s="636"/>
      <c r="J5059" s="636" t="s">
        <v>13675</v>
      </c>
      <c r="K5059" s="636"/>
      <c r="L5059" s="636" t="s">
        <v>13929</v>
      </c>
    </row>
    <row r="5060" spans="1:12" ht="17.100000000000001" customHeight="1">
      <c r="A5060" s="802" t="s">
        <v>12710</v>
      </c>
      <c r="B5060" s="802"/>
      <c r="C5060" s="802"/>
      <c r="D5060" s="802"/>
      <c r="E5060" s="802"/>
      <c r="F5060" s="802"/>
      <c r="G5060" s="802"/>
      <c r="H5060" s="802"/>
      <c r="I5060" s="612"/>
      <c r="J5060" s="612"/>
      <c r="K5060" s="612"/>
      <c r="L5060" s="612"/>
    </row>
    <row r="5061" spans="1:12" ht="24" customHeight="1">
      <c r="A5061" s="612" t="s">
        <v>13679</v>
      </c>
      <c r="B5061" s="636" t="s">
        <v>12698</v>
      </c>
      <c r="C5061" s="612" t="s">
        <v>12699</v>
      </c>
      <c r="D5061" s="612" t="s">
        <v>12700</v>
      </c>
      <c r="E5061" s="637" t="s">
        <v>12702</v>
      </c>
      <c r="F5061" s="801" t="s">
        <v>12704</v>
      </c>
      <c r="G5061" s="801"/>
      <c r="H5061" s="801" t="s">
        <v>13678</v>
      </c>
      <c r="I5061" s="801"/>
      <c r="J5061" s="801" t="s">
        <v>12705</v>
      </c>
      <c r="K5061" s="801"/>
      <c r="L5061" s="801"/>
    </row>
    <row r="5062" spans="1:12" ht="24" customHeight="1">
      <c r="A5062" s="626" t="s">
        <v>12709</v>
      </c>
      <c r="B5062" s="627" t="s">
        <v>13086</v>
      </c>
      <c r="C5062" s="626" t="s">
        <v>8</v>
      </c>
      <c r="D5062" s="626" t="s">
        <v>10798</v>
      </c>
      <c r="E5062" s="628" t="s">
        <v>23</v>
      </c>
      <c r="F5062" s="816" t="s">
        <v>14470</v>
      </c>
      <c r="G5062" s="816"/>
      <c r="H5062" s="816">
        <v>0.35351539999999998</v>
      </c>
      <c r="I5062" s="816"/>
      <c r="J5062" s="817">
        <v>2.4428000000000001</v>
      </c>
      <c r="K5062" s="817"/>
      <c r="L5062" s="817"/>
    </row>
    <row r="5063" spans="1:12" ht="24" customHeight="1">
      <c r="A5063" s="626" t="s">
        <v>12709</v>
      </c>
      <c r="B5063" s="627" t="s">
        <v>13046</v>
      </c>
      <c r="C5063" s="626" t="s">
        <v>8</v>
      </c>
      <c r="D5063" s="626" t="s">
        <v>11281</v>
      </c>
      <c r="E5063" s="628" t="s">
        <v>23</v>
      </c>
      <c r="F5063" s="816" t="s">
        <v>13731</v>
      </c>
      <c r="G5063" s="816"/>
      <c r="H5063" s="816">
        <v>0.25361080000000003</v>
      </c>
      <c r="I5063" s="816"/>
      <c r="J5063" s="817">
        <v>1.3036000000000001</v>
      </c>
      <c r="K5063" s="817"/>
      <c r="L5063" s="817"/>
    </row>
    <row r="5064" spans="1:12" ht="24" customHeight="1">
      <c r="A5064" s="636"/>
      <c r="B5064" s="636"/>
      <c r="C5064" s="636"/>
      <c r="D5064" s="636"/>
      <c r="E5064" s="636"/>
      <c r="F5064" s="636"/>
      <c r="G5064" s="636"/>
      <c r="H5064" s="636"/>
      <c r="I5064" s="636"/>
      <c r="J5064" s="636" t="s">
        <v>13675</v>
      </c>
      <c r="K5064" s="636"/>
      <c r="L5064" s="636" t="s">
        <v>14703</v>
      </c>
    </row>
    <row r="5065" spans="1:12" ht="17.100000000000001" customHeight="1">
      <c r="A5065" s="802" t="s">
        <v>12720</v>
      </c>
      <c r="B5065" s="802"/>
      <c r="C5065" s="802"/>
      <c r="D5065" s="802"/>
      <c r="E5065" s="802"/>
      <c r="F5065" s="802"/>
      <c r="G5065" s="802"/>
      <c r="H5065" s="802"/>
      <c r="I5065" s="612"/>
      <c r="J5065" s="612"/>
      <c r="K5065" s="612"/>
      <c r="L5065" s="612"/>
    </row>
    <row r="5066" spans="1:12" ht="14.25" customHeight="1">
      <c r="A5066" s="612" t="s">
        <v>13679</v>
      </c>
      <c r="B5066" s="636" t="s">
        <v>12698</v>
      </c>
      <c r="C5066" s="612" t="s">
        <v>12699</v>
      </c>
      <c r="D5066" s="612" t="s">
        <v>12700</v>
      </c>
      <c r="E5066" s="637" t="s">
        <v>12702</v>
      </c>
      <c r="F5066" s="801" t="s">
        <v>12704</v>
      </c>
      <c r="G5066" s="801"/>
      <c r="H5066" s="801" t="s">
        <v>13678</v>
      </c>
      <c r="I5066" s="801"/>
      <c r="J5066" s="801" t="s">
        <v>12705</v>
      </c>
      <c r="K5066" s="801"/>
      <c r="L5066" s="801"/>
    </row>
    <row r="5067" spans="1:12" ht="17.100000000000001" customHeight="1">
      <c r="A5067" s="626" t="s">
        <v>12709</v>
      </c>
      <c r="B5067" s="627" t="s">
        <v>13550</v>
      </c>
      <c r="C5067" s="626" t="s">
        <v>8</v>
      </c>
      <c r="D5067" s="626" t="s">
        <v>11781</v>
      </c>
      <c r="E5067" s="628" t="s">
        <v>58</v>
      </c>
      <c r="F5067" s="816" t="s">
        <v>14084</v>
      </c>
      <c r="G5067" s="816"/>
      <c r="H5067" s="816">
        <v>0.17</v>
      </c>
      <c r="I5067" s="816"/>
      <c r="J5067" s="817">
        <v>2.33</v>
      </c>
      <c r="K5067" s="817"/>
      <c r="L5067" s="817"/>
    </row>
    <row r="5068" spans="1:12" ht="24" customHeight="1">
      <c r="A5068" s="636"/>
      <c r="B5068" s="636"/>
      <c r="C5068" s="636"/>
      <c r="D5068" s="636"/>
      <c r="E5068" s="636"/>
      <c r="F5068" s="636"/>
      <c r="G5068" s="636"/>
      <c r="H5068" s="636"/>
      <c r="I5068" s="636"/>
      <c r="J5068" s="636" t="s">
        <v>13675</v>
      </c>
      <c r="K5068" s="636"/>
      <c r="L5068" s="636" t="s">
        <v>14083</v>
      </c>
    </row>
    <row r="5069" spans="1:12" ht="24" customHeight="1">
      <c r="A5069" s="802" t="s">
        <v>12722</v>
      </c>
      <c r="B5069" s="802"/>
      <c r="C5069" s="802"/>
      <c r="D5069" s="802"/>
      <c r="E5069" s="802"/>
      <c r="F5069" s="802"/>
      <c r="G5069" s="802"/>
      <c r="H5069" s="802"/>
      <c r="I5069" s="612"/>
      <c r="J5069" s="612"/>
      <c r="K5069" s="612"/>
      <c r="L5069" s="612"/>
    </row>
    <row r="5070" spans="1:12" ht="17.100000000000001" customHeight="1">
      <c r="A5070" s="612" t="s">
        <v>13679</v>
      </c>
      <c r="B5070" s="636" t="s">
        <v>12698</v>
      </c>
      <c r="C5070" s="612" t="s">
        <v>12699</v>
      </c>
      <c r="D5070" s="612" t="s">
        <v>12700</v>
      </c>
      <c r="E5070" s="637" t="s">
        <v>12702</v>
      </c>
      <c r="F5070" s="801" t="s">
        <v>12704</v>
      </c>
      <c r="G5070" s="801"/>
      <c r="H5070" s="801" t="s">
        <v>13678</v>
      </c>
      <c r="I5070" s="801"/>
      <c r="J5070" s="801" t="s">
        <v>12705</v>
      </c>
      <c r="K5070" s="801"/>
      <c r="L5070" s="801"/>
    </row>
    <row r="5071" spans="1:12" ht="25.5">
      <c r="A5071" s="626" t="s">
        <v>12709</v>
      </c>
      <c r="B5071" s="627" t="s">
        <v>12998</v>
      </c>
      <c r="C5071" s="626" t="s">
        <v>8</v>
      </c>
      <c r="D5071" s="626" t="s">
        <v>11861</v>
      </c>
      <c r="E5071" s="628" t="s">
        <v>23</v>
      </c>
      <c r="F5071" s="816" t="s">
        <v>13683</v>
      </c>
      <c r="G5071" s="816"/>
      <c r="H5071" s="816">
        <v>0.59897619999999996</v>
      </c>
      <c r="I5071" s="816"/>
      <c r="J5071" s="817">
        <v>0.42530000000000001</v>
      </c>
      <c r="K5071" s="817"/>
      <c r="L5071" s="817"/>
    </row>
    <row r="5072" spans="1:12" ht="17.100000000000001" customHeight="1">
      <c r="A5072" s="636"/>
      <c r="B5072" s="636"/>
      <c r="C5072" s="636"/>
      <c r="D5072" s="636"/>
      <c r="E5072" s="636"/>
      <c r="F5072" s="636"/>
      <c r="G5072" s="636"/>
      <c r="H5072" s="636"/>
      <c r="I5072" s="636"/>
      <c r="J5072" s="636" t="s">
        <v>13675</v>
      </c>
      <c r="K5072" s="636"/>
      <c r="L5072" s="636" t="s">
        <v>13717</v>
      </c>
    </row>
    <row r="5073" spans="1:12" ht="24" customHeight="1">
      <c r="A5073" s="802" t="s">
        <v>12713</v>
      </c>
      <c r="B5073" s="802"/>
      <c r="C5073" s="802"/>
      <c r="D5073" s="802"/>
      <c r="E5073" s="802"/>
      <c r="F5073" s="802"/>
      <c r="G5073" s="802"/>
      <c r="H5073" s="802"/>
      <c r="I5073" s="612"/>
      <c r="J5073" s="612"/>
      <c r="K5073" s="612"/>
      <c r="L5073" s="612"/>
    </row>
    <row r="5074" spans="1:12" ht="17.100000000000001" customHeight="1">
      <c r="A5074" s="612" t="s">
        <v>13679</v>
      </c>
      <c r="B5074" s="636" t="s">
        <v>12698</v>
      </c>
      <c r="C5074" s="612" t="s">
        <v>12699</v>
      </c>
      <c r="D5074" s="612" t="s">
        <v>12700</v>
      </c>
      <c r="E5074" s="637" t="s">
        <v>12702</v>
      </c>
      <c r="F5074" s="801" t="s">
        <v>12704</v>
      </c>
      <c r="G5074" s="801"/>
      <c r="H5074" s="801" t="s">
        <v>13678</v>
      </c>
      <c r="I5074" s="801"/>
      <c r="J5074" s="801" t="s">
        <v>12705</v>
      </c>
      <c r="K5074" s="801"/>
      <c r="L5074" s="801"/>
    </row>
    <row r="5075" spans="1:12" ht="25.5">
      <c r="A5075" s="626" t="s">
        <v>12709</v>
      </c>
      <c r="B5075" s="627" t="s">
        <v>12999</v>
      </c>
      <c r="C5075" s="626" t="s">
        <v>8</v>
      </c>
      <c r="D5075" s="626" t="s">
        <v>11251</v>
      </c>
      <c r="E5075" s="628" t="s">
        <v>23</v>
      </c>
      <c r="F5075" s="816" t="s">
        <v>13681</v>
      </c>
      <c r="G5075" s="816"/>
      <c r="H5075" s="816">
        <v>0.59897619999999996</v>
      </c>
      <c r="I5075" s="816"/>
      <c r="J5075" s="817">
        <v>4.19E-2</v>
      </c>
      <c r="K5075" s="817"/>
      <c r="L5075" s="817"/>
    </row>
    <row r="5076" spans="1:12" ht="17.100000000000001" customHeight="1">
      <c r="A5076" s="636"/>
      <c r="B5076" s="636"/>
      <c r="C5076" s="636"/>
      <c r="D5076" s="636"/>
      <c r="E5076" s="636"/>
      <c r="F5076" s="636"/>
      <c r="G5076" s="636"/>
      <c r="H5076" s="636"/>
      <c r="I5076" s="636"/>
      <c r="J5076" s="636" t="s">
        <v>13675</v>
      </c>
      <c r="K5076" s="636"/>
      <c r="L5076" s="636" t="s">
        <v>13716</v>
      </c>
    </row>
    <row r="5077" spans="1:12" ht="24" customHeight="1">
      <c r="A5077" s="802" t="s">
        <v>12712</v>
      </c>
      <c r="B5077" s="802"/>
      <c r="C5077" s="802"/>
      <c r="D5077" s="802"/>
      <c r="E5077" s="802"/>
      <c r="F5077" s="802"/>
      <c r="G5077" s="802"/>
      <c r="H5077" s="802"/>
      <c r="I5077" s="612"/>
      <c r="J5077" s="612"/>
      <c r="K5077" s="612"/>
      <c r="L5077" s="612"/>
    </row>
    <row r="5078" spans="1:12" ht="17.100000000000001" customHeight="1">
      <c r="A5078" s="612" t="s">
        <v>13679</v>
      </c>
      <c r="B5078" s="636" t="s">
        <v>12698</v>
      </c>
      <c r="C5078" s="612" t="s">
        <v>12699</v>
      </c>
      <c r="D5078" s="612" t="s">
        <v>12700</v>
      </c>
      <c r="E5078" s="637" t="s">
        <v>12702</v>
      </c>
      <c r="F5078" s="801" t="s">
        <v>12704</v>
      </c>
      <c r="G5078" s="801"/>
      <c r="H5078" s="801" t="s">
        <v>13678</v>
      </c>
      <c r="I5078" s="801"/>
      <c r="J5078" s="801" t="s">
        <v>12705</v>
      </c>
      <c r="K5078" s="801"/>
      <c r="L5078" s="801"/>
    </row>
    <row r="5079" spans="1:12" ht="25.5">
      <c r="A5079" s="626" t="s">
        <v>12709</v>
      </c>
      <c r="B5079" s="627" t="s">
        <v>13002</v>
      </c>
      <c r="C5079" s="626" t="s">
        <v>8</v>
      </c>
      <c r="D5079" s="626" t="s">
        <v>9306</v>
      </c>
      <c r="E5079" s="628" t="s">
        <v>23</v>
      </c>
      <c r="F5079" s="816" t="s">
        <v>13677</v>
      </c>
      <c r="G5079" s="816"/>
      <c r="H5079" s="816">
        <v>0.59897619999999996</v>
      </c>
      <c r="I5079" s="816"/>
      <c r="J5079" s="817">
        <v>0.20960000000000001</v>
      </c>
      <c r="K5079" s="817"/>
      <c r="L5079" s="817"/>
    </row>
    <row r="5080" spans="1:12" ht="17.100000000000001" customHeight="1">
      <c r="A5080" s="626" t="s">
        <v>12709</v>
      </c>
      <c r="B5080" s="627" t="s">
        <v>13004</v>
      </c>
      <c r="C5080" s="626" t="s">
        <v>8</v>
      </c>
      <c r="D5080" s="626" t="s">
        <v>7388</v>
      </c>
      <c r="E5080" s="628" t="s">
        <v>23</v>
      </c>
      <c r="F5080" s="816" t="s">
        <v>13676</v>
      </c>
      <c r="G5080" s="816"/>
      <c r="H5080" s="816">
        <v>0.59897619999999996</v>
      </c>
      <c r="I5080" s="816"/>
      <c r="J5080" s="817">
        <v>1.3177000000000001</v>
      </c>
      <c r="K5080" s="817"/>
      <c r="L5080" s="817"/>
    </row>
    <row r="5081" spans="1:12" ht="24" customHeight="1">
      <c r="A5081" s="636"/>
      <c r="B5081" s="636"/>
      <c r="C5081" s="636"/>
      <c r="D5081" s="636"/>
      <c r="E5081" s="636"/>
      <c r="F5081" s="636"/>
      <c r="G5081" s="636"/>
      <c r="H5081" s="636"/>
      <c r="I5081" s="636"/>
      <c r="J5081" s="636" t="s">
        <v>13675</v>
      </c>
      <c r="K5081" s="636"/>
      <c r="L5081" s="636" t="s">
        <v>13715</v>
      </c>
    </row>
    <row r="5082" spans="1:12" ht="24" customHeight="1">
      <c r="A5082" s="612" t="s">
        <v>13673</v>
      </c>
      <c r="B5082" s="612"/>
      <c r="C5082" s="612"/>
      <c r="D5082" s="612"/>
      <c r="E5082" s="612"/>
      <c r="F5082" s="612"/>
      <c r="G5082" s="612"/>
      <c r="H5082" s="612"/>
      <c r="I5082" s="612"/>
      <c r="J5082" s="612"/>
      <c r="K5082" s="612"/>
      <c r="L5082" s="612"/>
    </row>
    <row r="5083" spans="1:12" ht="17.100000000000001" customHeight="1">
      <c r="A5083" s="636"/>
      <c r="B5083" s="636"/>
      <c r="C5083" s="636"/>
      <c r="D5083" s="636"/>
      <c r="E5083" s="636"/>
      <c r="F5083" s="636"/>
      <c r="G5083" s="636"/>
      <c r="H5083" s="636"/>
      <c r="I5083" s="636"/>
      <c r="J5083" s="636" t="s">
        <v>13672</v>
      </c>
      <c r="K5083" s="636"/>
      <c r="L5083" s="636" t="s">
        <v>15221</v>
      </c>
    </row>
    <row r="5084" spans="1:12" ht="17.100000000000001" customHeight="1">
      <c r="A5084" s="636"/>
      <c r="B5084" s="636"/>
      <c r="C5084" s="636"/>
      <c r="D5084" s="636"/>
      <c r="E5084" s="636"/>
      <c r="F5084" s="636"/>
      <c r="G5084" s="636"/>
      <c r="H5084" s="636"/>
      <c r="I5084" s="636"/>
      <c r="J5084" s="636" t="s">
        <v>13671</v>
      </c>
      <c r="K5084" s="636" t="s">
        <v>14461</v>
      </c>
      <c r="L5084" s="636" t="s">
        <v>15222</v>
      </c>
    </row>
    <row r="5085" spans="1:12" ht="17.100000000000001" customHeight="1">
      <c r="A5085" s="636"/>
      <c r="B5085" s="636"/>
      <c r="C5085" s="636"/>
      <c r="D5085" s="636"/>
      <c r="E5085" s="636"/>
      <c r="F5085" s="636"/>
      <c r="G5085" s="636"/>
      <c r="H5085" s="636"/>
      <c r="I5085" s="636"/>
      <c r="J5085" s="636" t="s">
        <v>13670</v>
      </c>
      <c r="K5085" s="636"/>
      <c r="L5085" s="636" t="s">
        <v>15223</v>
      </c>
    </row>
    <row r="5086" spans="1:12" ht="17.100000000000001" customHeight="1">
      <c r="A5086" s="636"/>
      <c r="B5086" s="636"/>
      <c r="C5086" s="636"/>
      <c r="D5086" s="636"/>
      <c r="E5086" s="636"/>
      <c r="F5086" s="636"/>
      <c r="G5086" s="636"/>
      <c r="H5086" s="636"/>
      <c r="I5086" s="636"/>
      <c r="J5086" s="636" t="s">
        <v>13669</v>
      </c>
      <c r="K5086" s="636" t="s">
        <v>13667</v>
      </c>
      <c r="L5086" s="636" t="s">
        <v>15224</v>
      </c>
    </row>
    <row r="5087" spans="1:12" ht="17.100000000000001" customHeight="1">
      <c r="A5087" s="636"/>
      <c r="B5087" s="636"/>
      <c r="C5087" s="636"/>
      <c r="D5087" s="636"/>
      <c r="E5087" s="636"/>
      <c r="F5087" s="636"/>
      <c r="G5087" s="636"/>
      <c r="H5087" s="636"/>
      <c r="I5087" s="636"/>
      <c r="J5087" s="636" t="s">
        <v>13668</v>
      </c>
      <c r="K5087" s="636"/>
      <c r="L5087" s="636" t="s">
        <v>15225</v>
      </c>
    </row>
    <row r="5088" spans="1:12" ht="17.100000000000001" customHeight="1">
      <c r="A5088" s="637"/>
      <c r="B5088" s="637"/>
      <c r="C5088" s="637"/>
      <c r="D5088" s="637"/>
      <c r="E5088" s="637"/>
      <c r="F5088" s="637"/>
      <c r="G5088" s="637"/>
      <c r="H5088" s="637"/>
      <c r="I5088" s="637"/>
      <c r="J5088" s="637"/>
      <c r="K5088" s="637"/>
      <c r="L5088" s="637"/>
    </row>
    <row r="5089" spans="1:12" ht="17.100000000000001" customHeight="1">
      <c r="A5089" s="616" t="s">
        <v>14082</v>
      </c>
      <c r="B5089" s="617" t="s">
        <v>13640</v>
      </c>
      <c r="C5089" s="616" t="s">
        <v>8</v>
      </c>
      <c r="D5089" s="616" t="s">
        <v>4619</v>
      </c>
      <c r="E5089" s="618" t="s">
        <v>12730</v>
      </c>
      <c r="F5089" s="617"/>
      <c r="G5089" s="617"/>
      <c r="H5089" s="617"/>
      <c r="I5089" s="617"/>
      <c r="J5089" s="617"/>
      <c r="K5089" s="617"/>
      <c r="L5089" s="617"/>
    </row>
    <row r="5090" spans="1:12" ht="30" customHeight="1">
      <c r="A5090" s="802" t="s">
        <v>12711</v>
      </c>
      <c r="B5090" s="802"/>
      <c r="C5090" s="802"/>
      <c r="D5090" s="802"/>
      <c r="E5090" s="802"/>
      <c r="F5090" s="802"/>
      <c r="G5090" s="802"/>
      <c r="H5090" s="802"/>
      <c r="I5090" s="612"/>
      <c r="J5090" s="612"/>
      <c r="K5090" s="612"/>
      <c r="L5090" s="612"/>
    </row>
    <row r="5091" spans="1:12" ht="24" customHeight="1">
      <c r="A5091" s="612" t="s">
        <v>13679</v>
      </c>
      <c r="B5091" s="636" t="s">
        <v>12698</v>
      </c>
      <c r="C5091" s="612" t="s">
        <v>12699</v>
      </c>
      <c r="D5091" s="612" t="s">
        <v>12700</v>
      </c>
      <c r="E5091" s="637" t="s">
        <v>12702</v>
      </c>
      <c r="F5091" s="801" t="s">
        <v>12704</v>
      </c>
      <c r="G5091" s="801"/>
      <c r="H5091" s="801" t="s">
        <v>13678</v>
      </c>
      <c r="I5091" s="801"/>
      <c r="J5091" s="801" t="s">
        <v>12705</v>
      </c>
      <c r="K5091" s="801"/>
      <c r="L5091" s="801"/>
    </row>
    <row r="5092" spans="1:12" ht="14.25" customHeight="1">
      <c r="A5092" s="626" t="s">
        <v>12709</v>
      </c>
      <c r="B5092" s="627" t="s">
        <v>13052</v>
      </c>
      <c r="C5092" s="626" t="s">
        <v>8</v>
      </c>
      <c r="D5092" s="626" t="s">
        <v>9229</v>
      </c>
      <c r="E5092" s="628" t="s">
        <v>23</v>
      </c>
      <c r="F5092" s="816" t="s">
        <v>13692</v>
      </c>
      <c r="G5092" s="816"/>
      <c r="H5092" s="816">
        <v>0.224748</v>
      </c>
      <c r="I5092" s="816"/>
      <c r="J5092" s="817">
        <v>0.21579999999999999</v>
      </c>
      <c r="K5092" s="817"/>
      <c r="L5092" s="817"/>
    </row>
    <row r="5093" spans="1:12" ht="17.100000000000001" customHeight="1">
      <c r="A5093" s="626" t="s">
        <v>12709</v>
      </c>
      <c r="B5093" s="627" t="s">
        <v>13051</v>
      </c>
      <c r="C5093" s="626" t="s">
        <v>8</v>
      </c>
      <c r="D5093" s="626" t="s">
        <v>9376</v>
      </c>
      <c r="E5093" s="628" t="s">
        <v>23</v>
      </c>
      <c r="F5093" s="816" t="s">
        <v>13691</v>
      </c>
      <c r="G5093" s="816"/>
      <c r="H5093" s="816">
        <v>0.224748</v>
      </c>
      <c r="I5093" s="816"/>
      <c r="J5093" s="817">
        <v>0.1124</v>
      </c>
      <c r="K5093" s="817"/>
      <c r="L5093" s="817"/>
    </row>
    <row r="5094" spans="1:12" ht="24" customHeight="1">
      <c r="A5094" s="626" t="s">
        <v>12709</v>
      </c>
      <c r="B5094" s="627" t="s">
        <v>13048</v>
      </c>
      <c r="C5094" s="626" t="s">
        <v>8</v>
      </c>
      <c r="D5094" s="626" t="s">
        <v>9233</v>
      </c>
      <c r="E5094" s="628" t="s">
        <v>23</v>
      </c>
      <c r="F5094" s="816" t="s">
        <v>13690</v>
      </c>
      <c r="G5094" s="816"/>
      <c r="H5094" s="816">
        <v>2.3221957999999998</v>
      </c>
      <c r="I5094" s="816"/>
      <c r="J5094" s="817">
        <v>2.3685999999999998</v>
      </c>
      <c r="K5094" s="817"/>
      <c r="L5094" s="817"/>
    </row>
    <row r="5095" spans="1:12" ht="24" customHeight="1">
      <c r="A5095" s="626" t="s">
        <v>12709</v>
      </c>
      <c r="B5095" s="627" t="s">
        <v>13047</v>
      </c>
      <c r="C5095" s="626" t="s">
        <v>8</v>
      </c>
      <c r="D5095" s="626" t="s">
        <v>9380</v>
      </c>
      <c r="E5095" s="628" t="s">
        <v>23</v>
      </c>
      <c r="F5095" s="816" t="s">
        <v>13689</v>
      </c>
      <c r="G5095" s="816"/>
      <c r="H5095" s="816">
        <v>2.3221957999999998</v>
      </c>
      <c r="I5095" s="816"/>
      <c r="J5095" s="817">
        <v>0.88239999999999996</v>
      </c>
      <c r="K5095" s="817"/>
      <c r="L5095" s="817"/>
    </row>
    <row r="5096" spans="1:12" ht="17.100000000000001" customHeight="1">
      <c r="A5096" s="636"/>
      <c r="B5096" s="636"/>
      <c r="C5096" s="636"/>
      <c r="D5096" s="636"/>
      <c r="E5096" s="636"/>
      <c r="F5096" s="636"/>
      <c r="G5096" s="636"/>
      <c r="H5096" s="636"/>
      <c r="I5096" s="636"/>
      <c r="J5096" s="636" t="s">
        <v>13675</v>
      </c>
      <c r="K5096" s="636"/>
      <c r="L5096" s="636" t="s">
        <v>13942</v>
      </c>
    </row>
    <row r="5097" spans="1:12" ht="14.25" customHeight="1">
      <c r="A5097" s="802" t="s">
        <v>12710</v>
      </c>
      <c r="B5097" s="802"/>
      <c r="C5097" s="802"/>
      <c r="D5097" s="802"/>
      <c r="E5097" s="802"/>
      <c r="F5097" s="802"/>
      <c r="G5097" s="802"/>
      <c r="H5097" s="802"/>
      <c r="I5097" s="612"/>
      <c r="J5097" s="612"/>
      <c r="K5097" s="612"/>
      <c r="L5097" s="612"/>
    </row>
    <row r="5098" spans="1:12" ht="17.100000000000001" customHeight="1">
      <c r="A5098" s="612" t="s">
        <v>13679</v>
      </c>
      <c r="B5098" s="636" t="s">
        <v>12698</v>
      </c>
      <c r="C5098" s="612" t="s">
        <v>12699</v>
      </c>
      <c r="D5098" s="612" t="s">
        <v>12700</v>
      </c>
      <c r="E5098" s="637" t="s">
        <v>12702</v>
      </c>
      <c r="F5098" s="801" t="s">
        <v>12704</v>
      </c>
      <c r="G5098" s="801"/>
      <c r="H5098" s="801" t="s">
        <v>13678</v>
      </c>
      <c r="I5098" s="801"/>
      <c r="J5098" s="801" t="s">
        <v>12705</v>
      </c>
      <c r="K5098" s="801"/>
      <c r="L5098" s="801"/>
    </row>
    <row r="5099" spans="1:12" ht="24" customHeight="1">
      <c r="A5099" s="626" t="s">
        <v>12709</v>
      </c>
      <c r="B5099" s="627" t="s">
        <v>13099</v>
      </c>
      <c r="C5099" s="626" t="s">
        <v>8</v>
      </c>
      <c r="D5099" s="626" t="s">
        <v>10726</v>
      </c>
      <c r="E5099" s="628" t="s">
        <v>23</v>
      </c>
      <c r="F5099" s="816" t="s">
        <v>14470</v>
      </c>
      <c r="G5099" s="816"/>
      <c r="H5099" s="816">
        <v>0.2280614</v>
      </c>
      <c r="I5099" s="816"/>
      <c r="J5099" s="817">
        <v>1.5759000000000001</v>
      </c>
      <c r="K5099" s="817"/>
      <c r="L5099" s="817"/>
    </row>
    <row r="5100" spans="1:12" ht="17.100000000000001" customHeight="1">
      <c r="A5100" s="626" t="s">
        <v>12709</v>
      </c>
      <c r="B5100" s="627" t="s">
        <v>13046</v>
      </c>
      <c r="C5100" s="626" t="s">
        <v>8</v>
      </c>
      <c r="D5100" s="626" t="s">
        <v>11281</v>
      </c>
      <c r="E5100" s="628" t="s">
        <v>23</v>
      </c>
      <c r="F5100" s="816" t="s">
        <v>13731</v>
      </c>
      <c r="G5100" s="816"/>
      <c r="H5100" s="816">
        <v>2.3564322</v>
      </c>
      <c r="I5100" s="816"/>
      <c r="J5100" s="817">
        <v>12.1121</v>
      </c>
      <c r="K5100" s="817"/>
      <c r="L5100" s="817"/>
    </row>
    <row r="5101" spans="1:12">
      <c r="A5101" s="636"/>
      <c r="B5101" s="636"/>
      <c r="C5101" s="636"/>
      <c r="D5101" s="636"/>
      <c r="E5101" s="636"/>
      <c r="F5101" s="636"/>
      <c r="G5101" s="636"/>
      <c r="H5101" s="636"/>
      <c r="I5101" s="636"/>
      <c r="J5101" s="636" t="s">
        <v>13675</v>
      </c>
      <c r="K5101" s="636"/>
      <c r="L5101" s="636" t="s">
        <v>14601</v>
      </c>
    </row>
    <row r="5102" spans="1:12" ht="17.100000000000001" customHeight="1">
      <c r="A5102" s="802" t="s">
        <v>12722</v>
      </c>
      <c r="B5102" s="802"/>
      <c r="C5102" s="802"/>
      <c r="D5102" s="802"/>
      <c r="E5102" s="802"/>
      <c r="F5102" s="802"/>
      <c r="G5102" s="802"/>
      <c r="H5102" s="802"/>
      <c r="I5102" s="612"/>
      <c r="J5102" s="612"/>
      <c r="K5102" s="612"/>
      <c r="L5102" s="612"/>
    </row>
    <row r="5103" spans="1:12" ht="24" customHeight="1">
      <c r="A5103" s="612" t="s">
        <v>13679</v>
      </c>
      <c r="B5103" s="636" t="s">
        <v>12698</v>
      </c>
      <c r="C5103" s="612" t="s">
        <v>12699</v>
      </c>
      <c r="D5103" s="612" t="s">
        <v>12700</v>
      </c>
      <c r="E5103" s="637" t="s">
        <v>12702</v>
      </c>
      <c r="F5103" s="801" t="s">
        <v>12704</v>
      </c>
      <c r="G5103" s="801"/>
      <c r="H5103" s="801" t="s">
        <v>13678</v>
      </c>
      <c r="I5103" s="801"/>
      <c r="J5103" s="801" t="s">
        <v>12705</v>
      </c>
      <c r="K5103" s="801"/>
      <c r="L5103" s="801"/>
    </row>
    <row r="5104" spans="1:12" ht="24" customHeight="1">
      <c r="A5104" s="626" t="s">
        <v>12709</v>
      </c>
      <c r="B5104" s="627" t="s">
        <v>12998</v>
      </c>
      <c r="C5104" s="626" t="s">
        <v>8</v>
      </c>
      <c r="D5104" s="626" t="s">
        <v>11861</v>
      </c>
      <c r="E5104" s="628" t="s">
        <v>23</v>
      </c>
      <c r="F5104" s="816" t="s">
        <v>13683</v>
      </c>
      <c r="G5104" s="816"/>
      <c r="H5104" s="816">
        <v>2.5469436999999999</v>
      </c>
      <c r="I5104" s="816"/>
      <c r="J5104" s="817">
        <v>1.8083</v>
      </c>
      <c r="K5104" s="817"/>
      <c r="L5104" s="817"/>
    </row>
    <row r="5105" spans="1:12" ht="24" customHeight="1">
      <c r="A5105" s="636"/>
      <c r="B5105" s="636"/>
      <c r="C5105" s="636"/>
      <c r="D5105" s="636"/>
      <c r="E5105" s="636"/>
      <c r="F5105" s="636"/>
      <c r="G5105" s="636"/>
      <c r="H5105" s="636"/>
      <c r="I5105" s="636"/>
      <c r="J5105" s="636" t="s">
        <v>13675</v>
      </c>
      <c r="K5105" s="636"/>
      <c r="L5105" s="636" t="s">
        <v>13940</v>
      </c>
    </row>
    <row r="5106" spans="1:12" ht="17.100000000000001" customHeight="1">
      <c r="A5106" s="802" t="s">
        <v>12713</v>
      </c>
      <c r="B5106" s="802"/>
      <c r="C5106" s="802"/>
      <c r="D5106" s="802"/>
      <c r="E5106" s="802"/>
      <c r="F5106" s="802"/>
      <c r="G5106" s="802"/>
      <c r="H5106" s="802"/>
      <c r="I5106" s="612"/>
      <c r="J5106" s="612"/>
      <c r="K5106" s="612"/>
      <c r="L5106" s="612"/>
    </row>
    <row r="5107" spans="1:12">
      <c r="A5107" s="612" t="s">
        <v>13679</v>
      </c>
      <c r="B5107" s="636" t="s">
        <v>12698</v>
      </c>
      <c r="C5107" s="612" t="s">
        <v>12699</v>
      </c>
      <c r="D5107" s="612" t="s">
        <v>12700</v>
      </c>
      <c r="E5107" s="637" t="s">
        <v>12702</v>
      </c>
      <c r="F5107" s="801" t="s">
        <v>12704</v>
      </c>
      <c r="G5107" s="801"/>
      <c r="H5107" s="801" t="s">
        <v>13678</v>
      </c>
      <c r="I5107" s="801"/>
      <c r="J5107" s="801" t="s">
        <v>12705</v>
      </c>
      <c r="K5107" s="801"/>
      <c r="L5107" s="801"/>
    </row>
    <row r="5108" spans="1:12" ht="17.100000000000001" customHeight="1">
      <c r="A5108" s="626" t="s">
        <v>12709</v>
      </c>
      <c r="B5108" s="627" t="s">
        <v>12999</v>
      </c>
      <c r="C5108" s="626" t="s">
        <v>8</v>
      </c>
      <c r="D5108" s="626" t="s">
        <v>11251</v>
      </c>
      <c r="E5108" s="628" t="s">
        <v>23</v>
      </c>
      <c r="F5108" s="816" t="s">
        <v>13681</v>
      </c>
      <c r="G5108" s="816"/>
      <c r="H5108" s="816">
        <v>2.5469436999999999</v>
      </c>
      <c r="I5108" s="816"/>
      <c r="J5108" s="817">
        <v>0.17829999999999999</v>
      </c>
      <c r="K5108" s="817"/>
      <c r="L5108" s="817"/>
    </row>
    <row r="5109" spans="1:12" ht="24" customHeight="1">
      <c r="A5109" s="636"/>
      <c r="B5109" s="636"/>
      <c r="C5109" s="636"/>
      <c r="D5109" s="636"/>
      <c r="E5109" s="636"/>
      <c r="F5109" s="636"/>
      <c r="G5109" s="636"/>
      <c r="H5109" s="636"/>
      <c r="I5109" s="636"/>
      <c r="J5109" s="636" t="s">
        <v>13675</v>
      </c>
      <c r="K5109" s="636"/>
      <c r="L5109" s="636" t="s">
        <v>13682</v>
      </c>
    </row>
    <row r="5110" spans="1:12" ht="17.100000000000001" customHeight="1">
      <c r="A5110" s="802" t="s">
        <v>12712</v>
      </c>
      <c r="B5110" s="802"/>
      <c r="C5110" s="802"/>
      <c r="D5110" s="802"/>
      <c r="E5110" s="802"/>
      <c r="F5110" s="802"/>
      <c r="G5110" s="802"/>
      <c r="H5110" s="802"/>
      <c r="I5110" s="612"/>
      <c r="J5110" s="612"/>
      <c r="K5110" s="612"/>
      <c r="L5110" s="612"/>
    </row>
    <row r="5111" spans="1:12">
      <c r="A5111" s="612" t="s">
        <v>13679</v>
      </c>
      <c r="B5111" s="636" t="s">
        <v>12698</v>
      </c>
      <c r="C5111" s="612" t="s">
        <v>12699</v>
      </c>
      <c r="D5111" s="612" t="s">
        <v>12700</v>
      </c>
      <c r="E5111" s="637" t="s">
        <v>12702</v>
      </c>
      <c r="F5111" s="801" t="s">
        <v>12704</v>
      </c>
      <c r="G5111" s="801"/>
      <c r="H5111" s="801" t="s">
        <v>13678</v>
      </c>
      <c r="I5111" s="801"/>
      <c r="J5111" s="801" t="s">
        <v>12705</v>
      </c>
      <c r="K5111" s="801"/>
      <c r="L5111" s="801"/>
    </row>
    <row r="5112" spans="1:12" ht="17.100000000000001" customHeight="1">
      <c r="A5112" s="626" t="s">
        <v>12709</v>
      </c>
      <c r="B5112" s="627" t="s">
        <v>13002</v>
      </c>
      <c r="C5112" s="626" t="s">
        <v>8</v>
      </c>
      <c r="D5112" s="626" t="s">
        <v>9306</v>
      </c>
      <c r="E5112" s="628" t="s">
        <v>23</v>
      </c>
      <c r="F5112" s="816" t="s">
        <v>13677</v>
      </c>
      <c r="G5112" s="816"/>
      <c r="H5112" s="816">
        <v>2.5469436999999999</v>
      </c>
      <c r="I5112" s="816"/>
      <c r="J5112" s="817">
        <v>0.89139999999999997</v>
      </c>
      <c r="K5112" s="817"/>
      <c r="L5112" s="817"/>
    </row>
    <row r="5113" spans="1:12" ht="24" customHeight="1">
      <c r="A5113" s="626" t="s">
        <v>12709</v>
      </c>
      <c r="B5113" s="627" t="s">
        <v>13004</v>
      </c>
      <c r="C5113" s="626" t="s">
        <v>8</v>
      </c>
      <c r="D5113" s="626" t="s">
        <v>7388</v>
      </c>
      <c r="E5113" s="628" t="s">
        <v>23</v>
      </c>
      <c r="F5113" s="816" t="s">
        <v>13676</v>
      </c>
      <c r="G5113" s="816"/>
      <c r="H5113" s="816">
        <v>2.5469436999999999</v>
      </c>
      <c r="I5113" s="816"/>
      <c r="J5113" s="817">
        <v>5.6032999999999999</v>
      </c>
      <c r="K5113" s="817"/>
      <c r="L5113" s="817"/>
    </row>
    <row r="5114" spans="1:12" ht="17.100000000000001" customHeight="1">
      <c r="A5114" s="636"/>
      <c r="B5114" s="636"/>
      <c r="C5114" s="636"/>
      <c r="D5114" s="636"/>
      <c r="E5114" s="636"/>
      <c r="F5114" s="636"/>
      <c r="G5114" s="636"/>
      <c r="H5114" s="636"/>
      <c r="I5114" s="636"/>
      <c r="J5114" s="636" t="s">
        <v>13675</v>
      </c>
      <c r="K5114" s="636"/>
      <c r="L5114" s="636" t="s">
        <v>14600</v>
      </c>
    </row>
    <row r="5115" spans="1:12">
      <c r="A5115" s="612" t="s">
        <v>13673</v>
      </c>
      <c r="B5115" s="612"/>
      <c r="C5115" s="612"/>
      <c r="D5115" s="612"/>
      <c r="E5115" s="612"/>
      <c r="F5115" s="612"/>
      <c r="G5115" s="612"/>
      <c r="H5115" s="612"/>
      <c r="I5115" s="612"/>
      <c r="J5115" s="612"/>
      <c r="K5115" s="612"/>
      <c r="L5115" s="612"/>
    </row>
    <row r="5116" spans="1:12" ht="17.100000000000001" customHeight="1">
      <c r="A5116" s="636"/>
      <c r="B5116" s="636"/>
      <c r="C5116" s="636"/>
      <c r="D5116" s="636"/>
      <c r="E5116" s="636"/>
      <c r="F5116" s="636"/>
      <c r="G5116" s="636"/>
      <c r="H5116" s="636"/>
      <c r="I5116" s="636"/>
      <c r="J5116" s="636" t="s">
        <v>13672</v>
      </c>
      <c r="K5116" s="636"/>
      <c r="L5116" s="636" t="s">
        <v>14944</v>
      </c>
    </row>
    <row r="5117" spans="1:12" ht="24" customHeight="1">
      <c r="A5117" s="636"/>
      <c r="B5117" s="636"/>
      <c r="C5117" s="636"/>
      <c r="D5117" s="636"/>
      <c r="E5117" s="636"/>
      <c r="F5117" s="636"/>
      <c r="G5117" s="636"/>
      <c r="H5117" s="636"/>
      <c r="I5117" s="636"/>
      <c r="J5117" s="636" t="s">
        <v>13671</v>
      </c>
      <c r="K5117" s="636" t="s">
        <v>14461</v>
      </c>
      <c r="L5117" s="636" t="s">
        <v>14945</v>
      </c>
    </row>
    <row r="5118" spans="1:12" ht="24" customHeight="1">
      <c r="A5118" s="636"/>
      <c r="B5118" s="636"/>
      <c r="C5118" s="636"/>
      <c r="D5118" s="636"/>
      <c r="E5118" s="636"/>
      <c r="F5118" s="636"/>
      <c r="G5118" s="636"/>
      <c r="H5118" s="636"/>
      <c r="I5118" s="636"/>
      <c r="J5118" s="636" t="s">
        <v>13670</v>
      </c>
      <c r="K5118" s="636"/>
      <c r="L5118" s="636" t="s">
        <v>14946</v>
      </c>
    </row>
    <row r="5119" spans="1:12" ht="17.100000000000001" customHeight="1">
      <c r="A5119" s="636"/>
      <c r="B5119" s="636"/>
      <c r="C5119" s="636"/>
      <c r="D5119" s="636"/>
      <c r="E5119" s="636"/>
      <c r="F5119" s="636"/>
      <c r="G5119" s="636"/>
      <c r="H5119" s="636"/>
      <c r="I5119" s="636"/>
      <c r="J5119" s="636" t="s">
        <v>13669</v>
      </c>
      <c r="K5119" s="636" t="s">
        <v>13667</v>
      </c>
      <c r="L5119" s="636" t="s">
        <v>14947</v>
      </c>
    </row>
    <row r="5120" spans="1:12" ht="17.100000000000001" customHeight="1">
      <c r="A5120" s="636"/>
      <c r="B5120" s="636"/>
      <c r="C5120" s="636"/>
      <c r="D5120" s="636"/>
      <c r="E5120" s="636"/>
      <c r="F5120" s="636"/>
      <c r="G5120" s="636"/>
      <c r="H5120" s="636"/>
      <c r="I5120" s="636"/>
      <c r="J5120" s="636" t="s">
        <v>13668</v>
      </c>
      <c r="K5120" s="636"/>
      <c r="L5120" s="636" t="s">
        <v>14948</v>
      </c>
    </row>
    <row r="5121" spans="1:12" ht="17.100000000000001" customHeight="1">
      <c r="A5121" s="637"/>
      <c r="B5121" s="637"/>
      <c r="C5121" s="637"/>
      <c r="D5121" s="637"/>
      <c r="E5121" s="637"/>
      <c r="F5121" s="637"/>
      <c r="G5121" s="637"/>
      <c r="H5121" s="637"/>
      <c r="I5121" s="637"/>
      <c r="J5121" s="637"/>
      <c r="K5121" s="637"/>
      <c r="L5121" s="637"/>
    </row>
    <row r="5122" spans="1:12" ht="17.100000000000001" customHeight="1">
      <c r="A5122" s="616" t="s">
        <v>14081</v>
      </c>
      <c r="B5122" s="617" t="s">
        <v>13549</v>
      </c>
      <c r="C5122" s="616" t="s">
        <v>8</v>
      </c>
      <c r="D5122" s="616" t="s">
        <v>3552</v>
      </c>
      <c r="E5122" s="618" t="s">
        <v>12730</v>
      </c>
      <c r="F5122" s="617"/>
      <c r="G5122" s="617"/>
      <c r="H5122" s="617"/>
      <c r="I5122" s="617"/>
      <c r="J5122" s="617"/>
      <c r="K5122" s="617"/>
      <c r="L5122" s="617"/>
    </row>
    <row r="5123" spans="1:12" ht="17.100000000000001" customHeight="1">
      <c r="A5123" s="802" t="s">
        <v>12711</v>
      </c>
      <c r="B5123" s="802"/>
      <c r="C5123" s="802"/>
      <c r="D5123" s="802"/>
      <c r="E5123" s="802"/>
      <c r="F5123" s="802"/>
      <c r="G5123" s="802"/>
      <c r="H5123" s="802"/>
      <c r="I5123" s="612"/>
      <c r="J5123" s="612"/>
      <c r="K5123" s="612"/>
      <c r="L5123" s="612"/>
    </row>
    <row r="5124" spans="1:12" ht="17.100000000000001" customHeight="1">
      <c r="A5124" s="612" t="s">
        <v>13679</v>
      </c>
      <c r="B5124" s="636" t="s">
        <v>12698</v>
      </c>
      <c r="C5124" s="612" t="s">
        <v>12699</v>
      </c>
      <c r="D5124" s="612" t="s">
        <v>12700</v>
      </c>
      <c r="E5124" s="637" t="s">
        <v>12702</v>
      </c>
      <c r="F5124" s="801" t="s">
        <v>12704</v>
      </c>
      <c r="G5124" s="801"/>
      <c r="H5124" s="801" t="s">
        <v>13678</v>
      </c>
      <c r="I5124" s="801"/>
      <c r="J5124" s="801" t="s">
        <v>12705</v>
      </c>
      <c r="K5124" s="801"/>
      <c r="L5124" s="801"/>
    </row>
    <row r="5125" spans="1:12" ht="17.100000000000001" customHeight="1">
      <c r="A5125" s="626" t="s">
        <v>12709</v>
      </c>
      <c r="B5125" s="627" t="s">
        <v>13048</v>
      </c>
      <c r="C5125" s="626" t="s">
        <v>8</v>
      </c>
      <c r="D5125" s="626" t="s">
        <v>9233</v>
      </c>
      <c r="E5125" s="628" t="s">
        <v>23</v>
      </c>
      <c r="F5125" s="816" t="s">
        <v>13690</v>
      </c>
      <c r="G5125" s="816"/>
      <c r="H5125" s="816">
        <v>10.0116323</v>
      </c>
      <c r="I5125" s="816"/>
      <c r="J5125" s="817">
        <v>10.2119</v>
      </c>
      <c r="K5125" s="817"/>
      <c r="L5125" s="817"/>
    </row>
    <row r="5126" spans="1:12" ht="30" customHeight="1">
      <c r="A5126" s="626" t="s">
        <v>12709</v>
      </c>
      <c r="B5126" s="627" t="s">
        <v>13047</v>
      </c>
      <c r="C5126" s="626" t="s">
        <v>8</v>
      </c>
      <c r="D5126" s="626" t="s">
        <v>9380</v>
      </c>
      <c r="E5126" s="628" t="s">
        <v>23</v>
      </c>
      <c r="F5126" s="816" t="s">
        <v>13689</v>
      </c>
      <c r="G5126" s="816"/>
      <c r="H5126" s="816">
        <v>10.0116323</v>
      </c>
      <c r="I5126" s="816"/>
      <c r="J5126" s="817">
        <v>3.8043999999999998</v>
      </c>
      <c r="K5126" s="817"/>
      <c r="L5126" s="817"/>
    </row>
    <row r="5127" spans="1:12" ht="24" customHeight="1">
      <c r="A5127" s="636"/>
      <c r="B5127" s="636"/>
      <c r="C5127" s="636"/>
      <c r="D5127" s="636"/>
      <c r="E5127" s="636"/>
      <c r="F5127" s="636"/>
      <c r="G5127" s="636"/>
      <c r="H5127" s="636"/>
      <c r="I5127" s="636"/>
      <c r="J5127" s="636" t="s">
        <v>13675</v>
      </c>
      <c r="K5127" s="636"/>
      <c r="L5127" s="636" t="s">
        <v>13748</v>
      </c>
    </row>
    <row r="5128" spans="1:12" ht="14.25" customHeight="1">
      <c r="A5128" s="802" t="s">
        <v>12710</v>
      </c>
      <c r="B5128" s="802"/>
      <c r="C5128" s="802"/>
      <c r="D5128" s="802"/>
      <c r="E5128" s="802"/>
      <c r="F5128" s="802"/>
      <c r="G5128" s="802"/>
      <c r="H5128" s="802"/>
      <c r="I5128" s="612"/>
      <c r="J5128" s="612"/>
      <c r="K5128" s="612"/>
      <c r="L5128" s="612"/>
    </row>
    <row r="5129" spans="1:12" ht="17.100000000000001" customHeight="1">
      <c r="A5129" s="612" t="s">
        <v>13679</v>
      </c>
      <c r="B5129" s="636" t="s">
        <v>12698</v>
      </c>
      <c r="C5129" s="612" t="s">
        <v>12699</v>
      </c>
      <c r="D5129" s="612" t="s">
        <v>12700</v>
      </c>
      <c r="E5129" s="637" t="s">
        <v>12702</v>
      </c>
      <c r="F5129" s="801" t="s">
        <v>12704</v>
      </c>
      <c r="G5129" s="801"/>
      <c r="H5129" s="801" t="s">
        <v>13678</v>
      </c>
      <c r="I5129" s="801"/>
      <c r="J5129" s="801" t="s">
        <v>12705</v>
      </c>
      <c r="K5129" s="801"/>
      <c r="L5129" s="801"/>
    </row>
    <row r="5130" spans="1:12" ht="48" customHeight="1">
      <c r="A5130" s="626" t="s">
        <v>12709</v>
      </c>
      <c r="B5130" s="627" t="s">
        <v>13046</v>
      </c>
      <c r="C5130" s="626" t="s">
        <v>8</v>
      </c>
      <c r="D5130" s="626" t="s">
        <v>11281</v>
      </c>
      <c r="E5130" s="628" t="s">
        <v>23</v>
      </c>
      <c r="F5130" s="816" t="s">
        <v>13731</v>
      </c>
      <c r="G5130" s="816"/>
      <c r="H5130" s="816">
        <v>10.1588435</v>
      </c>
      <c r="I5130" s="816"/>
      <c r="J5130" s="817">
        <v>52.216500000000003</v>
      </c>
      <c r="K5130" s="817"/>
      <c r="L5130" s="817"/>
    </row>
    <row r="5131" spans="1:12" ht="24" customHeight="1">
      <c r="A5131" s="636"/>
      <c r="B5131" s="636"/>
      <c r="C5131" s="636"/>
      <c r="D5131" s="636"/>
      <c r="E5131" s="636"/>
      <c r="F5131" s="636"/>
      <c r="G5131" s="636"/>
      <c r="H5131" s="636"/>
      <c r="I5131" s="636"/>
      <c r="J5131" s="636" t="s">
        <v>13675</v>
      </c>
      <c r="K5131" s="636"/>
      <c r="L5131" s="636" t="s">
        <v>14496</v>
      </c>
    </row>
    <row r="5132" spans="1:12" ht="24" customHeight="1">
      <c r="A5132" s="802" t="s">
        <v>12720</v>
      </c>
      <c r="B5132" s="802"/>
      <c r="C5132" s="802"/>
      <c r="D5132" s="802"/>
      <c r="E5132" s="802"/>
      <c r="F5132" s="802"/>
      <c r="G5132" s="802"/>
      <c r="H5132" s="802"/>
      <c r="I5132" s="612"/>
      <c r="J5132" s="612"/>
      <c r="K5132" s="612"/>
      <c r="L5132" s="612"/>
    </row>
    <row r="5133" spans="1:12" ht="24" customHeight="1">
      <c r="A5133" s="612" t="s">
        <v>13679</v>
      </c>
      <c r="B5133" s="636" t="s">
        <v>12698</v>
      </c>
      <c r="C5133" s="612" t="s">
        <v>12699</v>
      </c>
      <c r="D5133" s="612" t="s">
        <v>12700</v>
      </c>
      <c r="E5133" s="637" t="s">
        <v>12702</v>
      </c>
      <c r="F5133" s="801" t="s">
        <v>12704</v>
      </c>
      <c r="G5133" s="801"/>
      <c r="H5133" s="801" t="s">
        <v>13678</v>
      </c>
      <c r="I5133" s="801"/>
      <c r="J5133" s="801" t="s">
        <v>12705</v>
      </c>
      <c r="K5133" s="801"/>
      <c r="L5133" s="801"/>
    </row>
    <row r="5134" spans="1:12" ht="24" customHeight="1">
      <c r="A5134" s="626" t="s">
        <v>12709</v>
      </c>
      <c r="B5134" s="627" t="s">
        <v>13250</v>
      </c>
      <c r="C5134" s="626" t="s">
        <v>8</v>
      </c>
      <c r="D5134" s="626" t="s">
        <v>7526</v>
      </c>
      <c r="E5134" s="628" t="s">
        <v>12730</v>
      </c>
      <c r="F5134" s="816" t="s">
        <v>13747</v>
      </c>
      <c r="G5134" s="816"/>
      <c r="H5134" s="816">
        <v>0.81799999999999995</v>
      </c>
      <c r="I5134" s="816"/>
      <c r="J5134" s="817">
        <v>51.12</v>
      </c>
      <c r="K5134" s="817"/>
      <c r="L5134" s="817"/>
    </row>
    <row r="5135" spans="1:12" ht="17.100000000000001" customHeight="1">
      <c r="A5135" s="626" t="s">
        <v>12709</v>
      </c>
      <c r="B5135" s="627" t="s">
        <v>13249</v>
      </c>
      <c r="C5135" s="626" t="s">
        <v>8</v>
      </c>
      <c r="D5135" s="626" t="s">
        <v>8420</v>
      </c>
      <c r="E5135" s="628" t="s">
        <v>20</v>
      </c>
      <c r="F5135" s="816" t="s">
        <v>13700</v>
      </c>
      <c r="G5135" s="816"/>
      <c r="H5135" s="816">
        <v>277.72000000000003</v>
      </c>
      <c r="I5135" s="816"/>
      <c r="J5135" s="817">
        <v>136.08000000000001</v>
      </c>
      <c r="K5135" s="817"/>
      <c r="L5135" s="817"/>
    </row>
    <row r="5136" spans="1:12" ht="14.25" customHeight="1">
      <c r="A5136" s="626" t="s">
        <v>12709</v>
      </c>
      <c r="B5136" s="627" t="s">
        <v>13248</v>
      </c>
      <c r="C5136" s="626" t="s">
        <v>8</v>
      </c>
      <c r="D5136" s="626" t="s">
        <v>10712</v>
      </c>
      <c r="E5136" s="628" t="s">
        <v>12730</v>
      </c>
      <c r="F5136" s="816" t="s">
        <v>13745</v>
      </c>
      <c r="G5136" s="816"/>
      <c r="H5136" s="816">
        <v>0.58899999999999997</v>
      </c>
      <c r="I5136" s="816"/>
      <c r="J5136" s="817">
        <v>47.12</v>
      </c>
      <c r="K5136" s="817"/>
      <c r="L5136" s="817"/>
    </row>
    <row r="5137" spans="1:12" ht="17.100000000000001" customHeight="1">
      <c r="A5137" s="636"/>
      <c r="B5137" s="636"/>
      <c r="C5137" s="636"/>
      <c r="D5137" s="636"/>
      <c r="E5137" s="636"/>
      <c r="F5137" s="636"/>
      <c r="G5137" s="636"/>
      <c r="H5137" s="636"/>
      <c r="I5137" s="636"/>
      <c r="J5137" s="636" t="s">
        <v>13675</v>
      </c>
      <c r="K5137" s="636"/>
      <c r="L5137" s="636" t="s">
        <v>14495</v>
      </c>
    </row>
    <row r="5138" spans="1:12" ht="24" customHeight="1">
      <c r="A5138" s="802" t="s">
        <v>12722</v>
      </c>
      <c r="B5138" s="802"/>
      <c r="C5138" s="802"/>
      <c r="D5138" s="802"/>
      <c r="E5138" s="802"/>
      <c r="F5138" s="802"/>
      <c r="G5138" s="802"/>
      <c r="H5138" s="802"/>
      <c r="I5138" s="612"/>
      <c r="J5138" s="612"/>
      <c r="K5138" s="612"/>
      <c r="L5138" s="612"/>
    </row>
    <row r="5139" spans="1:12" ht="24" customHeight="1">
      <c r="A5139" s="612" t="s">
        <v>13679</v>
      </c>
      <c r="B5139" s="636" t="s">
        <v>12698</v>
      </c>
      <c r="C5139" s="612" t="s">
        <v>12699</v>
      </c>
      <c r="D5139" s="612" t="s">
        <v>12700</v>
      </c>
      <c r="E5139" s="637" t="s">
        <v>12702</v>
      </c>
      <c r="F5139" s="801" t="s">
        <v>12704</v>
      </c>
      <c r="G5139" s="801"/>
      <c r="H5139" s="801" t="s">
        <v>13678</v>
      </c>
      <c r="I5139" s="801"/>
      <c r="J5139" s="801" t="s">
        <v>12705</v>
      </c>
      <c r="K5139" s="801"/>
      <c r="L5139" s="801"/>
    </row>
    <row r="5140" spans="1:12" ht="17.100000000000001" customHeight="1">
      <c r="A5140" s="626" t="s">
        <v>12709</v>
      </c>
      <c r="B5140" s="627" t="s">
        <v>12998</v>
      </c>
      <c r="C5140" s="626" t="s">
        <v>8</v>
      </c>
      <c r="D5140" s="626" t="s">
        <v>11861</v>
      </c>
      <c r="E5140" s="628" t="s">
        <v>23</v>
      </c>
      <c r="F5140" s="816" t="s">
        <v>13683</v>
      </c>
      <c r="G5140" s="816"/>
      <c r="H5140" s="816">
        <v>10.0116323</v>
      </c>
      <c r="I5140" s="816"/>
      <c r="J5140" s="817">
        <v>7.1082999999999998</v>
      </c>
      <c r="K5140" s="817"/>
      <c r="L5140" s="817"/>
    </row>
    <row r="5141" spans="1:12">
      <c r="A5141" s="636"/>
      <c r="B5141" s="636"/>
      <c r="C5141" s="636"/>
      <c r="D5141" s="636"/>
      <c r="E5141" s="636"/>
      <c r="F5141" s="636"/>
      <c r="G5141" s="636"/>
      <c r="H5141" s="636"/>
      <c r="I5141" s="636"/>
      <c r="J5141" s="636" t="s">
        <v>13675</v>
      </c>
      <c r="K5141" s="636"/>
      <c r="L5141" s="636" t="s">
        <v>13744</v>
      </c>
    </row>
    <row r="5142" spans="1:12" ht="17.100000000000001" customHeight="1">
      <c r="A5142" s="802" t="s">
        <v>12713</v>
      </c>
      <c r="B5142" s="802"/>
      <c r="C5142" s="802"/>
      <c r="D5142" s="802"/>
      <c r="E5142" s="802"/>
      <c r="F5142" s="802"/>
      <c r="G5142" s="802"/>
      <c r="H5142" s="802"/>
      <c r="I5142" s="612"/>
      <c r="J5142" s="612"/>
      <c r="K5142" s="612"/>
      <c r="L5142" s="612"/>
    </row>
    <row r="5143" spans="1:12" ht="24" customHeight="1">
      <c r="A5143" s="612" t="s">
        <v>13679</v>
      </c>
      <c r="B5143" s="636" t="s">
        <v>12698</v>
      </c>
      <c r="C5143" s="612" t="s">
        <v>12699</v>
      </c>
      <c r="D5143" s="612" t="s">
        <v>12700</v>
      </c>
      <c r="E5143" s="637" t="s">
        <v>12702</v>
      </c>
      <c r="F5143" s="801" t="s">
        <v>12704</v>
      </c>
      <c r="G5143" s="801"/>
      <c r="H5143" s="801" t="s">
        <v>13678</v>
      </c>
      <c r="I5143" s="801"/>
      <c r="J5143" s="801" t="s">
        <v>12705</v>
      </c>
      <c r="K5143" s="801"/>
      <c r="L5143" s="801"/>
    </row>
    <row r="5144" spans="1:12" ht="17.100000000000001" customHeight="1">
      <c r="A5144" s="626" t="s">
        <v>12709</v>
      </c>
      <c r="B5144" s="627" t="s">
        <v>12999</v>
      </c>
      <c r="C5144" s="626" t="s">
        <v>8</v>
      </c>
      <c r="D5144" s="626" t="s">
        <v>11251</v>
      </c>
      <c r="E5144" s="628" t="s">
        <v>23</v>
      </c>
      <c r="F5144" s="816" t="s">
        <v>13681</v>
      </c>
      <c r="G5144" s="816"/>
      <c r="H5144" s="816">
        <v>10.0116323</v>
      </c>
      <c r="I5144" s="816"/>
      <c r="J5144" s="817">
        <v>0.70079999999999998</v>
      </c>
      <c r="K5144" s="817"/>
      <c r="L5144" s="817"/>
    </row>
    <row r="5145" spans="1:12">
      <c r="A5145" s="636"/>
      <c r="B5145" s="636"/>
      <c r="C5145" s="636"/>
      <c r="D5145" s="636"/>
      <c r="E5145" s="636"/>
      <c r="F5145" s="636"/>
      <c r="G5145" s="636"/>
      <c r="H5145" s="636"/>
      <c r="I5145" s="636"/>
      <c r="J5145" s="636" t="s">
        <v>13675</v>
      </c>
      <c r="K5145" s="636"/>
      <c r="L5145" s="636" t="s">
        <v>13694</v>
      </c>
    </row>
    <row r="5146" spans="1:12" ht="17.100000000000001" customHeight="1">
      <c r="A5146" s="802" t="s">
        <v>12712</v>
      </c>
      <c r="B5146" s="802"/>
      <c r="C5146" s="802"/>
      <c r="D5146" s="802"/>
      <c r="E5146" s="802"/>
      <c r="F5146" s="802"/>
      <c r="G5146" s="802"/>
      <c r="H5146" s="802"/>
      <c r="I5146" s="612"/>
      <c r="J5146" s="612"/>
      <c r="K5146" s="612"/>
      <c r="L5146" s="612"/>
    </row>
    <row r="5147" spans="1:12" ht="24" customHeight="1">
      <c r="A5147" s="612" t="s">
        <v>13679</v>
      </c>
      <c r="B5147" s="636" t="s">
        <v>12698</v>
      </c>
      <c r="C5147" s="612" t="s">
        <v>12699</v>
      </c>
      <c r="D5147" s="612" t="s">
        <v>12700</v>
      </c>
      <c r="E5147" s="637" t="s">
        <v>12702</v>
      </c>
      <c r="F5147" s="801" t="s">
        <v>12704</v>
      </c>
      <c r="G5147" s="801"/>
      <c r="H5147" s="801" t="s">
        <v>13678</v>
      </c>
      <c r="I5147" s="801"/>
      <c r="J5147" s="801" t="s">
        <v>12705</v>
      </c>
      <c r="K5147" s="801"/>
      <c r="L5147" s="801"/>
    </row>
    <row r="5148" spans="1:12" ht="17.100000000000001" customHeight="1">
      <c r="A5148" s="626" t="s">
        <v>12709</v>
      </c>
      <c r="B5148" s="627" t="s">
        <v>13002</v>
      </c>
      <c r="C5148" s="626" t="s">
        <v>8</v>
      </c>
      <c r="D5148" s="626" t="s">
        <v>9306</v>
      </c>
      <c r="E5148" s="628" t="s">
        <v>23</v>
      </c>
      <c r="F5148" s="816" t="s">
        <v>13677</v>
      </c>
      <c r="G5148" s="816"/>
      <c r="H5148" s="816">
        <v>10.0116323</v>
      </c>
      <c r="I5148" s="816"/>
      <c r="J5148" s="817">
        <v>3.5041000000000002</v>
      </c>
      <c r="K5148" s="817"/>
      <c r="L5148" s="817"/>
    </row>
    <row r="5149" spans="1:12" ht="25.5">
      <c r="A5149" s="626" t="s">
        <v>12709</v>
      </c>
      <c r="B5149" s="627" t="s">
        <v>13004</v>
      </c>
      <c r="C5149" s="626" t="s">
        <v>8</v>
      </c>
      <c r="D5149" s="626" t="s">
        <v>7388</v>
      </c>
      <c r="E5149" s="628" t="s">
        <v>23</v>
      </c>
      <c r="F5149" s="816" t="s">
        <v>13676</v>
      </c>
      <c r="G5149" s="816"/>
      <c r="H5149" s="816">
        <v>10.0116323</v>
      </c>
      <c r="I5149" s="816"/>
      <c r="J5149" s="817">
        <v>22.025600000000001</v>
      </c>
      <c r="K5149" s="817"/>
      <c r="L5149" s="817"/>
    </row>
    <row r="5150" spans="1:12" ht="17.100000000000001" customHeight="1">
      <c r="A5150" s="636"/>
      <c r="B5150" s="636"/>
      <c r="C5150" s="636"/>
      <c r="D5150" s="636"/>
      <c r="E5150" s="636"/>
      <c r="F5150" s="636"/>
      <c r="G5150" s="636"/>
      <c r="H5150" s="636"/>
      <c r="I5150" s="636"/>
      <c r="J5150" s="636" t="s">
        <v>13675</v>
      </c>
      <c r="K5150" s="636"/>
      <c r="L5150" s="636" t="s">
        <v>13743</v>
      </c>
    </row>
    <row r="5151" spans="1:12" ht="24" customHeight="1">
      <c r="A5151" s="612" t="s">
        <v>13673</v>
      </c>
      <c r="B5151" s="612"/>
      <c r="C5151" s="612"/>
      <c r="D5151" s="612"/>
      <c r="E5151" s="612"/>
      <c r="F5151" s="612"/>
      <c r="G5151" s="612"/>
      <c r="H5151" s="612"/>
      <c r="I5151" s="612"/>
      <c r="J5151" s="612"/>
      <c r="K5151" s="612"/>
      <c r="L5151" s="612"/>
    </row>
    <row r="5152" spans="1:12" ht="17.100000000000001" customHeight="1">
      <c r="A5152" s="636"/>
      <c r="B5152" s="636"/>
      <c r="C5152" s="636"/>
      <c r="D5152" s="636"/>
      <c r="E5152" s="636"/>
      <c r="F5152" s="636"/>
      <c r="G5152" s="636"/>
      <c r="H5152" s="636"/>
      <c r="I5152" s="636"/>
      <c r="J5152" s="636" t="s">
        <v>13672</v>
      </c>
      <c r="K5152" s="636"/>
      <c r="L5152" s="636" t="s">
        <v>15226</v>
      </c>
    </row>
    <row r="5153" spans="1:12">
      <c r="A5153" s="636"/>
      <c r="B5153" s="636"/>
      <c r="C5153" s="636"/>
      <c r="D5153" s="636"/>
      <c r="E5153" s="636"/>
      <c r="F5153" s="636"/>
      <c r="G5153" s="636"/>
      <c r="H5153" s="636"/>
      <c r="I5153" s="636"/>
      <c r="J5153" s="636" t="s">
        <v>13671</v>
      </c>
      <c r="K5153" s="636" t="s">
        <v>14461</v>
      </c>
      <c r="L5153" s="636" t="s">
        <v>14978</v>
      </c>
    </row>
    <row r="5154" spans="1:12" ht="17.100000000000001" customHeight="1">
      <c r="A5154" s="636"/>
      <c r="B5154" s="636"/>
      <c r="C5154" s="636"/>
      <c r="D5154" s="636"/>
      <c r="E5154" s="636"/>
      <c r="F5154" s="636"/>
      <c r="G5154" s="636"/>
      <c r="H5154" s="636"/>
      <c r="I5154" s="636"/>
      <c r="J5154" s="636" t="s">
        <v>13670</v>
      </c>
      <c r="K5154" s="636"/>
      <c r="L5154" s="636" t="s">
        <v>15227</v>
      </c>
    </row>
    <row r="5155" spans="1:12" ht="24" customHeight="1">
      <c r="A5155" s="636"/>
      <c r="B5155" s="636"/>
      <c r="C5155" s="636"/>
      <c r="D5155" s="636"/>
      <c r="E5155" s="636"/>
      <c r="F5155" s="636"/>
      <c r="G5155" s="636"/>
      <c r="H5155" s="636"/>
      <c r="I5155" s="636"/>
      <c r="J5155" s="636" t="s">
        <v>13669</v>
      </c>
      <c r="K5155" s="636" t="s">
        <v>13667</v>
      </c>
      <c r="L5155" s="636" t="s">
        <v>15228</v>
      </c>
    </row>
    <row r="5156" spans="1:12" ht="24" customHeight="1">
      <c r="A5156" s="636"/>
      <c r="B5156" s="636"/>
      <c r="C5156" s="636"/>
      <c r="D5156" s="636"/>
      <c r="E5156" s="636"/>
      <c r="F5156" s="636"/>
      <c r="G5156" s="636"/>
      <c r="H5156" s="636"/>
      <c r="I5156" s="636"/>
      <c r="J5156" s="636" t="s">
        <v>13668</v>
      </c>
      <c r="K5156" s="636"/>
      <c r="L5156" s="636" t="s">
        <v>15229</v>
      </c>
    </row>
    <row r="5157" spans="1:12" ht="17.100000000000001" customHeight="1">
      <c r="A5157" s="637"/>
      <c r="B5157" s="637"/>
      <c r="C5157" s="637"/>
      <c r="D5157" s="637"/>
      <c r="E5157" s="637"/>
      <c r="F5157" s="637"/>
      <c r="G5157" s="637"/>
      <c r="H5157" s="637"/>
      <c r="I5157" s="637"/>
      <c r="J5157" s="637"/>
      <c r="K5157" s="637"/>
      <c r="L5157" s="637"/>
    </row>
    <row r="5158" spans="1:12" ht="17.100000000000001" customHeight="1">
      <c r="A5158" s="616" t="s">
        <v>14080</v>
      </c>
      <c r="B5158" s="617" t="s">
        <v>13637</v>
      </c>
      <c r="C5158" s="616" t="s">
        <v>8</v>
      </c>
      <c r="D5158" s="616" t="s">
        <v>38</v>
      </c>
      <c r="E5158" s="618" t="s">
        <v>12730</v>
      </c>
      <c r="F5158" s="617"/>
      <c r="G5158" s="617"/>
      <c r="H5158" s="617"/>
      <c r="I5158" s="617"/>
      <c r="J5158" s="617"/>
      <c r="K5158" s="617"/>
      <c r="L5158" s="617"/>
    </row>
    <row r="5159" spans="1:12" ht="17.100000000000001" customHeight="1">
      <c r="A5159" s="802" t="s">
        <v>12711</v>
      </c>
      <c r="B5159" s="802"/>
      <c r="C5159" s="802"/>
      <c r="D5159" s="802"/>
      <c r="E5159" s="802"/>
      <c r="F5159" s="802"/>
      <c r="G5159" s="802"/>
      <c r="H5159" s="802"/>
      <c r="I5159" s="612"/>
      <c r="J5159" s="612"/>
      <c r="K5159" s="612"/>
      <c r="L5159" s="612"/>
    </row>
    <row r="5160" spans="1:12" ht="17.100000000000001" customHeight="1">
      <c r="A5160" s="612" t="s">
        <v>13679</v>
      </c>
      <c r="B5160" s="636" t="s">
        <v>12698</v>
      </c>
      <c r="C5160" s="612" t="s">
        <v>12699</v>
      </c>
      <c r="D5160" s="612" t="s">
        <v>12700</v>
      </c>
      <c r="E5160" s="637" t="s">
        <v>12702</v>
      </c>
      <c r="F5160" s="801" t="s">
        <v>12704</v>
      </c>
      <c r="G5160" s="801"/>
      <c r="H5160" s="801" t="s">
        <v>13678</v>
      </c>
      <c r="I5160" s="801"/>
      <c r="J5160" s="801" t="s">
        <v>12705</v>
      </c>
      <c r="K5160" s="801"/>
      <c r="L5160" s="801"/>
    </row>
    <row r="5161" spans="1:12" ht="17.100000000000001" customHeight="1">
      <c r="A5161" s="626" t="s">
        <v>12709</v>
      </c>
      <c r="B5161" s="627" t="s">
        <v>13280</v>
      </c>
      <c r="C5161" s="626" t="s">
        <v>8</v>
      </c>
      <c r="D5161" s="626" t="s">
        <v>8193</v>
      </c>
      <c r="E5161" s="628" t="s">
        <v>35</v>
      </c>
      <c r="F5161" s="816" t="s">
        <v>14491</v>
      </c>
      <c r="G5161" s="816"/>
      <c r="H5161" s="816">
        <v>1.26E-5</v>
      </c>
      <c r="I5161" s="816"/>
      <c r="J5161" s="817">
        <v>3.6513</v>
      </c>
      <c r="K5161" s="817"/>
      <c r="L5161" s="817"/>
    </row>
    <row r="5162" spans="1:12" ht="17.100000000000001" customHeight="1">
      <c r="A5162" s="626" t="s">
        <v>12709</v>
      </c>
      <c r="B5162" s="627" t="s">
        <v>13003</v>
      </c>
      <c r="C5162" s="626" t="s">
        <v>8</v>
      </c>
      <c r="D5162" s="626" t="s">
        <v>9227</v>
      </c>
      <c r="E5162" s="628" t="s">
        <v>23</v>
      </c>
      <c r="F5162" s="816" t="s">
        <v>13732</v>
      </c>
      <c r="G5162" s="816"/>
      <c r="H5162" s="816">
        <v>0.2493167</v>
      </c>
      <c r="I5162" s="816"/>
      <c r="J5162" s="817">
        <v>0.16450000000000001</v>
      </c>
      <c r="K5162" s="817"/>
      <c r="L5162" s="817"/>
    </row>
    <row r="5163" spans="1:12" ht="17.100000000000001" customHeight="1">
      <c r="A5163" s="626" t="s">
        <v>12709</v>
      </c>
      <c r="B5163" s="627" t="s">
        <v>13001</v>
      </c>
      <c r="C5163" s="626" t="s">
        <v>8</v>
      </c>
      <c r="D5163" s="626" t="s">
        <v>9374</v>
      </c>
      <c r="E5163" s="628" t="s">
        <v>23</v>
      </c>
      <c r="F5163" s="816" t="s">
        <v>13728</v>
      </c>
      <c r="G5163" s="816"/>
      <c r="H5163" s="816">
        <v>0.2493167</v>
      </c>
      <c r="I5163" s="816"/>
      <c r="J5163" s="817">
        <v>2.5000000000000001E-3</v>
      </c>
      <c r="K5163" s="817"/>
      <c r="L5163" s="817"/>
    </row>
    <row r="5164" spans="1:12" ht="30" customHeight="1">
      <c r="A5164" s="626" t="s">
        <v>12709</v>
      </c>
      <c r="B5164" s="627" t="s">
        <v>13048</v>
      </c>
      <c r="C5164" s="626" t="s">
        <v>8</v>
      </c>
      <c r="D5164" s="626" t="s">
        <v>9233</v>
      </c>
      <c r="E5164" s="628" t="s">
        <v>23</v>
      </c>
      <c r="F5164" s="816" t="s">
        <v>13690</v>
      </c>
      <c r="G5164" s="816"/>
      <c r="H5164" s="816">
        <v>0.69808680000000001</v>
      </c>
      <c r="I5164" s="816"/>
      <c r="J5164" s="817">
        <v>0.71199999999999997</v>
      </c>
      <c r="K5164" s="817"/>
      <c r="L5164" s="817"/>
    </row>
    <row r="5165" spans="1:12" ht="36" customHeight="1">
      <c r="A5165" s="626" t="s">
        <v>12709</v>
      </c>
      <c r="B5165" s="627" t="s">
        <v>13047</v>
      </c>
      <c r="C5165" s="626" t="s">
        <v>8</v>
      </c>
      <c r="D5165" s="626" t="s">
        <v>9380</v>
      </c>
      <c r="E5165" s="628" t="s">
        <v>23</v>
      </c>
      <c r="F5165" s="816" t="s">
        <v>13689</v>
      </c>
      <c r="G5165" s="816"/>
      <c r="H5165" s="816">
        <v>0.69808680000000001</v>
      </c>
      <c r="I5165" s="816"/>
      <c r="J5165" s="817">
        <v>0.26529999999999998</v>
      </c>
      <c r="K5165" s="817"/>
      <c r="L5165" s="817"/>
    </row>
    <row r="5166" spans="1:12" ht="14.25" customHeight="1">
      <c r="A5166" s="636"/>
      <c r="B5166" s="636"/>
      <c r="C5166" s="636"/>
      <c r="D5166" s="636"/>
      <c r="E5166" s="636"/>
      <c r="F5166" s="636"/>
      <c r="G5166" s="636"/>
      <c r="H5166" s="636"/>
      <c r="I5166" s="636"/>
      <c r="J5166" s="636" t="s">
        <v>13675</v>
      </c>
      <c r="K5166" s="636"/>
      <c r="L5166" s="636" t="s">
        <v>13949</v>
      </c>
    </row>
    <row r="5167" spans="1:12" ht="17.100000000000001" customHeight="1">
      <c r="A5167" s="802" t="s">
        <v>12710</v>
      </c>
      <c r="B5167" s="802"/>
      <c r="C5167" s="802"/>
      <c r="D5167" s="802"/>
      <c r="E5167" s="802"/>
      <c r="F5167" s="802"/>
      <c r="G5167" s="802"/>
      <c r="H5167" s="802"/>
      <c r="I5167" s="612"/>
      <c r="J5167" s="612"/>
      <c r="K5167" s="612"/>
      <c r="L5167" s="612"/>
    </row>
    <row r="5168" spans="1:12" ht="48" customHeight="1">
      <c r="A5168" s="612" t="s">
        <v>13679</v>
      </c>
      <c r="B5168" s="636" t="s">
        <v>12698</v>
      </c>
      <c r="C5168" s="612" t="s">
        <v>12699</v>
      </c>
      <c r="D5168" s="612" t="s">
        <v>12700</v>
      </c>
      <c r="E5168" s="637" t="s">
        <v>12702</v>
      </c>
      <c r="F5168" s="801" t="s">
        <v>12704</v>
      </c>
      <c r="G5168" s="801"/>
      <c r="H5168" s="801" t="s">
        <v>13678</v>
      </c>
      <c r="I5168" s="801"/>
      <c r="J5168" s="801" t="s">
        <v>12705</v>
      </c>
      <c r="K5168" s="801"/>
      <c r="L5168" s="801"/>
    </row>
    <row r="5169" spans="1:12" ht="24" customHeight="1">
      <c r="A5169" s="626" t="s">
        <v>12709</v>
      </c>
      <c r="B5169" s="627" t="s">
        <v>13129</v>
      </c>
      <c r="C5169" s="626" t="s">
        <v>8</v>
      </c>
      <c r="D5169" s="626" t="s">
        <v>10467</v>
      </c>
      <c r="E5169" s="628" t="s">
        <v>23</v>
      </c>
      <c r="F5169" s="816" t="s">
        <v>14252</v>
      </c>
      <c r="G5169" s="816"/>
      <c r="H5169" s="816">
        <v>0.25041940000000001</v>
      </c>
      <c r="I5169" s="816"/>
      <c r="J5169" s="817">
        <v>1.2971999999999999</v>
      </c>
      <c r="K5169" s="817"/>
      <c r="L5169" s="817"/>
    </row>
    <row r="5170" spans="1:12" ht="24" customHeight="1">
      <c r="A5170" s="626" t="s">
        <v>12709</v>
      </c>
      <c r="B5170" s="627" t="s">
        <v>13046</v>
      </c>
      <c r="C5170" s="626" t="s">
        <v>8</v>
      </c>
      <c r="D5170" s="626" t="s">
        <v>11281</v>
      </c>
      <c r="E5170" s="628" t="s">
        <v>23</v>
      </c>
      <c r="F5170" s="816" t="s">
        <v>13731</v>
      </c>
      <c r="G5170" s="816"/>
      <c r="H5170" s="816">
        <v>0.70893030000000001</v>
      </c>
      <c r="I5170" s="816"/>
      <c r="J5170" s="817">
        <v>3.6438999999999999</v>
      </c>
      <c r="K5170" s="817"/>
      <c r="L5170" s="817"/>
    </row>
    <row r="5171" spans="1:12" ht="17.100000000000001" customHeight="1">
      <c r="A5171" s="636"/>
      <c r="B5171" s="636"/>
      <c r="C5171" s="636"/>
      <c r="D5171" s="636"/>
      <c r="E5171" s="636"/>
      <c r="F5171" s="636"/>
      <c r="G5171" s="636"/>
      <c r="H5171" s="636"/>
      <c r="I5171" s="636"/>
      <c r="J5171" s="636" t="s">
        <v>13675</v>
      </c>
      <c r="K5171" s="636"/>
      <c r="L5171" s="636" t="s">
        <v>14490</v>
      </c>
    </row>
    <row r="5172" spans="1:12" ht="14.25" customHeight="1">
      <c r="A5172" s="802" t="s">
        <v>12720</v>
      </c>
      <c r="B5172" s="802"/>
      <c r="C5172" s="802"/>
      <c r="D5172" s="802"/>
      <c r="E5172" s="802"/>
      <c r="F5172" s="802"/>
      <c r="G5172" s="802"/>
      <c r="H5172" s="802"/>
      <c r="I5172" s="612"/>
      <c r="J5172" s="612"/>
      <c r="K5172" s="612"/>
      <c r="L5172" s="612"/>
    </row>
    <row r="5173" spans="1:12" ht="17.100000000000001" customHeight="1">
      <c r="A5173" s="612" t="s">
        <v>13679</v>
      </c>
      <c r="B5173" s="636" t="s">
        <v>12698</v>
      </c>
      <c r="C5173" s="612" t="s">
        <v>12699</v>
      </c>
      <c r="D5173" s="612" t="s">
        <v>12700</v>
      </c>
      <c r="E5173" s="637" t="s">
        <v>12702</v>
      </c>
      <c r="F5173" s="801" t="s">
        <v>12704</v>
      </c>
      <c r="G5173" s="801"/>
      <c r="H5173" s="801" t="s">
        <v>13678</v>
      </c>
      <c r="I5173" s="801"/>
      <c r="J5173" s="801" t="s">
        <v>12705</v>
      </c>
      <c r="K5173" s="801"/>
      <c r="L5173" s="801"/>
    </row>
    <row r="5174" spans="1:12" ht="24" customHeight="1">
      <c r="A5174" s="626" t="s">
        <v>12709</v>
      </c>
      <c r="B5174" s="627" t="s">
        <v>13281</v>
      </c>
      <c r="C5174" s="626" t="s">
        <v>8</v>
      </c>
      <c r="D5174" s="626" t="s">
        <v>8070</v>
      </c>
      <c r="E5174" s="628" t="s">
        <v>35</v>
      </c>
      <c r="F5174" s="816" t="s">
        <v>13730</v>
      </c>
      <c r="G5174" s="816"/>
      <c r="H5174" s="816">
        <v>1.26E-5</v>
      </c>
      <c r="I5174" s="816"/>
      <c r="J5174" s="817">
        <v>0.42749999999999999</v>
      </c>
      <c r="K5174" s="817"/>
      <c r="L5174" s="817"/>
    </row>
    <row r="5175" spans="1:12" ht="17.100000000000001" customHeight="1">
      <c r="A5175" s="636"/>
      <c r="B5175" s="636"/>
      <c r="C5175" s="636"/>
      <c r="D5175" s="636"/>
      <c r="E5175" s="636"/>
      <c r="F5175" s="636"/>
      <c r="G5175" s="636"/>
      <c r="H5175" s="636"/>
      <c r="I5175" s="636"/>
      <c r="J5175" s="636" t="s">
        <v>13675</v>
      </c>
      <c r="K5175" s="636"/>
      <c r="L5175" s="636" t="s">
        <v>13717</v>
      </c>
    </row>
    <row r="5176" spans="1:12">
      <c r="A5176" s="802" t="s">
        <v>12722</v>
      </c>
      <c r="B5176" s="802"/>
      <c r="C5176" s="802"/>
      <c r="D5176" s="802"/>
      <c r="E5176" s="802"/>
      <c r="F5176" s="802"/>
      <c r="G5176" s="802"/>
      <c r="H5176" s="802"/>
      <c r="I5176" s="612"/>
      <c r="J5176" s="612"/>
      <c r="K5176" s="612"/>
      <c r="L5176" s="612"/>
    </row>
    <row r="5177" spans="1:12" ht="17.100000000000001" customHeight="1">
      <c r="A5177" s="612" t="s">
        <v>13679</v>
      </c>
      <c r="B5177" s="636" t="s">
        <v>12698</v>
      </c>
      <c r="C5177" s="612" t="s">
        <v>12699</v>
      </c>
      <c r="D5177" s="612" t="s">
        <v>12700</v>
      </c>
      <c r="E5177" s="637" t="s">
        <v>12702</v>
      </c>
      <c r="F5177" s="801" t="s">
        <v>12704</v>
      </c>
      <c r="G5177" s="801"/>
      <c r="H5177" s="801" t="s">
        <v>13678</v>
      </c>
      <c r="I5177" s="801"/>
      <c r="J5177" s="801" t="s">
        <v>12705</v>
      </c>
      <c r="K5177" s="801"/>
      <c r="L5177" s="801"/>
    </row>
    <row r="5178" spans="1:12" ht="24" customHeight="1">
      <c r="A5178" s="626" t="s">
        <v>12709</v>
      </c>
      <c r="B5178" s="627" t="s">
        <v>12998</v>
      </c>
      <c r="C5178" s="626" t="s">
        <v>8</v>
      </c>
      <c r="D5178" s="626" t="s">
        <v>11861</v>
      </c>
      <c r="E5178" s="628" t="s">
        <v>23</v>
      </c>
      <c r="F5178" s="816" t="s">
        <v>13683</v>
      </c>
      <c r="G5178" s="816"/>
      <c r="H5178" s="816">
        <v>0.94740360000000001</v>
      </c>
      <c r="I5178" s="816"/>
      <c r="J5178" s="817">
        <v>0.67269999999999996</v>
      </c>
      <c r="K5178" s="817"/>
      <c r="L5178" s="817"/>
    </row>
    <row r="5179" spans="1:12" ht="24" customHeight="1">
      <c r="A5179" s="636"/>
      <c r="B5179" s="636"/>
      <c r="C5179" s="636"/>
      <c r="D5179" s="636"/>
      <c r="E5179" s="636"/>
      <c r="F5179" s="636"/>
      <c r="G5179" s="636"/>
      <c r="H5179" s="636"/>
      <c r="I5179" s="636"/>
      <c r="J5179" s="636" t="s">
        <v>13675</v>
      </c>
      <c r="K5179" s="636"/>
      <c r="L5179" s="636" t="s">
        <v>13735</v>
      </c>
    </row>
    <row r="5180" spans="1:12" ht="17.100000000000001" customHeight="1">
      <c r="A5180" s="802" t="s">
        <v>12713</v>
      </c>
      <c r="B5180" s="802"/>
      <c r="C5180" s="802"/>
      <c r="D5180" s="802"/>
      <c r="E5180" s="802"/>
      <c r="F5180" s="802"/>
      <c r="G5180" s="802"/>
      <c r="H5180" s="802"/>
      <c r="I5180" s="612"/>
      <c r="J5180" s="612"/>
      <c r="K5180" s="612"/>
      <c r="L5180" s="612"/>
    </row>
    <row r="5181" spans="1:12">
      <c r="A5181" s="612" t="s">
        <v>13679</v>
      </c>
      <c r="B5181" s="636" t="s">
        <v>12698</v>
      </c>
      <c r="C5181" s="612" t="s">
        <v>12699</v>
      </c>
      <c r="D5181" s="612" t="s">
        <v>12700</v>
      </c>
      <c r="E5181" s="637" t="s">
        <v>12702</v>
      </c>
      <c r="F5181" s="801" t="s">
        <v>12704</v>
      </c>
      <c r="G5181" s="801"/>
      <c r="H5181" s="801" t="s">
        <v>13678</v>
      </c>
      <c r="I5181" s="801"/>
      <c r="J5181" s="801" t="s">
        <v>12705</v>
      </c>
      <c r="K5181" s="801"/>
      <c r="L5181" s="801"/>
    </row>
    <row r="5182" spans="1:12" ht="17.100000000000001" customHeight="1">
      <c r="A5182" s="626" t="s">
        <v>12709</v>
      </c>
      <c r="B5182" s="627" t="s">
        <v>12999</v>
      </c>
      <c r="C5182" s="626" t="s">
        <v>8</v>
      </c>
      <c r="D5182" s="626" t="s">
        <v>11251</v>
      </c>
      <c r="E5182" s="628" t="s">
        <v>23</v>
      </c>
      <c r="F5182" s="816" t="s">
        <v>13681</v>
      </c>
      <c r="G5182" s="816"/>
      <c r="H5182" s="816">
        <v>0.94740360000000001</v>
      </c>
      <c r="I5182" s="816"/>
      <c r="J5182" s="817">
        <v>6.6299999999999998E-2</v>
      </c>
      <c r="K5182" s="817"/>
      <c r="L5182" s="817"/>
    </row>
    <row r="5183" spans="1:12" ht="24" customHeight="1">
      <c r="A5183" s="636"/>
      <c r="B5183" s="636"/>
      <c r="C5183" s="636"/>
      <c r="D5183" s="636"/>
      <c r="E5183" s="636"/>
      <c r="F5183" s="636"/>
      <c r="G5183" s="636"/>
      <c r="H5183" s="636"/>
      <c r="I5183" s="636"/>
      <c r="J5183" s="636" t="s">
        <v>13675</v>
      </c>
      <c r="K5183" s="636"/>
      <c r="L5183" s="636" t="s">
        <v>13681</v>
      </c>
    </row>
    <row r="5184" spans="1:12" ht="17.100000000000001" customHeight="1">
      <c r="A5184" s="802" t="s">
        <v>12712</v>
      </c>
      <c r="B5184" s="802"/>
      <c r="C5184" s="802"/>
      <c r="D5184" s="802"/>
      <c r="E5184" s="802"/>
      <c r="F5184" s="802"/>
      <c r="G5184" s="802"/>
      <c r="H5184" s="802"/>
      <c r="I5184" s="612"/>
      <c r="J5184" s="612"/>
      <c r="K5184" s="612"/>
      <c r="L5184" s="612"/>
    </row>
    <row r="5185" spans="1:12">
      <c r="A5185" s="612" t="s">
        <v>13679</v>
      </c>
      <c r="B5185" s="636" t="s">
        <v>12698</v>
      </c>
      <c r="C5185" s="612" t="s">
        <v>12699</v>
      </c>
      <c r="D5185" s="612" t="s">
        <v>12700</v>
      </c>
      <c r="E5185" s="637" t="s">
        <v>12702</v>
      </c>
      <c r="F5185" s="801" t="s">
        <v>12704</v>
      </c>
      <c r="G5185" s="801"/>
      <c r="H5185" s="801" t="s">
        <v>13678</v>
      </c>
      <c r="I5185" s="801"/>
      <c r="J5185" s="801" t="s">
        <v>12705</v>
      </c>
      <c r="K5185" s="801"/>
      <c r="L5185" s="801"/>
    </row>
    <row r="5186" spans="1:12" ht="17.100000000000001" customHeight="1">
      <c r="A5186" s="626" t="s">
        <v>12709</v>
      </c>
      <c r="B5186" s="627" t="s">
        <v>13002</v>
      </c>
      <c r="C5186" s="626" t="s">
        <v>8</v>
      </c>
      <c r="D5186" s="626" t="s">
        <v>9306</v>
      </c>
      <c r="E5186" s="628" t="s">
        <v>23</v>
      </c>
      <c r="F5186" s="816" t="s">
        <v>13677</v>
      </c>
      <c r="G5186" s="816"/>
      <c r="H5186" s="816">
        <v>0.94740360000000001</v>
      </c>
      <c r="I5186" s="816"/>
      <c r="J5186" s="817">
        <v>0.33160000000000001</v>
      </c>
      <c r="K5186" s="817"/>
      <c r="L5186" s="817"/>
    </row>
    <row r="5187" spans="1:12" ht="24" customHeight="1">
      <c r="A5187" s="626" t="s">
        <v>12709</v>
      </c>
      <c r="B5187" s="627" t="s">
        <v>13004</v>
      </c>
      <c r="C5187" s="626" t="s">
        <v>8</v>
      </c>
      <c r="D5187" s="626" t="s">
        <v>7388</v>
      </c>
      <c r="E5187" s="628" t="s">
        <v>23</v>
      </c>
      <c r="F5187" s="816" t="s">
        <v>13676</v>
      </c>
      <c r="G5187" s="816"/>
      <c r="H5187" s="816">
        <v>0.94740360000000001</v>
      </c>
      <c r="I5187" s="816"/>
      <c r="J5187" s="817">
        <v>2.0842999999999998</v>
      </c>
      <c r="K5187" s="817"/>
      <c r="L5187" s="817"/>
    </row>
    <row r="5188" spans="1:12" ht="17.100000000000001" customHeight="1">
      <c r="A5188" s="636"/>
      <c r="B5188" s="636"/>
      <c r="C5188" s="636"/>
      <c r="D5188" s="636"/>
      <c r="E5188" s="636"/>
      <c r="F5188" s="636"/>
      <c r="G5188" s="636"/>
      <c r="H5188" s="636"/>
      <c r="I5188" s="636"/>
      <c r="J5188" s="636" t="s">
        <v>13675</v>
      </c>
      <c r="K5188" s="636"/>
      <c r="L5188" s="636" t="s">
        <v>13734</v>
      </c>
    </row>
    <row r="5189" spans="1:12">
      <c r="A5189" s="612" t="s">
        <v>13673</v>
      </c>
      <c r="B5189" s="612"/>
      <c r="C5189" s="612"/>
      <c r="D5189" s="612"/>
      <c r="E5189" s="612"/>
      <c r="F5189" s="612"/>
      <c r="G5189" s="612"/>
      <c r="H5189" s="612"/>
      <c r="I5189" s="612"/>
      <c r="J5189" s="612"/>
      <c r="K5189" s="612"/>
      <c r="L5189" s="612"/>
    </row>
    <row r="5190" spans="1:12" ht="17.100000000000001" customHeight="1">
      <c r="A5190" s="636"/>
      <c r="B5190" s="636"/>
      <c r="C5190" s="636"/>
      <c r="D5190" s="636"/>
      <c r="E5190" s="636"/>
      <c r="F5190" s="636"/>
      <c r="G5190" s="636"/>
      <c r="H5190" s="636"/>
      <c r="I5190" s="636"/>
      <c r="J5190" s="636" t="s">
        <v>13672</v>
      </c>
      <c r="K5190" s="636"/>
      <c r="L5190" s="636" t="s">
        <v>14959</v>
      </c>
    </row>
    <row r="5191" spans="1:12" ht="24" customHeight="1">
      <c r="A5191" s="636"/>
      <c r="B5191" s="636"/>
      <c r="C5191" s="636"/>
      <c r="D5191" s="636"/>
      <c r="E5191" s="636"/>
      <c r="F5191" s="636"/>
      <c r="G5191" s="636"/>
      <c r="H5191" s="636"/>
      <c r="I5191" s="636"/>
      <c r="J5191" s="636" t="s">
        <v>13671</v>
      </c>
      <c r="K5191" s="636" t="s">
        <v>14461</v>
      </c>
      <c r="L5191" s="636" t="s">
        <v>14960</v>
      </c>
    </row>
    <row r="5192" spans="1:12" ht="24" customHeight="1">
      <c r="A5192" s="636"/>
      <c r="B5192" s="636"/>
      <c r="C5192" s="636"/>
      <c r="D5192" s="636"/>
      <c r="E5192" s="636"/>
      <c r="F5192" s="636"/>
      <c r="G5192" s="636"/>
      <c r="H5192" s="636"/>
      <c r="I5192" s="636"/>
      <c r="J5192" s="636" t="s">
        <v>13670</v>
      </c>
      <c r="K5192" s="636"/>
      <c r="L5192" s="636" t="s">
        <v>14961</v>
      </c>
    </row>
    <row r="5193" spans="1:12" ht="17.100000000000001" customHeight="1">
      <c r="A5193" s="636"/>
      <c r="B5193" s="636"/>
      <c r="C5193" s="636"/>
      <c r="D5193" s="636"/>
      <c r="E5193" s="636"/>
      <c r="F5193" s="636"/>
      <c r="G5193" s="636"/>
      <c r="H5193" s="636"/>
      <c r="I5193" s="636"/>
      <c r="J5193" s="636" t="s">
        <v>13669</v>
      </c>
      <c r="K5193" s="636" t="s">
        <v>13667</v>
      </c>
      <c r="L5193" s="636" t="s">
        <v>14962</v>
      </c>
    </row>
    <row r="5194" spans="1:12" ht="17.100000000000001" customHeight="1">
      <c r="A5194" s="636"/>
      <c r="B5194" s="636"/>
      <c r="C5194" s="636"/>
      <c r="D5194" s="636"/>
      <c r="E5194" s="636"/>
      <c r="F5194" s="636"/>
      <c r="G5194" s="636"/>
      <c r="H5194" s="636"/>
      <c r="I5194" s="636"/>
      <c r="J5194" s="636" t="s">
        <v>13668</v>
      </c>
      <c r="K5194" s="636"/>
      <c r="L5194" s="636" t="s">
        <v>14963</v>
      </c>
    </row>
    <row r="5195" spans="1:12" ht="17.100000000000001" customHeight="1">
      <c r="A5195" s="637"/>
      <c r="B5195" s="637"/>
      <c r="C5195" s="637"/>
      <c r="D5195" s="637"/>
      <c r="E5195" s="637"/>
      <c r="F5195" s="637"/>
      <c r="G5195" s="637"/>
      <c r="H5195" s="637"/>
      <c r="I5195" s="637"/>
      <c r="J5195" s="637"/>
      <c r="K5195" s="637"/>
      <c r="L5195" s="637"/>
    </row>
    <row r="5196" spans="1:12" ht="17.100000000000001" customHeight="1">
      <c r="A5196" s="616" t="s">
        <v>14079</v>
      </c>
      <c r="B5196" s="617" t="s">
        <v>13655</v>
      </c>
      <c r="C5196" s="616" t="s">
        <v>8</v>
      </c>
      <c r="D5196" s="616" t="s">
        <v>4680</v>
      </c>
      <c r="E5196" s="618" t="s">
        <v>144</v>
      </c>
      <c r="F5196" s="617"/>
      <c r="G5196" s="617"/>
      <c r="H5196" s="617"/>
      <c r="I5196" s="617"/>
      <c r="J5196" s="617"/>
      <c r="K5196" s="617"/>
      <c r="L5196" s="617"/>
    </row>
    <row r="5197" spans="1:12" ht="17.100000000000001" customHeight="1">
      <c r="A5197" s="802" t="s">
        <v>12711</v>
      </c>
      <c r="B5197" s="802"/>
      <c r="C5197" s="802"/>
      <c r="D5197" s="802"/>
      <c r="E5197" s="802"/>
      <c r="F5197" s="802"/>
      <c r="G5197" s="802"/>
      <c r="H5197" s="802"/>
      <c r="I5197" s="612"/>
      <c r="J5197" s="612"/>
      <c r="K5197" s="612"/>
      <c r="L5197" s="612"/>
    </row>
    <row r="5198" spans="1:12" ht="17.100000000000001" customHeight="1">
      <c r="A5198" s="612" t="s">
        <v>13679</v>
      </c>
      <c r="B5198" s="636" t="s">
        <v>12698</v>
      </c>
      <c r="C5198" s="612" t="s">
        <v>12699</v>
      </c>
      <c r="D5198" s="612" t="s">
        <v>12700</v>
      </c>
      <c r="E5198" s="637" t="s">
        <v>12702</v>
      </c>
      <c r="F5198" s="801" t="s">
        <v>12704</v>
      </c>
      <c r="G5198" s="801"/>
      <c r="H5198" s="801" t="s">
        <v>13678</v>
      </c>
      <c r="I5198" s="801"/>
      <c r="J5198" s="801" t="s">
        <v>12705</v>
      </c>
      <c r="K5198" s="801"/>
      <c r="L5198" s="801"/>
    </row>
    <row r="5199" spans="1:12" ht="17.100000000000001" customHeight="1">
      <c r="A5199" s="626" t="s">
        <v>12709</v>
      </c>
      <c r="B5199" s="627" t="s">
        <v>13289</v>
      </c>
      <c r="C5199" s="626" t="s">
        <v>8</v>
      </c>
      <c r="D5199" s="626" t="s">
        <v>8192</v>
      </c>
      <c r="E5199" s="628" t="s">
        <v>35</v>
      </c>
      <c r="F5199" s="816" t="s">
        <v>14489</v>
      </c>
      <c r="G5199" s="816"/>
      <c r="H5199" s="816">
        <v>1.3999999999999999E-6</v>
      </c>
      <c r="I5199" s="816"/>
      <c r="J5199" s="817">
        <v>0.38529999999999998</v>
      </c>
      <c r="K5199" s="817"/>
      <c r="L5199" s="817"/>
    </row>
    <row r="5200" spans="1:12" ht="30" customHeight="1">
      <c r="A5200" s="626" t="s">
        <v>12709</v>
      </c>
      <c r="B5200" s="627" t="s">
        <v>13003</v>
      </c>
      <c r="C5200" s="626" t="s">
        <v>8</v>
      </c>
      <c r="D5200" s="626" t="s">
        <v>9227</v>
      </c>
      <c r="E5200" s="628" t="s">
        <v>23</v>
      </c>
      <c r="F5200" s="816" t="s">
        <v>13732</v>
      </c>
      <c r="G5200" s="816"/>
      <c r="H5200" s="816">
        <v>1.3021899999999999E-2</v>
      </c>
      <c r="I5200" s="816"/>
      <c r="J5200" s="817">
        <v>8.6E-3</v>
      </c>
      <c r="K5200" s="817"/>
      <c r="L5200" s="817"/>
    </row>
    <row r="5201" spans="1:12" ht="24" customHeight="1">
      <c r="A5201" s="626" t="s">
        <v>12709</v>
      </c>
      <c r="B5201" s="627" t="s">
        <v>13001</v>
      </c>
      <c r="C5201" s="626" t="s">
        <v>8</v>
      </c>
      <c r="D5201" s="626" t="s">
        <v>9374</v>
      </c>
      <c r="E5201" s="628" t="s">
        <v>23</v>
      </c>
      <c r="F5201" s="816" t="s">
        <v>13728</v>
      </c>
      <c r="G5201" s="816"/>
      <c r="H5201" s="816">
        <v>1.3021899999999999E-2</v>
      </c>
      <c r="I5201" s="816"/>
      <c r="J5201" s="817">
        <v>1E-4</v>
      </c>
      <c r="K5201" s="817"/>
      <c r="L5201" s="817"/>
    </row>
    <row r="5202" spans="1:12" ht="14.25" customHeight="1">
      <c r="A5202" s="636"/>
      <c r="B5202" s="636"/>
      <c r="C5202" s="636"/>
      <c r="D5202" s="636"/>
      <c r="E5202" s="636"/>
      <c r="F5202" s="636"/>
      <c r="G5202" s="636"/>
      <c r="H5202" s="636"/>
      <c r="I5202" s="636"/>
      <c r="J5202" s="636" t="s">
        <v>13675</v>
      </c>
      <c r="K5202" s="636"/>
      <c r="L5202" s="636" t="s">
        <v>13784</v>
      </c>
    </row>
    <row r="5203" spans="1:12" ht="17.100000000000001" customHeight="1">
      <c r="A5203" s="802" t="s">
        <v>12710</v>
      </c>
      <c r="B5203" s="802"/>
      <c r="C5203" s="802"/>
      <c r="D5203" s="802"/>
      <c r="E5203" s="802"/>
      <c r="F5203" s="802"/>
      <c r="G5203" s="802"/>
      <c r="H5203" s="802"/>
      <c r="I5203" s="612"/>
      <c r="J5203" s="612"/>
      <c r="K5203" s="612"/>
      <c r="L5203" s="612"/>
    </row>
    <row r="5204" spans="1:12" ht="48" customHeight="1">
      <c r="A5204" s="612" t="s">
        <v>13679</v>
      </c>
      <c r="B5204" s="636" t="s">
        <v>12698</v>
      </c>
      <c r="C5204" s="612" t="s">
        <v>12699</v>
      </c>
      <c r="D5204" s="612" t="s">
        <v>12700</v>
      </c>
      <c r="E5204" s="637" t="s">
        <v>12702</v>
      </c>
      <c r="F5204" s="801" t="s">
        <v>12704</v>
      </c>
      <c r="G5204" s="801"/>
      <c r="H5204" s="801" t="s">
        <v>13678</v>
      </c>
      <c r="I5204" s="801"/>
      <c r="J5204" s="801" t="s">
        <v>12705</v>
      </c>
      <c r="K5204" s="801"/>
      <c r="L5204" s="801"/>
    </row>
    <row r="5205" spans="1:12" ht="24" customHeight="1">
      <c r="A5205" s="626" t="s">
        <v>12709</v>
      </c>
      <c r="B5205" s="627" t="s">
        <v>13129</v>
      </c>
      <c r="C5205" s="626" t="s">
        <v>8</v>
      </c>
      <c r="D5205" s="626" t="s">
        <v>10467</v>
      </c>
      <c r="E5205" s="628" t="s">
        <v>23</v>
      </c>
      <c r="F5205" s="816" t="s">
        <v>14252</v>
      </c>
      <c r="G5205" s="816"/>
      <c r="H5205" s="816">
        <v>1.25235E-2</v>
      </c>
      <c r="I5205" s="816"/>
      <c r="J5205" s="817">
        <v>6.4899999999999999E-2</v>
      </c>
      <c r="K5205" s="817"/>
      <c r="L5205" s="817"/>
    </row>
    <row r="5206" spans="1:12" ht="24" customHeight="1">
      <c r="A5206" s="636"/>
      <c r="B5206" s="636"/>
      <c r="C5206" s="636"/>
      <c r="D5206" s="636"/>
      <c r="E5206" s="636"/>
      <c r="F5206" s="636"/>
      <c r="G5206" s="636"/>
      <c r="H5206" s="636"/>
      <c r="I5206" s="636"/>
      <c r="J5206" s="636" t="s">
        <v>13675</v>
      </c>
      <c r="K5206" s="636"/>
      <c r="L5206" s="636" t="s">
        <v>13708</v>
      </c>
    </row>
    <row r="5207" spans="1:12" ht="24" customHeight="1">
      <c r="A5207" s="802" t="s">
        <v>12720</v>
      </c>
      <c r="B5207" s="802"/>
      <c r="C5207" s="802"/>
      <c r="D5207" s="802"/>
      <c r="E5207" s="802"/>
      <c r="F5207" s="802"/>
      <c r="G5207" s="802"/>
      <c r="H5207" s="802"/>
      <c r="I5207" s="612"/>
      <c r="J5207" s="612"/>
      <c r="K5207" s="612"/>
      <c r="L5207" s="612"/>
    </row>
    <row r="5208" spans="1:12" ht="24" customHeight="1">
      <c r="A5208" s="612" t="s">
        <v>13679</v>
      </c>
      <c r="B5208" s="636" t="s">
        <v>12698</v>
      </c>
      <c r="C5208" s="612" t="s">
        <v>12699</v>
      </c>
      <c r="D5208" s="612" t="s">
        <v>12700</v>
      </c>
      <c r="E5208" s="637" t="s">
        <v>12702</v>
      </c>
      <c r="F5208" s="801" t="s">
        <v>12704</v>
      </c>
      <c r="G5208" s="801"/>
      <c r="H5208" s="801" t="s">
        <v>13678</v>
      </c>
      <c r="I5208" s="801"/>
      <c r="J5208" s="801" t="s">
        <v>12705</v>
      </c>
      <c r="K5208" s="801"/>
      <c r="L5208" s="801"/>
    </row>
    <row r="5209" spans="1:12" ht="17.100000000000001" customHeight="1">
      <c r="A5209" s="626" t="s">
        <v>12709</v>
      </c>
      <c r="B5209" s="627" t="s">
        <v>13281</v>
      </c>
      <c r="C5209" s="626" t="s">
        <v>8</v>
      </c>
      <c r="D5209" s="626" t="s">
        <v>8070</v>
      </c>
      <c r="E5209" s="628" t="s">
        <v>35</v>
      </c>
      <c r="F5209" s="816" t="s">
        <v>13730</v>
      </c>
      <c r="G5209" s="816"/>
      <c r="H5209" s="816">
        <v>1.3999999999999999E-6</v>
      </c>
      <c r="I5209" s="816"/>
      <c r="J5209" s="817">
        <v>4.7500000000000001E-2</v>
      </c>
      <c r="K5209" s="817"/>
      <c r="L5209" s="817"/>
    </row>
    <row r="5210" spans="1:12" ht="14.25" customHeight="1">
      <c r="A5210" s="626" t="s">
        <v>12709</v>
      </c>
      <c r="B5210" s="627" t="s">
        <v>13007</v>
      </c>
      <c r="C5210" s="626" t="s">
        <v>8</v>
      </c>
      <c r="D5210" s="626" t="s">
        <v>10549</v>
      </c>
      <c r="E5210" s="628" t="s">
        <v>58</v>
      </c>
      <c r="F5210" s="816" t="s">
        <v>14172</v>
      </c>
      <c r="G5210" s="816"/>
      <c r="H5210" s="816">
        <v>0.14194129999999999</v>
      </c>
      <c r="I5210" s="816"/>
      <c r="J5210" s="817">
        <v>0.45989999999999998</v>
      </c>
      <c r="K5210" s="817"/>
      <c r="L5210" s="817"/>
    </row>
    <row r="5211" spans="1:12" ht="17.100000000000001" customHeight="1">
      <c r="A5211" s="636"/>
      <c r="B5211" s="636"/>
      <c r="C5211" s="636"/>
      <c r="D5211" s="636"/>
      <c r="E5211" s="636"/>
      <c r="F5211" s="636"/>
      <c r="G5211" s="636"/>
      <c r="H5211" s="636"/>
      <c r="I5211" s="636"/>
      <c r="J5211" s="636" t="s">
        <v>13675</v>
      </c>
      <c r="K5211" s="636"/>
      <c r="L5211" s="636" t="s">
        <v>13746</v>
      </c>
    </row>
    <row r="5212" spans="1:12" ht="24" customHeight="1">
      <c r="A5212" s="802" t="s">
        <v>12722</v>
      </c>
      <c r="B5212" s="802"/>
      <c r="C5212" s="802"/>
      <c r="D5212" s="802"/>
      <c r="E5212" s="802"/>
      <c r="F5212" s="802"/>
      <c r="G5212" s="802"/>
      <c r="H5212" s="802"/>
      <c r="I5212" s="612"/>
      <c r="J5212" s="612"/>
      <c r="K5212" s="612"/>
      <c r="L5212" s="612"/>
    </row>
    <row r="5213" spans="1:12" ht="24" customHeight="1">
      <c r="A5213" s="612" t="s">
        <v>13679</v>
      </c>
      <c r="B5213" s="636" t="s">
        <v>12698</v>
      </c>
      <c r="C5213" s="612" t="s">
        <v>12699</v>
      </c>
      <c r="D5213" s="612" t="s">
        <v>12700</v>
      </c>
      <c r="E5213" s="637" t="s">
        <v>12702</v>
      </c>
      <c r="F5213" s="801" t="s">
        <v>12704</v>
      </c>
      <c r="G5213" s="801"/>
      <c r="H5213" s="801" t="s">
        <v>13678</v>
      </c>
      <c r="I5213" s="801"/>
      <c r="J5213" s="801" t="s">
        <v>12705</v>
      </c>
      <c r="K5213" s="801"/>
      <c r="L5213" s="801"/>
    </row>
    <row r="5214" spans="1:12" ht="17.100000000000001" customHeight="1">
      <c r="A5214" s="626" t="s">
        <v>12709</v>
      </c>
      <c r="B5214" s="627" t="s">
        <v>12998</v>
      </c>
      <c r="C5214" s="626" t="s">
        <v>8</v>
      </c>
      <c r="D5214" s="626" t="s">
        <v>11861</v>
      </c>
      <c r="E5214" s="628" t="s">
        <v>23</v>
      </c>
      <c r="F5214" s="816" t="s">
        <v>13683</v>
      </c>
      <c r="G5214" s="816"/>
      <c r="H5214" s="816">
        <v>1.3021899999999999E-2</v>
      </c>
      <c r="I5214" s="816"/>
      <c r="J5214" s="817">
        <v>9.1999999999999998E-3</v>
      </c>
      <c r="K5214" s="817"/>
      <c r="L5214" s="817"/>
    </row>
    <row r="5215" spans="1:12">
      <c r="A5215" s="636"/>
      <c r="B5215" s="636"/>
      <c r="C5215" s="636"/>
      <c r="D5215" s="636"/>
      <c r="E5215" s="636"/>
      <c r="F5215" s="636"/>
      <c r="G5215" s="636"/>
      <c r="H5215" s="636"/>
      <c r="I5215" s="636"/>
      <c r="J5215" s="636" t="s">
        <v>13675</v>
      </c>
      <c r="K5215" s="636"/>
      <c r="L5215" s="636" t="s">
        <v>13728</v>
      </c>
    </row>
    <row r="5216" spans="1:12" ht="17.100000000000001" customHeight="1">
      <c r="A5216" s="802" t="s">
        <v>12713</v>
      </c>
      <c r="B5216" s="802"/>
      <c r="C5216" s="802"/>
      <c r="D5216" s="802"/>
      <c r="E5216" s="802"/>
      <c r="F5216" s="802"/>
      <c r="G5216" s="802"/>
      <c r="H5216" s="802"/>
      <c r="I5216" s="612"/>
      <c r="J5216" s="612"/>
      <c r="K5216" s="612"/>
      <c r="L5216" s="612"/>
    </row>
    <row r="5217" spans="1:12" ht="24" customHeight="1">
      <c r="A5217" s="612" t="s">
        <v>13679</v>
      </c>
      <c r="B5217" s="636" t="s">
        <v>12698</v>
      </c>
      <c r="C5217" s="612" t="s">
        <v>12699</v>
      </c>
      <c r="D5217" s="612" t="s">
        <v>12700</v>
      </c>
      <c r="E5217" s="637" t="s">
        <v>12702</v>
      </c>
      <c r="F5217" s="801" t="s">
        <v>12704</v>
      </c>
      <c r="G5217" s="801"/>
      <c r="H5217" s="801" t="s">
        <v>13678</v>
      </c>
      <c r="I5217" s="801"/>
      <c r="J5217" s="801" t="s">
        <v>12705</v>
      </c>
      <c r="K5217" s="801"/>
      <c r="L5217" s="801"/>
    </row>
    <row r="5218" spans="1:12" ht="17.100000000000001" customHeight="1">
      <c r="A5218" s="626" t="s">
        <v>12709</v>
      </c>
      <c r="B5218" s="627" t="s">
        <v>12999</v>
      </c>
      <c r="C5218" s="626" t="s">
        <v>8</v>
      </c>
      <c r="D5218" s="626" t="s">
        <v>11251</v>
      </c>
      <c r="E5218" s="628" t="s">
        <v>23</v>
      </c>
      <c r="F5218" s="816" t="s">
        <v>13681</v>
      </c>
      <c r="G5218" s="816"/>
      <c r="H5218" s="816">
        <v>1.3021899999999999E-2</v>
      </c>
      <c r="I5218" s="816"/>
      <c r="J5218" s="817">
        <v>8.9999999999999998E-4</v>
      </c>
      <c r="K5218" s="817"/>
      <c r="L5218" s="817"/>
    </row>
    <row r="5219" spans="1:12">
      <c r="A5219" s="636"/>
      <c r="B5219" s="636"/>
      <c r="C5219" s="636"/>
      <c r="D5219" s="636"/>
      <c r="E5219" s="636"/>
      <c r="F5219" s="636"/>
      <c r="G5219" s="636"/>
      <c r="H5219" s="636"/>
      <c r="I5219" s="636"/>
      <c r="J5219" s="636" t="s">
        <v>13675</v>
      </c>
      <c r="K5219" s="636"/>
      <c r="L5219" s="636" t="s">
        <v>13727</v>
      </c>
    </row>
    <row r="5220" spans="1:12" ht="17.100000000000001" customHeight="1">
      <c r="A5220" s="802" t="s">
        <v>12712</v>
      </c>
      <c r="B5220" s="802"/>
      <c r="C5220" s="802"/>
      <c r="D5220" s="802"/>
      <c r="E5220" s="802"/>
      <c r="F5220" s="802"/>
      <c r="G5220" s="802"/>
      <c r="H5220" s="802"/>
      <c r="I5220" s="612"/>
      <c r="J5220" s="612"/>
      <c r="K5220" s="612"/>
      <c r="L5220" s="612"/>
    </row>
    <row r="5221" spans="1:12" ht="24" customHeight="1">
      <c r="A5221" s="612" t="s">
        <v>13679</v>
      </c>
      <c r="B5221" s="636" t="s">
        <v>12698</v>
      </c>
      <c r="C5221" s="612" t="s">
        <v>12699</v>
      </c>
      <c r="D5221" s="612" t="s">
        <v>12700</v>
      </c>
      <c r="E5221" s="637" t="s">
        <v>12702</v>
      </c>
      <c r="F5221" s="801" t="s">
        <v>12704</v>
      </c>
      <c r="G5221" s="801"/>
      <c r="H5221" s="801" t="s">
        <v>13678</v>
      </c>
      <c r="I5221" s="801"/>
      <c r="J5221" s="801" t="s">
        <v>12705</v>
      </c>
      <c r="K5221" s="801"/>
      <c r="L5221" s="801"/>
    </row>
    <row r="5222" spans="1:12" ht="17.100000000000001" customHeight="1">
      <c r="A5222" s="626" t="s">
        <v>12709</v>
      </c>
      <c r="B5222" s="627" t="s">
        <v>13002</v>
      </c>
      <c r="C5222" s="626" t="s">
        <v>8</v>
      </c>
      <c r="D5222" s="626" t="s">
        <v>9306</v>
      </c>
      <c r="E5222" s="628" t="s">
        <v>23</v>
      </c>
      <c r="F5222" s="816" t="s">
        <v>13677</v>
      </c>
      <c r="G5222" s="816"/>
      <c r="H5222" s="816">
        <v>1.3021899999999999E-2</v>
      </c>
      <c r="I5222" s="816"/>
      <c r="J5222" s="817">
        <v>4.5999999999999999E-3</v>
      </c>
      <c r="K5222" s="817"/>
      <c r="L5222" s="817"/>
    </row>
    <row r="5223" spans="1:12" ht="25.5">
      <c r="A5223" s="626" t="s">
        <v>12709</v>
      </c>
      <c r="B5223" s="627" t="s">
        <v>13004</v>
      </c>
      <c r="C5223" s="626" t="s">
        <v>8</v>
      </c>
      <c r="D5223" s="626" t="s">
        <v>7388</v>
      </c>
      <c r="E5223" s="628" t="s">
        <v>23</v>
      </c>
      <c r="F5223" s="816" t="s">
        <v>13676</v>
      </c>
      <c r="G5223" s="816"/>
      <c r="H5223" s="816">
        <v>1.3021899999999999E-2</v>
      </c>
      <c r="I5223" s="816"/>
      <c r="J5223" s="817">
        <v>2.86E-2</v>
      </c>
      <c r="K5223" s="817"/>
      <c r="L5223" s="817"/>
    </row>
    <row r="5224" spans="1:12" ht="17.100000000000001" customHeight="1">
      <c r="A5224" s="636"/>
      <c r="B5224" s="636"/>
      <c r="C5224" s="636"/>
      <c r="D5224" s="636"/>
      <c r="E5224" s="636"/>
      <c r="F5224" s="636"/>
      <c r="G5224" s="636"/>
      <c r="H5224" s="636"/>
      <c r="I5224" s="636"/>
      <c r="J5224" s="636" t="s">
        <v>13675</v>
      </c>
      <c r="K5224" s="636"/>
      <c r="L5224" s="636" t="s">
        <v>13726</v>
      </c>
    </row>
    <row r="5225" spans="1:12" ht="24" customHeight="1">
      <c r="A5225" s="612" t="s">
        <v>13673</v>
      </c>
      <c r="B5225" s="612"/>
      <c r="C5225" s="612"/>
      <c r="D5225" s="612"/>
      <c r="E5225" s="612"/>
      <c r="F5225" s="612"/>
      <c r="G5225" s="612"/>
      <c r="H5225" s="612"/>
      <c r="I5225" s="612"/>
      <c r="J5225" s="612"/>
      <c r="K5225" s="612"/>
      <c r="L5225" s="612"/>
    </row>
    <row r="5226" spans="1:12" ht="24" customHeight="1">
      <c r="A5226" s="636"/>
      <c r="B5226" s="636"/>
      <c r="C5226" s="636"/>
      <c r="D5226" s="636"/>
      <c r="E5226" s="636"/>
      <c r="F5226" s="636"/>
      <c r="G5226" s="636"/>
      <c r="H5226" s="636"/>
      <c r="I5226" s="636"/>
      <c r="J5226" s="636" t="s">
        <v>13672</v>
      </c>
      <c r="K5226" s="636"/>
      <c r="L5226" s="636" t="s">
        <v>14886</v>
      </c>
    </row>
    <row r="5227" spans="1:12" ht="17.100000000000001" customHeight="1">
      <c r="A5227" s="636"/>
      <c r="B5227" s="636"/>
      <c r="C5227" s="636"/>
      <c r="D5227" s="636"/>
      <c r="E5227" s="636"/>
      <c r="F5227" s="636"/>
      <c r="G5227" s="636"/>
      <c r="H5227" s="636"/>
      <c r="I5227" s="636"/>
      <c r="J5227" s="636" t="s">
        <v>13671</v>
      </c>
      <c r="K5227" s="636" t="s">
        <v>14461</v>
      </c>
      <c r="L5227" s="636" t="s">
        <v>14879</v>
      </c>
    </row>
    <row r="5228" spans="1:12" ht="17.100000000000001" customHeight="1">
      <c r="A5228" s="636"/>
      <c r="B5228" s="636"/>
      <c r="C5228" s="636"/>
      <c r="D5228" s="636"/>
      <c r="E5228" s="636"/>
      <c r="F5228" s="636"/>
      <c r="G5228" s="636"/>
      <c r="H5228" s="636"/>
      <c r="I5228" s="636"/>
      <c r="J5228" s="636" t="s">
        <v>13670</v>
      </c>
      <c r="K5228" s="636"/>
      <c r="L5228" s="636" t="s">
        <v>14887</v>
      </c>
    </row>
    <row r="5229" spans="1:12" ht="17.100000000000001" customHeight="1">
      <c r="A5229" s="636"/>
      <c r="B5229" s="636"/>
      <c r="C5229" s="636"/>
      <c r="D5229" s="636"/>
      <c r="E5229" s="636"/>
      <c r="F5229" s="636"/>
      <c r="G5229" s="636"/>
      <c r="H5229" s="636"/>
      <c r="I5229" s="636"/>
      <c r="J5229" s="636" t="s">
        <v>13669</v>
      </c>
      <c r="K5229" s="636" t="s">
        <v>13667</v>
      </c>
      <c r="L5229" s="636" t="s">
        <v>14888</v>
      </c>
    </row>
    <row r="5230" spans="1:12" ht="17.100000000000001" customHeight="1">
      <c r="A5230" s="636"/>
      <c r="B5230" s="636"/>
      <c r="C5230" s="636"/>
      <c r="D5230" s="636"/>
      <c r="E5230" s="636"/>
      <c r="F5230" s="636"/>
      <c r="G5230" s="636"/>
      <c r="H5230" s="636"/>
      <c r="I5230" s="636"/>
      <c r="J5230" s="636" t="s">
        <v>13668</v>
      </c>
      <c r="K5230" s="636"/>
      <c r="L5230" s="636" t="s">
        <v>14889</v>
      </c>
    </row>
    <row r="5231" spans="1:12" ht="17.100000000000001" customHeight="1">
      <c r="A5231" s="637"/>
      <c r="B5231" s="637"/>
      <c r="C5231" s="637"/>
      <c r="D5231" s="637"/>
      <c r="E5231" s="637"/>
      <c r="F5231" s="637"/>
      <c r="G5231" s="637"/>
      <c r="H5231" s="637"/>
      <c r="I5231" s="637"/>
      <c r="J5231" s="637"/>
      <c r="K5231" s="637"/>
      <c r="L5231" s="637"/>
    </row>
    <row r="5232" spans="1:12" ht="17.100000000000001" customHeight="1">
      <c r="A5232" s="616" t="s">
        <v>14078</v>
      </c>
      <c r="B5232" s="617" t="s">
        <v>13548</v>
      </c>
      <c r="C5232" s="616" t="s">
        <v>8</v>
      </c>
      <c r="D5232" s="616" t="s">
        <v>172</v>
      </c>
      <c r="E5232" s="618" t="s">
        <v>35</v>
      </c>
      <c r="F5232" s="617"/>
      <c r="G5232" s="617"/>
      <c r="H5232" s="617"/>
      <c r="I5232" s="617"/>
      <c r="J5232" s="617"/>
      <c r="K5232" s="617"/>
      <c r="L5232" s="617"/>
    </row>
    <row r="5233" spans="1:12" ht="17.100000000000001" customHeight="1">
      <c r="A5233" s="802" t="s">
        <v>12711</v>
      </c>
      <c r="B5233" s="802"/>
      <c r="C5233" s="802"/>
      <c r="D5233" s="802"/>
      <c r="E5233" s="802"/>
      <c r="F5233" s="802"/>
      <c r="G5233" s="802"/>
      <c r="H5233" s="802"/>
      <c r="I5233" s="612"/>
      <c r="J5233" s="612"/>
      <c r="K5233" s="612"/>
      <c r="L5233" s="612"/>
    </row>
    <row r="5234" spans="1:12" ht="30" customHeight="1">
      <c r="A5234" s="612" t="s">
        <v>13679</v>
      </c>
      <c r="B5234" s="636" t="s">
        <v>12698</v>
      </c>
      <c r="C5234" s="612" t="s">
        <v>12699</v>
      </c>
      <c r="D5234" s="612" t="s">
        <v>12700</v>
      </c>
      <c r="E5234" s="637" t="s">
        <v>12702</v>
      </c>
      <c r="F5234" s="801" t="s">
        <v>12704</v>
      </c>
      <c r="G5234" s="801"/>
      <c r="H5234" s="801" t="s">
        <v>13678</v>
      </c>
      <c r="I5234" s="801"/>
      <c r="J5234" s="801" t="s">
        <v>12705</v>
      </c>
      <c r="K5234" s="801"/>
      <c r="L5234" s="801"/>
    </row>
    <row r="5235" spans="1:12" ht="60" customHeight="1">
      <c r="A5235" s="626" t="s">
        <v>12709</v>
      </c>
      <c r="B5235" s="627" t="s">
        <v>13547</v>
      </c>
      <c r="C5235" s="626" t="s">
        <v>8</v>
      </c>
      <c r="D5235" s="626" t="s">
        <v>7752</v>
      </c>
      <c r="E5235" s="628" t="s">
        <v>35</v>
      </c>
      <c r="F5235" s="816" t="s">
        <v>14077</v>
      </c>
      <c r="G5235" s="816"/>
      <c r="H5235" s="816">
        <v>1</v>
      </c>
      <c r="I5235" s="816"/>
      <c r="J5235" s="817">
        <v>1736.56</v>
      </c>
      <c r="K5235" s="817"/>
      <c r="L5235" s="817"/>
    </row>
    <row r="5236" spans="1:12" ht="14.25" customHeight="1">
      <c r="A5236" s="626" t="s">
        <v>12709</v>
      </c>
      <c r="B5236" s="627" t="s">
        <v>13048</v>
      </c>
      <c r="C5236" s="626" t="s">
        <v>8</v>
      </c>
      <c r="D5236" s="626" t="s">
        <v>9233</v>
      </c>
      <c r="E5236" s="628" t="s">
        <v>23</v>
      </c>
      <c r="F5236" s="816" t="s">
        <v>13690</v>
      </c>
      <c r="G5236" s="816"/>
      <c r="H5236" s="816">
        <v>6.0938420999999998</v>
      </c>
      <c r="I5236" s="816"/>
      <c r="J5236" s="817">
        <v>6.2157</v>
      </c>
      <c r="K5236" s="817"/>
      <c r="L5236" s="817"/>
    </row>
    <row r="5237" spans="1:12" ht="17.100000000000001" customHeight="1">
      <c r="A5237" s="626" t="s">
        <v>12709</v>
      </c>
      <c r="B5237" s="627" t="s">
        <v>13047</v>
      </c>
      <c r="C5237" s="626" t="s">
        <v>8</v>
      </c>
      <c r="D5237" s="626" t="s">
        <v>9380</v>
      </c>
      <c r="E5237" s="628" t="s">
        <v>23</v>
      </c>
      <c r="F5237" s="816" t="s">
        <v>13689</v>
      </c>
      <c r="G5237" s="816"/>
      <c r="H5237" s="816">
        <v>6.0938420999999998</v>
      </c>
      <c r="I5237" s="816"/>
      <c r="J5237" s="817">
        <v>2.3157000000000001</v>
      </c>
      <c r="K5237" s="817"/>
      <c r="L5237" s="817"/>
    </row>
    <row r="5238" spans="1:12" ht="24" customHeight="1">
      <c r="A5238" s="626" t="s">
        <v>12709</v>
      </c>
      <c r="B5238" s="627" t="s">
        <v>13134</v>
      </c>
      <c r="C5238" s="626" t="s">
        <v>8</v>
      </c>
      <c r="D5238" s="626" t="s">
        <v>9219</v>
      </c>
      <c r="E5238" s="628" t="s">
        <v>23</v>
      </c>
      <c r="F5238" s="816" t="s">
        <v>13782</v>
      </c>
      <c r="G5238" s="816"/>
      <c r="H5238" s="816">
        <v>6.0938420999999998</v>
      </c>
      <c r="I5238" s="816"/>
      <c r="J5238" s="817">
        <v>5.6673</v>
      </c>
      <c r="K5238" s="817"/>
      <c r="L5238" s="817"/>
    </row>
    <row r="5239" spans="1:12" ht="24" customHeight="1">
      <c r="A5239" s="626" t="s">
        <v>12709</v>
      </c>
      <c r="B5239" s="627" t="s">
        <v>13133</v>
      </c>
      <c r="C5239" s="626" t="s">
        <v>8</v>
      </c>
      <c r="D5239" s="626" t="s">
        <v>9366</v>
      </c>
      <c r="E5239" s="628" t="s">
        <v>23</v>
      </c>
      <c r="F5239" s="816" t="s">
        <v>13781</v>
      </c>
      <c r="G5239" s="816"/>
      <c r="H5239" s="816">
        <v>6.0938420999999998</v>
      </c>
      <c r="I5239" s="816"/>
      <c r="J5239" s="817">
        <v>3.3515999999999999</v>
      </c>
      <c r="K5239" s="817"/>
      <c r="L5239" s="817"/>
    </row>
    <row r="5240" spans="1:12" ht="17.100000000000001" customHeight="1">
      <c r="A5240" s="636"/>
      <c r="B5240" s="636"/>
      <c r="C5240" s="636"/>
      <c r="D5240" s="636"/>
      <c r="E5240" s="636"/>
      <c r="F5240" s="636"/>
      <c r="G5240" s="636"/>
      <c r="H5240" s="636"/>
      <c r="I5240" s="636"/>
      <c r="J5240" s="636" t="s">
        <v>13675</v>
      </c>
      <c r="K5240" s="636"/>
      <c r="L5240" s="636" t="s">
        <v>14076</v>
      </c>
    </row>
    <row r="5241" spans="1:12" ht="14.25" customHeight="1">
      <c r="A5241" s="802" t="s">
        <v>12710</v>
      </c>
      <c r="B5241" s="802"/>
      <c r="C5241" s="802"/>
      <c r="D5241" s="802"/>
      <c r="E5241" s="802"/>
      <c r="F5241" s="802"/>
      <c r="G5241" s="802"/>
      <c r="H5241" s="802"/>
      <c r="I5241" s="612"/>
      <c r="J5241" s="612"/>
      <c r="K5241" s="612"/>
      <c r="L5241" s="612"/>
    </row>
    <row r="5242" spans="1:12" ht="17.100000000000001" customHeight="1">
      <c r="A5242" s="612" t="s">
        <v>13679</v>
      </c>
      <c r="B5242" s="636" t="s">
        <v>12698</v>
      </c>
      <c r="C5242" s="612" t="s">
        <v>12699</v>
      </c>
      <c r="D5242" s="612" t="s">
        <v>12700</v>
      </c>
      <c r="E5242" s="637" t="s">
        <v>12702</v>
      </c>
      <c r="F5242" s="801" t="s">
        <v>12704</v>
      </c>
      <c r="G5242" s="801"/>
      <c r="H5242" s="801" t="s">
        <v>13678</v>
      </c>
      <c r="I5242" s="801"/>
      <c r="J5242" s="801" t="s">
        <v>12705</v>
      </c>
      <c r="K5242" s="801"/>
      <c r="L5242" s="801"/>
    </row>
    <row r="5243" spans="1:12" ht="24" customHeight="1">
      <c r="A5243" s="626" t="s">
        <v>12709</v>
      </c>
      <c r="B5243" s="627" t="s">
        <v>13226</v>
      </c>
      <c r="C5243" s="626" t="s">
        <v>8</v>
      </c>
      <c r="D5243" s="626" t="s">
        <v>7374</v>
      </c>
      <c r="E5243" s="628" t="s">
        <v>23</v>
      </c>
      <c r="F5243" s="816" t="s">
        <v>14702</v>
      </c>
      <c r="G5243" s="816"/>
      <c r="H5243" s="816">
        <v>6.1424295000000004</v>
      </c>
      <c r="I5243" s="816"/>
      <c r="J5243" s="817">
        <v>40.97</v>
      </c>
      <c r="K5243" s="817"/>
      <c r="L5243" s="817"/>
    </row>
    <row r="5244" spans="1:12" ht="24" customHeight="1">
      <c r="A5244" s="626" t="s">
        <v>12709</v>
      </c>
      <c r="B5244" s="627" t="s">
        <v>13132</v>
      </c>
      <c r="C5244" s="626" t="s">
        <v>8</v>
      </c>
      <c r="D5244" s="626" t="s">
        <v>10451</v>
      </c>
      <c r="E5244" s="628" t="s">
        <v>23</v>
      </c>
      <c r="F5244" s="816" t="s">
        <v>14701</v>
      </c>
      <c r="G5244" s="816"/>
      <c r="H5244" s="816">
        <v>6.2240928999999996</v>
      </c>
      <c r="I5244" s="816"/>
      <c r="J5244" s="817">
        <v>48.423400000000001</v>
      </c>
      <c r="K5244" s="817"/>
      <c r="L5244" s="817"/>
    </row>
    <row r="5245" spans="1:12" ht="17.100000000000001" customHeight="1">
      <c r="A5245" s="636"/>
      <c r="B5245" s="636"/>
      <c r="C5245" s="636"/>
      <c r="D5245" s="636"/>
      <c r="E5245" s="636"/>
      <c r="F5245" s="636"/>
      <c r="G5245" s="636"/>
      <c r="H5245" s="636"/>
      <c r="I5245" s="636"/>
      <c r="J5245" s="636" t="s">
        <v>13675</v>
      </c>
      <c r="K5245" s="636"/>
      <c r="L5245" s="636" t="s">
        <v>14700</v>
      </c>
    </row>
    <row r="5246" spans="1:12">
      <c r="A5246" s="802" t="s">
        <v>12722</v>
      </c>
      <c r="B5246" s="802"/>
      <c r="C5246" s="802"/>
      <c r="D5246" s="802"/>
      <c r="E5246" s="802"/>
      <c r="F5246" s="802"/>
      <c r="G5246" s="802"/>
      <c r="H5246" s="802"/>
      <c r="I5246" s="612"/>
      <c r="J5246" s="612"/>
      <c r="K5246" s="612"/>
      <c r="L5246" s="612"/>
    </row>
    <row r="5247" spans="1:12" ht="17.100000000000001" customHeight="1">
      <c r="A5247" s="612" t="s">
        <v>13679</v>
      </c>
      <c r="B5247" s="636" t="s">
        <v>12698</v>
      </c>
      <c r="C5247" s="612" t="s">
        <v>12699</v>
      </c>
      <c r="D5247" s="612" t="s">
        <v>12700</v>
      </c>
      <c r="E5247" s="637" t="s">
        <v>12702</v>
      </c>
      <c r="F5247" s="801" t="s">
        <v>12704</v>
      </c>
      <c r="G5247" s="801"/>
      <c r="H5247" s="801" t="s">
        <v>13678</v>
      </c>
      <c r="I5247" s="801"/>
      <c r="J5247" s="801" t="s">
        <v>12705</v>
      </c>
      <c r="K5247" s="801"/>
      <c r="L5247" s="801"/>
    </row>
    <row r="5248" spans="1:12" ht="24" customHeight="1">
      <c r="A5248" s="626" t="s">
        <v>12709</v>
      </c>
      <c r="B5248" s="627" t="s">
        <v>12998</v>
      </c>
      <c r="C5248" s="626" t="s">
        <v>8</v>
      </c>
      <c r="D5248" s="626" t="s">
        <v>11861</v>
      </c>
      <c r="E5248" s="628" t="s">
        <v>23</v>
      </c>
      <c r="F5248" s="816" t="s">
        <v>13683</v>
      </c>
      <c r="G5248" s="816"/>
      <c r="H5248" s="816">
        <v>12.1876841</v>
      </c>
      <c r="I5248" s="816"/>
      <c r="J5248" s="817">
        <v>8.6532999999999998</v>
      </c>
      <c r="K5248" s="817"/>
      <c r="L5248" s="817"/>
    </row>
    <row r="5249" spans="1:12" ht="24" customHeight="1">
      <c r="A5249" s="636"/>
      <c r="B5249" s="636"/>
      <c r="C5249" s="636"/>
      <c r="D5249" s="636"/>
      <c r="E5249" s="636"/>
      <c r="F5249" s="636"/>
      <c r="G5249" s="636"/>
      <c r="H5249" s="636"/>
      <c r="I5249" s="636"/>
      <c r="J5249" s="636" t="s">
        <v>13675</v>
      </c>
      <c r="K5249" s="636"/>
      <c r="L5249" s="636" t="s">
        <v>13846</v>
      </c>
    </row>
    <row r="5250" spans="1:12" ht="17.100000000000001" customHeight="1">
      <c r="A5250" s="802" t="s">
        <v>12713</v>
      </c>
      <c r="B5250" s="802"/>
      <c r="C5250" s="802"/>
      <c r="D5250" s="802"/>
      <c r="E5250" s="802"/>
      <c r="F5250" s="802"/>
      <c r="G5250" s="802"/>
      <c r="H5250" s="802"/>
      <c r="I5250" s="612"/>
      <c r="J5250" s="612"/>
      <c r="K5250" s="612"/>
      <c r="L5250" s="612"/>
    </row>
    <row r="5251" spans="1:12">
      <c r="A5251" s="612" t="s">
        <v>13679</v>
      </c>
      <c r="B5251" s="636" t="s">
        <v>12698</v>
      </c>
      <c r="C5251" s="612" t="s">
        <v>12699</v>
      </c>
      <c r="D5251" s="612" t="s">
        <v>12700</v>
      </c>
      <c r="E5251" s="637" t="s">
        <v>12702</v>
      </c>
      <c r="F5251" s="801" t="s">
        <v>12704</v>
      </c>
      <c r="G5251" s="801"/>
      <c r="H5251" s="801" t="s">
        <v>13678</v>
      </c>
      <c r="I5251" s="801"/>
      <c r="J5251" s="801" t="s">
        <v>12705</v>
      </c>
      <c r="K5251" s="801"/>
      <c r="L5251" s="801"/>
    </row>
    <row r="5252" spans="1:12" ht="17.100000000000001" customHeight="1">
      <c r="A5252" s="626" t="s">
        <v>12709</v>
      </c>
      <c r="B5252" s="627" t="s">
        <v>12999</v>
      </c>
      <c r="C5252" s="626" t="s">
        <v>8</v>
      </c>
      <c r="D5252" s="626" t="s">
        <v>11251</v>
      </c>
      <c r="E5252" s="628" t="s">
        <v>23</v>
      </c>
      <c r="F5252" s="816" t="s">
        <v>13681</v>
      </c>
      <c r="G5252" s="816"/>
      <c r="H5252" s="816">
        <v>12.1876841</v>
      </c>
      <c r="I5252" s="816"/>
      <c r="J5252" s="817">
        <v>0.85309999999999997</v>
      </c>
      <c r="K5252" s="817"/>
      <c r="L5252" s="817"/>
    </row>
    <row r="5253" spans="1:12" ht="24" customHeight="1">
      <c r="A5253" s="636"/>
      <c r="B5253" s="636"/>
      <c r="C5253" s="636"/>
      <c r="D5253" s="636"/>
      <c r="E5253" s="636"/>
      <c r="F5253" s="636"/>
      <c r="G5253" s="636"/>
      <c r="H5253" s="636"/>
      <c r="I5253" s="636"/>
      <c r="J5253" s="636" t="s">
        <v>13675</v>
      </c>
      <c r="K5253" s="636"/>
      <c r="L5253" s="636" t="s">
        <v>13906</v>
      </c>
    </row>
    <row r="5254" spans="1:12" ht="17.100000000000001" customHeight="1">
      <c r="A5254" s="802" t="s">
        <v>12712</v>
      </c>
      <c r="B5254" s="802"/>
      <c r="C5254" s="802"/>
      <c r="D5254" s="802"/>
      <c r="E5254" s="802"/>
      <c r="F5254" s="802"/>
      <c r="G5254" s="802"/>
      <c r="H5254" s="802"/>
      <c r="I5254" s="612"/>
      <c r="J5254" s="612"/>
      <c r="K5254" s="612"/>
      <c r="L5254" s="612"/>
    </row>
    <row r="5255" spans="1:12">
      <c r="A5255" s="612" t="s">
        <v>13679</v>
      </c>
      <c r="B5255" s="636" t="s">
        <v>12698</v>
      </c>
      <c r="C5255" s="612" t="s">
        <v>12699</v>
      </c>
      <c r="D5255" s="612" t="s">
        <v>12700</v>
      </c>
      <c r="E5255" s="637" t="s">
        <v>12702</v>
      </c>
      <c r="F5255" s="801" t="s">
        <v>12704</v>
      </c>
      <c r="G5255" s="801"/>
      <c r="H5255" s="801" t="s">
        <v>13678</v>
      </c>
      <c r="I5255" s="801"/>
      <c r="J5255" s="801" t="s">
        <v>12705</v>
      </c>
      <c r="K5255" s="801"/>
      <c r="L5255" s="801"/>
    </row>
    <row r="5256" spans="1:12" ht="17.100000000000001" customHeight="1">
      <c r="A5256" s="626" t="s">
        <v>12709</v>
      </c>
      <c r="B5256" s="627" t="s">
        <v>13002</v>
      </c>
      <c r="C5256" s="626" t="s">
        <v>8</v>
      </c>
      <c r="D5256" s="626" t="s">
        <v>9306</v>
      </c>
      <c r="E5256" s="628" t="s">
        <v>23</v>
      </c>
      <c r="F5256" s="816" t="s">
        <v>13677</v>
      </c>
      <c r="G5256" s="816"/>
      <c r="H5256" s="816">
        <v>12.1876841</v>
      </c>
      <c r="I5256" s="816"/>
      <c r="J5256" s="817">
        <v>4.2656999999999998</v>
      </c>
      <c r="K5256" s="817"/>
      <c r="L5256" s="817"/>
    </row>
    <row r="5257" spans="1:12" ht="24" customHeight="1">
      <c r="A5257" s="626" t="s">
        <v>12709</v>
      </c>
      <c r="B5257" s="627" t="s">
        <v>13004</v>
      </c>
      <c r="C5257" s="626" t="s">
        <v>8</v>
      </c>
      <c r="D5257" s="626" t="s">
        <v>7388</v>
      </c>
      <c r="E5257" s="628" t="s">
        <v>23</v>
      </c>
      <c r="F5257" s="816" t="s">
        <v>13676</v>
      </c>
      <c r="G5257" s="816"/>
      <c r="H5257" s="816">
        <v>12.1876841</v>
      </c>
      <c r="I5257" s="816"/>
      <c r="J5257" s="817">
        <v>26.812899999999999</v>
      </c>
      <c r="K5257" s="817"/>
      <c r="L5257" s="817"/>
    </row>
    <row r="5258" spans="1:12" ht="17.100000000000001" customHeight="1">
      <c r="A5258" s="636"/>
      <c r="B5258" s="636"/>
      <c r="C5258" s="636"/>
      <c r="D5258" s="636"/>
      <c r="E5258" s="636"/>
      <c r="F5258" s="636"/>
      <c r="G5258" s="636"/>
      <c r="H5258" s="636"/>
      <c r="I5258" s="636"/>
      <c r="J5258" s="636" t="s">
        <v>13675</v>
      </c>
      <c r="K5258" s="636"/>
      <c r="L5258" s="636" t="s">
        <v>14075</v>
      </c>
    </row>
    <row r="5259" spans="1:12">
      <c r="A5259" s="612" t="s">
        <v>13673</v>
      </c>
      <c r="B5259" s="612"/>
      <c r="C5259" s="612"/>
      <c r="D5259" s="612"/>
      <c r="E5259" s="612"/>
      <c r="F5259" s="612"/>
      <c r="G5259" s="612"/>
      <c r="H5259" s="612"/>
      <c r="I5259" s="612"/>
      <c r="J5259" s="612"/>
      <c r="K5259" s="612"/>
      <c r="L5259" s="612"/>
    </row>
    <row r="5260" spans="1:12" ht="17.100000000000001" customHeight="1">
      <c r="A5260" s="636"/>
      <c r="B5260" s="636"/>
      <c r="C5260" s="636"/>
      <c r="D5260" s="636"/>
      <c r="E5260" s="636"/>
      <c r="F5260" s="636"/>
      <c r="G5260" s="636"/>
      <c r="H5260" s="636"/>
      <c r="I5260" s="636"/>
      <c r="J5260" s="636" t="s">
        <v>13672</v>
      </c>
      <c r="K5260" s="636"/>
      <c r="L5260" s="636" t="s">
        <v>15230</v>
      </c>
    </row>
    <row r="5261" spans="1:12" ht="24" customHeight="1">
      <c r="A5261" s="636"/>
      <c r="B5261" s="636"/>
      <c r="C5261" s="636"/>
      <c r="D5261" s="636"/>
      <c r="E5261" s="636"/>
      <c r="F5261" s="636"/>
      <c r="G5261" s="636"/>
      <c r="H5261" s="636"/>
      <c r="I5261" s="636"/>
      <c r="J5261" s="636" t="s">
        <v>13671</v>
      </c>
      <c r="K5261" s="636" t="s">
        <v>14461</v>
      </c>
      <c r="L5261" s="636" t="s">
        <v>15231</v>
      </c>
    </row>
    <row r="5262" spans="1:12" ht="24" customHeight="1">
      <c r="A5262" s="636"/>
      <c r="B5262" s="636"/>
      <c r="C5262" s="636"/>
      <c r="D5262" s="636"/>
      <c r="E5262" s="636"/>
      <c r="F5262" s="636"/>
      <c r="G5262" s="636"/>
      <c r="H5262" s="636"/>
      <c r="I5262" s="636"/>
      <c r="J5262" s="636" t="s">
        <v>13670</v>
      </c>
      <c r="K5262" s="636"/>
      <c r="L5262" s="636" t="s">
        <v>15232</v>
      </c>
    </row>
    <row r="5263" spans="1:12" ht="17.100000000000001" customHeight="1">
      <c r="A5263" s="636"/>
      <c r="B5263" s="636"/>
      <c r="C5263" s="636"/>
      <c r="D5263" s="636"/>
      <c r="E5263" s="636"/>
      <c r="F5263" s="636"/>
      <c r="G5263" s="636"/>
      <c r="H5263" s="636"/>
      <c r="I5263" s="636"/>
      <c r="J5263" s="636" t="s">
        <v>13669</v>
      </c>
      <c r="K5263" s="636" t="s">
        <v>13667</v>
      </c>
      <c r="L5263" s="636" t="s">
        <v>15233</v>
      </c>
    </row>
    <row r="5264" spans="1:12" ht="17.100000000000001" customHeight="1">
      <c r="A5264" s="636"/>
      <c r="B5264" s="636"/>
      <c r="C5264" s="636"/>
      <c r="D5264" s="636"/>
      <c r="E5264" s="636"/>
      <c r="F5264" s="636"/>
      <c r="G5264" s="636"/>
      <c r="H5264" s="636"/>
      <c r="I5264" s="636"/>
      <c r="J5264" s="636" t="s">
        <v>13668</v>
      </c>
      <c r="K5264" s="636"/>
      <c r="L5264" s="636" t="s">
        <v>15234</v>
      </c>
    </row>
    <row r="5265" spans="1:12" ht="17.100000000000001" customHeight="1">
      <c r="A5265" s="637"/>
      <c r="B5265" s="637"/>
      <c r="C5265" s="637"/>
      <c r="D5265" s="637"/>
      <c r="E5265" s="637"/>
      <c r="F5265" s="637"/>
      <c r="G5265" s="637"/>
      <c r="H5265" s="637"/>
      <c r="I5265" s="637"/>
      <c r="J5265" s="637"/>
      <c r="K5265" s="637"/>
      <c r="L5265" s="637"/>
    </row>
    <row r="5266" spans="1:12" ht="17.100000000000001" customHeight="1">
      <c r="A5266" s="616" t="s">
        <v>14074</v>
      </c>
      <c r="B5266" s="617" t="s">
        <v>13546</v>
      </c>
      <c r="C5266" s="616" t="s">
        <v>8</v>
      </c>
      <c r="D5266" s="616" t="s">
        <v>3515</v>
      </c>
      <c r="E5266" s="618" t="s">
        <v>35</v>
      </c>
      <c r="F5266" s="617"/>
      <c r="G5266" s="617"/>
      <c r="H5266" s="617"/>
      <c r="I5266" s="617"/>
      <c r="J5266" s="617"/>
      <c r="K5266" s="617"/>
      <c r="L5266" s="617"/>
    </row>
    <row r="5267" spans="1:12" ht="17.100000000000001" customHeight="1">
      <c r="A5267" s="802" t="s">
        <v>12711</v>
      </c>
      <c r="B5267" s="802"/>
      <c r="C5267" s="802"/>
      <c r="D5267" s="802"/>
      <c r="E5267" s="802"/>
      <c r="F5267" s="802"/>
      <c r="G5267" s="802"/>
      <c r="H5267" s="802"/>
      <c r="I5267" s="612"/>
      <c r="J5267" s="612"/>
      <c r="K5267" s="612"/>
      <c r="L5267" s="612"/>
    </row>
    <row r="5268" spans="1:12" ht="17.100000000000001" customHeight="1">
      <c r="A5268" s="612" t="s">
        <v>13679</v>
      </c>
      <c r="B5268" s="636" t="s">
        <v>12698</v>
      </c>
      <c r="C5268" s="612" t="s">
        <v>12699</v>
      </c>
      <c r="D5268" s="612" t="s">
        <v>12700</v>
      </c>
      <c r="E5268" s="637" t="s">
        <v>12702</v>
      </c>
      <c r="F5268" s="801" t="s">
        <v>12704</v>
      </c>
      <c r="G5268" s="801"/>
      <c r="H5268" s="801" t="s">
        <v>13678</v>
      </c>
      <c r="I5268" s="801"/>
      <c r="J5268" s="801" t="s">
        <v>12705</v>
      </c>
      <c r="K5268" s="801"/>
      <c r="L5268" s="801"/>
    </row>
    <row r="5269" spans="1:12" ht="17.100000000000001" customHeight="1">
      <c r="A5269" s="626" t="s">
        <v>12709</v>
      </c>
      <c r="B5269" s="627" t="s">
        <v>13201</v>
      </c>
      <c r="C5269" s="626" t="s">
        <v>8</v>
      </c>
      <c r="D5269" s="626" t="s">
        <v>9221</v>
      </c>
      <c r="E5269" s="628" t="s">
        <v>23</v>
      </c>
      <c r="F5269" s="816" t="s">
        <v>13705</v>
      </c>
      <c r="G5269" s="816"/>
      <c r="H5269" s="816">
        <v>1.5762041</v>
      </c>
      <c r="I5269" s="816"/>
      <c r="J5269" s="817">
        <v>1.3082</v>
      </c>
      <c r="K5269" s="817"/>
      <c r="L5269" s="817"/>
    </row>
    <row r="5270" spans="1:12" ht="30" customHeight="1">
      <c r="A5270" s="626" t="s">
        <v>12709</v>
      </c>
      <c r="B5270" s="627" t="s">
        <v>13200</v>
      </c>
      <c r="C5270" s="626" t="s">
        <v>8</v>
      </c>
      <c r="D5270" s="626" t="s">
        <v>9368</v>
      </c>
      <c r="E5270" s="628" t="s">
        <v>23</v>
      </c>
      <c r="F5270" s="816" t="s">
        <v>13704</v>
      </c>
      <c r="G5270" s="816"/>
      <c r="H5270" s="816">
        <v>1.5762041</v>
      </c>
      <c r="I5270" s="816"/>
      <c r="J5270" s="817">
        <v>0.37830000000000003</v>
      </c>
      <c r="K5270" s="817"/>
      <c r="L5270" s="817"/>
    </row>
    <row r="5271" spans="1:12" ht="24" customHeight="1">
      <c r="A5271" s="636"/>
      <c r="B5271" s="636"/>
      <c r="C5271" s="636"/>
      <c r="D5271" s="636"/>
      <c r="E5271" s="636"/>
      <c r="F5271" s="636"/>
      <c r="G5271" s="636"/>
      <c r="H5271" s="636"/>
      <c r="I5271" s="636"/>
      <c r="J5271" s="636" t="s">
        <v>13675</v>
      </c>
      <c r="K5271" s="636"/>
      <c r="L5271" s="636" t="s">
        <v>14048</v>
      </c>
    </row>
    <row r="5272" spans="1:12" ht="14.25" customHeight="1">
      <c r="A5272" s="802" t="s">
        <v>12710</v>
      </c>
      <c r="B5272" s="802"/>
      <c r="C5272" s="802"/>
      <c r="D5272" s="802"/>
      <c r="E5272" s="802"/>
      <c r="F5272" s="802"/>
      <c r="G5272" s="802"/>
      <c r="H5272" s="802"/>
      <c r="I5272" s="612"/>
      <c r="J5272" s="612"/>
      <c r="K5272" s="612"/>
      <c r="L5272" s="612"/>
    </row>
    <row r="5273" spans="1:12" ht="17.100000000000001" customHeight="1">
      <c r="A5273" s="612" t="s">
        <v>13679</v>
      </c>
      <c r="B5273" s="636" t="s">
        <v>12698</v>
      </c>
      <c r="C5273" s="612" t="s">
        <v>12699</v>
      </c>
      <c r="D5273" s="612" t="s">
        <v>12700</v>
      </c>
      <c r="E5273" s="637" t="s">
        <v>12702</v>
      </c>
      <c r="F5273" s="801" t="s">
        <v>12704</v>
      </c>
      <c r="G5273" s="801"/>
      <c r="H5273" s="801" t="s">
        <v>13678</v>
      </c>
      <c r="I5273" s="801"/>
      <c r="J5273" s="801" t="s">
        <v>12705</v>
      </c>
      <c r="K5273" s="801"/>
      <c r="L5273" s="801"/>
    </row>
    <row r="5274" spans="1:12" ht="24" customHeight="1">
      <c r="A5274" s="626" t="s">
        <v>12709</v>
      </c>
      <c r="B5274" s="627" t="s">
        <v>13220</v>
      </c>
      <c r="C5274" s="626" t="s">
        <v>8</v>
      </c>
      <c r="D5274" s="626" t="s">
        <v>7592</v>
      </c>
      <c r="E5274" s="628" t="s">
        <v>23</v>
      </c>
      <c r="F5274" s="816" t="s">
        <v>13890</v>
      </c>
      <c r="G5274" s="816"/>
      <c r="H5274" s="816">
        <v>0.79828010000000005</v>
      </c>
      <c r="I5274" s="816"/>
      <c r="J5274" s="817">
        <v>4.0392999999999999</v>
      </c>
      <c r="K5274" s="817"/>
      <c r="L5274" s="817"/>
    </row>
    <row r="5275" spans="1:12" ht="24" customHeight="1">
      <c r="A5275" s="626" t="s">
        <v>12709</v>
      </c>
      <c r="B5275" s="627" t="s">
        <v>13202</v>
      </c>
      <c r="C5275" s="626" t="s">
        <v>8</v>
      </c>
      <c r="D5275" s="626" t="s">
        <v>9187</v>
      </c>
      <c r="E5275" s="628" t="s">
        <v>23</v>
      </c>
      <c r="F5275" s="816" t="s">
        <v>14479</v>
      </c>
      <c r="G5275" s="816"/>
      <c r="H5275" s="816">
        <v>0.79828010000000005</v>
      </c>
      <c r="I5275" s="816"/>
      <c r="J5275" s="817">
        <v>5.7077</v>
      </c>
      <c r="K5275" s="817"/>
      <c r="L5275" s="817"/>
    </row>
    <row r="5276" spans="1:12" ht="17.100000000000001" customHeight="1">
      <c r="A5276" s="636"/>
      <c r="B5276" s="636"/>
      <c r="C5276" s="636"/>
      <c r="D5276" s="636"/>
      <c r="E5276" s="636"/>
      <c r="F5276" s="636"/>
      <c r="G5276" s="636"/>
      <c r="H5276" s="636"/>
      <c r="I5276" s="636"/>
      <c r="J5276" s="636" t="s">
        <v>13675</v>
      </c>
      <c r="K5276" s="636"/>
      <c r="L5276" s="636" t="s">
        <v>14677</v>
      </c>
    </row>
    <row r="5277" spans="1:12" ht="14.25" customHeight="1">
      <c r="A5277" s="802" t="s">
        <v>12720</v>
      </c>
      <c r="B5277" s="802"/>
      <c r="C5277" s="802"/>
      <c r="D5277" s="802"/>
      <c r="E5277" s="802"/>
      <c r="F5277" s="802"/>
      <c r="G5277" s="802"/>
      <c r="H5277" s="802"/>
      <c r="I5277" s="612"/>
      <c r="J5277" s="612"/>
      <c r="K5277" s="612"/>
      <c r="L5277" s="612"/>
    </row>
    <row r="5278" spans="1:12" ht="17.100000000000001" customHeight="1">
      <c r="A5278" s="612" t="s">
        <v>13679</v>
      </c>
      <c r="B5278" s="636" t="s">
        <v>12698</v>
      </c>
      <c r="C5278" s="612" t="s">
        <v>12699</v>
      </c>
      <c r="D5278" s="612" t="s">
        <v>12700</v>
      </c>
      <c r="E5278" s="637" t="s">
        <v>12702</v>
      </c>
      <c r="F5278" s="801" t="s">
        <v>12704</v>
      </c>
      <c r="G5278" s="801"/>
      <c r="H5278" s="801" t="s">
        <v>13678</v>
      </c>
      <c r="I5278" s="801"/>
      <c r="J5278" s="801" t="s">
        <v>12705</v>
      </c>
      <c r="K5278" s="801"/>
      <c r="L5278" s="801"/>
    </row>
    <row r="5279" spans="1:12" ht="24" customHeight="1">
      <c r="A5279" s="626" t="s">
        <v>12709</v>
      </c>
      <c r="B5279" s="627" t="s">
        <v>13440</v>
      </c>
      <c r="C5279" s="626" t="s">
        <v>8</v>
      </c>
      <c r="D5279" s="626" t="s">
        <v>9427</v>
      </c>
      <c r="E5279" s="628" t="s">
        <v>35</v>
      </c>
      <c r="F5279" s="816" t="s">
        <v>14603</v>
      </c>
      <c r="G5279" s="816"/>
      <c r="H5279" s="816">
        <v>1.9E-2</v>
      </c>
      <c r="I5279" s="816"/>
      <c r="J5279" s="817">
        <v>0.28000000000000003</v>
      </c>
      <c r="K5279" s="817"/>
      <c r="L5279" s="817"/>
    </row>
    <row r="5280" spans="1:12" ht="24" customHeight="1">
      <c r="A5280" s="626" t="s">
        <v>12709</v>
      </c>
      <c r="B5280" s="627" t="s">
        <v>13545</v>
      </c>
      <c r="C5280" s="626" t="s">
        <v>8</v>
      </c>
      <c r="D5280" s="626" t="s">
        <v>11158</v>
      </c>
      <c r="E5280" s="628" t="s">
        <v>35</v>
      </c>
      <c r="F5280" s="816" t="s">
        <v>14699</v>
      </c>
      <c r="G5280" s="816"/>
      <c r="H5280" s="816">
        <v>1</v>
      </c>
      <c r="I5280" s="816"/>
      <c r="J5280" s="817">
        <v>87.22</v>
      </c>
      <c r="K5280" s="817"/>
      <c r="L5280" s="817"/>
    </row>
    <row r="5281" spans="1:12" ht="17.100000000000001" customHeight="1">
      <c r="A5281" s="636"/>
      <c r="B5281" s="636"/>
      <c r="C5281" s="636"/>
      <c r="D5281" s="636"/>
      <c r="E5281" s="636"/>
      <c r="F5281" s="636"/>
      <c r="G5281" s="636"/>
      <c r="H5281" s="636"/>
      <c r="I5281" s="636"/>
      <c r="J5281" s="636" t="s">
        <v>13675</v>
      </c>
      <c r="K5281" s="636"/>
      <c r="L5281" s="636" t="s">
        <v>14698</v>
      </c>
    </row>
    <row r="5282" spans="1:12">
      <c r="A5282" s="802" t="s">
        <v>12722</v>
      </c>
      <c r="B5282" s="802"/>
      <c r="C5282" s="802"/>
      <c r="D5282" s="802"/>
      <c r="E5282" s="802"/>
      <c r="F5282" s="802"/>
      <c r="G5282" s="802"/>
      <c r="H5282" s="802"/>
      <c r="I5282" s="612"/>
      <c r="J5282" s="612"/>
      <c r="K5282" s="612"/>
      <c r="L5282" s="612"/>
    </row>
    <row r="5283" spans="1:12" ht="17.100000000000001" customHeight="1">
      <c r="A5283" s="612" t="s">
        <v>13679</v>
      </c>
      <c r="B5283" s="636" t="s">
        <v>12698</v>
      </c>
      <c r="C5283" s="612" t="s">
        <v>12699</v>
      </c>
      <c r="D5283" s="612" t="s">
        <v>12700</v>
      </c>
      <c r="E5283" s="637" t="s">
        <v>12702</v>
      </c>
      <c r="F5283" s="801" t="s">
        <v>12704</v>
      </c>
      <c r="G5283" s="801"/>
      <c r="H5283" s="801" t="s">
        <v>13678</v>
      </c>
      <c r="I5283" s="801"/>
      <c r="J5283" s="801" t="s">
        <v>12705</v>
      </c>
      <c r="K5283" s="801"/>
      <c r="L5283" s="801"/>
    </row>
    <row r="5284" spans="1:12" ht="24" customHeight="1">
      <c r="A5284" s="626" t="s">
        <v>12709</v>
      </c>
      <c r="B5284" s="627" t="s">
        <v>12998</v>
      </c>
      <c r="C5284" s="626" t="s">
        <v>8</v>
      </c>
      <c r="D5284" s="626" t="s">
        <v>11861</v>
      </c>
      <c r="E5284" s="628" t="s">
        <v>23</v>
      </c>
      <c r="F5284" s="816" t="s">
        <v>13683</v>
      </c>
      <c r="G5284" s="816"/>
      <c r="H5284" s="816">
        <v>1.5762041</v>
      </c>
      <c r="I5284" s="816"/>
      <c r="J5284" s="817">
        <v>1.1191</v>
      </c>
      <c r="K5284" s="817"/>
      <c r="L5284" s="817"/>
    </row>
    <row r="5285" spans="1:12" ht="24" customHeight="1">
      <c r="A5285" s="636"/>
      <c r="B5285" s="636"/>
      <c r="C5285" s="636"/>
      <c r="D5285" s="636"/>
      <c r="E5285" s="636"/>
      <c r="F5285" s="636"/>
      <c r="G5285" s="636"/>
      <c r="H5285" s="636"/>
      <c r="I5285" s="636"/>
      <c r="J5285" s="636" t="s">
        <v>13675</v>
      </c>
      <c r="K5285" s="636"/>
      <c r="L5285" s="636" t="s">
        <v>13877</v>
      </c>
    </row>
    <row r="5286" spans="1:12" ht="17.100000000000001" customHeight="1">
      <c r="A5286" s="802" t="s">
        <v>12713</v>
      </c>
      <c r="B5286" s="802"/>
      <c r="C5286" s="802"/>
      <c r="D5286" s="802"/>
      <c r="E5286" s="802"/>
      <c r="F5286" s="802"/>
      <c r="G5286" s="802"/>
      <c r="H5286" s="802"/>
      <c r="I5286" s="612"/>
      <c r="J5286" s="612"/>
      <c r="K5286" s="612"/>
      <c r="L5286" s="612"/>
    </row>
    <row r="5287" spans="1:12">
      <c r="A5287" s="612" t="s">
        <v>13679</v>
      </c>
      <c r="B5287" s="636" t="s">
        <v>12698</v>
      </c>
      <c r="C5287" s="612" t="s">
        <v>12699</v>
      </c>
      <c r="D5287" s="612" t="s">
        <v>12700</v>
      </c>
      <c r="E5287" s="637" t="s">
        <v>12702</v>
      </c>
      <c r="F5287" s="801" t="s">
        <v>12704</v>
      </c>
      <c r="G5287" s="801"/>
      <c r="H5287" s="801" t="s">
        <v>13678</v>
      </c>
      <c r="I5287" s="801"/>
      <c r="J5287" s="801" t="s">
        <v>12705</v>
      </c>
      <c r="K5287" s="801"/>
      <c r="L5287" s="801"/>
    </row>
    <row r="5288" spans="1:12" ht="17.100000000000001" customHeight="1">
      <c r="A5288" s="626" t="s">
        <v>12709</v>
      </c>
      <c r="B5288" s="627" t="s">
        <v>12999</v>
      </c>
      <c r="C5288" s="626" t="s">
        <v>8</v>
      </c>
      <c r="D5288" s="626" t="s">
        <v>11251</v>
      </c>
      <c r="E5288" s="628" t="s">
        <v>23</v>
      </c>
      <c r="F5288" s="816" t="s">
        <v>13681</v>
      </c>
      <c r="G5288" s="816"/>
      <c r="H5288" s="816">
        <v>1.5762041</v>
      </c>
      <c r="I5288" s="816"/>
      <c r="J5288" s="817">
        <v>0.1103</v>
      </c>
      <c r="K5288" s="817"/>
      <c r="L5288" s="817"/>
    </row>
    <row r="5289" spans="1:12" ht="24" customHeight="1">
      <c r="A5289" s="636"/>
      <c r="B5289" s="636"/>
      <c r="C5289" s="636"/>
      <c r="D5289" s="636"/>
      <c r="E5289" s="636"/>
      <c r="F5289" s="636"/>
      <c r="G5289" s="636"/>
      <c r="H5289" s="636"/>
      <c r="I5289" s="636"/>
      <c r="J5289" s="636" t="s">
        <v>13675</v>
      </c>
      <c r="K5289" s="636"/>
      <c r="L5289" s="636" t="s">
        <v>13785</v>
      </c>
    </row>
    <row r="5290" spans="1:12" ht="17.100000000000001" customHeight="1">
      <c r="A5290" s="802" t="s">
        <v>12712</v>
      </c>
      <c r="B5290" s="802"/>
      <c r="C5290" s="802"/>
      <c r="D5290" s="802"/>
      <c r="E5290" s="802"/>
      <c r="F5290" s="802"/>
      <c r="G5290" s="802"/>
      <c r="H5290" s="802"/>
      <c r="I5290" s="612"/>
      <c r="J5290" s="612"/>
      <c r="K5290" s="612"/>
      <c r="L5290" s="612"/>
    </row>
    <row r="5291" spans="1:12">
      <c r="A5291" s="612" t="s">
        <v>13679</v>
      </c>
      <c r="B5291" s="636" t="s">
        <v>12698</v>
      </c>
      <c r="C5291" s="612" t="s">
        <v>12699</v>
      </c>
      <c r="D5291" s="612" t="s">
        <v>12700</v>
      </c>
      <c r="E5291" s="637" t="s">
        <v>12702</v>
      </c>
      <c r="F5291" s="801" t="s">
        <v>12704</v>
      </c>
      <c r="G5291" s="801"/>
      <c r="H5291" s="801" t="s">
        <v>13678</v>
      </c>
      <c r="I5291" s="801"/>
      <c r="J5291" s="801" t="s">
        <v>12705</v>
      </c>
      <c r="K5291" s="801"/>
      <c r="L5291" s="801"/>
    </row>
    <row r="5292" spans="1:12" ht="17.100000000000001" customHeight="1">
      <c r="A5292" s="626" t="s">
        <v>12709</v>
      </c>
      <c r="B5292" s="627" t="s">
        <v>13002</v>
      </c>
      <c r="C5292" s="626" t="s">
        <v>8</v>
      </c>
      <c r="D5292" s="626" t="s">
        <v>9306</v>
      </c>
      <c r="E5292" s="628" t="s">
        <v>23</v>
      </c>
      <c r="F5292" s="816" t="s">
        <v>13677</v>
      </c>
      <c r="G5292" s="816"/>
      <c r="H5292" s="816">
        <v>1.5762041</v>
      </c>
      <c r="I5292" s="816"/>
      <c r="J5292" s="817">
        <v>0.55169999999999997</v>
      </c>
      <c r="K5292" s="817"/>
      <c r="L5292" s="817"/>
    </row>
    <row r="5293" spans="1:12" ht="24" customHeight="1">
      <c r="A5293" s="626" t="s">
        <v>12709</v>
      </c>
      <c r="B5293" s="627" t="s">
        <v>13004</v>
      </c>
      <c r="C5293" s="626" t="s">
        <v>8</v>
      </c>
      <c r="D5293" s="626" t="s">
        <v>7388</v>
      </c>
      <c r="E5293" s="628" t="s">
        <v>23</v>
      </c>
      <c r="F5293" s="816" t="s">
        <v>13676</v>
      </c>
      <c r="G5293" s="816"/>
      <c r="H5293" s="816">
        <v>1.5762041</v>
      </c>
      <c r="I5293" s="816"/>
      <c r="J5293" s="817">
        <v>3.4676</v>
      </c>
      <c r="K5293" s="817"/>
      <c r="L5293" s="817"/>
    </row>
    <row r="5294" spans="1:12" ht="17.100000000000001" customHeight="1">
      <c r="A5294" s="636"/>
      <c r="B5294" s="636"/>
      <c r="C5294" s="636"/>
      <c r="D5294" s="636"/>
      <c r="E5294" s="636"/>
      <c r="F5294" s="636"/>
      <c r="G5294" s="636"/>
      <c r="H5294" s="636"/>
      <c r="I5294" s="636"/>
      <c r="J5294" s="636" t="s">
        <v>13675</v>
      </c>
      <c r="K5294" s="636"/>
      <c r="L5294" s="636" t="s">
        <v>14047</v>
      </c>
    </row>
    <row r="5295" spans="1:12">
      <c r="A5295" s="612" t="s">
        <v>13673</v>
      </c>
      <c r="B5295" s="612"/>
      <c r="C5295" s="612"/>
      <c r="D5295" s="612"/>
      <c r="E5295" s="612"/>
      <c r="F5295" s="612"/>
      <c r="G5295" s="612"/>
      <c r="H5295" s="612"/>
      <c r="I5295" s="612"/>
      <c r="J5295" s="612"/>
      <c r="K5295" s="612"/>
      <c r="L5295" s="612"/>
    </row>
    <row r="5296" spans="1:12" ht="17.100000000000001" customHeight="1">
      <c r="A5296" s="636"/>
      <c r="B5296" s="636"/>
      <c r="C5296" s="636"/>
      <c r="D5296" s="636"/>
      <c r="E5296" s="636"/>
      <c r="F5296" s="636"/>
      <c r="G5296" s="636"/>
      <c r="H5296" s="636"/>
      <c r="I5296" s="636"/>
      <c r="J5296" s="636" t="s">
        <v>13672</v>
      </c>
      <c r="K5296" s="636"/>
      <c r="L5296" s="636" t="s">
        <v>15235</v>
      </c>
    </row>
    <row r="5297" spans="1:12" ht="24" customHeight="1">
      <c r="A5297" s="636"/>
      <c r="B5297" s="636"/>
      <c r="C5297" s="636"/>
      <c r="D5297" s="636"/>
      <c r="E5297" s="636"/>
      <c r="F5297" s="636"/>
      <c r="G5297" s="636"/>
      <c r="H5297" s="636"/>
      <c r="I5297" s="636"/>
      <c r="J5297" s="636" t="s">
        <v>13671</v>
      </c>
      <c r="K5297" s="636" t="s">
        <v>14461</v>
      </c>
      <c r="L5297" s="636" t="s">
        <v>15236</v>
      </c>
    </row>
    <row r="5298" spans="1:12" ht="24" customHeight="1">
      <c r="A5298" s="636"/>
      <c r="B5298" s="636"/>
      <c r="C5298" s="636"/>
      <c r="D5298" s="636"/>
      <c r="E5298" s="636"/>
      <c r="F5298" s="636"/>
      <c r="G5298" s="636"/>
      <c r="H5298" s="636"/>
      <c r="I5298" s="636"/>
      <c r="J5298" s="636" t="s">
        <v>13670</v>
      </c>
      <c r="K5298" s="636"/>
      <c r="L5298" s="636" t="s">
        <v>15237</v>
      </c>
    </row>
    <row r="5299" spans="1:12" ht="17.100000000000001" customHeight="1">
      <c r="A5299" s="636"/>
      <c r="B5299" s="636"/>
      <c r="C5299" s="636"/>
      <c r="D5299" s="636"/>
      <c r="E5299" s="636"/>
      <c r="F5299" s="636"/>
      <c r="G5299" s="636"/>
      <c r="H5299" s="636"/>
      <c r="I5299" s="636"/>
      <c r="J5299" s="636" t="s">
        <v>13669</v>
      </c>
      <c r="K5299" s="636" t="s">
        <v>13667</v>
      </c>
      <c r="L5299" s="636" t="s">
        <v>15238</v>
      </c>
    </row>
    <row r="5300" spans="1:12" ht="17.100000000000001" customHeight="1">
      <c r="A5300" s="636"/>
      <c r="B5300" s="636"/>
      <c r="C5300" s="636"/>
      <c r="D5300" s="636"/>
      <c r="E5300" s="636"/>
      <c r="F5300" s="636"/>
      <c r="G5300" s="636"/>
      <c r="H5300" s="636"/>
      <c r="I5300" s="636"/>
      <c r="J5300" s="636" t="s">
        <v>13668</v>
      </c>
      <c r="K5300" s="636"/>
      <c r="L5300" s="636" t="s">
        <v>15239</v>
      </c>
    </row>
    <row r="5301" spans="1:12" ht="17.100000000000001" customHeight="1">
      <c r="A5301" s="637"/>
      <c r="B5301" s="637"/>
      <c r="C5301" s="637"/>
      <c r="D5301" s="637"/>
      <c r="E5301" s="637"/>
      <c r="F5301" s="637"/>
      <c r="G5301" s="637"/>
      <c r="H5301" s="637"/>
      <c r="I5301" s="637"/>
      <c r="J5301" s="637"/>
      <c r="K5301" s="637"/>
      <c r="L5301" s="637"/>
    </row>
    <row r="5302" spans="1:12" ht="17.100000000000001" customHeight="1">
      <c r="A5302" s="616" t="s">
        <v>14073</v>
      </c>
      <c r="B5302" s="617" t="s">
        <v>13544</v>
      </c>
      <c r="C5302" s="616" t="s">
        <v>8</v>
      </c>
      <c r="D5302" s="616" t="s">
        <v>2171</v>
      </c>
      <c r="E5302" s="618" t="s">
        <v>35</v>
      </c>
      <c r="F5302" s="617"/>
      <c r="G5302" s="617"/>
      <c r="H5302" s="617"/>
      <c r="I5302" s="617"/>
      <c r="J5302" s="617"/>
      <c r="K5302" s="617"/>
      <c r="L5302" s="617"/>
    </row>
    <row r="5303" spans="1:12" ht="17.100000000000001" customHeight="1">
      <c r="A5303" s="802" t="s">
        <v>12711</v>
      </c>
      <c r="B5303" s="802"/>
      <c r="C5303" s="802"/>
      <c r="D5303" s="802"/>
      <c r="E5303" s="802"/>
      <c r="F5303" s="802"/>
      <c r="G5303" s="802"/>
      <c r="H5303" s="802"/>
      <c r="I5303" s="612"/>
      <c r="J5303" s="612"/>
      <c r="K5303" s="612"/>
      <c r="L5303" s="612"/>
    </row>
    <row r="5304" spans="1:12" ht="17.100000000000001" customHeight="1">
      <c r="A5304" s="612" t="s">
        <v>13679</v>
      </c>
      <c r="B5304" s="636" t="s">
        <v>12698</v>
      </c>
      <c r="C5304" s="612" t="s">
        <v>12699</v>
      </c>
      <c r="D5304" s="612" t="s">
        <v>12700</v>
      </c>
      <c r="E5304" s="637" t="s">
        <v>12702</v>
      </c>
      <c r="F5304" s="801" t="s">
        <v>12704</v>
      </c>
      <c r="G5304" s="801"/>
      <c r="H5304" s="801" t="s">
        <v>13678</v>
      </c>
      <c r="I5304" s="801"/>
      <c r="J5304" s="801" t="s">
        <v>12705</v>
      </c>
      <c r="K5304" s="801"/>
      <c r="L5304" s="801"/>
    </row>
    <row r="5305" spans="1:12" ht="17.100000000000001" customHeight="1">
      <c r="A5305" s="626" t="s">
        <v>12709</v>
      </c>
      <c r="B5305" s="627" t="s">
        <v>13201</v>
      </c>
      <c r="C5305" s="626" t="s">
        <v>8</v>
      </c>
      <c r="D5305" s="626" t="s">
        <v>9221</v>
      </c>
      <c r="E5305" s="628" t="s">
        <v>23</v>
      </c>
      <c r="F5305" s="816" t="s">
        <v>13705</v>
      </c>
      <c r="G5305" s="816"/>
      <c r="H5305" s="816">
        <v>0.39831440000000001</v>
      </c>
      <c r="I5305" s="816"/>
      <c r="J5305" s="817">
        <v>0.3306</v>
      </c>
      <c r="K5305" s="817"/>
      <c r="L5305" s="817"/>
    </row>
    <row r="5306" spans="1:12" ht="30" customHeight="1">
      <c r="A5306" s="626" t="s">
        <v>12709</v>
      </c>
      <c r="B5306" s="627" t="s">
        <v>13200</v>
      </c>
      <c r="C5306" s="626" t="s">
        <v>8</v>
      </c>
      <c r="D5306" s="626" t="s">
        <v>9368</v>
      </c>
      <c r="E5306" s="628" t="s">
        <v>23</v>
      </c>
      <c r="F5306" s="816" t="s">
        <v>13704</v>
      </c>
      <c r="G5306" s="816"/>
      <c r="H5306" s="816">
        <v>0.39831440000000001</v>
      </c>
      <c r="I5306" s="816"/>
      <c r="J5306" s="817">
        <v>9.5600000000000004E-2</v>
      </c>
      <c r="K5306" s="817"/>
      <c r="L5306" s="817"/>
    </row>
    <row r="5307" spans="1:12" ht="60" customHeight="1">
      <c r="A5307" s="636"/>
      <c r="B5307" s="636"/>
      <c r="C5307" s="636"/>
      <c r="D5307" s="636"/>
      <c r="E5307" s="636"/>
      <c r="F5307" s="636"/>
      <c r="G5307" s="636"/>
      <c r="H5307" s="636"/>
      <c r="I5307" s="636"/>
      <c r="J5307" s="636" t="s">
        <v>13675</v>
      </c>
      <c r="K5307" s="636"/>
      <c r="L5307" s="636" t="s">
        <v>13717</v>
      </c>
    </row>
    <row r="5308" spans="1:12" ht="14.25" customHeight="1">
      <c r="A5308" s="802" t="s">
        <v>12710</v>
      </c>
      <c r="B5308" s="802"/>
      <c r="C5308" s="802"/>
      <c r="D5308" s="802"/>
      <c r="E5308" s="802"/>
      <c r="F5308" s="802"/>
      <c r="G5308" s="802"/>
      <c r="H5308" s="802"/>
      <c r="I5308" s="612"/>
      <c r="J5308" s="612"/>
      <c r="K5308" s="612"/>
      <c r="L5308" s="612"/>
    </row>
    <row r="5309" spans="1:12" ht="17.100000000000001" customHeight="1">
      <c r="A5309" s="612" t="s">
        <v>13679</v>
      </c>
      <c r="B5309" s="636" t="s">
        <v>12698</v>
      </c>
      <c r="C5309" s="612" t="s">
        <v>12699</v>
      </c>
      <c r="D5309" s="612" t="s">
        <v>12700</v>
      </c>
      <c r="E5309" s="637" t="s">
        <v>12702</v>
      </c>
      <c r="F5309" s="801" t="s">
        <v>12704</v>
      </c>
      <c r="G5309" s="801"/>
      <c r="H5309" s="801" t="s">
        <v>13678</v>
      </c>
      <c r="I5309" s="801"/>
      <c r="J5309" s="801" t="s">
        <v>12705</v>
      </c>
      <c r="K5309" s="801"/>
      <c r="L5309" s="801"/>
    </row>
    <row r="5310" spans="1:12" ht="24" customHeight="1">
      <c r="A5310" s="626" t="s">
        <v>12709</v>
      </c>
      <c r="B5310" s="627" t="s">
        <v>13220</v>
      </c>
      <c r="C5310" s="626" t="s">
        <v>8</v>
      </c>
      <c r="D5310" s="626" t="s">
        <v>7592</v>
      </c>
      <c r="E5310" s="628" t="s">
        <v>23</v>
      </c>
      <c r="F5310" s="816" t="s">
        <v>13890</v>
      </c>
      <c r="G5310" s="816"/>
      <c r="H5310" s="816">
        <v>0.2018945</v>
      </c>
      <c r="I5310" s="816"/>
      <c r="J5310" s="817">
        <v>1.0216000000000001</v>
      </c>
      <c r="K5310" s="817"/>
      <c r="L5310" s="817"/>
    </row>
    <row r="5311" spans="1:12" ht="24" customHeight="1">
      <c r="A5311" s="626" t="s">
        <v>12709</v>
      </c>
      <c r="B5311" s="627" t="s">
        <v>13202</v>
      </c>
      <c r="C5311" s="626" t="s">
        <v>8</v>
      </c>
      <c r="D5311" s="626" t="s">
        <v>9187</v>
      </c>
      <c r="E5311" s="628" t="s">
        <v>23</v>
      </c>
      <c r="F5311" s="816" t="s">
        <v>14479</v>
      </c>
      <c r="G5311" s="816"/>
      <c r="H5311" s="816">
        <v>0.2018945</v>
      </c>
      <c r="I5311" s="816"/>
      <c r="J5311" s="817">
        <v>1.4435</v>
      </c>
      <c r="K5311" s="817"/>
      <c r="L5311" s="817"/>
    </row>
    <row r="5312" spans="1:12" ht="17.100000000000001" customHeight="1">
      <c r="A5312" s="636"/>
      <c r="B5312" s="636"/>
      <c r="C5312" s="636"/>
      <c r="D5312" s="636"/>
      <c r="E5312" s="636"/>
      <c r="F5312" s="636"/>
      <c r="G5312" s="636"/>
      <c r="H5312" s="636"/>
      <c r="I5312" s="636"/>
      <c r="J5312" s="636" t="s">
        <v>13675</v>
      </c>
      <c r="K5312" s="636"/>
      <c r="L5312" s="636" t="s">
        <v>13962</v>
      </c>
    </row>
    <row r="5313" spans="1:12" ht="14.25" customHeight="1">
      <c r="A5313" s="802" t="s">
        <v>12720</v>
      </c>
      <c r="B5313" s="802"/>
      <c r="C5313" s="802"/>
      <c r="D5313" s="802"/>
      <c r="E5313" s="802"/>
      <c r="F5313" s="802"/>
      <c r="G5313" s="802"/>
      <c r="H5313" s="802"/>
      <c r="I5313" s="612"/>
      <c r="J5313" s="612"/>
      <c r="K5313" s="612"/>
      <c r="L5313" s="612"/>
    </row>
    <row r="5314" spans="1:12" ht="17.100000000000001" customHeight="1">
      <c r="A5314" s="612" t="s">
        <v>13679</v>
      </c>
      <c r="B5314" s="636" t="s">
        <v>12698</v>
      </c>
      <c r="C5314" s="612" t="s">
        <v>12699</v>
      </c>
      <c r="D5314" s="612" t="s">
        <v>12700</v>
      </c>
      <c r="E5314" s="637" t="s">
        <v>12702</v>
      </c>
      <c r="F5314" s="801" t="s">
        <v>12704</v>
      </c>
      <c r="G5314" s="801"/>
      <c r="H5314" s="801" t="s">
        <v>13678</v>
      </c>
      <c r="I5314" s="801"/>
      <c r="J5314" s="801" t="s">
        <v>12705</v>
      </c>
      <c r="K5314" s="801"/>
      <c r="L5314" s="801"/>
    </row>
    <row r="5315" spans="1:12" ht="24" customHeight="1">
      <c r="A5315" s="626" t="s">
        <v>12709</v>
      </c>
      <c r="B5315" s="627" t="s">
        <v>13440</v>
      </c>
      <c r="C5315" s="626" t="s">
        <v>8</v>
      </c>
      <c r="D5315" s="626" t="s">
        <v>9427</v>
      </c>
      <c r="E5315" s="628" t="s">
        <v>35</v>
      </c>
      <c r="F5315" s="816" t="s">
        <v>14603</v>
      </c>
      <c r="G5315" s="816"/>
      <c r="H5315" s="816">
        <v>1.2999999999999999E-2</v>
      </c>
      <c r="I5315" s="816"/>
      <c r="J5315" s="817">
        <v>0.19</v>
      </c>
      <c r="K5315" s="817"/>
      <c r="L5315" s="817"/>
    </row>
    <row r="5316" spans="1:12" ht="24" customHeight="1">
      <c r="A5316" s="626" t="s">
        <v>12709</v>
      </c>
      <c r="B5316" s="627" t="s">
        <v>13543</v>
      </c>
      <c r="C5316" s="626" t="s">
        <v>8</v>
      </c>
      <c r="D5316" s="626" t="s">
        <v>11137</v>
      </c>
      <c r="E5316" s="628" t="s">
        <v>35</v>
      </c>
      <c r="F5316" s="816" t="s">
        <v>13845</v>
      </c>
      <c r="G5316" s="816"/>
      <c r="H5316" s="816">
        <v>1</v>
      </c>
      <c r="I5316" s="816"/>
      <c r="J5316" s="817">
        <v>9.51</v>
      </c>
      <c r="K5316" s="817"/>
      <c r="L5316" s="817"/>
    </row>
    <row r="5317" spans="1:12" ht="17.100000000000001" customHeight="1">
      <c r="A5317" s="636"/>
      <c r="B5317" s="636"/>
      <c r="C5317" s="636"/>
      <c r="D5317" s="636"/>
      <c r="E5317" s="636"/>
      <c r="F5317" s="636"/>
      <c r="G5317" s="636"/>
      <c r="H5317" s="636"/>
      <c r="I5317" s="636"/>
      <c r="J5317" s="636" t="s">
        <v>13675</v>
      </c>
      <c r="K5317" s="636"/>
      <c r="L5317" s="636" t="s">
        <v>14697</v>
      </c>
    </row>
    <row r="5318" spans="1:12">
      <c r="A5318" s="802" t="s">
        <v>12722</v>
      </c>
      <c r="B5318" s="802"/>
      <c r="C5318" s="802"/>
      <c r="D5318" s="802"/>
      <c r="E5318" s="802"/>
      <c r="F5318" s="802"/>
      <c r="G5318" s="802"/>
      <c r="H5318" s="802"/>
      <c r="I5318" s="612"/>
      <c r="J5318" s="612"/>
      <c r="K5318" s="612"/>
      <c r="L5318" s="612"/>
    </row>
    <row r="5319" spans="1:12" ht="17.100000000000001" customHeight="1">
      <c r="A5319" s="612" t="s">
        <v>13679</v>
      </c>
      <c r="B5319" s="636" t="s">
        <v>12698</v>
      </c>
      <c r="C5319" s="612" t="s">
        <v>12699</v>
      </c>
      <c r="D5319" s="612" t="s">
        <v>12700</v>
      </c>
      <c r="E5319" s="637" t="s">
        <v>12702</v>
      </c>
      <c r="F5319" s="801" t="s">
        <v>12704</v>
      </c>
      <c r="G5319" s="801"/>
      <c r="H5319" s="801" t="s">
        <v>13678</v>
      </c>
      <c r="I5319" s="801"/>
      <c r="J5319" s="801" t="s">
        <v>12705</v>
      </c>
      <c r="K5319" s="801"/>
      <c r="L5319" s="801"/>
    </row>
    <row r="5320" spans="1:12" ht="24" customHeight="1">
      <c r="A5320" s="626" t="s">
        <v>12709</v>
      </c>
      <c r="B5320" s="627" t="s">
        <v>12998</v>
      </c>
      <c r="C5320" s="626" t="s">
        <v>8</v>
      </c>
      <c r="D5320" s="626" t="s">
        <v>11861</v>
      </c>
      <c r="E5320" s="628" t="s">
        <v>23</v>
      </c>
      <c r="F5320" s="816" t="s">
        <v>13683</v>
      </c>
      <c r="G5320" s="816"/>
      <c r="H5320" s="816">
        <v>0.39831440000000001</v>
      </c>
      <c r="I5320" s="816"/>
      <c r="J5320" s="817">
        <v>0.2828</v>
      </c>
      <c r="K5320" s="817"/>
      <c r="L5320" s="817"/>
    </row>
    <row r="5321" spans="1:12" ht="24" customHeight="1">
      <c r="A5321" s="636"/>
      <c r="B5321" s="636"/>
      <c r="C5321" s="636"/>
      <c r="D5321" s="636"/>
      <c r="E5321" s="636"/>
      <c r="F5321" s="636"/>
      <c r="G5321" s="636"/>
      <c r="H5321" s="636"/>
      <c r="I5321" s="636"/>
      <c r="J5321" s="636" t="s">
        <v>13675</v>
      </c>
      <c r="K5321" s="636"/>
      <c r="L5321" s="636" t="s">
        <v>13762</v>
      </c>
    </row>
    <row r="5322" spans="1:12" ht="24" customHeight="1">
      <c r="A5322" s="802" t="s">
        <v>12713</v>
      </c>
      <c r="B5322" s="802"/>
      <c r="C5322" s="802"/>
      <c r="D5322" s="802"/>
      <c r="E5322" s="802"/>
      <c r="F5322" s="802"/>
      <c r="G5322" s="802"/>
      <c r="H5322" s="802"/>
      <c r="I5322" s="612"/>
      <c r="J5322" s="612"/>
      <c r="K5322" s="612"/>
      <c r="L5322" s="612"/>
    </row>
    <row r="5323" spans="1:12" ht="24" customHeight="1">
      <c r="A5323" s="612" t="s">
        <v>13679</v>
      </c>
      <c r="B5323" s="636" t="s">
        <v>12698</v>
      </c>
      <c r="C5323" s="612" t="s">
        <v>12699</v>
      </c>
      <c r="D5323" s="612" t="s">
        <v>12700</v>
      </c>
      <c r="E5323" s="637" t="s">
        <v>12702</v>
      </c>
      <c r="F5323" s="801" t="s">
        <v>12704</v>
      </c>
      <c r="G5323" s="801"/>
      <c r="H5323" s="801" t="s">
        <v>13678</v>
      </c>
      <c r="I5323" s="801"/>
      <c r="J5323" s="801" t="s">
        <v>12705</v>
      </c>
      <c r="K5323" s="801"/>
      <c r="L5323" s="801"/>
    </row>
    <row r="5324" spans="1:12" ht="17.100000000000001" customHeight="1">
      <c r="A5324" s="626" t="s">
        <v>12709</v>
      </c>
      <c r="B5324" s="627" t="s">
        <v>12999</v>
      </c>
      <c r="C5324" s="626" t="s">
        <v>8</v>
      </c>
      <c r="D5324" s="626" t="s">
        <v>11251</v>
      </c>
      <c r="E5324" s="628" t="s">
        <v>23</v>
      </c>
      <c r="F5324" s="816" t="s">
        <v>13681</v>
      </c>
      <c r="G5324" s="816"/>
      <c r="H5324" s="816">
        <v>0.39831440000000001</v>
      </c>
      <c r="I5324" s="816"/>
      <c r="J5324" s="817">
        <v>2.7900000000000001E-2</v>
      </c>
      <c r="K5324" s="817"/>
      <c r="L5324" s="817"/>
    </row>
    <row r="5325" spans="1:12">
      <c r="A5325" s="636"/>
      <c r="B5325" s="636"/>
      <c r="C5325" s="636"/>
      <c r="D5325" s="636"/>
      <c r="E5325" s="636"/>
      <c r="F5325" s="636"/>
      <c r="G5325" s="636"/>
      <c r="H5325" s="636"/>
      <c r="I5325" s="636"/>
      <c r="J5325" s="636" t="s">
        <v>13675</v>
      </c>
      <c r="K5325" s="636"/>
      <c r="L5325" s="636" t="s">
        <v>13726</v>
      </c>
    </row>
    <row r="5326" spans="1:12" ht="17.100000000000001" customHeight="1">
      <c r="A5326" s="802" t="s">
        <v>12712</v>
      </c>
      <c r="B5326" s="802"/>
      <c r="C5326" s="802"/>
      <c r="D5326" s="802"/>
      <c r="E5326" s="802"/>
      <c r="F5326" s="802"/>
      <c r="G5326" s="802"/>
      <c r="H5326" s="802"/>
      <c r="I5326" s="612"/>
      <c r="J5326" s="612"/>
      <c r="K5326" s="612"/>
      <c r="L5326" s="612"/>
    </row>
    <row r="5327" spans="1:12" ht="24" customHeight="1">
      <c r="A5327" s="612" t="s">
        <v>13679</v>
      </c>
      <c r="B5327" s="636" t="s">
        <v>12698</v>
      </c>
      <c r="C5327" s="612" t="s">
        <v>12699</v>
      </c>
      <c r="D5327" s="612" t="s">
        <v>12700</v>
      </c>
      <c r="E5327" s="637" t="s">
        <v>12702</v>
      </c>
      <c r="F5327" s="801" t="s">
        <v>12704</v>
      </c>
      <c r="G5327" s="801"/>
      <c r="H5327" s="801" t="s">
        <v>13678</v>
      </c>
      <c r="I5327" s="801"/>
      <c r="J5327" s="801" t="s">
        <v>12705</v>
      </c>
      <c r="K5327" s="801"/>
      <c r="L5327" s="801"/>
    </row>
    <row r="5328" spans="1:12" ht="17.100000000000001" customHeight="1">
      <c r="A5328" s="626" t="s">
        <v>12709</v>
      </c>
      <c r="B5328" s="627" t="s">
        <v>13002</v>
      </c>
      <c r="C5328" s="626" t="s">
        <v>8</v>
      </c>
      <c r="D5328" s="626" t="s">
        <v>9306</v>
      </c>
      <c r="E5328" s="628" t="s">
        <v>23</v>
      </c>
      <c r="F5328" s="816" t="s">
        <v>13677</v>
      </c>
      <c r="G5328" s="816"/>
      <c r="H5328" s="816">
        <v>0.39831440000000001</v>
      </c>
      <c r="I5328" s="816"/>
      <c r="J5328" s="817">
        <v>0.1394</v>
      </c>
      <c r="K5328" s="817"/>
      <c r="L5328" s="817"/>
    </row>
    <row r="5329" spans="1:12" ht="25.5">
      <c r="A5329" s="626" t="s">
        <v>12709</v>
      </c>
      <c r="B5329" s="627" t="s">
        <v>13004</v>
      </c>
      <c r="C5329" s="626" t="s">
        <v>8</v>
      </c>
      <c r="D5329" s="626" t="s">
        <v>7388</v>
      </c>
      <c r="E5329" s="628" t="s">
        <v>23</v>
      </c>
      <c r="F5329" s="816" t="s">
        <v>13676</v>
      </c>
      <c r="G5329" s="816"/>
      <c r="H5329" s="816">
        <v>0.39831440000000001</v>
      </c>
      <c r="I5329" s="816"/>
      <c r="J5329" s="817">
        <v>0.87629999999999997</v>
      </c>
      <c r="K5329" s="817"/>
      <c r="L5329" s="817"/>
    </row>
    <row r="5330" spans="1:12" ht="17.100000000000001" customHeight="1">
      <c r="A5330" s="636"/>
      <c r="B5330" s="636"/>
      <c r="C5330" s="636"/>
      <c r="D5330" s="636"/>
      <c r="E5330" s="636"/>
      <c r="F5330" s="636"/>
      <c r="G5330" s="636"/>
      <c r="H5330" s="636"/>
      <c r="I5330" s="636"/>
      <c r="J5330" s="636" t="s">
        <v>13675</v>
      </c>
      <c r="K5330" s="636"/>
      <c r="L5330" s="636" t="s">
        <v>13690</v>
      </c>
    </row>
    <row r="5331" spans="1:12" ht="24" customHeight="1">
      <c r="A5331" s="612" t="s">
        <v>13673</v>
      </c>
      <c r="B5331" s="612"/>
      <c r="C5331" s="612"/>
      <c r="D5331" s="612"/>
      <c r="E5331" s="612"/>
      <c r="F5331" s="612"/>
      <c r="G5331" s="612"/>
      <c r="H5331" s="612"/>
      <c r="I5331" s="612"/>
      <c r="J5331" s="612"/>
      <c r="K5331" s="612"/>
      <c r="L5331" s="612"/>
    </row>
    <row r="5332" spans="1:12" ht="17.100000000000001" customHeight="1">
      <c r="A5332" s="636"/>
      <c r="B5332" s="636"/>
      <c r="C5332" s="636"/>
      <c r="D5332" s="636"/>
      <c r="E5332" s="636"/>
      <c r="F5332" s="636"/>
      <c r="G5332" s="636"/>
      <c r="H5332" s="636"/>
      <c r="I5332" s="636"/>
      <c r="J5332" s="636" t="s">
        <v>13672</v>
      </c>
      <c r="K5332" s="636"/>
      <c r="L5332" s="636" t="s">
        <v>15240</v>
      </c>
    </row>
    <row r="5333" spans="1:12">
      <c r="A5333" s="636"/>
      <c r="B5333" s="636"/>
      <c r="C5333" s="636"/>
      <c r="D5333" s="636"/>
      <c r="E5333" s="636"/>
      <c r="F5333" s="636"/>
      <c r="G5333" s="636"/>
      <c r="H5333" s="636"/>
      <c r="I5333" s="636"/>
      <c r="J5333" s="636" t="s">
        <v>13671</v>
      </c>
      <c r="K5333" s="636" t="s">
        <v>14461</v>
      </c>
      <c r="L5333" s="636" t="s">
        <v>15241</v>
      </c>
    </row>
    <row r="5334" spans="1:12" ht="17.100000000000001" customHeight="1">
      <c r="A5334" s="636"/>
      <c r="B5334" s="636"/>
      <c r="C5334" s="636"/>
      <c r="D5334" s="636"/>
      <c r="E5334" s="636"/>
      <c r="F5334" s="636"/>
      <c r="G5334" s="636"/>
      <c r="H5334" s="636"/>
      <c r="I5334" s="636"/>
      <c r="J5334" s="636" t="s">
        <v>13670</v>
      </c>
      <c r="K5334" s="636"/>
      <c r="L5334" s="636" t="s">
        <v>15242</v>
      </c>
    </row>
    <row r="5335" spans="1:12" ht="24" customHeight="1">
      <c r="A5335" s="636"/>
      <c r="B5335" s="636"/>
      <c r="C5335" s="636"/>
      <c r="D5335" s="636"/>
      <c r="E5335" s="636"/>
      <c r="F5335" s="636"/>
      <c r="G5335" s="636"/>
      <c r="H5335" s="636"/>
      <c r="I5335" s="636"/>
      <c r="J5335" s="636" t="s">
        <v>13669</v>
      </c>
      <c r="K5335" s="636" t="s">
        <v>13667</v>
      </c>
      <c r="L5335" s="636" t="s">
        <v>15184</v>
      </c>
    </row>
    <row r="5336" spans="1:12" ht="24" customHeight="1">
      <c r="A5336" s="636"/>
      <c r="B5336" s="636"/>
      <c r="C5336" s="636"/>
      <c r="D5336" s="636"/>
      <c r="E5336" s="636"/>
      <c r="F5336" s="636"/>
      <c r="G5336" s="636"/>
      <c r="H5336" s="636"/>
      <c r="I5336" s="636"/>
      <c r="J5336" s="636" t="s">
        <v>13668</v>
      </c>
      <c r="K5336" s="636"/>
      <c r="L5336" s="636" t="s">
        <v>15243</v>
      </c>
    </row>
    <row r="5337" spans="1:12" ht="17.100000000000001" customHeight="1">
      <c r="A5337" s="637"/>
      <c r="B5337" s="637"/>
      <c r="C5337" s="637"/>
      <c r="D5337" s="637"/>
      <c r="E5337" s="637"/>
      <c r="F5337" s="637"/>
      <c r="G5337" s="637"/>
      <c r="H5337" s="637"/>
      <c r="I5337" s="637"/>
      <c r="J5337" s="637"/>
      <c r="K5337" s="637"/>
      <c r="L5337" s="637"/>
    </row>
    <row r="5338" spans="1:12" ht="17.100000000000001" customHeight="1">
      <c r="A5338" s="616" t="s">
        <v>14072</v>
      </c>
      <c r="B5338" s="617" t="s">
        <v>13542</v>
      </c>
      <c r="C5338" s="616" t="s">
        <v>8</v>
      </c>
      <c r="D5338" s="616" t="s">
        <v>3581</v>
      </c>
      <c r="E5338" s="618" t="s">
        <v>35</v>
      </c>
      <c r="F5338" s="617"/>
      <c r="G5338" s="617"/>
      <c r="H5338" s="617"/>
      <c r="I5338" s="617"/>
      <c r="J5338" s="617"/>
      <c r="K5338" s="617"/>
      <c r="L5338" s="617"/>
    </row>
    <row r="5339" spans="1:12" ht="17.100000000000001" customHeight="1">
      <c r="A5339" s="802" t="s">
        <v>12711</v>
      </c>
      <c r="B5339" s="802"/>
      <c r="C5339" s="802"/>
      <c r="D5339" s="802"/>
      <c r="E5339" s="802"/>
      <c r="F5339" s="802"/>
      <c r="G5339" s="802"/>
      <c r="H5339" s="802"/>
      <c r="I5339" s="612"/>
      <c r="J5339" s="612"/>
      <c r="K5339" s="612"/>
      <c r="L5339" s="612"/>
    </row>
    <row r="5340" spans="1:12" ht="17.100000000000001" customHeight="1">
      <c r="A5340" s="612" t="s">
        <v>13679</v>
      </c>
      <c r="B5340" s="636" t="s">
        <v>12698</v>
      </c>
      <c r="C5340" s="612" t="s">
        <v>12699</v>
      </c>
      <c r="D5340" s="612" t="s">
        <v>12700</v>
      </c>
      <c r="E5340" s="637" t="s">
        <v>12702</v>
      </c>
      <c r="F5340" s="801" t="s">
        <v>12704</v>
      </c>
      <c r="G5340" s="801"/>
      <c r="H5340" s="801" t="s">
        <v>13678</v>
      </c>
      <c r="I5340" s="801"/>
      <c r="J5340" s="801" t="s">
        <v>12705</v>
      </c>
      <c r="K5340" s="801"/>
      <c r="L5340" s="801"/>
    </row>
    <row r="5341" spans="1:12" ht="17.100000000000001" customHeight="1">
      <c r="A5341" s="626" t="s">
        <v>12709</v>
      </c>
      <c r="B5341" s="627" t="s">
        <v>13201</v>
      </c>
      <c r="C5341" s="626" t="s">
        <v>8</v>
      </c>
      <c r="D5341" s="626" t="s">
        <v>9221</v>
      </c>
      <c r="E5341" s="628" t="s">
        <v>23</v>
      </c>
      <c r="F5341" s="816" t="s">
        <v>13705</v>
      </c>
      <c r="G5341" s="816"/>
      <c r="H5341" s="816">
        <v>0.45917360000000002</v>
      </c>
      <c r="I5341" s="816"/>
      <c r="J5341" s="817">
        <v>0.38109999999999999</v>
      </c>
      <c r="K5341" s="817"/>
      <c r="L5341" s="817"/>
    </row>
    <row r="5342" spans="1:12" ht="17.100000000000001" customHeight="1">
      <c r="A5342" s="626" t="s">
        <v>12709</v>
      </c>
      <c r="B5342" s="627" t="s">
        <v>13200</v>
      </c>
      <c r="C5342" s="626" t="s">
        <v>8</v>
      </c>
      <c r="D5342" s="626" t="s">
        <v>9368</v>
      </c>
      <c r="E5342" s="628" t="s">
        <v>23</v>
      </c>
      <c r="F5342" s="816" t="s">
        <v>13704</v>
      </c>
      <c r="G5342" s="816"/>
      <c r="H5342" s="816">
        <v>0.45917360000000002</v>
      </c>
      <c r="I5342" s="816"/>
      <c r="J5342" s="817">
        <v>0.11020000000000001</v>
      </c>
      <c r="K5342" s="817"/>
      <c r="L5342" s="817"/>
    </row>
    <row r="5343" spans="1:12" ht="17.100000000000001" customHeight="1">
      <c r="A5343" s="636"/>
      <c r="B5343" s="636"/>
      <c r="C5343" s="636"/>
      <c r="D5343" s="636"/>
      <c r="E5343" s="636"/>
      <c r="F5343" s="636"/>
      <c r="G5343" s="636"/>
      <c r="H5343" s="636"/>
      <c r="I5343" s="636"/>
      <c r="J5343" s="636" t="s">
        <v>13675</v>
      </c>
      <c r="K5343" s="636"/>
      <c r="L5343" s="636" t="s">
        <v>13700</v>
      </c>
    </row>
    <row r="5344" spans="1:12" ht="30" customHeight="1">
      <c r="A5344" s="802" t="s">
        <v>12710</v>
      </c>
      <c r="B5344" s="802"/>
      <c r="C5344" s="802"/>
      <c r="D5344" s="802"/>
      <c r="E5344" s="802"/>
      <c r="F5344" s="802"/>
      <c r="G5344" s="802"/>
      <c r="H5344" s="802"/>
      <c r="I5344" s="612"/>
      <c r="J5344" s="612"/>
      <c r="K5344" s="612"/>
      <c r="L5344" s="612"/>
    </row>
    <row r="5345" spans="1:12" ht="60" customHeight="1">
      <c r="A5345" s="612" t="s">
        <v>13679</v>
      </c>
      <c r="B5345" s="636" t="s">
        <v>12698</v>
      </c>
      <c r="C5345" s="612" t="s">
        <v>12699</v>
      </c>
      <c r="D5345" s="612" t="s">
        <v>12700</v>
      </c>
      <c r="E5345" s="637" t="s">
        <v>12702</v>
      </c>
      <c r="F5345" s="801" t="s">
        <v>12704</v>
      </c>
      <c r="G5345" s="801"/>
      <c r="H5345" s="801" t="s">
        <v>13678</v>
      </c>
      <c r="I5345" s="801"/>
      <c r="J5345" s="801" t="s">
        <v>12705</v>
      </c>
      <c r="K5345" s="801"/>
      <c r="L5345" s="801"/>
    </row>
    <row r="5346" spans="1:12" ht="14.25" customHeight="1">
      <c r="A5346" s="626" t="s">
        <v>12709</v>
      </c>
      <c r="B5346" s="627" t="s">
        <v>13220</v>
      </c>
      <c r="C5346" s="626" t="s">
        <v>8</v>
      </c>
      <c r="D5346" s="626" t="s">
        <v>7592</v>
      </c>
      <c r="E5346" s="628" t="s">
        <v>23</v>
      </c>
      <c r="F5346" s="816" t="s">
        <v>13890</v>
      </c>
      <c r="G5346" s="816"/>
      <c r="H5346" s="816">
        <v>0.2333298</v>
      </c>
      <c r="I5346" s="816"/>
      <c r="J5346" s="817">
        <v>1.1806000000000001</v>
      </c>
      <c r="K5346" s="817"/>
      <c r="L5346" s="817"/>
    </row>
    <row r="5347" spans="1:12" ht="17.100000000000001" customHeight="1">
      <c r="A5347" s="626" t="s">
        <v>12709</v>
      </c>
      <c r="B5347" s="627" t="s">
        <v>13202</v>
      </c>
      <c r="C5347" s="626" t="s">
        <v>8</v>
      </c>
      <c r="D5347" s="626" t="s">
        <v>9187</v>
      </c>
      <c r="E5347" s="628" t="s">
        <v>23</v>
      </c>
      <c r="F5347" s="816" t="s">
        <v>14479</v>
      </c>
      <c r="G5347" s="816"/>
      <c r="H5347" s="816">
        <v>0.2333298</v>
      </c>
      <c r="I5347" s="816"/>
      <c r="J5347" s="817">
        <v>1.6682999999999999</v>
      </c>
      <c r="K5347" s="817"/>
      <c r="L5347" s="817"/>
    </row>
    <row r="5348" spans="1:12" ht="24" customHeight="1">
      <c r="A5348" s="636"/>
      <c r="B5348" s="636"/>
      <c r="C5348" s="636"/>
      <c r="D5348" s="636"/>
      <c r="E5348" s="636"/>
      <c r="F5348" s="636"/>
      <c r="G5348" s="636"/>
      <c r="H5348" s="636"/>
      <c r="I5348" s="636"/>
      <c r="J5348" s="636" t="s">
        <v>13675</v>
      </c>
      <c r="K5348" s="636"/>
      <c r="L5348" s="636" t="s">
        <v>14696</v>
      </c>
    </row>
    <row r="5349" spans="1:12" ht="24" customHeight="1">
      <c r="A5349" s="802" t="s">
        <v>12720</v>
      </c>
      <c r="B5349" s="802"/>
      <c r="C5349" s="802"/>
      <c r="D5349" s="802"/>
      <c r="E5349" s="802"/>
      <c r="F5349" s="802"/>
      <c r="G5349" s="802"/>
      <c r="H5349" s="802"/>
      <c r="I5349" s="612"/>
      <c r="J5349" s="612"/>
      <c r="K5349" s="612"/>
      <c r="L5349" s="612"/>
    </row>
    <row r="5350" spans="1:12" ht="17.100000000000001" customHeight="1">
      <c r="A5350" s="612" t="s">
        <v>13679</v>
      </c>
      <c r="B5350" s="636" t="s">
        <v>12698</v>
      </c>
      <c r="C5350" s="612" t="s">
        <v>12699</v>
      </c>
      <c r="D5350" s="612" t="s">
        <v>12700</v>
      </c>
      <c r="E5350" s="637" t="s">
        <v>12702</v>
      </c>
      <c r="F5350" s="801" t="s">
        <v>12704</v>
      </c>
      <c r="G5350" s="801"/>
      <c r="H5350" s="801" t="s">
        <v>13678</v>
      </c>
      <c r="I5350" s="801"/>
      <c r="J5350" s="801" t="s">
        <v>12705</v>
      </c>
      <c r="K5350" s="801"/>
      <c r="L5350" s="801"/>
    </row>
    <row r="5351" spans="1:12" ht="14.25" customHeight="1">
      <c r="A5351" s="626" t="s">
        <v>12709</v>
      </c>
      <c r="B5351" s="627" t="s">
        <v>13541</v>
      </c>
      <c r="C5351" s="626" t="s">
        <v>8</v>
      </c>
      <c r="D5351" s="626" t="s">
        <v>7311</v>
      </c>
      <c r="E5351" s="628" t="s">
        <v>35</v>
      </c>
      <c r="F5351" s="816" t="s">
        <v>14695</v>
      </c>
      <c r="G5351" s="816"/>
      <c r="H5351" s="816">
        <v>1</v>
      </c>
      <c r="I5351" s="816"/>
      <c r="J5351" s="817">
        <v>13.36</v>
      </c>
      <c r="K5351" s="817"/>
      <c r="L5351" s="817"/>
    </row>
    <row r="5352" spans="1:12" ht="17.100000000000001" customHeight="1">
      <c r="A5352" s="626" t="s">
        <v>12709</v>
      </c>
      <c r="B5352" s="627" t="s">
        <v>13512</v>
      </c>
      <c r="C5352" s="626" t="s">
        <v>8</v>
      </c>
      <c r="D5352" s="626" t="s">
        <v>7342</v>
      </c>
      <c r="E5352" s="628" t="s">
        <v>35</v>
      </c>
      <c r="F5352" s="816" t="s">
        <v>14679</v>
      </c>
      <c r="G5352" s="816"/>
      <c r="H5352" s="816">
        <v>4.5999999999999999E-2</v>
      </c>
      <c r="I5352" s="816"/>
      <c r="J5352" s="817">
        <v>1.1599999999999999</v>
      </c>
      <c r="K5352" s="817"/>
      <c r="L5352" s="817"/>
    </row>
    <row r="5353" spans="1:12" ht="24" customHeight="1">
      <c r="A5353" s="626" t="s">
        <v>12709</v>
      </c>
      <c r="B5353" s="627" t="s">
        <v>13467</v>
      </c>
      <c r="C5353" s="626" t="s">
        <v>8</v>
      </c>
      <c r="D5353" s="626" t="s">
        <v>9987</v>
      </c>
      <c r="E5353" s="628" t="s">
        <v>35</v>
      </c>
      <c r="F5353" s="816" t="s">
        <v>13998</v>
      </c>
      <c r="G5353" s="816"/>
      <c r="H5353" s="816">
        <v>2.3E-2</v>
      </c>
      <c r="I5353" s="816"/>
      <c r="J5353" s="817">
        <v>0.04</v>
      </c>
      <c r="K5353" s="817"/>
      <c r="L5353" s="817"/>
    </row>
    <row r="5354" spans="1:12" ht="24" customHeight="1">
      <c r="A5354" s="626" t="s">
        <v>12709</v>
      </c>
      <c r="B5354" s="627" t="s">
        <v>13466</v>
      </c>
      <c r="C5354" s="626" t="s">
        <v>8</v>
      </c>
      <c r="D5354" s="626" t="s">
        <v>11315</v>
      </c>
      <c r="E5354" s="628" t="s">
        <v>35</v>
      </c>
      <c r="F5354" s="816" t="s">
        <v>14636</v>
      </c>
      <c r="G5354" s="816"/>
      <c r="H5354" s="816">
        <v>1.0999999999999999E-2</v>
      </c>
      <c r="I5354" s="816"/>
      <c r="J5354" s="817">
        <v>0.76</v>
      </c>
      <c r="K5354" s="817"/>
      <c r="L5354" s="817"/>
    </row>
    <row r="5355" spans="1:12" ht="17.100000000000001" customHeight="1">
      <c r="A5355" s="636"/>
      <c r="B5355" s="636"/>
      <c r="C5355" s="636"/>
      <c r="D5355" s="636"/>
      <c r="E5355" s="636"/>
      <c r="F5355" s="636"/>
      <c r="G5355" s="636"/>
      <c r="H5355" s="636"/>
      <c r="I5355" s="636"/>
      <c r="J5355" s="636" t="s">
        <v>13675</v>
      </c>
      <c r="K5355" s="636"/>
      <c r="L5355" s="636" t="s">
        <v>14694</v>
      </c>
    </row>
    <row r="5356" spans="1:12">
      <c r="A5356" s="802" t="s">
        <v>12722</v>
      </c>
      <c r="B5356" s="802"/>
      <c r="C5356" s="802"/>
      <c r="D5356" s="802"/>
      <c r="E5356" s="802"/>
      <c r="F5356" s="802"/>
      <c r="G5356" s="802"/>
      <c r="H5356" s="802"/>
      <c r="I5356" s="612"/>
      <c r="J5356" s="612"/>
      <c r="K5356" s="612"/>
      <c r="L5356" s="612"/>
    </row>
    <row r="5357" spans="1:12" ht="17.100000000000001" customHeight="1">
      <c r="A5357" s="612" t="s">
        <v>13679</v>
      </c>
      <c r="B5357" s="636" t="s">
        <v>12698</v>
      </c>
      <c r="C5357" s="612" t="s">
        <v>12699</v>
      </c>
      <c r="D5357" s="612" t="s">
        <v>12700</v>
      </c>
      <c r="E5357" s="637" t="s">
        <v>12702</v>
      </c>
      <c r="F5357" s="801" t="s">
        <v>12704</v>
      </c>
      <c r="G5357" s="801"/>
      <c r="H5357" s="801" t="s">
        <v>13678</v>
      </c>
      <c r="I5357" s="801"/>
      <c r="J5357" s="801" t="s">
        <v>12705</v>
      </c>
      <c r="K5357" s="801"/>
      <c r="L5357" s="801"/>
    </row>
    <row r="5358" spans="1:12" ht="24" customHeight="1">
      <c r="A5358" s="626" t="s">
        <v>12709</v>
      </c>
      <c r="B5358" s="627" t="s">
        <v>12998</v>
      </c>
      <c r="C5358" s="626" t="s">
        <v>8</v>
      </c>
      <c r="D5358" s="626" t="s">
        <v>11861</v>
      </c>
      <c r="E5358" s="628" t="s">
        <v>23</v>
      </c>
      <c r="F5358" s="816" t="s">
        <v>13683</v>
      </c>
      <c r="G5358" s="816"/>
      <c r="H5358" s="816">
        <v>0.45917360000000002</v>
      </c>
      <c r="I5358" s="816"/>
      <c r="J5358" s="817">
        <v>0.32600000000000001</v>
      </c>
      <c r="K5358" s="817"/>
      <c r="L5358" s="817"/>
    </row>
    <row r="5359" spans="1:12" ht="24" customHeight="1">
      <c r="A5359" s="636"/>
      <c r="B5359" s="636"/>
      <c r="C5359" s="636"/>
      <c r="D5359" s="636"/>
      <c r="E5359" s="636"/>
      <c r="F5359" s="636"/>
      <c r="G5359" s="636"/>
      <c r="H5359" s="636"/>
      <c r="I5359" s="636"/>
      <c r="J5359" s="636" t="s">
        <v>13675</v>
      </c>
      <c r="K5359" s="636"/>
      <c r="L5359" s="636" t="s">
        <v>13823</v>
      </c>
    </row>
    <row r="5360" spans="1:12" ht="24" customHeight="1">
      <c r="A5360" s="802" t="s">
        <v>12713</v>
      </c>
      <c r="B5360" s="802"/>
      <c r="C5360" s="802"/>
      <c r="D5360" s="802"/>
      <c r="E5360" s="802"/>
      <c r="F5360" s="802"/>
      <c r="G5360" s="802"/>
      <c r="H5360" s="802"/>
      <c r="I5360" s="612"/>
      <c r="J5360" s="612"/>
      <c r="K5360" s="612"/>
      <c r="L5360" s="612"/>
    </row>
    <row r="5361" spans="1:12" ht="24" customHeight="1">
      <c r="A5361" s="612" t="s">
        <v>13679</v>
      </c>
      <c r="B5361" s="636" t="s">
        <v>12698</v>
      </c>
      <c r="C5361" s="612" t="s">
        <v>12699</v>
      </c>
      <c r="D5361" s="612" t="s">
        <v>12700</v>
      </c>
      <c r="E5361" s="637" t="s">
        <v>12702</v>
      </c>
      <c r="F5361" s="801" t="s">
        <v>12704</v>
      </c>
      <c r="G5361" s="801"/>
      <c r="H5361" s="801" t="s">
        <v>13678</v>
      </c>
      <c r="I5361" s="801"/>
      <c r="J5361" s="801" t="s">
        <v>12705</v>
      </c>
      <c r="K5361" s="801"/>
      <c r="L5361" s="801"/>
    </row>
    <row r="5362" spans="1:12" ht="17.100000000000001" customHeight="1">
      <c r="A5362" s="626" t="s">
        <v>12709</v>
      </c>
      <c r="B5362" s="627" t="s">
        <v>12999</v>
      </c>
      <c r="C5362" s="626" t="s">
        <v>8</v>
      </c>
      <c r="D5362" s="626" t="s">
        <v>11251</v>
      </c>
      <c r="E5362" s="628" t="s">
        <v>23</v>
      </c>
      <c r="F5362" s="816" t="s">
        <v>13681</v>
      </c>
      <c r="G5362" s="816"/>
      <c r="H5362" s="816">
        <v>0.45917360000000002</v>
      </c>
      <c r="I5362" s="816"/>
      <c r="J5362" s="817">
        <v>3.2099999999999997E-2</v>
      </c>
      <c r="K5362" s="817"/>
      <c r="L5362" s="817"/>
    </row>
    <row r="5363" spans="1:12">
      <c r="A5363" s="636"/>
      <c r="B5363" s="636"/>
      <c r="C5363" s="636"/>
      <c r="D5363" s="636"/>
      <c r="E5363" s="636"/>
      <c r="F5363" s="636"/>
      <c r="G5363" s="636"/>
      <c r="H5363" s="636"/>
      <c r="I5363" s="636"/>
      <c r="J5363" s="636" t="s">
        <v>13675</v>
      </c>
      <c r="K5363" s="636"/>
      <c r="L5363" s="636" t="s">
        <v>13726</v>
      </c>
    </row>
    <row r="5364" spans="1:12" ht="17.100000000000001" customHeight="1">
      <c r="A5364" s="802" t="s">
        <v>12712</v>
      </c>
      <c r="B5364" s="802"/>
      <c r="C5364" s="802"/>
      <c r="D5364" s="802"/>
      <c r="E5364" s="802"/>
      <c r="F5364" s="802"/>
      <c r="G5364" s="802"/>
      <c r="H5364" s="802"/>
      <c r="I5364" s="612"/>
      <c r="J5364" s="612"/>
      <c r="K5364" s="612"/>
      <c r="L5364" s="612"/>
    </row>
    <row r="5365" spans="1:12" ht="24" customHeight="1">
      <c r="A5365" s="612" t="s">
        <v>13679</v>
      </c>
      <c r="B5365" s="636" t="s">
        <v>12698</v>
      </c>
      <c r="C5365" s="612" t="s">
        <v>12699</v>
      </c>
      <c r="D5365" s="612" t="s">
        <v>12700</v>
      </c>
      <c r="E5365" s="637" t="s">
        <v>12702</v>
      </c>
      <c r="F5365" s="801" t="s">
        <v>12704</v>
      </c>
      <c r="G5365" s="801"/>
      <c r="H5365" s="801" t="s">
        <v>13678</v>
      </c>
      <c r="I5365" s="801"/>
      <c r="J5365" s="801" t="s">
        <v>12705</v>
      </c>
      <c r="K5365" s="801"/>
      <c r="L5365" s="801"/>
    </row>
    <row r="5366" spans="1:12" ht="17.100000000000001" customHeight="1">
      <c r="A5366" s="626" t="s">
        <v>12709</v>
      </c>
      <c r="B5366" s="627" t="s">
        <v>13002</v>
      </c>
      <c r="C5366" s="626" t="s">
        <v>8</v>
      </c>
      <c r="D5366" s="626" t="s">
        <v>9306</v>
      </c>
      <c r="E5366" s="628" t="s">
        <v>23</v>
      </c>
      <c r="F5366" s="816" t="s">
        <v>13677</v>
      </c>
      <c r="G5366" s="816"/>
      <c r="H5366" s="816">
        <v>0.45917360000000002</v>
      </c>
      <c r="I5366" s="816"/>
      <c r="J5366" s="817">
        <v>0.16070000000000001</v>
      </c>
      <c r="K5366" s="817"/>
      <c r="L5366" s="817"/>
    </row>
    <row r="5367" spans="1:12" ht="25.5">
      <c r="A5367" s="626" t="s">
        <v>12709</v>
      </c>
      <c r="B5367" s="627" t="s">
        <v>13004</v>
      </c>
      <c r="C5367" s="626" t="s">
        <v>8</v>
      </c>
      <c r="D5367" s="626" t="s">
        <v>7388</v>
      </c>
      <c r="E5367" s="628" t="s">
        <v>23</v>
      </c>
      <c r="F5367" s="816" t="s">
        <v>13676</v>
      </c>
      <c r="G5367" s="816"/>
      <c r="H5367" s="816">
        <v>0.45917360000000002</v>
      </c>
      <c r="I5367" s="816"/>
      <c r="J5367" s="817">
        <v>1.0102</v>
      </c>
      <c r="K5367" s="817"/>
      <c r="L5367" s="817"/>
    </row>
    <row r="5368" spans="1:12" ht="17.100000000000001" customHeight="1">
      <c r="A5368" s="636"/>
      <c r="B5368" s="636"/>
      <c r="C5368" s="636"/>
      <c r="D5368" s="636"/>
      <c r="E5368" s="636"/>
      <c r="F5368" s="636"/>
      <c r="G5368" s="636"/>
      <c r="H5368" s="636"/>
      <c r="I5368" s="636"/>
      <c r="J5368" s="636" t="s">
        <v>13675</v>
      </c>
      <c r="K5368" s="636"/>
      <c r="L5368" s="636" t="s">
        <v>13712</v>
      </c>
    </row>
    <row r="5369" spans="1:12" ht="24" customHeight="1">
      <c r="A5369" s="612" t="s">
        <v>13673</v>
      </c>
      <c r="B5369" s="612"/>
      <c r="C5369" s="612"/>
      <c r="D5369" s="612"/>
      <c r="E5369" s="612"/>
      <c r="F5369" s="612"/>
      <c r="G5369" s="612"/>
      <c r="H5369" s="612"/>
      <c r="I5369" s="612"/>
      <c r="J5369" s="612"/>
      <c r="K5369" s="612"/>
      <c r="L5369" s="612"/>
    </row>
    <row r="5370" spans="1:12" ht="17.100000000000001" customHeight="1">
      <c r="A5370" s="636"/>
      <c r="B5370" s="636"/>
      <c r="C5370" s="636"/>
      <c r="D5370" s="636"/>
      <c r="E5370" s="636"/>
      <c r="F5370" s="636"/>
      <c r="G5370" s="636"/>
      <c r="H5370" s="636"/>
      <c r="I5370" s="636"/>
      <c r="J5370" s="636" t="s">
        <v>13672</v>
      </c>
      <c r="K5370" s="636"/>
      <c r="L5370" s="636" t="s">
        <v>15244</v>
      </c>
    </row>
    <row r="5371" spans="1:12">
      <c r="A5371" s="636"/>
      <c r="B5371" s="636"/>
      <c r="C5371" s="636"/>
      <c r="D5371" s="636"/>
      <c r="E5371" s="636"/>
      <c r="F5371" s="636"/>
      <c r="G5371" s="636"/>
      <c r="H5371" s="636"/>
      <c r="I5371" s="636"/>
      <c r="J5371" s="636" t="s">
        <v>13671</v>
      </c>
      <c r="K5371" s="636" t="s">
        <v>14461</v>
      </c>
      <c r="L5371" s="636" t="s">
        <v>15245</v>
      </c>
    </row>
    <row r="5372" spans="1:12" ht="17.100000000000001" customHeight="1">
      <c r="A5372" s="636"/>
      <c r="B5372" s="636"/>
      <c r="C5372" s="636"/>
      <c r="D5372" s="636"/>
      <c r="E5372" s="636"/>
      <c r="F5372" s="636"/>
      <c r="G5372" s="636"/>
      <c r="H5372" s="636"/>
      <c r="I5372" s="636"/>
      <c r="J5372" s="636" t="s">
        <v>13670</v>
      </c>
      <c r="K5372" s="636"/>
      <c r="L5372" s="636" t="s">
        <v>15246</v>
      </c>
    </row>
    <row r="5373" spans="1:12" ht="24" customHeight="1">
      <c r="A5373" s="636"/>
      <c r="B5373" s="636"/>
      <c r="C5373" s="636"/>
      <c r="D5373" s="636"/>
      <c r="E5373" s="636"/>
      <c r="F5373" s="636"/>
      <c r="G5373" s="636"/>
      <c r="H5373" s="636"/>
      <c r="I5373" s="636"/>
      <c r="J5373" s="636" t="s">
        <v>13669</v>
      </c>
      <c r="K5373" s="636" t="s">
        <v>13667</v>
      </c>
      <c r="L5373" s="636" t="s">
        <v>14918</v>
      </c>
    </row>
    <row r="5374" spans="1:12" ht="24" customHeight="1">
      <c r="A5374" s="636"/>
      <c r="B5374" s="636"/>
      <c r="C5374" s="636"/>
      <c r="D5374" s="636"/>
      <c r="E5374" s="636"/>
      <c r="F5374" s="636"/>
      <c r="G5374" s="636"/>
      <c r="H5374" s="636"/>
      <c r="I5374" s="636"/>
      <c r="J5374" s="636" t="s">
        <v>13668</v>
      </c>
      <c r="K5374" s="636"/>
      <c r="L5374" s="636" t="s">
        <v>15247</v>
      </c>
    </row>
    <row r="5375" spans="1:12" ht="17.100000000000001" customHeight="1">
      <c r="A5375" s="637"/>
      <c r="B5375" s="637"/>
      <c r="C5375" s="637"/>
      <c r="D5375" s="637"/>
      <c r="E5375" s="637"/>
      <c r="F5375" s="637"/>
      <c r="G5375" s="637"/>
      <c r="H5375" s="637"/>
      <c r="I5375" s="637"/>
      <c r="J5375" s="637"/>
      <c r="K5375" s="637"/>
      <c r="L5375" s="637"/>
    </row>
    <row r="5376" spans="1:12" ht="17.100000000000001" customHeight="1">
      <c r="A5376" s="616" t="s">
        <v>14071</v>
      </c>
      <c r="B5376" s="617" t="s">
        <v>13540</v>
      </c>
      <c r="C5376" s="616" t="s">
        <v>8</v>
      </c>
      <c r="D5376" s="616" t="s">
        <v>722</v>
      </c>
      <c r="E5376" s="618" t="s">
        <v>35</v>
      </c>
      <c r="F5376" s="617"/>
      <c r="G5376" s="617"/>
      <c r="H5376" s="617"/>
      <c r="I5376" s="617"/>
      <c r="J5376" s="617"/>
      <c r="K5376" s="617"/>
      <c r="L5376" s="617"/>
    </row>
    <row r="5377" spans="1:12" ht="17.100000000000001" customHeight="1">
      <c r="A5377" s="802" t="s">
        <v>12711</v>
      </c>
      <c r="B5377" s="802"/>
      <c r="C5377" s="802"/>
      <c r="D5377" s="802"/>
      <c r="E5377" s="802"/>
      <c r="F5377" s="802"/>
      <c r="G5377" s="802"/>
      <c r="H5377" s="802"/>
      <c r="I5377" s="612"/>
      <c r="J5377" s="612"/>
      <c r="K5377" s="612"/>
      <c r="L5377" s="612"/>
    </row>
    <row r="5378" spans="1:12" ht="17.100000000000001" customHeight="1">
      <c r="A5378" s="612" t="s">
        <v>13679</v>
      </c>
      <c r="B5378" s="636" t="s">
        <v>12698</v>
      </c>
      <c r="C5378" s="612" t="s">
        <v>12699</v>
      </c>
      <c r="D5378" s="612" t="s">
        <v>12700</v>
      </c>
      <c r="E5378" s="637" t="s">
        <v>12702</v>
      </c>
      <c r="F5378" s="801" t="s">
        <v>12704</v>
      </c>
      <c r="G5378" s="801"/>
      <c r="H5378" s="801" t="s">
        <v>13678</v>
      </c>
      <c r="I5378" s="801"/>
      <c r="J5378" s="801" t="s">
        <v>12705</v>
      </c>
      <c r="K5378" s="801"/>
      <c r="L5378" s="801"/>
    </row>
    <row r="5379" spans="1:12" ht="17.100000000000001" customHeight="1">
      <c r="A5379" s="626" t="s">
        <v>12709</v>
      </c>
      <c r="B5379" s="627" t="s">
        <v>13201</v>
      </c>
      <c r="C5379" s="626" t="s">
        <v>8</v>
      </c>
      <c r="D5379" s="626" t="s">
        <v>9221</v>
      </c>
      <c r="E5379" s="628" t="s">
        <v>23</v>
      </c>
      <c r="F5379" s="816" t="s">
        <v>13705</v>
      </c>
      <c r="G5379" s="816"/>
      <c r="H5379" s="816">
        <v>0.6127283</v>
      </c>
      <c r="I5379" s="816"/>
      <c r="J5379" s="817">
        <v>0.50860000000000005</v>
      </c>
      <c r="K5379" s="817"/>
      <c r="L5379" s="817"/>
    </row>
    <row r="5380" spans="1:12" ht="17.100000000000001" customHeight="1">
      <c r="A5380" s="626" t="s">
        <v>12709</v>
      </c>
      <c r="B5380" s="627" t="s">
        <v>13200</v>
      </c>
      <c r="C5380" s="626" t="s">
        <v>8</v>
      </c>
      <c r="D5380" s="626" t="s">
        <v>9368</v>
      </c>
      <c r="E5380" s="628" t="s">
        <v>23</v>
      </c>
      <c r="F5380" s="816" t="s">
        <v>13704</v>
      </c>
      <c r="G5380" s="816"/>
      <c r="H5380" s="816">
        <v>0.6127283</v>
      </c>
      <c r="I5380" s="816"/>
      <c r="J5380" s="817">
        <v>0.14710000000000001</v>
      </c>
      <c r="K5380" s="817"/>
      <c r="L5380" s="817"/>
    </row>
    <row r="5381" spans="1:12" ht="17.100000000000001" customHeight="1">
      <c r="A5381" s="636"/>
      <c r="B5381" s="636"/>
      <c r="C5381" s="636"/>
      <c r="D5381" s="636"/>
      <c r="E5381" s="636"/>
      <c r="F5381" s="636"/>
      <c r="G5381" s="636"/>
      <c r="H5381" s="636"/>
      <c r="I5381" s="636"/>
      <c r="J5381" s="636" t="s">
        <v>13675</v>
      </c>
      <c r="K5381" s="636"/>
      <c r="L5381" s="636" t="s">
        <v>13732</v>
      </c>
    </row>
    <row r="5382" spans="1:12" ht="30" customHeight="1">
      <c r="A5382" s="802" t="s">
        <v>12710</v>
      </c>
      <c r="B5382" s="802"/>
      <c r="C5382" s="802"/>
      <c r="D5382" s="802"/>
      <c r="E5382" s="802"/>
      <c r="F5382" s="802"/>
      <c r="G5382" s="802"/>
      <c r="H5382" s="802"/>
      <c r="I5382" s="612"/>
      <c r="J5382" s="612"/>
      <c r="K5382" s="612"/>
      <c r="L5382" s="612"/>
    </row>
    <row r="5383" spans="1:12" ht="36" customHeight="1">
      <c r="A5383" s="612" t="s">
        <v>13679</v>
      </c>
      <c r="B5383" s="636" t="s">
        <v>12698</v>
      </c>
      <c r="C5383" s="612" t="s">
        <v>12699</v>
      </c>
      <c r="D5383" s="612" t="s">
        <v>12700</v>
      </c>
      <c r="E5383" s="637" t="s">
        <v>12702</v>
      </c>
      <c r="F5383" s="801" t="s">
        <v>12704</v>
      </c>
      <c r="G5383" s="801"/>
      <c r="H5383" s="801" t="s">
        <v>13678</v>
      </c>
      <c r="I5383" s="801"/>
      <c r="J5383" s="801" t="s">
        <v>12705</v>
      </c>
      <c r="K5383" s="801"/>
      <c r="L5383" s="801"/>
    </row>
    <row r="5384" spans="1:12" ht="14.25" customHeight="1">
      <c r="A5384" s="626" t="s">
        <v>12709</v>
      </c>
      <c r="B5384" s="627" t="s">
        <v>13220</v>
      </c>
      <c r="C5384" s="626" t="s">
        <v>8</v>
      </c>
      <c r="D5384" s="626" t="s">
        <v>7592</v>
      </c>
      <c r="E5384" s="628" t="s">
        <v>23</v>
      </c>
      <c r="F5384" s="816" t="s">
        <v>13890</v>
      </c>
      <c r="G5384" s="816"/>
      <c r="H5384" s="816">
        <v>0.31125399999999998</v>
      </c>
      <c r="I5384" s="816"/>
      <c r="J5384" s="817">
        <v>1.5749</v>
      </c>
      <c r="K5384" s="817"/>
      <c r="L5384" s="817"/>
    </row>
    <row r="5385" spans="1:12" ht="17.100000000000001" customHeight="1">
      <c r="A5385" s="626" t="s">
        <v>12709</v>
      </c>
      <c r="B5385" s="627" t="s">
        <v>13202</v>
      </c>
      <c r="C5385" s="626" t="s">
        <v>8</v>
      </c>
      <c r="D5385" s="626" t="s">
        <v>9187</v>
      </c>
      <c r="E5385" s="628" t="s">
        <v>23</v>
      </c>
      <c r="F5385" s="816" t="s">
        <v>14479</v>
      </c>
      <c r="G5385" s="816"/>
      <c r="H5385" s="816">
        <v>0.31125399999999998</v>
      </c>
      <c r="I5385" s="816"/>
      <c r="J5385" s="817">
        <v>2.2254999999999998</v>
      </c>
      <c r="K5385" s="817"/>
      <c r="L5385" s="817"/>
    </row>
    <row r="5386" spans="1:12" ht="24" customHeight="1">
      <c r="A5386" s="636"/>
      <c r="B5386" s="636"/>
      <c r="C5386" s="636"/>
      <c r="D5386" s="636"/>
      <c r="E5386" s="636"/>
      <c r="F5386" s="636"/>
      <c r="G5386" s="636"/>
      <c r="H5386" s="636"/>
      <c r="I5386" s="636"/>
      <c r="J5386" s="636" t="s">
        <v>13675</v>
      </c>
      <c r="K5386" s="636"/>
      <c r="L5386" s="636" t="s">
        <v>14693</v>
      </c>
    </row>
    <row r="5387" spans="1:12" ht="24" customHeight="1">
      <c r="A5387" s="802" t="s">
        <v>12720</v>
      </c>
      <c r="B5387" s="802"/>
      <c r="C5387" s="802"/>
      <c r="D5387" s="802"/>
      <c r="E5387" s="802"/>
      <c r="F5387" s="802"/>
      <c r="G5387" s="802"/>
      <c r="H5387" s="802"/>
      <c r="I5387" s="612"/>
      <c r="J5387" s="612"/>
      <c r="K5387" s="612"/>
      <c r="L5387" s="612"/>
    </row>
    <row r="5388" spans="1:12" ht="17.100000000000001" customHeight="1">
      <c r="A5388" s="612" t="s">
        <v>13679</v>
      </c>
      <c r="B5388" s="636" t="s">
        <v>12698</v>
      </c>
      <c r="C5388" s="612" t="s">
        <v>12699</v>
      </c>
      <c r="D5388" s="612" t="s">
        <v>12700</v>
      </c>
      <c r="E5388" s="637" t="s">
        <v>12702</v>
      </c>
      <c r="F5388" s="801" t="s">
        <v>12704</v>
      </c>
      <c r="G5388" s="801"/>
      <c r="H5388" s="801" t="s">
        <v>13678</v>
      </c>
      <c r="I5388" s="801"/>
      <c r="J5388" s="801" t="s">
        <v>12705</v>
      </c>
      <c r="K5388" s="801"/>
      <c r="L5388" s="801"/>
    </row>
    <row r="5389" spans="1:12" ht="14.25" customHeight="1">
      <c r="A5389" s="626" t="s">
        <v>12709</v>
      </c>
      <c r="B5389" s="627" t="s">
        <v>13512</v>
      </c>
      <c r="C5389" s="626" t="s">
        <v>8</v>
      </c>
      <c r="D5389" s="626" t="s">
        <v>7342</v>
      </c>
      <c r="E5389" s="628" t="s">
        <v>35</v>
      </c>
      <c r="F5389" s="816" t="s">
        <v>14679</v>
      </c>
      <c r="G5389" s="816"/>
      <c r="H5389" s="816">
        <v>0.19400000000000001</v>
      </c>
      <c r="I5389" s="816"/>
      <c r="J5389" s="817">
        <v>4.92</v>
      </c>
      <c r="K5389" s="817"/>
      <c r="L5389" s="817"/>
    </row>
    <row r="5390" spans="1:12" ht="17.100000000000001" customHeight="1">
      <c r="A5390" s="626" t="s">
        <v>12709</v>
      </c>
      <c r="B5390" s="627" t="s">
        <v>13467</v>
      </c>
      <c r="C5390" s="626" t="s">
        <v>8</v>
      </c>
      <c r="D5390" s="626" t="s">
        <v>9987</v>
      </c>
      <c r="E5390" s="628" t="s">
        <v>35</v>
      </c>
      <c r="F5390" s="816" t="s">
        <v>13998</v>
      </c>
      <c r="G5390" s="816"/>
      <c r="H5390" s="816">
        <v>3.1E-2</v>
      </c>
      <c r="I5390" s="816"/>
      <c r="J5390" s="817">
        <v>0.05</v>
      </c>
      <c r="K5390" s="817"/>
      <c r="L5390" s="817"/>
    </row>
    <row r="5391" spans="1:12" ht="24" customHeight="1">
      <c r="A5391" s="626" t="s">
        <v>12709</v>
      </c>
      <c r="B5391" s="627" t="s">
        <v>13466</v>
      </c>
      <c r="C5391" s="626" t="s">
        <v>8</v>
      </c>
      <c r="D5391" s="626" t="s">
        <v>11315</v>
      </c>
      <c r="E5391" s="628" t="s">
        <v>35</v>
      </c>
      <c r="F5391" s="816" t="s">
        <v>14636</v>
      </c>
      <c r="G5391" s="816"/>
      <c r="H5391" s="816">
        <v>5.1999999999999998E-2</v>
      </c>
      <c r="I5391" s="816"/>
      <c r="J5391" s="817">
        <v>3.6</v>
      </c>
      <c r="K5391" s="817"/>
      <c r="L5391" s="817"/>
    </row>
    <row r="5392" spans="1:12" ht="24" customHeight="1">
      <c r="A5392" s="626" t="s">
        <v>12709</v>
      </c>
      <c r="B5392" s="627" t="s">
        <v>13539</v>
      </c>
      <c r="C5392" s="626" t="s">
        <v>8</v>
      </c>
      <c r="D5392" s="626" t="s">
        <v>7314</v>
      </c>
      <c r="E5392" s="628" t="s">
        <v>35</v>
      </c>
      <c r="F5392" s="816" t="s">
        <v>14692</v>
      </c>
      <c r="G5392" s="816"/>
      <c r="H5392" s="816">
        <v>1</v>
      </c>
      <c r="I5392" s="816"/>
      <c r="J5392" s="817">
        <v>25.27</v>
      </c>
      <c r="K5392" s="817"/>
      <c r="L5392" s="817"/>
    </row>
    <row r="5393" spans="1:12" ht="17.100000000000001" customHeight="1">
      <c r="A5393" s="636"/>
      <c r="B5393" s="636"/>
      <c r="C5393" s="636"/>
      <c r="D5393" s="636"/>
      <c r="E5393" s="636"/>
      <c r="F5393" s="636"/>
      <c r="G5393" s="636"/>
      <c r="H5393" s="636"/>
      <c r="I5393" s="636"/>
      <c r="J5393" s="636" t="s">
        <v>13675</v>
      </c>
      <c r="K5393" s="636"/>
      <c r="L5393" s="636" t="s">
        <v>14691</v>
      </c>
    </row>
    <row r="5394" spans="1:12">
      <c r="A5394" s="802" t="s">
        <v>12722</v>
      </c>
      <c r="B5394" s="802"/>
      <c r="C5394" s="802"/>
      <c r="D5394" s="802"/>
      <c r="E5394" s="802"/>
      <c r="F5394" s="802"/>
      <c r="G5394" s="802"/>
      <c r="H5394" s="802"/>
      <c r="I5394" s="612"/>
      <c r="J5394" s="612"/>
      <c r="K5394" s="612"/>
      <c r="L5394" s="612"/>
    </row>
    <row r="5395" spans="1:12" ht="17.100000000000001" customHeight="1">
      <c r="A5395" s="612" t="s">
        <v>13679</v>
      </c>
      <c r="B5395" s="636" t="s">
        <v>12698</v>
      </c>
      <c r="C5395" s="612" t="s">
        <v>12699</v>
      </c>
      <c r="D5395" s="612" t="s">
        <v>12700</v>
      </c>
      <c r="E5395" s="637" t="s">
        <v>12702</v>
      </c>
      <c r="F5395" s="801" t="s">
        <v>12704</v>
      </c>
      <c r="G5395" s="801"/>
      <c r="H5395" s="801" t="s">
        <v>13678</v>
      </c>
      <c r="I5395" s="801"/>
      <c r="J5395" s="801" t="s">
        <v>12705</v>
      </c>
      <c r="K5395" s="801"/>
      <c r="L5395" s="801"/>
    </row>
    <row r="5396" spans="1:12" ht="24" customHeight="1">
      <c r="A5396" s="626" t="s">
        <v>12709</v>
      </c>
      <c r="B5396" s="627" t="s">
        <v>12998</v>
      </c>
      <c r="C5396" s="626" t="s">
        <v>8</v>
      </c>
      <c r="D5396" s="626" t="s">
        <v>11861</v>
      </c>
      <c r="E5396" s="628" t="s">
        <v>23</v>
      </c>
      <c r="F5396" s="816" t="s">
        <v>13683</v>
      </c>
      <c r="G5396" s="816"/>
      <c r="H5396" s="816">
        <v>0.6127283</v>
      </c>
      <c r="I5396" s="816"/>
      <c r="J5396" s="817">
        <v>0.435</v>
      </c>
      <c r="K5396" s="817"/>
      <c r="L5396" s="817"/>
    </row>
    <row r="5397" spans="1:12" ht="24" customHeight="1">
      <c r="A5397" s="636"/>
      <c r="B5397" s="636"/>
      <c r="C5397" s="636"/>
      <c r="D5397" s="636"/>
      <c r="E5397" s="636"/>
      <c r="F5397" s="636"/>
      <c r="G5397" s="636"/>
      <c r="H5397" s="636"/>
      <c r="I5397" s="636"/>
      <c r="J5397" s="636" t="s">
        <v>13675</v>
      </c>
      <c r="K5397" s="636"/>
      <c r="L5397" s="636" t="s">
        <v>13718</v>
      </c>
    </row>
    <row r="5398" spans="1:12" ht="24" customHeight="1">
      <c r="A5398" s="802" t="s">
        <v>12713</v>
      </c>
      <c r="B5398" s="802"/>
      <c r="C5398" s="802"/>
      <c r="D5398" s="802"/>
      <c r="E5398" s="802"/>
      <c r="F5398" s="802"/>
      <c r="G5398" s="802"/>
      <c r="H5398" s="802"/>
      <c r="I5398" s="612"/>
      <c r="J5398" s="612"/>
      <c r="K5398" s="612"/>
      <c r="L5398" s="612"/>
    </row>
    <row r="5399" spans="1:12" ht="24" customHeight="1">
      <c r="A5399" s="612" t="s">
        <v>13679</v>
      </c>
      <c r="B5399" s="636" t="s">
        <v>12698</v>
      </c>
      <c r="C5399" s="612" t="s">
        <v>12699</v>
      </c>
      <c r="D5399" s="612" t="s">
        <v>12700</v>
      </c>
      <c r="E5399" s="637" t="s">
        <v>12702</v>
      </c>
      <c r="F5399" s="801" t="s">
        <v>12704</v>
      </c>
      <c r="G5399" s="801"/>
      <c r="H5399" s="801" t="s">
        <v>13678</v>
      </c>
      <c r="I5399" s="801"/>
      <c r="J5399" s="801" t="s">
        <v>12705</v>
      </c>
      <c r="K5399" s="801"/>
      <c r="L5399" s="801"/>
    </row>
    <row r="5400" spans="1:12" ht="17.100000000000001" customHeight="1">
      <c r="A5400" s="626" t="s">
        <v>12709</v>
      </c>
      <c r="B5400" s="627" t="s">
        <v>12999</v>
      </c>
      <c r="C5400" s="626" t="s">
        <v>8</v>
      </c>
      <c r="D5400" s="626" t="s">
        <v>11251</v>
      </c>
      <c r="E5400" s="628" t="s">
        <v>23</v>
      </c>
      <c r="F5400" s="816" t="s">
        <v>13681</v>
      </c>
      <c r="G5400" s="816"/>
      <c r="H5400" s="816">
        <v>0.6127283</v>
      </c>
      <c r="I5400" s="816"/>
      <c r="J5400" s="817">
        <v>4.2900000000000001E-2</v>
      </c>
      <c r="K5400" s="817"/>
      <c r="L5400" s="817"/>
    </row>
    <row r="5401" spans="1:12">
      <c r="A5401" s="636"/>
      <c r="B5401" s="636"/>
      <c r="C5401" s="636"/>
      <c r="D5401" s="636"/>
      <c r="E5401" s="636"/>
      <c r="F5401" s="636"/>
      <c r="G5401" s="636"/>
      <c r="H5401" s="636"/>
      <c r="I5401" s="636"/>
      <c r="J5401" s="636" t="s">
        <v>13675</v>
      </c>
      <c r="K5401" s="636"/>
      <c r="L5401" s="636" t="s">
        <v>13716</v>
      </c>
    </row>
    <row r="5402" spans="1:12" ht="17.100000000000001" customHeight="1">
      <c r="A5402" s="802" t="s">
        <v>12712</v>
      </c>
      <c r="B5402" s="802"/>
      <c r="C5402" s="802"/>
      <c r="D5402" s="802"/>
      <c r="E5402" s="802"/>
      <c r="F5402" s="802"/>
      <c r="G5402" s="802"/>
      <c r="H5402" s="802"/>
      <c r="I5402" s="612"/>
      <c r="J5402" s="612"/>
      <c r="K5402" s="612"/>
      <c r="L5402" s="612"/>
    </row>
    <row r="5403" spans="1:12" ht="24" customHeight="1">
      <c r="A5403" s="612" t="s">
        <v>13679</v>
      </c>
      <c r="B5403" s="636" t="s">
        <v>12698</v>
      </c>
      <c r="C5403" s="612" t="s">
        <v>12699</v>
      </c>
      <c r="D5403" s="612" t="s">
        <v>12700</v>
      </c>
      <c r="E5403" s="637" t="s">
        <v>12702</v>
      </c>
      <c r="F5403" s="801" t="s">
        <v>12704</v>
      </c>
      <c r="G5403" s="801"/>
      <c r="H5403" s="801" t="s">
        <v>13678</v>
      </c>
      <c r="I5403" s="801"/>
      <c r="J5403" s="801" t="s">
        <v>12705</v>
      </c>
      <c r="K5403" s="801"/>
      <c r="L5403" s="801"/>
    </row>
    <row r="5404" spans="1:12" ht="17.100000000000001" customHeight="1">
      <c r="A5404" s="626" t="s">
        <v>12709</v>
      </c>
      <c r="B5404" s="627" t="s">
        <v>13002</v>
      </c>
      <c r="C5404" s="626" t="s">
        <v>8</v>
      </c>
      <c r="D5404" s="626" t="s">
        <v>9306</v>
      </c>
      <c r="E5404" s="628" t="s">
        <v>23</v>
      </c>
      <c r="F5404" s="816" t="s">
        <v>13677</v>
      </c>
      <c r="G5404" s="816"/>
      <c r="H5404" s="816">
        <v>0.6127283</v>
      </c>
      <c r="I5404" s="816"/>
      <c r="J5404" s="817">
        <v>0.2145</v>
      </c>
      <c r="K5404" s="817"/>
      <c r="L5404" s="817"/>
    </row>
    <row r="5405" spans="1:12" ht="25.5">
      <c r="A5405" s="626" t="s">
        <v>12709</v>
      </c>
      <c r="B5405" s="627" t="s">
        <v>13004</v>
      </c>
      <c r="C5405" s="626" t="s">
        <v>8</v>
      </c>
      <c r="D5405" s="626" t="s">
        <v>7388</v>
      </c>
      <c r="E5405" s="628" t="s">
        <v>23</v>
      </c>
      <c r="F5405" s="816" t="s">
        <v>13676</v>
      </c>
      <c r="G5405" s="816"/>
      <c r="H5405" s="816">
        <v>0.6127283</v>
      </c>
      <c r="I5405" s="816"/>
      <c r="J5405" s="817">
        <v>1.3480000000000001</v>
      </c>
      <c r="K5405" s="817"/>
      <c r="L5405" s="817"/>
    </row>
    <row r="5406" spans="1:12" ht="17.100000000000001" customHeight="1">
      <c r="A5406" s="636"/>
      <c r="B5406" s="636"/>
      <c r="C5406" s="636"/>
      <c r="D5406" s="636"/>
      <c r="E5406" s="636"/>
      <c r="F5406" s="636"/>
      <c r="G5406" s="636"/>
      <c r="H5406" s="636"/>
      <c r="I5406" s="636"/>
      <c r="J5406" s="636" t="s">
        <v>13675</v>
      </c>
      <c r="K5406" s="636"/>
      <c r="L5406" s="636" t="s">
        <v>13685</v>
      </c>
    </row>
    <row r="5407" spans="1:12" ht="24" customHeight="1">
      <c r="A5407" s="612" t="s">
        <v>13673</v>
      </c>
      <c r="B5407" s="612"/>
      <c r="C5407" s="612"/>
      <c r="D5407" s="612"/>
      <c r="E5407" s="612"/>
      <c r="F5407" s="612"/>
      <c r="G5407" s="612"/>
      <c r="H5407" s="612"/>
      <c r="I5407" s="612"/>
      <c r="J5407" s="612"/>
      <c r="K5407" s="612"/>
      <c r="L5407" s="612"/>
    </row>
    <row r="5408" spans="1:12" ht="17.100000000000001" customHeight="1">
      <c r="A5408" s="636"/>
      <c r="B5408" s="636"/>
      <c r="C5408" s="636"/>
      <c r="D5408" s="636"/>
      <c r="E5408" s="636"/>
      <c r="F5408" s="636"/>
      <c r="G5408" s="636"/>
      <c r="H5408" s="636"/>
      <c r="I5408" s="636"/>
      <c r="J5408" s="636" t="s">
        <v>13672</v>
      </c>
      <c r="K5408" s="636"/>
      <c r="L5408" s="636" t="s">
        <v>15248</v>
      </c>
    </row>
    <row r="5409" spans="1:12">
      <c r="A5409" s="636"/>
      <c r="B5409" s="636"/>
      <c r="C5409" s="636"/>
      <c r="D5409" s="636"/>
      <c r="E5409" s="636"/>
      <c r="F5409" s="636"/>
      <c r="G5409" s="636"/>
      <c r="H5409" s="636"/>
      <c r="I5409" s="636"/>
      <c r="J5409" s="636" t="s">
        <v>13671</v>
      </c>
      <c r="K5409" s="636" t="s">
        <v>14461</v>
      </c>
      <c r="L5409" s="636" t="s">
        <v>15249</v>
      </c>
    </row>
    <row r="5410" spans="1:12" ht="17.100000000000001" customHeight="1">
      <c r="A5410" s="636"/>
      <c r="B5410" s="636"/>
      <c r="C5410" s="636"/>
      <c r="D5410" s="636"/>
      <c r="E5410" s="636"/>
      <c r="F5410" s="636"/>
      <c r="G5410" s="636"/>
      <c r="H5410" s="636"/>
      <c r="I5410" s="636"/>
      <c r="J5410" s="636" t="s">
        <v>13670</v>
      </c>
      <c r="K5410" s="636"/>
      <c r="L5410" s="636" t="s">
        <v>15250</v>
      </c>
    </row>
    <row r="5411" spans="1:12" ht="24" customHeight="1">
      <c r="A5411" s="636"/>
      <c r="B5411" s="636"/>
      <c r="C5411" s="636"/>
      <c r="D5411" s="636"/>
      <c r="E5411" s="636"/>
      <c r="F5411" s="636"/>
      <c r="G5411" s="636"/>
      <c r="H5411" s="636"/>
      <c r="I5411" s="636"/>
      <c r="J5411" s="636" t="s">
        <v>13669</v>
      </c>
      <c r="K5411" s="636" t="s">
        <v>13667</v>
      </c>
      <c r="L5411" s="636" t="s">
        <v>15251</v>
      </c>
    </row>
    <row r="5412" spans="1:12" ht="24" customHeight="1">
      <c r="A5412" s="636"/>
      <c r="B5412" s="636"/>
      <c r="C5412" s="636"/>
      <c r="D5412" s="636"/>
      <c r="E5412" s="636"/>
      <c r="F5412" s="636"/>
      <c r="G5412" s="636"/>
      <c r="H5412" s="636"/>
      <c r="I5412" s="636"/>
      <c r="J5412" s="636" t="s">
        <v>13668</v>
      </c>
      <c r="K5412" s="636"/>
      <c r="L5412" s="636" t="s">
        <v>15252</v>
      </c>
    </row>
    <row r="5413" spans="1:12" ht="17.100000000000001" customHeight="1">
      <c r="A5413" s="637"/>
      <c r="B5413" s="637"/>
      <c r="C5413" s="637"/>
      <c r="D5413" s="637"/>
      <c r="E5413" s="637"/>
      <c r="F5413" s="637"/>
      <c r="G5413" s="637"/>
      <c r="H5413" s="637"/>
      <c r="I5413" s="637"/>
      <c r="J5413" s="637"/>
      <c r="K5413" s="637"/>
      <c r="L5413" s="637"/>
    </row>
    <row r="5414" spans="1:12" ht="17.100000000000001" customHeight="1">
      <c r="A5414" s="616" t="s">
        <v>14069</v>
      </c>
      <c r="B5414" s="617" t="s">
        <v>13538</v>
      </c>
      <c r="C5414" s="616" t="s">
        <v>8</v>
      </c>
      <c r="D5414" s="616" t="s">
        <v>1846</v>
      </c>
      <c r="E5414" s="618" t="s">
        <v>35</v>
      </c>
      <c r="F5414" s="617"/>
      <c r="G5414" s="617"/>
      <c r="H5414" s="617"/>
      <c r="I5414" s="617"/>
      <c r="J5414" s="617"/>
      <c r="K5414" s="617"/>
      <c r="L5414" s="617"/>
    </row>
    <row r="5415" spans="1:12" ht="17.100000000000001" customHeight="1">
      <c r="A5415" s="802" t="s">
        <v>12711</v>
      </c>
      <c r="B5415" s="802"/>
      <c r="C5415" s="802"/>
      <c r="D5415" s="802"/>
      <c r="E5415" s="802"/>
      <c r="F5415" s="802"/>
      <c r="G5415" s="802"/>
      <c r="H5415" s="802"/>
      <c r="I5415" s="612"/>
      <c r="J5415" s="612"/>
      <c r="K5415" s="612"/>
      <c r="L5415" s="612"/>
    </row>
    <row r="5416" spans="1:12" ht="17.100000000000001" customHeight="1">
      <c r="A5416" s="612" t="s">
        <v>13679</v>
      </c>
      <c r="B5416" s="636" t="s">
        <v>12698</v>
      </c>
      <c r="C5416" s="612" t="s">
        <v>12699</v>
      </c>
      <c r="D5416" s="612" t="s">
        <v>12700</v>
      </c>
      <c r="E5416" s="637" t="s">
        <v>12702</v>
      </c>
      <c r="F5416" s="801" t="s">
        <v>12704</v>
      </c>
      <c r="G5416" s="801"/>
      <c r="H5416" s="801" t="s">
        <v>13678</v>
      </c>
      <c r="I5416" s="801"/>
      <c r="J5416" s="801" t="s">
        <v>12705</v>
      </c>
      <c r="K5416" s="801"/>
      <c r="L5416" s="801"/>
    </row>
    <row r="5417" spans="1:12" ht="17.100000000000001" customHeight="1">
      <c r="A5417" s="626" t="s">
        <v>12709</v>
      </c>
      <c r="B5417" s="627" t="s">
        <v>13201</v>
      </c>
      <c r="C5417" s="626" t="s">
        <v>8</v>
      </c>
      <c r="D5417" s="626" t="s">
        <v>9221</v>
      </c>
      <c r="E5417" s="628" t="s">
        <v>23</v>
      </c>
      <c r="F5417" s="816" t="s">
        <v>13705</v>
      </c>
      <c r="G5417" s="816"/>
      <c r="H5417" s="816">
        <v>7.7478900000000003E-2</v>
      </c>
      <c r="I5417" s="816"/>
      <c r="J5417" s="817">
        <v>6.4299999999999996E-2</v>
      </c>
      <c r="K5417" s="817"/>
      <c r="L5417" s="817"/>
    </row>
    <row r="5418" spans="1:12" ht="17.100000000000001" customHeight="1">
      <c r="A5418" s="626" t="s">
        <v>12709</v>
      </c>
      <c r="B5418" s="627" t="s">
        <v>13200</v>
      </c>
      <c r="C5418" s="626" t="s">
        <v>8</v>
      </c>
      <c r="D5418" s="626" t="s">
        <v>9368</v>
      </c>
      <c r="E5418" s="628" t="s">
        <v>23</v>
      </c>
      <c r="F5418" s="816" t="s">
        <v>13704</v>
      </c>
      <c r="G5418" s="816"/>
      <c r="H5418" s="816">
        <v>7.7478900000000003E-2</v>
      </c>
      <c r="I5418" s="816"/>
      <c r="J5418" s="817">
        <v>1.8599999999999998E-2</v>
      </c>
      <c r="K5418" s="817"/>
      <c r="L5418" s="817"/>
    </row>
    <row r="5419" spans="1:12" ht="17.100000000000001" customHeight="1">
      <c r="A5419" s="636"/>
      <c r="B5419" s="636"/>
      <c r="C5419" s="636"/>
      <c r="D5419" s="636"/>
      <c r="E5419" s="636"/>
      <c r="F5419" s="636"/>
      <c r="G5419" s="636"/>
      <c r="H5419" s="636"/>
      <c r="I5419" s="636"/>
      <c r="J5419" s="636" t="s">
        <v>13675</v>
      </c>
      <c r="K5419" s="636"/>
      <c r="L5419" s="636" t="s">
        <v>13892</v>
      </c>
    </row>
    <row r="5420" spans="1:12" ht="30" customHeight="1">
      <c r="A5420" s="802" t="s">
        <v>12710</v>
      </c>
      <c r="B5420" s="802"/>
      <c r="C5420" s="802"/>
      <c r="D5420" s="802"/>
      <c r="E5420" s="802"/>
      <c r="F5420" s="802"/>
      <c r="G5420" s="802"/>
      <c r="H5420" s="802"/>
      <c r="I5420" s="612"/>
      <c r="J5420" s="612"/>
      <c r="K5420" s="612"/>
      <c r="L5420" s="612"/>
    </row>
    <row r="5421" spans="1:12" ht="60" customHeight="1">
      <c r="A5421" s="612" t="s">
        <v>13679</v>
      </c>
      <c r="B5421" s="636" t="s">
        <v>12698</v>
      </c>
      <c r="C5421" s="612" t="s">
        <v>12699</v>
      </c>
      <c r="D5421" s="612" t="s">
        <v>12700</v>
      </c>
      <c r="E5421" s="637" t="s">
        <v>12702</v>
      </c>
      <c r="F5421" s="801" t="s">
        <v>12704</v>
      </c>
      <c r="G5421" s="801"/>
      <c r="H5421" s="801" t="s">
        <v>13678</v>
      </c>
      <c r="I5421" s="801"/>
      <c r="J5421" s="801" t="s">
        <v>12705</v>
      </c>
      <c r="K5421" s="801"/>
      <c r="L5421" s="801"/>
    </row>
    <row r="5422" spans="1:12" ht="14.25" customHeight="1">
      <c r="A5422" s="626" t="s">
        <v>12709</v>
      </c>
      <c r="B5422" s="627" t="s">
        <v>13220</v>
      </c>
      <c r="C5422" s="626" t="s">
        <v>8</v>
      </c>
      <c r="D5422" s="626" t="s">
        <v>7592</v>
      </c>
      <c r="E5422" s="628" t="s">
        <v>23</v>
      </c>
      <c r="F5422" s="816" t="s">
        <v>13890</v>
      </c>
      <c r="G5422" s="816"/>
      <c r="H5422" s="816">
        <v>3.9847599999999997E-2</v>
      </c>
      <c r="I5422" s="816"/>
      <c r="J5422" s="817">
        <v>0.2016</v>
      </c>
      <c r="K5422" s="817"/>
      <c r="L5422" s="817"/>
    </row>
    <row r="5423" spans="1:12" ht="17.100000000000001" customHeight="1">
      <c r="A5423" s="626" t="s">
        <v>12709</v>
      </c>
      <c r="B5423" s="627" t="s">
        <v>13202</v>
      </c>
      <c r="C5423" s="626" t="s">
        <v>8</v>
      </c>
      <c r="D5423" s="626" t="s">
        <v>9187</v>
      </c>
      <c r="E5423" s="628" t="s">
        <v>23</v>
      </c>
      <c r="F5423" s="816" t="s">
        <v>14479</v>
      </c>
      <c r="G5423" s="816"/>
      <c r="H5423" s="816">
        <v>3.9847599999999997E-2</v>
      </c>
      <c r="I5423" s="816"/>
      <c r="J5423" s="817">
        <v>0.28489999999999999</v>
      </c>
      <c r="K5423" s="817"/>
      <c r="L5423" s="817"/>
    </row>
    <row r="5424" spans="1:12" ht="24" customHeight="1">
      <c r="A5424" s="636"/>
      <c r="B5424" s="636"/>
      <c r="C5424" s="636"/>
      <c r="D5424" s="636"/>
      <c r="E5424" s="636"/>
      <c r="F5424" s="636"/>
      <c r="G5424" s="636"/>
      <c r="H5424" s="636"/>
      <c r="I5424" s="636"/>
      <c r="J5424" s="636" t="s">
        <v>13675</v>
      </c>
      <c r="K5424" s="636"/>
      <c r="L5424" s="636" t="s">
        <v>13700</v>
      </c>
    </row>
    <row r="5425" spans="1:12" ht="24" customHeight="1">
      <c r="A5425" s="802" t="s">
        <v>12720</v>
      </c>
      <c r="B5425" s="802"/>
      <c r="C5425" s="802"/>
      <c r="D5425" s="802"/>
      <c r="E5425" s="802"/>
      <c r="F5425" s="802"/>
      <c r="G5425" s="802"/>
      <c r="H5425" s="802"/>
      <c r="I5425" s="612"/>
      <c r="J5425" s="612"/>
      <c r="K5425" s="612"/>
      <c r="L5425" s="612"/>
    </row>
    <row r="5426" spans="1:12" ht="17.100000000000001" customHeight="1">
      <c r="A5426" s="612" t="s">
        <v>13679</v>
      </c>
      <c r="B5426" s="636" t="s">
        <v>12698</v>
      </c>
      <c r="C5426" s="612" t="s">
        <v>12699</v>
      </c>
      <c r="D5426" s="612" t="s">
        <v>12700</v>
      </c>
      <c r="E5426" s="637" t="s">
        <v>12702</v>
      </c>
      <c r="F5426" s="801" t="s">
        <v>12704</v>
      </c>
      <c r="G5426" s="801"/>
      <c r="H5426" s="801" t="s">
        <v>13678</v>
      </c>
      <c r="I5426" s="801"/>
      <c r="J5426" s="801" t="s">
        <v>12705</v>
      </c>
      <c r="K5426" s="801"/>
      <c r="L5426" s="801"/>
    </row>
    <row r="5427" spans="1:12" ht="14.25" customHeight="1">
      <c r="A5427" s="626" t="s">
        <v>12709</v>
      </c>
      <c r="B5427" s="627" t="s">
        <v>13467</v>
      </c>
      <c r="C5427" s="626" t="s">
        <v>8</v>
      </c>
      <c r="D5427" s="626" t="s">
        <v>9987</v>
      </c>
      <c r="E5427" s="628" t="s">
        <v>35</v>
      </c>
      <c r="F5427" s="816" t="s">
        <v>13998</v>
      </c>
      <c r="G5427" s="816"/>
      <c r="H5427" s="816">
        <v>1.2999999999999999E-2</v>
      </c>
      <c r="I5427" s="816"/>
      <c r="J5427" s="817">
        <v>0.02</v>
      </c>
      <c r="K5427" s="817"/>
      <c r="L5427" s="817"/>
    </row>
    <row r="5428" spans="1:12" ht="17.100000000000001" customHeight="1">
      <c r="A5428" s="626" t="s">
        <v>12709</v>
      </c>
      <c r="B5428" s="627" t="s">
        <v>13466</v>
      </c>
      <c r="C5428" s="626" t="s">
        <v>8</v>
      </c>
      <c r="D5428" s="626" t="s">
        <v>11315</v>
      </c>
      <c r="E5428" s="628" t="s">
        <v>35</v>
      </c>
      <c r="F5428" s="816" t="s">
        <v>14636</v>
      </c>
      <c r="G5428" s="816"/>
      <c r="H5428" s="816">
        <v>8.0000000000000002E-3</v>
      </c>
      <c r="I5428" s="816"/>
      <c r="J5428" s="817">
        <v>0.55000000000000004</v>
      </c>
      <c r="K5428" s="817"/>
      <c r="L5428" s="817"/>
    </row>
    <row r="5429" spans="1:12" ht="24" customHeight="1">
      <c r="A5429" s="626" t="s">
        <v>12709</v>
      </c>
      <c r="B5429" s="627" t="s">
        <v>13537</v>
      </c>
      <c r="C5429" s="626" t="s">
        <v>8</v>
      </c>
      <c r="D5429" s="626" t="s">
        <v>7287</v>
      </c>
      <c r="E5429" s="628" t="s">
        <v>35</v>
      </c>
      <c r="F5429" s="816" t="s">
        <v>13735</v>
      </c>
      <c r="G5429" s="816"/>
      <c r="H5429" s="816">
        <v>1</v>
      </c>
      <c r="I5429" s="816"/>
      <c r="J5429" s="817">
        <v>0.67</v>
      </c>
      <c r="K5429" s="817"/>
      <c r="L5429" s="817"/>
    </row>
    <row r="5430" spans="1:12" ht="24" customHeight="1">
      <c r="A5430" s="626" t="s">
        <v>12709</v>
      </c>
      <c r="B5430" s="627" t="s">
        <v>13468</v>
      </c>
      <c r="C5430" s="626" t="s">
        <v>8</v>
      </c>
      <c r="D5430" s="626" t="s">
        <v>7343</v>
      </c>
      <c r="E5430" s="628" t="s">
        <v>35</v>
      </c>
      <c r="F5430" s="816" t="s">
        <v>14635</v>
      </c>
      <c r="G5430" s="816"/>
      <c r="H5430" s="816">
        <v>7.0000000000000001E-3</v>
      </c>
      <c r="I5430" s="816"/>
      <c r="J5430" s="817">
        <v>0.55000000000000004</v>
      </c>
      <c r="K5430" s="817"/>
      <c r="L5430" s="817"/>
    </row>
    <row r="5431" spans="1:12" ht="17.100000000000001" customHeight="1">
      <c r="A5431" s="636"/>
      <c r="B5431" s="636"/>
      <c r="C5431" s="636"/>
      <c r="D5431" s="636"/>
      <c r="E5431" s="636"/>
      <c r="F5431" s="636"/>
      <c r="G5431" s="636"/>
      <c r="H5431" s="636"/>
      <c r="I5431" s="636"/>
      <c r="J5431" s="636" t="s">
        <v>13675</v>
      </c>
      <c r="K5431" s="636"/>
      <c r="L5431" s="636" t="s">
        <v>14560</v>
      </c>
    </row>
    <row r="5432" spans="1:12">
      <c r="A5432" s="802" t="s">
        <v>12722</v>
      </c>
      <c r="B5432" s="802"/>
      <c r="C5432" s="802"/>
      <c r="D5432" s="802"/>
      <c r="E5432" s="802"/>
      <c r="F5432" s="802"/>
      <c r="G5432" s="802"/>
      <c r="H5432" s="802"/>
      <c r="I5432" s="612"/>
      <c r="J5432" s="612"/>
      <c r="K5432" s="612"/>
      <c r="L5432" s="612"/>
    </row>
    <row r="5433" spans="1:12" ht="17.100000000000001" customHeight="1">
      <c r="A5433" s="612" t="s">
        <v>13679</v>
      </c>
      <c r="B5433" s="636" t="s">
        <v>12698</v>
      </c>
      <c r="C5433" s="612" t="s">
        <v>12699</v>
      </c>
      <c r="D5433" s="612" t="s">
        <v>12700</v>
      </c>
      <c r="E5433" s="637" t="s">
        <v>12702</v>
      </c>
      <c r="F5433" s="801" t="s">
        <v>12704</v>
      </c>
      <c r="G5433" s="801"/>
      <c r="H5433" s="801" t="s">
        <v>13678</v>
      </c>
      <c r="I5433" s="801"/>
      <c r="J5433" s="801" t="s">
        <v>12705</v>
      </c>
      <c r="K5433" s="801"/>
      <c r="L5433" s="801"/>
    </row>
    <row r="5434" spans="1:12" ht="24" customHeight="1">
      <c r="A5434" s="626" t="s">
        <v>12709</v>
      </c>
      <c r="B5434" s="627" t="s">
        <v>12998</v>
      </c>
      <c r="C5434" s="626" t="s">
        <v>8</v>
      </c>
      <c r="D5434" s="626" t="s">
        <v>11861</v>
      </c>
      <c r="E5434" s="628" t="s">
        <v>23</v>
      </c>
      <c r="F5434" s="816" t="s">
        <v>13683</v>
      </c>
      <c r="G5434" s="816"/>
      <c r="H5434" s="816">
        <v>7.7478900000000003E-2</v>
      </c>
      <c r="I5434" s="816"/>
      <c r="J5434" s="817">
        <v>5.5E-2</v>
      </c>
      <c r="K5434" s="817"/>
      <c r="L5434" s="817"/>
    </row>
    <row r="5435" spans="1:12" ht="24" customHeight="1">
      <c r="A5435" s="636"/>
      <c r="B5435" s="636"/>
      <c r="C5435" s="636"/>
      <c r="D5435" s="636"/>
      <c r="E5435" s="636"/>
      <c r="F5435" s="636"/>
      <c r="G5435" s="636"/>
      <c r="H5435" s="636"/>
      <c r="I5435" s="636"/>
      <c r="J5435" s="636" t="s">
        <v>13675</v>
      </c>
      <c r="K5435" s="636"/>
      <c r="L5435" s="636" t="s">
        <v>13708</v>
      </c>
    </row>
    <row r="5436" spans="1:12" ht="24" customHeight="1">
      <c r="A5436" s="802" t="s">
        <v>12713</v>
      </c>
      <c r="B5436" s="802"/>
      <c r="C5436" s="802"/>
      <c r="D5436" s="802"/>
      <c r="E5436" s="802"/>
      <c r="F5436" s="802"/>
      <c r="G5436" s="802"/>
      <c r="H5436" s="802"/>
      <c r="I5436" s="612"/>
      <c r="J5436" s="612"/>
      <c r="K5436" s="612"/>
      <c r="L5436" s="612"/>
    </row>
    <row r="5437" spans="1:12" ht="24" customHeight="1">
      <c r="A5437" s="612" t="s">
        <v>13679</v>
      </c>
      <c r="B5437" s="636" t="s">
        <v>12698</v>
      </c>
      <c r="C5437" s="612" t="s">
        <v>12699</v>
      </c>
      <c r="D5437" s="612" t="s">
        <v>12700</v>
      </c>
      <c r="E5437" s="637" t="s">
        <v>12702</v>
      </c>
      <c r="F5437" s="801" t="s">
        <v>12704</v>
      </c>
      <c r="G5437" s="801"/>
      <c r="H5437" s="801" t="s">
        <v>13678</v>
      </c>
      <c r="I5437" s="801"/>
      <c r="J5437" s="801" t="s">
        <v>12705</v>
      </c>
      <c r="K5437" s="801"/>
      <c r="L5437" s="801"/>
    </row>
    <row r="5438" spans="1:12" ht="17.100000000000001" customHeight="1">
      <c r="A5438" s="626" t="s">
        <v>12709</v>
      </c>
      <c r="B5438" s="627" t="s">
        <v>12999</v>
      </c>
      <c r="C5438" s="626" t="s">
        <v>8</v>
      </c>
      <c r="D5438" s="626" t="s">
        <v>11251</v>
      </c>
      <c r="E5438" s="628" t="s">
        <v>23</v>
      </c>
      <c r="F5438" s="816" t="s">
        <v>13681</v>
      </c>
      <c r="G5438" s="816"/>
      <c r="H5438" s="816">
        <v>7.7478900000000003E-2</v>
      </c>
      <c r="I5438" s="816"/>
      <c r="J5438" s="817">
        <v>5.4000000000000003E-3</v>
      </c>
      <c r="K5438" s="817"/>
      <c r="L5438" s="817"/>
    </row>
    <row r="5439" spans="1:12">
      <c r="A5439" s="636"/>
      <c r="B5439" s="636"/>
      <c r="C5439" s="636"/>
      <c r="D5439" s="636"/>
      <c r="E5439" s="636"/>
      <c r="F5439" s="636"/>
      <c r="G5439" s="636"/>
      <c r="H5439" s="636"/>
      <c r="I5439" s="636"/>
      <c r="J5439" s="636" t="s">
        <v>13675</v>
      </c>
      <c r="K5439" s="636"/>
      <c r="L5439" s="636" t="s">
        <v>13728</v>
      </c>
    </row>
    <row r="5440" spans="1:12" ht="17.100000000000001" customHeight="1">
      <c r="A5440" s="802" t="s">
        <v>12712</v>
      </c>
      <c r="B5440" s="802"/>
      <c r="C5440" s="802"/>
      <c r="D5440" s="802"/>
      <c r="E5440" s="802"/>
      <c r="F5440" s="802"/>
      <c r="G5440" s="802"/>
      <c r="H5440" s="802"/>
      <c r="I5440" s="612"/>
      <c r="J5440" s="612"/>
      <c r="K5440" s="612"/>
      <c r="L5440" s="612"/>
    </row>
    <row r="5441" spans="1:12" ht="24" customHeight="1">
      <c r="A5441" s="612" t="s">
        <v>13679</v>
      </c>
      <c r="B5441" s="636" t="s">
        <v>12698</v>
      </c>
      <c r="C5441" s="612" t="s">
        <v>12699</v>
      </c>
      <c r="D5441" s="612" t="s">
        <v>12700</v>
      </c>
      <c r="E5441" s="637" t="s">
        <v>12702</v>
      </c>
      <c r="F5441" s="801" t="s">
        <v>12704</v>
      </c>
      <c r="G5441" s="801"/>
      <c r="H5441" s="801" t="s">
        <v>13678</v>
      </c>
      <c r="I5441" s="801"/>
      <c r="J5441" s="801" t="s">
        <v>12705</v>
      </c>
      <c r="K5441" s="801"/>
      <c r="L5441" s="801"/>
    </row>
    <row r="5442" spans="1:12" ht="17.100000000000001" customHeight="1">
      <c r="A5442" s="626" t="s">
        <v>12709</v>
      </c>
      <c r="B5442" s="627" t="s">
        <v>13002</v>
      </c>
      <c r="C5442" s="626" t="s">
        <v>8</v>
      </c>
      <c r="D5442" s="626" t="s">
        <v>9306</v>
      </c>
      <c r="E5442" s="628" t="s">
        <v>23</v>
      </c>
      <c r="F5442" s="816" t="s">
        <v>13677</v>
      </c>
      <c r="G5442" s="816"/>
      <c r="H5442" s="816">
        <v>7.7478900000000003E-2</v>
      </c>
      <c r="I5442" s="816"/>
      <c r="J5442" s="817">
        <v>2.7099999999999999E-2</v>
      </c>
      <c r="K5442" s="817"/>
      <c r="L5442" s="817"/>
    </row>
    <row r="5443" spans="1:12" ht="25.5">
      <c r="A5443" s="626" t="s">
        <v>12709</v>
      </c>
      <c r="B5443" s="627" t="s">
        <v>13004</v>
      </c>
      <c r="C5443" s="626" t="s">
        <v>8</v>
      </c>
      <c r="D5443" s="626" t="s">
        <v>7388</v>
      </c>
      <c r="E5443" s="628" t="s">
        <v>23</v>
      </c>
      <c r="F5443" s="816" t="s">
        <v>13676</v>
      </c>
      <c r="G5443" s="816"/>
      <c r="H5443" s="816">
        <v>7.7478900000000003E-2</v>
      </c>
      <c r="I5443" s="816"/>
      <c r="J5443" s="817">
        <v>0.17050000000000001</v>
      </c>
      <c r="K5443" s="817"/>
      <c r="L5443" s="817"/>
    </row>
    <row r="5444" spans="1:12" ht="17.100000000000001" customHeight="1">
      <c r="A5444" s="636"/>
      <c r="B5444" s="636"/>
      <c r="C5444" s="636"/>
      <c r="D5444" s="636"/>
      <c r="E5444" s="636"/>
      <c r="F5444" s="636"/>
      <c r="G5444" s="636"/>
      <c r="H5444" s="636"/>
      <c r="I5444" s="636"/>
      <c r="J5444" s="636" t="s">
        <v>13675</v>
      </c>
      <c r="K5444" s="636"/>
      <c r="L5444" s="636" t="s">
        <v>13855</v>
      </c>
    </row>
    <row r="5445" spans="1:12" ht="24" customHeight="1">
      <c r="A5445" s="612" t="s">
        <v>13673</v>
      </c>
      <c r="B5445" s="612"/>
      <c r="C5445" s="612"/>
      <c r="D5445" s="612"/>
      <c r="E5445" s="612"/>
      <c r="F5445" s="612"/>
      <c r="G5445" s="612"/>
      <c r="H5445" s="612"/>
      <c r="I5445" s="612"/>
      <c r="J5445" s="612"/>
      <c r="K5445" s="612"/>
      <c r="L5445" s="612"/>
    </row>
    <row r="5446" spans="1:12" ht="17.100000000000001" customHeight="1">
      <c r="A5446" s="636"/>
      <c r="B5446" s="636"/>
      <c r="C5446" s="636"/>
      <c r="D5446" s="636"/>
      <c r="E5446" s="636"/>
      <c r="F5446" s="636"/>
      <c r="G5446" s="636"/>
      <c r="H5446" s="636"/>
      <c r="I5446" s="636"/>
      <c r="J5446" s="636" t="s">
        <v>13672</v>
      </c>
      <c r="K5446" s="636"/>
      <c r="L5446" s="636" t="s">
        <v>15253</v>
      </c>
    </row>
    <row r="5447" spans="1:12">
      <c r="A5447" s="636"/>
      <c r="B5447" s="636"/>
      <c r="C5447" s="636"/>
      <c r="D5447" s="636"/>
      <c r="E5447" s="636"/>
      <c r="F5447" s="636"/>
      <c r="G5447" s="636"/>
      <c r="H5447" s="636"/>
      <c r="I5447" s="636"/>
      <c r="J5447" s="636" t="s">
        <v>13671</v>
      </c>
      <c r="K5447" s="636" t="s">
        <v>14461</v>
      </c>
      <c r="L5447" s="636" t="s">
        <v>14908</v>
      </c>
    </row>
    <row r="5448" spans="1:12" ht="17.100000000000001" customHeight="1">
      <c r="A5448" s="636"/>
      <c r="B5448" s="636"/>
      <c r="C5448" s="636"/>
      <c r="D5448" s="636"/>
      <c r="E5448" s="636"/>
      <c r="F5448" s="636"/>
      <c r="G5448" s="636"/>
      <c r="H5448" s="636"/>
      <c r="I5448" s="636"/>
      <c r="J5448" s="636" t="s">
        <v>13670</v>
      </c>
      <c r="K5448" s="636"/>
      <c r="L5448" s="636" t="s">
        <v>15254</v>
      </c>
    </row>
    <row r="5449" spans="1:12" ht="24" customHeight="1">
      <c r="A5449" s="636"/>
      <c r="B5449" s="636"/>
      <c r="C5449" s="636"/>
      <c r="D5449" s="636"/>
      <c r="E5449" s="636"/>
      <c r="F5449" s="636"/>
      <c r="G5449" s="636"/>
      <c r="H5449" s="636"/>
      <c r="I5449" s="636"/>
      <c r="J5449" s="636" t="s">
        <v>13669</v>
      </c>
      <c r="K5449" s="636" t="s">
        <v>13667</v>
      </c>
      <c r="L5449" s="636" t="s">
        <v>15255</v>
      </c>
    </row>
    <row r="5450" spans="1:12" ht="24" customHeight="1">
      <c r="A5450" s="636"/>
      <c r="B5450" s="636"/>
      <c r="C5450" s="636"/>
      <c r="D5450" s="636"/>
      <c r="E5450" s="636"/>
      <c r="F5450" s="636"/>
      <c r="G5450" s="636"/>
      <c r="H5450" s="636"/>
      <c r="I5450" s="636"/>
      <c r="J5450" s="636" t="s">
        <v>13668</v>
      </c>
      <c r="K5450" s="636"/>
      <c r="L5450" s="636" t="s">
        <v>15256</v>
      </c>
    </row>
    <row r="5451" spans="1:12" ht="17.100000000000001" customHeight="1">
      <c r="A5451" s="637"/>
      <c r="B5451" s="637"/>
      <c r="C5451" s="637"/>
      <c r="D5451" s="637"/>
      <c r="E5451" s="637"/>
      <c r="F5451" s="637"/>
      <c r="G5451" s="637"/>
      <c r="H5451" s="637"/>
      <c r="I5451" s="637"/>
      <c r="J5451" s="637"/>
      <c r="K5451" s="637"/>
      <c r="L5451" s="637"/>
    </row>
    <row r="5452" spans="1:12" ht="17.100000000000001" customHeight="1">
      <c r="A5452" s="616" t="s">
        <v>14068</v>
      </c>
      <c r="B5452" s="617" t="s">
        <v>13536</v>
      </c>
      <c r="C5452" s="616" t="s">
        <v>8</v>
      </c>
      <c r="D5452" s="616" t="s">
        <v>3421</v>
      </c>
      <c r="E5452" s="618" t="s">
        <v>35</v>
      </c>
      <c r="F5452" s="617"/>
      <c r="G5452" s="617"/>
      <c r="H5452" s="617"/>
      <c r="I5452" s="617"/>
      <c r="J5452" s="617"/>
      <c r="K5452" s="617"/>
      <c r="L5452" s="617"/>
    </row>
    <row r="5453" spans="1:12" ht="17.100000000000001" customHeight="1">
      <c r="A5453" s="802" t="s">
        <v>12711</v>
      </c>
      <c r="B5453" s="802"/>
      <c r="C5453" s="802"/>
      <c r="D5453" s="802"/>
      <c r="E5453" s="802"/>
      <c r="F5453" s="802"/>
      <c r="G5453" s="802"/>
      <c r="H5453" s="802"/>
      <c r="I5453" s="612"/>
      <c r="J5453" s="612"/>
      <c r="K5453" s="612"/>
      <c r="L5453" s="612"/>
    </row>
    <row r="5454" spans="1:12" ht="17.100000000000001" customHeight="1">
      <c r="A5454" s="612" t="s">
        <v>13679</v>
      </c>
      <c r="B5454" s="636" t="s">
        <v>12698</v>
      </c>
      <c r="C5454" s="612" t="s">
        <v>12699</v>
      </c>
      <c r="D5454" s="612" t="s">
        <v>12700</v>
      </c>
      <c r="E5454" s="637" t="s">
        <v>12702</v>
      </c>
      <c r="F5454" s="801" t="s">
        <v>12704</v>
      </c>
      <c r="G5454" s="801"/>
      <c r="H5454" s="801" t="s">
        <v>13678</v>
      </c>
      <c r="I5454" s="801"/>
      <c r="J5454" s="801" t="s">
        <v>12705</v>
      </c>
      <c r="K5454" s="801"/>
      <c r="L5454" s="801"/>
    </row>
    <row r="5455" spans="1:12" ht="17.100000000000001" customHeight="1">
      <c r="A5455" s="626" t="s">
        <v>12709</v>
      </c>
      <c r="B5455" s="627" t="s">
        <v>13201</v>
      </c>
      <c r="C5455" s="626" t="s">
        <v>8</v>
      </c>
      <c r="D5455" s="626" t="s">
        <v>9221</v>
      </c>
      <c r="E5455" s="628" t="s">
        <v>23</v>
      </c>
      <c r="F5455" s="816" t="s">
        <v>13705</v>
      </c>
      <c r="G5455" s="816"/>
      <c r="H5455" s="816">
        <v>0.22592090000000001</v>
      </c>
      <c r="I5455" s="816"/>
      <c r="J5455" s="817">
        <v>0.1875</v>
      </c>
      <c r="K5455" s="817"/>
      <c r="L5455" s="817"/>
    </row>
    <row r="5456" spans="1:12" ht="17.100000000000001" customHeight="1">
      <c r="A5456" s="626" t="s">
        <v>12709</v>
      </c>
      <c r="B5456" s="627" t="s">
        <v>13200</v>
      </c>
      <c r="C5456" s="626" t="s">
        <v>8</v>
      </c>
      <c r="D5456" s="626" t="s">
        <v>9368</v>
      </c>
      <c r="E5456" s="628" t="s">
        <v>23</v>
      </c>
      <c r="F5456" s="816" t="s">
        <v>13704</v>
      </c>
      <c r="G5456" s="816"/>
      <c r="H5456" s="816">
        <v>0.22592090000000001</v>
      </c>
      <c r="I5456" s="816"/>
      <c r="J5456" s="817">
        <v>5.4199999999999998E-2</v>
      </c>
      <c r="K5456" s="817"/>
      <c r="L5456" s="817"/>
    </row>
    <row r="5457" spans="1:12" ht="17.100000000000001" customHeight="1">
      <c r="A5457" s="636"/>
      <c r="B5457" s="636"/>
      <c r="C5457" s="636"/>
      <c r="D5457" s="636"/>
      <c r="E5457" s="636"/>
      <c r="F5457" s="636"/>
      <c r="G5457" s="636"/>
      <c r="H5457" s="636"/>
      <c r="I5457" s="636"/>
      <c r="J5457" s="636" t="s">
        <v>13675</v>
      </c>
      <c r="K5457" s="636"/>
      <c r="L5457" s="636" t="s">
        <v>13704</v>
      </c>
    </row>
    <row r="5458" spans="1:12" ht="30" customHeight="1">
      <c r="A5458" s="802" t="s">
        <v>12710</v>
      </c>
      <c r="B5458" s="802"/>
      <c r="C5458" s="802"/>
      <c r="D5458" s="802"/>
      <c r="E5458" s="802"/>
      <c r="F5458" s="802"/>
      <c r="G5458" s="802"/>
      <c r="H5458" s="802"/>
      <c r="I5458" s="612"/>
      <c r="J5458" s="612"/>
      <c r="K5458" s="612"/>
      <c r="L5458" s="612"/>
    </row>
    <row r="5459" spans="1:12" ht="36" customHeight="1">
      <c r="A5459" s="612" t="s">
        <v>13679</v>
      </c>
      <c r="B5459" s="636" t="s">
        <v>12698</v>
      </c>
      <c r="C5459" s="612" t="s">
        <v>12699</v>
      </c>
      <c r="D5459" s="612" t="s">
        <v>12700</v>
      </c>
      <c r="E5459" s="637" t="s">
        <v>12702</v>
      </c>
      <c r="F5459" s="801" t="s">
        <v>12704</v>
      </c>
      <c r="G5459" s="801"/>
      <c r="H5459" s="801" t="s">
        <v>13678</v>
      </c>
      <c r="I5459" s="801"/>
      <c r="J5459" s="801" t="s">
        <v>12705</v>
      </c>
      <c r="K5459" s="801"/>
      <c r="L5459" s="801"/>
    </row>
    <row r="5460" spans="1:12" ht="14.25" customHeight="1">
      <c r="A5460" s="626" t="s">
        <v>12709</v>
      </c>
      <c r="B5460" s="627" t="s">
        <v>13220</v>
      </c>
      <c r="C5460" s="626" t="s">
        <v>8</v>
      </c>
      <c r="D5460" s="626" t="s">
        <v>7592</v>
      </c>
      <c r="E5460" s="628" t="s">
        <v>23</v>
      </c>
      <c r="F5460" s="816" t="s">
        <v>13890</v>
      </c>
      <c r="G5460" s="816"/>
      <c r="H5460" s="816">
        <v>0.1146725</v>
      </c>
      <c r="I5460" s="816"/>
      <c r="J5460" s="817">
        <v>0.58020000000000005</v>
      </c>
      <c r="K5460" s="817"/>
      <c r="L5460" s="817"/>
    </row>
    <row r="5461" spans="1:12" ht="17.100000000000001" customHeight="1">
      <c r="A5461" s="626" t="s">
        <v>12709</v>
      </c>
      <c r="B5461" s="627" t="s">
        <v>13202</v>
      </c>
      <c r="C5461" s="626" t="s">
        <v>8</v>
      </c>
      <c r="D5461" s="626" t="s">
        <v>9187</v>
      </c>
      <c r="E5461" s="628" t="s">
        <v>23</v>
      </c>
      <c r="F5461" s="816" t="s">
        <v>14479</v>
      </c>
      <c r="G5461" s="816"/>
      <c r="H5461" s="816">
        <v>0.1146725</v>
      </c>
      <c r="I5461" s="816"/>
      <c r="J5461" s="817">
        <v>0.81989999999999996</v>
      </c>
      <c r="K5461" s="817"/>
      <c r="L5461" s="817"/>
    </row>
    <row r="5462" spans="1:12" ht="24" customHeight="1">
      <c r="A5462" s="636"/>
      <c r="B5462" s="636"/>
      <c r="C5462" s="636"/>
      <c r="D5462" s="636"/>
      <c r="E5462" s="636"/>
      <c r="F5462" s="636"/>
      <c r="G5462" s="636"/>
      <c r="H5462" s="636"/>
      <c r="I5462" s="636"/>
      <c r="J5462" s="636" t="s">
        <v>13675</v>
      </c>
      <c r="K5462" s="636"/>
      <c r="L5462" s="636" t="s">
        <v>13853</v>
      </c>
    </row>
    <row r="5463" spans="1:12" ht="24" customHeight="1">
      <c r="A5463" s="802" t="s">
        <v>12720</v>
      </c>
      <c r="B5463" s="802"/>
      <c r="C5463" s="802"/>
      <c r="D5463" s="802"/>
      <c r="E5463" s="802"/>
      <c r="F5463" s="802"/>
      <c r="G5463" s="802"/>
      <c r="H5463" s="802"/>
      <c r="I5463" s="612"/>
      <c r="J5463" s="612"/>
      <c r="K5463" s="612"/>
      <c r="L5463" s="612"/>
    </row>
    <row r="5464" spans="1:12" ht="17.100000000000001" customHeight="1">
      <c r="A5464" s="612" t="s">
        <v>13679</v>
      </c>
      <c r="B5464" s="636" t="s">
        <v>12698</v>
      </c>
      <c r="C5464" s="612" t="s">
        <v>12699</v>
      </c>
      <c r="D5464" s="612" t="s">
        <v>12700</v>
      </c>
      <c r="E5464" s="637" t="s">
        <v>12702</v>
      </c>
      <c r="F5464" s="801" t="s">
        <v>12704</v>
      </c>
      <c r="G5464" s="801"/>
      <c r="H5464" s="801" t="s">
        <v>13678</v>
      </c>
      <c r="I5464" s="801"/>
      <c r="J5464" s="801" t="s">
        <v>12705</v>
      </c>
      <c r="K5464" s="801"/>
      <c r="L5464" s="801"/>
    </row>
    <row r="5465" spans="1:12" ht="14.25" customHeight="1">
      <c r="A5465" s="626" t="s">
        <v>12709</v>
      </c>
      <c r="B5465" s="627" t="s">
        <v>13512</v>
      </c>
      <c r="C5465" s="626" t="s">
        <v>8</v>
      </c>
      <c r="D5465" s="626" t="s">
        <v>7342</v>
      </c>
      <c r="E5465" s="628" t="s">
        <v>35</v>
      </c>
      <c r="F5465" s="816" t="s">
        <v>14679</v>
      </c>
      <c r="G5465" s="816"/>
      <c r="H5465" s="816">
        <v>7.0999999999999994E-2</v>
      </c>
      <c r="I5465" s="816"/>
      <c r="J5465" s="817">
        <v>1.8</v>
      </c>
      <c r="K5465" s="817"/>
      <c r="L5465" s="817"/>
    </row>
    <row r="5466" spans="1:12" ht="17.100000000000001" customHeight="1">
      <c r="A5466" s="626" t="s">
        <v>12709</v>
      </c>
      <c r="B5466" s="627" t="s">
        <v>13467</v>
      </c>
      <c r="C5466" s="626" t="s">
        <v>8</v>
      </c>
      <c r="D5466" s="626" t="s">
        <v>9987</v>
      </c>
      <c r="E5466" s="628" t="s">
        <v>35</v>
      </c>
      <c r="F5466" s="816" t="s">
        <v>13998</v>
      </c>
      <c r="G5466" s="816"/>
      <c r="H5466" s="816">
        <v>1.0999999999999999E-2</v>
      </c>
      <c r="I5466" s="816"/>
      <c r="J5466" s="817">
        <v>0.02</v>
      </c>
      <c r="K5466" s="817"/>
      <c r="L5466" s="817"/>
    </row>
    <row r="5467" spans="1:12" ht="24" customHeight="1">
      <c r="A5467" s="626" t="s">
        <v>12709</v>
      </c>
      <c r="B5467" s="627" t="s">
        <v>13466</v>
      </c>
      <c r="C5467" s="626" t="s">
        <v>8</v>
      </c>
      <c r="D5467" s="626" t="s">
        <v>11315</v>
      </c>
      <c r="E5467" s="628" t="s">
        <v>35</v>
      </c>
      <c r="F5467" s="816" t="s">
        <v>14636</v>
      </c>
      <c r="G5467" s="816"/>
      <c r="H5467" s="816">
        <v>1.7999999999999999E-2</v>
      </c>
      <c r="I5467" s="816"/>
      <c r="J5467" s="817">
        <v>1.24</v>
      </c>
      <c r="K5467" s="817"/>
      <c r="L5467" s="817"/>
    </row>
    <row r="5468" spans="1:12" ht="24" customHeight="1">
      <c r="A5468" s="626" t="s">
        <v>12709</v>
      </c>
      <c r="B5468" s="627" t="s">
        <v>13535</v>
      </c>
      <c r="C5468" s="626" t="s">
        <v>8</v>
      </c>
      <c r="D5468" s="626" t="s">
        <v>7292</v>
      </c>
      <c r="E5468" s="628" t="s">
        <v>35</v>
      </c>
      <c r="F5468" s="816" t="s">
        <v>14541</v>
      </c>
      <c r="G5468" s="816"/>
      <c r="H5468" s="816">
        <v>1</v>
      </c>
      <c r="I5468" s="816"/>
      <c r="J5468" s="817">
        <v>3.35</v>
      </c>
      <c r="K5468" s="817"/>
      <c r="L5468" s="817"/>
    </row>
    <row r="5469" spans="1:12" ht="17.100000000000001" customHeight="1">
      <c r="A5469" s="636"/>
      <c r="B5469" s="636"/>
      <c r="C5469" s="636"/>
      <c r="D5469" s="636"/>
      <c r="E5469" s="636"/>
      <c r="F5469" s="636"/>
      <c r="G5469" s="636"/>
      <c r="H5469" s="636"/>
      <c r="I5469" s="636"/>
      <c r="J5469" s="636" t="s">
        <v>13675</v>
      </c>
      <c r="K5469" s="636"/>
      <c r="L5469" s="636" t="s">
        <v>13965</v>
      </c>
    </row>
    <row r="5470" spans="1:12">
      <c r="A5470" s="802" t="s">
        <v>12722</v>
      </c>
      <c r="B5470" s="802"/>
      <c r="C5470" s="802"/>
      <c r="D5470" s="802"/>
      <c r="E5470" s="802"/>
      <c r="F5470" s="802"/>
      <c r="G5470" s="802"/>
      <c r="H5470" s="802"/>
      <c r="I5470" s="612"/>
      <c r="J5470" s="612"/>
      <c r="K5470" s="612"/>
      <c r="L5470" s="612"/>
    </row>
    <row r="5471" spans="1:12" ht="17.100000000000001" customHeight="1">
      <c r="A5471" s="612" t="s">
        <v>13679</v>
      </c>
      <c r="B5471" s="636" t="s">
        <v>12698</v>
      </c>
      <c r="C5471" s="612" t="s">
        <v>12699</v>
      </c>
      <c r="D5471" s="612" t="s">
        <v>12700</v>
      </c>
      <c r="E5471" s="637" t="s">
        <v>12702</v>
      </c>
      <c r="F5471" s="801" t="s">
        <v>12704</v>
      </c>
      <c r="G5471" s="801"/>
      <c r="H5471" s="801" t="s">
        <v>13678</v>
      </c>
      <c r="I5471" s="801"/>
      <c r="J5471" s="801" t="s">
        <v>12705</v>
      </c>
      <c r="K5471" s="801"/>
      <c r="L5471" s="801"/>
    </row>
    <row r="5472" spans="1:12" ht="24" customHeight="1">
      <c r="A5472" s="626" t="s">
        <v>12709</v>
      </c>
      <c r="B5472" s="627" t="s">
        <v>12998</v>
      </c>
      <c r="C5472" s="626" t="s">
        <v>8</v>
      </c>
      <c r="D5472" s="626" t="s">
        <v>11861</v>
      </c>
      <c r="E5472" s="628" t="s">
        <v>23</v>
      </c>
      <c r="F5472" s="816" t="s">
        <v>13683</v>
      </c>
      <c r="G5472" s="816"/>
      <c r="H5472" s="816">
        <v>0.22592090000000001</v>
      </c>
      <c r="I5472" s="816"/>
      <c r="J5472" s="817">
        <v>0.16039999999999999</v>
      </c>
      <c r="K5472" s="817"/>
      <c r="L5472" s="817"/>
    </row>
    <row r="5473" spans="1:12" ht="24" customHeight="1">
      <c r="A5473" s="636"/>
      <c r="B5473" s="636"/>
      <c r="C5473" s="636"/>
      <c r="D5473" s="636"/>
      <c r="E5473" s="636"/>
      <c r="F5473" s="636"/>
      <c r="G5473" s="636"/>
      <c r="H5473" s="636"/>
      <c r="I5473" s="636"/>
      <c r="J5473" s="636" t="s">
        <v>13675</v>
      </c>
      <c r="K5473" s="636"/>
      <c r="L5473" s="636" t="s">
        <v>13850</v>
      </c>
    </row>
    <row r="5474" spans="1:12" ht="24" customHeight="1">
      <c r="A5474" s="802" t="s">
        <v>12713</v>
      </c>
      <c r="B5474" s="802"/>
      <c r="C5474" s="802"/>
      <c r="D5474" s="802"/>
      <c r="E5474" s="802"/>
      <c r="F5474" s="802"/>
      <c r="G5474" s="802"/>
      <c r="H5474" s="802"/>
      <c r="I5474" s="612"/>
      <c r="J5474" s="612"/>
      <c r="K5474" s="612"/>
      <c r="L5474" s="612"/>
    </row>
    <row r="5475" spans="1:12" ht="24" customHeight="1">
      <c r="A5475" s="612" t="s">
        <v>13679</v>
      </c>
      <c r="B5475" s="636" t="s">
        <v>12698</v>
      </c>
      <c r="C5475" s="612" t="s">
        <v>12699</v>
      </c>
      <c r="D5475" s="612" t="s">
        <v>12700</v>
      </c>
      <c r="E5475" s="637" t="s">
        <v>12702</v>
      </c>
      <c r="F5475" s="801" t="s">
        <v>12704</v>
      </c>
      <c r="G5475" s="801"/>
      <c r="H5475" s="801" t="s">
        <v>13678</v>
      </c>
      <c r="I5475" s="801"/>
      <c r="J5475" s="801" t="s">
        <v>12705</v>
      </c>
      <c r="K5475" s="801"/>
      <c r="L5475" s="801"/>
    </row>
    <row r="5476" spans="1:12" ht="17.100000000000001" customHeight="1">
      <c r="A5476" s="626" t="s">
        <v>12709</v>
      </c>
      <c r="B5476" s="627" t="s">
        <v>12999</v>
      </c>
      <c r="C5476" s="626" t="s">
        <v>8</v>
      </c>
      <c r="D5476" s="626" t="s">
        <v>11251</v>
      </c>
      <c r="E5476" s="628" t="s">
        <v>23</v>
      </c>
      <c r="F5476" s="816" t="s">
        <v>13681</v>
      </c>
      <c r="G5476" s="816"/>
      <c r="H5476" s="816">
        <v>0.22592090000000001</v>
      </c>
      <c r="I5476" s="816"/>
      <c r="J5476" s="817">
        <v>1.5800000000000002E-2</v>
      </c>
      <c r="K5476" s="817"/>
      <c r="L5476" s="817"/>
    </row>
    <row r="5477" spans="1:12">
      <c r="A5477" s="636"/>
      <c r="B5477" s="636"/>
      <c r="C5477" s="636"/>
      <c r="D5477" s="636"/>
      <c r="E5477" s="636"/>
      <c r="F5477" s="636"/>
      <c r="G5477" s="636"/>
      <c r="H5477" s="636"/>
      <c r="I5477" s="636"/>
      <c r="J5477" s="636" t="s">
        <v>13675</v>
      </c>
      <c r="K5477" s="636"/>
      <c r="L5477" s="636" t="s">
        <v>13680</v>
      </c>
    </row>
    <row r="5478" spans="1:12" ht="17.100000000000001" customHeight="1">
      <c r="A5478" s="802" t="s">
        <v>12712</v>
      </c>
      <c r="B5478" s="802"/>
      <c r="C5478" s="802"/>
      <c r="D5478" s="802"/>
      <c r="E5478" s="802"/>
      <c r="F5478" s="802"/>
      <c r="G5478" s="802"/>
      <c r="H5478" s="802"/>
      <c r="I5478" s="612"/>
      <c r="J5478" s="612"/>
      <c r="K5478" s="612"/>
      <c r="L5478" s="612"/>
    </row>
    <row r="5479" spans="1:12" ht="24" customHeight="1">
      <c r="A5479" s="612" t="s">
        <v>13679</v>
      </c>
      <c r="B5479" s="636" t="s">
        <v>12698</v>
      </c>
      <c r="C5479" s="612" t="s">
        <v>12699</v>
      </c>
      <c r="D5479" s="612" t="s">
        <v>12700</v>
      </c>
      <c r="E5479" s="637" t="s">
        <v>12702</v>
      </c>
      <c r="F5479" s="801" t="s">
        <v>12704</v>
      </c>
      <c r="G5479" s="801"/>
      <c r="H5479" s="801" t="s">
        <v>13678</v>
      </c>
      <c r="I5479" s="801"/>
      <c r="J5479" s="801" t="s">
        <v>12705</v>
      </c>
      <c r="K5479" s="801"/>
      <c r="L5479" s="801"/>
    </row>
    <row r="5480" spans="1:12" ht="17.100000000000001" customHeight="1">
      <c r="A5480" s="626" t="s">
        <v>12709</v>
      </c>
      <c r="B5480" s="627" t="s">
        <v>13002</v>
      </c>
      <c r="C5480" s="626" t="s">
        <v>8</v>
      </c>
      <c r="D5480" s="626" t="s">
        <v>9306</v>
      </c>
      <c r="E5480" s="628" t="s">
        <v>23</v>
      </c>
      <c r="F5480" s="816" t="s">
        <v>13677</v>
      </c>
      <c r="G5480" s="816"/>
      <c r="H5480" s="816">
        <v>0.22592090000000001</v>
      </c>
      <c r="I5480" s="816"/>
      <c r="J5480" s="817">
        <v>7.9100000000000004E-2</v>
      </c>
      <c r="K5480" s="817"/>
      <c r="L5480" s="817"/>
    </row>
    <row r="5481" spans="1:12" ht="25.5">
      <c r="A5481" s="626" t="s">
        <v>12709</v>
      </c>
      <c r="B5481" s="627" t="s">
        <v>13004</v>
      </c>
      <c r="C5481" s="626" t="s">
        <v>8</v>
      </c>
      <c r="D5481" s="626" t="s">
        <v>7388</v>
      </c>
      <c r="E5481" s="628" t="s">
        <v>23</v>
      </c>
      <c r="F5481" s="816" t="s">
        <v>13676</v>
      </c>
      <c r="G5481" s="816"/>
      <c r="H5481" s="816">
        <v>0.22592090000000001</v>
      </c>
      <c r="I5481" s="816"/>
      <c r="J5481" s="817">
        <v>0.497</v>
      </c>
      <c r="K5481" s="817"/>
      <c r="L5481" s="817"/>
    </row>
    <row r="5482" spans="1:12" ht="17.100000000000001" customHeight="1">
      <c r="A5482" s="636"/>
      <c r="B5482" s="636"/>
      <c r="C5482" s="636"/>
      <c r="D5482" s="636"/>
      <c r="E5482" s="636"/>
      <c r="F5482" s="636"/>
      <c r="G5482" s="636"/>
      <c r="H5482" s="636"/>
      <c r="I5482" s="636"/>
      <c r="J5482" s="636" t="s">
        <v>13675</v>
      </c>
      <c r="K5482" s="636"/>
      <c r="L5482" s="636" t="s">
        <v>13861</v>
      </c>
    </row>
    <row r="5483" spans="1:12" ht="24" customHeight="1">
      <c r="A5483" s="612" t="s">
        <v>13673</v>
      </c>
      <c r="B5483" s="612"/>
      <c r="C5483" s="612"/>
      <c r="D5483" s="612"/>
      <c r="E5483" s="612"/>
      <c r="F5483" s="612"/>
      <c r="G5483" s="612"/>
      <c r="H5483" s="612"/>
      <c r="I5483" s="612"/>
      <c r="J5483" s="612"/>
      <c r="K5483" s="612"/>
      <c r="L5483" s="612"/>
    </row>
    <row r="5484" spans="1:12" ht="17.100000000000001" customHeight="1">
      <c r="A5484" s="636"/>
      <c r="B5484" s="636"/>
      <c r="C5484" s="636"/>
      <c r="D5484" s="636"/>
      <c r="E5484" s="636"/>
      <c r="F5484" s="636"/>
      <c r="G5484" s="636"/>
      <c r="H5484" s="636"/>
      <c r="I5484" s="636"/>
      <c r="J5484" s="636" t="s">
        <v>13672</v>
      </c>
      <c r="K5484" s="636"/>
      <c r="L5484" s="636" t="s">
        <v>15257</v>
      </c>
    </row>
    <row r="5485" spans="1:12">
      <c r="A5485" s="636"/>
      <c r="B5485" s="636"/>
      <c r="C5485" s="636"/>
      <c r="D5485" s="636"/>
      <c r="E5485" s="636"/>
      <c r="F5485" s="636"/>
      <c r="G5485" s="636"/>
      <c r="H5485" s="636"/>
      <c r="I5485" s="636"/>
      <c r="J5485" s="636" t="s">
        <v>13671</v>
      </c>
      <c r="K5485" s="636" t="s">
        <v>14461</v>
      </c>
      <c r="L5485" s="636" t="s">
        <v>15258</v>
      </c>
    </row>
    <row r="5486" spans="1:12" ht="17.100000000000001" customHeight="1">
      <c r="A5486" s="636"/>
      <c r="B5486" s="636"/>
      <c r="C5486" s="636"/>
      <c r="D5486" s="636"/>
      <c r="E5486" s="636"/>
      <c r="F5486" s="636"/>
      <c r="G5486" s="636"/>
      <c r="H5486" s="636"/>
      <c r="I5486" s="636"/>
      <c r="J5486" s="636" t="s">
        <v>13670</v>
      </c>
      <c r="K5486" s="636"/>
      <c r="L5486" s="636" t="s">
        <v>15259</v>
      </c>
    </row>
    <row r="5487" spans="1:12" ht="24" customHeight="1">
      <c r="A5487" s="636"/>
      <c r="B5487" s="636"/>
      <c r="C5487" s="636"/>
      <c r="D5487" s="636"/>
      <c r="E5487" s="636"/>
      <c r="F5487" s="636"/>
      <c r="G5487" s="636"/>
      <c r="H5487" s="636"/>
      <c r="I5487" s="636"/>
      <c r="J5487" s="636" t="s">
        <v>13669</v>
      </c>
      <c r="K5487" s="636" t="s">
        <v>13667</v>
      </c>
      <c r="L5487" s="636" t="s">
        <v>15260</v>
      </c>
    </row>
    <row r="5488" spans="1:12" ht="24" customHeight="1">
      <c r="A5488" s="636"/>
      <c r="B5488" s="636"/>
      <c r="C5488" s="636"/>
      <c r="D5488" s="636"/>
      <c r="E5488" s="636"/>
      <c r="F5488" s="636"/>
      <c r="G5488" s="636"/>
      <c r="H5488" s="636"/>
      <c r="I5488" s="636"/>
      <c r="J5488" s="636" t="s">
        <v>13668</v>
      </c>
      <c r="K5488" s="636"/>
      <c r="L5488" s="636" t="s">
        <v>15261</v>
      </c>
    </row>
    <row r="5489" spans="1:12" ht="17.100000000000001" customHeight="1">
      <c r="A5489" s="637"/>
      <c r="B5489" s="637"/>
      <c r="C5489" s="637"/>
      <c r="D5489" s="637"/>
      <c r="E5489" s="637"/>
      <c r="F5489" s="637"/>
      <c r="G5489" s="637"/>
      <c r="H5489" s="637"/>
      <c r="I5489" s="637"/>
      <c r="J5489" s="637"/>
      <c r="K5489" s="637"/>
      <c r="L5489" s="637"/>
    </row>
    <row r="5490" spans="1:12" ht="17.100000000000001" customHeight="1">
      <c r="A5490" s="616" t="s">
        <v>14065</v>
      </c>
      <c r="B5490" s="617" t="s">
        <v>13534</v>
      </c>
      <c r="C5490" s="616" t="s">
        <v>8</v>
      </c>
      <c r="D5490" s="616" t="s">
        <v>1760</v>
      </c>
      <c r="E5490" s="618" t="s">
        <v>35</v>
      </c>
      <c r="F5490" s="617"/>
      <c r="G5490" s="617"/>
      <c r="H5490" s="617"/>
      <c r="I5490" s="617"/>
      <c r="J5490" s="617"/>
      <c r="K5490" s="617"/>
      <c r="L5490" s="617"/>
    </row>
    <row r="5491" spans="1:12" ht="17.100000000000001" customHeight="1">
      <c r="A5491" s="802" t="s">
        <v>12711</v>
      </c>
      <c r="B5491" s="802"/>
      <c r="C5491" s="802"/>
      <c r="D5491" s="802"/>
      <c r="E5491" s="802"/>
      <c r="F5491" s="802"/>
      <c r="G5491" s="802"/>
      <c r="H5491" s="802"/>
      <c r="I5491" s="612"/>
      <c r="J5491" s="612"/>
      <c r="K5491" s="612"/>
      <c r="L5491" s="612"/>
    </row>
    <row r="5492" spans="1:12" ht="17.100000000000001" customHeight="1">
      <c r="A5492" s="612" t="s">
        <v>13679</v>
      </c>
      <c r="B5492" s="636" t="s">
        <v>12698</v>
      </c>
      <c r="C5492" s="612" t="s">
        <v>12699</v>
      </c>
      <c r="D5492" s="612" t="s">
        <v>12700</v>
      </c>
      <c r="E5492" s="637" t="s">
        <v>12702</v>
      </c>
      <c r="F5492" s="801" t="s">
        <v>12704</v>
      </c>
      <c r="G5492" s="801"/>
      <c r="H5492" s="801" t="s">
        <v>13678</v>
      </c>
      <c r="I5492" s="801"/>
      <c r="J5492" s="801" t="s">
        <v>12705</v>
      </c>
      <c r="K5492" s="801"/>
      <c r="L5492" s="801"/>
    </row>
    <row r="5493" spans="1:12" ht="17.100000000000001" customHeight="1">
      <c r="A5493" s="626" t="s">
        <v>12709</v>
      </c>
      <c r="B5493" s="627" t="s">
        <v>13201</v>
      </c>
      <c r="C5493" s="626" t="s">
        <v>8</v>
      </c>
      <c r="D5493" s="626" t="s">
        <v>9221</v>
      </c>
      <c r="E5493" s="628" t="s">
        <v>23</v>
      </c>
      <c r="F5493" s="816" t="s">
        <v>13705</v>
      </c>
      <c r="G5493" s="816"/>
      <c r="H5493" s="816">
        <v>0.1769008</v>
      </c>
      <c r="I5493" s="816"/>
      <c r="J5493" s="817">
        <v>0.14680000000000001</v>
      </c>
      <c r="K5493" s="817"/>
      <c r="L5493" s="817"/>
    </row>
    <row r="5494" spans="1:12" ht="17.100000000000001" customHeight="1">
      <c r="A5494" s="626" t="s">
        <v>12709</v>
      </c>
      <c r="B5494" s="627" t="s">
        <v>13200</v>
      </c>
      <c r="C5494" s="626" t="s">
        <v>8</v>
      </c>
      <c r="D5494" s="626" t="s">
        <v>9368</v>
      </c>
      <c r="E5494" s="628" t="s">
        <v>23</v>
      </c>
      <c r="F5494" s="816" t="s">
        <v>13704</v>
      </c>
      <c r="G5494" s="816"/>
      <c r="H5494" s="816">
        <v>0.1769008</v>
      </c>
      <c r="I5494" s="816"/>
      <c r="J5494" s="817">
        <v>4.2500000000000003E-2</v>
      </c>
      <c r="K5494" s="817"/>
      <c r="L5494" s="817"/>
    </row>
    <row r="5495" spans="1:12" ht="17.100000000000001" customHeight="1">
      <c r="A5495" s="636"/>
      <c r="B5495" s="636"/>
      <c r="C5495" s="636"/>
      <c r="D5495" s="636"/>
      <c r="E5495" s="636"/>
      <c r="F5495" s="636"/>
      <c r="G5495" s="636"/>
      <c r="H5495" s="636"/>
      <c r="I5495" s="636"/>
      <c r="J5495" s="636" t="s">
        <v>13675</v>
      </c>
      <c r="K5495" s="636"/>
      <c r="L5495" s="636" t="s">
        <v>13865</v>
      </c>
    </row>
    <row r="5496" spans="1:12" ht="30" customHeight="1">
      <c r="A5496" s="802" t="s">
        <v>12710</v>
      </c>
      <c r="B5496" s="802"/>
      <c r="C5496" s="802"/>
      <c r="D5496" s="802"/>
      <c r="E5496" s="802"/>
      <c r="F5496" s="802"/>
      <c r="G5496" s="802"/>
      <c r="H5496" s="802"/>
      <c r="I5496" s="612"/>
      <c r="J5496" s="612"/>
      <c r="K5496" s="612"/>
      <c r="L5496" s="612"/>
    </row>
    <row r="5497" spans="1:12" ht="36" customHeight="1">
      <c r="A5497" s="612" t="s">
        <v>13679</v>
      </c>
      <c r="B5497" s="636" t="s">
        <v>12698</v>
      </c>
      <c r="C5497" s="612" t="s">
        <v>12699</v>
      </c>
      <c r="D5497" s="612" t="s">
        <v>12700</v>
      </c>
      <c r="E5497" s="637" t="s">
        <v>12702</v>
      </c>
      <c r="F5497" s="801" t="s">
        <v>12704</v>
      </c>
      <c r="G5497" s="801"/>
      <c r="H5497" s="801" t="s">
        <v>13678</v>
      </c>
      <c r="I5497" s="801"/>
      <c r="J5497" s="801" t="s">
        <v>12705</v>
      </c>
      <c r="K5497" s="801"/>
      <c r="L5497" s="801"/>
    </row>
    <row r="5498" spans="1:12" ht="14.25" customHeight="1">
      <c r="A5498" s="626" t="s">
        <v>12709</v>
      </c>
      <c r="B5498" s="627" t="s">
        <v>13220</v>
      </c>
      <c r="C5498" s="626" t="s">
        <v>8</v>
      </c>
      <c r="D5498" s="626" t="s">
        <v>7592</v>
      </c>
      <c r="E5498" s="628" t="s">
        <v>23</v>
      </c>
      <c r="F5498" s="816" t="s">
        <v>13890</v>
      </c>
      <c r="G5498" s="816"/>
      <c r="H5498" s="816">
        <v>9.0763999999999997E-2</v>
      </c>
      <c r="I5498" s="816"/>
      <c r="J5498" s="817">
        <v>0.45929999999999999</v>
      </c>
      <c r="K5498" s="817"/>
      <c r="L5498" s="817"/>
    </row>
    <row r="5499" spans="1:12" ht="17.100000000000001" customHeight="1">
      <c r="A5499" s="626" t="s">
        <v>12709</v>
      </c>
      <c r="B5499" s="627" t="s">
        <v>13202</v>
      </c>
      <c r="C5499" s="626" t="s">
        <v>8</v>
      </c>
      <c r="D5499" s="626" t="s">
        <v>9187</v>
      </c>
      <c r="E5499" s="628" t="s">
        <v>23</v>
      </c>
      <c r="F5499" s="816" t="s">
        <v>14479</v>
      </c>
      <c r="G5499" s="816"/>
      <c r="H5499" s="816">
        <v>9.0763999999999997E-2</v>
      </c>
      <c r="I5499" s="816"/>
      <c r="J5499" s="817">
        <v>0.64900000000000002</v>
      </c>
      <c r="K5499" s="817"/>
      <c r="L5499" s="817"/>
    </row>
    <row r="5500" spans="1:12" ht="24" customHeight="1">
      <c r="A5500" s="636"/>
      <c r="B5500" s="636"/>
      <c r="C5500" s="636"/>
      <c r="D5500" s="636"/>
      <c r="E5500" s="636"/>
      <c r="F5500" s="636"/>
      <c r="G5500" s="636"/>
      <c r="H5500" s="636"/>
      <c r="I5500" s="636"/>
      <c r="J5500" s="636" t="s">
        <v>13675</v>
      </c>
      <c r="K5500" s="636"/>
      <c r="L5500" s="636" t="s">
        <v>14668</v>
      </c>
    </row>
    <row r="5501" spans="1:12" ht="24" customHeight="1">
      <c r="A5501" s="802" t="s">
        <v>12720</v>
      </c>
      <c r="B5501" s="802"/>
      <c r="C5501" s="802"/>
      <c r="D5501" s="802"/>
      <c r="E5501" s="802"/>
      <c r="F5501" s="802"/>
      <c r="G5501" s="802"/>
      <c r="H5501" s="802"/>
      <c r="I5501" s="612"/>
      <c r="J5501" s="612"/>
      <c r="K5501" s="612"/>
      <c r="L5501" s="612"/>
    </row>
    <row r="5502" spans="1:12" ht="17.100000000000001" customHeight="1">
      <c r="A5502" s="612" t="s">
        <v>13679</v>
      </c>
      <c r="B5502" s="636" t="s">
        <v>12698</v>
      </c>
      <c r="C5502" s="612" t="s">
        <v>12699</v>
      </c>
      <c r="D5502" s="612" t="s">
        <v>12700</v>
      </c>
      <c r="E5502" s="637" t="s">
        <v>12702</v>
      </c>
      <c r="F5502" s="801" t="s">
        <v>12704</v>
      </c>
      <c r="G5502" s="801"/>
      <c r="H5502" s="801" t="s">
        <v>13678</v>
      </c>
      <c r="I5502" s="801"/>
      <c r="J5502" s="801" t="s">
        <v>12705</v>
      </c>
      <c r="K5502" s="801"/>
      <c r="L5502" s="801"/>
    </row>
    <row r="5503" spans="1:12" ht="14.25" customHeight="1">
      <c r="A5503" s="626" t="s">
        <v>12709</v>
      </c>
      <c r="B5503" s="627" t="s">
        <v>13467</v>
      </c>
      <c r="C5503" s="626" t="s">
        <v>8</v>
      </c>
      <c r="D5503" s="626" t="s">
        <v>9987</v>
      </c>
      <c r="E5503" s="628" t="s">
        <v>35</v>
      </c>
      <c r="F5503" s="816" t="s">
        <v>13998</v>
      </c>
      <c r="G5503" s="816"/>
      <c r="H5503" s="816">
        <v>0.03</v>
      </c>
      <c r="I5503" s="816"/>
      <c r="J5503" s="817">
        <v>0.05</v>
      </c>
      <c r="K5503" s="817"/>
      <c r="L5503" s="817"/>
    </row>
    <row r="5504" spans="1:12" ht="17.100000000000001" customHeight="1">
      <c r="A5504" s="626" t="s">
        <v>12709</v>
      </c>
      <c r="B5504" s="627" t="s">
        <v>13466</v>
      </c>
      <c r="C5504" s="626" t="s">
        <v>8</v>
      </c>
      <c r="D5504" s="626" t="s">
        <v>11315</v>
      </c>
      <c r="E5504" s="628" t="s">
        <v>35</v>
      </c>
      <c r="F5504" s="816" t="s">
        <v>14636</v>
      </c>
      <c r="G5504" s="816"/>
      <c r="H5504" s="816">
        <v>8.0000000000000002E-3</v>
      </c>
      <c r="I5504" s="816"/>
      <c r="J5504" s="817">
        <v>0.55000000000000004</v>
      </c>
      <c r="K5504" s="817"/>
      <c r="L5504" s="817"/>
    </row>
    <row r="5505" spans="1:12" ht="24" customHeight="1">
      <c r="A5505" s="626" t="s">
        <v>12709</v>
      </c>
      <c r="B5505" s="627" t="s">
        <v>13468</v>
      </c>
      <c r="C5505" s="626" t="s">
        <v>8</v>
      </c>
      <c r="D5505" s="626" t="s">
        <v>7343</v>
      </c>
      <c r="E5505" s="628" t="s">
        <v>35</v>
      </c>
      <c r="F5505" s="816" t="s">
        <v>14635</v>
      </c>
      <c r="G5505" s="816"/>
      <c r="H5505" s="816">
        <v>7.0000000000000001E-3</v>
      </c>
      <c r="I5505" s="816"/>
      <c r="J5505" s="817">
        <v>0.55000000000000004</v>
      </c>
      <c r="K5505" s="817"/>
      <c r="L5505" s="817"/>
    </row>
    <row r="5506" spans="1:12" ht="24" customHeight="1">
      <c r="A5506" s="626" t="s">
        <v>12709</v>
      </c>
      <c r="B5506" s="627" t="s">
        <v>13533</v>
      </c>
      <c r="C5506" s="626" t="s">
        <v>8</v>
      </c>
      <c r="D5506" s="626" t="s">
        <v>9762</v>
      </c>
      <c r="E5506" s="628" t="s">
        <v>35</v>
      </c>
      <c r="F5506" s="816" t="s">
        <v>13781</v>
      </c>
      <c r="G5506" s="816"/>
      <c r="H5506" s="816">
        <v>1</v>
      </c>
      <c r="I5506" s="816"/>
      <c r="J5506" s="817">
        <v>0.55000000000000004</v>
      </c>
      <c r="K5506" s="817"/>
      <c r="L5506" s="817"/>
    </row>
    <row r="5507" spans="1:12" ht="17.100000000000001" customHeight="1">
      <c r="A5507" s="636"/>
      <c r="B5507" s="636"/>
      <c r="C5507" s="636"/>
      <c r="D5507" s="636"/>
      <c r="E5507" s="636"/>
      <c r="F5507" s="636"/>
      <c r="G5507" s="636"/>
      <c r="H5507" s="636"/>
      <c r="I5507" s="636"/>
      <c r="J5507" s="636" t="s">
        <v>13675</v>
      </c>
      <c r="K5507" s="636"/>
      <c r="L5507" s="636" t="s">
        <v>13833</v>
      </c>
    </row>
    <row r="5508" spans="1:12">
      <c r="A5508" s="802" t="s">
        <v>12722</v>
      </c>
      <c r="B5508" s="802"/>
      <c r="C5508" s="802"/>
      <c r="D5508" s="802"/>
      <c r="E5508" s="802"/>
      <c r="F5508" s="802"/>
      <c r="G5508" s="802"/>
      <c r="H5508" s="802"/>
      <c r="I5508" s="612"/>
      <c r="J5508" s="612"/>
      <c r="K5508" s="612"/>
      <c r="L5508" s="612"/>
    </row>
    <row r="5509" spans="1:12" ht="17.100000000000001" customHeight="1">
      <c r="A5509" s="612" t="s">
        <v>13679</v>
      </c>
      <c r="B5509" s="636" t="s">
        <v>12698</v>
      </c>
      <c r="C5509" s="612" t="s">
        <v>12699</v>
      </c>
      <c r="D5509" s="612" t="s">
        <v>12700</v>
      </c>
      <c r="E5509" s="637" t="s">
        <v>12702</v>
      </c>
      <c r="F5509" s="801" t="s">
        <v>12704</v>
      </c>
      <c r="G5509" s="801"/>
      <c r="H5509" s="801" t="s">
        <v>13678</v>
      </c>
      <c r="I5509" s="801"/>
      <c r="J5509" s="801" t="s">
        <v>12705</v>
      </c>
      <c r="K5509" s="801"/>
      <c r="L5509" s="801"/>
    </row>
    <row r="5510" spans="1:12" ht="24" customHeight="1">
      <c r="A5510" s="626" t="s">
        <v>12709</v>
      </c>
      <c r="B5510" s="627" t="s">
        <v>12998</v>
      </c>
      <c r="C5510" s="626" t="s">
        <v>8</v>
      </c>
      <c r="D5510" s="626" t="s">
        <v>11861</v>
      </c>
      <c r="E5510" s="628" t="s">
        <v>23</v>
      </c>
      <c r="F5510" s="816" t="s">
        <v>13683</v>
      </c>
      <c r="G5510" s="816"/>
      <c r="H5510" s="816">
        <v>0.1769008</v>
      </c>
      <c r="I5510" s="816"/>
      <c r="J5510" s="817">
        <v>0.12559999999999999</v>
      </c>
      <c r="K5510" s="817"/>
      <c r="L5510" s="817"/>
    </row>
    <row r="5511" spans="1:12" ht="24" customHeight="1">
      <c r="A5511" s="636"/>
      <c r="B5511" s="636"/>
      <c r="C5511" s="636"/>
      <c r="D5511" s="636"/>
      <c r="E5511" s="636"/>
      <c r="F5511" s="636"/>
      <c r="G5511" s="636"/>
      <c r="H5511" s="636"/>
      <c r="I5511" s="636"/>
      <c r="J5511" s="636" t="s">
        <v>13675</v>
      </c>
      <c r="K5511" s="636"/>
      <c r="L5511" s="636" t="s">
        <v>13875</v>
      </c>
    </row>
    <row r="5512" spans="1:12" ht="24" customHeight="1">
      <c r="A5512" s="802" t="s">
        <v>12713</v>
      </c>
      <c r="B5512" s="802"/>
      <c r="C5512" s="802"/>
      <c r="D5512" s="802"/>
      <c r="E5512" s="802"/>
      <c r="F5512" s="802"/>
      <c r="G5512" s="802"/>
      <c r="H5512" s="802"/>
      <c r="I5512" s="612"/>
      <c r="J5512" s="612"/>
      <c r="K5512" s="612"/>
      <c r="L5512" s="612"/>
    </row>
    <row r="5513" spans="1:12" ht="24" customHeight="1">
      <c r="A5513" s="612" t="s">
        <v>13679</v>
      </c>
      <c r="B5513" s="636" t="s">
        <v>12698</v>
      </c>
      <c r="C5513" s="612" t="s">
        <v>12699</v>
      </c>
      <c r="D5513" s="612" t="s">
        <v>12700</v>
      </c>
      <c r="E5513" s="637" t="s">
        <v>12702</v>
      </c>
      <c r="F5513" s="801" t="s">
        <v>12704</v>
      </c>
      <c r="G5513" s="801"/>
      <c r="H5513" s="801" t="s">
        <v>13678</v>
      </c>
      <c r="I5513" s="801"/>
      <c r="J5513" s="801" t="s">
        <v>12705</v>
      </c>
      <c r="K5513" s="801"/>
      <c r="L5513" s="801"/>
    </row>
    <row r="5514" spans="1:12" ht="17.100000000000001" customHeight="1">
      <c r="A5514" s="626" t="s">
        <v>12709</v>
      </c>
      <c r="B5514" s="627" t="s">
        <v>12999</v>
      </c>
      <c r="C5514" s="626" t="s">
        <v>8</v>
      </c>
      <c r="D5514" s="626" t="s">
        <v>11251</v>
      </c>
      <c r="E5514" s="628" t="s">
        <v>23</v>
      </c>
      <c r="F5514" s="816" t="s">
        <v>13681</v>
      </c>
      <c r="G5514" s="816"/>
      <c r="H5514" s="816">
        <v>0.1769008</v>
      </c>
      <c r="I5514" s="816"/>
      <c r="J5514" s="817">
        <v>1.24E-2</v>
      </c>
      <c r="K5514" s="817"/>
      <c r="L5514" s="817"/>
    </row>
    <row r="5515" spans="1:12">
      <c r="A5515" s="636"/>
      <c r="B5515" s="636"/>
      <c r="C5515" s="636"/>
      <c r="D5515" s="636"/>
      <c r="E5515" s="636"/>
      <c r="F5515" s="636"/>
      <c r="G5515" s="636"/>
      <c r="H5515" s="636"/>
      <c r="I5515" s="636"/>
      <c r="J5515" s="636" t="s">
        <v>13675</v>
      </c>
      <c r="K5515" s="636"/>
      <c r="L5515" s="636" t="s">
        <v>13728</v>
      </c>
    </row>
    <row r="5516" spans="1:12" ht="17.100000000000001" customHeight="1">
      <c r="A5516" s="802" t="s">
        <v>12712</v>
      </c>
      <c r="B5516" s="802"/>
      <c r="C5516" s="802"/>
      <c r="D5516" s="802"/>
      <c r="E5516" s="802"/>
      <c r="F5516" s="802"/>
      <c r="G5516" s="802"/>
      <c r="H5516" s="802"/>
      <c r="I5516" s="612"/>
      <c r="J5516" s="612"/>
      <c r="K5516" s="612"/>
      <c r="L5516" s="612"/>
    </row>
    <row r="5517" spans="1:12" ht="24" customHeight="1">
      <c r="A5517" s="612" t="s">
        <v>13679</v>
      </c>
      <c r="B5517" s="636" t="s">
        <v>12698</v>
      </c>
      <c r="C5517" s="612" t="s">
        <v>12699</v>
      </c>
      <c r="D5517" s="612" t="s">
        <v>12700</v>
      </c>
      <c r="E5517" s="637" t="s">
        <v>12702</v>
      </c>
      <c r="F5517" s="801" t="s">
        <v>12704</v>
      </c>
      <c r="G5517" s="801"/>
      <c r="H5517" s="801" t="s">
        <v>13678</v>
      </c>
      <c r="I5517" s="801"/>
      <c r="J5517" s="801" t="s">
        <v>12705</v>
      </c>
      <c r="K5517" s="801"/>
      <c r="L5517" s="801"/>
    </row>
    <row r="5518" spans="1:12" ht="17.100000000000001" customHeight="1">
      <c r="A5518" s="626" t="s">
        <v>12709</v>
      </c>
      <c r="B5518" s="627" t="s">
        <v>13002</v>
      </c>
      <c r="C5518" s="626" t="s">
        <v>8</v>
      </c>
      <c r="D5518" s="626" t="s">
        <v>9306</v>
      </c>
      <c r="E5518" s="628" t="s">
        <v>23</v>
      </c>
      <c r="F5518" s="816" t="s">
        <v>13677</v>
      </c>
      <c r="G5518" s="816"/>
      <c r="H5518" s="816">
        <v>0.1769008</v>
      </c>
      <c r="I5518" s="816"/>
      <c r="J5518" s="817">
        <v>6.1899999999999997E-2</v>
      </c>
      <c r="K5518" s="817"/>
      <c r="L5518" s="817"/>
    </row>
    <row r="5519" spans="1:12" ht="25.5">
      <c r="A5519" s="626" t="s">
        <v>12709</v>
      </c>
      <c r="B5519" s="627" t="s">
        <v>13004</v>
      </c>
      <c r="C5519" s="626" t="s">
        <v>8</v>
      </c>
      <c r="D5519" s="626" t="s">
        <v>7388</v>
      </c>
      <c r="E5519" s="628" t="s">
        <v>23</v>
      </c>
      <c r="F5519" s="816" t="s">
        <v>13676</v>
      </c>
      <c r="G5519" s="816"/>
      <c r="H5519" s="816">
        <v>0.1769008</v>
      </c>
      <c r="I5519" s="816"/>
      <c r="J5519" s="817">
        <v>0.38919999999999999</v>
      </c>
      <c r="K5519" s="817"/>
      <c r="L5519" s="817"/>
    </row>
    <row r="5520" spans="1:12" ht="17.100000000000001" customHeight="1">
      <c r="A5520" s="636"/>
      <c r="B5520" s="636"/>
      <c r="C5520" s="636"/>
      <c r="D5520" s="636"/>
      <c r="E5520" s="636"/>
      <c r="F5520" s="636"/>
      <c r="G5520" s="636"/>
      <c r="H5520" s="636"/>
      <c r="I5520" s="636"/>
      <c r="J5520" s="636" t="s">
        <v>13675</v>
      </c>
      <c r="K5520" s="636"/>
      <c r="L5520" s="636" t="s">
        <v>14034</v>
      </c>
    </row>
    <row r="5521" spans="1:12" ht="24" customHeight="1">
      <c r="A5521" s="612" t="s">
        <v>13673</v>
      </c>
      <c r="B5521" s="612"/>
      <c r="C5521" s="612"/>
      <c r="D5521" s="612"/>
      <c r="E5521" s="612"/>
      <c r="F5521" s="612"/>
      <c r="G5521" s="612"/>
      <c r="H5521" s="612"/>
      <c r="I5521" s="612"/>
      <c r="J5521" s="612"/>
      <c r="K5521" s="612"/>
      <c r="L5521" s="612"/>
    </row>
    <row r="5522" spans="1:12" ht="17.100000000000001" customHeight="1">
      <c r="A5522" s="636"/>
      <c r="B5522" s="636"/>
      <c r="C5522" s="636"/>
      <c r="D5522" s="636"/>
      <c r="E5522" s="636"/>
      <c r="F5522" s="636"/>
      <c r="G5522" s="636"/>
      <c r="H5522" s="636"/>
      <c r="I5522" s="636"/>
      <c r="J5522" s="636" t="s">
        <v>13672</v>
      </c>
      <c r="K5522" s="636"/>
      <c r="L5522" s="636" t="s">
        <v>15262</v>
      </c>
    </row>
    <row r="5523" spans="1:12">
      <c r="A5523" s="636"/>
      <c r="B5523" s="636"/>
      <c r="C5523" s="636"/>
      <c r="D5523" s="636"/>
      <c r="E5523" s="636"/>
      <c r="F5523" s="636"/>
      <c r="G5523" s="636"/>
      <c r="H5523" s="636"/>
      <c r="I5523" s="636"/>
      <c r="J5523" s="636" t="s">
        <v>13671</v>
      </c>
      <c r="K5523" s="636" t="s">
        <v>14461</v>
      </c>
      <c r="L5523" s="636" t="s">
        <v>15035</v>
      </c>
    </row>
    <row r="5524" spans="1:12" ht="17.100000000000001" customHeight="1">
      <c r="A5524" s="636"/>
      <c r="B5524" s="636"/>
      <c r="C5524" s="636"/>
      <c r="D5524" s="636"/>
      <c r="E5524" s="636"/>
      <c r="F5524" s="636"/>
      <c r="G5524" s="636"/>
      <c r="H5524" s="636"/>
      <c r="I5524" s="636"/>
      <c r="J5524" s="636" t="s">
        <v>13670</v>
      </c>
      <c r="K5524" s="636"/>
      <c r="L5524" s="636" t="s">
        <v>15263</v>
      </c>
    </row>
    <row r="5525" spans="1:12" ht="24" customHeight="1">
      <c r="A5525" s="636"/>
      <c r="B5525" s="636"/>
      <c r="C5525" s="636"/>
      <c r="D5525" s="636"/>
      <c r="E5525" s="636"/>
      <c r="F5525" s="636"/>
      <c r="G5525" s="636"/>
      <c r="H5525" s="636"/>
      <c r="I5525" s="636"/>
      <c r="J5525" s="636" t="s">
        <v>13669</v>
      </c>
      <c r="K5525" s="636" t="s">
        <v>13667</v>
      </c>
      <c r="L5525" s="636" t="s">
        <v>15038</v>
      </c>
    </row>
    <row r="5526" spans="1:12" ht="24" customHeight="1">
      <c r="A5526" s="636"/>
      <c r="B5526" s="636"/>
      <c r="C5526" s="636"/>
      <c r="D5526" s="636"/>
      <c r="E5526" s="636"/>
      <c r="F5526" s="636"/>
      <c r="G5526" s="636"/>
      <c r="H5526" s="636"/>
      <c r="I5526" s="636"/>
      <c r="J5526" s="636" t="s">
        <v>13668</v>
      </c>
      <c r="K5526" s="636"/>
      <c r="L5526" s="636" t="s">
        <v>15264</v>
      </c>
    </row>
    <row r="5527" spans="1:12" ht="17.100000000000001" customHeight="1">
      <c r="A5527" s="637"/>
      <c r="B5527" s="637"/>
      <c r="C5527" s="637"/>
      <c r="D5527" s="637"/>
      <c r="E5527" s="637"/>
      <c r="F5527" s="637"/>
      <c r="G5527" s="637"/>
      <c r="H5527" s="637"/>
      <c r="I5527" s="637"/>
      <c r="J5527" s="637"/>
      <c r="K5527" s="637"/>
      <c r="L5527" s="637"/>
    </row>
    <row r="5528" spans="1:12" ht="17.100000000000001" customHeight="1">
      <c r="A5528" s="616" t="s">
        <v>14064</v>
      </c>
      <c r="B5528" s="617" t="s">
        <v>13532</v>
      </c>
      <c r="C5528" s="616" t="s">
        <v>8</v>
      </c>
      <c r="D5528" s="616" t="s">
        <v>1765</v>
      </c>
      <c r="E5528" s="618" t="s">
        <v>35</v>
      </c>
      <c r="F5528" s="617"/>
      <c r="G5528" s="617"/>
      <c r="H5528" s="617"/>
      <c r="I5528" s="617"/>
      <c r="J5528" s="617"/>
      <c r="K5528" s="617"/>
      <c r="L5528" s="617"/>
    </row>
    <row r="5529" spans="1:12" ht="17.100000000000001" customHeight="1">
      <c r="A5529" s="802" t="s">
        <v>12711</v>
      </c>
      <c r="B5529" s="802"/>
      <c r="C5529" s="802"/>
      <c r="D5529" s="802"/>
      <c r="E5529" s="802"/>
      <c r="F5529" s="802"/>
      <c r="G5529" s="802"/>
      <c r="H5529" s="802"/>
      <c r="I5529" s="612"/>
      <c r="J5529" s="612"/>
      <c r="K5529" s="612"/>
      <c r="L5529" s="612"/>
    </row>
    <row r="5530" spans="1:12" ht="17.100000000000001" customHeight="1">
      <c r="A5530" s="612" t="s">
        <v>13679</v>
      </c>
      <c r="B5530" s="636" t="s">
        <v>12698</v>
      </c>
      <c r="C5530" s="612" t="s">
        <v>12699</v>
      </c>
      <c r="D5530" s="612" t="s">
        <v>12700</v>
      </c>
      <c r="E5530" s="637" t="s">
        <v>12702</v>
      </c>
      <c r="F5530" s="801" t="s">
        <v>12704</v>
      </c>
      <c r="G5530" s="801"/>
      <c r="H5530" s="801" t="s">
        <v>13678</v>
      </c>
      <c r="I5530" s="801"/>
      <c r="J5530" s="801" t="s">
        <v>12705</v>
      </c>
      <c r="K5530" s="801"/>
      <c r="L5530" s="801"/>
    </row>
    <row r="5531" spans="1:12" ht="17.100000000000001" customHeight="1">
      <c r="A5531" s="626" t="s">
        <v>12709</v>
      </c>
      <c r="B5531" s="627" t="s">
        <v>13201</v>
      </c>
      <c r="C5531" s="626" t="s">
        <v>8</v>
      </c>
      <c r="D5531" s="626" t="s">
        <v>9221</v>
      </c>
      <c r="E5531" s="628" t="s">
        <v>23</v>
      </c>
      <c r="F5531" s="816" t="s">
        <v>13705</v>
      </c>
      <c r="G5531" s="816"/>
      <c r="H5531" s="816">
        <v>0.21108569999999999</v>
      </c>
      <c r="I5531" s="816"/>
      <c r="J5531" s="817">
        <v>0.17519999999999999</v>
      </c>
      <c r="K5531" s="817"/>
      <c r="L5531" s="817"/>
    </row>
    <row r="5532" spans="1:12" ht="17.100000000000001" customHeight="1">
      <c r="A5532" s="626" t="s">
        <v>12709</v>
      </c>
      <c r="B5532" s="627" t="s">
        <v>13200</v>
      </c>
      <c r="C5532" s="626" t="s">
        <v>8</v>
      </c>
      <c r="D5532" s="626" t="s">
        <v>9368</v>
      </c>
      <c r="E5532" s="628" t="s">
        <v>23</v>
      </c>
      <c r="F5532" s="816" t="s">
        <v>13704</v>
      </c>
      <c r="G5532" s="816"/>
      <c r="H5532" s="816">
        <v>0.21108569999999999</v>
      </c>
      <c r="I5532" s="816"/>
      <c r="J5532" s="817">
        <v>5.0700000000000002E-2</v>
      </c>
      <c r="K5532" s="817"/>
      <c r="L5532" s="817"/>
    </row>
    <row r="5533" spans="1:12" ht="17.100000000000001" customHeight="1">
      <c r="A5533" s="636"/>
      <c r="B5533" s="636"/>
      <c r="C5533" s="636"/>
      <c r="D5533" s="636"/>
      <c r="E5533" s="636"/>
      <c r="F5533" s="636"/>
      <c r="G5533" s="636"/>
      <c r="H5533" s="636"/>
      <c r="I5533" s="636"/>
      <c r="J5533" s="636" t="s">
        <v>13675</v>
      </c>
      <c r="K5533" s="636"/>
      <c r="L5533" s="636" t="s">
        <v>13788</v>
      </c>
    </row>
    <row r="5534" spans="1:12" ht="30" customHeight="1">
      <c r="A5534" s="802" t="s">
        <v>12710</v>
      </c>
      <c r="B5534" s="802"/>
      <c r="C5534" s="802"/>
      <c r="D5534" s="802"/>
      <c r="E5534" s="802"/>
      <c r="F5534" s="802"/>
      <c r="G5534" s="802"/>
      <c r="H5534" s="802"/>
      <c r="I5534" s="612"/>
      <c r="J5534" s="612"/>
      <c r="K5534" s="612"/>
      <c r="L5534" s="612"/>
    </row>
    <row r="5535" spans="1:12" ht="36" customHeight="1">
      <c r="A5535" s="612" t="s">
        <v>13679</v>
      </c>
      <c r="B5535" s="636" t="s">
        <v>12698</v>
      </c>
      <c r="C5535" s="612" t="s">
        <v>12699</v>
      </c>
      <c r="D5535" s="612" t="s">
        <v>12700</v>
      </c>
      <c r="E5535" s="637" t="s">
        <v>12702</v>
      </c>
      <c r="F5535" s="801" t="s">
        <v>12704</v>
      </c>
      <c r="G5535" s="801"/>
      <c r="H5535" s="801" t="s">
        <v>13678</v>
      </c>
      <c r="I5535" s="801"/>
      <c r="J5535" s="801" t="s">
        <v>12705</v>
      </c>
      <c r="K5535" s="801"/>
      <c r="L5535" s="801"/>
    </row>
    <row r="5536" spans="1:12" ht="14.25" customHeight="1">
      <c r="A5536" s="626" t="s">
        <v>12709</v>
      </c>
      <c r="B5536" s="627" t="s">
        <v>13220</v>
      </c>
      <c r="C5536" s="626" t="s">
        <v>8</v>
      </c>
      <c r="D5536" s="626" t="s">
        <v>7592</v>
      </c>
      <c r="E5536" s="628" t="s">
        <v>23</v>
      </c>
      <c r="F5536" s="816" t="s">
        <v>13890</v>
      </c>
      <c r="G5536" s="816"/>
      <c r="H5536" s="816">
        <v>0.10803119999999999</v>
      </c>
      <c r="I5536" s="816"/>
      <c r="J5536" s="817">
        <v>0.54659999999999997</v>
      </c>
      <c r="K5536" s="817"/>
      <c r="L5536" s="817"/>
    </row>
    <row r="5537" spans="1:12" ht="17.100000000000001" customHeight="1">
      <c r="A5537" s="626" t="s">
        <v>12709</v>
      </c>
      <c r="B5537" s="627" t="s">
        <v>13202</v>
      </c>
      <c r="C5537" s="626" t="s">
        <v>8</v>
      </c>
      <c r="D5537" s="626" t="s">
        <v>9187</v>
      </c>
      <c r="E5537" s="628" t="s">
        <v>23</v>
      </c>
      <c r="F5537" s="816" t="s">
        <v>14479</v>
      </c>
      <c r="G5537" s="816"/>
      <c r="H5537" s="816">
        <v>0.10803119999999999</v>
      </c>
      <c r="I5537" s="816"/>
      <c r="J5537" s="817">
        <v>0.77239999999999998</v>
      </c>
      <c r="K5537" s="817"/>
      <c r="L5537" s="817"/>
    </row>
    <row r="5538" spans="1:12" ht="24" customHeight="1">
      <c r="A5538" s="636"/>
      <c r="B5538" s="636"/>
      <c r="C5538" s="636"/>
      <c r="D5538" s="636"/>
      <c r="E5538" s="636"/>
      <c r="F5538" s="636"/>
      <c r="G5538" s="636"/>
      <c r="H5538" s="636"/>
      <c r="I5538" s="636"/>
      <c r="J5538" s="636" t="s">
        <v>13675</v>
      </c>
      <c r="K5538" s="636"/>
      <c r="L5538" s="636" t="s">
        <v>14061</v>
      </c>
    </row>
    <row r="5539" spans="1:12" ht="24" customHeight="1">
      <c r="A5539" s="802" t="s">
        <v>12720</v>
      </c>
      <c r="B5539" s="802"/>
      <c r="C5539" s="802"/>
      <c r="D5539" s="802"/>
      <c r="E5539" s="802"/>
      <c r="F5539" s="802"/>
      <c r="G5539" s="802"/>
      <c r="H5539" s="802"/>
      <c r="I5539" s="612"/>
      <c r="J5539" s="612"/>
      <c r="K5539" s="612"/>
      <c r="L5539" s="612"/>
    </row>
    <row r="5540" spans="1:12" ht="17.100000000000001" customHeight="1">
      <c r="A5540" s="612" t="s">
        <v>13679</v>
      </c>
      <c r="B5540" s="636" t="s">
        <v>12698</v>
      </c>
      <c r="C5540" s="612" t="s">
        <v>12699</v>
      </c>
      <c r="D5540" s="612" t="s">
        <v>12700</v>
      </c>
      <c r="E5540" s="637" t="s">
        <v>12702</v>
      </c>
      <c r="F5540" s="801" t="s">
        <v>12704</v>
      </c>
      <c r="G5540" s="801"/>
      <c r="H5540" s="801" t="s">
        <v>13678</v>
      </c>
      <c r="I5540" s="801"/>
      <c r="J5540" s="801" t="s">
        <v>12705</v>
      </c>
      <c r="K5540" s="801"/>
      <c r="L5540" s="801"/>
    </row>
    <row r="5541" spans="1:12" ht="14.25" customHeight="1">
      <c r="A5541" s="626" t="s">
        <v>12709</v>
      </c>
      <c r="B5541" s="627" t="s">
        <v>13467</v>
      </c>
      <c r="C5541" s="626" t="s">
        <v>8</v>
      </c>
      <c r="D5541" s="626" t="s">
        <v>9987</v>
      </c>
      <c r="E5541" s="628" t="s">
        <v>35</v>
      </c>
      <c r="F5541" s="816" t="s">
        <v>13998</v>
      </c>
      <c r="G5541" s="816"/>
      <c r="H5541" s="816">
        <v>3.5999999999999997E-2</v>
      </c>
      <c r="I5541" s="816"/>
      <c r="J5541" s="817">
        <v>0.06</v>
      </c>
      <c r="K5541" s="817"/>
      <c r="L5541" s="817"/>
    </row>
    <row r="5542" spans="1:12" ht="17.100000000000001" customHeight="1">
      <c r="A5542" s="626" t="s">
        <v>12709</v>
      </c>
      <c r="B5542" s="627" t="s">
        <v>13466</v>
      </c>
      <c r="C5542" s="626" t="s">
        <v>8</v>
      </c>
      <c r="D5542" s="626" t="s">
        <v>11315</v>
      </c>
      <c r="E5542" s="628" t="s">
        <v>35</v>
      </c>
      <c r="F5542" s="816" t="s">
        <v>14636</v>
      </c>
      <c r="G5542" s="816"/>
      <c r="H5542" s="816">
        <v>1.0999999999999999E-2</v>
      </c>
      <c r="I5542" s="816"/>
      <c r="J5542" s="817">
        <v>0.76</v>
      </c>
      <c r="K5542" s="817"/>
      <c r="L5542" s="817"/>
    </row>
    <row r="5543" spans="1:12" ht="24" customHeight="1">
      <c r="A5543" s="626" t="s">
        <v>12709</v>
      </c>
      <c r="B5543" s="627" t="s">
        <v>13468</v>
      </c>
      <c r="C5543" s="626" t="s">
        <v>8</v>
      </c>
      <c r="D5543" s="626" t="s">
        <v>7343</v>
      </c>
      <c r="E5543" s="628" t="s">
        <v>35</v>
      </c>
      <c r="F5543" s="816" t="s">
        <v>14635</v>
      </c>
      <c r="G5543" s="816"/>
      <c r="H5543" s="816">
        <v>8.9999999999999993E-3</v>
      </c>
      <c r="I5543" s="816"/>
      <c r="J5543" s="817">
        <v>0.71</v>
      </c>
      <c r="K5543" s="817"/>
      <c r="L5543" s="817"/>
    </row>
    <row r="5544" spans="1:12" ht="24" customHeight="1">
      <c r="A5544" s="626" t="s">
        <v>12709</v>
      </c>
      <c r="B5544" s="627" t="s">
        <v>13531</v>
      </c>
      <c r="C5544" s="626" t="s">
        <v>8</v>
      </c>
      <c r="D5544" s="626" t="s">
        <v>9763</v>
      </c>
      <c r="E5544" s="628" t="s">
        <v>35</v>
      </c>
      <c r="F5544" s="816" t="s">
        <v>13930</v>
      </c>
      <c r="G5544" s="816"/>
      <c r="H5544" s="816">
        <v>1</v>
      </c>
      <c r="I5544" s="816"/>
      <c r="J5544" s="817">
        <v>1.66</v>
      </c>
      <c r="K5544" s="817"/>
      <c r="L5544" s="817"/>
    </row>
    <row r="5545" spans="1:12" ht="17.100000000000001" customHeight="1">
      <c r="A5545" s="636"/>
      <c r="B5545" s="636"/>
      <c r="C5545" s="636"/>
      <c r="D5545" s="636"/>
      <c r="E5545" s="636"/>
      <c r="F5545" s="636"/>
      <c r="G5545" s="636"/>
      <c r="H5545" s="636"/>
      <c r="I5545" s="636"/>
      <c r="J5545" s="636" t="s">
        <v>13675</v>
      </c>
      <c r="K5545" s="636"/>
      <c r="L5545" s="636" t="s">
        <v>14690</v>
      </c>
    </row>
    <row r="5546" spans="1:12">
      <c r="A5546" s="802" t="s">
        <v>12722</v>
      </c>
      <c r="B5546" s="802"/>
      <c r="C5546" s="802"/>
      <c r="D5546" s="802"/>
      <c r="E5546" s="802"/>
      <c r="F5546" s="802"/>
      <c r="G5546" s="802"/>
      <c r="H5546" s="802"/>
      <c r="I5546" s="612"/>
      <c r="J5546" s="612"/>
      <c r="K5546" s="612"/>
      <c r="L5546" s="612"/>
    </row>
    <row r="5547" spans="1:12" ht="17.100000000000001" customHeight="1">
      <c r="A5547" s="612" t="s">
        <v>13679</v>
      </c>
      <c r="B5547" s="636" t="s">
        <v>12698</v>
      </c>
      <c r="C5547" s="612" t="s">
        <v>12699</v>
      </c>
      <c r="D5547" s="612" t="s">
        <v>12700</v>
      </c>
      <c r="E5547" s="637" t="s">
        <v>12702</v>
      </c>
      <c r="F5547" s="801" t="s">
        <v>12704</v>
      </c>
      <c r="G5547" s="801"/>
      <c r="H5547" s="801" t="s">
        <v>13678</v>
      </c>
      <c r="I5547" s="801"/>
      <c r="J5547" s="801" t="s">
        <v>12705</v>
      </c>
      <c r="K5547" s="801"/>
      <c r="L5547" s="801"/>
    </row>
    <row r="5548" spans="1:12" ht="24" customHeight="1">
      <c r="A5548" s="626" t="s">
        <v>12709</v>
      </c>
      <c r="B5548" s="627" t="s">
        <v>12998</v>
      </c>
      <c r="C5548" s="626" t="s">
        <v>8</v>
      </c>
      <c r="D5548" s="626" t="s">
        <v>11861</v>
      </c>
      <c r="E5548" s="628" t="s">
        <v>23</v>
      </c>
      <c r="F5548" s="816" t="s">
        <v>13683</v>
      </c>
      <c r="G5548" s="816"/>
      <c r="H5548" s="816">
        <v>0.21108569999999999</v>
      </c>
      <c r="I5548" s="816"/>
      <c r="J5548" s="817">
        <v>0.14990000000000001</v>
      </c>
      <c r="K5548" s="817"/>
      <c r="L5548" s="817"/>
    </row>
    <row r="5549" spans="1:12" ht="24" customHeight="1">
      <c r="A5549" s="636"/>
      <c r="B5549" s="636"/>
      <c r="C5549" s="636"/>
      <c r="D5549" s="636"/>
      <c r="E5549" s="636"/>
      <c r="F5549" s="636"/>
      <c r="G5549" s="636"/>
      <c r="H5549" s="636"/>
      <c r="I5549" s="636"/>
      <c r="J5549" s="636" t="s">
        <v>13675</v>
      </c>
      <c r="K5549" s="636"/>
      <c r="L5549" s="636" t="s">
        <v>13795</v>
      </c>
    </row>
    <row r="5550" spans="1:12" ht="24" customHeight="1">
      <c r="A5550" s="802" t="s">
        <v>12713</v>
      </c>
      <c r="B5550" s="802"/>
      <c r="C5550" s="802"/>
      <c r="D5550" s="802"/>
      <c r="E5550" s="802"/>
      <c r="F5550" s="802"/>
      <c r="G5550" s="802"/>
      <c r="H5550" s="802"/>
      <c r="I5550" s="612"/>
      <c r="J5550" s="612"/>
      <c r="K5550" s="612"/>
      <c r="L5550" s="612"/>
    </row>
    <row r="5551" spans="1:12" ht="24" customHeight="1">
      <c r="A5551" s="612" t="s">
        <v>13679</v>
      </c>
      <c r="B5551" s="636" t="s">
        <v>12698</v>
      </c>
      <c r="C5551" s="612" t="s">
        <v>12699</v>
      </c>
      <c r="D5551" s="612" t="s">
        <v>12700</v>
      </c>
      <c r="E5551" s="637" t="s">
        <v>12702</v>
      </c>
      <c r="F5551" s="801" t="s">
        <v>12704</v>
      </c>
      <c r="G5551" s="801"/>
      <c r="H5551" s="801" t="s">
        <v>13678</v>
      </c>
      <c r="I5551" s="801"/>
      <c r="J5551" s="801" t="s">
        <v>12705</v>
      </c>
      <c r="K5551" s="801"/>
      <c r="L5551" s="801"/>
    </row>
    <row r="5552" spans="1:12" ht="17.100000000000001" customHeight="1">
      <c r="A5552" s="626" t="s">
        <v>12709</v>
      </c>
      <c r="B5552" s="627" t="s">
        <v>12999</v>
      </c>
      <c r="C5552" s="626" t="s">
        <v>8</v>
      </c>
      <c r="D5552" s="626" t="s">
        <v>11251</v>
      </c>
      <c r="E5552" s="628" t="s">
        <v>23</v>
      </c>
      <c r="F5552" s="816" t="s">
        <v>13681</v>
      </c>
      <c r="G5552" s="816"/>
      <c r="H5552" s="816">
        <v>0.21108569999999999</v>
      </c>
      <c r="I5552" s="816"/>
      <c r="J5552" s="817">
        <v>1.4800000000000001E-2</v>
      </c>
      <c r="K5552" s="817"/>
      <c r="L5552" s="817"/>
    </row>
    <row r="5553" spans="1:12">
      <c r="A5553" s="636"/>
      <c r="B5553" s="636"/>
      <c r="C5553" s="636"/>
      <c r="D5553" s="636"/>
      <c r="E5553" s="636"/>
      <c r="F5553" s="636"/>
      <c r="G5553" s="636"/>
      <c r="H5553" s="636"/>
      <c r="I5553" s="636"/>
      <c r="J5553" s="636" t="s">
        <v>13675</v>
      </c>
      <c r="K5553" s="636"/>
      <c r="L5553" s="636" t="s">
        <v>13728</v>
      </c>
    </row>
    <row r="5554" spans="1:12" ht="17.100000000000001" customHeight="1">
      <c r="A5554" s="802" t="s">
        <v>12712</v>
      </c>
      <c r="B5554" s="802"/>
      <c r="C5554" s="802"/>
      <c r="D5554" s="802"/>
      <c r="E5554" s="802"/>
      <c r="F5554" s="802"/>
      <c r="G5554" s="802"/>
      <c r="H5554" s="802"/>
      <c r="I5554" s="612"/>
      <c r="J5554" s="612"/>
      <c r="K5554" s="612"/>
      <c r="L5554" s="612"/>
    </row>
    <row r="5555" spans="1:12" ht="24" customHeight="1">
      <c r="A5555" s="612" t="s">
        <v>13679</v>
      </c>
      <c r="B5555" s="636" t="s">
        <v>12698</v>
      </c>
      <c r="C5555" s="612" t="s">
        <v>12699</v>
      </c>
      <c r="D5555" s="612" t="s">
        <v>12700</v>
      </c>
      <c r="E5555" s="637" t="s">
        <v>12702</v>
      </c>
      <c r="F5555" s="801" t="s">
        <v>12704</v>
      </c>
      <c r="G5555" s="801"/>
      <c r="H5555" s="801" t="s">
        <v>13678</v>
      </c>
      <c r="I5555" s="801"/>
      <c r="J5555" s="801" t="s">
        <v>12705</v>
      </c>
      <c r="K5555" s="801"/>
      <c r="L5555" s="801"/>
    </row>
    <row r="5556" spans="1:12" ht="17.100000000000001" customHeight="1">
      <c r="A5556" s="626" t="s">
        <v>12709</v>
      </c>
      <c r="B5556" s="627" t="s">
        <v>13002</v>
      </c>
      <c r="C5556" s="626" t="s">
        <v>8</v>
      </c>
      <c r="D5556" s="626" t="s">
        <v>9306</v>
      </c>
      <c r="E5556" s="628" t="s">
        <v>23</v>
      </c>
      <c r="F5556" s="816" t="s">
        <v>13677</v>
      </c>
      <c r="G5556" s="816"/>
      <c r="H5556" s="816">
        <v>0.21108569999999999</v>
      </c>
      <c r="I5556" s="816"/>
      <c r="J5556" s="817">
        <v>7.3899999999999993E-2</v>
      </c>
      <c r="K5556" s="817"/>
      <c r="L5556" s="817"/>
    </row>
    <row r="5557" spans="1:12" ht="25.5">
      <c r="A5557" s="626" t="s">
        <v>12709</v>
      </c>
      <c r="B5557" s="627" t="s">
        <v>13004</v>
      </c>
      <c r="C5557" s="626" t="s">
        <v>8</v>
      </c>
      <c r="D5557" s="626" t="s">
        <v>7388</v>
      </c>
      <c r="E5557" s="628" t="s">
        <v>23</v>
      </c>
      <c r="F5557" s="816" t="s">
        <v>13676</v>
      </c>
      <c r="G5557" s="816"/>
      <c r="H5557" s="816">
        <v>0.21108569999999999</v>
      </c>
      <c r="I5557" s="816"/>
      <c r="J5557" s="817">
        <v>0.46439999999999998</v>
      </c>
      <c r="K5557" s="817"/>
      <c r="L5557" s="817"/>
    </row>
    <row r="5558" spans="1:12" ht="17.100000000000001" customHeight="1">
      <c r="A5558" s="636"/>
      <c r="B5558" s="636"/>
      <c r="C5558" s="636"/>
      <c r="D5558" s="636"/>
      <c r="E5558" s="636"/>
      <c r="F5558" s="636"/>
      <c r="G5558" s="636"/>
      <c r="H5558" s="636"/>
      <c r="I5558" s="636"/>
      <c r="J5558" s="636" t="s">
        <v>13675</v>
      </c>
      <c r="K5558" s="636"/>
      <c r="L5558" s="636" t="s">
        <v>13872</v>
      </c>
    </row>
    <row r="5559" spans="1:12" ht="24" customHeight="1">
      <c r="A5559" s="612" t="s">
        <v>13673</v>
      </c>
      <c r="B5559" s="612"/>
      <c r="C5559" s="612"/>
      <c r="D5559" s="612"/>
      <c r="E5559" s="612"/>
      <c r="F5559" s="612"/>
      <c r="G5559" s="612"/>
      <c r="H5559" s="612"/>
      <c r="I5559" s="612"/>
      <c r="J5559" s="612"/>
      <c r="K5559" s="612"/>
      <c r="L5559" s="612"/>
    </row>
    <row r="5560" spans="1:12" ht="17.100000000000001" customHeight="1">
      <c r="A5560" s="636"/>
      <c r="B5560" s="636"/>
      <c r="C5560" s="636"/>
      <c r="D5560" s="636"/>
      <c r="E5560" s="636"/>
      <c r="F5560" s="636"/>
      <c r="G5560" s="636"/>
      <c r="H5560" s="636"/>
      <c r="I5560" s="636"/>
      <c r="J5560" s="636" t="s">
        <v>13672</v>
      </c>
      <c r="K5560" s="636"/>
      <c r="L5560" s="636" t="s">
        <v>15265</v>
      </c>
    </row>
    <row r="5561" spans="1:12">
      <c r="A5561" s="636"/>
      <c r="B5561" s="636"/>
      <c r="C5561" s="636"/>
      <c r="D5561" s="636"/>
      <c r="E5561" s="636"/>
      <c r="F5561" s="636"/>
      <c r="G5561" s="636"/>
      <c r="H5561" s="636"/>
      <c r="I5561" s="636"/>
      <c r="J5561" s="636" t="s">
        <v>13671</v>
      </c>
      <c r="K5561" s="636" t="s">
        <v>14461</v>
      </c>
      <c r="L5561" s="636" t="s">
        <v>15266</v>
      </c>
    </row>
    <row r="5562" spans="1:12" ht="17.100000000000001" customHeight="1">
      <c r="A5562" s="636"/>
      <c r="B5562" s="636"/>
      <c r="C5562" s="636"/>
      <c r="D5562" s="636"/>
      <c r="E5562" s="636"/>
      <c r="F5562" s="636"/>
      <c r="G5562" s="636"/>
      <c r="H5562" s="636"/>
      <c r="I5562" s="636"/>
      <c r="J5562" s="636" t="s">
        <v>13670</v>
      </c>
      <c r="K5562" s="636"/>
      <c r="L5562" s="636" t="s">
        <v>15267</v>
      </c>
    </row>
    <row r="5563" spans="1:12" ht="24" customHeight="1">
      <c r="A5563" s="636"/>
      <c r="B5563" s="636"/>
      <c r="C5563" s="636"/>
      <c r="D5563" s="636"/>
      <c r="E5563" s="636"/>
      <c r="F5563" s="636"/>
      <c r="G5563" s="636"/>
      <c r="H5563" s="636"/>
      <c r="I5563" s="636"/>
      <c r="J5563" s="636" t="s">
        <v>13669</v>
      </c>
      <c r="K5563" s="636" t="s">
        <v>13667</v>
      </c>
      <c r="L5563" s="636" t="s">
        <v>15268</v>
      </c>
    </row>
    <row r="5564" spans="1:12" ht="24" customHeight="1">
      <c r="A5564" s="636"/>
      <c r="B5564" s="636"/>
      <c r="C5564" s="636"/>
      <c r="D5564" s="636"/>
      <c r="E5564" s="636"/>
      <c r="F5564" s="636"/>
      <c r="G5564" s="636"/>
      <c r="H5564" s="636"/>
      <c r="I5564" s="636"/>
      <c r="J5564" s="636" t="s">
        <v>13668</v>
      </c>
      <c r="K5564" s="636"/>
      <c r="L5564" s="636" t="s">
        <v>15269</v>
      </c>
    </row>
    <row r="5565" spans="1:12" ht="17.100000000000001" customHeight="1">
      <c r="A5565" s="637"/>
      <c r="B5565" s="637"/>
      <c r="C5565" s="637"/>
      <c r="D5565" s="637"/>
      <c r="E5565" s="637"/>
      <c r="F5565" s="637"/>
      <c r="G5565" s="637"/>
      <c r="H5565" s="637"/>
      <c r="I5565" s="637"/>
      <c r="J5565" s="637"/>
      <c r="K5565" s="637"/>
      <c r="L5565" s="637"/>
    </row>
    <row r="5566" spans="1:12" ht="17.100000000000001" customHeight="1">
      <c r="A5566" s="616" t="s">
        <v>14063</v>
      </c>
      <c r="B5566" s="617" t="s">
        <v>13530</v>
      </c>
      <c r="C5566" s="616" t="s">
        <v>8</v>
      </c>
      <c r="D5566" s="616" t="s">
        <v>384</v>
      </c>
      <c r="E5566" s="618" t="s">
        <v>35</v>
      </c>
      <c r="F5566" s="617"/>
      <c r="G5566" s="617"/>
      <c r="H5566" s="617"/>
      <c r="I5566" s="617"/>
      <c r="J5566" s="617"/>
      <c r="K5566" s="617"/>
      <c r="L5566" s="617"/>
    </row>
    <row r="5567" spans="1:12" ht="17.100000000000001" customHeight="1">
      <c r="A5567" s="802" t="s">
        <v>12711</v>
      </c>
      <c r="B5567" s="802"/>
      <c r="C5567" s="802"/>
      <c r="D5567" s="802"/>
      <c r="E5567" s="802"/>
      <c r="F5567" s="802"/>
      <c r="G5567" s="802"/>
      <c r="H5567" s="802"/>
      <c r="I5567" s="612"/>
      <c r="J5567" s="612"/>
      <c r="K5567" s="612"/>
      <c r="L5567" s="612"/>
    </row>
    <row r="5568" spans="1:12" ht="17.100000000000001" customHeight="1">
      <c r="A5568" s="612" t="s">
        <v>13679</v>
      </c>
      <c r="B5568" s="636" t="s">
        <v>12698</v>
      </c>
      <c r="C5568" s="612" t="s">
        <v>12699</v>
      </c>
      <c r="D5568" s="612" t="s">
        <v>12700</v>
      </c>
      <c r="E5568" s="637" t="s">
        <v>12702</v>
      </c>
      <c r="F5568" s="801" t="s">
        <v>12704</v>
      </c>
      <c r="G5568" s="801"/>
      <c r="H5568" s="801" t="s">
        <v>13678</v>
      </c>
      <c r="I5568" s="801"/>
      <c r="J5568" s="801" t="s">
        <v>12705</v>
      </c>
      <c r="K5568" s="801"/>
      <c r="L5568" s="801"/>
    </row>
    <row r="5569" spans="1:12" ht="17.100000000000001" customHeight="1">
      <c r="A5569" s="626" t="s">
        <v>12709</v>
      </c>
      <c r="B5569" s="627" t="s">
        <v>13201</v>
      </c>
      <c r="C5569" s="626" t="s">
        <v>8</v>
      </c>
      <c r="D5569" s="626" t="s">
        <v>9221</v>
      </c>
      <c r="E5569" s="628" t="s">
        <v>23</v>
      </c>
      <c r="F5569" s="816" t="s">
        <v>13705</v>
      </c>
      <c r="G5569" s="816"/>
      <c r="H5569" s="816">
        <v>0.17534939999999999</v>
      </c>
      <c r="I5569" s="816"/>
      <c r="J5569" s="817">
        <v>0.14549999999999999</v>
      </c>
      <c r="K5569" s="817"/>
      <c r="L5569" s="817"/>
    </row>
    <row r="5570" spans="1:12" ht="17.100000000000001" customHeight="1">
      <c r="A5570" s="626" t="s">
        <v>12709</v>
      </c>
      <c r="B5570" s="627" t="s">
        <v>13200</v>
      </c>
      <c r="C5570" s="626" t="s">
        <v>8</v>
      </c>
      <c r="D5570" s="626" t="s">
        <v>9368</v>
      </c>
      <c r="E5570" s="628" t="s">
        <v>23</v>
      </c>
      <c r="F5570" s="816" t="s">
        <v>13704</v>
      </c>
      <c r="G5570" s="816"/>
      <c r="H5570" s="816">
        <v>0.17534939999999999</v>
      </c>
      <c r="I5570" s="816"/>
      <c r="J5570" s="817">
        <v>4.2099999999999999E-2</v>
      </c>
      <c r="K5570" s="817"/>
      <c r="L5570" s="817"/>
    </row>
    <row r="5571" spans="1:12" ht="17.100000000000001" customHeight="1">
      <c r="A5571" s="636"/>
      <c r="B5571" s="636"/>
      <c r="C5571" s="636"/>
      <c r="D5571" s="636"/>
      <c r="E5571" s="636"/>
      <c r="F5571" s="636"/>
      <c r="G5571" s="636"/>
      <c r="H5571" s="636"/>
      <c r="I5571" s="636"/>
      <c r="J5571" s="636" t="s">
        <v>13675</v>
      </c>
      <c r="K5571" s="636"/>
      <c r="L5571" s="636" t="s">
        <v>13865</v>
      </c>
    </row>
    <row r="5572" spans="1:12" ht="30" customHeight="1">
      <c r="A5572" s="802" t="s">
        <v>12710</v>
      </c>
      <c r="B5572" s="802"/>
      <c r="C5572" s="802"/>
      <c r="D5572" s="802"/>
      <c r="E5572" s="802"/>
      <c r="F5572" s="802"/>
      <c r="G5572" s="802"/>
      <c r="H5572" s="802"/>
      <c r="I5572" s="612"/>
      <c r="J5572" s="612"/>
      <c r="K5572" s="612"/>
      <c r="L5572" s="612"/>
    </row>
    <row r="5573" spans="1:12" ht="36" customHeight="1">
      <c r="A5573" s="612" t="s">
        <v>13679</v>
      </c>
      <c r="B5573" s="636" t="s">
        <v>12698</v>
      </c>
      <c r="C5573" s="612" t="s">
        <v>12699</v>
      </c>
      <c r="D5573" s="612" t="s">
        <v>12700</v>
      </c>
      <c r="E5573" s="637" t="s">
        <v>12702</v>
      </c>
      <c r="F5573" s="801" t="s">
        <v>12704</v>
      </c>
      <c r="G5573" s="801"/>
      <c r="H5573" s="801" t="s">
        <v>13678</v>
      </c>
      <c r="I5573" s="801"/>
      <c r="J5573" s="801" t="s">
        <v>12705</v>
      </c>
      <c r="K5573" s="801"/>
      <c r="L5573" s="801"/>
    </row>
    <row r="5574" spans="1:12" ht="14.25" customHeight="1">
      <c r="A5574" s="626" t="s">
        <v>12709</v>
      </c>
      <c r="B5574" s="627" t="s">
        <v>13220</v>
      </c>
      <c r="C5574" s="626" t="s">
        <v>8</v>
      </c>
      <c r="D5574" s="626" t="s">
        <v>7592</v>
      </c>
      <c r="E5574" s="628" t="s">
        <v>23</v>
      </c>
      <c r="F5574" s="816" t="s">
        <v>13890</v>
      </c>
      <c r="G5574" s="816"/>
      <c r="H5574" s="816">
        <v>8.98785E-2</v>
      </c>
      <c r="I5574" s="816"/>
      <c r="J5574" s="817">
        <v>0.45479999999999998</v>
      </c>
      <c r="K5574" s="817"/>
      <c r="L5574" s="817"/>
    </row>
    <row r="5575" spans="1:12" ht="17.100000000000001" customHeight="1">
      <c r="A5575" s="626" t="s">
        <v>12709</v>
      </c>
      <c r="B5575" s="627" t="s">
        <v>13202</v>
      </c>
      <c r="C5575" s="626" t="s">
        <v>8</v>
      </c>
      <c r="D5575" s="626" t="s">
        <v>9187</v>
      </c>
      <c r="E5575" s="628" t="s">
        <v>23</v>
      </c>
      <c r="F5575" s="816" t="s">
        <v>14479</v>
      </c>
      <c r="G5575" s="816"/>
      <c r="H5575" s="816">
        <v>8.98785E-2</v>
      </c>
      <c r="I5575" s="816"/>
      <c r="J5575" s="817">
        <v>0.64259999999999995</v>
      </c>
      <c r="K5575" s="817"/>
      <c r="L5575" s="817"/>
    </row>
    <row r="5576" spans="1:12" ht="24" customHeight="1">
      <c r="A5576" s="636"/>
      <c r="B5576" s="636"/>
      <c r="C5576" s="636"/>
      <c r="D5576" s="636"/>
      <c r="E5576" s="636"/>
      <c r="F5576" s="636"/>
      <c r="G5576" s="636"/>
      <c r="H5576" s="636"/>
      <c r="I5576" s="636"/>
      <c r="J5576" s="636" t="s">
        <v>13675</v>
      </c>
      <c r="K5576" s="636"/>
      <c r="L5576" s="636" t="s">
        <v>14038</v>
      </c>
    </row>
    <row r="5577" spans="1:12" ht="24" customHeight="1">
      <c r="A5577" s="802" t="s">
        <v>12720</v>
      </c>
      <c r="B5577" s="802"/>
      <c r="C5577" s="802"/>
      <c r="D5577" s="802"/>
      <c r="E5577" s="802"/>
      <c r="F5577" s="802"/>
      <c r="G5577" s="802"/>
      <c r="H5577" s="802"/>
      <c r="I5577" s="612"/>
      <c r="J5577" s="612"/>
      <c r="K5577" s="612"/>
      <c r="L5577" s="612"/>
    </row>
    <row r="5578" spans="1:12" ht="17.100000000000001" customHeight="1">
      <c r="A5578" s="612" t="s">
        <v>13679</v>
      </c>
      <c r="B5578" s="636" t="s">
        <v>12698</v>
      </c>
      <c r="C5578" s="612" t="s">
        <v>12699</v>
      </c>
      <c r="D5578" s="612" t="s">
        <v>12700</v>
      </c>
      <c r="E5578" s="637" t="s">
        <v>12702</v>
      </c>
      <c r="F5578" s="801" t="s">
        <v>12704</v>
      </c>
      <c r="G5578" s="801"/>
      <c r="H5578" s="801" t="s">
        <v>13678</v>
      </c>
      <c r="I5578" s="801"/>
      <c r="J5578" s="801" t="s">
        <v>12705</v>
      </c>
      <c r="K5578" s="801"/>
      <c r="L5578" s="801"/>
    </row>
    <row r="5579" spans="1:12" ht="14.25" customHeight="1">
      <c r="A5579" s="626" t="s">
        <v>12709</v>
      </c>
      <c r="B5579" s="627" t="s">
        <v>13467</v>
      </c>
      <c r="C5579" s="626" t="s">
        <v>8</v>
      </c>
      <c r="D5579" s="626" t="s">
        <v>9987</v>
      </c>
      <c r="E5579" s="628" t="s">
        <v>35</v>
      </c>
      <c r="F5579" s="816" t="s">
        <v>13998</v>
      </c>
      <c r="G5579" s="816"/>
      <c r="H5579" s="816">
        <v>0.02</v>
      </c>
      <c r="I5579" s="816"/>
      <c r="J5579" s="817">
        <v>0.03</v>
      </c>
      <c r="K5579" s="817"/>
      <c r="L5579" s="817"/>
    </row>
    <row r="5580" spans="1:12" ht="17.100000000000001" customHeight="1">
      <c r="A5580" s="626" t="s">
        <v>12709</v>
      </c>
      <c r="B5580" s="627" t="s">
        <v>13466</v>
      </c>
      <c r="C5580" s="626" t="s">
        <v>8</v>
      </c>
      <c r="D5580" s="626" t="s">
        <v>11315</v>
      </c>
      <c r="E5580" s="628" t="s">
        <v>35</v>
      </c>
      <c r="F5580" s="816" t="s">
        <v>14636</v>
      </c>
      <c r="G5580" s="816"/>
      <c r="H5580" s="816">
        <v>1.4E-2</v>
      </c>
      <c r="I5580" s="816"/>
      <c r="J5580" s="817">
        <v>0.97</v>
      </c>
      <c r="K5580" s="817"/>
      <c r="L5580" s="817"/>
    </row>
    <row r="5581" spans="1:12" ht="24" customHeight="1">
      <c r="A5581" s="626" t="s">
        <v>12709</v>
      </c>
      <c r="B5581" s="627" t="s">
        <v>13468</v>
      </c>
      <c r="C5581" s="626" t="s">
        <v>8</v>
      </c>
      <c r="D5581" s="626" t="s">
        <v>7343</v>
      </c>
      <c r="E5581" s="628" t="s">
        <v>35</v>
      </c>
      <c r="F5581" s="816" t="s">
        <v>14635</v>
      </c>
      <c r="G5581" s="816"/>
      <c r="H5581" s="816">
        <v>1.2E-2</v>
      </c>
      <c r="I5581" s="816"/>
      <c r="J5581" s="817">
        <v>0.95</v>
      </c>
      <c r="K5581" s="817"/>
      <c r="L5581" s="817"/>
    </row>
    <row r="5582" spans="1:12" ht="24" customHeight="1">
      <c r="A5582" s="626" t="s">
        <v>12709</v>
      </c>
      <c r="B5582" s="627" t="s">
        <v>13529</v>
      </c>
      <c r="C5582" s="626" t="s">
        <v>8</v>
      </c>
      <c r="D5582" s="626" t="s">
        <v>9764</v>
      </c>
      <c r="E5582" s="628" t="s">
        <v>35</v>
      </c>
      <c r="F5582" s="816" t="s">
        <v>14667</v>
      </c>
      <c r="G5582" s="816"/>
      <c r="H5582" s="816">
        <v>1</v>
      </c>
      <c r="I5582" s="816"/>
      <c r="J5582" s="817">
        <v>3.94</v>
      </c>
      <c r="K5582" s="817"/>
      <c r="L5582" s="817"/>
    </row>
    <row r="5583" spans="1:12" ht="17.100000000000001" customHeight="1">
      <c r="A5583" s="636"/>
      <c r="B5583" s="636"/>
      <c r="C5583" s="636"/>
      <c r="D5583" s="636"/>
      <c r="E5583" s="636"/>
      <c r="F5583" s="636"/>
      <c r="G5583" s="636"/>
      <c r="H5583" s="636"/>
      <c r="I5583" s="636"/>
      <c r="J5583" s="636" t="s">
        <v>13675</v>
      </c>
      <c r="K5583" s="636"/>
      <c r="L5583" s="636" t="s">
        <v>14666</v>
      </c>
    </row>
    <row r="5584" spans="1:12">
      <c r="A5584" s="802" t="s">
        <v>12722</v>
      </c>
      <c r="B5584" s="802"/>
      <c r="C5584" s="802"/>
      <c r="D5584" s="802"/>
      <c r="E5584" s="802"/>
      <c r="F5584" s="802"/>
      <c r="G5584" s="802"/>
      <c r="H5584" s="802"/>
      <c r="I5584" s="612"/>
      <c r="J5584" s="612"/>
      <c r="K5584" s="612"/>
      <c r="L5584" s="612"/>
    </row>
    <row r="5585" spans="1:12" ht="17.100000000000001" customHeight="1">
      <c r="A5585" s="612" t="s">
        <v>13679</v>
      </c>
      <c r="B5585" s="636" t="s">
        <v>12698</v>
      </c>
      <c r="C5585" s="612" t="s">
        <v>12699</v>
      </c>
      <c r="D5585" s="612" t="s">
        <v>12700</v>
      </c>
      <c r="E5585" s="637" t="s">
        <v>12702</v>
      </c>
      <c r="F5585" s="801" t="s">
        <v>12704</v>
      </c>
      <c r="G5585" s="801"/>
      <c r="H5585" s="801" t="s">
        <v>13678</v>
      </c>
      <c r="I5585" s="801"/>
      <c r="J5585" s="801" t="s">
        <v>12705</v>
      </c>
      <c r="K5585" s="801"/>
      <c r="L5585" s="801"/>
    </row>
    <row r="5586" spans="1:12" ht="24" customHeight="1">
      <c r="A5586" s="626" t="s">
        <v>12709</v>
      </c>
      <c r="B5586" s="627" t="s">
        <v>12998</v>
      </c>
      <c r="C5586" s="626" t="s">
        <v>8</v>
      </c>
      <c r="D5586" s="626" t="s">
        <v>11861</v>
      </c>
      <c r="E5586" s="628" t="s">
        <v>23</v>
      </c>
      <c r="F5586" s="816" t="s">
        <v>13683</v>
      </c>
      <c r="G5586" s="816"/>
      <c r="H5586" s="816">
        <v>0.17534939999999999</v>
      </c>
      <c r="I5586" s="816"/>
      <c r="J5586" s="817">
        <v>0.1245</v>
      </c>
      <c r="K5586" s="817"/>
      <c r="L5586" s="817"/>
    </row>
    <row r="5587" spans="1:12" ht="24" customHeight="1">
      <c r="A5587" s="636"/>
      <c r="B5587" s="636"/>
      <c r="C5587" s="636"/>
      <c r="D5587" s="636"/>
      <c r="E5587" s="636"/>
      <c r="F5587" s="636"/>
      <c r="G5587" s="636"/>
      <c r="H5587" s="636"/>
      <c r="I5587" s="636"/>
      <c r="J5587" s="636" t="s">
        <v>13675</v>
      </c>
      <c r="K5587" s="636"/>
      <c r="L5587" s="636" t="s">
        <v>13751</v>
      </c>
    </row>
    <row r="5588" spans="1:12" ht="24" customHeight="1">
      <c r="A5588" s="802" t="s">
        <v>12713</v>
      </c>
      <c r="B5588" s="802"/>
      <c r="C5588" s="802"/>
      <c r="D5588" s="802"/>
      <c r="E5588" s="802"/>
      <c r="F5588" s="802"/>
      <c r="G5588" s="802"/>
      <c r="H5588" s="802"/>
      <c r="I5588" s="612"/>
      <c r="J5588" s="612"/>
      <c r="K5588" s="612"/>
      <c r="L5588" s="612"/>
    </row>
    <row r="5589" spans="1:12" ht="24" customHeight="1">
      <c r="A5589" s="612" t="s">
        <v>13679</v>
      </c>
      <c r="B5589" s="636" t="s">
        <v>12698</v>
      </c>
      <c r="C5589" s="612" t="s">
        <v>12699</v>
      </c>
      <c r="D5589" s="612" t="s">
        <v>12700</v>
      </c>
      <c r="E5589" s="637" t="s">
        <v>12702</v>
      </c>
      <c r="F5589" s="801" t="s">
        <v>12704</v>
      </c>
      <c r="G5589" s="801"/>
      <c r="H5589" s="801" t="s">
        <v>13678</v>
      </c>
      <c r="I5589" s="801"/>
      <c r="J5589" s="801" t="s">
        <v>12705</v>
      </c>
      <c r="K5589" s="801"/>
      <c r="L5589" s="801"/>
    </row>
    <row r="5590" spans="1:12" ht="17.100000000000001" customHeight="1">
      <c r="A5590" s="626" t="s">
        <v>12709</v>
      </c>
      <c r="B5590" s="627" t="s">
        <v>12999</v>
      </c>
      <c r="C5590" s="626" t="s">
        <v>8</v>
      </c>
      <c r="D5590" s="626" t="s">
        <v>11251</v>
      </c>
      <c r="E5590" s="628" t="s">
        <v>23</v>
      </c>
      <c r="F5590" s="816" t="s">
        <v>13681</v>
      </c>
      <c r="G5590" s="816"/>
      <c r="H5590" s="816">
        <v>0.17534939999999999</v>
      </c>
      <c r="I5590" s="816"/>
      <c r="J5590" s="817">
        <v>1.23E-2</v>
      </c>
      <c r="K5590" s="817"/>
      <c r="L5590" s="817"/>
    </row>
    <row r="5591" spans="1:12">
      <c r="A5591" s="636"/>
      <c r="B5591" s="636"/>
      <c r="C5591" s="636"/>
      <c r="D5591" s="636"/>
      <c r="E5591" s="636"/>
      <c r="F5591" s="636"/>
      <c r="G5591" s="636"/>
      <c r="H5591" s="636"/>
      <c r="I5591" s="636"/>
      <c r="J5591" s="636" t="s">
        <v>13675</v>
      </c>
      <c r="K5591" s="636"/>
      <c r="L5591" s="636" t="s">
        <v>13728</v>
      </c>
    </row>
    <row r="5592" spans="1:12" ht="17.100000000000001" customHeight="1">
      <c r="A5592" s="802" t="s">
        <v>12712</v>
      </c>
      <c r="B5592" s="802"/>
      <c r="C5592" s="802"/>
      <c r="D5592" s="802"/>
      <c r="E5592" s="802"/>
      <c r="F5592" s="802"/>
      <c r="G5592" s="802"/>
      <c r="H5592" s="802"/>
      <c r="I5592" s="612"/>
      <c r="J5592" s="612"/>
      <c r="K5592" s="612"/>
      <c r="L5592" s="612"/>
    </row>
    <row r="5593" spans="1:12" ht="24" customHeight="1">
      <c r="A5593" s="612" t="s">
        <v>13679</v>
      </c>
      <c r="B5593" s="636" t="s">
        <v>12698</v>
      </c>
      <c r="C5593" s="612" t="s">
        <v>12699</v>
      </c>
      <c r="D5593" s="612" t="s">
        <v>12700</v>
      </c>
      <c r="E5593" s="637" t="s">
        <v>12702</v>
      </c>
      <c r="F5593" s="801" t="s">
        <v>12704</v>
      </c>
      <c r="G5593" s="801"/>
      <c r="H5593" s="801" t="s">
        <v>13678</v>
      </c>
      <c r="I5593" s="801"/>
      <c r="J5593" s="801" t="s">
        <v>12705</v>
      </c>
      <c r="K5593" s="801"/>
      <c r="L5593" s="801"/>
    </row>
    <row r="5594" spans="1:12" ht="17.100000000000001" customHeight="1">
      <c r="A5594" s="626" t="s">
        <v>12709</v>
      </c>
      <c r="B5594" s="627" t="s">
        <v>13002</v>
      </c>
      <c r="C5594" s="626" t="s">
        <v>8</v>
      </c>
      <c r="D5594" s="626" t="s">
        <v>9306</v>
      </c>
      <c r="E5594" s="628" t="s">
        <v>23</v>
      </c>
      <c r="F5594" s="816" t="s">
        <v>13677</v>
      </c>
      <c r="G5594" s="816"/>
      <c r="H5594" s="816">
        <v>0.17534939999999999</v>
      </c>
      <c r="I5594" s="816"/>
      <c r="J5594" s="817">
        <v>6.1400000000000003E-2</v>
      </c>
      <c r="K5594" s="817"/>
      <c r="L5594" s="817"/>
    </row>
    <row r="5595" spans="1:12" ht="25.5">
      <c r="A5595" s="626" t="s">
        <v>12709</v>
      </c>
      <c r="B5595" s="627" t="s">
        <v>13004</v>
      </c>
      <c r="C5595" s="626" t="s">
        <v>8</v>
      </c>
      <c r="D5595" s="626" t="s">
        <v>7388</v>
      </c>
      <c r="E5595" s="628" t="s">
        <v>23</v>
      </c>
      <c r="F5595" s="816" t="s">
        <v>13676</v>
      </c>
      <c r="G5595" s="816"/>
      <c r="H5595" s="816">
        <v>0.17534939999999999</v>
      </c>
      <c r="I5595" s="816"/>
      <c r="J5595" s="817">
        <v>0.38579999999999998</v>
      </c>
      <c r="K5595" s="817"/>
      <c r="L5595" s="817"/>
    </row>
    <row r="5596" spans="1:12" ht="17.100000000000001" customHeight="1">
      <c r="A5596" s="636"/>
      <c r="B5596" s="636"/>
      <c r="C5596" s="636"/>
      <c r="D5596" s="636"/>
      <c r="E5596" s="636"/>
      <c r="F5596" s="636"/>
      <c r="G5596" s="636"/>
      <c r="H5596" s="636"/>
      <c r="I5596" s="636"/>
      <c r="J5596" s="636" t="s">
        <v>13675</v>
      </c>
      <c r="K5596" s="636"/>
      <c r="L5596" s="636" t="s">
        <v>14034</v>
      </c>
    </row>
    <row r="5597" spans="1:12" ht="24" customHeight="1">
      <c r="A5597" s="612" t="s">
        <v>13673</v>
      </c>
      <c r="B5597" s="612"/>
      <c r="C5597" s="612"/>
      <c r="D5597" s="612"/>
      <c r="E5597" s="612"/>
      <c r="F5597" s="612"/>
      <c r="G5597" s="612"/>
      <c r="H5597" s="612"/>
      <c r="I5597" s="612"/>
      <c r="J5597" s="612"/>
      <c r="K5597" s="612"/>
      <c r="L5597" s="612"/>
    </row>
    <row r="5598" spans="1:12" ht="17.100000000000001" customHeight="1">
      <c r="A5598" s="636"/>
      <c r="B5598" s="636"/>
      <c r="C5598" s="636"/>
      <c r="D5598" s="636"/>
      <c r="E5598" s="636"/>
      <c r="F5598" s="636"/>
      <c r="G5598" s="636"/>
      <c r="H5598" s="636"/>
      <c r="I5598" s="636"/>
      <c r="J5598" s="636" t="s">
        <v>13672</v>
      </c>
      <c r="K5598" s="636"/>
      <c r="L5598" s="636" t="s">
        <v>15270</v>
      </c>
    </row>
    <row r="5599" spans="1:12">
      <c r="A5599" s="636"/>
      <c r="B5599" s="636"/>
      <c r="C5599" s="636"/>
      <c r="D5599" s="636"/>
      <c r="E5599" s="636"/>
      <c r="F5599" s="636"/>
      <c r="G5599" s="636"/>
      <c r="H5599" s="636"/>
      <c r="I5599" s="636"/>
      <c r="J5599" s="636" t="s">
        <v>13671</v>
      </c>
      <c r="K5599" s="636" t="s">
        <v>14461</v>
      </c>
      <c r="L5599" s="636" t="s">
        <v>15271</v>
      </c>
    </row>
    <row r="5600" spans="1:12" ht="17.100000000000001" customHeight="1">
      <c r="A5600" s="636"/>
      <c r="B5600" s="636"/>
      <c r="C5600" s="636"/>
      <c r="D5600" s="636"/>
      <c r="E5600" s="636"/>
      <c r="F5600" s="636"/>
      <c r="G5600" s="636"/>
      <c r="H5600" s="636"/>
      <c r="I5600" s="636"/>
      <c r="J5600" s="636" t="s">
        <v>13670</v>
      </c>
      <c r="K5600" s="636"/>
      <c r="L5600" s="636" t="s">
        <v>15272</v>
      </c>
    </row>
    <row r="5601" spans="1:12" ht="24" customHeight="1">
      <c r="A5601" s="636"/>
      <c r="B5601" s="636"/>
      <c r="C5601" s="636"/>
      <c r="D5601" s="636"/>
      <c r="E5601" s="636"/>
      <c r="F5601" s="636"/>
      <c r="G5601" s="636"/>
      <c r="H5601" s="636"/>
      <c r="I5601" s="636"/>
      <c r="J5601" s="636" t="s">
        <v>13669</v>
      </c>
      <c r="K5601" s="636" t="s">
        <v>13667</v>
      </c>
      <c r="L5601" s="636" t="s">
        <v>15273</v>
      </c>
    </row>
    <row r="5602" spans="1:12" ht="24" customHeight="1">
      <c r="A5602" s="636"/>
      <c r="B5602" s="636"/>
      <c r="C5602" s="636"/>
      <c r="D5602" s="636"/>
      <c r="E5602" s="636"/>
      <c r="F5602" s="636"/>
      <c r="G5602" s="636"/>
      <c r="H5602" s="636"/>
      <c r="I5602" s="636"/>
      <c r="J5602" s="636" t="s">
        <v>13668</v>
      </c>
      <c r="K5602" s="636"/>
      <c r="L5602" s="636" t="s">
        <v>15274</v>
      </c>
    </row>
    <row r="5603" spans="1:12" ht="17.100000000000001" customHeight="1">
      <c r="A5603" s="637"/>
      <c r="B5603" s="637"/>
      <c r="C5603" s="637"/>
      <c r="D5603" s="637"/>
      <c r="E5603" s="637"/>
      <c r="F5603" s="637"/>
      <c r="G5603" s="637"/>
      <c r="H5603" s="637"/>
      <c r="I5603" s="637"/>
      <c r="J5603" s="637"/>
      <c r="K5603" s="637"/>
      <c r="L5603" s="637"/>
    </row>
    <row r="5604" spans="1:12" ht="17.100000000000001" customHeight="1">
      <c r="A5604" s="616" t="s">
        <v>14062</v>
      </c>
      <c r="B5604" s="617" t="s">
        <v>13528</v>
      </c>
      <c r="C5604" s="616" t="s">
        <v>8</v>
      </c>
      <c r="D5604" s="616" t="s">
        <v>388</v>
      </c>
      <c r="E5604" s="618" t="s">
        <v>35</v>
      </c>
      <c r="F5604" s="617"/>
      <c r="G5604" s="617"/>
      <c r="H5604" s="617"/>
      <c r="I5604" s="617"/>
      <c r="J5604" s="617"/>
      <c r="K5604" s="617"/>
      <c r="L5604" s="617"/>
    </row>
    <row r="5605" spans="1:12" ht="17.100000000000001" customHeight="1">
      <c r="A5605" s="802" t="s">
        <v>12711</v>
      </c>
      <c r="B5605" s="802"/>
      <c r="C5605" s="802"/>
      <c r="D5605" s="802"/>
      <c r="E5605" s="802"/>
      <c r="F5605" s="802"/>
      <c r="G5605" s="802"/>
      <c r="H5605" s="802"/>
      <c r="I5605" s="612"/>
      <c r="J5605" s="612"/>
      <c r="K5605" s="612"/>
      <c r="L5605" s="612"/>
    </row>
    <row r="5606" spans="1:12" ht="17.100000000000001" customHeight="1">
      <c r="A5606" s="612" t="s">
        <v>13679</v>
      </c>
      <c r="B5606" s="636" t="s">
        <v>12698</v>
      </c>
      <c r="C5606" s="612" t="s">
        <v>12699</v>
      </c>
      <c r="D5606" s="612" t="s">
        <v>12700</v>
      </c>
      <c r="E5606" s="637" t="s">
        <v>12702</v>
      </c>
      <c r="F5606" s="801" t="s">
        <v>12704</v>
      </c>
      <c r="G5606" s="801"/>
      <c r="H5606" s="801" t="s">
        <v>13678</v>
      </c>
      <c r="I5606" s="801"/>
      <c r="J5606" s="801" t="s">
        <v>12705</v>
      </c>
      <c r="K5606" s="801"/>
      <c r="L5606" s="801"/>
    </row>
    <row r="5607" spans="1:12" ht="17.100000000000001" customHeight="1">
      <c r="A5607" s="626" t="s">
        <v>12709</v>
      </c>
      <c r="B5607" s="627" t="s">
        <v>13201</v>
      </c>
      <c r="C5607" s="626" t="s">
        <v>8</v>
      </c>
      <c r="D5607" s="626" t="s">
        <v>9221</v>
      </c>
      <c r="E5607" s="628" t="s">
        <v>23</v>
      </c>
      <c r="F5607" s="816" t="s">
        <v>13705</v>
      </c>
      <c r="G5607" s="816"/>
      <c r="H5607" s="816">
        <v>0.21293580000000001</v>
      </c>
      <c r="I5607" s="816"/>
      <c r="J5607" s="817">
        <v>0.1767</v>
      </c>
      <c r="K5607" s="817"/>
      <c r="L5607" s="817"/>
    </row>
    <row r="5608" spans="1:12" ht="17.100000000000001" customHeight="1">
      <c r="A5608" s="626" t="s">
        <v>12709</v>
      </c>
      <c r="B5608" s="627" t="s">
        <v>13200</v>
      </c>
      <c r="C5608" s="626" t="s">
        <v>8</v>
      </c>
      <c r="D5608" s="626" t="s">
        <v>9368</v>
      </c>
      <c r="E5608" s="628" t="s">
        <v>23</v>
      </c>
      <c r="F5608" s="816" t="s">
        <v>13704</v>
      </c>
      <c r="G5608" s="816"/>
      <c r="H5608" s="816">
        <v>0.21293580000000001</v>
      </c>
      <c r="I5608" s="816"/>
      <c r="J5608" s="817">
        <v>5.11E-2</v>
      </c>
      <c r="K5608" s="817"/>
      <c r="L5608" s="817"/>
    </row>
    <row r="5609" spans="1:12" ht="17.100000000000001" customHeight="1">
      <c r="A5609" s="636"/>
      <c r="B5609" s="636"/>
      <c r="C5609" s="636"/>
      <c r="D5609" s="636"/>
      <c r="E5609" s="636"/>
      <c r="F5609" s="636"/>
      <c r="G5609" s="636"/>
      <c r="H5609" s="636"/>
      <c r="I5609" s="636"/>
      <c r="J5609" s="636" t="s">
        <v>13675</v>
      </c>
      <c r="K5609" s="636"/>
      <c r="L5609" s="636" t="s">
        <v>13788</v>
      </c>
    </row>
    <row r="5610" spans="1:12" ht="30" customHeight="1">
      <c r="A5610" s="802" t="s">
        <v>12710</v>
      </c>
      <c r="B5610" s="802"/>
      <c r="C5610" s="802"/>
      <c r="D5610" s="802"/>
      <c r="E5610" s="802"/>
      <c r="F5610" s="802"/>
      <c r="G5610" s="802"/>
      <c r="H5610" s="802"/>
      <c r="I5610" s="612"/>
      <c r="J5610" s="612"/>
      <c r="K5610" s="612"/>
      <c r="L5610" s="612"/>
    </row>
    <row r="5611" spans="1:12" ht="36" customHeight="1">
      <c r="A5611" s="612" t="s">
        <v>13679</v>
      </c>
      <c r="B5611" s="636" t="s">
        <v>12698</v>
      </c>
      <c r="C5611" s="612" t="s">
        <v>12699</v>
      </c>
      <c r="D5611" s="612" t="s">
        <v>12700</v>
      </c>
      <c r="E5611" s="637" t="s">
        <v>12702</v>
      </c>
      <c r="F5611" s="801" t="s">
        <v>12704</v>
      </c>
      <c r="G5611" s="801"/>
      <c r="H5611" s="801" t="s">
        <v>13678</v>
      </c>
      <c r="I5611" s="801"/>
      <c r="J5611" s="801" t="s">
        <v>12705</v>
      </c>
      <c r="K5611" s="801"/>
      <c r="L5611" s="801"/>
    </row>
    <row r="5612" spans="1:12" ht="14.25" customHeight="1">
      <c r="A5612" s="626" t="s">
        <v>12709</v>
      </c>
      <c r="B5612" s="627" t="s">
        <v>13220</v>
      </c>
      <c r="C5612" s="626" t="s">
        <v>8</v>
      </c>
      <c r="D5612" s="626" t="s">
        <v>7592</v>
      </c>
      <c r="E5612" s="628" t="s">
        <v>23</v>
      </c>
      <c r="F5612" s="816" t="s">
        <v>13890</v>
      </c>
      <c r="G5612" s="816"/>
      <c r="H5612" s="816">
        <v>0.10891670000000001</v>
      </c>
      <c r="I5612" s="816"/>
      <c r="J5612" s="817">
        <v>0.55110000000000003</v>
      </c>
      <c r="K5612" s="817"/>
      <c r="L5612" s="817"/>
    </row>
    <row r="5613" spans="1:12" ht="17.100000000000001" customHeight="1">
      <c r="A5613" s="626" t="s">
        <v>12709</v>
      </c>
      <c r="B5613" s="627" t="s">
        <v>13202</v>
      </c>
      <c r="C5613" s="626" t="s">
        <v>8</v>
      </c>
      <c r="D5613" s="626" t="s">
        <v>9187</v>
      </c>
      <c r="E5613" s="628" t="s">
        <v>23</v>
      </c>
      <c r="F5613" s="816" t="s">
        <v>14479</v>
      </c>
      <c r="G5613" s="816"/>
      <c r="H5613" s="816">
        <v>0.10891670000000001</v>
      </c>
      <c r="I5613" s="816"/>
      <c r="J5613" s="817">
        <v>0.77880000000000005</v>
      </c>
      <c r="K5613" s="817"/>
      <c r="L5613" s="817"/>
    </row>
    <row r="5614" spans="1:12" ht="24" customHeight="1">
      <c r="A5614" s="636"/>
      <c r="B5614" s="636"/>
      <c r="C5614" s="636"/>
      <c r="D5614" s="636"/>
      <c r="E5614" s="636"/>
      <c r="F5614" s="636"/>
      <c r="G5614" s="636"/>
      <c r="H5614" s="636"/>
      <c r="I5614" s="636"/>
      <c r="J5614" s="636" t="s">
        <v>13675</v>
      </c>
      <c r="K5614" s="636"/>
      <c r="L5614" s="636" t="s">
        <v>13805</v>
      </c>
    </row>
    <row r="5615" spans="1:12" ht="24" customHeight="1">
      <c r="A5615" s="802" t="s">
        <v>12720</v>
      </c>
      <c r="B5615" s="802"/>
      <c r="C5615" s="802"/>
      <c r="D5615" s="802"/>
      <c r="E5615" s="802"/>
      <c r="F5615" s="802"/>
      <c r="G5615" s="802"/>
      <c r="H5615" s="802"/>
      <c r="I5615" s="612"/>
      <c r="J5615" s="612"/>
      <c r="K5615" s="612"/>
      <c r="L5615" s="612"/>
    </row>
    <row r="5616" spans="1:12" ht="17.100000000000001" customHeight="1">
      <c r="A5616" s="612" t="s">
        <v>13679</v>
      </c>
      <c r="B5616" s="636" t="s">
        <v>12698</v>
      </c>
      <c r="C5616" s="612" t="s">
        <v>12699</v>
      </c>
      <c r="D5616" s="612" t="s">
        <v>12700</v>
      </c>
      <c r="E5616" s="637" t="s">
        <v>12702</v>
      </c>
      <c r="F5616" s="801" t="s">
        <v>12704</v>
      </c>
      <c r="G5616" s="801"/>
      <c r="H5616" s="801" t="s">
        <v>13678</v>
      </c>
      <c r="I5616" s="801"/>
      <c r="J5616" s="801" t="s">
        <v>12705</v>
      </c>
      <c r="K5616" s="801"/>
      <c r="L5616" s="801"/>
    </row>
    <row r="5617" spans="1:12" ht="14.25" customHeight="1">
      <c r="A5617" s="626" t="s">
        <v>12709</v>
      </c>
      <c r="B5617" s="627" t="s">
        <v>13467</v>
      </c>
      <c r="C5617" s="626" t="s">
        <v>8</v>
      </c>
      <c r="D5617" s="626" t="s">
        <v>9987</v>
      </c>
      <c r="E5617" s="628" t="s">
        <v>35</v>
      </c>
      <c r="F5617" s="816" t="s">
        <v>13998</v>
      </c>
      <c r="G5617" s="816"/>
      <c r="H5617" s="816">
        <v>2.4E-2</v>
      </c>
      <c r="I5617" s="816"/>
      <c r="J5617" s="817">
        <v>0.04</v>
      </c>
      <c r="K5617" s="817"/>
      <c r="L5617" s="817"/>
    </row>
    <row r="5618" spans="1:12" ht="17.100000000000001" customHeight="1">
      <c r="A5618" s="626" t="s">
        <v>12709</v>
      </c>
      <c r="B5618" s="627" t="s">
        <v>13466</v>
      </c>
      <c r="C5618" s="626" t="s">
        <v>8</v>
      </c>
      <c r="D5618" s="626" t="s">
        <v>11315</v>
      </c>
      <c r="E5618" s="628" t="s">
        <v>35</v>
      </c>
      <c r="F5618" s="816" t="s">
        <v>14636</v>
      </c>
      <c r="G5618" s="816"/>
      <c r="H5618" s="816">
        <v>2.1999999999999999E-2</v>
      </c>
      <c r="I5618" s="816"/>
      <c r="J5618" s="817">
        <v>1.52</v>
      </c>
      <c r="K5618" s="817"/>
      <c r="L5618" s="817"/>
    </row>
    <row r="5619" spans="1:12" ht="24" customHeight="1">
      <c r="A5619" s="626" t="s">
        <v>12709</v>
      </c>
      <c r="B5619" s="627" t="s">
        <v>13468</v>
      </c>
      <c r="C5619" s="626" t="s">
        <v>8</v>
      </c>
      <c r="D5619" s="626" t="s">
        <v>7343</v>
      </c>
      <c r="E5619" s="628" t="s">
        <v>35</v>
      </c>
      <c r="F5619" s="816" t="s">
        <v>14635</v>
      </c>
      <c r="G5619" s="816"/>
      <c r="H5619" s="816">
        <v>1.7999999999999999E-2</v>
      </c>
      <c r="I5619" s="816"/>
      <c r="J5619" s="817">
        <v>1.43</v>
      </c>
      <c r="K5619" s="817"/>
      <c r="L5619" s="817"/>
    </row>
    <row r="5620" spans="1:12" ht="24" customHeight="1">
      <c r="A5620" s="626" t="s">
        <v>12709</v>
      </c>
      <c r="B5620" s="627" t="s">
        <v>13527</v>
      </c>
      <c r="C5620" s="626" t="s">
        <v>8</v>
      </c>
      <c r="D5620" s="626" t="s">
        <v>9765</v>
      </c>
      <c r="E5620" s="628" t="s">
        <v>35</v>
      </c>
      <c r="F5620" s="816" t="s">
        <v>13838</v>
      </c>
      <c r="G5620" s="816"/>
      <c r="H5620" s="816">
        <v>1</v>
      </c>
      <c r="I5620" s="816"/>
      <c r="J5620" s="817">
        <v>4.26</v>
      </c>
      <c r="K5620" s="817"/>
      <c r="L5620" s="817"/>
    </row>
    <row r="5621" spans="1:12" ht="17.100000000000001" customHeight="1">
      <c r="A5621" s="636"/>
      <c r="B5621" s="636"/>
      <c r="C5621" s="636"/>
      <c r="D5621" s="636"/>
      <c r="E5621" s="636"/>
      <c r="F5621" s="636"/>
      <c r="G5621" s="636"/>
      <c r="H5621" s="636"/>
      <c r="I5621" s="636"/>
      <c r="J5621" s="636" t="s">
        <v>13675</v>
      </c>
      <c r="K5621" s="636"/>
      <c r="L5621" s="636" t="s">
        <v>14689</v>
      </c>
    </row>
    <row r="5622" spans="1:12">
      <c r="A5622" s="802" t="s">
        <v>12722</v>
      </c>
      <c r="B5622" s="802"/>
      <c r="C5622" s="802"/>
      <c r="D5622" s="802"/>
      <c r="E5622" s="802"/>
      <c r="F5622" s="802"/>
      <c r="G5622" s="802"/>
      <c r="H5622" s="802"/>
      <c r="I5622" s="612"/>
      <c r="J5622" s="612"/>
      <c r="K5622" s="612"/>
      <c r="L5622" s="612"/>
    </row>
    <row r="5623" spans="1:12" ht="17.100000000000001" customHeight="1">
      <c r="A5623" s="612" t="s">
        <v>13679</v>
      </c>
      <c r="B5623" s="636" t="s">
        <v>12698</v>
      </c>
      <c r="C5623" s="612" t="s">
        <v>12699</v>
      </c>
      <c r="D5623" s="612" t="s">
        <v>12700</v>
      </c>
      <c r="E5623" s="637" t="s">
        <v>12702</v>
      </c>
      <c r="F5623" s="801" t="s">
        <v>12704</v>
      </c>
      <c r="G5623" s="801"/>
      <c r="H5623" s="801" t="s">
        <v>13678</v>
      </c>
      <c r="I5623" s="801"/>
      <c r="J5623" s="801" t="s">
        <v>12705</v>
      </c>
      <c r="K5623" s="801"/>
      <c r="L5623" s="801"/>
    </row>
    <row r="5624" spans="1:12" ht="24" customHeight="1">
      <c r="A5624" s="626" t="s">
        <v>12709</v>
      </c>
      <c r="B5624" s="627" t="s">
        <v>12998</v>
      </c>
      <c r="C5624" s="626" t="s">
        <v>8</v>
      </c>
      <c r="D5624" s="626" t="s">
        <v>11861</v>
      </c>
      <c r="E5624" s="628" t="s">
        <v>23</v>
      </c>
      <c r="F5624" s="816" t="s">
        <v>13683</v>
      </c>
      <c r="G5624" s="816"/>
      <c r="H5624" s="816">
        <v>0.21293580000000001</v>
      </c>
      <c r="I5624" s="816"/>
      <c r="J5624" s="817">
        <v>0.1512</v>
      </c>
      <c r="K5624" s="817"/>
      <c r="L5624" s="817"/>
    </row>
    <row r="5625" spans="1:12" ht="24" customHeight="1">
      <c r="A5625" s="636"/>
      <c r="B5625" s="636"/>
      <c r="C5625" s="636"/>
      <c r="D5625" s="636"/>
      <c r="E5625" s="636"/>
      <c r="F5625" s="636"/>
      <c r="G5625" s="636"/>
      <c r="H5625" s="636"/>
      <c r="I5625" s="636"/>
      <c r="J5625" s="636" t="s">
        <v>13675</v>
      </c>
      <c r="K5625" s="636"/>
      <c r="L5625" s="636" t="s">
        <v>13795</v>
      </c>
    </row>
    <row r="5626" spans="1:12" ht="24" customHeight="1">
      <c r="A5626" s="802" t="s">
        <v>12713</v>
      </c>
      <c r="B5626" s="802"/>
      <c r="C5626" s="802"/>
      <c r="D5626" s="802"/>
      <c r="E5626" s="802"/>
      <c r="F5626" s="802"/>
      <c r="G5626" s="802"/>
      <c r="H5626" s="802"/>
      <c r="I5626" s="612"/>
      <c r="J5626" s="612"/>
      <c r="K5626" s="612"/>
      <c r="L5626" s="612"/>
    </row>
    <row r="5627" spans="1:12" ht="24" customHeight="1">
      <c r="A5627" s="612" t="s">
        <v>13679</v>
      </c>
      <c r="B5627" s="636" t="s">
        <v>12698</v>
      </c>
      <c r="C5627" s="612" t="s">
        <v>12699</v>
      </c>
      <c r="D5627" s="612" t="s">
        <v>12700</v>
      </c>
      <c r="E5627" s="637" t="s">
        <v>12702</v>
      </c>
      <c r="F5627" s="801" t="s">
        <v>12704</v>
      </c>
      <c r="G5627" s="801"/>
      <c r="H5627" s="801" t="s">
        <v>13678</v>
      </c>
      <c r="I5627" s="801"/>
      <c r="J5627" s="801" t="s">
        <v>12705</v>
      </c>
      <c r="K5627" s="801"/>
      <c r="L5627" s="801"/>
    </row>
    <row r="5628" spans="1:12" ht="17.100000000000001" customHeight="1">
      <c r="A5628" s="626" t="s">
        <v>12709</v>
      </c>
      <c r="B5628" s="627" t="s">
        <v>12999</v>
      </c>
      <c r="C5628" s="626" t="s">
        <v>8</v>
      </c>
      <c r="D5628" s="626" t="s">
        <v>11251</v>
      </c>
      <c r="E5628" s="628" t="s">
        <v>23</v>
      </c>
      <c r="F5628" s="816" t="s">
        <v>13681</v>
      </c>
      <c r="G5628" s="816"/>
      <c r="H5628" s="816">
        <v>0.21293580000000001</v>
      </c>
      <c r="I5628" s="816"/>
      <c r="J5628" s="817">
        <v>1.49E-2</v>
      </c>
      <c r="K5628" s="817"/>
      <c r="L5628" s="817"/>
    </row>
    <row r="5629" spans="1:12">
      <c r="A5629" s="636"/>
      <c r="B5629" s="636"/>
      <c r="C5629" s="636"/>
      <c r="D5629" s="636"/>
      <c r="E5629" s="636"/>
      <c r="F5629" s="636"/>
      <c r="G5629" s="636"/>
      <c r="H5629" s="636"/>
      <c r="I5629" s="636"/>
      <c r="J5629" s="636" t="s">
        <v>13675</v>
      </c>
      <c r="K5629" s="636"/>
      <c r="L5629" s="636" t="s">
        <v>13728</v>
      </c>
    </row>
    <row r="5630" spans="1:12" ht="17.100000000000001" customHeight="1">
      <c r="A5630" s="802" t="s">
        <v>12712</v>
      </c>
      <c r="B5630" s="802"/>
      <c r="C5630" s="802"/>
      <c r="D5630" s="802"/>
      <c r="E5630" s="802"/>
      <c r="F5630" s="802"/>
      <c r="G5630" s="802"/>
      <c r="H5630" s="802"/>
      <c r="I5630" s="612"/>
      <c r="J5630" s="612"/>
      <c r="K5630" s="612"/>
      <c r="L5630" s="612"/>
    </row>
    <row r="5631" spans="1:12" ht="24" customHeight="1">
      <c r="A5631" s="612" t="s">
        <v>13679</v>
      </c>
      <c r="B5631" s="636" t="s">
        <v>12698</v>
      </c>
      <c r="C5631" s="612" t="s">
        <v>12699</v>
      </c>
      <c r="D5631" s="612" t="s">
        <v>12700</v>
      </c>
      <c r="E5631" s="637" t="s">
        <v>12702</v>
      </c>
      <c r="F5631" s="801" t="s">
        <v>12704</v>
      </c>
      <c r="G5631" s="801"/>
      <c r="H5631" s="801" t="s">
        <v>13678</v>
      </c>
      <c r="I5631" s="801"/>
      <c r="J5631" s="801" t="s">
        <v>12705</v>
      </c>
      <c r="K5631" s="801"/>
      <c r="L5631" s="801"/>
    </row>
    <row r="5632" spans="1:12" ht="17.100000000000001" customHeight="1">
      <c r="A5632" s="626" t="s">
        <v>12709</v>
      </c>
      <c r="B5632" s="627" t="s">
        <v>13002</v>
      </c>
      <c r="C5632" s="626" t="s">
        <v>8</v>
      </c>
      <c r="D5632" s="626" t="s">
        <v>9306</v>
      </c>
      <c r="E5632" s="628" t="s">
        <v>23</v>
      </c>
      <c r="F5632" s="816" t="s">
        <v>13677</v>
      </c>
      <c r="G5632" s="816"/>
      <c r="H5632" s="816">
        <v>0.21293580000000001</v>
      </c>
      <c r="I5632" s="816"/>
      <c r="J5632" s="817">
        <v>7.4499999999999997E-2</v>
      </c>
      <c r="K5632" s="817"/>
      <c r="L5632" s="817"/>
    </row>
    <row r="5633" spans="1:12" ht="25.5">
      <c r="A5633" s="626" t="s">
        <v>12709</v>
      </c>
      <c r="B5633" s="627" t="s">
        <v>13004</v>
      </c>
      <c r="C5633" s="626" t="s">
        <v>8</v>
      </c>
      <c r="D5633" s="626" t="s">
        <v>7388</v>
      </c>
      <c r="E5633" s="628" t="s">
        <v>23</v>
      </c>
      <c r="F5633" s="816" t="s">
        <v>13676</v>
      </c>
      <c r="G5633" s="816"/>
      <c r="H5633" s="816">
        <v>0.21293580000000001</v>
      </c>
      <c r="I5633" s="816"/>
      <c r="J5633" s="817">
        <v>0.46850000000000003</v>
      </c>
      <c r="K5633" s="817"/>
      <c r="L5633" s="817"/>
    </row>
    <row r="5634" spans="1:12" ht="17.100000000000001" customHeight="1">
      <c r="A5634" s="636"/>
      <c r="B5634" s="636"/>
      <c r="C5634" s="636"/>
      <c r="D5634" s="636"/>
      <c r="E5634" s="636"/>
      <c r="F5634" s="636"/>
      <c r="G5634" s="636"/>
      <c r="H5634" s="636"/>
      <c r="I5634" s="636"/>
      <c r="J5634" s="636" t="s">
        <v>13675</v>
      </c>
      <c r="K5634" s="636"/>
      <c r="L5634" s="636" t="s">
        <v>13872</v>
      </c>
    </row>
    <row r="5635" spans="1:12" ht="24" customHeight="1">
      <c r="A5635" s="612" t="s">
        <v>13673</v>
      </c>
      <c r="B5635" s="612"/>
      <c r="C5635" s="612"/>
      <c r="D5635" s="612"/>
      <c r="E5635" s="612"/>
      <c r="F5635" s="612"/>
      <c r="G5635" s="612"/>
      <c r="H5635" s="612"/>
      <c r="I5635" s="612"/>
      <c r="J5635" s="612"/>
      <c r="K5635" s="612"/>
      <c r="L5635" s="612"/>
    </row>
    <row r="5636" spans="1:12" ht="17.100000000000001" customHeight="1">
      <c r="A5636" s="636"/>
      <c r="B5636" s="636"/>
      <c r="C5636" s="636"/>
      <c r="D5636" s="636"/>
      <c r="E5636" s="636"/>
      <c r="F5636" s="636"/>
      <c r="G5636" s="636"/>
      <c r="H5636" s="636"/>
      <c r="I5636" s="636"/>
      <c r="J5636" s="636" t="s">
        <v>13672</v>
      </c>
      <c r="K5636" s="636"/>
      <c r="L5636" s="636" t="s">
        <v>15275</v>
      </c>
    </row>
    <row r="5637" spans="1:12">
      <c r="A5637" s="636"/>
      <c r="B5637" s="636"/>
      <c r="C5637" s="636"/>
      <c r="D5637" s="636"/>
      <c r="E5637" s="636"/>
      <c r="F5637" s="636"/>
      <c r="G5637" s="636"/>
      <c r="H5637" s="636"/>
      <c r="I5637" s="636"/>
      <c r="J5637" s="636" t="s">
        <v>13671</v>
      </c>
      <c r="K5637" s="636" t="s">
        <v>14461</v>
      </c>
      <c r="L5637" s="636" t="s">
        <v>15276</v>
      </c>
    </row>
    <row r="5638" spans="1:12" ht="17.100000000000001" customHeight="1">
      <c r="A5638" s="636"/>
      <c r="B5638" s="636"/>
      <c r="C5638" s="636"/>
      <c r="D5638" s="636"/>
      <c r="E5638" s="636"/>
      <c r="F5638" s="636"/>
      <c r="G5638" s="636"/>
      <c r="H5638" s="636"/>
      <c r="I5638" s="636"/>
      <c r="J5638" s="636" t="s">
        <v>13670</v>
      </c>
      <c r="K5638" s="636"/>
      <c r="L5638" s="636" t="s">
        <v>15277</v>
      </c>
    </row>
    <row r="5639" spans="1:12" ht="24" customHeight="1">
      <c r="A5639" s="636"/>
      <c r="B5639" s="636"/>
      <c r="C5639" s="636"/>
      <c r="D5639" s="636"/>
      <c r="E5639" s="636"/>
      <c r="F5639" s="636"/>
      <c r="G5639" s="636"/>
      <c r="H5639" s="636"/>
      <c r="I5639" s="636"/>
      <c r="J5639" s="636" t="s">
        <v>13669</v>
      </c>
      <c r="K5639" s="636" t="s">
        <v>13667</v>
      </c>
      <c r="L5639" s="636" t="s">
        <v>15278</v>
      </c>
    </row>
    <row r="5640" spans="1:12" ht="24" customHeight="1">
      <c r="A5640" s="636"/>
      <c r="B5640" s="636"/>
      <c r="C5640" s="636"/>
      <c r="D5640" s="636"/>
      <c r="E5640" s="636"/>
      <c r="F5640" s="636"/>
      <c r="G5640" s="636"/>
      <c r="H5640" s="636"/>
      <c r="I5640" s="636"/>
      <c r="J5640" s="636" t="s">
        <v>13668</v>
      </c>
      <c r="K5640" s="636"/>
      <c r="L5640" s="636" t="s">
        <v>15279</v>
      </c>
    </row>
    <row r="5641" spans="1:12" ht="17.100000000000001" customHeight="1">
      <c r="A5641" s="637"/>
      <c r="B5641" s="637"/>
      <c r="C5641" s="637"/>
      <c r="D5641" s="637"/>
      <c r="E5641" s="637"/>
      <c r="F5641" s="637"/>
      <c r="G5641" s="637"/>
      <c r="H5641" s="637"/>
      <c r="I5641" s="637"/>
      <c r="J5641" s="637"/>
      <c r="K5641" s="637"/>
      <c r="L5641" s="637"/>
    </row>
    <row r="5642" spans="1:12" ht="17.100000000000001" customHeight="1">
      <c r="A5642" s="616" t="s">
        <v>14059</v>
      </c>
      <c r="B5642" s="617" t="s">
        <v>13526</v>
      </c>
      <c r="C5642" s="616" t="s">
        <v>8</v>
      </c>
      <c r="D5642" s="616" t="s">
        <v>392</v>
      </c>
      <c r="E5642" s="618" t="s">
        <v>35</v>
      </c>
      <c r="F5642" s="617"/>
      <c r="G5642" s="617"/>
      <c r="H5642" s="617"/>
      <c r="I5642" s="617"/>
      <c r="J5642" s="617"/>
      <c r="K5642" s="617"/>
      <c r="L5642" s="617"/>
    </row>
    <row r="5643" spans="1:12" ht="17.100000000000001" customHeight="1">
      <c r="A5643" s="802" t="s">
        <v>12711</v>
      </c>
      <c r="B5643" s="802"/>
      <c r="C5643" s="802"/>
      <c r="D5643" s="802"/>
      <c r="E5643" s="802"/>
      <c r="F5643" s="802"/>
      <c r="G5643" s="802"/>
      <c r="H5643" s="802"/>
      <c r="I5643" s="612"/>
      <c r="J5643" s="612"/>
      <c r="K5643" s="612"/>
      <c r="L5643" s="612"/>
    </row>
    <row r="5644" spans="1:12" ht="17.100000000000001" customHeight="1">
      <c r="A5644" s="612" t="s">
        <v>13679</v>
      </c>
      <c r="B5644" s="636" t="s">
        <v>12698</v>
      </c>
      <c r="C5644" s="612" t="s">
        <v>12699</v>
      </c>
      <c r="D5644" s="612" t="s">
        <v>12700</v>
      </c>
      <c r="E5644" s="637" t="s">
        <v>12702</v>
      </c>
      <c r="F5644" s="801" t="s">
        <v>12704</v>
      </c>
      <c r="G5644" s="801"/>
      <c r="H5644" s="801" t="s">
        <v>13678</v>
      </c>
      <c r="I5644" s="801"/>
      <c r="J5644" s="801" t="s">
        <v>12705</v>
      </c>
      <c r="K5644" s="801"/>
      <c r="L5644" s="801"/>
    </row>
    <row r="5645" spans="1:12" ht="17.100000000000001" customHeight="1">
      <c r="A5645" s="626" t="s">
        <v>12709</v>
      </c>
      <c r="B5645" s="627" t="s">
        <v>13201</v>
      </c>
      <c r="C5645" s="626" t="s">
        <v>8</v>
      </c>
      <c r="D5645" s="626" t="s">
        <v>9221</v>
      </c>
      <c r="E5645" s="628" t="s">
        <v>23</v>
      </c>
      <c r="F5645" s="816" t="s">
        <v>13705</v>
      </c>
      <c r="G5645" s="816"/>
      <c r="H5645" s="816">
        <v>0.25330979999999997</v>
      </c>
      <c r="I5645" s="816"/>
      <c r="J5645" s="817">
        <v>0.2102</v>
      </c>
      <c r="K5645" s="817"/>
      <c r="L5645" s="817"/>
    </row>
    <row r="5646" spans="1:12" ht="17.100000000000001" customHeight="1">
      <c r="A5646" s="626" t="s">
        <v>12709</v>
      </c>
      <c r="B5646" s="627" t="s">
        <v>13200</v>
      </c>
      <c r="C5646" s="626" t="s">
        <v>8</v>
      </c>
      <c r="D5646" s="626" t="s">
        <v>9368</v>
      </c>
      <c r="E5646" s="628" t="s">
        <v>23</v>
      </c>
      <c r="F5646" s="816" t="s">
        <v>13704</v>
      </c>
      <c r="G5646" s="816"/>
      <c r="H5646" s="816">
        <v>0.25330979999999997</v>
      </c>
      <c r="I5646" s="816"/>
      <c r="J5646" s="817">
        <v>6.08E-2</v>
      </c>
      <c r="K5646" s="817"/>
      <c r="L5646" s="817"/>
    </row>
    <row r="5647" spans="1:12" ht="17.100000000000001" customHeight="1">
      <c r="A5647" s="636"/>
      <c r="B5647" s="636"/>
      <c r="C5647" s="636"/>
      <c r="D5647" s="636"/>
      <c r="E5647" s="636"/>
      <c r="F5647" s="636"/>
      <c r="G5647" s="636"/>
      <c r="H5647" s="636"/>
      <c r="I5647" s="636"/>
      <c r="J5647" s="636" t="s">
        <v>13675</v>
      </c>
      <c r="K5647" s="636"/>
      <c r="L5647" s="636" t="s">
        <v>13809</v>
      </c>
    </row>
    <row r="5648" spans="1:12" ht="30" customHeight="1">
      <c r="A5648" s="802" t="s">
        <v>12710</v>
      </c>
      <c r="B5648" s="802"/>
      <c r="C5648" s="802"/>
      <c r="D5648" s="802"/>
      <c r="E5648" s="802"/>
      <c r="F5648" s="802"/>
      <c r="G5648" s="802"/>
      <c r="H5648" s="802"/>
      <c r="I5648" s="612"/>
      <c r="J5648" s="612"/>
      <c r="K5648" s="612"/>
      <c r="L5648" s="612"/>
    </row>
    <row r="5649" spans="1:12" ht="24" customHeight="1">
      <c r="A5649" s="612" t="s">
        <v>13679</v>
      </c>
      <c r="B5649" s="636" t="s">
        <v>12698</v>
      </c>
      <c r="C5649" s="612" t="s">
        <v>12699</v>
      </c>
      <c r="D5649" s="612" t="s">
        <v>12700</v>
      </c>
      <c r="E5649" s="637" t="s">
        <v>12702</v>
      </c>
      <c r="F5649" s="801" t="s">
        <v>12704</v>
      </c>
      <c r="G5649" s="801"/>
      <c r="H5649" s="801" t="s">
        <v>13678</v>
      </c>
      <c r="I5649" s="801"/>
      <c r="J5649" s="801" t="s">
        <v>12705</v>
      </c>
      <c r="K5649" s="801"/>
      <c r="L5649" s="801"/>
    </row>
    <row r="5650" spans="1:12" ht="14.25" customHeight="1">
      <c r="A5650" s="626" t="s">
        <v>12709</v>
      </c>
      <c r="B5650" s="627" t="s">
        <v>13220</v>
      </c>
      <c r="C5650" s="626" t="s">
        <v>8</v>
      </c>
      <c r="D5650" s="626" t="s">
        <v>7592</v>
      </c>
      <c r="E5650" s="628" t="s">
        <v>23</v>
      </c>
      <c r="F5650" s="816" t="s">
        <v>13890</v>
      </c>
      <c r="G5650" s="816"/>
      <c r="H5650" s="816">
        <v>0.12928329999999999</v>
      </c>
      <c r="I5650" s="816"/>
      <c r="J5650" s="817">
        <v>0.6542</v>
      </c>
      <c r="K5650" s="817"/>
      <c r="L5650" s="817"/>
    </row>
    <row r="5651" spans="1:12" ht="17.100000000000001" customHeight="1">
      <c r="A5651" s="626" t="s">
        <v>12709</v>
      </c>
      <c r="B5651" s="627" t="s">
        <v>13202</v>
      </c>
      <c r="C5651" s="626" t="s">
        <v>8</v>
      </c>
      <c r="D5651" s="626" t="s">
        <v>9187</v>
      </c>
      <c r="E5651" s="628" t="s">
        <v>23</v>
      </c>
      <c r="F5651" s="816" t="s">
        <v>14479</v>
      </c>
      <c r="G5651" s="816"/>
      <c r="H5651" s="816">
        <v>0.12928329999999999</v>
      </c>
      <c r="I5651" s="816"/>
      <c r="J5651" s="817">
        <v>0.9244</v>
      </c>
      <c r="K5651" s="817"/>
      <c r="L5651" s="817"/>
    </row>
    <row r="5652" spans="1:12" ht="24" customHeight="1">
      <c r="A5652" s="636"/>
      <c r="B5652" s="636"/>
      <c r="C5652" s="636"/>
      <c r="D5652" s="636"/>
      <c r="E5652" s="636"/>
      <c r="F5652" s="636"/>
      <c r="G5652" s="636"/>
      <c r="H5652" s="636"/>
      <c r="I5652" s="636"/>
      <c r="J5652" s="636" t="s">
        <v>13675</v>
      </c>
      <c r="K5652" s="636"/>
      <c r="L5652" s="636" t="s">
        <v>13812</v>
      </c>
    </row>
    <row r="5653" spans="1:12" ht="24" customHeight="1">
      <c r="A5653" s="802" t="s">
        <v>12720</v>
      </c>
      <c r="B5653" s="802"/>
      <c r="C5653" s="802"/>
      <c r="D5653" s="802"/>
      <c r="E5653" s="802"/>
      <c r="F5653" s="802"/>
      <c r="G5653" s="802"/>
      <c r="H5653" s="802"/>
      <c r="I5653" s="612"/>
      <c r="J5653" s="612"/>
      <c r="K5653" s="612"/>
      <c r="L5653" s="612"/>
    </row>
    <row r="5654" spans="1:12" ht="17.100000000000001" customHeight="1">
      <c r="A5654" s="612" t="s">
        <v>13679</v>
      </c>
      <c r="B5654" s="636" t="s">
        <v>12698</v>
      </c>
      <c r="C5654" s="612" t="s">
        <v>12699</v>
      </c>
      <c r="D5654" s="612" t="s">
        <v>12700</v>
      </c>
      <c r="E5654" s="637" t="s">
        <v>12702</v>
      </c>
      <c r="F5654" s="801" t="s">
        <v>12704</v>
      </c>
      <c r="G5654" s="801"/>
      <c r="H5654" s="801" t="s">
        <v>13678</v>
      </c>
      <c r="I5654" s="801"/>
      <c r="J5654" s="801" t="s">
        <v>12705</v>
      </c>
      <c r="K5654" s="801"/>
      <c r="L5654" s="801"/>
    </row>
    <row r="5655" spans="1:12" ht="14.25" customHeight="1">
      <c r="A5655" s="626" t="s">
        <v>12709</v>
      </c>
      <c r="B5655" s="627" t="s">
        <v>13467</v>
      </c>
      <c r="C5655" s="626" t="s">
        <v>8</v>
      </c>
      <c r="D5655" s="626" t="s">
        <v>9987</v>
      </c>
      <c r="E5655" s="628" t="s">
        <v>35</v>
      </c>
      <c r="F5655" s="816" t="s">
        <v>13998</v>
      </c>
      <c r="G5655" s="816"/>
      <c r="H5655" s="816">
        <v>2.8000000000000001E-2</v>
      </c>
      <c r="I5655" s="816"/>
      <c r="J5655" s="817">
        <v>0.05</v>
      </c>
      <c r="K5655" s="817"/>
      <c r="L5655" s="817"/>
    </row>
    <row r="5656" spans="1:12" ht="17.100000000000001" customHeight="1">
      <c r="A5656" s="626" t="s">
        <v>12709</v>
      </c>
      <c r="B5656" s="627" t="s">
        <v>13466</v>
      </c>
      <c r="C5656" s="626" t="s">
        <v>8</v>
      </c>
      <c r="D5656" s="626" t="s">
        <v>11315</v>
      </c>
      <c r="E5656" s="628" t="s">
        <v>35</v>
      </c>
      <c r="F5656" s="816" t="s">
        <v>14636</v>
      </c>
      <c r="G5656" s="816"/>
      <c r="H5656" s="816">
        <v>0.03</v>
      </c>
      <c r="I5656" s="816"/>
      <c r="J5656" s="817">
        <v>2.08</v>
      </c>
      <c r="K5656" s="817"/>
      <c r="L5656" s="817"/>
    </row>
    <row r="5657" spans="1:12" ht="24" customHeight="1">
      <c r="A5657" s="626" t="s">
        <v>12709</v>
      </c>
      <c r="B5657" s="627" t="s">
        <v>13468</v>
      </c>
      <c r="C5657" s="626" t="s">
        <v>8</v>
      </c>
      <c r="D5657" s="626" t="s">
        <v>7343</v>
      </c>
      <c r="E5657" s="628" t="s">
        <v>35</v>
      </c>
      <c r="F5657" s="816" t="s">
        <v>14635</v>
      </c>
      <c r="G5657" s="816"/>
      <c r="H5657" s="816">
        <v>2.4E-2</v>
      </c>
      <c r="I5657" s="816"/>
      <c r="J5657" s="817">
        <v>1.91</v>
      </c>
      <c r="K5657" s="817"/>
      <c r="L5657" s="817"/>
    </row>
    <row r="5658" spans="1:12" ht="24" customHeight="1">
      <c r="A5658" s="626" t="s">
        <v>12709</v>
      </c>
      <c r="B5658" s="627" t="s">
        <v>13525</v>
      </c>
      <c r="C5658" s="626" t="s">
        <v>8</v>
      </c>
      <c r="D5658" s="626" t="s">
        <v>9766</v>
      </c>
      <c r="E5658" s="628" t="s">
        <v>35</v>
      </c>
      <c r="F5658" s="816" t="s">
        <v>14688</v>
      </c>
      <c r="G5658" s="816"/>
      <c r="H5658" s="816">
        <v>1</v>
      </c>
      <c r="I5658" s="816"/>
      <c r="J5658" s="817">
        <v>18.489999999999998</v>
      </c>
      <c r="K5658" s="817"/>
      <c r="L5658" s="817"/>
    </row>
    <row r="5659" spans="1:12" ht="17.100000000000001" customHeight="1">
      <c r="A5659" s="636"/>
      <c r="B5659" s="636"/>
      <c r="C5659" s="636"/>
      <c r="D5659" s="636"/>
      <c r="E5659" s="636"/>
      <c r="F5659" s="636"/>
      <c r="G5659" s="636"/>
      <c r="H5659" s="636"/>
      <c r="I5659" s="636"/>
      <c r="J5659" s="636" t="s">
        <v>13675</v>
      </c>
      <c r="K5659" s="636"/>
      <c r="L5659" s="636" t="s">
        <v>14687</v>
      </c>
    </row>
    <row r="5660" spans="1:12">
      <c r="A5660" s="802" t="s">
        <v>12722</v>
      </c>
      <c r="B5660" s="802"/>
      <c r="C5660" s="802"/>
      <c r="D5660" s="802"/>
      <c r="E5660" s="802"/>
      <c r="F5660" s="802"/>
      <c r="G5660" s="802"/>
      <c r="H5660" s="802"/>
      <c r="I5660" s="612"/>
      <c r="J5660" s="612"/>
      <c r="K5660" s="612"/>
      <c r="L5660" s="612"/>
    </row>
    <row r="5661" spans="1:12" ht="17.100000000000001" customHeight="1">
      <c r="A5661" s="612" t="s">
        <v>13679</v>
      </c>
      <c r="B5661" s="636" t="s">
        <v>12698</v>
      </c>
      <c r="C5661" s="612" t="s">
        <v>12699</v>
      </c>
      <c r="D5661" s="612" t="s">
        <v>12700</v>
      </c>
      <c r="E5661" s="637" t="s">
        <v>12702</v>
      </c>
      <c r="F5661" s="801" t="s">
        <v>12704</v>
      </c>
      <c r="G5661" s="801"/>
      <c r="H5661" s="801" t="s">
        <v>13678</v>
      </c>
      <c r="I5661" s="801"/>
      <c r="J5661" s="801" t="s">
        <v>12705</v>
      </c>
      <c r="K5661" s="801"/>
      <c r="L5661" s="801"/>
    </row>
    <row r="5662" spans="1:12" ht="24" customHeight="1">
      <c r="A5662" s="626" t="s">
        <v>12709</v>
      </c>
      <c r="B5662" s="627" t="s">
        <v>12998</v>
      </c>
      <c r="C5662" s="626" t="s">
        <v>8</v>
      </c>
      <c r="D5662" s="626" t="s">
        <v>11861</v>
      </c>
      <c r="E5662" s="628" t="s">
        <v>23</v>
      </c>
      <c r="F5662" s="816" t="s">
        <v>13683</v>
      </c>
      <c r="G5662" s="816"/>
      <c r="H5662" s="816">
        <v>0.25330979999999997</v>
      </c>
      <c r="I5662" s="816"/>
      <c r="J5662" s="817">
        <v>0.17979999999999999</v>
      </c>
      <c r="K5662" s="817"/>
      <c r="L5662" s="817"/>
    </row>
    <row r="5663" spans="1:12" ht="17.100000000000001" customHeight="1">
      <c r="A5663" s="636"/>
      <c r="B5663" s="636"/>
      <c r="C5663" s="636"/>
      <c r="D5663" s="636"/>
      <c r="E5663" s="636"/>
      <c r="F5663" s="636"/>
      <c r="G5663" s="636"/>
      <c r="H5663" s="636"/>
      <c r="I5663" s="636"/>
      <c r="J5663" s="636" t="s">
        <v>13675</v>
      </c>
      <c r="K5663" s="636"/>
      <c r="L5663" s="636" t="s">
        <v>13682</v>
      </c>
    </row>
    <row r="5664" spans="1:12">
      <c r="A5664" s="802" t="s">
        <v>12713</v>
      </c>
      <c r="B5664" s="802"/>
      <c r="C5664" s="802"/>
      <c r="D5664" s="802"/>
      <c r="E5664" s="802"/>
      <c r="F5664" s="802"/>
      <c r="G5664" s="802"/>
      <c r="H5664" s="802"/>
      <c r="I5664" s="612"/>
      <c r="J5664" s="612"/>
      <c r="K5664" s="612"/>
      <c r="L5664" s="612"/>
    </row>
    <row r="5665" spans="1:12" ht="17.100000000000001" customHeight="1">
      <c r="A5665" s="612" t="s">
        <v>13679</v>
      </c>
      <c r="B5665" s="636" t="s">
        <v>12698</v>
      </c>
      <c r="C5665" s="612" t="s">
        <v>12699</v>
      </c>
      <c r="D5665" s="612" t="s">
        <v>12700</v>
      </c>
      <c r="E5665" s="637" t="s">
        <v>12702</v>
      </c>
      <c r="F5665" s="801" t="s">
        <v>12704</v>
      </c>
      <c r="G5665" s="801"/>
      <c r="H5665" s="801" t="s">
        <v>13678</v>
      </c>
      <c r="I5665" s="801"/>
      <c r="J5665" s="801" t="s">
        <v>12705</v>
      </c>
      <c r="K5665" s="801"/>
      <c r="L5665" s="801"/>
    </row>
    <row r="5666" spans="1:12" ht="24" customHeight="1">
      <c r="A5666" s="626" t="s">
        <v>12709</v>
      </c>
      <c r="B5666" s="627" t="s">
        <v>12999</v>
      </c>
      <c r="C5666" s="626" t="s">
        <v>8</v>
      </c>
      <c r="D5666" s="626" t="s">
        <v>11251</v>
      </c>
      <c r="E5666" s="628" t="s">
        <v>23</v>
      </c>
      <c r="F5666" s="816" t="s">
        <v>13681</v>
      </c>
      <c r="G5666" s="816"/>
      <c r="H5666" s="816">
        <v>0.25330979999999997</v>
      </c>
      <c r="I5666" s="816"/>
      <c r="J5666" s="817">
        <v>1.77E-2</v>
      </c>
      <c r="K5666" s="817"/>
      <c r="L5666" s="817"/>
    </row>
    <row r="5667" spans="1:12" ht="17.100000000000001" customHeight="1">
      <c r="A5667" s="636"/>
      <c r="B5667" s="636"/>
      <c r="C5667" s="636"/>
      <c r="D5667" s="636"/>
      <c r="E5667" s="636"/>
      <c r="F5667" s="636"/>
      <c r="G5667" s="636"/>
      <c r="H5667" s="636"/>
      <c r="I5667" s="636"/>
      <c r="J5667" s="636" t="s">
        <v>13675</v>
      </c>
      <c r="K5667" s="636"/>
      <c r="L5667" s="636" t="s">
        <v>13680</v>
      </c>
    </row>
    <row r="5668" spans="1:12">
      <c r="A5668" s="802" t="s">
        <v>12712</v>
      </c>
      <c r="B5668" s="802"/>
      <c r="C5668" s="802"/>
      <c r="D5668" s="802"/>
      <c r="E5668" s="802"/>
      <c r="F5668" s="802"/>
      <c r="G5668" s="802"/>
      <c r="H5668" s="802"/>
      <c r="I5668" s="612"/>
      <c r="J5668" s="612"/>
      <c r="K5668" s="612"/>
      <c r="L5668" s="612"/>
    </row>
    <row r="5669" spans="1:12" ht="17.100000000000001" customHeight="1">
      <c r="A5669" s="612" t="s">
        <v>13679</v>
      </c>
      <c r="B5669" s="636" t="s">
        <v>12698</v>
      </c>
      <c r="C5669" s="612" t="s">
        <v>12699</v>
      </c>
      <c r="D5669" s="612" t="s">
        <v>12700</v>
      </c>
      <c r="E5669" s="637" t="s">
        <v>12702</v>
      </c>
      <c r="F5669" s="801" t="s">
        <v>12704</v>
      </c>
      <c r="G5669" s="801"/>
      <c r="H5669" s="801" t="s">
        <v>13678</v>
      </c>
      <c r="I5669" s="801"/>
      <c r="J5669" s="801" t="s">
        <v>12705</v>
      </c>
      <c r="K5669" s="801"/>
      <c r="L5669" s="801"/>
    </row>
    <row r="5670" spans="1:12" ht="24" customHeight="1">
      <c r="A5670" s="626" t="s">
        <v>12709</v>
      </c>
      <c r="B5670" s="627" t="s">
        <v>13002</v>
      </c>
      <c r="C5670" s="626" t="s">
        <v>8</v>
      </c>
      <c r="D5670" s="626" t="s">
        <v>9306</v>
      </c>
      <c r="E5670" s="628" t="s">
        <v>23</v>
      </c>
      <c r="F5670" s="816" t="s">
        <v>13677</v>
      </c>
      <c r="G5670" s="816"/>
      <c r="H5670" s="816">
        <v>0.25330979999999997</v>
      </c>
      <c r="I5670" s="816"/>
      <c r="J5670" s="817">
        <v>8.8700000000000001E-2</v>
      </c>
      <c r="K5670" s="817"/>
      <c r="L5670" s="817"/>
    </row>
    <row r="5671" spans="1:12" ht="17.100000000000001" customHeight="1">
      <c r="A5671" s="626" t="s">
        <v>12709</v>
      </c>
      <c r="B5671" s="627" t="s">
        <v>13004</v>
      </c>
      <c r="C5671" s="626" t="s">
        <v>8</v>
      </c>
      <c r="D5671" s="626" t="s">
        <v>7388</v>
      </c>
      <c r="E5671" s="628" t="s">
        <v>23</v>
      </c>
      <c r="F5671" s="816" t="s">
        <v>13676</v>
      </c>
      <c r="G5671" s="816"/>
      <c r="H5671" s="816">
        <v>0.25330979999999997</v>
      </c>
      <c r="I5671" s="816"/>
      <c r="J5671" s="817">
        <v>0.55730000000000002</v>
      </c>
      <c r="K5671" s="817"/>
      <c r="L5671" s="817"/>
    </row>
    <row r="5672" spans="1:12">
      <c r="A5672" s="636"/>
      <c r="B5672" s="636"/>
      <c r="C5672" s="636"/>
      <c r="D5672" s="636"/>
      <c r="E5672" s="636"/>
      <c r="F5672" s="636"/>
      <c r="G5672" s="636"/>
      <c r="H5672" s="636"/>
      <c r="I5672" s="636"/>
      <c r="J5672" s="636" t="s">
        <v>13675</v>
      </c>
      <c r="K5672" s="636"/>
      <c r="L5672" s="636" t="s">
        <v>13738</v>
      </c>
    </row>
    <row r="5673" spans="1:12" ht="17.100000000000001" customHeight="1">
      <c r="A5673" s="612" t="s">
        <v>13673</v>
      </c>
      <c r="B5673" s="612"/>
      <c r="C5673" s="612"/>
      <c r="D5673" s="612"/>
      <c r="E5673" s="612"/>
      <c r="F5673" s="612"/>
      <c r="G5673" s="612"/>
      <c r="H5673" s="612"/>
      <c r="I5673" s="612"/>
      <c r="J5673" s="612"/>
      <c r="K5673" s="612"/>
      <c r="L5673" s="612"/>
    </row>
    <row r="5674" spans="1:12" ht="24" customHeight="1">
      <c r="A5674" s="636"/>
      <c r="B5674" s="636"/>
      <c r="C5674" s="636"/>
      <c r="D5674" s="636"/>
      <c r="E5674" s="636"/>
      <c r="F5674" s="636"/>
      <c r="G5674" s="636"/>
      <c r="H5674" s="636"/>
      <c r="I5674" s="636"/>
      <c r="J5674" s="636" t="s">
        <v>13672</v>
      </c>
      <c r="K5674" s="636"/>
      <c r="L5674" s="636" t="s">
        <v>15280</v>
      </c>
    </row>
    <row r="5675" spans="1:12" ht="24" customHeight="1">
      <c r="A5675" s="636"/>
      <c r="B5675" s="636"/>
      <c r="C5675" s="636"/>
      <c r="D5675" s="636"/>
      <c r="E5675" s="636"/>
      <c r="F5675" s="636"/>
      <c r="G5675" s="636"/>
      <c r="H5675" s="636"/>
      <c r="I5675" s="636"/>
      <c r="J5675" s="636" t="s">
        <v>13671</v>
      </c>
      <c r="K5675" s="636" t="s">
        <v>14461</v>
      </c>
      <c r="L5675" s="636" t="s">
        <v>15281</v>
      </c>
    </row>
    <row r="5676" spans="1:12" ht="17.100000000000001" customHeight="1">
      <c r="A5676" s="636"/>
      <c r="B5676" s="636"/>
      <c r="C5676" s="636"/>
      <c r="D5676" s="636"/>
      <c r="E5676" s="636"/>
      <c r="F5676" s="636"/>
      <c r="G5676" s="636"/>
      <c r="H5676" s="636"/>
      <c r="I5676" s="636"/>
      <c r="J5676" s="636" t="s">
        <v>13670</v>
      </c>
      <c r="K5676" s="636"/>
      <c r="L5676" s="636" t="s">
        <v>15282</v>
      </c>
    </row>
    <row r="5677" spans="1:12" ht="17.100000000000001" customHeight="1">
      <c r="A5677" s="636"/>
      <c r="B5677" s="636"/>
      <c r="C5677" s="636"/>
      <c r="D5677" s="636"/>
      <c r="E5677" s="636"/>
      <c r="F5677" s="636"/>
      <c r="G5677" s="636"/>
      <c r="H5677" s="636"/>
      <c r="I5677" s="636"/>
      <c r="J5677" s="636" t="s">
        <v>13669</v>
      </c>
      <c r="K5677" s="636" t="s">
        <v>13667</v>
      </c>
      <c r="L5677" s="636" t="s">
        <v>15283</v>
      </c>
    </row>
    <row r="5678" spans="1:12" ht="17.100000000000001" customHeight="1">
      <c r="A5678" s="636"/>
      <c r="B5678" s="636"/>
      <c r="C5678" s="636"/>
      <c r="D5678" s="636"/>
      <c r="E5678" s="636"/>
      <c r="F5678" s="636"/>
      <c r="G5678" s="636"/>
      <c r="H5678" s="636"/>
      <c r="I5678" s="636"/>
      <c r="J5678" s="636" t="s">
        <v>13668</v>
      </c>
      <c r="K5678" s="636"/>
      <c r="L5678" s="636" t="s">
        <v>15284</v>
      </c>
    </row>
    <row r="5679" spans="1:12" ht="17.100000000000001" customHeight="1">
      <c r="A5679" s="637"/>
      <c r="B5679" s="637"/>
      <c r="C5679" s="637"/>
      <c r="D5679" s="637"/>
      <c r="E5679" s="637"/>
      <c r="F5679" s="637"/>
      <c r="G5679" s="637"/>
      <c r="H5679" s="637"/>
      <c r="I5679" s="637"/>
      <c r="J5679" s="637"/>
      <c r="K5679" s="637"/>
      <c r="L5679" s="637"/>
    </row>
    <row r="5680" spans="1:12" ht="17.100000000000001" customHeight="1">
      <c r="A5680" s="616" t="s">
        <v>14057</v>
      </c>
      <c r="B5680" s="617" t="s">
        <v>13524</v>
      </c>
      <c r="C5680" s="616" t="s">
        <v>8</v>
      </c>
      <c r="D5680" s="616" t="s">
        <v>1792</v>
      </c>
      <c r="E5680" s="618" t="s">
        <v>17</v>
      </c>
      <c r="F5680" s="617"/>
      <c r="G5680" s="617"/>
      <c r="H5680" s="617"/>
      <c r="I5680" s="617"/>
      <c r="J5680" s="617"/>
      <c r="K5680" s="617"/>
      <c r="L5680" s="617"/>
    </row>
    <row r="5681" spans="1:12" ht="17.100000000000001" customHeight="1">
      <c r="A5681" s="802" t="s">
        <v>12711</v>
      </c>
      <c r="B5681" s="802"/>
      <c r="C5681" s="802"/>
      <c r="D5681" s="802"/>
      <c r="E5681" s="802"/>
      <c r="F5681" s="802"/>
      <c r="G5681" s="802"/>
      <c r="H5681" s="802"/>
      <c r="I5681" s="612"/>
      <c r="J5681" s="612"/>
      <c r="K5681" s="612"/>
      <c r="L5681" s="612"/>
    </row>
    <row r="5682" spans="1:12" ht="17.100000000000001" customHeight="1">
      <c r="A5682" s="612" t="s">
        <v>13679</v>
      </c>
      <c r="B5682" s="636" t="s">
        <v>12698</v>
      </c>
      <c r="C5682" s="612" t="s">
        <v>12699</v>
      </c>
      <c r="D5682" s="612" t="s">
        <v>12700</v>
      </c>
      <c r="E5682" s="637" t="s">
        <v>12702</v>
      </c>
      <c r="F5682" s="801" t="s">
        <v>12704</v>
      </c>
      <c r="G5682" s="801"/>
      <c r="H5682" s="801" t="s">
        <v>13678</v>
      </c>
      <c r="I5682" s="801"/>
      <c r="J5682" s="801" t="s">
        <v>12705</v>
      </c>
      <c r="K5682" s="801"/>
      <c r="L5682" s="801"/>
    </row>
    <row r="5683" spans="1:12" ht="30" customHeight="1">
      <c r="A5683" s="626" t="s">
        <v>12709</v>
      </c>
      <c r="B5683" s="627" t="s">
        <v>13201</v>
      </c>
      <c r="C5683" s="626" t="s">
        <v>8</v>
      </c>
      <c r="D5683" s="626" t="s">
        <v>9221</v>
      </c>
      <c r="E5683" s="628" t="s">
        <v>23</v>
      </c>
      <c r="F5683" s="816" t="s">
        <v>13705</v>
      </c>
      <c r="G5683" s="816"/>
      <c r="H5683" s="816">
        <v>3.1179800000000001E-2</v>
      </c>
      <c r="I5683" s="816"/>
      <c r="J5683" s="817">
        <v>2.5899999999999999E-2</v>
      </c>
      <c r="K5683" s="817"/>
      <c r="L5683" s="817"/>
    </row>
    <row r="5684" spans="1:12" ht="24" customHeight="1">
      <c r="A5684" s="626" t="s">
        <v>12709</v>
      </c>
      <c r="B5684" s="627" t="s">
        <v>13200</v>
      </c>
      <c r="C5684" s="626" t="s">
        <v>8</v>
      </c>
      <c r="D5684" s="626" t="s">
        <v>9368</v>
      </c>
      <c r="E5684" s="628" t="s">
        <v>23</v>
      </c>
      <c r="F5684" s="816" t="s">
        <v>13704</v>
      </c>
      <c r="G5684" s="816"/>
      <c r="H5684" s="816">
        <v>3.1179800000000001E-2</v>
      </c>
      <c r="I5684" s="816"/>
      <c r="J5684" s="817">
        <v>7.4999999999999997E-3</v>
      </c>
      <c r="K5684" s="817"/>
      <c r="L5684" s="817"/>
    </row>
    <row r="5685" spans="1:12" ht="14.25" customHeight="1">
      <c r="A5685" s="636"/>
      <c r="B5685" s="636"/>
      <c r="C5685" s="636"/>
      <c r="D5685" s="636"/>
      <c r="E5685" s="636"/>
      <c r="F5685" s="636"/>
      <c r="G5685" s="636"/>
      <c r="H5685" s="636"/>
      <c r="I5685" s="636"/>
      <c r="J5685" s="636" t="s">
        <v>13675</v>
      </c>
      <c r="K5685" s="636"/>
      <c r="L5685" s="636" t="s">
        <v>13726</v>
      </c>
    </row>
    <row r="5686" spans="1:12" ht="17.100000000000001" customHeight="1">
      <c r="A5686" s="802" t="s">
        <v>12710</v>
      </c>
      <c r="B5686" s="802"/>
      <c r="C5686" s="802"/>
      <c r="D5686" s="802"/>
      <c r="E5686" s="802"/>
      <c r="F5686" s="802"/>
      <c r="G5686" s="802"/>
      <c r="H5686" s="802"/>
      <c r="I5686" s="612"/>
      <c r="J5686" s="612"/>
      <c r="K5686" s="612"/>
      <c r="L5686" s="612"/>
    </row>
    <row r="5687" spans="1:12" ht="24" customHeight="1">
      <c r="A5687" s="612" t="s">
        <v>13679</v>
      </c>
      <c r="B5687" s="636" t="s">
        <v>12698</v>
      </c>
      <c r="C5687" s="612" t="s">
        <v>12699</v>
      </c>
      <c r="D5687" s="612" t="s">
        <v>12700</v>
      </c>
      <c r="E5687" s="637" t="s">
        <v>12702</v>
      </c>
      <c r="F5687" s="801" t="s">
        <v>12704</v>
      </c>
      <c r="G5687" s="801"/>
      <c r="H5687" s="801" t="s">
        <v>13678</v>
      </c>
      <c r="I5687" s="801"/>
      <c r="J5687" s="801" t="s">
        <v>12705</v>
      </c>
      <c r="K5687" s="801"/>
      <c r="L5687" s="801"/>
    </row>
    <row r="5688" spans="1:12" ht="24" customHeight="1">
      <c r="A5688" s="626" t="s">
        <v>12709</v>
      </c>
      <c r="B5688" s="627" t="s">
        <v>13220</v>
      </c>
      <c r="C5688" s="626" t="s">
        <v>8</v>
      </c>
      <c r="D5688" s="626" t="s">
        <v>7592</v>
      </c>
      <c r="E5688" s="628" t="s">
        <v>23</v>
      </c>
      <c r="F5688" s="816" t="s">
        <v>13890</v>
      </c>
      <c r="G5688" s="816"/>
      <c r="H5688" s="816">
        <v>1.5938999999999998E-2</v>
      </c>
      <c r="I5688" s="816"/>
      <c r="J5688" s="817">
        <v>8.0699999999999994E-2</v>
      </c>
      <c r="K5688" s="817"/>
      <c r="L5688" s="817"/>
    </row>
    <row r="5689" spans="1:12" ht="17.100000000000001" customHeight="1">
      <c r="A5689" s="626" t="s">
        <v>12709</v>
      </c>
      <c r="B5689" s="627" t="s">
        <v>13202</v>
      </c>
      <c r="C5689" s="626" t="s">
        <v>8</v>
      </c>
      <c r="D5689" s="626" t="s">
        <v>9187</v>
      </c>
      <c r="E5689" s="628" t="s">
        <v>23</v>
      </c>
      <c r="F5689" s="816" t="s">
        <v>14479</v>
      </c>
      <c r="G5689" s="816"/>
      <c r="H5689" s="816">
        <v>1.5938999999999998E-2</v>
      </c>
      <c r="I5689" s="816"/>
      <c r="J5689" s="817">
        <v>0.114</v>
      </c>
      <c r="K5689" s="817"/>
      <c r="L5689" s="817"/>
    </row>
    <row r="5690" spans="1:12" ht="14.25" customHeight="1">
      <c r="A5690" s="636"/>
      <c r="B5690" s="636"/>
      <c r="C5690" s="636"/>
      <c r="D5690" s="636"/>
      <c r="E5690" s="636"/>
      <c r="F5690" s="636"/>
      <c r="G5690" s="636"/>
      <c r="H5690" s="636"/>
      <c r="I5690" s="636"/>
      <c r="J5690" s="636" t="s">
        <v>13675</v>
      </c>
      <c r="K5690" s="636"/>
      <c r="L5690" s="636" t="s">
        <v>13865</v>
      </c>
    </row>
    <row r="5691" spans="1:12" ht="17.100000000000001" customHeight="1">
      <c r="A5691" s="802" t="s">
        <v>12720</v>
      </c>
      <c r="B5691" s="802"/>
      <c r="C5691" s="802"/>
      <c r="D5691" s="802"/>
      <c r="E5691" s="802"/>
      <c r="F5691" s="802"/>
      <c r="G5691" s="802"/>
      <c r="H5691" s="802"/>
      <c r="I5691" s="612"/>
      <c r="J5691" s="612"/>
      <c r="K5691" s="612"/>
      <c r="L5691" s="612"/>
    </row>
    <row r="5692" spans="1:12" ht="24" customHeight="1">
      <c r="A5692" s="612" t="s">
        <v>13679</v>
      </c>
      <c r="B5692" s="636" t="s">
        <v>12698</v>
      </c>
      <c r="C5692" s="612" t="s">
        <v>12699</v>
      </c>
      <c r="D5692" s="612" t="s">
        <v>12700</v>
      </c>
      <c r="E5692" s="637" t="s">
        <v>12702</v>
      </c>
      <c r="F5692" s="801" t="s">
        <v>12704</v>
      </c>
      <c r="G5692" s="801"/>
      <c r="H5692" s="801" t="s">
        <v>13678</v>
      </c>
      <c r="I5692" s="801"/>
      <c r="J5692" s="801" t="s">
        <v>12705</v>
      </c>
      <c r="K5692" s="801"/>
      <c r="L5692" s="801"/>
    </row>
    <row r="5693" spans="1:12" ht="24" customHeight="1">
      <c r="A5693" s="626" t="s">
        <v>12709</v>
      </c>
      <c r="B5693" s="627" t="s">
        <v>13523</v>
      </c>
      <c r="C5693" s="626" t="s">
        <v>8</v>
      </c>
      <c r="D5693" s="626" t="s">
        <v>12188</v>
      </c>
      <c r="E5693" s="628" t="s">
        <v>17</v>
      </c>
      <c r="F5693" s="816" t="s">
        <v>14237</v>
      </c>
      <c r="G5693" s="816"/>
      <c r="H5693" s="816">
        <v>1.0609999999999999</v>
      </c>
      <c r="I5693" s="816"/>
      <c r="J5693" s="817">
        <v>2.99</v>
      </c>
      <c r="K5693" s="817"/>
      <c r="L5693" s="817"/>
    </row>
    <row r="5694" spans="1:12" ht="17.100000000000001" customHeight="1">
      <c r="A5694" s="636"/>
      <c r="B5694" s="636"/>
      <c r="C5694" s="636"/>
      <c r="D5694" s="636"/>
      <c r="E5694" s="636"/>
      <c r="F5694" s="636"/>
      <c r="G5694" s="636"/>
      <c r="H5694" s="636"/>
      <c r="I5694" s="636"/>
      <c r="J5694" s="636" t="s">
        <v>13675</v>
      </c>
      <c r="K5694" s="636"/>
      <c r="L5694" s="636" t="s">
        <v>14665</v>
      </c>
    </row>
    <row r="5695" spans="1:12">
      <c r="A5695" s="802" t="s">
        <v>12722</v>
      </c>
      <c r="B5695" s="802"/>
      <c r="C5695" s="802"/>
      <c r="D5695" s="802"/>
      <c r="E5695" s="802"/>
      <c r="F5695" s="802"/>
      <c r="G5695" s="802"/>
      <c r="H5695" s="802"/>
      <c r="I5695" s="612"/>
      <c r="J5695" s="612"/>
      <c r="K5695" s="612"/>
      <c r="L5695" s="612"/>
    </row>
    <row r="5696" spans="1:12" ht="17.100000000000001" customHeight="1">
      <c r="A5696" s="612" t="s">
        <v>13679</v>
      </c>
      <c r="B5696" s="636" t="s">
        <v>12698</v>
      </c>
      <c r="C5696" s="612" t="s">
        <v>12699</v>
      </c>
      <c r="D5696" s="612" t="s">
        <v>12700</v>
      </c>
      <c r="E5696" s="637" t="s">
        <v>12702</v>
      </c>
      <c r="F5696" s="801" t="s">
        <v>12704</v>
      </c>
      <c r="G5696" s="801"/>
      <c r="H5696" s="801" t="s">
        <v>13678</v>
      </c>
      <c r="I5696" s="801"/>
      <c r="J5696" s="801" t="s">
        <v>12705</v>
      </c>
      <c r="K5696" s="801"/>
      <c r="L5696" s="801"/>
    </row>
    <row r="5697" spans="1:12" ht="24" customHeight="1">
      <c r="A5697" s="626" t="s">
        <v>12709</v>
      </c>
      <c r="B5697" s="627" t="s">
        <v>12998</v>
      </c>
      <c r="C5697" s="626" t="s">
        <v>8</v>
      </c>
      <c r="D5697" s="626" t="s">
        <v>11861</v>
      </c>
      <c r="E5697" s="628" t="s">
        <v>23</v>
      </c>
      <c r="F5697" s="816" t="s">
        <v>13683</v>
      </c>
      <c r="G5697" s="816"/>
      <c r="H5697" s="816">
        <v>3.1179800000000001E-2</v>
      </c>
      <c r="I5697" s="816"/>
      <c r="J5697" s="817">
        <v>2.2100000000000002E-2</v>
      </c>
      <c r="K5697" s="817"/>
      <c r="L5697" s="817"/>
    </row>
    <row r="5698" spans="1:12" ht="17.100000000000001" customHeight="1">
      <c r="A5698" s="636"/>
      <c r="B5698" s="636"/>
      <c r="C5698" s="636"/>
      <c r="D5698" s="636"/>
      <c r="E5698" s="636"/>
      <c r="F5698" s="636"/>
      <c r="G5698" s="636"/>
      <c r="H5698" s="636"/>
      <c r="I5698" s="636"/>
      <c r="J5698" s="636" t="s">
        <v>13675</v>
      </c>
      <c r="K5698" s="636"/>
      <c r="L5698" s="636" t="s">
        <v>13680</v>
      </c>
    </row>
    <row r="5699" spans="1:12">
      <c r="A5699" s="802" t="s">
        <v>12713</v>
      </c>
      <c r="B5699" s="802"/>
      <c r="C5699" s="802"/>
      <c r="D5699" s="802"/>
      <c r="E5699" s="802"/>
      <c r="F5699" s="802"/>
      <c r="G5699" s="802"/>
      <c r="H5699" s="802"/>
      <c r="I5699" s="612"/>
      <c r="J5699" s="612"/>
      <c r="K5699" s="612"/>
      <c r="L5699" s="612"/>
    </row>
    <row r="5700" spans="1:12" ht="17.100000000000001" customHeight="1">
      <c r="A5700" s="612" t="s">
        <v>13679</v>
      </c>
      <c r="B5700" s="636" t="s">
        <v>12698</v>
      </c>
      <c r="C5700" s="612" t="s">
        <v>12699</v>
      </c>
      <c r="D5700" s="612" t="s">
        <v>12700</v>
      </c>
      <c r="E5700" s="637" t="s">
        <v>12702</v>
      </c>
      <c r="F5700" s="801" t="s">
        <v>12704</v>
      </c>
      <c r="G5700" s="801"/>
      <c r="H5700" s="801" t="s">
        <v>13678</v>
      </c>
      <c r="I5700" s="801"/>
      <c r="J5700" s="801" t="s">
        <v>12705</v>
      </c>
      <c r="K5700" s="801"/>
      <c r="L5700" s="801"/>
    </row>
    <row r="5701" spans="1:12" ht="24" customHeight="1">
      <c r="A5701" s="626" t="s">
        <v>12709</v>
      </c>
      <c r="B5701" s="627" t="s">
        <v>12999</v>
      </c>
      <c r="C5701" s="626" t="s">
        <v>8</v>
      </c>
      <c r="D5701" s="626" t="s">
        <v>11251</v>
      </c>
      <c r="E5701" s="628" t="s">
        <v>23</v>
      </c>
      <c r="F5701" s="816" t="s">
        <v>13681</v>
      </c>
      <c r="G5701" s="816"/>
      <c r="H5701" s="816">
        <v>3.1179800000000001E-2</v>
      </c>
      <c r="I5701" s="816"/>
      <c r="J5701" s="817">
        <v>2.2000000000000001E-3</v>
      </c>
      <c r="K5701" s="817"/>
      <c r="L5701" s="817"/>
    </row>
    <row r="5702" spans="1:12" ht="17.100000000000001" customHeight="1">
      <c r="A5702" s="636"/>
      <c r="B5702" s="636"/>
      <c r="C5702" s="636"/>
      <c r="D5702" s="636"/>
      <c r="E5702" s="636"/>
      <c r="F5702" s="636"/>
      <c r="G5702" s="636"/>
      <c r="H5702" s="636"/>
      <c r="I5702" s="636"/>
      <c r="J5702" s="636" t="s">
        <v>13675</v>
      </c>
      <c r="K5702" s="636"/>
      <c r="L5702" s="636" t="s">
        <v>13727</v>
      </c>
    </row>
    <row r="5703" spans="1:12">
      <c r="A5703" s="802" t="s">
        <v>12712</v>
      </c>
      <c r="B5703" s="802"/>
      <c r="C5703" s="802"/>
      <c r="D5703" s="802"/>
      <c r="E5703" s="802"/>
      <c r="F5703" s="802"/>
      <c r="G5703" s="802"/>
      <c r="H5703" s="802"/>
      <c r="I5703" s="612"/>
      <c r="J5703" s="612"/>
      <c r="K5703" s="612"/>
      <c r="L5703" s="612"/>
    </row>
    <row r="5704" spans="1:12" ht="17.100000000000001" customHeight="1">
      <c r="A5704" s="612" t="s">
        <v>13679</v>
      </c>
      <c r="B5704" s="636" t="s">
        <v>12698</v>
      </c>
      <c r="C5704" s="612" t="s">
        <v>12699</v>
      </c>
      <c r="D5704" s="612" t="s">
        <v>12700</v>
      </c>
      <c r="E5704" s="637" t="s">
        <v>12702</v>
      </c>
      <c r="F5704" s="801" t="s">
        <v>12704</v>
      </c>
      <c r="G5704" s="801"/>
      <c r="H5704" s="801" t="s">
        <v>13678</v>
      </c>
      <c r="I5704" s="801"/>
      <c r="J5704" s="801" t="s">
        <v>12705</v>
      </c>
      <c r="K5704" s="801"/>
      <c r="L5704" s="801"/>
    </row>
    <row r="5705" spans="1:12" ht="24" customHeight="1">
      <c r="A5705" s="626" t="s">
        <v>12709</v>
      </c>
      <c r="B5705" s="627" t="s">
        <v>13002</v>
      </c>
      <c r="C5705" s="626" t="s">
        <v>8</v>
      </c>
      <c r="D5705" s="626" t="s">
        <v>9306</v>
      </c>
      <c r="E5705" s="628" t="s">
        <v>23</v>
      </c>
      <c r="F5705" s="816" t="s">
        <v>13677</v>
      </c>
      <c r="G5705" s="816"/>
      <c r="H5705" s="816">
        <v>3.1179800000000001E-2</v>
      </c>
      <c r="I5705" s="816"/>
      <c r="J5705" s="817">
        <v>1.09E-2</v>
      </c>
      <c r="K5705" s="817"/>
      <c r="L5705" s="817"/>
    </row>
    <row r="5706" spans="1:12" ht="17.100000000000001" customHeight="1">
      <c r="A5706" s="626" t="s">
        <v>12709</v>
      </c>
      <c r="B5706" s="627" t="s">
        <v>13004</v>
      </c>
      <c r="C5706" s="626" t="s">
        <v>8</v>
      </c>
      <c r="D5706" s="626" t="s">
        <v>7388</v>
      </c>
      <c r="E5706" s="628" t="s">
        <v>23</v>
      </c>
      <c r="F5706" s="816" t="s">
        <v>13676</v>
      </c>
      <c r="G5706" s="816"/>
      <c r="H5706" s="816">
        <v>3.1179800000000001E-2</v>
      </c>
      <c r="I5706" s="816"/>
      <c r="J5706" s="817">
        <v>6.8599999999999994E-2</v>
      </c>
      <c r="K5706" s="817"/>
      <c r="L5706" s="817"/>
    </row>
    <row r="5707" spans="1:12">
      <c r="A5707" s="636"/>
      <c r="B5707" s="636"/>
      <c r="C5707" s="636"/>
      <c r="D5707" s="636"/>
      <c r="E5707" s="636"/>
      <c r="F5707" s="636"/>
      <c r="G5707" s="636"/>
      <c r="H5707" s="636"/>
      <c r="I5707" s="636"/>
      <c r="J5707" s="636" t="s">
        <v>13675</v>
      </c>
      <c r="K5707" s="636"/>
      <c r="L5707" s="636" t="s">
        <v>13892</v>
      </c>
    </row>
    <row r="5708" spans="1:12" ht="17.100000000000001" customHeight="1">
      <c r="A5708" s="612" t="s">
        <v>13673</v>
      </c>
      <c r="B5708" s="612"/>
      <c r="C5708" s="612"/>
      <c r="D5708" s="612"/>
      <c r="E5708" s="612"/>
      <c r="F5708" s="612"/>
      <c r="G5708" s="612"/>
      <c r="H5708" s="612"/>
      <c r="I5708" s="612"/>
      <c r="J5708" s="612"/>
      <c r="K5708" s="612"/>
      <c r="L5708" s="612"/>
    </row>
    <row r="5709" spans="1:12" ht="24" customHeight="1">
      <c r="A5709" s="636"/>
      <c r="B5709" s="636"/>
      <c r="C5709" s="636"/>
      <c r="D5709" s="636"/>
      <c r="E5709" s="636"/>
      <c r="F5709" s="636"/>
      <c r="G5709" s="636"/>
      <c r="H5709" s="636"/>
      <c r="I5709" s="636"/>
      <c r="J5709" s="636" t="s">
        <v>13672</v>
      </c>
      <c r="K5709" s="636"/>
      <c r="L5709" s="636" t="s">
        <v>15285</v>
      </c>
    </row>
    <row r="5710" spans="1:12" ht="24" customHeight="1">
      <c r="A5710" s="636"/>
      <c r="B5710" s="636"/>
      <c r="C5710" s="636"/>
      <c r="D5710" s="636"/>
      <c r="E5710" s="636"/>
      <c r="F5710" s="636"/>
      <c r="G5710" s="636"/>
      <c r="H5710" s="636"/>
      <c r="I5710" s="636"/>
      <c r="J5710" s="636" t="s">
        <v>13671</v>
      </c>
      <c r="K5710" s="636" t="s">
        <v>14461</v>
      </c>
      <c r="L5710" s="636" t="s">
        <v>15286</v>
      </c>
    </row>
    <row r="5711" spans="1:12" ht="17.100000000000001" customHeight="1">
      <c r="A5711" s="636"/>
      <c r="B5711" s="636"/>
      <c r="C5711" s="636"/>
      <c r="D5711" s="636"/>
      <c r="E5711" s="636"/>
      <c r="F5711" s="636"/>
      <c r="G5711" s="636"/>
      <c r="H5711" s="636"/>
      <c r="I5711" s="636"/>
      <c r="J5711" s="636" t="s">
        <v>13670</v>
      </c>
      <c r="K5711" s="636"/>
      <c r="L5711" s="636" t="s">
        <v>15287</v>
      </c>
    </row>
    <row r="5712" spans="1:12" ht="17.100000000000001" customHeight="1">
      <c r="A5712" s="636"/>
      <c r="B5712" s="636"/>
      <c r="C5712" s="636"/>
      <c r="D5712" s="636"/>
      <c r="E5712" s="636"/>
      <c r="F5712" s="636"/>
      <c r="G5712" s="636"/>
      <c r="H5712" s="636"/>
      <c r="I5712" s="636"/>
      <c r="J5712" s="636" t="s">
        <v>13669</v>
      </c>
      <c r="K5712" s="636" t="s">
        <v>13667</v>
      </c>
      <c r="L5712" s="636" t="s">
        <v>15288</v>
      </c>
    </row>
    <row r="5713" spans="1:12" ht="17.100000000000001" customHeight="1">
      <c r="A5713" s="636"/>
      <c r="B5713" s="636"/>
      <c r="C5713" s="636"/>
      <c r="D5713" s="636"/>
      <c r="E5713" s="636"/>
      <c r="F5713" s="636"/>
      <c r="G5713" s="636"/>
      <c r="H5713" s="636"/>
      <c r="I5713" s="636"/>
      <c r="J5713" s="636" t="s">
        <v>13668</v>
      </c>
      <c r="K5713" s="636"/>
      <c r="L5713" s="636" t="s">
        <v>15289</v>
      </c>
    </row>
    <row r="5714" spans="1:12" ht="17.100000000000001" customHeight="1">
      <c r="A5714" s="637"/>
      <c r="B5714" s="637"/>
      <c r="C5714" s="637"/>
      <c r="D5714" s="637"/>
      <c r="E5714" s="637"/>
      <c r="F5714" s="637"/>
      <c r="G5714" s="637"/>
      <c r="H5714" s="637"/>
      <c r="I5714" s="637"/>
      <c r="J5714" s="637"/>
      <c r="K5714" s="637"/>
      <c r="L5714" s="637"/>
    </row>
    <row r="5715" spans="1:12" ht="17.100000000000001" customHeight="1">
      <c r="A5715" s="616" t="s">
        <v>14056</v>
      </c>
      <c r="B5715" s="617" t="s">
        <v>13522</v>
      </c>
      <c r="C5715" s="616" t="s">
        <v>8</v>
      </c>
      <c r="D5715" s="616" t="s">
        <v>1793</v>
      </c>
      <c r="E5715" s="618" t="s">
        <v>17</v>
      </c>
      <c r="F5715" s="617"/>
      <c r="G5715" s="617"/>
      <c r="H5715" s="617"/>
      <c r="I5715" s="617"/>
      <c r="J5715" s="617"/>
      <c r="K5715" s="617"/>
      <c r="L5715" s="617"/>
    </row>
    <row r="5716" spans="1:12" ht="17.100000000000001" customHeight="1">
      <c r="A5716" s="802" t="s">
        <v>12711</v>
      </c>
      <c r="B5716" s="802"/>
      <c r="C5716" s="802"/>
      <c r="D5716" s="802"/>
      <c r="E5716" s="802"/>
      <c r="F5716" s="802"/>
      <c r="G5716" s="802"/>
      <c r="H5716" s="802"/>
      <c r="I5716" s="612"/>
      <c r="J5716" s="612"/>
      <c r="K5716" s="612"/>
      <c r="L5716" s="612"/>
    </row>
    <row r="5717" spans="1:12" ht="17.100000000000001" customHeight="1">
      <c r="A5717" s="612" t="s">
        <v>13679</v>
      </c>
      <c r="B5717" s="636" t="s">
        <v>12698</v>
      </c>
      <c r="C5717" s="612" t="s">
        <v>12699</v>
      </c>
      <c r="D5717" s="612" t="s">
        <v>12700</v>
      </c>
      <c r="E5717" s="637" t="s">
        <v>12702</v>
      </c>
      <c r="F5717" s="801" t="s">
        <v>12704</v>
      </c>
      <c r="G5717" s="801"/>
      <c r="H5717" s="801" t="s">
        <v>13678</v>
      </c>
      <c r="I5717" s="801"/>
      <c r="J5717" s="801" t="s">
        <v>12705</v>
      </c>
      <c r="K5717" s="801"/>
      <c r="L5717" s="801"/>
    </row>
    <row r="5718" spans="1:12" ht="30" customHeight="1">
      <c r="A5718" s="626" t="s">
        <v>12709</v>
      </c>
      <c r="B5718" s="627" t="s">
        <v>13201</v>
      </c>
      <c r="C5718" s="626" t="s">
        <v>8</v>
      </c>
      <c r="D5718" s="626" t="s">
        <v>9221</v>
      </c>
      <c r="E5718" s="628" t="s">
        <v>23</v>
      </c>
      <c r="F5718" s="816" t="s">
        <v>13705</v>
      </c>
      <c r="G5718" s="816"/>
      <c r="H5718" s="816">
        <v>3.8161500000000001E-2</v>
      </c>
      <c r="I5718" s="816"/>
      <c r="J5718" s="817">
        <v>3.1699999999999999E-2</v>
      </c>
      <c r="K5718" s="817"/>
      <c r="L5718" s="817"/>
    </row>
    <row r="5719" spans="1:12" ht="24" customHeight="1">
      <c r="A5719" s="626" t="s">
        <v>12709</v>
      </c>
      <c r="B5719" s="627" t="s">
        <v>13200</v>
      </c>
      <c r="C5719" s="626" t="s">
        <v>8</v>
      </c>
      <c r="D5719" s="626" t="s">
        <v>9368</v>
      </c>
      <c r="E5719" s="628" t="s">
        <v>23</v>
      </c>
      <c r="F5719" s="816" t="s">
        <v>13704</v>
      </c>
      <c r="G5719" s="816"/>
      <c r="H5719" s="816">
        <v>3.8161500000000001E-2</v>
      </c>
      <c r="I5719" s="816"/>
      <c r="J5719" s="817">
        <v>9.1999999999999998E-3</v>
      </c>
      <c r="K5719" s="817"/>
      <c r="L5719" s="817"/>
    </row>
    <row r="5720" spans="1:12" ht="14.25" customHeight="1">
      <c r="A5720" s="636"/>
      <c r="B5720" s="636"/>
      <c r="C5720" s="636"/>
      <c r="D5720" s="636"/>
      <c r="E5720" s="636"/>
      <c r="F5720" s="636"/>
      <c r="G5720" s="636"/>
      <c r="H5720" s="636"/>
      <c r="I5720" s="636"/>
      <c r="J5720" s="636" t="s">
        <v>13675</v>
      </c>
      <c r="K5720" s="636"/>
      <c r="L5720" s="636" t="s">
        <v>13716</v>
      </c>
    </row>
    <row r="5721" spans="1:12" ht="17.100000000000001" customHeight="1">
      <c r="A5721" s="802" t="s">
        <v>12710</v>
      </c>
      <c r="B5721" s="802"/>
      <c r="C5721" s="802"/>
      <c r="D5721" s="802"/>
      <c r="E5721" s="802"/>
      <c r="F5721" s="802"/>
      <c r="G5721" s="802"/>
      <c r="H5721" s="802"/>
      <c r="I5721" s="612"/>
      <c r="J5721" s="612"/>
      <c r="K5721" s="612"/>
      <c r="L5721" s="612"/>
    </row>
    <row r="5722" spans="1:12" ht="24" customHeight="1">
      <c r="A5722" s="612" t="s">
        <v>13679</v>
      </c>
      <c r="B5722" s="636" t="s">
        <v>12698</v>
      </c>
      <c r="C5722" s="612" t="s">
        <v>12699</v>
      </c>
      <c r="D5722" s="612" t="s">
        <v>12700</v>
      </c>
      <c r="E5722" s="637" t="s">
        <v>12702</v>
      </c>
      <c r="F5722" s="801" t="s">
        <v>12704</v>
      </c>
      <c r="G5722" s="801"/>
      <c r="H5722" s="801" t="s">
        <v>13678</v>
      </c>
      <c r="I5722" s="801"/>
      <c r="J5722" s="801" t="s">
        <v>12705</v>
      </c>
      <c r="K5722" s="801"/>
      <c r="L5722" s="801"/>
    </row>
    <row r="5723" spans="1:12" ht="24" customHeight="1">
      <c r="A5723" s="626" t="s">
        <v>12709</v>
      </c>
      <c r="B5723" s="627" t="s">
        <v>13220</v>
      </c>
      <c r="C5723" s="626" t="s">
        <v>8</v>
      </c>
      <c r="D5723" s="626" t="s">
        <v>7592</v>
      </c>
      <c r="E5723" s="628" t="s">
        <v>23</v>
      </c>
      <c r="F5723" s="816" t="s">
        <v>13890</v>
      </c>
      <c r="G5723" s="816"/>
      <c r="H5723" s="816">
        <v>1.9480999999999998E-2</v>
      </c>
      <c r="I5723" s="816"/>
      <c r="J5723" s="817">
        <v>9.8599999999999993E-2</v>
      </c>
      <c r="K5723" s="817"/>
      <c r="L5723" s="817"/>
    </row>
    <row r="5724" spans="1:12" ht="17.100000000000001" customHeight="1">
      <c r="A5724" s="626" t="s">
        <v>12709</v>
      </c>
      <c r="B5724" s="627" t="s">
        <v>13202</v>
      </c>
      <c r="C5724" s="626" t="s">
        <v>8</v>
      </c>
      <c r="D5724" s="626" t="s">
        <v>9187</v>
      </c>
      <c r="E5724" s="628" t="s">
        <v>23</v>
      </c>
      <c r="F5724" s="816" t="s">
        <v>14479</v>
      </c>
      <c r="G5724" s="816"/>
      <c r="H5724" s="816">
        <v>1.9480999999999998E-2</v>
      </c>
      <c r="I5724" s="816"/>
      <c r="J5724" s="817">
        <v>0.13930000000000001</v>
      </c>
      <c r="K5724" s="817"/>
      <c r="L5724" s="817"/>
    </row>
    <row r="5725" spans="1:12" ht="14.25" customHeight="1">
      <c r="A5725" s="636"/>
      <c r="B5725" s="636"/>
      <c r="C5725" s="636"/>
      <c r="D5725" s="636"/>
      <c r="E5725" s="636"/>
      <c r="F5725" s="636"/>
      <c r="G5725" s="636"/>
      <c r="H5725" s="636"/>
      <c r="I5725" s="636"/>
      <c r="J5725" s="636" t="s">
        <v>13675</v>
      </c>
      <c r="K5725" s="636"/>
      <c r="L5725" s="636" t="s">
        <v>13704</v>
      </c>
    </row>
    <row r="5726" spans="1:12" ht="17.100000000000001" customHeight="1">
      <c r="A5726" s="802" t="s">
        <v>12720</v>
      </c>
      <c r="B5726" s="802"/>
      <c r="C5726" s="802"/>
      <c r="D5726" s="802"/>
      <c r="E5726" s="802"/>
      <c r="F5726" s="802"/>
      <c r="G5726" s="802"/>
      <c r="H5726" s="802"/>
      <c r="I5726" s="612"/>
      <c r="J5726" s="612"/>
      <c r="K5726" s="612"/>
      <c r="L5726" s="612"/>
    </row>
    <row r="5727" spans="1:12" ht="24" customHeight="1">
      <c r="A5727" s="612" t="s">
        <v>13679</v>
      </c>
      <c r="B5727" s="636" t="s">
        <v>12698</v>
      </c>
      <c r="C5727" s="612" t="s">
        <v>12699</v>
      </c>
      <c r="D5727" s="612" t="s">
        <v>12700</v>
      </c>
      <c r="E5727" s="637" t="s">
        <v>12702</v>
      </c>
      <c r="F5727" s="801" t="s">
        <v>12704</v>
      </c>
      <c r="G5727" s="801"/>
      <c r="H5727" s="801" t="s">
        <v>13678</v>
      </c>
      <c r="I5727" s="801"/>
      <c r="J5727" s="801" t="s">
        <v>12705</v>
      </c>
      <c r="K5727" s="801"/>
      <c r="L5727" s="801"/>
    </row>
    <row r="5728" spans="1:12" ht="24" customHeight="1">
      <c r="A5728" s="626" t="s">
        <v>12709</v>
      </c>
      <c r="B5728" s="627" t="s">
        <v>13521</v>
      </c>
      <c r="C5728" s="626" t="s">
        <v>8</v>
      </c>
      <c r="D5728" s="626" t="s">
        <v>12189</v>
      </c>
      <c r="E5728" s="628" t="s">
        <v>17</v>
      </c>
      <c r="F5728" s="816" t="s">
        <v>14664</v>
      </c>
      <c r="G5728" s="816"/>
      <c r="H5728" s="816">
        <v>1.0609999999999999</v>
      </c>
      <c r="I5728" s="816"/>
      <c r="J5728" s="817">
        <v>6.71</v>
      </c>
      <c r="K5728" s="817"/>
      <c r="L5728" s="817"/>
    </row>
    <row r="5729" spans="1:12" ht="17.100000000000001" customHeight="1">
      <c r="A5729" s="636"/>
      <c r="B5729" s="636"/>
      <c r="C5729" s="636"/>
      <c r="D5729" s="636"/>
      <c r="E5729" s="636"/>
      <c r="F5729" s="636"/>
      <c r="G5729" s="636"/>
      <c r="H5729" s="636"/>
      <c r="I5729" s="636"/>
      <c r="J5729" s="636" t="s">
        <v>13675</v>
      </c>
      <c r="K5729" s="636"/>
      <c r="L5729" s="636" t="s">
        <v>14663</v>
      </c>
    </row>
    <row r="5730" spans="1:12">
      <c r="A5730" s="802" t="s">
        <v>12722</v>
      </c>
      <c r="B5730" s="802"/>
      <c r="C5730" s="802"/>
      <c r="D5730" s="802"/>
      <c r="E5730" s="802"/>
      <c r="F5730" s="802"/>
      <c r="G5730" s="802"/>
      <c r="H5730" s="802"/>
      <c r="I5730" s="612"/>
      <c r="J5730" s="612"/>
      <c r="K5730" s="612"/>
      <c r="L5730" s="612"/>
    </row>
    <row r="5731" spans="1:12" ht="17.100000000000001" customHeight="1">
      <c r="A5731" s="612" t="s">
        <v>13679</v>
      </c>
      <c r="B5731" s="636" t="s">
        <v>12698</v>
      </c>
      <c r="C5731" s="612" t="s">
        <v>12699</v>
      </c>
      <c r="D5731" s="612" t="s">
        <v>12700</v>
      </c>
      <c r="E5731" s="637" t="s">
        <v>12702</v>
      </c>
      <c r="F5731" s="801" t="s">
        <v>12704</v>
      </c>
      <c r="G5731" s="801"/>
      <c r="H5731" s="801" t="s">
        <v>13678</v>
      </c>
      <c r="I5731" s="801"/>
      <c r="J5731" s="801" t="s">
        <v>12705</v>
      </c>
      <c r="K5731" s="801"/>
      <c r="L5731" s="801"/>
    </row>
    <row r="5732" spans="1:12" ht="24" customHeight="1">
      <c r="A5732" s="626" t="s">
        <v>12709</v>
      </c>
      <c r="B5732" s="627" t="s">
        <v>12998</v>
      </c>
      <c r="C5732" s="626" t="s">
        <v>8</v>
      </c>
      <c r="D5732" s="626" t="s">
        <v>11861</v>
      </c>
      <c r="E5732" s="628" t="s">
        <v>23</v>
      </c>
      <c r="F5732" s="816" t="s">
        <v>13683</v>
      </c>
      <c r="G5732" s="816"/>
      <c r="H5732" s="816">
        <v>3.8161500000000001E-2</v>
      </c>
      <c r="I5732" s="816"/>
      <c r="J5732" s="817">
        <v>2.7099999999999999E-2</v>
      </c>
      <c r="K5732" s="817"/>
      <c r="L5732" s="817"/>
    </row>
    <row r="5733" spans="1:12" ht="24" customHeight="1">
      <c r="A5733" s="636"/>
      <c r="B5733" s="636"/>
      <c r="C5733" s="636"/>
      <c r="D5733" s="636"/>
      <c r="E5733" s="636"/>
      <c r="F5733" s="636"/>
      <c r="G5733" s="636"/>
      <c r="H5733" s="636"/>
      <c r="I5733" s="636"/>
      <c r="J5733" s="636" t="s">
        <v>13675</v>
      </c>
      <c r="K5733" s="636"/>
      <c r="L5733" s="636" t="s">
        <v>13726</v>
      </c>
    </row>
    <row r="5734" spans="1:12" ht="17.100000000000001" customHeight="1">
      <c r="A5734" s="802" t="s">
        <v>12713</v>
      </c>
      <c r="B5734" s="802"/>
      <c r="C5734" s="802"/>
      <c r="D5734" s="802"/>
      <c r="E5734" s="802"/>
      <c r="F5734" s="802"/>
      <c r="G5734" s="802"/>
      <c r="H5734" s="802"/>
      <c r="I5734" s="612"/>
      <c r="J5734" s="612"/>
      <c r="K5734" s="612"/>
      <c r="L5734" s="612"/>
    </row>
    <row r="5735" spans="1:12">
      <c r="A5735" s="612" t="s">
        <v>13679</v>
      </c>
      <c r="B5735" s="636" t="s">
        <v>12698</v>
      </c>
      <c r="C5735" s="612" t="s">
        <v>12699</v>
      </c>
      <c r="D5735" s="612" t="s">
        <v>12700</v>
      </c>
      <c r="E5735" s="637" t="s">
        <v>12702</v>
      </c>
      <c r="F5735" s="801" t="s">
        <v>12704</v>
      </c>
      <c r="G5735" s="801"/>
      <c r="H5735" s="801" t="s">
        <v>13678</v>
      </c>
      <c r="I5735" s="801"/>
      <c r="J5735" s="801" t="s">
        <v>12705</v>
      </c>
      <c r="K5735" s="801"/>
      <c r="L5735" s="801"/>
    </row>
    <row r="5736" spans="1:12" ht="17.100000000000001" customHeight="1">
      <c r="A5736" s="626" t="s">
        <v>12709</v>
      </c>
      <c r="B5736" s="627" t="s">
        <v>12999</v>
      </c>
      <c r="C5736" s="626" t="s">
        <v>8</v>
      </c>
      <c r="D5736" s="626" t="s">
        <v>11251</v>
      </c>
      <c r="E5736" s="628" t="s">
        <v>23</v>
      </c>
      <c r="F5736" s="816" t="s">
        <v>13681</v>
      </c>
      <c r="G5736" s="816"/>
      <c r="H5736" s="816">
        <v>3.8161500000000001E-2</v>
      </c>
      <c r="I5736" s="816"/>
      <c r="J5736" s="817">
        <v>2.7000000000000001E-3</v>
      </c>
      <c r="K5736" s="817"/>
      <c r="L5736" s="817"/>
    </row>
    <row r="5737" spans="1:12" ht="24" customHeight="1">
      <c r="A5737" s="636"/>
      <c r="B5737" s="636"/>
      <c r="C5737" s="636"/>
      <c r="D5737" s="636"/>
      <c r="E5737" s="636"/>
      <c r="F5737" s="636"/>
      <c r="G5737" s="636"/>
      <c r="H5737" s="636"/>
      <c r="I5737" s="636"/>
      <c r="J5737" s="636" t="s">
        <v>13675</v>
      </c>
      <c r="K5737" s="636"/>
      <c r="L5737" s="636" t="s">
        <v>13727</v>
      </c>
    </row>
    <row r="5738" spans="1:12" ht="17.100000000000001" customHeight="1">
      <c r="A5738" s="802" t="s">
        <v>12712</v>
      </c>
      <c r="B5738" s="802"/>
      <c r="C5738" s="802"/>
      <c r="D5738" s="802"/>
      <c r="E5738" s="802"/>
      <c r="F5738" s="802"/>
      <c r="G5738" s="802"/>
      <c r="H5738" s="802"/>
      <c r="I5738" s="612"/>
      <c r="J5738" s="612"/>
      <c r="K5738" s="612"/>
      <c r="L5738" s="612"/>
    </row>
    <row r="5739" spans="1:12">
      <c r="A5739" s="612" t="s">
        <v>13679</v>
      </c>
      <c r="B5739" s="636" t="s">
        <v>12698</v>
      </c>
      <c r="C5739" s="612" t="s">
        <v>12699</v>
      </c>
      <c r="D5739" s="612" t="s">
        <v>12700</v>
      </c>
      <c r="E5739" s="637" t="s">
        <v>12702</v>
      </c>
      <c r="F5739" s="801" t="s">
        <v>12704</v>
      </c>
      <c r="G5739" s="801"/>
      <c r="H5739" s="801" t="s">
        <v>13678</v>
      </c>
      <c r="I5739" s="801"/>
      <c r="J5739" s="801" t="s">
        <v>12705</v>
      </c>
      <c r="K5739" s="801"/>
      <c r="L5739" s="801"/>
    </row>
    <row r="5740" spans="1:12" ht="17.100000000000001" customHeight="1">
      <c r="A5740" s="626" t="s">
        <v>12709</v>
      </c>
      <c r="B5740" s="627" t="s">
        <v>13002</v>
      </c>
      <c r="C5740" s="626" t="s">
        <v>8</v>
      </c>
      <c r="D5740" s="626" t="s">
        <v>9306</v>
      </c>
      <c r="E5740" s="628" t="s">
        <v>23</v>
      </c>
      <c r="F5740" s="816" t="s">
        <v>13677</v>
      </c>
      <c r="G5740" s="816"/>
      <c r="H5740" s="816">
        <v>3.8161500000000001E-2</v>
      </c>
      <c r="I5740" s="816"/>
      <c r="J5740" s="817">
        <v>1.34E-2</v>
      </c>
      <c r="K5740" s="817"/>
      <c r="L5740" s="817"/>
    </row>
    <row r="5741" spans="1:12" ht="24" customHeight="1">
      <c r="A5741" s="626" t="s">
        <v>12709</v>
      </c>
      <c r="B5741" s="627" t="s">
        <v>13004</v>
      </c>
      <c r="C5741" s="626" t="s">
        <v>8</v>
      </c>
      <c r="D5741" s="626" t="s">
        <v>7388</v>
      </c>
      <c r="E5741" s="628" t="s">
        <v>23</v>
      </c>
      <c r="F5741" s="816" t="s">
        <v>13676</v>
      </c>
      <c r="G5741" s="816"/>
      <c r="H5741" s="816">
        <v>3.8161500000000001E-2</v>
      </c>
      <c r="I5741" s="816"/>
      <c r="J5741" s="817">
        <v>8.4000000000000005E-2</v>
      </c>
      <c r="K5741" s="817"/>
      <c r="L5741" s="817"/>
    </row>
    <row r="5742" spans="1:12" ht="17.100000000000001" customHeight="1">
      <c r="A5742" s="636"/>
      <c r="B5742" s="636"/>
      <c r="C5742" s="636"/>
      <c r="D5742" s="636"/>
      <c r="E5742" s="636"/>
      <c r="F5742" s="636"/>
      <c r="G5742" s="636"/>
      <c r="H5742" s="636"/>
      <c r="I5742" s="636"/>
      <c r="J5742" s="636" t="s">
        <v>13675</v>
      </c>
      <c r="K5742" s="636"/>
      <c r="L5742" s="636" t="s">
        <v>13882</v>
      </c>
    </row>
    <row r="5743" spans="1:12">
      <c r="A5743" s="612" t="s">
        <v>13673</v>
      </c>
      <c r="B5743" s="612"/>
      <c r="C5743" s="612"/>
      <c r="D5743" s="612"/>
      <c r="E5743" s="612"/>
      <c r="F5743" s="612"/>
      <c r="G5743" s="612"/>
      <c r="H5743" s="612"/>
      <c r="I5743" s="612"/>
      <c r="J5743" s="612"/>
      <c r="K5743" s="612"/>
      <c r="L5743" s="612"/>
    </row>
    <row r="5744" spans="1:12" ht="17.100000000000001" customHeight="1">
      <c r="A5744" s="636"/>
      <c r="B5744" s="636"/>
      <c r="C5744" s="636"/>
      <c r="D5744" s="636"/>
      <c r="E5744" s="636"/>
      <c r="F5744" s="636"/>
      <c r="G5744" s="636"/>
      <c r="H5744" s="636"/>
      <c r="I5744" s="636"/>
      <c r="J5744" s="636" t="s">
        <v>13672</v>
      </c>
      <c r="K5744" s="636"/>
      <c r="L5744" s="636" t="s">
        <v>15290</v>
      </c>
    </row>
    <row r="5745" spans="1:12" ht="24" customHeight="1">
      <c r="A5745" s="636"/>
      <c r="B5745" s="636"/>
      <c r="C5745" s="636"/>
      <c r="D5745" s="636"/>
      <c r="E5745" s="636"/>
      <c r="F5745" s="636"/>
      <c r="G5745" s="636"/>
      <c r="H5745" s="636"/>
      <c r="I5745" s="636"/>
      <c r="J5745" s="636" t="s">
        <v>13671</v>
      </c>
      <c r="K5745" s="636" t="s">
        <v>14461</v>
      </c>
      <c r="L5745" s="636" t="s">
        <v>15291</v>
      </c>
    </row>
    <row r="5746" spans="1:12" ht="24" customHeight="1">
      <c r="A5746" s="636"/>
      <c r="B5746" s="636"/>
      <c r="C5746" s="636"/>
      <c r="D5746" s="636"/>
      <c r="E5746" s="636"/>
      <c r="F5746" s="636"/>
      <c r="G5746" s="636"/>
      <c r="H5746" s="636"/>
      <c r="I5746" s="636"/>
      <c r="J5746" s="636" t="s">
        <v>13670</v>
      </c>
      <c r="K5746" s="636"/>
      <c r="L5746" s="636" t="s">
        <v>15292</v>
      </c>
    </row>
    <row r="5747" spans="1:12" ht="17.100000000000001" customHeight="1">
      <c r="A5747" s="636"/>
      <c r="B5747" s="636"/>
      <c r="C5747" s="636"/>
      <c r="D5747" s="636"/>
      <c r="E5747" s="636"/>
      <c r="F5747" s="636"/>
      <c r="G5747" s="636"/>
      <c r="H5747" s="636"/>
      <c r="I5747" s="636"/>
      <c r="J5747" s="636" t="s">
        <v>13669</v>
      </c>
      <c r="K5747" s="636" t="s">
        <v>13667</v>
      </c>
      <c r="L5747" s="636" t="s">
        <v>15293</v>
      </c>
    </row>
    <row r="5748" spans="1:12" ht="17.100000000000001" customHeight="1">
      <c r="A5748" s="636"/>
      <c r="B5748" s="636"/>
      <c r="C5748" s="636"/>
      <c r="D5748" s="636"/>
      <c r="E5748" s="636"/>
      <c r="F5748" s="636"/>
      <c r="G5748" s="636"/>
      <c r="H5748" s="636"/>
      <c r="I5748" s="636"/>
      <c r="J5748" s="636" t="s">
        <v>13668</v>
      </c>
      <c r="K5748" s="636"/>
      <c r="L5748" s="636" t="s">
        <v>15294</v>
      </c>
    </row>
    <row r="5749" spans="1:12" ht="17.100000000000001" customHeight="1">
      <c r="A5749" s="637"/>
      <c r="B5749" s="637"/>
      <c r="C5749" s="637"/>
      <c r="D5749" s="637"/>
      <c r="E5749" s="637"/>
      <c r="F5749" s="637"/>
      <c r="G5749" s="637"/>
      <c r="H5749" s="637"/>
      <c r="I5749" s="637"/>
      <c r="J5749" s="637"/>
      <c r="K5749" s="637"/>
      <c r="L5749" s="637"/>
    </row>
    <row r="5750" spans="1:12" ht="17.100000000000001" customHeight="1">
      <c r="A5750" s="616" t="s">
        <v>14055</v>
      </c>
      <c r="B5750" s="617" t="s">
        <v>13520</v>
      </c>
      <c r="C5750" s="616" t="s">
        <v>8</v>
      </c>
      <c r="D5750" s="616" t="s">
        <v>1794</v>
      </c>
      <c r="E5750" s="618" t="s">
        <v>17</v>
      </c>
      <c r="F5750" s="617"/>
      <c r="G5750" s="617"/>
      <c r="H5750" s="617"/>
      <c r="I5750" s="617"/>
      <c r="J5750" s="617"/>
      <c r="K5750" s="617"/>
      <c r="L5750" s="617"/>
    </row>
    <row r="5751" spans="1:12" ht="17.100000000000001" customHeight="1">
      <c r="A5751" s="802" t="s">
        <v>12711</v>
      </c>
      <c r="B5751" s="802"/>
      <c r="C5751" s="802"/>
      <c r="D5751" s="802"/>
      <c r="E5751" s="802"/>
      <c r="F5751" s="802"/>
      <c r="G5751" s="802"/>
      <c r="H5751" s="802"/>
      <c r="I5751" s="612"/>
      <c r="J5751" s="612"/>
      <c r="K5751" s="612"/>
      <c r="L5751" s="612"/>
    </row>
    <row r="5752" spans="1:12" ht="17.100000000000001" customHeight="1">
      <c r="A5752" s="612" t="s">
        <v>13679</v>
      </c>
      <c r="B5752" s="636" t="s">
        <v>12698</v>
      </c>
      <c r="C5752" s="612" t="s">
        <v>12699</v>
      </c>
      <c r="D5752" s="612" t="s">
        <v>12700</v>
      </c>
      <c r="E5752" s="637" t="s">
        <v>12702</v>
      </c>
      <c r="F5752" s="801" t="s">
        <v>12704</v>
      </c>
      <c r="G5752" s="801"/>
      <c r="H5752" s="801" t="s">
        <v>13678</v>
      </c>
      <c r="I5752" s="801"/>
      <c r="J5752" s="801" t="s">
        <v>12705</v>
      </c>
      <c r="K5752" s="801"/>
      <c r="L5752" s="801"/>
    </row>
    <row r="5753" spans="1:12" ht="17.100000000000001" customHeight="1">
      <c r="A5753" s="626" t="s">
        <v>12709</v>
      </c>
      <c r="B5753" s="627" t="s">
        <v>13201</v>
      </c>
      <c r="C5753" s="626" t="s">
        <v>8</v>
      </c>
      <c r="D5753" s="626" t="s">
        <v>9221</v>
      </c>
      <c r="E5753" s="628" t="s">
        <v>23</v>
      </c>
      <c r="F5753" s="816" t="s">
        <v>13705</v>
      </c>
      <c r="G5753" s="816"/>
      <c r="H5753" s="816">
        <v>4.6313300000000002E-2</v>
      </c>
      <c r="I5753" s="816"/>
      <c r="J5753" s="817">
        <v>3.8399999999999997E-2</v>
      </c>
      <c r="K5753" s="817"/>
      <c r="L5753" s="817"/>
    </row>
    <row r="5754" spans="1:12" ht="30" customHeight="1">
      <c r="A5754" s="626" t="s">
        <v>12709</v>
      </c>
      <c r="B5754" s="627" t="s">
        <v>13200</v>
      </c>
      <c r="C5754" s="626" t="s">
        <v>8</v>
      </c>
      <c r="D5754" s="626" t="s">
        <v>9368</v>
      </c>
      <c r="E5754" s="628" t="s">
        <v>23</v>
      </c>
      <c r="F5754" s="816" t="s">
        <v>13704</v>
      </c>
      <c r="G5754" s="816"/>
      <c r="H5754" s="816">
        <v>4.6313300000000002E-2</v>
      </c>
      <c r="I5754" s="816"/>
      <c r="J5754" s="817">
        <v>1.11E-2</v>
      </c>
      <c r="K5754" s="817"/>
      <c r="L5754" s="817"/>
    </row>
    <row r="5755" spans="1:12" ht="24" customHeight="1">
      <c r="A5755" s="636"/>
      <c r="B5755" s="636"/>
      <c r="C5755" s="636"/>
      <c r="D5755" s="636"/>
      <c r="E5755" s="636"/>
      <c r="F5755" s="636"/>
      <c r="G5755" s="636"/>
      <c r="H5755" s="636"/>
      <c r="I5755" s="636"/>
      <c r="J5755" s="636" t="s">
        <v>13675</v>
      </c>
      <c r="K5755" s="636"/>
      <c r="L5755" s="636" t="s">
        <v>13767</v>
      </c>
    </row>
    <row r="5756" spans="1:12" ht="14.25" customHeight="1">
      <c r="A5756" s="802" t="s">
        <v>12710</v>
      </c>
      <c r="B5756" s="802"/>
      <c r="C5756" s="802"/>
      <c r="D5756" s="802"/>
      <c r="E5756" s="802"/>
      <c r="F5756" s="802"/>
      <c r="G5756" s="802"/>
      <c r="H5756" s="802"/>
      <c r="I5756" s="612"/>
      <c r="J5756" s="612"/>
      <c r="K5756" s="612"/>
      <c r="L5756" s="612"/>
    </row>
    <row r="5757" spans="1:12" ht="17.100000000000001" customHeight="1">
      <c r="A5757" s="612" t="s">
        <v>13679</v>
      </c>
      <c r="B5757" s="636" t="s">
        <v>12698</v>
      </c>
      <c r="C5757" s="612" t="s">
        <v>12699</v>
      </c>
      <c r="D5757" s="612" t="s">
        <v>12700</v>
      </c>
      <c r="E5757" s="637" t="s">
        <v>12702</v>
      </c>
      <c r="F5757" s="801" t="s">
        <v>12704</v>
      </c>
      <c r="G5757" s="801"/>
      <c r="H5757" s="801" t="s">
        <v>13678</v>
      </c>
      <c r="I5757" s="801"/>
      <c r="J5757" s="801" t="s">
        <v>12705</v>
      </c>
      <c r="K5757" s="801"/>
      <c r="L5757" s="801"/>
    </row>
    <row r="5758" spans="1:12" ht="24" customHeight="1">
      <c r="A5758" s="626" t="s">
        <v>12709</v>
      </c>
      <c r="B5758" s="627" t="s">
        <v>13220</v>
      </c>
      <c r="C5758" s="626" t="s">
        <v>8</v>
      </c>
      <c r="D5758" s="626" t="s">
        <v>7592</v>
      </c>
      <c r="E5758" s="628" t="s">
        <v>23</v>
      </c>
      <c r="F5758" s="816" t="s">
        <v>13890</v>
      </c>
      <c r="G5758" s="816"/>
      <c r="H5758" s="816">
        <v>2.3908599999999999E-2</v>
      </c>
      <c r="I5758" s="816"/>
      <c r="J5758" s="817">
        <v>0.121</v>
      </c>
      <c r="K5758" s="817"/>
      <c r="L5758" s="817"/>
    </row>
    <row r="5759" spans="1:12" ht="24" customHeight="1">
      <c r="A5759" s="626" t="s">
        <v>12709</v>
      </c>
      <c r="B5759" s="627" t="s">
        <v>13202</v>
      </c>
      <c r="C5759" s="626" t="s">
        <v>8</v>
      </c>
      <c r="D5759" s="626" t="s">
        <v>9187</v>
      </c>
      <c r="E5759" s="628" t="s">
        <v>23</v>
      </c>
      <c r="F5759" s="816" t="s">
        <v>14479</v>
      </c>
      <c r="G5759" s="816"/>
      <c r="H5759" s="816">
        <v>2.3908599999999999E-2</v>
      </c>
      <c r="I5759" s="816"/>
      <c r="J5759" s="817">
        <v>0.1709</v>
      </c>
      <c r="K5759" s="817"/>
      <c r="L5759" s="817"/>
    </row>
    <row r="5760" spans="1:12" ht="17.100000000000001" customHeight="1">
      <c r="A5760" s="636"/>
      <c r="B5760" s="636"/>
      <c r="C5760" s="636"/>
      <c r="D5760" s="636"/>
      <c r="E5760" s="636"/>
      <c r="F5760" s="636"/>
      <c r="G5760" s="636"/>
      <c r="H5760" s="636"/>
      <c r="I5760" s="636"/>
      <c r="J5760" s="636" t="s">
        <v>13675</v>
      </c>
      <c r="K5760" s="636"/>
      <c r="L5760" s="636" t="s">
        <v>13854</v>
      </c>
    </row>
    <row r="5761" spans="1:12" ht="14.25" customHeight="1">
      <c r="A5761" s="802" t="s">
        <v>12720</v>
      </c>
      <c r="B5761" s="802"/>
      <c r="C5761" s="802"/>
      <c r="D5761" s="802"/>
      <c r="E5761" s="802"/>
      <c r="F5761" s="802"/>
      <c r="G5761" s="802"/>
      <c r="H5761" s="802"/>
      <c r="I5761" s="612"/>
      <c r="J5761" s="612"/>
      <c r="K5761" s="612"/>
      <c r="L5761" s="612"/>
    </row>
    <row r="5762" spans="1:12" ht="17.100000000000001" customHeight="1">
      <c r="A5762" s="612" t="s">
        <v>13679</v>
      </c>
      <c r="B5762" s="636" t="s">
        <v>12698</v>
      </c>
      <c r="C5762" s="612" t="s">
        <v>12699</v>
      </c>
      <c r="D5762" s="612" t="s">
        <v>12700</v>
      </c>
      <c r="E5762" s="637" t="s">
        <v>12702</v>
      </c>
      <c r="F5762" s="801" t="s">
        <v>12704</v>
      </c>
      <c r="G5762" s="801"/>
      <c r="H5762" s="801" t="s">
        <v>13678</v>
      </c>
      <c r="I5762" s="801"/>
      <c r="J5762" s="801" t="s">
        <v>12705</v>
      </c>
      <c r="K5762" s="801"/>
      <c r="L5762" s="801"/>
    </row>
    <row r="5763" spans="1:12" ht="24" customHeight="1">
      <c r="A5763" s="626" t="s">
        <v>12709</v>
      </c>
      <c r="B5763" s="627" t="s">
        <v>13467</v>
      </c>
      <c r="C5763" s="626" t="s">
        <v>8</v>
      </c>
      <c r="D5763" s="626" t="s">
        <v>9987</v>
      </c>
      <c r="E5763" s="628" t="s">
        <v>35</v>
      </c>
      <c r="F5763" s="816" t="s">
        <v>13998</v>
      </c>
      <c r="G5763" s="816"/>
      <c r="H5763" s="816">
        <v>8.0000000000000002E-3</v>
      </c>
      <c r="I5763" s="816"/>
      <c r="J5763" s="817">
        <v>0.01</v>
      </c>
      <c r="K5763" s="817"/>
      <c r="L5763" s="817"/>
    </row>
    <row r="5764" spans="1:12" ht="24" customHeight="1">
      <c r="A5764" s="626" t="s">
        <v>12709</v>
      </c>
      <c r="B5764" s="627" t="s">
        <v>13519</v>
      </c>
      <c r="C5764" s="626" t="s">
        <v>8</v>
      </c>
      <c r="D5764" s="626" t="s">
        <v>12190</v>
      </c>
      <c r="E5764" s="628" t="s">
        <v>17</v>
      </c>
      <c r="F5764" s="816" t="s">
        <v>14662</v>
      </c>
      <c r="G5764" s="816"/>
      <c r="H5764" s="816">
        <v>1.0609999999999999</v>
      </c>
      <c r="I5764" s="816"/>
      <c r="J5764" s="817">
        <v>9.7799999999999994</v>
      </c>
      <c r="K5764" s="817"/>
      <c r="L5764" s="817"/>
    </row>
    <row r="5765" spans="1:12" ht="17.100000000000001" customHeight="1">
      <c r="A5765" s="636"/>
      <c r="B5765" s="636"/>
      <c r="C5765" s="636"/>
      <c r="D5765" s="636"/>
      <c r="E5765" s="636"/>
      <c r="F5765" s="636"/>
      <c r="G5765" s="636"/>
      <c r="H5765" s="636"/>
      <c r="I5765" s="636"/>
      <c r="J5765" s="636" t="s">
        <v>13675</v>
      </c>
      <c r="K5765" s="636"/>
      <c r="L5765" s="636" t="s">
        <v>14660</v>
      </c>
    </row>
    <row r="5766" spans="1:12">
      <c r="A5766" s="802" t="s">
        <v>12722</v>
      </c>
      <c r="B5766" s="802"/>
      <c r="C5766" s="802"/>
      <c r="D5766" s="802"/>
      <c r="E5766" s="802"/>
      <c r="F5766" s="802"/>
      <c r="G5766" s="802"/>
      <c r="H5766" s="802"/>
      <c r="I5766" s="612"/>
      <c r="J5766" s="612"/>
      <c r="K5766" s="612"/>
      <c r="L5766" s="612"/>
    </row>
    <row r="5767" spans="1:12" ht="17.100000000000001" customHeight="1">
      <c r="A5767" s="612" t="s">
        <v>13679</v>
      </c>
      <c r="B5767" s="636" t="s">
        <v>12698</v>
      </c>
      <c r="C5767" s="612" t="s">
        <v>12699</v>
      </c>
      <c r="D5767" s="612" t="s">
        <v>12700</v>
      </c>
      <c r="E5767" s="637" t="s">
        <v>12702</v>
      </c>
      <c r="F5767" s="801" t="s">
        <v>12704</v>
      </c>
      <c r="G5767" s="801"/>
      <c r="H5767" s="801" t="s">
        <v>13678</v>
      </c>
      <c r="I5767" s="801"/>
      <c r="J5767" s="801" t="s">
        <v>12705</v>
      </c>
      <c r="K5767" s="801"/>
      <c r="L5767" s="801"/>
    </row>
    <row r="5768" spans="1:12" ht="24" customHeight="1">
      <c r="A5768" s="626" t="s">
        <v>12709</v>
      </c>
      <c r="B5768" s="627" t="s">
        <v>12998</v>
      </c>
      <c r="C5768" s="626" t="s">
        <v>8</v>
      </c>
      <c r="D5768" s="626" t="s">
        <v>11861</v>
      </c>
      <c r="E5768" s="628" t="s">
        <v>23</v>
      </c>
      <c r="F5768" s="816" t="s">
        <v>13683</v>
      </c>
      <c r="G5768" s="816"/>
      <c r="H5768" s="816">
        <v>4.6313300000000002E-2</v>
      </c>
      <c r="I5768" s="816"/>
      <c r="J5768" s="817">
        <v>3.2899999999999999E-2</v>
      </c>
      <c r="K5768" s="817"/>
      <c r="L5768" s="817"/>
    </row>
    <row r="5769" spans="1:12" ht="24" customHeight="1">
      <c r="A5769" s="636"/>
      <c r="B5769" s="636"/>
      <c r="C5769" s="636"/>
      <c r="D5769" s="636"/>
      <c r="E5769" s="636"/>
      <c r="F5769" s="636"/>
      <c r="G5769" s="636"/>
      <c r="H5769" s="636"/>
      <c r="I5769" s="636"/>
      <c r="J5769" s="636" t="s">
        <v>13675</v>
      </c>
      <c r="K5769" s="636"/>
      <c r="L5769" s="636" t="s">
        <v>13726</v>
      </c>
    </row>
    <row r="5770" spans="1:12" ht="17.100000000000001" customHeight="1">
      <c r="A5770" s="802" t="s">
        <v>12713</v>
      </c>
      <c r="B5770" s="802"/>
      <c r="C5770" s="802"/>
      <c r="D5770" s="802"/>
      <c r="E5770" s="802"/>
      <c r="F5770" s="802"/>
      <c r="G5770" s="802"/>
      <c r="H5770" s="802"/>
      <c r="I5770" s="612"/>
      <c r="J5770" s="612"/>
      <c r="K5770" s="612"/>
      <c r="L5770" s="612"/>
    </row>
    <row r="5771" spans="1:12">
      <c r="A5771" s="612" t="s">
        <v>13679</v>
      </c>
      <c r="B5771" s="636" t="s">
        <v>12698</v>
      </c>
      <c r="C5771" s="612" t="s">
        <v>12699</v>
      </c>
      <c r="D5771" s="612" t="s">
        <v>12700</v>
      </c>
      <c r="E5771" s="637" t="s">
        <v>12702</v>
      </c>
      <c r="F5771" s="801" t="s">
        <v>12704</v>
      </c>
      <c r="G5771" s="801"/>
      <c r="H5771" s="801" t="s">
        <v>13678</v>
      </c>
      <c r="I5771" s="801"/>
      <c r="J5771" s="801" t="s">
        <v>12705</v>
      </c>
      <c r="K5771" s="801"/>
      <c r="L5771" s="801"/>
    </row>
    <row r="5772" spans="1:12" ht="17.100000000000001" customHeight="1">
      <c r="A5772" s="626" t="s">
        <v>12709</v>
      </c>
      <c r="B5772" s="627" t="s">
        <v>12999</v>
      </c>
      <c r="C5772" s="626" t="s">
        <v>8</v>
      </c>
      <c r="D5772" s="626" t="s">
        <v>11251</v>
      </c>
      <c r="E5772" s="628" t="s">
        <v>23</v>
      </c>
      <c r="F5772" s="816" t="s">
        <v>13681</v>
      </c>
      <c r="G5772" s="816"/>
      <c r="H5772" s="816">
        <v>4.6313300000000002E-2</v>
      </c>
      <c r="I5772" s="816"/>
      <c r="J5772" s="817">
        <v>3.2000000000000002E-3</v>
      </c>
      <c r="K5772" s="817"/>
      <c r="L5772" s="817"/>
    </row>
    <row r="5773" spans="1:12" ht="24" customHeight="1">
      <c r="A5773" s="636"/>
      <c r="B5773" s="636"/>
      <c r="C5773" s="636"/>
      <c r="D5773" s="636"/>
      <c r="E5773" s="636"/>
      <c r="F5773" s="636"/>
      <c r="G5773" s="636"/>
      <c r="H5773" s="636"/>
      <c r="I5773" s="636"/>
      <c r="J5773" s="636" t="s">
        <v>13675</v>
      </c>
      <c r="K5773" s="636"/>
      <c r="L5773" s="636" t="s">
        <v>13727</v>
      </c>
    </row>
    <row r="5774" spans="1:12" ht="17.100000000000001" customHeight="1">
      <c r="A5774" s="802" t="s">
        <v>12712</v>
      </c>
      <c r="B5774" s="802"/>
      <c r="C5774" s="802"/>
      <c r="D5774" s="802"/>
      <c r="E5774" s="802"/>
      <c r="F5774" s="802"/>
      <c r="G5774" s="802"/>
      <c r="H5774" s="802"/>
      <c r="I5774" s="612"/>
      <c r="J5774" s="612"/>
      <c r="K5774" s="612"/>
      <c r="L5774" s="612"/>
    </row>
    <row r="5775" spans="1:12">
      <c r="A5775" s="612" t="s">
        <v>13679</v>
      </c>
      <c r="B5775" s="636" t="s">
        <v>12698</v>
      </c>
      <c r="C5775" s="612" t="s">
        <v>12699</v>
      </c>
      <c r="D5775" s="612" t="s">
        <v>12700</v>
      </c>
      <c r="E5775" s="637" t="s">
        <v>12702</v>
      </c>
      <c r="F5775" s="801" t="s">
        <v>12704</v>
      </c>
      <c r="G5775" s="801"/>
      <c r="H5775" s="801" t="s">
        <v>13678</v>
      </c>
      <c r="I5775" s="801"/>
      <c r="J5775" s="801" t="s">
        <v>12705</v>
      </c>
      <c r="K5775" s="801"/>
      <c r="L5775" s="801"/>
    </row>
    <row r="5776" spans="1:12" ht="17.100000000000001" customHeight="1">
      <c r="A5776" s="626" t="s">
        <v>12709</v>
      </c>
      <c r="B5776" s="627" t="s">
        <v>13002</v>
      </c>
      <c r="C5776" s="626" t="s">
        <v>8</v>
      </c>
      <c r="D5776" s="626" t="s">
        <v>9306</v>
      </c>
      <c r="E5776" s="628" t="s">
        <v>23</v>
      </c>
      <c r="F5776" s="816" t="s">
        <v>13677</v>
      </c>
      <c r="G5776" s="816"/>
      <c r="H5776" s="816">
        <v>4.6313300000000002E-2</v>
      </c>
      <c r="I5776" s="816"/>
      <c r="J5776" s="817">
        <v>1.6199999999999999E-2</v>
      </c>
      <c r="K5776" s="817"/>
      <c r="L5776" s="817"/>
    </row>
    <row r="5777" spans="1:12" ht="24" customHeight="1">
      <c r="A5777" s="626" t="s">
        <v>12709</v>
      </c>
      <c r="B5777" s="627" t="s">
        <v>13004</v>
      </c>
      <c r="C5777" s="626" t="s">
        <v>8</v>
      </c>
      <c r="D5777" s="626" t="s">
        <v>7388</v>
      </c>
      <c r="E5777" s="628" t="s">
        <v>23</v>
      </c>
      <c r="F5777" s="816" t="s">
        <v>13676</v>
      </c>
      <c r="G5777" s="816"/>
      <c r="H5777" s="816">
        <v>4.6313300000000002E-2</v>
      </c>
      <c r="I5777" s="816"/>
      <c r="J5777" s="817">
        <v>0.1019</v>
      </c>
      <c r="K5777" s="817"/>
      <c r="L5777" s="817"/>
    </row>
    <row r="5778" spans="1:12" ht="17.100000000000001" customHeight="1">
      <c r="A5778" s="636"/>
      <c r="B5778" s="636"/>
      <c r="C5778" s="636"/>
      <c r="D5778" s="636"/>
      <c r="E5778" s="636"/>
      <c r="F5778" s="636"/>
      <c r="G5778" s="636"/>
      <c r="H5778" s="636"/>
      <c r="I5778" s="636"/>
      <c r="J5778" s="636" t="s">
        <v>13675</v>
      </c>
      <c r="K5778" s="636"/>
      <c r="L5778" s="636" t="s">
        <v>13751</v>
      </c>
    </row>
    <row r="5779" spans="1:12">
      <c r="A5779" s="612" t="s">
        <v>13673</v>
      </c>
      <c r="B5779" s="612"/>
      <c r="C5779" s="612"/>
      <c r="D5779" s="612"/>
      <c r="E5779" s="612"/>
      <c r="F5779" s="612"/>
      <c r="G5779" s="612"/>
      <c r="H5779" s="612"/>
      <c r="I5779" s="612"/>
      <c r="J5779" s="612"/>
      <c r="K5779" s="612"/>
      <c r="L5779" s="612"/>
    </row>
    <row r="5780" spans="1:12" ht="17.100000000000001" customHeight="1">
      <c r="A5780" s="636"/>
      <c r="B5780" s="636"/>
      <c r="C5780" s="636"/>
      <c r="D5780" s="636"/>
      <c r="E5780" s="636"/>
      <c r="F5780" s="636"/>
      <c r="G5780" s="636"/>
      <c r="H5780" s="636"/>
      <c r="I5780" s="636"/>
      <c r="J5780" s="636" t="s">
        <v>13672</v>
      </c>
      <c r="K5780" s="636"/>
      <c r="L5780" s="636" t="s">
        <v>15295</v>
      </c>
    </row>
    <row r="5781" spans="1:12" ht="24" customHeight="1">
      <c r="A5781" s="636"/>
      <c r="B5781" s="636"/>
      <c r="C5781" s="636"/>
      <c r="D5781" s="636"/>
      <c r="E5781" s="636"/>
      <c r="F5781" s="636"/>
      <c r="G5781" s="636"/>
      <c r="H5781" s="636"/>
      <c r="I5781" s="636"/>
      <c r="J5781" s="636" t="s">
        <v>13671</v>
      </c>
      <c r="K5781" s="636" t="s">
        <v>14461</v>
      </c>
      <c r="L5781" s="636" t="s">
        <v>15296</v>
      </c>
    </row>
    <row r="5782" spans="1:12" ht="24" customHeight="1">
      <c r="A5782" s="636"/>
      <c r="B5782" s="636"/>
      <c r="C5782" s="636"/>
      <c r="D5782" s="636"/>
      <c r="E5782" s="636"/>
      <c r="F5782" s="636"/>
      <c r="G5782" s="636"/>
      <c r="H5782" s="636"/>
      <c r="I5782" s="636"/>
      <c r="J5782" s="636" t="s">
        <v>13670</v>
      </c>
      <c r="K5782" s="636"/>
      <c r="L5782" s="636" t="s">
        <v>15297</v>
      </c>
    </row>
    <row r="5783" spans="1:12" ht="17.100000000000001" customHeight="1">
      <c r="A5783" s="636"/>
      <c r="B5783" s="636"/>
      <c r="C5783" s="636"/>
      <c r="D5783" s="636"/>
      <c r="E5783" s="636"/>
      <c r="F5783" s="636"/>
      <c r="G5783" s="636"/>
      <c r="H5783" s="636"/>
      <c r="I5783" s="636"/>
      <c r="J5783" s="636" t="s">
        <v>13669</v>
      </c>
      <c r="K5783" s="636" t="s">
        <v>13667</v>
      </c>
      <c r="L5783" s="636" t="s">
        <v>14883</v>
      </c>
    </row>
    <row r="5784" spans="1:12" ht="17.100000000000001" customHeight="1">
      <c r="A5784" s="636"/>
      <c r="B5784" s="636"/>
      <c r="C5784" s="636"/>
      <c r="D5784" s="636"/>
      <c r="E5784" s="636"/>
      <c r="F5784" s="636"/>
      <c r="G5784" s="636"/>
      <c r="H5784" s="636"/>
      <c r="I5784" s="636"/>
      <c r="J5784" s="636" t="s">
        <v>13668</v>
      </c>
      <c r="K5784" s="636"/>
      <c r="L5784" s="636" t="s">
        <v>15298</v>
      </c>
    </row>
    <row r="5785" spans="1:12" ht="17.100000000000001" customHeight="1">
      <c r="A5785" s="637"/>
      <c r="B5785" s="637"/>
      <c r="C5785" s="637"/>
      <c r="D5785" s="637"/>
      <c r="E5785" s="637"/>
      <c r="F5785" s="637"/>
      <c r="G5785" s="637"/>
      <c r="H5785" s="637"/>
      <c r="I5785" s="637"/>
      <c r="J5785" s="637"/>
      <c r="K5785" s="637"/>
      <c r="L5785" s="637"/>
    </row>
    <row r="5786" spans="1:12" ht="17.100000000000001" customHeight="1">
      <c r="A5786" s="616" t="s">
        <v>14054</v>
      </c>
      <c r="B5786" s="617" t="s">
        <v>13518</v>
      </c>
      <c r="C5786" s="616" t="s">
        <v>8</v>
      </c>
      <c r="D5786" s="616" t="s">
        <v>1795</v>
      </c>
      <c r="E5786" s="618" t="s">
        <v>17</v>
      </c>
      <c r="F5786" s="617"/>
      <c r="G5786" s="617"/>
      <c r="H5786" s="617"/>
      <c r="I5786" s="617"/>
      <c r="J5786" s="617"/>
      <c r="K5786" s="617"/>
      <c r="L5786" s="617"/>
    </row>
    <row r="5787" spans="1:12" ht="17.100000000000001" customHeight="1">
      <c r="A5787" s="802" t="s">
        <v>12711</v>
      </c>
      <c r="B5787" s="802"/>
      <c r="C5787" s="802"/>
      <c r="D5787" s="802"/>
      <c r="E5787" s="802"/>
      <c r="F5787" s="802"/>
      <c r="G5787" s="802"/>
      <c r="H5787" s="802"/>
      <c r="I5787" s="612"/>
      <c r="J5787" s="612"/>
      <c r="K5787" s="612"/>
      <c r="L5787" s="612"/>
    </row>
    <row r="5788" spans="1:12" ht="17.100000000000001" customHeight="1">
      <c r="A5788" s="612" t="s">
        <v>13679</v>
      </c>
      <c r="B5788" s="636" t="s">
        <v>12698</v>
      </c>
      <c r="C5788" s="612" t="s">
        <v>12699</v>
      </c>
      <c r="D5788" s="612" t="s">
        <v>12700</v>
      </c>
      <c r="E5788" s="637" t="s">
        <v>12702</v>
      </c>
      <c r="F5788" s="801" t="s">
        <v>12704</v>
      </c>
      <c r="G5788" s="801"/>
      <c r="H5788" s="801" t="s">
        <v>13678</v>
      </c>
      <c r="I5788" s="801"/>
      <c r="J5788" s="801" t="s">
        <v>12705</v>
      </c>
      <c r="K5788" s="801"/>
      <c r="L5788" s="801"/>
    </row>
    <row r="5789" spans="1:12" ht="17.100000000000001" customHeight="1">
      <c r="A5789" s="626" t="s">
        <v>12709</v>
      </c>
      <c r="B5789" s="627" t="s">
        <v>13201</v>
      </c>
      <c r="C5789" s="626" t="s">
        <v>8</v>
      </c>
      <c r="D5789" s="626" t="s">
        <v>9221</v>
      </c>
      <c r="E5789" s="628" t="s">
        <v>23</v>
      </c>
      <c r="F5789" s="816" t="s">
        <v>13705</v>
      </c>
      <c r="G5789" s="816"/>
      <c r="H5789" s="816">
        <v>5.59418E-2</v>
      </c>
      <c r="I5789" s="816"/>
      <c r="J5789" s="817">
        <v>4.6399999999999997E-2</v>
      </c>
      <c r="K5789" s="817"/>
      <c r="L5789" s="817"/>
    </row>
    <row r="5790" spans="1:12" ht="30" customHeight="1">
      <c r="A5790" s="626" t="s">
        <v>12709</v>
      </c>
      <c r="B5790" s="627" t="s">
        <v>13200</v>
      </c>
      <c r="C5790" s="626" t="s">
        <v>8</v>
      </c>
      <c r="D5790" s="626" t="s">
        <v>9368</v>
      </c>
      <c r="E5790" s="628" t="s">
        <v>23</v>
      </c>
      <c r="F5790" s="816" t="s">
        <v>13704</v>
      </c>
      <c r="G5790" s="816"/>
      <c r="H5790" s="816">
        <v>5.59418E-2</v>
      </c>
      <c r="I5790" s="816"/>
      <c r="J5790" s="817">
        <v>1.34E-2</v>
      </c>
      <c r="K5790" s="817"/>
      <c r="L5790" s="817"/>
    </row>
    <row r="5791" spans="1:12" ht="24" customHeight="1">
      <c r="A5791" s="636"/>
      <c r="B5791" s="636"/>
      <c r="C5791" s="636"/>
      <c r="D5791" s="636"/>
      <c r="E5791" s="636"/>
      <c r="F5791" s="636"/>
      <c r="G5791" s="636"/>
      <c r="H5791" s="636"/>
      <c r="I5791" s="636"/>
      <c r="J5791" s="636" t="s">
        <v>13675</v>
      </c>
      <c r="K5791" s="636"/>
      <c r="L5791" s="636" t="s">
        <v>13708</v>
      </c>
    </row>
    <row r="5792" spans="1:12" ht="14.25" customHeight="1">
      <c r="A5792" s="802" t="s">
        <v>12710</v>
      </c>
      <c r="B5792" s="802"/>
      <c r="C5792" s="802"/>
      <c r="D5792" s="802"/>
      <c r="E5792" s="802"/>
      <c r="F5792" s="802"/>
      <c r="G5792" s="802"/>
      <c r="H5792" s="802"/>
      <c r="I5792" s="612"/>
      <c r="J5792" s="612"/>
      <c r="K5792" s="612"/>
      <c r="L5792" s="612"/>
    </row>
    <row r="5793" spans="1:12" ht="17.100000000000001" customHeight="1">
      <c r="A5793" s="612" t="s">
        <v>13679</v>
      </c>
      <c r="B5793" s="636" t="s">
        <v>12698</v>
      </c>
      <c r="C5793" s="612" t="s">
        <v>12699</v>
      </c>
      <c r="D5793" s="612" t="s">
        <v>12700</v>
      </c>
      <c r="E5793" s="637" t="s">
        <v>12702</v>
      </c>
      <c r="F5793" s="801" t="s">
        <v>12704</v>
      </c>
      <c r="G5793" s="801"/>
      <c r="H5793" s="801" t="s">
        <v>13678</v>
      </c>
      <c r="I5793" s="801"/>
      <c r="J5793" s="801" t="s">
        <v>12705</v>
      </c>
      <c r="K5793" s="801"/>
      <c r="L5793" s="801"/>
    </row>
    <row r="5794" spans="1:12" ht="24" customHeight="1">
      <c r="A5794" s="626" t="s">
        <v>12709</v>
      </c>
      <c r="B5794" s="627" t="s">
        <v>13220</v>
      </c>
      <c r="C5794" s="626" t="s">
        <v>8</v>
      </c>
      <c r="D5794" s="626" t="s">
        <v>7592</v>
      </c>
      <c r="E5794" s="628" t="s">
        <v>23</v>
      </c>
      <c r="F5794" s="816" t="s">
        <v>13890</v>
      </c>
      <c r="G5794" s="816"/>
      <c r="H5794" s="816">
        <v>2.87788E-2</v>
      </c>
      <c r="I5794" s="816"/>
      <c r="J5794" s="817">
        <v>0.14560000000000001</v>
      </c>
      <c r="K5794" s="817"/>
      <c r="L5794" s="817"/>
    </row>
    <row r="5795" spans="1:12" ht="24" customHeight="1">
      <c r="A5795" s="626" t="s">
        <v>12709</v>
      </c>
      <c r="B5795" s="627" t="s">
        <v>13202</v>
      </c>
      <c r="C5795" s="626" t="s">
        <v>8</v>
      </c>
      <c r="D5795" s="626" t="s">
        <v>9187</v>
      </c>
      <c r="E5795" s="628" t="s">
        <v>23</v>
      </c>
      <c r="F5795" s="816" t="s">
        <v>14479</v>
      </c>
      <c r="G5795" s="816"/>
      <c r="H5795" s="816">
        <v>2.87788E-2</v>
      </c>
      <c r="I5795" s="816"/>
      <c r="J5795" s="817">
        <v>0.20580000000000001</v>
      </c>
      <c r="K5795" s="817"/>
      <c r="L5795" s="817"/>
    </row>
    <row r="5796" spans="1:12" ht="17.100000000000001" customHeight="1">
      <c r="A5796" s="636"/>
      <c r="B5796" s="636"/>
      <c r="C5796" s="636"/>
      <c r="D5796" s="636"/>
      <c r="E5796" s="636"/>
      <c r="F5796" s="636"/>
      <c r="G5796" s="636"/>
      <c r="H5796" s="636"/>
      <c r="I5796" s="636"/>
      <c r="J5796" s="636" t="s">
        <v>13675</v>
      </c>
      <c r="K5796" s="636"/>
      <c r="L5796" s="636" t="s">
        <v>13677</v>
      </c>
    </row>
    <row r="5797" spans="1:12" ht="14.25" customHeight="1">
      <c r="A5797" s="802" t="s">
        <v>12720</v>
      </c>
      <c r="B5797" s="802"/>
      <c r="C5797" s="802"/>
      <c r="D5797" s="802"/>
      <c r="E5797" s="802"/>
      <c r="F5797" s="802"/>
      <c r="G5797" s="802"/>
      <c r="H5797" s="802"/>
      <c r="I5797" s="612"/>
      <c r="J5797" s="612"/>
      <c r="K5797" s="612"/>
      <c r="L5797" s="612"/>
    </row>
    <row r="5798" spans="1:12" ht="17.100000000000001" customHeight="1">
      <c r="A5798" s="612" t="s">
        <v>13679</v>
      </c>
      <c r="B5798" s="636" t="s">
        <v>12698</v>
      </c>
      <c r="C5798" s="612" t="s">
        <v>12699</v>
      </c>
      <c r="D5798" s="612" t="s">
        <v>12700</v>
      </c>
      <c r="E5798" s="637" t="s">
        <v>12702</v>
      </c>
      <c r="F5798" s="801" t="s">
        <v>12704</v>
      </c>
      <c r="G5798" s="801"/>
      <c r="H5798" s="801" t="s">
        <v>13678</v>
      </c>
      <c r="I5798" s="801"/>
      <c r="J5798" s="801" t="s">
        <v>12705</v>
      </c>
      <c r="K5798" s="801"/>
      <c r="L5798" s="801"/>
    </row>
    <row r="5799" spans="1:12" ht="24" customHeight="1">
      <c r="A5799" s="626" t="s">
        <v>12709</v>
      </c>
      <c r="B5799" s="627" t="s">
        <v>13467</v>
      </c>
      <c r="C5799" s="626" t="s">
        <v>8</v>
      </c>
      <c r="D5799" s="626" t="s">
        <v>9987</v>
      </c>
      <c r="E5799" s="628" t="s">
        <v>35</v>
      </c>
      <c r="F5799" s="816" t="s">
        <v>13998</v>
      </c>
      <c r="G5799" s="816"/>
      <c r="H5799" s="816">
        <v>0.01</v>
      </c>
      <c r="I5799" s="816"/>
      <c r="J5799" s="817">
        <v>0.01</v>
      </c>
      <c r="K5799" s="817"/>
      <c r="L5799" s="817"/>
    </row>
    <row r="5800" spans="1:12" ht="24" customHeight="1">
      <c r="A5800" s="626" t="s">
        <v>12709</v>
      </c>
      <c r="B5800" s="627" t="s">
        <v>13517</v>
      </c>
      <c r="C5800" s="626" t="s">
        <v>8</v>
      </c>
      <c r="D5800" s="626" t="s">
        <v>12191</v>
      </c>
      <c r="E5800" s="628" t="s">
        <v>17</v>
      </c>
      <c r="F5800" s="816" t="s">
        <v>14686</v>
      </c>
      <c r="G5800" s="816"/>
      <c r="H5800" s="816">
        <v>1.0609999999999999</v>
      </c>
      <c r="I5800" s="816"/>
      <c r="J5800" s="817">
        <v>11.2</v>
      </c>
      <c r="K5800" s="817"/>
      <c r="L5800" s="817"/>
    </row>
    <row r="5801" spans="1:12" ht="17.100000000000001" customHeight="1">
      <c r="A5801" s="636"/>
      <c r="B5801" s="636"/>
      <c r="C5801" s="636"/>
      <c r="D5801" s="636"/>
      <c r="E5801" s="636"/>
      <c r="F5801" s="636"/>
      <c r="G5801" s="636"/>
      <c r="H5801" s="636"/>
      <c r="I5801" s="636"/>
      <c r="J5801" s="636" t="s">
        <v>13675</v>
      </c>
      <c r="K5801" s="636"/>
      <c r="L5801" s="636" t="s">
        <v>14685</v>
      </c>
    </row>
    <row r="5802" spans="1:12">
      <c r="A5802" s="802" t="s">
        <v>12722</v>
      </c>
      <c r="B5802" s="802"/>
      <c r="C5802" s="802"/>
      <c r="D5802" s="802"/>
      <c r="E5802" s="802"/>
      <c r="F5802" s="802"/>
      <c r="G5802" s="802"/>
      <c r="H5802" s="802"/>
      <c r="I5802" s="612"/>
      <c r="J5802" s="612"/>
      <c r="K5802" s="612"/>
      <c r="L5802" s="612"/>
    </row>
    <row r="5803" spans="1:12" ht="17.100000000000001" customHeight="1">
      <c r="A5803" s="612" t="s">
        <v>13679</v>
      </c>
      <c r="B5803" s="636" t="s">
        <v>12698</v>
      </c>
      <c r="C5803" s="612" t="s">
        <v>12699</v>
      </c>
      <c r="D5803" s="612" t="s">
        <v>12700</v>
      </c>
      <c r="E5803" s="637" t="s">
        <v>12702</v>
      </c>
      <c r="F5803" s="801" t="s">
        <v>12704</v>
      </c>
      <c r="G5803" s="801"/>
      <c r="H5803" s="801" t="s">
        <v>13678</v>
      </c>
      <c r="I5803" s="801"/>
      <c r="J5803" s="801" t="s">
        <v>12705</v>
      </c>
      <c r="K5803" s="801"/>
      <c r="L5803" s="801"/>
    </row>
    <row r="5804" spans="1:12" ht="24" customHeight="1">
      <c r="A5804" s="626" t="s">
        <v>12709</v>
      </c>
      <c r="B5804" s="627" t="s">
        <v>12998</v>
      </c>
      <c r="C5804" s="626" t="s">
        <v>8</v>
      </c>
      <c r="D5804" s="626" t="s">
        <v>11861</v>
      </c>
      <c r="E5804" s="628" t="s">
        <v>23</v>
      </c>
      <c r="F5804" s="816" t="s">
        <v>13683</v>
      </c>
      <c r="G5804" s="816"/>
      <c r="H5804" s="816">
        <v>5.59418E-2</v>
      </c>
      <c r="I5804" s="816"/>
      <c r="J5804" s="817">
        <v>3.9699999999999999E-2</v>
      </c>
      <c r="K5804" s="817"/>
      <c r="L5804" s="817"/>
    </row>
    <row r="5805" spans="1:12" ht="24" customHeight="1">
      <c r="A5805" s="636"/>
      <c r="B5805" s="636"/>
      <c r="C5805" s="636"/>
      <c r="D5805" s="636"/>
      <c r="E5805" s="636"/>
      <c r="F5805" s="636"/>
      <c r="G5805" s="636"/>
      <c r="H5805" s="636"/>
      <c r="I5805" s="636"/>
      <c r="J5805" s="636" t="s">
        <v>13675</v>
      </c>
      <c r="K5805" s="636"/>
      <c r="L5805" s="636" t="s">
        <v>13716</v>
      </c>
    </row>
    <row r="5806" spans="1:12" ht="17.100000000000001" customHeight="1">
      <c r="A5806" s="802" t="s">
        <v>12713</v>
      </c>
      <c r="B5806" s="802"/>
      <c r="C5806" s="802"/>
      <c r="D5806" s="802"/>
      <c r="E5806" s="802"/>
      <c r="F5806" s="802"/>
      <c r="G5806" s="802"/>
      <c r="H5806" s="802"/>
      <c r="I5806" s="612"/>
      <c r="J5806" s="612"/>
      <c r="K5806" s="612"/>
      <c r="L5806" s="612"/>
    </row>
    <row r="5807" spans="1:12">
      <c r="A5807" s="612" t="s">
        <v>13679</v>
      </c>
      <c r="B5807" s="636" t="s">
        <v>12698</v>
      </c>
      <c r="C5807" s="612" t="s">
        <v>12699</v>
      </c>
      <c r="D5807" s="612" t="s">
        <v>12700</v>
      </c>
      <c r="E5807" s="637" t="s">
        <v>12702</v>
      </c>
      <c r="F5807" s="801" t="s">
        <v>12704</v>
      </c>
      <c r="G5807" s="801"/>
      <c r="H5807" s="801" t="s">
        <v>13678</v>
      </c>
      <c r="I5807" s="801"/>
      <c r="J5807" s="801" t="s">
        <v>12705</v>
      </c>
      <c r="K5807" s="801"/>
      <c r="L5807" s="801"/>
    </row>
    <row r="5808" spans="1:12" ht="17.100000000000001" customHeight="1">
      <c r="A5808" s="626" t="s">
        <v>12709</v>
      </c>
      <c r="B5808" s="627" t="s">
        <v>12999</v>
      </c>
      <c r="C5808" s="626" t="s">
        <v>8</v>
      </c>
      <c r="D5808" s="626" t="s">
        <v>11251</v>
      </c>
      <c r="E5808" s="628" t="s">
        <v>23</v>
      </c>
      <c r="F5808" s="816" t="s">
        <v>13681</v>
      </c>
      <c r="G5808" s="816"/>
      <c r="H5808" s="816">
        <v>5.59418E-2</v>
      </c>
      <c r="I5808" s="816"/>
      <c r="J5808" s="817">
        <v>3.8999999999999998E-3</v>
      </c>
      <c r="K5808" s="817"/>
      <c r="L5808" s="817"/>
    </row>
    <row r="5809" spans="1:12" ht="24" customHeight="1">
      <c r="A5809" s="636"/>
      <c r="B5809" s="636"/>
      <c r="C5809" s="636"/>
      <c r="D5809" s="636"/>
      <c r="E5809" s="636"/>
      <c r="F5809" s="636"/>
      <c r="G5809" s="636"/>
      <c r="H5809" s="636"/>
      <c r="I5809" s="636"/>
      <c r="J5809" s="636" t="s">
        <v>13675</v>
      </c>
      <c r="K5809" s="636"/>
      <c r="L5809" s="636" t="s">
        <v>13727</v>
      </c>
    </row>
    <row r="5810" spans="1:12" ht="17.100000000000001" customHeight="1">
      <c r="A5810" s="802" t="s">
        <v>12712</v>
      </c>
      <c r="B5810" s="802"/>
      <c r="C5810" s="802"/>
      <c r="D5810" s="802"/>
      <c r="E5810" s="802"/>
      <c r="F5810" s="802"/>
      <c r="G5810" s="802"/>
      <c r="H5810" s="802"/>
      <c r="I5810" s="612"/>
      <c r="J5810" s="612"/>
      <c r="K5810" s="612"/>
      <c r="L5810" s="612"/>
    </row>
    <row r="5811" spans="1:12">
      <c r="A5811" s="612" t="s">
        <v>13679</v>
      </c>
      <c r="B5811" s="636" t="s">
        <v>12698</v>
      </c>
      <c r="C5811" s="612" t="s">
        <v>12699</v>
      </c>
      <c r="D5811" s="612" t="s">
        <v>12700</v>
      </c>
      <c r="E5811" s="637" t="s">
        <v>12702</v>
      </c>
      <c r="F5811" s="801" t="s">
        <v>12704</v>
      </c>
      <c r="G5811" s="801"/>
      <c r="H5811" s="801" t="s">
        <v>13678</v>
      </c>
      <c r="I5811" s="801"/>
      <c r="J5811" s="801" t="s">
        <v>12705</v>
      </c>
      <c r="K5811" s="801"/>
      <c r="L5811" s="801"/>
    </row>
    <row r="5812" spans="1:12" ht="17.100000000000001" customHeight="1">
      <c r="A5812" s="626" t="s">
        <v>12709</v>
      </c>
      <c r="B5812" s="627" t="s">
        <v>13002</v>
      </c>
      <c r="C5812" s="626" t="s">
        <v>8</v>
      </c>
      <c r="D5812" s="626" t="s">
        <v>9306</v>
      </c>
      <c r="E5812" s="628" t="s">
        <v>23</v>
      </c>
      <c r="F5812" s="816" t="s">
        <v>13677</v>
      </c>
      <c r="G5812" s="816"/>
      <c r="H5812" s="816">
        <v>5.59418E-2</v>
      </c>
      <c r="I5812" s="816"/>
      <c r="J5812" s="817">
        <v>1.9599999999999999E-2</v>
      </c>
      <c r="K5812" s="817"/>
      <c r="L5812" s="817"/>
    </row>
    <row r="5813" spans="1:12" ht="24" customHeight="1">
      <c r="A5813" s="626" t="s">
        <v>12709</v>
      </c>
      <c r="B5813" s="627" t="s">
        <v>13004</v>
      </c>
      <c r="C5813" s="626" t="s">
        <v>8</v>
      </c>
      <c r="D5813" s="626" t="s">
        <v>7388</v>
      </c>
      <c r="E5813" s="628" t="s">
        <v>23</v>
      </c>
      <c r="F5813" s="816" t="s">
        <v>13676</v>
      </c>
      <c r="G5813" s="816"/>
      <c r="H5813" s="816">
        <v>5.59418E-2</v>
      </c>
      <c r="I5813" s="816"/>
      <c r="J5813" s="817">
        <v>0.1231</v>
      </c>
      <c r="K5813" s="817"/>
      <c r="L5813" s="817"/>
    </row>
    <row r="5814" spans="1:12" ht="17.100000000000001" customHeight="1">
      <c r="A5814" s="636"/>
      <c r="B5814" s="636"/>
      <c r="C5814" s="636"/>
      <c r="D5814" s="636"/>
      <c r="E5814" s="636"/>
      <c r="F5814" s="636"/>
      <c r="G5814" s="636"/>
      <c r="H5814" s="636"/>
      <c r="I5814" s="636"/>
      <c r="J5814" s="636" t="s">
        <v>13675</v>
      </c>
      <c r="K5814" s="636"/>
      <c r="L5814" s="636" t="s">
        <v>13880</v>
      </c>
    </row>
    <row r="5815" spans="1:12">
      <c r="A5815" s="612" t="s">
        <v>13673</v>
      </c>
      <c r="B5815" s="612"/>
      <c r="C5815" s="612"/>
      <c r="D5815" s="612"/>
      <c r="E5815" s="612"/>
      <c r="F5815" s="612"/>
      <c r="G5815" s="612"/>
      <c r="H5815" s="612"/>
      <c r="I5815" s="612"/>
      <c r="J5815" s="612"/>
      <c r="K5815" s="612"/>
      <c r="L5815" s="612"/>
    </row>
    <row r="5816" spans="1:12" ht="17.100000000000001" customHeight="1">
      <c r="A5816" s="636"/>
      <c r="B5816" s="636"/>
      <c r="C5816" s="636"/>
      <c r="D5816" s="636"/>
      <c r="E5816" s="636"/>
      <c r="F5816" s="636"/>
      <c r="G5816" s="636"/>
      <c r="H5816" s="636"/>
      <c r="I5816" s="636"/>
      <c r="J5816" s="636" t="s">
        <v>13672</v>
      </c>
      <c r="K5816" s="636"/>
      <c r="L5816" s="636" t="s">
        <v>15299</v>
      </c>
    </row>
    <row r="5817" spans="1:12" ht="24" customHeight="1">
      <c r="A5817" s="636"/>
      <c r="B5817" s="636"/>
      <c r="C5817" s="636"/>
      <c r="D5817" s="636"/>
      <c r="E5817" s="636"/>
      <c r="F5817" s="636"/>
      <c r="G5817" s="636"/>
      <c r="H5817" s="636"/>
      <c r="I5817" s="636"/>
      <c r="J5817" s="636" t="s">
        <v>13671</v>
      </c>
      <c r="K5817" s="636" t="s">
        <v>14461</v>
      </c>
      <c r="L5817" s="636" t="s">
        <v>14888</v>
      </c>
    </row>
    <row r="5818" spans="1:12" ht="24" customHeight="1">
      <c r="A5818" s="636"/>
      <c r="B5818" s="636"/>
      <c r="C5818" s="636"/>
      <c r="D5818" s="636"/>
      <c r="E5818" s="636"/>
      <c r="F5818" s="636"/>
      <c r="G5818" s="636"/>
      <c r="H5818" s="636"/>
      <c r="I5818" s="636"/>
      <c r="J5818" s="636" t="s">
        <v>13670</v>
      </c>
      <c r="K5818" s="636"/>
      <c r="L5818" s="636" t="s">
        <v>15300</v>
      </c>
    </row>
    <row r="5819" spans="1:12" ht="17.100000000000001" customHeight="1">
      <c r="A5819" s="636"/>
      <c r="B5819" s="636"/>
      <c r="C5819" s="636"/>
      <c r="D5819" s="636"/>
      <c r="E5819" s="636"/>
      <c r="F5819" s="636"/>
      <c r="G5819" s="636"/>
      <c r="H5819" s="636"/>
      <c r="I5819" s="636"/>
      <c r="J5819" s="636" t="s">
        <v>13669</v>
      </c>
      <c r="K5819" s="636" t="s">
        <v>13667</v>
      </c>
      <c r="L5819" s="636" t="s">
        <v>15301</v>
      </c>
    </row>
    <row r="5820" spans="1:12" ht="17.100000000000001" customHeight="1">
      <c r="A5820" s="636"/>
      <c r="B5820" s="636"/>
      <c r="C5820" s="636"/>
      <c r="D5820" s="636"/>
      <c r="E5820" s="636"/>
      <c r="F5820" s="636"/>
      <c r="G5820" s="636"/>
      <c r="H5820" s="636"/>
      <c r="I5820" s="636"/>
      <c r="J5820" s="636" t="s">
        <v>13668</v>
      </c>
      <c r="K5820" s="636"/>
      <c r="L5820" s="636" t="s">
        <v>15302</v>
      </c>
    </row>
    <row r="5821" spans="1:12" ht="17.100000000000001" customHeight="1">
      <c r="A5821" s="637"/>
      <c r="B5821" s="637"/>
      <c r="C5821" s="637"/>
      <c r="D5821" s="637"/>
      <c r="E5821" s="637"/>
      <c r="F5821" s="637"/>
      <c r="G5821" s="637"/>
      <c r="H5821" s="637"/>
      <c r="I5821" s="637"/>
      <c r="J5821" s="637"/>
      <c r="K5821" s="637"/>
      <c r="L5821" s="637"/>
    </row>
    <row r="5822" spans="1:12" ht="17.100000000000001" customHeight="1">
      <c r="A5822" s="616" t="s">
        <v>14053</v>
      </c>
      <c r="B5822" s="617" t="s">
        <v>13516</v>
      </c>
      <c r="C5822" s="616" t="s">
        <v>8</v>
      </c>
      <c r="D5822" s="616" t="s">
        <v>1796</v>
      </c>
      <c r="E5822" s="618" t="s">
        <v>17</v>
      </c>
      <c r="F5822" s="617"/>
      <c r="G5822" s="617"/>
      <c r="H5822" s="617"/>
      <c r="I5822" s="617"/>
      <c r="J5822" s="617"/>
      <c r="K5822" s="617"/>
      <c r="L5822" s="617"/>
    </row>
    <row r="5823" spans="1:12" ht="17.100000000000001" customHeight="1">
      <c r="A5823" s="802" t="s">
        <v>12711</v>
      </c>
      <c r="B5823" s="802"/>
      <c r="C5823" s="802"/>
      <c r="D5823" s="802"/>
      <c r="E5823" s="802"/>
      <c r="F5823" s="802"/>
      <c r="G5823" s="802"/>
      <c r="H5823" s="802"/>
      <c r="I5823" s="612"/>
      <c r="J5823" s="612"/>
      <c r="K5823" s="612"/>
      <c r="L5823" s="612"/>
    </row>
    <row r="5824" spans="1:12" ht="17.100000000000001" customHeight="1">
      <c r="A5824" s="612" t="s">
        <v>13679</v>
      </c>
      <c r="B5824" s="636" t="s">
        <v>12698</v>
      </c>
      <c r="C5824" s="612" t="s">
        <v>12699</v>
      </c>
      <c r="D5824" s="612" t="s">
        <v>12700</v>
      </c>
      <c r="E5824" s="637" t="s">
        <v>12702</v>
      </c>
      <c r="F5824" s="801" t="s">
        <v>12704</v>
      </c>
      <c r="G5824" s="801"/>
      <c r="H5824" s="801" t="s">
        <v>13678</v>
      </c>
      <c r="I5824" s="801"/>
      <c r="J5824" s="801" t="s">
        <v>12705</v>
      </c>
      <c r="K5824" s="801"/>
      <c r="L5824" s="801"/>
    </row>
    <row r="5825" spans="1:12" ht="17.100000000000001" customHeight="1">
      <c r="A5825" s="626" t="s">
        <v>12709</v>
      </c>
      <c r="B5825" s="627" t="s">
        <v>13201</v>
      </c>
      <c r="C5825" s="626" t="s">
        <v>8</v>
      </c>
      <c r="D5825" s="626" t="s">
        <v>9221</v>
      </c>
      <c r="E5825" s="628" t="s">
        <v>23</v>
      </c>
      <c r="F5825" s="816" t="s">
        <v>13705</v>
      </c>
      <c r="G5825" s="816"/>
      <c r="H5825" s="816">
        <v>6.6649600000000003E-2</v>
      </c>
      <c r="I5825" s="816"/>
      <c r="J5825" s="817">
        <v>5.5300000000000002E-2</v>
      </c>
      <c r="K5825" s="817"/>
      <c r="L5825" s="817"/>
    </row>
    <row r="5826" spans="1:12" ht="30" customHeight="1">
      <c r="A5826" s="626" t="s">
        <v>12709</v>
      </c>
      <c r="B5826" s="627" t="s">
        <v>13200</v>
      </c>
      <c r="C5826" s="626" t="s">
        <v>8</v>
      </c>
      <c r="D5826" s="626" t="s">
        <v>9368</v>
      </c>
      <c r="E5826" s="628" t="s">
        <v>23</v>
      </c>
      <c r="F5826" s="816" t="s">
        <v>13704</v>
      </c>
      <c r="G5826" s="816"/>
      <c r="H5826" s="816">
        <v>6.6649600000000003E-2</v>
      </c>
      <c r="I5826" s="816"/>
      <c r="J5826" s="817">
        <v>1.6E-2</v>
      </c>
      <c r="K5826" s="817"/>
      <c r="L5826" s="817"/>
    </row>
    <row r="5827" spans="1:12" ht="36" customHeight="1">
      <c r="A5827" s="636"/>
      <c r="B5827" s="636"/>
      <c r="C5827" s="636"/>
      <c r="D5827" s="636"/>
      <c r="E5827" s="636"/>
      <c r="F5827" s="636"/>
      <c r="G5827" s="636"/>
      <c r="H5827" s="636"/>
      <c r="I5827" s="636"/>
      <c r="J5827" s="636" t="s">
        <v>13675</v>
      </c>
      <c r="K5827" s="636"/>
      <c r="L5827" s="636" t="s">
        <v>13681</v>
      </c>
    </row>
    <row r="5828" spans="1:12" ht="14.25" customHeight="1">
      <c r="A5828" s="802" t="s">
        <v>12710</v>
      </c>
      <c r="B5828" s="802"/>
      <c r="C5828" s="802"/>
      <c r="D5828" s="802"/>
      <c r="E5828" s="802"/>
      <c r="F5828" s="802"/>
      <c r="G5828" s="802"/>
      <c r="H5828" s="802"/>
      <c r="I5828" s="612"/>
      <c r="J5828" s="612"/>
      <c r="K5828" s="612"/>
      <c r="L5828" s="612"/>
    </row>
    <row r="5829" spans="1:12" ht="17.100000000000001" customHeight="1">
      <c r="A5829" s="612" t="s">
        <v>13679</v>
      </c>
      <c r="B5829" s="636" t="s">
        <v>12698</v>
      </c>
      <c r="C5829" s="612" t="s">
        <v>12699</v>
      </c>
      <c r="D5829" s="612" t="s">
        <v>12700</v>
      </c>
      <c r="E5829" s="637" t="s">
        <v>12702</v>
      </c>
      <c r="F5829" s="801" t="s">
        <v>12704</v>
      </c>
      <c r="G5829" s="801"/>
      <c r="H5829" s="801" t="s">
        <v>13678</v>
      </c>
      <c r="I5829" s="801"/>
      <c r="J5829" s="801" t="s">
        <v>12705</v>
      </c>
      <c r="K5829" s="801"/>
      <c r="L5829" s="801"/>
    </row>
    <row r="5830" spans="1:12" ht="24" customHeight="1">
      <c r="A5830" s="626" t="s">
        <v>12709</v>
      </c>
      <c r="B5830" s="627" t="s">
        <v>13220</v>
      </c>
      <c r="C5830" s="626" t="s">
        <v>8</v>
      </c>
      <c r="D5830" s="626" t="s">
        <v>7592</v>
      </c>
      <c r="E5830" s="628" t="s">
        <v>23</v>
      </c>
      <c r="F5830" s="816" t="s">
        <v>13890</v>
      </c>
      <c r="G5830" s="816"/>
      <c r="H5830" s="816">
        <v>3.4091799999999998E-2</v>
      </c>
      <c r="I5830" s="816"/>
      <c r="J5830" s="817">
        <v>0.17249999999999999</v>
      </c>
      <c r="K5830" s="817"/>
      <c r="L5830" s="817"/>
    </row>
    <row r="5831" spans="1:12" ht="24" customHeight="1">
      <c r="A5831" s="626" t="s">
        <v>12709</v>
      </c>
      <c r="B5831" s="627" t="s">
        <v>13202</v>
      </c>
      <c r="C5831" s="626" t="s">
        <v>8</v>
      </c>
      <c r="D5831" s="626" t="s">
        <v>9187</v>
      </c>
      <c r="E5831" s="628" t="s">
        <v>23</v>
      </c>
      <c r="F5831" s="816" t="s">
        <v>14479</v>
      </c>
      <c r="G5831" s="816"/>
      <c r="H5831" s="816">
        <v>3.4091799999999998E-2</v>
      </c>
      <c r="I5831" s="816"/>
      <c r="J5831" s="817">
        <v>0.24379999999999999</v>
      </c>
      <c r="K5831" s="817"/>
      <c r="L5831" s="817"/>
    </row>
    <row r="5832" spans="1:12" ht="17.100000000000001" customHeight="1">
      <c r="A5832" s="636"/>
      <c r="B5832" s="636"/>
      <c r="C5832" s="636"/>
      <c r="D5832" s="636"/>
      <c r="E5832" s="636"/>
      <c r="F5832" s="636"/>
      <c r="G5832" s="636"/>
      <c r="H5832" s="636"/>
      <c r="I5832" s="636"/>
      <c r="J5832" s="636" t="s">
        <v>13675</v>
      </c>
      <c r="K5832" s="636"/>
      <c r="L5832" s="636" t="s">
        <v>13837</v>
      </c>
    </row>
    <row r="5833" spans="1:12" ht="14.25" customHeight="1">
      <c r="A5833" s="802" t="s">
        <v>12720</v>
      </c>
      <c r="B5833" s="802"/>
      <c r="C5833" s="802"/>
      <c r="D5833" s="802"/>
      <c r="E5833" s="802"/>
      <c r="F5833" s="802"/>
      <c r="G5833" s="802"/>
      <c r="H5833" s="802"/>
      <c r="I5833" s="612"/>
      <c r="J5833" s="612"/>
      <c r="K5833" s="612"/>
      <c r="L5833" s="612"/>
    </row>
    <row r="5834" spans="1:12" ht="17.100000000000001" customHeight="1">
      <c r="A5834" s="612" t="s">
        <v>13679</v>
      </c>
      <c r="B5834" s="636" t="s">
        <v>12698</v>
      </c>
      <c r="C5834" s="612" t="s">
        <v>12699</v>
      </c>
      <c r="D5834" s="612" t="s">
        <v>12700</v>
      </c>
      <c r="E5834" s="637" t="s">
        <v>12702</v>
      </c>
      <c r="F5834" s="801" t="s">
        <v>12704</v>
      </c>
      <c r="G5834" s="801"/>
      <c r="H5834" s="801" t="s">
        <v>13678</v>
      </c>
      <c r="I5834" s="801"/>
      <c r="J5834" s="801" t="s">
        <v>12705</v>
      </c>
      <c r="K5834" s="801"/>
      <c r="L5834" s="801"/>
    </row>
    <row r="5835" spans="1:12" ht="24" customHeight="1">
      <c r="A5835" s="626" t="s">
        <v>12709</v>
      </c>
      <c r="B5835" s="627" t="s">
        <v>13467</v>
      </c>
      <c r="C5835" s="626" t="s">
        <v>8</v>
      </c>
      <c r="D5835" s="626" t="s">
        <v>9987</v>
      </c>
      <c r="E5835" s="628" t="s">
        <v>35</v>
      </c>
      <c r="F5835" s="816" t="s">
        <v>13998</v>
      </c>
      <c r="G5835" s="816"/>
      <c r="H5835" s="816">
        <v>1.0999999999999999E-2</v>
      </c>
      <c r="I5835" s="816"/>
      <c r="J5835" s="817">
        <v>0.02</v>
      </c>
      <c r="K5835" s="817"/>
      <c r="L5835" s="817"/>
    </row>
    <row r="5836" spans="1:12" ht="24" customHeight="1">
      <c r="A5836" s="626" t="s">
        <v>12709</v>
      </c>
      <c r="B5836" s="627" t="s">
        <v>13515</v>
      </c>
      <c r="C5836" s="626" t="s">
        <v>8</v>
      </c>
      <c r="D5836" s="626" t="s">
        <v>12192</v>
      </c>
      <c r="E5836" s="628" t="s">
        <v>17</v>
      </c>
      <c r="F5836" s="816" t="s">
        <v>14684</v>
      </c>
      <c r="G5836" s="816"/>
      <c r="H5836" s="816">
        <v>1.0609999999999999</v>
      </c>
      <c r="I5836" s="816"/>
      <c r="J5836" s="817">
        <v>18.89</v>
      </c>
      <c r="K5836" s="817"/>
      <c r="L5836" s="817"/>
    </row>
    <row r="5837" spans="1:12" ht="17.100000000000001" customHeight="1">
      <c r="A5837" s="636"/>
      <c r="B5837" s="636"/>
      <c r="C5837" s="636"/>
      <c r="D5837" s="636"/>
      <c r="E5837" s="636"/>
      <c r="F5837" s="636"/>
      <c r="G5837" s="636"/>
      <c r="H5837" s="636"/>
      <c r="I5837" s="636"/>
      <c r="J5837" s="636" t="s">
        <v>13675</v>
      </c>
      <c r="K5837" s="636"/>
      <c r="L5837" s="636" t="s">
        <v>14683</v>
      </c>
    </row>
    <row r="5838" spans="1:12">
      <c r="A5838" s="802" t="s">
        <v>12722</v>
      </c>
      <c r="B5838" s="802"/>
      <c r="C5838" s="802"/>
      <c r="D5838" s="802"/>
      <c r="E5838" s="802"/>
      <c r="F5838" s="802"/>
      <c r="G5838" s="802"/>
      <c r="H5838" s="802"/>
      <c r="I5838" s="612"/>
      <c r="J5838" s="612"/>
      <c r="K5838" s="612"/>
      <c r="L5838" s="612"/>
    </row>
    <row r="5839" spans="1:12" ht="17.100000000000001" customHeight="1">
      <c r="A5839" s="612" t="s">
        <v>13679</v>
      </c>
      <c r="B5839" s="636" t="s">
        <v>12698</v>
      </c>
      <c r="C5839" s="612" t="s">
        <v>12699</v>
      </c>
      <c r="D5839" s="612" t="s">
        <v>12700</v>
      </c>
      <c r="E5839" s="637" t="s">
        <v>12702</v>
      </c>
      <c r="F5839" s="801" t="s">
        <v>12704</v>
      </c>
      <c r="G5839" s="801"/>
      <c r="H5839" s="801" t="s">
        <v>13678</v>
      </c>
      <c r="I5839" s="801"/>
      <c r="J5839" s="801" t="s">
        <v>12705</v>
      </c>
      <c r="K5839" s="801"/>
      <c r="L5839" s="801"/>
    </row>
    <row r="5840" spans="1:12" ht="24" customHeight="1">
      <c r="A5840" s="626" t="s">
        <v>12709</v>
      </c>
      <c r="B5840" s="627" t="s">
        <v>12998</v>
      </c>
      <c r="C5840" s="626" t="s">
        <v>8</v>
      </c>
      <c r="D5840" s="626" t="s">
        <v>11861</v>
      </c>
      <c r="E5840" s="628" t="s">
        <v>23</v>
      </c>
      <c r="F5840" s="816" t="s">
        <v>13683</v>
      </c>
      <c r="G5840" s="816"/>
      <c r="H5840" s="816">
        <v>6.6649600000000003E-2</v>
      </c>
      <c r="I5840" s="816"/>
      <c r="J5840" s="817">
        <v>4.7300000000000002E-2</v>
      </c>
      <c r="K5840" s="817"/>
      <c r="L5840" s="817"/>
    </row>
    <row r="5841" spans="1:12" ht="24" customHeight="1">
      <c r="A5841" s="636"/>
      <c r="B5841" s="636"/>
      <c r="C5841" s="636"/>
      <c r="D5841" s="636"/>
      <c r="E5841" s="636"/>
      <c r="F5841" s="636"/>
      <c r="G5841" s="636"/>
      <c r="H5841" s="636"/>
      <c r="I5841" s="636"/>
      <c r="J5841" s="636" t="s">
        <v>13675</v>
      </c>
      <c r="K5841" s="636"/>
      <c r="L5841" s="636" t="s">
        <v>13767</v>
      </c>
    </row>
    <row r="5842" spans="1:12" ht="24" customHeight="1">
      <c r="A5842" s="802" t="s">
        <v>12713</v>
      </c>
      <c r="B5842" s="802"/>
      <c r="C5842" s="802"/>
      <c r="D5842" s="802"/>
      <c r="E5842" s="802"/>
      <c r="F5842" s="802"/>
      <c r="G5842" s="802"/>
      <c r="H5842" s="802"/>
      <c r="I5842" s="612"/>
      <c r="J5842" s="612"/>
      <c r="K5842" s="612"/>
      <c r="L5842" s="612"/>
    </row>
    <row r="5843" spans="1:12" ht="24" customHeight="1">
      <c r="A5843" s="612" t="s">
        <v>13679</v>
      </c>
      <c r="B5843" s="636" t="s">
        <v>12698</v>
      </c>
      <c r="C5843" s="612" t="s">
        <v>12699</v>
      </c>
      <c r="D5843" s="612" t="s">
        <v>12700</v>
      </c>
      <c r="E5843" s="637" t="s">
        <v>12702</v>
      </c>
      <c r="F5843" s="801" t="s">
        <v>12704</v>
      </c>
      <c r="G5843" s="801"/>
      <c r="H5843" s="801" t="s">
        <v>13678</v>
      </c>
      <c r="I5843" s="801"/>
      <c r="J5843" s="801" t="s">
        <v>12705</v>
      </c>
      <c r="K5843" s="801"/>
      <c r="L5843" s="801"/>
    </row>
    <row r="5844" spans="1:12" ht="17.100000000000001" customHeight="1">
      <c r="A5844" s="626" t="s">
        <v>12709</v>
      </c>
      <c r="B5844" s="627" t="s">
        <v>12999</v>
      </c>
      <c r="C5844" s="626" t="s">
        <v>8</v>
      </c>
      <c r="D5844" s="626" t="s">
        <v>11251</v>
      </c>
      <c r="E5844" s="628" t="s">
        <v>23</v>
      </c>
      <c r="F5844" s="816" t="s">
        <v>13681</v>
      </c>
      <c r="G5844" s="816"/>
      <c r="H5844" s="816">
        <v>6.6649600000000003E-2</v>
      </c>
      <c r="I5844" s="816"/>
      <c r="J5844" s="817">
        <v>4.7000000000000002E-3</v>
      </c>
      <c r="K5844" s="817"/>
      <c r="L5844" s="817"/>
    </row>
    <row r="5845" spans="1:12">
      <c r="A5845" s="636"/>
      <c r="B5845" s="636"/>
      <c r="C5845" s="636"/>
      <c r="D5845" s="636"/>
      <c r="E5845" s="636"/>
      <c r="F5845" s="636"/>
      <c r="G5845" s="636"/>
      <c r="H5845" s="636"/>
      <c r="I5845" s="636"/>
      <c r="J5845" s="636" t="s">
        <v>13675</v>
      </c>
      <c r="K5845" s="636"/>
      <c r="L5845" s="636" t="s">
        <v>13727</v>
      </c>
    </row>
    <row r="5846" spans="1:12" ht="17.100000000000001" customHeight="1">
      <c r="A5846" s="802" t="s">
        <v>12712</v>
      </c>
      <c r="B5846" s="802"/>
      <c r="C5846" s="802"/>
      <c r="D5846" s="802"/>
      <c r="E5846" s="802"/>
      <c r="F5846" s="802"/>
      <c r="G5846" s="802"/>
      <c r="H5846" s="802"/>
      <c r="I5846" s="612"/>
      <c r="J5846" s="612"/>
      <c r="K5846" s="612"/>
      <c r="L5846" s="612"/>
    </row>
    <row r="5847" spans="1:12" ht="24" customHeight="1">
      <c r="A5847" s="612" t="s">
        <v>13679</v>
      </c>
      <c r="B5847" s="636" t="s">
        <v>12698</v>
      </c>
      <c r="C5847" s="612" t="s">
        <v>12699</v>
      </c>
      <c r="D5847" s="612" t="s">
        <v>12700</v>
      </c>
      <c r="E5847" s="637" t="s">
        <v>12702</v>
      </c>
      <c r="F5847" s="801" t="s">
        <v>12704</v>
      </c>
      <c r="G5847" s="801"/>
      <c r="H5847" s="801" t="s">
        <v>13678</v>
      </c>
      <c r="I5847" s="801"/>
      <c r="J5847" s="801" t="s">
        <v>12705</v>
      </c>
      <c r="K5847" s="801"/>
      <c r="L5847" s="801"/>
    </row>
    <row r="5848" spans="1:12" ht="17.100000000000001" customHeight="1">
      <c r="A5848" s="626" t="s">
        <v>12709</v>
      </c>
      <c r="B5848" s="627" t="s">
        <v>13002</v>
      </c>
      <c r="C5848" s="626" t="s">
        <v>8</v>
      </c>
      <c r="D5848" s="626" t="s">
        <v>9306</v>
      </c>
      <c r="E5848" s="628" t="s">
        <v>23</v>
      </c>
      <c r="F5848" s="816" t="s">
        <v>13677</v>
      </c>
      <c r="G5848" s="816"/>
      <c r="H5848" s="816">
        <v>6.6649600000000003E-2</v>
      </c>
      <c r="I5848" s="816"/>
      <c r="J5848" s="817">
        <v>2.3300000000000001E-2</v>
      </c>
      <c r="K5848" s="817"/>
      <c r="L5848" s="817"/>
    </row>
    <row r="5849" spans="1:12" ht="25.5">
      <c r="A5849" s="626" t="s">
        <v>12709</v>
      </c>
      <c r="B5849" s="627" t="s">
        <v>13004</v>
      </c>
      <c r="C5849" s="626" t="s">
        <v>8</v>
      </c>
      <c r="D5849" s="626" t="s">
        <v>7388</v>
      </c>
      <c r="E5849" s="628" t="s">
        <v>23</v>
      </c>
      <c r="F5849" s="816" t="s">
        <v>13676</v>
      </c>
      <c r="G5849" s="816"/>
      <c r="H5849" s="816">
        <v>6.6649600000000003E-2</v>
      </c>
      <c r="I5849" s="816"/>
      <c r="J5849" s="817">
        <v>0.14660000000000001</v>
      </c>
      <c r="K5849" s="817"/>
      <c r="L5849" s="817"/>
    </row>
    <row r="5850" spans="1:12" ht="17.100000000000001" customHeight="1">
      <c r="A5850" s="636"/>
      <c r="B5850" s="636"/>
      <c r="C5850" s="636"/>
      <c r="D5850" s="636"/>
      <c r="E5850" s="636"/>
      <c r="F5850" s="636"/>
      <c r="G5850" s="636"/>
      <c r="H5850" s="636"/>
      <c r="I5850" s="636"/>
      <c r="J5850" s="636" t="s">
        <v>13675</v>
      </c>
      <c r="K5850" s="636"/>
      <c r="L5850" s="636" t="s">
        <v>13832</v>
      </c>
    </row>
    <row r="5851" spans="1:12" ht="24" customHeight="1">
      <c r="A5851" s="612" t="s">
        <v>13673</v>
      </c>
      <c r="B5851" s="612"/>
      <c r="C5851" s="612"/>
      <c r="D5851" s="612"/>
      <c r="E5851" s="612"/>
      <c r="F5851" s="612"/>
      <c r="G5851" s="612"/>
      <c r="H5851" s="612"/>
      <c r="I5851" s="612"/>
      <c r="J5851" s="612"/>
      <c r="K5851" s="612"/>
      <c r="L5851" s="612"/>
    </row>
    <row r="5852" spans="1:12" ht="17.100000000000001" customHeight="1">
      <c r="A5852" s="636"/>
      <c r="B5852" s="636"/>
      <c r="C5852" s="636"/>
      <c r="D5852" s="636"/>
      <c r="E5852" s="636"/>
      <c r="F5852" s="636"/>
      <c r="G5852" s="636"/>
      <c r="H5852" s="636"/>
      <c r="I5852" s="636"/>
      <c r="J5852" s="636" t="s">
        <v>13672</v>
      </c>
      <c r="K5852" s="636"/>
      <c r="L5852" s="636" t="s">
        <v>15303</v>
      </c>
    </row>
    <row r="5853" spans="1:12">
      <c r="A5853" s="636"/>
      <c r="B5853" s="636"/>
      <c r="C5853" s="636"/>
      <c r="D5853" s="636"/>
      <c r="E5853" s="636"/>
      <c r="F5853" s="636"/>
      <c r="G5853" s="636"/>
      <c r="H5853" s="636"/>
      <c r="I5853" s="636"/>
      <c r="J5853" s="636" t="s">
        <v>13671</v>
      </c>
      <c r="K5853" s="636" t="s">
        <v>14461</v>
      </c>
      <c r="L5853" s="636" t="s">
        <v>15304</v>
      </c>
    </row>
    <row r="5854" spans="1:12" ht="17.100000000000001" customHeight="1">
      <c r="A5854" s="636"/>
      <c r="B5854" s="636"/>
      <c r="C5854" s="636"/>
      <c r="D5854" s="636"/>
      <c r="E5854" s="636"/>
      <c r="F5854" s="636"/>
      <c r="G5854" s="636"/>
      <c r="H5854" s="636"/>
      <c r="I5854" s="636"/>
      <c r="J5854" s="636" t="s">
        <v>13670</v>
      </c>
      <c r="K5854" s="636"/>
      <c r="L5854" s="636" t="s">
        <v>15305</v>
      </c>
    </row>
    <row r="5855" spans="1:12" ht="24" customHeight="1">
      <c r="A5855" s="636"/>
      <c r="B5855" s="636"/>
      <c r="C5855" s="636"/>
      <c r="D5855" s="636"/>
      <c r="E5855" s="636"/>
      <c r="F5855" s="636"/>
      <c r="G5855" s="636"/>
      <c r="H5855" s="636"/>
      <c r="I5855" s="636"/>
      <c r="J5855" s="636" t="s">
        <v>13669</v>
      </c>
      <c r="K5855" s="636" t="s">
        <v>13667</v>
      </c>
      <c r="L5855" s="636" t="s">
        <v>15306</v>
      </c>
    </row>
    <row r="5856" spans="1:12" ht="24" customHeight="1">
      <c r="A5856" s="636"/>
      <c r="B5856" s="636"/>
      <c r="C5856" s="636"/>
      <c r="D5856" s="636"/>
      <c r="E5856" s="636"/>
      <c r="F5856" s="636"/>
      <c r="G5856" s="636"/>
      <c r="H5856" s="636"/>
      <c r="I5856" s="636"/>
      <c r="J5856" s="636" t="s">
        <v>13668</v>
      </c>
      <c r="K5856" s="636"/>
      <c r="L5856" s="636" t="s">
        <v>15307</v>
      </c>
    </row>
    <row r="5857" spans="1:12" ht="17.100000000000001" customHeight="1">
      <c r="A5857" s="637"/>
      <c r="B5857" s="637"/>
      <c r="C5857" s="637"/>
      <c r="D5857" s="637"/>
      <c r="E5857" s="637"/>
      <c r="F5857" s="637"/>
      <c r="G5857" s="637"/>
      <c r="H5857" s="637"/>
      <c r="I5857" s="637"/>
      <c r="J5857" s="637"/>
      <c r="K5857" s="637"/>
      <c r="L5857" s="637"/>
    </row>
    <row r="5858" spans="1:12" ht="17.100000000000001" customHeight="1">
      <c r="A5858" s="616" t="s">
        <v>14052</v>
      </c>
      <c r="B5858" s="617" t="s">
        <v>13514</v>
      </c>
      <c r="C5858" s="616" t="s">
        <v>8</v>
      </c>
      <c r="D5858" s="616" t="s">
        <v>374</v>
      </c>
      <c r="E5858" s="618" t="s">
        <v>35</v>
      </c>
      <c r="F5858" s="617"/>
      <c r="G5858" s="617"/>
      <c r="H5858" s="617"/>
      <c r="I5858" s="617"/>
      <c r="J5858" s="617"/>
      <c r="K5858" s="617"/>
      <c r="L5858" s="617"/>
    </row>
    <row r="5859" spans="1:12" ht="17.100000000000001" customHeight="1">
      <c r="A5859" s="802" t="s">
        <v>12711</v>
      </c>
      <c r="B5859" s="802"/>
      <c r="C5859" s="802"/>
      <c r="D5859" s="802"/>
      <c r="E5859" s="802"/>
      <c r="F5859" s="802"/>
      <c r="G5859" s="802"/>
      <c r="H5859" s="802"/>
      <c r="I5859" s="612"/>
      <c r="J5859" s="612"/>
      <c r="K5859" s="612"/>
      <c r="L5859" s="612"/>
    </row>
    <row r="5860" spans="1:12" ht="17.100000000000001" customHeight="1">
      <c r="A5860" s="612" t="s">
        <v>13679</v>
      </c>
      <c r="B5860" s="636" t="s">
        <v>12698</v>
      </c>
      <c r="C5860" s="612" t="s">
        <v>12699</v>
      </c>
      <c r="D5860" s="612" t="s">
        <v>12700</v>
      </c>
      <c r="E5860" s="637" t="s">
        <v>12702</v>
      </c>
      <c r="F5860" s="801" t="s">
        <v>12704</v>
      </c>
      <c r="G5860" s="801"/>
      <c r="H5860" s="801" t="s">
        <v>13678</v>
      </c>
      <c r="I5860" s="801"/>
      <c r="J5860" s="801" t="s">
        <v>12705</v>
      </c>
      <c r="K5860" s="801"/>
      <c r="L5860" s="801"/>
    </row>
    <row r="5861" spans="1:12" ht="17.100000000000001" customHeight="1">
      <c r="A5861" s="626" t="s">
        <v>12709</v>
      </c>
      <c r="B5861" s="627" t="s">
        <v>13201</v>
      </c>
      <c r="C5861" s="626" t="s">
        <v>8</v>
      </c>
      <c r="D5861" s="626" t="s">
        <v>9221</v>
      </c>
      <c r="E5861" s="628" t="s">
        <v>23</v>
      </c>
      <c r="F5861" s="816" t="s">
        <v>13705</v>
      </c>
      <c r="G5861" s="816"/>
      <c r="H5861" s="816">
        <v>0.2372436</v>
      </c>
      <c r="I5861" s="816"/>
      <c r="J5861" s="817">
        <v>0.19689999999999999</v>
      </c>
      <c r="K5861" s="817"/>
      <c r="L5861" s="817"/>
    </row>
    <row r="5862" spans="1:12" ht="17.100000000000001" customHeight="1">
      <c r="A5862" s="626" t="s">
        <v>12709</v>
      </c>
      <c r="B5862" s="627" t="s">
        <v>13200</v>
      </c>
      <c r="C5862" s="626" t="s">
        <v>8</v>
      </c>
      <c r="D5862" s="626" t="s">
        <v>9368</v>
      </c>
      <c r="E5862" s="628" t="s">
        <v>23</v>
      </c>
      <c r="F5862" s="816" t="s">
        <v>13704</v>
      </c>
      <c r="G5862" s="816"/>
      <c r="H5862" s="816">
        <v>0.2372436</v>
      </c>
      <c r="I5862" s="816"/>
      <c r="J5862" s="817">
        <v>5.6899999999999999E-2</v>
      </c>
      <c r="K5862" s="817"/>
      <c r="L5862" s="817"/>
    </row>
    <row r="5863" spans="1:12" ht="17.100000000000001" customHeight="1">
      <c r="A5863" s="636"/>
      <c r="B5863" s="636"/>
      <c r="C5863" s="636"/>
      <c r="D5863" s="636"/>
      <c r="E5863" s="636"/>
      <c r="F5863" s="636"/>
      <c r="G5863" s="636"/>
      <c r="H5863" s="636"/>
      <c r="I5863" s="636"/>
      <c r="J5863" s="636" t="s">
        <v>13675</v>
      </c>
      <c r="K5863" s="636"/>
      <c r="L5863" s="636" t="s">
        <v>13915</v>
      </c>
    </row>
    <row r="5864" spans="1:12" ht="30" customHeight="1">
      <c r="A5864" s="802" t="s">
        <v>12710</v>
      </c>
      <c r="B5864" s="802"/>
      <c r="C5864" s="802"/>
      <c r="D5864" s="802"/>
      <c r="E5864" s="802"/>
      <c r="F5864" s="802"/>
      <c r="G5864" s="802"/>
      <c r="H5864" s="802"/>
      <c r="I5864" s="612"/>
      <c r="J5864" s="612"/>
      <c r="K5864" s="612"/>
      <c r="L5864" s="612"/>
    </row>
    <row r="5865" spans="1:12" ht="48" customHeight="1">
      <c r="A5865" s="612" t="s">
        <v>13679</v>
      </c>
      <c r="B5865" s="636" t="s">
        <v>12698</v>
      </c>
      <c r="C5865" s="612" t="s">
        <v>12699</v>
      </c>
      <c r="D5865" s="612" t="s">
        <v>12700</v>
      </c>
      <c r="E5865" s="637" t="s">
        <v>12702</v>
      </c>
      <c r="F5865" s="801" t="s">
        <v>12704</v>
      </c>
      <c r="G5865" s="801"/>
      <c r="H5865" s="801" t="s">
        <v>13678</v>
      </c>
      <c r="I5865" s="801"/>
      <c r="J5865" s="801" t="s">
        <v>12705</v>
      </c>
      <c r="K5865" s="801"/>
      <c r="L5865" s="801"/>
    </row>
    <row r="5866" spans="1:12" ht="14.25" customHeight="1">
      <c r="A5866" s="626" t="s">
        <v>12709</v>
      </c>
      <c r="B5866" s="627" t="s">
        <v>13220</v>
      </c>
      <c r="C5866" s="626" t="s">
        <v>8</v>
      </c>
      <c r="D5866" s="626" t="s">
        <v>7592</v>
      </c>
      <c r="E5866" s="628" t="s">
        <v>23</v>
      </c>
      <c r="F5866" s="816" t="s">
        <v>13890</v>
      </c>
      <c r="G5866" s="816"/>
      <c r="H5866" s="816">
        <v>0.12087100000000001</v>
      </c>
      <c r="I5866" s="816"/>
      <c r="J5866" s="817">
        <v>0.61160000000000003</v>
      </c>
      <c r="K5866" s="817"/>
      <c r="L5866" s="817"/>
    </row>
    <row r="5867" spans="1:12" ht="17.100000000000001" customHeight="1">
      <c r="A5867" s="626" t="s">
        <v>12709</v>
      </c>
      <c r="B5867" s="627" t="s">
        <v>13202</v>
      </c>
      <c r="C5867" s="626" t="s">
        <v>8</v>
      </c>
      <c r="D5867" s="626" t="s">
        <v>9187</v>
      </c>
      <c r="E5867" s="628" t="s">
        <v>23</v>
      </c>
      <c r="F5867" s="816" t="s">
        <v>14479</v>
      </c>
      <c r="G5867" s="816"/>
      <c r="H5867" s="816">
        <v>0.12087100000000001</v>
      </c>
      <c r="I5867" s="816"/>
      <c r="J5867" s="817">
        <v>0.86419999999999997</v>
      </c>
      <c r="K5867" s="817"/>
      <c r="L5867" s="817"/>
    </row>
    <row r="5868" spans="1:12" ht="24" customHeight="1">
      <c r="A5868" s="636"/>
      <c r="B5868" s="636"/>
      <c r="C5868" s="636"/>
      <c r="D5868" s="636"/>
      <c r="E5868" s="636"/>
      <c r="F5868" s="636"/>
      <c r="G5868" s="636"/>
      <c r="H5868" s="636"/>
      <c r="I5868" s="636"/>
      <c r="J5868" s="636" t="s">
        <v>13675</v>
      </c>
      <c r="K5868" s="636"/>
      <c r="L5868" s="636" t="s">
        <v>14682</v>
      </c>
    </row>
    <row r="5869" spans="1:12" ht="24" customHeight="1">
      <c r="A5869" s="802" t="s">
        <v>12720</v>
      </c>
      <c r="B5869" s="802"/>
      <c r="C5869" s="802"/>
      <c r="D5869" s="802"/>
      <c r="E5869" s="802"/>
      <c r="F5869" s="802"/>
      <c r="G5869" s="802"/>
      <c r="H5869" s="802"/>
      <c r="I5869" s="612"/>
      <c r="J5869" s="612"/>
      <c r="K5869" s="612"/>
      <c r="L5869" s="612"/>
    </row>
    <row r="5870" spans="1:12" ht="17.100000000000001" customHeight="1">
      <c r="A5870" s="612" t="s">
        <v>13679</v>
      </c>
      <c r="B5870" s="636" t="s">
        <v>12698</v>
      </c>
      <c r="C5870" s="612" t="s">
        <v>12699</v>
      </c>
      <c r="D5870" s="612" t="s">
        <v>12700</v>
      </c>
      <c r="E5870" s="637" t="s">
        <v>12702</v>
      </c>
      <c r="F5870" s="801" t="s">
        <v>12704</v>
      </c>
      <c r="G5870" s="801"/>
      <c r="H5870" s="801" t="s">
        <v>13678</v>
      </c>
      <c r="I5870" s="801"/>
      <c r="J5870" s="801" t="s">
        <v>12705</v>
      </c>
      <c r="K5870" s="801"/>
      <c r="L5870" s="801"/>
    </row>
    <row r="5871" spans="1:12" ht="14.25" customHeight="1">
      <c r="A5871" s="626" t="s">
        <v>12709</v>
      </c>
      <c r="B5871" s="627" t="s">
        <v>13467</v>
      </c>
      <c r="C5871" s="626" t="s">
        <v>8</v>
      </c>
      <c r="D5871" s="626" t="s">
        <v>9987</v>
      </c>
      <c r="E5871" s="628" t="s">
        <v>35</v>
      </c>
      <c r="F5871" s="816" t="s">
        <v>13998</v>
      </c>
      <c r="G5871" s="816"/>
      <c r="H5871" s="816">
        <v>4.4999999999999998E-2</v>
      </c>
      <c r="I5871" s="816"/>
      <c r="J5871" s="817">
        <v>0.08</v>
      </c>
      <c r="K5871" s="817"/>
      <c r="L5871" s="817"/>
    </row>
    <row r="5872" spans="1:12" ht="17.100000000000001" customHeight="1">
      <c r="A5872" s="626" t="s">
        <v>12709</v>
      </c>
      <c r="B5872" s="627" t="s">
        <v>13466</v>
      </c>
      <c r="C5872" s="626" t="s">
        <v>8</v>
      </c>
      <c r="D5872" s="626" t="s">
        <v>11315</v>
      </c>
      <c r="E5872" s="628" t="s">
        <v>35</v>
      </c>
      <c r="F5872" s="816" t="s">
        <v>14636</v>
      </c>
      <c r="G5872" s="816"/>
      <c r="H5872" s="816">
        <v>1.2E-2</v>
      </c>
      <c r="I5872" s="816"/>
      <c r="J5872" s="817">
        <v>0.83</v>
      </c>
      <c r="K5872" s="817"/>
      <c r="L5872" s="817"/>
    </row>
    <row r="5873" spans="1:12" ht="24" customHeight="1">
      <c r="A5873" s="626" t="s">
        <v>12709</v>
      </c>
      <c r="B5873" s="627" t="s">
        <v>13468</v>
      </c>
      <c r="C5873" s="626" t="s">
        <v>8</v>
      </c>
      <c r="D5873" s="626" t="s">
        <v>7343</v>
      </c>
      <c r="E5873" s="628" t="s">
        <v>35</v>
      </c>
      <c r="F5873" s="816" t="s">
        <v>14635</v>
      </c>
      <c r="G5873" s="816"/>
      <c r="H5873" s="816">
        <v>1.0999999999999999E-2</v>
      </c>
      <c r="I5873" s="816"/>
      <c r="J5873" s="817">
        <v>0.87</v>
      </c>
      <c r="K5873" s="817"/>
      <c r="L5873" s="817"/>
    </row>
    <row r="5874" spans="1:12" ht="24" customHeight="1">
      <c r="A5874" s="626" t="s">
        <v>12709</v>
      </c>
      <c r="B5874" s="627" t="s">
        <v>13499</v>
      </c>
      <c r="C5874" s="626" t="s">
        <v>8</v>
      </c>
      <c r="D5874" s="626" t="s">
        <v>11592</v>
      </c>
      <c r="E5874" s="628" t="s">
        <v>35</v>
      </c>
      <c r="F5874" s="816" t="s">
        <v>13771</v>
      </c>
      <c r="G5874" s="816"/>
      <c r="H5874" s="816">
        <v>1</v>
      </c>
      <c r="I5874" s="816"/>
      <c r="J5874" s="817">
        <v>0.94</v>
      </c>
      <c r="K5874" s="817"/>
      <c r="L5874" s="817"/>
    </row>
    <row r="5875" spans="1:12" ht="17.100000000000001" customHeight="1">
      <c r="A5875" s="636"/>
      <c r="B5875" s="636"/>
      <c r="C5875" s="636"/>
      <c r="D5875" s="636"/>
      <c r="E5875" s="636"/>
      <c r="F5875" s="636"/>
      <c r="G5875" s="636"/>
      <c r="H5875" s="636"/>
      <c r="I5875" s="636"/>
      <c r="J5875" s="636" t="s">
        <v>13675</v>
      </c>
      <c r="K5875" s="636"/>
      <c r="L5875" s="636" t="s">
        <v>14681</v>
      </c>
    </row>
    <row r="5876" spans="1:12">
      <c r="A5876" s="802" t="s">
        <v>12722</v>
      </c>
      <c r="B5876" s="802"/>
      <c r="C5876" s="802"/>
      <c r="D5876" s="802"/>
      <c r="E5876" s="802"/>
      <c r="F5876" s="802"/>
      <c r="G5876" s="802"/>
      <c r="H5876" s="802"/>
      <c r="I5876" s="612"/>
      <c r="J5876" s="612"/>
      <c r="K5876" s="612"/>
      <c r="L5876" s="612"/>
    </row>
    <row r="5877" spans="1:12" ht="17.100000000000001" customHeight="1">
      <c r="A5877" s="612" t="s">
        <v>13679</v>
      </c>
      <c r="B5877" s="636" t="s">
        <v>12698</v>
      </c>
      <c r="C5877" s="612" t="s">
        <v>12699</v>
      </c>
      <c r="D5877" s="612" t="s">
        <v>12700</v>
      </c>
      <c r="E5877" s="637" t="s">
        <v>12702</v>
      </c>
      <c r="F5877" s="801" t="s">
        <v>12704</v>
      </c>
      <c r="G5877" s="801"/>
      <c r="H5877" s="801" t="s">
        <v>13678</v>
      </c>
      <c r="I5877" s="801"/>
      <c r="J5877" s="801" t="s">
        <v>12705</v>
      </c>
      <c r="K5877" s="801"/>
      <c r="L5877" s="801"/>
    </row>
    <row r="5878" spans="1:12" ht="24" customHeight="1">
      <c r="A5878" s="626" t="s">
        <v>12709</v>
      </c>
      <c r="B5878" s="627" t="s">
        <v>12998</v>
      </c>
      <c r="C5878" s="626" t="s">
        <v>8</v>
      </c>
      <c r="D5878" s="626" t="s">
        <v>11861</v>
      </c>
      <c r="E5878" s="628" t="s">
        <v>23</v>
      </c>
      <c r="F5878" s="816" t="s">
        <v>13683</v>
      </c>
      <c r="G5878" s="816"/>
      <c r="H5878" s="816">
        <v>0.2372436</v>
      </c>
      <c r="I5878" s="816"/>
      <c r="J5878" s="817">
        <v>0.16839999999999999</v>
      </c>
      <c r="K5878" s="817"/>
      <c r="L5878" s="817"/>
    </row>
    <row r="5879" spans="1:12" ht="24" customHeight="1">
      <c r="A5879" s="636"/>
      <c r="B5879" s="636"/>
      <c r="C5879" s="636"/>
      <c r="D5879" s="636"/>
      <c r="E5879" s="636"/>
      <c r="F5879" s="636"/>
      <c r="G5879" s="636"/>
      <c r="H5879" s="636"/>
      <c r="I5879" s="636"/>
      <c r="J5879" s="636" t="s">
        <v>13675</v>
      </c>
      <c r="K5879" s="636"/>
      <c r="L5879" s="636" t="s">
        <v>13832</v>
      </c>
    </row>
    <row r="5880" spans="1:12" ht="24" customHeight="1">
      <c r="A5880" s="802" t="s">
        <v>12713</v>
      </c>
      <c r="B5880" s="802"/>
      <c r="C5880" s="802"/>
      <c r="D5880" s="802"/>
      <c r="E5880" s="802"/>
      <c r="F5880" s="802"/>
      <c r="G5880" s="802"/>
      <c r="H5880" s="802"/>
      <c r="I5880" s="612"/>
      <c r="J5880" s="612"/>
      <c r="K5880" s="612"/>
      <c r="L5880" s="612"/>
    </row>
    <row r="5881" spans="1:12" ht="24" customHeight="1">
      <c r="A5881" s="612" t="s">
        <v>13679</v>
      </c>
      <c r="B5881" s="636" t="s">
        <v>12698</v>
      </c>
      <c r="C5881" s="612" t="s">
        <v>12699</v>
      </c>
      <c r="D5881" s="612" t="s">
        <v>12700</v>
      </c>
      <c r="E5881" s="637" t="s">
        <v>12702</v>
      </c>
      <c r="F5881" s="801" t="s">
        <v>12704</v>
      </c>
      <c r="G5881" s="801"/>
      <c r="H5881" s="801" t="s">
        <v>13678</v>
      </c>
      <c r="I5881" s="801"/>
      <c r="J5881" s="801" t="s">
        <v>12705</v>
      </c>
      <c r="K5881" s="801"/>
      <c r="L5881" s="801"/>
    </row>
    <row r="5882" spans="1:12" ht="17.100000000000001" customHeight="1">
      <c r="A5882" s="626" t="s">
        <v>12709</v>
      </c>
      <c r="B5882" s="627" t="s">
        <v>12999</v>
      </c>
      <c r="C5882" s="626" t="s">
        <v>8</v>
      </c>
      <c r="D5882" s="626" t="s">
        <v>11251</v>
      </c>
      <c r="E5882" s="628" t="s">
        <v>23</v>
      </c>
      <c r="F5882" s="816" t="s">
        <v>13681</v>
      </c>
      <c r="G5882" s="816"/>
      <c r="H5882" s="816">
        <v>0.2372436</v>
      </c>
      <c r="I5882" s="816"/>
      <c r="J5882" s="817">
        <v>1.66E-2</v>
      </c>
      <c r="K5882" s="817"/>
      <c r="L5882" s="817"/>
    </row>
    <row r="5883" spans="1:12">
      <c r="A5883" s="636"/>
      <c r="B5883" s="636"/>
      <c r="C5883" s="636"/>
      <c r="D5883" s="636"/>
      <c r="E5883" s="636"/>
      <c r="F5883" s="636"/>
      <c r="G5883" s="636"/>
      <c r="H5883" s="636"/>
      <c r="I5883" s="636"/>
      <c r="J5883" s="636" t="s">
        <v>13675</v>
      </c>
      <c r="K5883" s="636"/>
      <c r="L5883" s="636" t="s">
        <v>13680</v>
      </c>
    </row>
    <row r="5884" spans="1:12" ht="17.100000000000001" customHeight="1">
      <c r="A5884" s="802" t="s">
        <v>12712</v>
      </c>
      <c r="B5884" s="802"/>
      <c r="C5884" s="802"/>
      <c r="D5884" s="802"/>
      <c r="E5884" s="802"/>
      <c r="F5884" s="802"/>
      <c r="G5884" s="802"/>
      <c r="H5884" s="802"/>
      <c r="I5884" s="612"/>
      <c r="J5884" s="612"/>
      <c r="K5884" s="612"/>
      <c r="L5884" s="612"/>
    </row>
    <row r="5885" spans="1:12" ht="24" customHeight="1">
      <c r="A5885" s="612" t="s">
        <v>13679</v>
      </c>
      <c r="B5885" s="636" t="s">
        <v>12698</v>
      </c>
      <c r="C5885" s="612" t="s">
        <v>12699</v>
      </c>
      <c r="D5885" s="612" t="s">
        <v>12700</v>
      </c>
      <c r="E5885" s="637" t="s">
        <v>12702</v>
      </c>
      <c r="F5885" s="801" t="s">
        <v>12704</v>
      </c>
      <c r="G5885" s="801"/>
      <c r="H5885" s="801" t="s">
        <v>13678</v>
      </c>
      <c r="I5885" s="801"/>
      <c r="J5885" s="801" t="s">
        <v>12705</v>
      </c>
      <c r="K5885" s="801"/>
      <c r="L5885" s="801"/>
    </row>
    <row r="5886" spans="1:12" ht="17.100000000000001" customHeight="1">
      <c r="A5886" s="626" t="s">
        <v>12709</v>
      </c>
      <c r="B5886" s="627" t="s">
        <v>13002</v>
      </c>
      <c r="C5886" s="626" t="s">
        <v>8</v>
      </c>
      <c r="D5886" s="626" t="s">
        <v>9306</v>
      </c>
      <c r="E5886" s="628" t="s">
        <v>23</v>
      </c>
      <c r="F5886" s="816" t="s">
        <v>13677</v>
      </c>
      <c r="G5886" s="816"/>
      <c r="H5886" s="816">
        <v>0.2372436</v>
      </c>
      <c r="I5886" s="816"/>
      <c r="J5886" s="817">
        <v>8.3000000000000004E-2</v>
      </c>
      <c r="K5886" s="817"/>
      <c r="L5886" s="817"/>
    </row>
    <row r="5887" spans="1:12" ht="25.5">
      <c r="A5887" s="626" t="s">
        <v>12709</v>
      </c>
      <c r="B5887" s="627" t="s">
        <v>13004</v>
      </c>
      <c r="C5887" s="626" t="s">
        <v>8</v>
      </c>
      <c r="D5887" s="626" t="s">
        <v>7388</v>
      </c>
      <c r="E5887" s="628" t="s">
        <v>23</v>
      </c>
      <c r="F5887" s="816" t="s">
        <v>13676</v>
      </c>
      <c r="G5887" s="816"/>
      <c r="H5887" s="816">
        <v>0.2372436</v>
      </c>
      <c r="I5887" s="816"/>
      <c r="J5887" s="817">
        <v>0.52190000000000003</v>
      </c>
      <c r="K5887" s="817"/>
      <c r="L5887" s="817"/>
    </row>
    <row r="5888" spans="1:12" ht="17.100000000000001" customHeight="1">
      <c r="A5888" s="636"/>
      <c r="B5888" s="636"/>
      <c r="C5888" s="636"/>
      <c r="D5888" s="636"/>
      <c r="E5888" s="636"/>
      <c r="F5888" s="636"/>
      <c r="G5888" s="636"/>
      <c r="H5888" s="636"/>
      <c r="I5888" s="636"/>
      <c r="J5888" s="636" t="s">
        <v>13675</v>
      </c>
      <c r="K5888" s="636"/>
      <c r="L5888" s="636" t="s">
        <v>13684</v>
      </c>
    </row>
    <row r="5889" spans="1:12" ht="24" customHeight="1">
      <c r="A5889" s="612" t="s">
        <v>13673</v>
      </c>
      <c r="B5889" s="612"/>
      <c r="C5889" s="612"/>
      <c r="D5889" s="612"/>
      <c r="E5889" s="612"/>
      <c r="F5889" s="612"/>
      <c r="G5889" s="612"/>
      <c r="H5889" s="612"/>
      <c r="I5889" s="612"/>
      <c r="J5889" s="612"/>
      <c r="K5889" s="612"/>
      <c r="L5889" s="612"/>
    </row>
    <row r="5890" spans="1:12" ht="17.100000000000001" customHeight="1">
      <c r="A5890" s="636"/>
      <c r="B5890" s="636"/>
      <c r="C5890" s="636"/>
      <c r="D5890" s="636"/>
      <c r="E5890" s="636"/>
      <c r="F5890" s="636"/>
      <c r="G5890" s="636"/>
      <c r="H5890" s="636"/>
      <c r="I5890" s="636"/>
      <c r="J5890" s="636" t="s">
        <v>13672</v>
      </c>
      <c r="K5890" s="636"/>
      <c r="L5890" s="636" t="s">
        <v>15308</v>
      </c>
    </row>
    <row r="5891" spans="1:12">
      <c r="A5891" s="636"/>
      <c r="B5891" s="636"/>
      <c r="C5891" s="636"/>
      <c r="D5891" s="636"/>
      <c r="E5891" s="636"/>
      <c r="F5891" s="636"/>
      <c r="G5891" s="636"/>
      <c r="H5891" s="636"/>
      <c r="I5891" s="636"/>
      <c r="J5891" s="636" t="s">
        <v>13671</v>
      </c>
      <c r="K5891" s="636" t="s">
        <v>14461</v>
      </c>
      <c r="L5891" s="636" t="s">
        <v>15309</v>
      </c>
    </row>
    <row r="5892" spans="1:12" ht="17.100000000000001" customHeight="1">
      <c r="A5892" s="636"/>
      <c r="B5892" s="636"/>
      <c r="C5892" s="636"/>
      <c r="D5892" s="636"/>
      <c r="E5892" s="636"/>
      <c r="F5892" s="636"/>
      <c r="G5892" s="636"/>
      <c r="H5892" s="636"/>
      <c r="I5892" s="636"/>
      <c r="J5892" s="636" t="s">
        <v>13670</v>
      </c>
      <c r="K5892" s="636"/>
      <c r="L5892" s="636" t="s">
        <v>15310</v>
      </c>
    </row>
    <row r="5893" spans="1:12" ht="24" customHeight="1">
      <c r="A5893" s="636"/>
      <c r="B5893" s="636"/>
      <c r="C5893" s="636"/>
      <c r="D5893" s="636"/>
      <c r="E5893" s="636"/>
      <c r="F5893" s="636"/>
      <c r="G5893" s="636"/>
      <c r="H5893" s="636"/>
      <c r="I5893" s="636"/>
      <c r="J5893" s="636" t="s">
        <v>13669</v>
      </c>
      <c r="K5893" s="636" t="s">
        <v>13667</v>
      </c>
      <c r="L5893" s="636" t="s">
        <v>15311</v>
      </c>
    </row>
    <row r="5894" spans="1:12" ht="24" customHeight="1">
      <c r="A5894" s="636"/>
      <c r="B5894" s="636"/>
      <c r="C5894" s="636"/>
      <c r="D5894" s="636"/>
      <c r="E5894" s="636"/>
      <c r="F5894" s="636"/>
      <c r="G5894" s="636"/>
      <c r="H5894" s="636"/>
      <c r="I5894" s="636"/>
      <c r="J5894" s="636" t="s">
        <v>13668</v>
      </c>
      <c r="K5894" s="636"/>
      <c r="L5894" s="636" t="s">
        <v>15168</v>
      </c>
    </row>
    <row r="5895" spans="1:12" ht="17.100000000000001" customHeight="1">
      <c r="A5895" s="637"/>
      <c r="B5895" s="637"/>
      <c r="C5895" s="637"/>
      <c r="D5895" s="637"/>
      <c r="E5895" s="637"/>
      <c r="F5895" s="637"/>
      <c r="G5895" s="637"/>
      <c r="H5895" s="637"/>
      <c r="I5895" s="637"/>
      <c r="J5895" s="637"/>
      <c r="K5895" s="637"/>
      <c r="L5895" s="637"/>
    </row>
    <row r="5896" spans="1:12" ht="17.100000000000001" customHeight="1">
      <c r="A5896" s="616" t="s">
        <v>14051</v>
      </c>
      <c r="B5896" s="617" t="s">
        <v>13513</v>
      </c>
      <c r="C5896" s="616" t="s">
        <v>8</v>
      </c>
      <c r="D5896" s="616" t="s">
        <v>3454</v>
      </c>
      <c r="E5896" s="618" t="s">
        <v>35</v>
      </c>
      <c r="F5896" s="617"/>
      <c r="G5896" s="617"/>
      <c r="H5896" s="617"/>
      <c r="I5896" s="617"/>
      <c r="J5896" s="617"/>
      <c r="K5896" s="617"/>
      <c r="L5896" s="617"/>
    </row>
    <row r="5897" spans="1:12" ht="17.100000000000001" customHeight="1">
      <c r="A5897" s="802" t="s">
        <v>12711</v>
      </c>
      <c r="B5897" s="802"/>
      <c r="C5897" s="802"/>
      <c r="D5897" s="802"/>
      <c r="E5897" s="802"/>
      <c r="F5897" s="802"/>
      <c r="G5897" s="802"/>
      <c r="H5897" s="802"/>
      <c r="I5897" s="612"/>
      <c r="J5897" s="612"/>
      <c r="K5897" s="612"/>
      <c r="L5897" s="612"/>
    </row>
    <row r="5898" spans="1:12" ht="17.100000000000001" customHeight="1">
      <c r="A5898" s="612" t="s">
        <v>13679</v>
      </c>
      <c r="B5898" s="636" t="s">
        <v>12698</v>
      </c>
      <c r="C5898" s="612" t="s">
        <v>12699</v>
      </c>
      <c r="D5898" s="612" t="s">
        <v>12700</v>
      </c>
      <c r="E5898" s="637" t="s">
        <v>12702</v>
      </c>
      <c r="F5898" s="801" t="s">
        <v>12704</v>
      </c>
      <c r="G5898" s="801"/>
      <c r="H5898" s="801" t="s">
        <v>13678</v>
      </c>
      <c r="I5898" s="801"/>
      <c r="J5898" s="801" t="s">
        <v>12705</v>
      </c>
      <c r="K5898" s="801"/>
      <c r="L5898" s="801"/>
    </row>
    <row r="5899" spans="1:12" ht="17.100000000000001" customHeight="1">
      <c r="A5899" s="626" t="s">
        <v>12709</v>
      </c>
      <c r="B5899" s="627" t="s">
        <v>13201</v>
      </c>
      <c r="C5899" s="626" t="s">
        <v>8</v>
      </c>
      <c r="D5899" s="626" t="s">
        <v>9221</v>
      </c>
      <c r="E5899" s="628" t="s">
        <v>23</v>
      </c>
      <c r="F5899" s="816" t="s">
        <v>13705</v>
      </c>
      <c r="G5899" s="816"/>
      <c r="H5899" s="816">
        <v>0.45090380000000002</v>
      </c>
      <c r="I5899" s="816"/>
      <c r="J5899" s="817">
        <v>0.37430000000000002</v>
      </c>
      <c r="K5899" s="817"/>
      <c r="L5899" s="817"/>
    </row>
    <row r="5900" spans="1:12" ht="17.100000000000001" customHeight="1">
      <c r="A5900" s="626" t="s">
        <v>12709</v>
      </c>
      <c r="B5900" s="627" t="s">
        <v>13200</v>
      </c>
      <c r="C5900" s="626" t="s">
        <v>8</v>
      </c>
      <c r="D5900" s="626" t="s">
        <v>9368</v>
      </c>
      <c r="E5900" s="628" t="s">
        <v>23</v>
      </c>
      <c r="F5900" s="816" t="s">
        <v>13704</v>
      </c>
      <c r="G5900" s="816"/>
      <c r="H5900" s="816">
        <v>0.45090380000000002</v>
      </c>
      <c r="I5900" s="816"/>
      <c r="J5900" s="817">
        <v>0.1082</v>
      </c>
      <c r="K5900" s="817"/>
      <c r="L5900" s="817"/>
    </row>
    <row r="5901" spans="1:12" ht="17.100000000000001" customHeight="1">
      <c r="A5901" s="636"/>
      <c r="B5901" s="636"/>
      <c r="C5901" s="636"/>
      <c r="D5901" s="636"/>
      <c r="E5901" s="636"/>
      <c r="F5901" s="636"/>
      <c r="G5901" s="636"/>
      <c r="H5901" s="636"/>
      <c r="I5901" s="636"/>
      <c r="J5901" s="636" t="s">
        <v>13675</v>
      </c>
      <c r="K5901" s="636"/>
      <c r="L5901" s="636" t="s">
        <v>13768</v>
      </c>
    </row>
    <row r="5902" spans="1:12" ht="30" customHeight="1">
      <c r="A5902" s="802" t="s">
        <v>12710</v>
      </c>
      <c r="B5902" s="802"/>
      <c r="C5902" s="802"/>
      <c r="D5902" s="802"/>
      <c r="E5902" s="802"/>
      <c r="F5902" s="802"/>
      <c r="G5902" s="802"/>
      <c r="H5902" s="802"/>
      <c r="I5902" s="612"/>
      <c r="J5902" s="612"/>
      <c r="K5902" s="612"/>
      <c r="L5902" s="612"/>
    </row>
    <row r="5903" spans="1:12" ht="48" customHeight="1">
      <c r="A5903" s="612" t="s">
        <v>13679</v>
      </c>
      <c r="B5903" s="636" t="s">
        <v>12698</v>
      </c>
      <c r="C5903" s="612" t="s">
        <v>12699</v>
      </c>
      <c r="D5903" s="612" t="s">
        <v>12700</v>
      </c>
      <c r="E5903" s="637" t="s">
        <v>12702</v>
      </c>
      <c r="F5903" s="801" t="s">
        <v>12704</v>
      </c>
      <c r="G5903" s="801"/>
      <c r="H5903" s="801" t="s">
        <v>13678</v>
      </c>
      <c r="I5903" s="801"/>
      <c r="J5903" s="801" t="s">
        <v>12705</v>
      </c>
      <c r="K5903" s="801"/>
      <c r="L5903" s="801"/>
    </row>
    <row r="5904" spans="1:12" ht="14.25" customHeight="1">
      <c r="A5904" s="626" t="s">
        <v>12709</v>
      </c>
      <c r="B5904" s="627" t="s">
        <v>13220</v>
      </c>
      <c r="C5904" s="626" t="s">
        <v>8</v>
      </c>
      <c r="D5904" s="626" t="s">
        <v>7592</v>
      </c>
      <c r="E5904" s="628" t="s">
        <v>23</v>
      </c>
      <c r="F5904" s="816" t="s">
        <v>13890</v>
      </c>
      <c r="G5904" s="816"/>
      <c r="H5904" s="816">
        <v>0.2289023</v>
      </c>
      <c r="I5904" s="816"/>
      <c r="J5904" s="817">
        <v>1.1581999999999999</v>
      </c>
      <c r="K5904" s="817"/>
      <c r="L5904" s="817"/>
    </row>
    <row r="5905" spans="1:12" ht="17.100000000000001" customHeight="1">
      <c r="A5905" s="626" t="s">
        <v>12709</v>
      </c>
      <c r="B5905" s="627" t="s">
        <v>13202</v>
      </c>
      <c r="C5905" s="626" t="s">
        <v>8</v>
      </c>
      <c r="D5905" s="626" t="s">
        <v>9187</v>
      </c>
      <c r="E5905" s="628" t="s">
        <v>23</v>
      </c>
      <c r="F5905" s="816" t="s">
        <v>14479</v>
      </c>
      <c r="G5905" s="816"/>
      <c r="H5905" s="816">
        <v>0.2289023</v>
      </c>
      <c r="I5905" s="816"/>
      <c r="J5905" s="817">
        <v>1.6367</v>
      </c>
      <c r="K5905" s="817"/>
      <c r="L5905" s="817"/>
    </row>
    <row r="5906" spans="1:12" ht="24" customHeight="1">
      <c r="A5906" s="636"/>
      <c r="B5906" s="636"/>
      <c r="C5906" s="636"/>
      <c r="D5906" s="636"/>
      <c r="E5906" s="636"/>
      <c r="F5906" s="636"/>
      <c r="G5906" s="636"/>
      <c r="H5906" s="636"/>
      <c r="I5906" s="636"/>
      <c r="J5906" s="636" t="s">
        <v>13675</v>
      </c>
      <c r="K5906" s="636"/>
      <c r="L5906" s="636" t="s">
        <v>14680</v>
      </c>
    </row>
    <row r="5907" spans="1:12" ht="24" customHeight="1">
      <c r="A5907" s="802" t="s">
        <v>12720</v>
      </c>
      <c r="B5907" s="802"/>
      <c r="C5907" s="802"/>
      <c r="D5907" s="802"/>
      <c r="E5907" s="802"/>
      <c r="F5907" s="802"/>
      <c r="G5907" s="802"/>
      <c r="H5907" s="802"/>
      <c r="I5907" s="612"/>
      <c r="J5907" s="612"/>
      <c r="K5907" s="612"/>
      <c r="L5907" s="612"/>
    </row>
    <row r="5908" spans="1:12" ht="17.100000000000001" customHeight="1">
      <c r="A5908" s="612" t="s">
        <v>13679</v>
      </c>
      <c r="B5908" s="636" t="s">
        <v>12698</v>
      </c>
      <c r="C5908" s="612" t="s">
        <v>12699</v>
      </c>
      <c r="D5908" s="612" t="s">
        <v>12700</v>
      </c>
      <c r="E5908" s="637" t="s">
        <v>12702</v>
      </c>
      <c r="F5908" s="801" t="s">
        <v>12704</v>
      </c>
      <c r="G5908" s="801"/>
      <c r="H5908" s="801" t="s">
        <v>13678</v>
      </c>
      <c r="I5908" s="801"/>
      <c r="J5908" s="801" t="s">
        <v>12705</v>
      </c>
      <c r="K5908" s="801"/>
      <c r="L5908" s="801"/>
    </row>
    <row r="5909" spans="1:12" ht="14.25" customHeight="1">
      <c r="A5909" s="626" t="s">
        <v>12709</v>
      </c>
      <c r="B5909" s="627" t="s">
        <v>13512</v>
      </c>
      <c r="C5909" s="626" t="s">
        <v>8</v>
      </c>
      <c r="D5909" s="626" t="s">
        <v>7342</v>
      </c>
      <c r="E5909" s="628" t="s">
        <v>35</v>
      </c>
      <c r="F5909" s="816" t="s">
        <v>14679</v>
      </c>
      <c r="G5909" s="816"/>
      <c r="H5909" s="816">
        <v>0.107</v>
      </c>
      <c r="I5909" s="816"/>
      <c r="J5909" s="817">
        <v>2.71</v>
      </c>
      <c r="K5909" s="817"/>
      <c r="L5909" s="817"/>
    </row>
    <row r="5910" spans="1:12" ht="17.100000000000001" customHeight="1">
      <c r="A5910" s="626" t="s">
        <v>12709</v>
      </c>
      <c r="B5910" s="627" t="s">
        <v>13467</v>
      </c>
      <c r="C5910" s="626" t="s">
        <v>8</v>
      </c>
      <c r="D5910" s="626" t="s">
        <v>9987</v>
      </c>
      <c r="E5910" s="628" t="s">
        <v>35</v>
      </c>
      <c r="F5910" s="816" t="s">
        <v>13998</v>
      </c>
      <c r="G5910" s="816"/>
      <c r="H5910" s="816">
        <v>3.4000000000000002E-2</v>
      </c>
      <c r="I5910" s="816"/>
      <c r="J5910" s="817">
        <v>0.06</v>
      </c>
      <c r="K5910" s="817"/>
      <c r="L5910" s="817"/>
    </row>
    <row r="5911" spans="1:12" ht="24" customHeight="1">
      <c r="A5911" s="626" t="s">
        <v>12709</v>
      </c>
      <c r="B5911" s="627" t="s">
        <v>13466</v>
      </c>
      <c r="C5911" s="626" t="s">
        <v>8</v>
      </c>
      <c r="D5911" s="626" t="s">
        <v>11315</v>
      </c>
      <c r="E5911" s="628" t="s">
        <v>35</v>
      </c>
      <c r="F5911" s="816" t="s">
        <v>14636</v>
      </c>
      <c r="G5911" s="816"/>
      <c r="H5911" s="816">
        <v>2.7E-2</v>
      </c>
      <c r="I5911" s="816"/>
      <c r="J5911" s="817">
        <v>1.87</v>
      </c>
      <c r="K5911" s="817"/>
      <c r="L5911" s="817"/>
    </row>
    <row r="5912" spans="1:12" ht="24" customHeight="1">
      <c r="A5912" s="626" t="s">
        <v>12709</v>
      </c>
      <c r="B5912" s="627" t="s">
        <v>13511</v>
      </c>
      <c r="C5912" s="626" t="s">
        <v>8</v>
      </c>
      <c r="D5912" s="626" t="s">
        <v>11513</v>
      </c>
      <c r="E5912" s="628" t="s">
        <v>35</v>
      </c>
      <c r="F5912" s="816" t="s">
        <v>13941</v>
      </c>
      <c r="G5912" s="816"/>
      <c r="H5912" s="816">
        <v>1</v>
      </c>
      <c r="I5912" s="816"/>
      <c r="J5912" s="817">
        <v>13.58</v>
      </c>
      <c r="K5912" s="817"/>
      <c r="L5912" s="817"/>
    </row>
    <row r="5913" spans="1:12" ht="17.100000000000001" customHeight="1">
      <c r="A5913" s="636"/>
      <c r="B5913" s="636"/>
      <c r="C5913" s="636"/>
      <c r="D5913" s="636"/>
      <c r="E5913" s="636"/>
      <c r="F5913" s="636"/>
      <c r="G5913" s="636"/>
      <c r="H5913" s="636"/>
      <c r="I5913" s="636"/>
      <c r="J5913" s="636" t="s">
        <v>13675</v>
      </c>
      <c r="K5913" s="636"/>
      <c r="L5913" s="636" t="s">
        <v>14678</v>
      </c>
    </row>
    <row r="5914" spans="1:12">
      <c r="A5914" s="802" t="s">
        <v>12722</v>
      </c>
      <c r="B5914" s="802"/>
      <c r="C5914" s="802"/>
      <c r="D5914" s="802"/>
      <c r="E5914" s="802"/>
      <c r="F5914" s="802"/>
      <c r="G5914" s="802"/>
      <c r="H5914" s="802"/>
      <c r="I5914" s="612"/>
      <c r="J5914" s="612"/>
      <c r="K5914" s="612"/>
      <c r="L5914" s="612"/>
    </row>
    <row r="5915" spans="1:12" ht="17.100000000000001" customHeight="1">
      <c r="A5915" s="612" t="s">
        <v>13679</v>
      </c>
      <c r="B5915" s="636" t="s">
        <v>12698</v>
      </c>
      <c r="C5915" s="612" t="s">
        <v>12699</v>
      </c>
      <c r="D5915" s="612" t="s">
        <v>12700</v>
      </c>
      <c r="E5915" s="637" t="s">
        <v>12702</v>
      </c>
      <c r="F5915" s="801" t="s">
        <v>12704</v>
      </c>
      <c r="G5915" s="801"/>
      <c r="H5915" s="801" t="s">
        <v>13678</v>
      </c>
      <c r="I5915" s="801"/>
      <c r="J5915" s="801" t="s">
        <v>12705</v>
      </c>
      <c r="K5915" s="801"/>
      <c r="L5915" s="801"/>
    </row>
    <row r="5916" spans="1:12" ht="24" customHeight="1">
      <c r="A5916" s="626" t="s">
        <v>12709</v>
      </c>
      <c r="B5916" s="627" t="s">
        <v>12998</v>
      </c>
      <c r="C5916" s="626" t="s">
        <v>8</v>
      </c>
      <c r="D5916" s="626" t="s">
        <v>11861</v>
      </c>
      <c r="E5916" s="628" t="s">
        <v>23</v>
      </c>
      <c r="F5916" s="816" t="s">
        <v>13683</v>
      </c>
      <c r="G5916" s="816"/>
      <c r="H5916" s="816">
        <v>0.45090380000000002</v>
      </c>
      <c r="I5916" s="816"/>
      <c r="J5916" s="817">
        <v>0.3201</v>
      </c>
      <c r="K5916" s="817"/>
      <c r="L5916" s="817"/>
    </row>
    <row r="5917" spans="1:12" ht="24" customHeight="1">
      <c r="A5917" s="636"/>
      <c r="B5917" s="636"/>
      <c r="C5917" s="636"/>
      <c r="D5917" s="636"/>
      <c r="E5917" s="636"/>
      <c r="F5917" s="636"/>
      <c r="G5917" s="636"/>
      <c r="H5917" s="636"/>
      <c r="I5917" s="636"/>
      <c r="J5917" s="636" t="s">
        <v>13675</v>
      </c>
      <c r="K5917" s="636"/>
      <c r="L5917" s="636" t="s">
        <v>14026</v>
      </c>
    </row>
    <row r="5918" spans="1:12" ht="17.100000000000001" customHeight="1">
      <c r="A5918" s="802" t="s">
        <v>12713</v>
      </c>
      <c r="B5918" s="802"/>
      <c r="C5918" s="802"/>
      <c r="D5918" s="802"/>
      <c r="E5918" s="802"/>
      <c r="F5918" s="802"/>
      <c r="G5918" s="802"/>
      <c r="H5918" s="802"/>
      <c r="I5918" s="612"/>
      <c r="J5918" s="612"/>
      <c r="K5918" s="612"/>
      <c r="L5918" s="612"/>
    </row>
    <row r="5919" spans="1:12">
      <c r="A5919" s="612" t="s">
        <v>13679</v>
      </c>
      <c r="B5919" s="636" t="s">
        <v>12698</v>
      </c>
      <c r="C5919" s="612" t="s">
        <v>12699</v>
      </c>
      <c r="D5919" s="612" t="s">
        <v>12700</v>
      </c>
      <c r="E5919" s="637" t="s">
        <v>12702</v>
      </c>
      <c r="F5919" s="801" t="s">
        <v>12704</v>
      </c>
      <c r="G5919" s="801"/>
      <c r="H5919" s="801" t="s">
        <v>13678</v>
      </c>
      <c r="I5919" s="801"/>
      <c r="J5919" s="801" t="s">
        <v>12705</v>
      </c>
      <c r="K5919" s="801"/>
      <c r="L5919" s="801"/>
    </row>
    <row r="5920" spans="1:12" ht="17.100000000000001" customHeight="1">
      <c r="A5920" s="626" t="s">
        <v>12709</v>
      </c>
      <c r="B5920" s="627" t="s">
        <v>12999</v>
      </c>
      <c r="C5920" s="626" t="s">
        <v>8</v>
      </c>
      <c r="D5920" s="626" t="s">
        <v>11251</v>
      </c>
      <c r="E5920" s="628" t="s">
        <v>23</v>
      </c>
      <c r="F5920" s="816" t="s">
        <v>13681</v>
      </c>
      <c r="G5920" s="816"/>
      <c r="H5920" s="816">
        <v>0.45090380000000002</v>
      </c>
      <c r="I5920" s="816"/>
      <c r="J5920" s="817">
        <v>3.1600000000000003E-2</v>
      </c>
      <c r="K5920" s="817"/>
      <c r="L5920" s="817"/>
    </row>
    <row r="5921" spans="1:12" ht="24" customHeight="1">
      <c r="A5921" s="636"/>
      <c r="B5921" s="636"/>
      <c r="C5921" s="636"/>
      <c r="D5921" s="636"/>
      <c r="E5921" s="636"/>
      <c r="F5921" s="636"/>
      <c r="G5921" s="636"/>
      <c r="H5921" s="636"/>
      <c r="I5921" s="636"/>
      <c r="J5921" s="636" t="s">
        <v>13675</v>
      </c>
      <c r="K5921" s="636"/>
      <c r="L5921" s="636" t="s">
        <v>13726</v>
      </c>
    </row>
    <row r="5922" spans="1:12" ht="17.100000000000001" customHeight="1">
      <c r="A5922" s="802" t="s">
        <v>12712</v>
      </c>
      <c r="B5922" s="802"/>
      <c r="C5922" s="802"/>
      <c r="D5922" s="802"/>
      <c r="E5922" s="802"/>
      <c r="F5922" s="802"/>
      <c r="G5922" s="802"/>
      <c r="H5922" s="802"/>
      <c r="I5922" s="612"/>
      <c r="J5922" s="612"/>
      <c r="K5922" s="612"/>
      <c r="L5922" s="612"/>
    </row>
    <row r="5923" spans="1:12">
      <c r="A5923" s="612" t="s">
        <v>13679</v>
      </c>
      <c r="B5923" s="636" t="s">
        <v>12698</v>
      </c>
      <c r="C5923" s="612" t="s">
        <v>12699</v>
      </c>
      <c r="D5923" s="612" t="s">
        <v>12700</v>
      </c>
      <c r="E5923" s="637" t="s">
        <v>12702</v>
      </c>
      <c r="F5923" s="801" t="s">
        <v>12704</v>
      </c>
      <c r="G5923" s="801"/>
      <c r="H5923" s="801" t="s">
        <v>13678</v>
      </c>
      <c r="I5923" s="801"/>
      <c r="J5923" s="801" t="s">
        <v>12705</v>
      </c>
      <c r="K5923" s="801"/>
      <c r="L5923" s="801"/>
    </row>
    <row r="5924" spans="1:12" ht="17.100000000000001" customHeight="1">
      <c r="A5924" s="626" t="s">
        <v>12709</v>
      </c>
      <c r="B5924" s="627" t="s">
        <v>13002</v>
      </c>
      <c r="C5924" s="626" t="s">
        <v>8</v>
      </c>
      <c r="D5924" s="626" t="s">
        <v>9306</v>
      </c>
      <c r="E5924" s="628" t="s">
        <v>23</v>
      </c>
      <c r="F5924" s="816" t="s">
        <v>13677</v>
      </c>
      <c r="G5924" s="816"/>
      <c r="H5924" s="816">
        <v>0.45090380000000002</v>
      </c>
      <c r="I5924" s="816"/>
      <c r="J5924" s="817">
        <v>0.1578</v>
      </c>
      <c r="K5924" s="817"/>
      <c r="L5924" s="817"/>
    </row>
    <row r="5925" spans="1:12" ht="24" customHeight="1">
      <c r="A5925" s="626" t="s">
        <v>12709</v>
      </c>
      <c r="B5925" s="627" t="s">
        <v>13004</v>
      </c>
      <c r="C5925" s="626" t="s">
        <v>8</v>
      </c>
      <c r="D5925" s="626" t="s">
        <v>7388</v>
      </c>
      <c r="E5925" s="628" t="s">
        <v>23</v>
      </c>
      <c r="F5925" s="816" t="s">
        <v>13676</v>
      </c>
      <c r="G5925" s="816"/>
      <c r="H5925" s="816">
        <v>0.45090380000000002</v>
      </c>
      <c r="I5925" s="816"/>
      <c r="J5925" s="817">
        <v>0.99199999999999999</v>
      </c>
      <c r="K5925" s="817"/>
      <c r="L5925" s="817"/>
    </row>
    <row r="5926" spans="1:12" ht="17.100000000000001" customHeight="1">
      <c r="A5926" s="636"/>
      <c r="B5926" s="636"/>
      <c r="C5926" s="636"/>
      <c r="D5926" s="636"/>
      <c r="E5926" s="636"/>
      <c r="F5926" s="636"/>
      <c r="G5926" s="636"/>
      <c r="H5926" s="636"/>
      <c r="I5926" s="636"/>
      <c r="J5926" s="636" t="s">
        <v>13675</v>
      </c>
      <c r="K5926" s="636"/>
      <c r="L5926" s="636" t="s">
        <v>14050</v>
      </c>
    </row>
    <row r="5927" spans="1:12">
      <c r="A5927" s="612" t="s">
        <v>13673</v>
      </c>
      <c r="B5927" s="612"/>
      <c r="C5927" s="612"/>
      <c r="D5927" s="612"/>
      <c r="E5927" s="612"/>
      <c r="F5927" s="612"/>
      <c r="G5927" s="612"/>
      <c r="H5927" s="612"/>
      <c r="I5927" s="612"/>
      <c r="J5927" s="612"/>
      <c r="K5927" s="612"/>
      <c r="L5927" s="612"/>
    </row>
    <row r="5928" spans="1:12" ht="17.100000000000001" customHeight="1">
      <c r="A5928" s="636"/>
      <c r="B5928" s="636"/>
      <c r="C5928" s="636"/>
      <c r="D5928" s="636"/>
      <c r="E5928" s="636"/>
      <c r="F5928" s="636"/>
      <c r="G5928" s="636"/>
      <c r="H5928" s="636"/>
      <c r="I5928" s="636"/>
      <c r="J5928" s="636" t="s">
        <v>13672</v>
      </c>
      <c r="K5928" s="636"/>
      <c r="L5928" s="636" t="s">
        <v>15312</v>
      </c>
    </row>
    <row r="5929" spans="1:12" ht="24" customHeight="1">
      <c r="A5929" s="636"/>
      <c r="B5929" s="636"/>
      <c r="C5929" s="636"/>
      <c r="D5929" s="636"/>
      <c r="E5929" s="636"/>
      <c r="F5929" s="636"/>
      <c r="G5929" s="636"/>
      <c r="H5929" s="636"/>
      <c r="I5929" s="636"/>
      <c r="J5929" s="636" t="s">
        <v>13671</v>
      </c>
      <c r="K5929" s="636" t="s">
        <v>14461</v>
      </c>
      <c r="L5929" s="636" t="s">
        <v>15313</v>
      </c>
    </row>
    <row r="5930" spans="1:12" ht="24" customHeight="1">
      <c r="A5930" s="636"/>
      <c r="B5930" s="636"/>
      <c r="C5930" s="636"/>
      <c r="D5930" s="636"/>
      <c r="E5930" s="636"/>
      <c r="F5930" s="636"/>
      <c r="G5930" s="636"/>
      <c r="H5930" s="636"/>
      <c r="I5930" s="636"/>
      <c r="J5930" s="636" t="s">
        <v>13670</v>
      </c>
      <c r="K5930" s="636"/>
      <c r="L5930" s="636" t="s">
        <v>15314</v>
      </c>
    </row>
    <row r="5931" spans="1:12" ht="17.100000000000001" customHeight="1">
      <c r="A5931" s="636"/>
      <c r="B5931" s="636"/>
      <c r="C5931" s="636"/>
      <c r="D5931" s="636"/>
      <c r="E5931" s="636"/>
      <c r="F5931" s="636"/>
      <c r="G5931" s="636"/>
      <c r="H5931" s="636"/>
      <c r="I5931" s="636"/>
      <c r="J5931" s="636" t="s">
        <v>13669</v>
      </c>
      <c r="K5931" s="636" t="s">
        <v>13667</v>
      </c>
      <c r="L5931" s="636" t="s">
        <v>15315</v>
      </c>
    </row>
    <row r="5932" spans="1:12" ht="17.100000000000001" customHeight="1">
      <c r="A5932" s="636"/>
      <c r="B5932" s="636"/>
      <c r="C5932" s="636"/>
      <c r="D5932" s="636"/>
      <c r="E5932" s="636"/>
      <c r="F5932" s="636"/>
      <c r="G5932" s="636"/>
      <c r="H5932" s="636"/>
      <c r="I5932" s="636"/>
      <c r="J5932" s="636" t="s">
        <v>13668</v>
      </c>
      <c r="K5932" s="636"/>
      <c r="L5932" s="636" t="s">
        <v>15316</v>
      </c>
    </row>
    <row r="5933" spans="1:12" ht="17.100000000000001" customHeight="1">
      <c r="A5933" s="637"/>
      <c r="B5933" s="637"/>
      <c r="C5933" s="637"/>
      <c r="D5933" s="637"/>
      <c r="E5933" s="637"/>
      <c r="F5933" s="637"/>
      <c r="G5933" s="637"/>
      <c r="H5933" s="637"/>
      <c r="I5933" s="637"/>
      <c r="J5933" s="637"/>
      <c r="K5933" s="637"/>
      <c r="L5933" s="637"/>
    </row>
    <row r="5934" spans="1:12" ht="17.100000000000001" customHeight="1">
      <c r="A5934" s="616" t="s">
        <v>14049</v>
      </c>
      <c r="B5934" s="617" t="s">
        <v>13510</v>
      </c>
      <c r="C5934" s="616" t="s">
        <v>8</v>
      </c>
      <c r="D5934" s="616" t="s">
        <v>3401</v>
      </c>
      <c r="E5934" s="618" t="s">
        <v>35</v>
      </c>
      <c r="F5934" s="617"/>
      <c r="G5934" s="617"/>
      <c r="H5934" s="617"/>
      <c r="I5934" s="617"/>
      <c r="J5934" s="617"/>
      <c r="K5934" s="617"/>
      <c r="L5934" s="617"/>
    </row>
    <row r="5935" spans="1:12" ht="17.100000000000001" customHeight="1">
      <c r="A5935" s="802" t="s">
        <v>12711</v>
      </c>
      <c r="B5935" s="802"/>
      <c r="C5935" s="802"/>
      <c r="D5935" s="802"/>
      <c r="E5935" s="802"/>
      <c r="F5935" s="802"/>
      <c r="G5935" s="802"/>
      <c r="H5935" s="802"/>
      <c r="I5935" s="612"/>
      <c r="J5935" s="612"/>
      <c r="K5935" s="612"/>
      <c r="L5935" s="612"/>
    </row>
    <row r="5936" spans="1:12" ht="17.100000000000001" customHeight="1">
      <c r="A5936" s="612" t="s">
        <v>13679</v>
      </c>
      <c r="B5936" s="636" t="s">
        <v>12698</v>
      </c>
      <c r="C5936" s="612" t="s">
        <v>12699</v>
      </c>
      <c r="D5936" s="612" t="s">
        <v>12700</v>
      </c>
      <c r="E5936" s="637" t="s">
        <v>12702</v>
      </c>
      <c r="F5936" s="801" t="s">
        <v>12704</v>
      </c>
      <c r="G5936" s="801"/>
      <c r="H5936" s="801" t="s">
        <v>13678</v>
      </c>
      <c r="I5936" s="801"/>
      <c r="J5936" s="801" t="s">
        <v>12705</v>
      </c>
      <c r="K5936" s="801"/>
      <c r="L5936" s="801"/>
    </row>
    <row r="5937" spans="1:12" ht="17.100000000000001" customHeight="1">
      <c r="A5937" s="626" t="s">
        <v>12709</v>
      </c>
      <c r="B5937" s="627" t="s">
        <v>13201</v>
      </c>
      <c r="C5937" s="626" t="s">
        <v>8</v>
      </c>
      <c r="D5937" s="626" t="s">
        <v>9221</v>
      </c>
      <c r="E5937" s="628" t="s">
        <v>23</v>
      </c>
      <c r="F5937" s="816" t="s">
        <v>13705</v>
      </c>
      <c r="G5937" s="816"/>
      <c r="H5937" s="816">
        <v>1.5762041</v>
      </c>
      <c r="I5937" s="816"/>
      <c r="J5937" s="817">
        <v>1.3082</v>
      </c>
      <c r="K5937" s="817"/>
      <c r="L5937" s="817"/>
    </row>
    <row r="5938" spans="1:12" ht="30" customHeight="1">
      <c r="A5938" s="626" t="s">
        <v>12709</v>
      </c>
      <c r="B5938" s="627" t="s">
        <v>13200</v>
      </c>
      <c r="C5938" s="626" t="s">
        <v>8</v>
      </c>
      <c r="D5938" s="626" t="s">
        <v>9368</v>
      </c>
      <c r="E5938" s="628" t="s">
        <v>23</v>
      </c>
      <c r="F5938" s="816" t="s">
        <v>13704</v>
      </c>
      <c r="G5938" s="816"/>
      <c r="H5938" s="816">
        <v>1.5762041</v>
      </c>
      <c r="I5938" s="816"/>
      <c r="J5938" s="817">
        <v>0.37830000000000003</v>
      </c>
      <c r="K5938" s="817"/>
      <c r="L5938" s="817"/>
    </row>
    <row r="5939" spans="1:12" ht="36" customHeight="1">
      <c r="A5939" s="636"/>
      <c r="B5939" s="636"/>
      <c r="C5939" s="636"/>
      <c r="D5939" s="636"/>
      <c r="E5939" s="636"/>
      <c r="F5939" s="636"/>
      <c r="G5939" s="636"/>
      <c r="H5939" s="636"/>
      <c r="I5939" s="636"/>
      <c r="J5939" s="636" t="s">
        <v>13675</v>
      </c>
      <c r="K5939" s="636"/>
      <c r="L5939" s="636" t="s">
        <v>14048</v>
      </c>
    </row>
    <row r="5940" spans="1:12" ht="14.25" customHeight="1">
      <c r="A5940" s="802" t="s">
        <v>12710</v>
      </c>
      <c r="B5940" s="802"/>
      <c r="C5940" s="802"/>
      <c r="D5940" s="802"/>
      <c r="E5940" s="802"/>
      <c r="F5940" s="802"/>
      <c r="G5940" s="802"/>
      <c r="H5940" s="802"/>
      <c r="I5940" s="612"/>
      <c r="J5940" s="612"/>
      <c r="K5940" s="612"/>
      <c r="L5940" s="612"/>
    </row>
    <row r="5941" spans="1:12" ht="17.100000000000001" customHeight="1">
      <c r="A5941" s="612" t="s">
        <v>13679</v>
      </c>
      <c r="B5941" s="636" t="s">
        <v>12698</v>
      </c>
      <c r="C5941" s="612" t="s">
        <v>12699</v>
      </c>
      <c r="D5941" s="612" t="s">
        <v>12700</v>
      </c>
      <c r="E5941" s="637" t="s">
        <v>12702</v>
      </c>
      <c r="F5941" s="801" t="s">
        <v>12704</v>
      </c>
      <c r="G5941" s="801"/>
      <c r="H5941" s="801" t="s">
        <v>13678</v>
      </c>
      <c r="I5941" s="801"/>
      <c r="J5941" s="801" t="s">
        <v>12705</v>
      </c>
      <c r="K5941" s="801"/>
      <c r="L5941" s="801"/>
    </row>
    <row r="5942" spans="1:12" ht="24" customHeight="1">
      <c r="A5942" s="626" t="s">
        <v>12709</v>
      </c>
      <c r="B5942" s="627" t="s">
        <v>13220</v>
      </c>
      <c r="C5942" s="626" t="s">
        <v>8</v>
      </c>
      <c r="D5942" s="626" t="s">
        <v>7592</v>
      </c>
      <c r="E5942" s="628" t="s">
        <v>23</v>
      </c>
      <c r="F5942" s="816" t="s">
        <v>13890</v>
      </c>
      <c r="G5942" s="816"/>
      <c r="H5942" s="816">
        <v>0.79828010000000005</v>
      </c>
      <c r="I5942" s="816"/>
      <c r="J5942" s="817">
        <v>4.0392999999999999</v>
      </c>
      <c r="K5942" s="817"/>
      <c r="L5942" s="817"/>
    </row>
    <row r="5943" spans="1:12" ht="24" customHeight="1">
      <c r="A5943" s="626" t="s">
        <v>12709</v>
      </c>
      <c r="B5943" s="627" t="s">
        <v>13202</v>
      </c>
      <c r="C5943" s="626" t="s">
        <v>8</v>
      </c>
      <c r="D5943" s="626" t="s">
        <v>9187</v>
      </c>
      <c r="E5943" s="628" t="s">
        <v>23</v>
      </c>
      <c r="F5943" s="816" t="s">
        <v>14479</v>
      </c>
      <c r="G5943" s="816"/>
      <c r="H5943" s="816">
        <v>0.79828010000000005</v>
      </c>
      <c r="I5943" s="816"/>
      <c r="J5943" s="817">
        <v>5.7077</v>
      </c>
      <c r="K5943" s="817"/>
      <c r="L5943" s="817"/>
    </row>
    <row r="5944" spans="1:12" ht="17.100000000000001" customHeight="1">
      <c r="A5944" s="636"/>
      <c r="B5944" s="636"/>
      <c r="C5944" s="636"/>
      <c r="D5944" s="636"/>
      <c r="E5944" s="636"/>
      <c r="F5944" s="636"/>
      <c r="G5944" s="636"/>
      <c r="H5944" s="636"/>
      <c r="I5944" s="636"/>
      <c r="J5944" s="636" t="s">
        <v>13675</v>
      </c>
      <c r="K5944" s="636"/>
      <c r="L5944" s="636" t="s">
        <v>14677</v>
      </c>
    </row>
    <row r="5945" spans="1:12" ht="14.25" customHeight="1">
      <c r="A5945" s="802" t="s">
        <v>12720</v>
      </c>
      <c r="B5945" s="802"/>
      <c r="C5945" s="802"/>
      <c r="D5945" s="802"/>
      <c r="E5945" s="802"/>
      <c r="F5945" s="802"/>
      <c r="G5945" s="802"/>
      <c r="H5945" s="802"/>
      <c r="I5945" s="612"/>
      <c r="J5945" s="612"/>
      <c r="K5945" s="612"/>
      <c r="L5945" s="612"/>
    </row>
    <row r="5946" spans="1:12" ht="17.100000000000001" customHeight="1">
      <c r="A5946" s="612" t="s">
        <v>13679</v>
      </c>
      <c r="B5946" s="636" t="s">
        <v>12698</v>
      </c>
      <c r="C5946" s="612" t="s">
        <v>12699</v>
      </c>
      <c r="D5946" s="612" t="s">
        <v>12700</v>
      </c>
      <c r="E5946" s="637" t="s">
        <v>12702</v>
      </c>
      <c r="F5946" s="801" t="s">
        <v>12704</v>
      </c>
      <c r="G5946" s="801"/>
      <c r="H5946" s="801" t="s">
        <v>13678</v>
      </c>
      <c r="I5946" s="801"/>
      <c r="J5946" s="801" t="s">
        <v>12705</v>
      </c>
      <c r="K5946" s="801"/>
      <c r="L5946" s="801"/>
    </row>
    <row r="5947" spans="1:12" ht="24" customHeight="1">
      <c r="A5947" s="626" t="s">
        <v>12709</v>
      </c>
      <c r="B5947" s="627" t="s">
        <v>13440</v>
      </c>
      <c r="C5947" s="626" t="s">
        <v>8</v>
      </c>
      <c r="D5947" s="626" t="s">
        <v>9427</v>
      </c>
      <c r="E5947" s="628" t="s">
        <v>35</v>
      </c>
      <c r="F5947" s="816" t="s">
        <v>14603</v>
      </c>
      <c r="G5947" s="816"/>
      <c r="H5947" s="816">
        <v>1.9E-2</v>
      </c>
      <c r="I5947" s="816"/>
      <c r="J5947" s="817">
        <v>0.28000000000000003</v>
      </c>
      <c r="K5947" s="817"/>
      <c r="L5947" s="817"/>
    </row>
    <row r="5948" spans="1:12" ht="24" customHeight="1">
      <c r="A5948" s="626" t="s">
        <v>12709</v>
      </c>
      <c r="B5948" s="627" t="s">
        <v>13509</v>
      </c>
      <c r="C5948" s="626" t="s">
        <v>8</v>
      </c>
      <c r="D5948" s="626" t="s">
        <v>11150</v>
      </c>
      <c r="E5948" s="628" t="s">
        <v>35</v>
      </c>
      <c r="F5948" s="816" t="s">
        <v>14676</v>
      </c>
      <c r="G5948" s="816"/>
      <c r="H5948" s="816">
        <v>1</v>
      </c>
      <c r="I5948" s="816"/>
      <c r="J5948" s="817">
        <v>43.2</v>
      </c>
      <c r="K5948" s="817"/>
      <c r="L5948" s="817"/>
    </row>
    <row r="5949" spans="1:12" ht="17.100000000000001" customHeight="1">
      <c r="A5949" s="636"/>
      <c r="B5949" s="636"/>
      <c r="C5949" s="636"/>
      <c r="D5949" s="636"/>
      <c r="E5949" s="636"/>
      <c r="F5949" s="636"/>
      <c r="G5949" s="636"/>
      <c r="H5949" s="636"/>
      <c r="I5949" s="636"/>
      <c r="J5949" s="636" t="s">
        <v>13675</v>
      </c>
      <c r="K5949" s="636"/>
      <c r="L5949" s="636" t="s">
        <v>14675</v>
      </c>
    </row>
    <row r="5950" spans="1:12">
      <c r="A5950" s="802" t="s">
        <v>12722</v>
      </c>
      <c r="B5950" s="802"/>
      <c r="C5950" s="802"/>
      <c r="D5950" s="802"/>
      <c r="E5950" s="802"/>
      <c r="F5950" s="802"/>
      <c r="G5950" s="802"/>
      <c r="H5950" s="802"/>
      <c r="I5950" s="612"/>
      <c r="J5950" s="612"/>
      <c r="K5950" s="612"/>
      <c r="L5950" s="612"/>
    </row>
    <row r="5951" spans="1:12" ht="17.100000000000001" customHeight="1">
      <c r="A5951" s="612" t="s">
        <v>13679</v>
      </c>
      <c r="B5951" s="636" t="s">
        <v>12698</v>
      </c>
      <c r="C5951" s="612" t="s">
        <v>12699</v>
      </c>
      <c r="D5951" s="612" t="s">
        <v>12700</v>
      </c>
      <c r="E5951" s="637" t="s">
        <v>12702</v>
      </c>
      <c r="F5951" s="801" t="s">
        <v>12704</v>
      </c>
      <c r="G5951" s="801"/>
      <c r="H5951" s="801" t="s">
        <v>13678</v>
      </c>
      <c r="I5951" s="801"/>
      <c r="J5951" s="801" t="s">
        <v>12705</v>
      </c>
      <c r="K5951" s="801"/>
      <c r="L5951" s="801"/>
    </row>
    <row r="5952" spans="1:12" ht="24" customHeight="1">
      <c r="A5952" s="626" t="s">
        <v>12709</v>
      </c>
      <c r="B5952" s="627" t="s">
        <v>12998</v>
      </c>
      <c r="C5952" s="626" t="s">
        <v>8</v>
      </c>
      <c r="D5952" s="626" t="s">
        <v>11861</v>
      </c>
      <c r="E5952" s="628" t="s">
        <v>23</v>
      </c>
      <c r="F5952" s="816" t="s">
        <v>13683</v>
      </c>
      <c r="G5952" s="816"/>
      <c r="H5952" s="816">
        <v>1.5762041</v>
      </c>
      <c r="I5952" s="816"/>
      <c r="J5952" s="817">
        <v>1.1191</v>
      </c>
      <c r="K5952" s="817"/>
      <c r="L5952" s="817"/>
    </row>
    <row r="5953" spans="1:12" ht="24" customHeight="1">
      <c r="A5953" s="636"/>
      <c r="B5953" s="636"/>
      <c r="C5953" s="636"/>
      <c r="D5953" s="636"/>
      <c r="E5953" s="636"/>
      <c r="F5953" s="636"/>
      <c r="G5953" s="636"/>
      <c r="H5953" s="636"/>
      <c r="I5953" s="636"/>
      <c r="J5953" s="636" t="s">
        <v>13675</v>
      </c>
      <c r="K5953" s="636"/>
      <c r="L5953" s="636" t="s">
        <v>13877</v>
      </c>
    </row>
    <row r="5954" spans="1:12" ht="17.100000000000001" customHeight="1">
      <c r="A5954" s="802" t="s">
        <v>12713</v>
      </c>
      <c r="B5954" s="802"/>
      <c r="C5954" s="802"/>
      <c r="D5954" s="802"/>
      <c r="E5954" s="802"/>
      <c r="F5954" s="802"/>
      <c r="G5954" s="802"/>
      <c r="H5954" s="802"/>
      <c r="I5954" s="612"/>
      <c r="J5954" s="612"/>
      <c r="K5954" s="612"/>
      <c r="L5954" s="612"/>
    </row>
    <row r="5955" spans="1:12">
      <c r="A5955" s="612" t="s">
        <v>13679</v>
      </c>
      <c r="B5955" s="636" t="s">
        <v>12698</v>
      </c>
      <c r="C5955" s="612" t="s">
        <v>12699</v>
      </c>
      <c r="D5955" s="612" t="s">
        <v>12700</v>
      </c>
      <c r="E5955" s="637" t="s">
        <v>12702</v>
      </c>
      <c r="F5955" s="801" t="s">
        <v>12704</v>
      </c>
      <c r="G5955" s="801"/>
      <c r="H5955" s="801" t="s">
        <v>13678</v>
      </c>
      <c r="I5955" s="801"/>
      <c r="J5955" s="801" t="s">
        <v>12705</v>
      </c>
      <c r="K5955" s="801"/>
      <c r="L5955" s="801"/>
    </row>
    <row r="5956" spans="1:12" ht="17.100000000000001" customHeight="1">
      <c r="A5956" s="626" t="s">
        <v>12709</v>
      </c>
      <c r="B5956" s="627" t="s">
        <v>12999</v>
      </c>
      <c r="C5956" s="626" t="s">
        <v>8</v>
      </c>
      <c r="D5956" s="626" t="s">
        <v>11251</v>
      </c>
      <c r="E5956" s="628" t="s">
        <v>23</v>
      </c>
      <c r="F5956" s="816" t="s">
        <v>13681</v>
      </c>
      <c r="G5956" s="816"/>
      <c r="H5956" s="816">
        <v>1.5762041</v>
      </c>
      <c r="I5956" s="816"/>
      <c r="J5956" s="817">
        <v>0.1103</v>
      </c>
      <c r="K5956" s="817"/>
      <c r="L5956" s="817"/>
    </row>
    <row r="5957" spans="1:12" ht="24" customHeight="1">
      <c r="A5957" s="636"/>
      <c r="B5957" s="636"/>
      <c r="C5957" s="636"/>
      <c r="D5957" s="636"/>
      <c r="E5957" s="636"/>
      <c r="F5957" s="636"/>
      <c r="G5957" s="636"/>
      <c r="H5957" s="636"/>
      <c r="I5957" s="636"/>
      <c r="J5957" s="636" t="s">
        <v>13675</v>
      </c>
      <c r="K5957" s="636"/>
      <c r="L5957" s="636" t="s">
        <v>13785</v>
      </c>
    </row>
    <row r="5958" spans="1:12" ht="17.100000000000001" customHeight="1">
      <c r="A5958" s="802" t="s">
        <v>12712</v>
      </c>
      <c r="B5958" s="802"/>
      <c r="C5958" s="802"/>
      <c r="D5958" s="802"/>
      <c r="E5958" s="802"/>
      <c r="F5958" s="802"/>
      <c r="G5958" s="802"/>
      <c r="H5958" s="802"/>
      <c r="I5958" s="612"/>
      <c r="J5958" s="612"/>
      <c r="K5958" s="612"/>
      <c r="L5958" s="612"/>
    </row>
    <row r="5959" spans="1:12">
      <c r="A5959" s="612" t="s">
        <v>13679</v>
      </c>
      <c r="B5959" s="636" t="s">
        <v>12698</v>
      </c>
      <c r="C5959" s="612" t="s">
        <v>12699</v>
      </c>
      <c r="D5959" s="612" t="s">
        <v>12700</v>
      </c>
      <c r="E5959" s="637" t="s">
        <v>12702</v>
      </c>
      <c r="F5959" s="801" t="s">
        <v>12704</v>
      </c>
      <c r="G5959" s="801"/>
      <c r="H5959" s="801" t="s">
        <v>13678</v>
      </c>
      <c r="I5959" s="801"/>
      <c r="J5959" s="801" t="s">
        <v>12705</v>
      </c>
      <c r="K5959" s="801"/>
      <c r="L5959" s="801"/>
    </row>
    <row r="5960" spans="1:12" ht="17.100000000000001" customHeight="1">
      <c r="A5960" s="626" t="s">
        <v>12709</v>
      </c>
      <c r="B5960" s="627" t="s">
        <v>13002</v>
      </c>
      <c r="C5960" s="626" t="s">
        <v>8</v>
      </c>
      <c r="D5960" s="626" t="s">
        <v>9306</v>
      </c>
      <c r="E5960" s="628" t="s">
        <v>23</v>
      </c>
      <c r="F5960" s="816" t="s">
        <v>13677</v>
      </c>
      <c r="G5960" s="816"/>
      <c r="H5960" s="816">
        <v>1.5762041</v>
      </c>
      <c r="I5960" s="816"/>
      <c r="J5960" s="817">
        <v>0.55169999999999997</v>
      </c>
      <c r="K5960" s="817"/>
      <c r="L5960" s="817"/>
    </row>
    <row r="5961" spans="1:12" ht="24" customHeight="1">
      <c r="A5961" s="626" t="s">
        <v>12709</v>
      </c>
      <c r="B5961" s="627" t="s">
        <v>13004</v>
      </c>
      <c r="C5961" s="626" t="s">
        <v>8</v>
      </c>
      <c r="D5961" s="626" t="s">
        <v>7388</v>
      </c>
      <c r="E5961" s="628" t="s">
        <v>23</v>
      </c>
      <c r="F5961" s="816" t="s">
        <v>13676</v>
      </c>
      <c r="G5961" s="816"/>
      <c r="H5961" s="816">
        <v>1.5762041</v>
      </c>
      <c r="I5961" s="816"/>
      <c r="J5961" s="817">
        <v>3.4676</v>
      </c>
      <c r="K5961" s="817"/>
      <c r="L5961" s="817"/>
    </row>
    <row r="5962" spans="1:12" ht="17.100000000000001" customHeight="1">
      <c r="A5962" s="636"/>
      <c r="B5962" s="636"/>
      <c r="C5962" s="636"/>
      <c r="D5962" s="636"/>
      <c r="E5962" s="636"/>
      <c r="F5962" s="636"/>
      <c r="G5962" s="636"/>
      <c r="H5962" s="636"/>
      <c r="I5962" s="636"/>
      <c r="J5962" s="636" t="s">
        <v>13675</v>
      </c>
      <c r="K5962" s="636"/>
      <c r="L5962" s="636" t="s">
        <v>14047</v>
      </c>
    </row>
    <row r="5963" spans="1:12">
      <c r="A5963" s="612" t="s">
        <v>13673</v>
      </c>
      <c r="B5963" s="612"/>
      <c r="C5963" s="612"/>
      <c r="D5963" s="612"/>
      <c r="E5963" s="612"/>
      <c r="F5963" s="612"/>
      <c r="G5963" s="612"/>
      <c r="H5963" s="612"/>
      <c r="I5963" s="612"/>
      <c r="J5963" s="612"/>
      <c r="K5963" s="612"/>
      <c r="L5963" s="612"/>
    </row>
    <row r="5964" spans="1:12" ht="17.100000000000001" customHeight="1">
      <c r="A5964" s="636"/>
      <c r="B5964" s="636"/>
      <c r="C5964" s="636"/>
      <c r="D5964" s="636"/>
      <c r="E5964" s="636"/>
      <c r="F5964" s="636"/>
      <c r="G5964" s="636"/>
      <c r="H5964" s="636"/>
      <c r="I5964" s="636"/>
      <c r="J5964" s="636" t="s">
        <v>13672</v>
      </c>
      <c r="K5964" s="636"/>
      <c r="L5964" s="636" t="s">
        <v>15317</v>
      </c>
    </row>
    <row r="5965" spans="1:12" ht="24" customHeight="1">
      <c r="A5965" s="636"/>
      <c r="B5965" s="636"/>
      <c r="C5965" s="636"/>
      <c r="D5965" s="636"/>
      <c r="E5965" s="636"/>
      <c r="F5965" s="636"/>
      <c r="G5965" s="636"/>
      <c r="H5965" s="636"/>
      <c r="I5965" s="636"/>
      <c r="J5965" s="636" t="s">
        <v>13671</v>
      </c>
      <c r="K5965" s="636" t="s">
        <v>14461</v>
      </c>
      <c r="L5965" s="636" t="s">
        <v>15236</v>
      </c>
    </row>
    <row r="5966" spans="1:12" ht="24" customHeight="1">
      <c r="A5966" s="636"/>
      <c r="B5966" s="636"/>
      <c r="C5966" s="636"/>
      <c r="D5966" s="636"/>
      <c r="E5966" s="636"/>
      <c r="F5966" s="636"/>
      <c r="G5966" s="636"/>
      <c r="H5966" s="636"/>
      <c r="I5966" s="636"/>
      <c r="J5966" s="636" t="s">
        <v>13670</v>
      </c>
      <c r="K5966" s="636"/>
      <c r="L5966" s="636" t="s">
        <v>15318</v>
      </c>
    </row>
    <row r="5967" spans="1:12" ht="17.100000000000001" customHeight="1">
      <c r="A5967" s="636"/>
      <c r="B5967" s="636"/>
      <c r="C5967" s="636"/>
      <c r="D5967" s="636"/>
      <c r="E5967" s="636"/>
      <c r="F5967" s="636"/>
      <c r="G5967" s="636"/>
      <c r="H5967" s="636"/>
      <c r="I5967" s="636"/>
      <c r="J5967" s="636" t="s">
        <v>13669</v>
      </c>
      <c r="K5967" s="636" t="s">
        <v>13667</v>
      </c>
      <c r="L5967" s="636" t="s">
        <v>15319</v>
      </c>
    </row>
    <row r="5968" spans="1:12" ht="17.100000000000001" customHeight="1">
      <c r="A5968" s="636"/>
      <c r="B5968" s="636"/>
      <c r="C5968" s="636"/>
      <c r="D5968" s="636"/>
      <c r="E5968" s="636"/>
      <c r="F5968" s="636"/>
      <c r="G5968" s="636"/>
      <c r="H5968" s="636"/>
      <c r="I5968" s="636"/>
      <c r="J5968" s="636" t="s">
        <v>13668</v>
      </c>
      <c r="K5968" s="636"/>
      <c r="L5968" s="636" t="s">
        <v>15320</v>
      </c>
    </row>
    <row r="5969" spans="1:12" ht="17.100000000000001" customHeight="1">
      <c r="A5969" s="637"/>
      <c r="B5969" s="637"/>
      <c r="C5969" s="637"/>
      <c r="D5969" s="637"/>
      <c r="E5969" s="637"/>
      <c r="F5969" s="637"/>
      <c r="G5969" s="637"/>
      <c r="H5969" s="637"/>
      <c r="I5969" s="637"/>
      <c r="J5969" s="637"/>
      <c r="K5969" s="637"/>
      <c r="L5969" s="637"/>
    </row>
    <row r="5970" spans="1:12" ht="17.100000000000001" customHeight="1">
      <c r="A5970" s="616" t="s">
        <v>14046</v>
      </c>
      <c r="B5970" s="617" t="s">
        <v>13508</v>
      </c>
      <c r="C5970" s="616" t="s">
        <v>8</v>
      </c>
      <c r="D5970" s="616" t="s">
        <v>5699</v>
      </c>
      <c r="E5970" s="618" t="s">
        <v>35</v>
      </c>
      <c r="F5970" s="617"/>
      <c r="G5970" s="617"/>
      <c r="H5970" s="617"/>
      <c r="I5970" s="617"/>
      <c r="J5970" s="617"/>
      <c r="K5970" s="617"/>
      <c r="L5970" s="617"/>
    </row>
    <row r="5971" spans="1:12" ht="17.100000000000001" customHeight="1">
      <c r="A5971" s="802" t="s">
        <v>12711</v>
      </c>
      <c r="B5971" s="802"/>
      <c r="C5971" s="802"/>
      <c r="D5971" s="802"/>
      <c r="E5971" s="802"/>
      <c r="F5971" s="802"/>
      <c r="G5971" s="802"/>
      <c r="H5971" s="802"/>
      <c r="I5971" s="612"/>
      <c r="J5971" s="612"/>
      <c r="K5971" s="612"/>
      <c r="L5971" s="612"/>
    </row>
    <row r="5972" spans="1:12" ht="17.100000000000001" customHeight="1">
      <c r="A5972" s="612" t="s">
        <v>13679</v>
      </c>
      <c r="B5972" s="636" t="s">
        <v>12698</v>
      </c>
      <c r="C5972" s="612" t="s">
        <v>12699</v>
      </c>
      <c r="D5972" s="612" t="s">
        <v>12700</v>
      </c>
      <c r="E5972" s="637" t="s">
        <v>12702</v>
      </c>
      <c r="F5972" s="801" t="s">
        <v>12704</v>
      </c>
      <c r="G5972" s="801"/>
      <c r="H5972" s="801" t="s">
        <v>13678</v>
      </c>
      <c r="I5972" s="801"/>
      <c r="J5972" s="801" t="s">
        <v>12705</v>
      </c>
      <c r="K5972" s="801"/>
      <c r="L5972" s="801"/>
    </row>
    <row r="5973" spans="1:12" ht="17.100000000000001" customHeight="1">
      <c r="A5973" s="626" t="s">
        <v>12709</v>
      </c>
      <c r="B5973" s="627" t="s">
        <v>13201</v>
      </c>
      <c r="C5973" s="626" t="s">
        <v>8</v>
      </c>
      <c r="D5973" s="626" t="s">
        <v>9221</v>
      </c>
      <c r="E5973" s="628" t="s">
        <v>23</v>
      </c>
      <c r="F5973" s="816" t="s">
        <v>13705</v>
      </c>
      <c r="G5973" s="816"/>
      <c r="H5973" s="816">
        <v>0.39831440000000001</v>
      </c>
      <c r="I5973" s="816"/>
      <c r="J5973" s="817">
        <v>0.3306</v>
      </c>
      <c r="K5973" s="817"/>
      <c r="L5973" s="817"/>
    </row>
    <row r="5974" spans="1:12" ht="30" customHeight="1">
      <c r="A5974" s="626" t="s">
        <v>12709</v>
      </c>
      <c r="B5974" s="627" t="s">
        <v>13200</v>
      </c>
      <c r="C5974" s="626" t="s">
        <v>8</v>
      </c>
      <c r="D5974" s="626" t="s">
        <v>9368</v>
      </c>
      <c r="E5974" s="628" t="s">
        <v>23</v>
      </c>
      <c r="F5974" s="816" t="s">
        <v>13704</v>
      </c>
      <c r="G5974" s="816"/>
      <c r="H5974" s="816">
        <v>0.39831440000000001</v>
      </c>
      <c r="I5974" s="816"/>
      <c r="J5974" s="817">
        <v>9.5600000000000004E-2</v>
      </c>
      <c r="K5974" s="817"/>
      <c r="L5974" s="817"/>
    </row>
    <row r="5975" spans="1:12" ht="36" customHeight="1">
      <c r="A5975" s="636"/>
      <c r="B5975" s="636"/>
      <c r="C5975" s="636"/>
      <c r="D5975" s="636"/>
      <c r="E5975" s="636"/>
      <c r="F5975" s="636"/>
      <c r="G5975" s="636"/>
      <c r="H5975" s="636"/>
      <c r="I5975" s="636"/>
      <c r="J5975" s="636" t="s">
        <v>13675</v>
      </c>
      <c r="K5975" s="636"/>
      <c r="L5975" s="636" t="s">
        <v>13717</v>
      </c>
    </row>
    <row r="5976" spans="1:12" ht="14.25" customHeight="1">
      <c r="A5976" s="802" t="s">
        <v>12710</v>
      </c>
      <c r="B5976" s="802"/>
      <c r="C5976" s="802"/>
      <c r="D5976" s="802"/>
      <c r="E5976" s="802"/>
      <c r="F5976" s="802"/>
      <c r="G5976" s="802"/>
      <c r="H5976" s="802"/>
      <c r="I5976" s="612"/>
      <c r="J5976" s="612"/>
      <c r="K5976" s="612"/>
      <c r="L5976" s="612"/>
    </row>
    <row r="5977" spans="1:12" ht="17.100000000000001" customHeight="1">
      <c r="A5977" s="612" t="s">
        <v>13679</v>
      </c>
      <c r="B5977" s="636" t="s">
        <v>12698</v>
      </c>
      <c r="C5977" s="612" t="s">
        <v>12699</v>
      </c>
      <c r="D5977" s="612" t="s">
        <v>12700</v>
      </c>
      <c r="E5977" s="637" t="s">
        <v>12702</v>
      </c>
      <c r="F5977" s="801" t="s">
        <v>12704</v>
      </c>
      <c r="G5977" s="801"/>
      <c r="H5977" s="801" t="s">
        <v>13678</v>
      </c>
      <c r="I5977" s="801"/>
      <c r="J5977" s="801" t="s">
        <v>12705</v>
      </c>
      <c r="K5977" s="801"/>
      <c r="L5977" s="801"/>
    </row>
    <row r="5978" spans="1:12" ht="24" customHeight="1">
      <c r="A5978" s="626" t="s">
        <v>12709</v>
      </c>
      <c r="B5978" s="627" t="s">
        <v>13220</v>
      </c>
      <c r="C5978" s="626" t="s">
        <v>8</v>
      </c>
      <c r="D5978" s="626" t="s">
        <v>7592</v>
      </c>
      <c r="E5978" s="628" t="s">
        <v>23</v>
      </c>
      <c r="F5978" s="816" t="s">
        <v>13890</v>
      </c>
      <c r="G5978" s="816"/>
      <c r="H5978" s="816">
        <v>0.2018945</v>
      </c>
      <c r="I5978" s="816"/>
      <c r="J5978" s="817">
        <v>1.0216000000000001</v>
      </c>
      <c r="K5978" s="817"/>
      <c r="L5978" s="817"/>
    </row>
    <row r="5979" spans="1:12" ht="24" customHeight="1">
      <c r="A5979" s="626" t="s">
        <v>12709</v>
      </c>
      <c r="B5979" s="627" t="s">
        <v>13202</v>
      </c>
      <c r="C5979" s="626" t="s">
        <v>8</v>
      </c>
      <c r="D5979" s="626" t="s">
        <v>9187</v>
      </c>
      <c r="E5979" s="628" t="s">
        <v>23</v>
      </c>
      <c r="F5979" s="816" t="s">
        <v>14479</v>
      </c>
      <c r="G5979" s="816"/>
      <c r="H5979" s="816">
        <v>0.2018945</v>
      </c>
      <c r="I5979" s="816"/>
      <c r="J5979" s="817">
        <v>1.4435</v>
      </c>
      <c r="K5979" s="817"/>
      <c r="L5979" s="817"/>
    </row>
    <row r="5980" spans="1:12" ht="17.100000000000001" customHeight="1">
      <c r="A5980" s="636"/>
      <c r="B5980" s="636"/>
      <c r="C5980" s="636"/>
      <c r="D5980" s="636"/>
      <c r="E5980" s="636"/>
      <c r="F5980" s="636"/>
      <c r="G5980" s="636"/>
      <c r="H5980" s="636"/>
      <c r="I5980" s="636"/>
      <c r="J5980" s="636" t="s">
        <v>13675</v>
      </c>
      <c r="K5980" s="636"/>
      <c r="L5980" s="636" t="s">
        <v>13962</v>
      </c>
    </row>
    <row r="5981" spans="1:12" ht="14.25" customHeight="1">
      <c r="A5981" s="802" t="s">
        <v>12720</v>
      </c>
      <c r="B5981" s="802"/>
      <c r="C5981" s="802"/>
      <c r="D5981" s="802"/>
      <c r="E5981" s="802"/>
      <c r="F5981" s="802"/>
      <c r="G5981" s="802"/>
      <c r="H5981" s="802"/>
      <c r="I5981" s="612"/>
      <c r="J5981" s="612"/>
      <c r="K5981" s="612"/>
      <c r="L5981" s="612"/>
    </row>
    <row r="5982" spans="1:12" ht="17.100000000000001" customHeight="1">
      <c r="A5982" s="612" t="s">
        <v>13679</v>
      </c>
      <c r="B5982" s="636" t="s">
        <v>12698</v>
      </c>
      <c r="C5982" s="612" t="s">
        <v>12699</v>
      </c>
      <c r="D5982" s="612" t="s">
        <v>12700</v>
      </c>
      <c r="E5982" s="637" t="s">
        <v>12702</v>
      </c>
      <c r="F5982" s="801" t="s">
        <v>12704</v>
      </c>
      <c r="G5982" s="801"/>
      <c r="H5982" s="801" t="s">
        <v>13678</v>
      </c>
      <c r="I5982" s="801"/>
      <c r="J5982" s="801" t="s">
        <v>12705</v>
      </c>
      <c r="K5982" s="801"/>
      <c r="L5982" s="801"/>
    </row>
    <row r="5983" spans="1:12" ht="24" customHeight="1">
      <c r="A5983" s="626" t="s">
        <v>12709</v>
      </c>
      <c r="B5983" s="627" t="s">
        <v>13440</v>
      </c>
      <c r="C5983" s="626" t="s">
        <v>8</v>
      </c>
      <c r="D5983" s="626" t="s">
        <v>9427</v>
      </c>
      <c r="E5983" s="628" t="s">
        <v>35</v>
      </c>
      <c r="F5983" s="816" t="s">
        <v>14603</v>
      </c>
      <c r="G5983" s="816"/>
      <c r="H5983" s="816">
        <v>1.2999999999999999E-2</v>
      </c>
      <c r="I5983" s="816"/>
      <c r="J5983" s="817">
        <v>0.19</v>
      </c>
      <c r="K5983" s="817"/>
      <c r="L5983" s="817"/>
    </row>
    <row r="5984" spans="1:12" ht="24" customHeight="1">
      <c r="A5984" s="626" t="s">
        <v>12709</v>
      </c>
      <c r="B5984" s="627" t="s">
        <v>13507</v>
      </c>
      <c r="C5984" s="626" t="s">
        <v>8</v>
      </c>
      <c r="D5984" s="626" t="s">
        <v>11165</v>
      </c>
      <c r="E5984" s="628" t="s">
        <v>35</v>
      </c>
      <c r="F5984" s="816" t="s">
        <v>14674</v>
      </c>
      <c r="G5984" s="816"/>
      <c r="H5984" s="816">
        <v>1</v>
      </c>
      <c r="I5984" s="816"/>
      <c r="J5984" s="817">
        <v>16.11</v>
      </c>
      <c r="K5984" s="817"/>
      <c r="L5984" s="817"/>
    </row>
    <row r="5985" spans="1:12" ht="17.100000000000001" customHeight="1">
      <c r="A5985" s="636"/>
      <c r="B5985" s="636"/>
      <c r="C5985" s="636"/>
      <c r="D5985" s="636"/>
      <c r="E5985" s="636"/>
      <c r="F5985" s="636"/>
      <c r="G5985" s="636"/>
      <c r="H5985" s="636"/>
      <c r="I5985" s="636"/>
      <c r="J5985" s="636" t="s">
        <v>13675</v>
      </c>
      <c r="K5985" s="636"/>
      <c r="L5985" s="636" t="s">
        <v>14673</v>
      </c>
    </row>
    <row r="5986" spans="1:12">
      <c r="A5986" s="802" t="s">
        <v>12722</v>
      </c>
      <c r="B5986" s="802"/>
      <c r="C5986" s="802"/>
      <c r="D5986" s="802"/>
      <c r="E5986" s="802"/>
      <c r="F5986" s="802"/>
      <c r="G5986" s="802"/>
      <c r="H5986" s="802"/>
      <c r="I5986" s="612"/>
      <c r="J5986" s="612"/>
      <c r="K5986" s="612"/>
      <c r="L5986" s="612"/>
    </row>
    <row r="5987" spans="1:12" ht="17.100000000000001" customHeight="1">
      <c r="A5987" s="612" t="s">
        <v>13679</v>
      </c>
      <c r="B5987" s="636" t="s">
        <v>12698</v>
      </c>
      <c r="C5987" s="612" t="s">
        <v>12699</v>
      </c>
      <c r="D5987" s="612" t="s">
        <v>12700</v>
      </c>
      <c r="E5987" s="637" t="s">
        <v>12702</v>
      </c>
      <c r="F5987" s="801" t="s">
        <v>12704</v>
      </c>
      <c r="G5987" s="801"/>
      <c r="H5987" s="801" t="s">
        <v>13678</v>
      </c>
      <c r="I5987" s="801"/>
      <c r="J5987" s="801" t="s">
        <v>12705</v>
      </c>
      <c r="K5987" s="801"/>
      <c r="L5987" s="801"/>
    </row>
    <row r="5988" spans="1:12" ht="24" customHeight="1">
      <c r="A5988" s="626" t="s">
        <v>12709</v>
      </c>
      <c r="B5988" s="627" t="s">
        <v>12998</v>
      </c>
      <c r="C5988" s="626" t="s">
        <v>8</v>
      </c>
      <c r="D5988" s="626" t="s">
        <v>11861</v>
      </c>
      <c r="E5988" s="628" t="s">
        <v>23</v>
      </c>
      <c r="F5988" s="816" t="s">
        <v>13683</v>
      </c>
      <c r="G5988" s="816"/>
      <c r="H5988" s="816">
        <v>0.39831440000000001</v>
      </c>
      <c r="I5988" s="816"/>
      <c r="J5988" s="817">
        <v>0.2828</v>
      </c>
      <c r="K5988" s="817"/>
      <c r="L5988" s="817"/>
    </row>
    <row r="5989" spans="1:12" ht="24" customHeight="1">
      <c r="A5989" s="636"/>
      <c r="B5989" s="636"/>
      <c r="C5989" s="636"/>
      <c r="D5989" s="636"/>
      <c r="E5989" s="636"/>
      <c r="F5989" s="636"/>
      <c r="G5989" s="636"/>
      <c r="H5989" s="636"/>
      <c r="I5989" s="636"/>
      <c r="J5989" s="636" t="s">
        <v>13675</v>
      </c>
      <c r="K5989" s="636"/>
      <c r="L5989" s="636" t="s">
        <v>13762</v>
      </c>
    </row>
    <row r="5990" spans="1:12" ht="17.100000000000001" customHeight="1">
      <c r="A5990" s="802" t="s">
        <v>12713</v>
      </c>
      <c r="B5990" s="802"/>
      <c r="C5990" s="802"/>
      <c r="D5990" s="802"/>
      <c r="E5990" s="802"/>
      <c r="F5990" s="802"/>
      <c r="G5990" s="802"/>
      <c r="H5990" s="802"/>
      <c r="I5990" s="612"/>
      <c r="J5990" s="612"/>
      <c r="K5990" s="612"/>
      <c r="L5990" s="612"/>
    </row>
    <row r="5991" spans="1:12">
      <c r="A5991" s="612" t="s">
        <v>13679</v>
      </c>
      <c r="B5991" s="636" t="s">
        <v>12698</v>
      </c>
      <c r="C5991" s="612" t="s">
        <v>12699</v>
      </c>
      <c r="D5991" s="612" t="s">
        <v>12700</v>
      </c>
      <c r="E5991" s="637" t="s">
        <v>12702</v>
      </c>
      <c r="F5991" s="801" t="s">
        <v>12704</v>
      </c>
      <c r="G5991" s="801"/>
      <c r="H5991" s="801" t="s">
        <v>13678</v>
      </c>
      <c r="I5991" s="801"/>
      <c r="J5991" s="801" t="s">
        <v>12705</v>
      </c>
      <c r="K5991" s="801"/>
      <c r="L5991" s="801"/>
    </row>
    <row r="5992" spans="1:12" ht="17.100000000000001" customHeight="1">
      <c r="A5992" s="626" t="s">
        <v>12709</v>
      </c>
      <c r="B5992" s="627" t="s">
        <v>12999</v>
      </c>
      <c r="C5992" s="626" t="s">
        <v>8</v>
      </c>
      <c r="D5992" s="626" t="s">
        <v>11251</v>
      </c>
      <c r="E5992" s="628" t="s">
        <v>23</v>
      </c>
      <c r="F5992" s="816" t="s">
        <v>13681</v>
      </c>
      <c r="G5992" s="816"/>
      <c r="H5992" s="816">
        <v>0.39831440000000001</v>
      </c>
      <c r="I5992" s="816"/>
      <c r="J5992" s="817">
        <v>2.7900000000000001E-2</v>
      </c>
      <c r="K5992" s="817"/>
      <c r="L5992" s="817"/>
    </row>
    <row r="5993" spans="1:12" ht="24" customHeight="1">
      <c r="A5993" s="636"/>
      <c r="B5993" s="636"/>
      <c r="C5993" s="636"/>
      <c r="D5993" s="636"/>
      <c r="E5993" s="636"/>
      <c r="F5993" s="636"/>
      <c r="G5993" s="636"/>
      <c r="H5993" s="636"/>
      <c r="I5993" s="636"/>
      <c r="J5993" s="636" t="s">
        <v>13675</v>
      </c>
      <c r="K5993" s="636"/>
      <c r="L5993" s="636" t="s">
        <v>13726</v>
      </c>
    </row>
    <row r="5994" spans="1:12" ht="17.100000000000001" customHeight="1">
      <c r="A5994" s="802" t="s">
        <v>12712</v>
      </c>
      <c r="B5994" s="802"/>
      <c r="C5994" s="802"/>
      <c r="D5994" s="802"/>
      <c r="E5994" s="802"/>
      <c r="F5994" s="802"/>
      <c r="G5994" s="802"/>
      <c r="H5994" s="802"/>
      <c r="I5994" s="612"/>
      <c r="J5994" s="612"/>
      <c r="K5994" s="612"/>
      <c r="L5994" s="612"/>
    </row>
    <row r="5995" spans="1:12">
      <c r="A5995" s="612" t="s">
        <v>13679</v>
      </c>
      <c r="B5995" s="636" t="s">
        <v>12698</v>
      </c>
      <c r="C5995" s="612" t="s">
        <v>12699</v>
      </c>
      <c r="D5995" s="612" t="s">
        <v>12700</v>
      </c>
      <c r="E5995" s="637" t="s">
        <v>12702</v>
      </c>
      <c r="F5995" s="801" t="s">
        <v>12704</v>
      </c>
      <c r="G5995" s="801"/>
      <c r="H5995" s="801" t="s">
        <v>13678</v>
      </c>
      <c r="I5995" s="801"/>
      <c r="J5995" s="801" t="s">
        <v>12705</v>
      </c>
      <c r="K5995" s="801"/>
      <c r="L5995" s="801"/>
    </row>
    <row r="5996" spans="1:12" ht="17.100000000000001" customHeight="1">
      <c r="A5996" s="626" t="s">
        <v>12709</v>
      </c>
      <c r="B5996" s="627" t="s">
        <v>13002</v>
      </c>
      <c r="C5996" s="626" t="s">
        <v>8</v>
      </c>
      <c r="D5996" s="626" t="s">
        <v>9306</v>
      </c>
      <c r="E5996" s="628" t="s">
        <v>23</v>
      </c>
      <c r="F5996" s="816" t="s">
        <v>13677</v>
      </c>
      <c r="G5996" s="816"/>
      <c r="H5996" s="816">
        <v>0.39831440000000001</v>
      </c>
      <c r="I5996" s="816"/>
      <c r="J5996" s="817">
        <v>0.1394</v>
      </c>
      <c r="K5996" s="817"/>
      <c r="L5996" s="817"/>
    </row>
    <row r="5997" spans="1:12" ht="24" customHeight="1">
      <c r="A5997" s="626" t="s">
        <v>12709</v>
      </c>
      <c r="B5997" s="627" t="s">
        <v>13004</v>
      </c>
      <c r="C5997" s="626" t="s">
        <v>8</v>
      </c>
      <c r="D5997" s="626" t="s">
        <v>7388</v>
      </c>
      <c r="E5997" s="628" t="s">
        <v>23</v>
      </c>
      <c r="F5997" s="816" t="s">
        <v>13676</v>
      </c>
      <c r="G5997" s="816"/>
      <c r="H5997" s="816">
        <v>0.39831440000000001</v>
      </c>
      <c r="I5997" s="816"/>
      <c r="J5997" s="817">
        <v>0.87629999999999997</v>
      </c>
      <c r="K5997" s="817"/>
      <c r="L5997" s="817"/>
    </row>
    <row r="5998" spans="1:12" ht="17.100000000000001" customHeight="1">
      <c r="A5998" s="636"/>
      <c r="B5998" s="636"/>
      <c r="C5998" s="636"/>
      <c r="D5998" s="636"/>
      <c r="E5998" s="636"/>
      <c r="F5998" s="636"/>
      <c r="G5998" s="636"/>
      <c r="H5998" s="636"/>
      <c r="I5998" s="636"/>
      <c r="J5998" s="636" t="s">
        <v>13675</v>
      </c>
      <c r="K5998" s="636"/>
      <c r="L5998" s="636" t="s">
        <v>13690</v>
      </c>
    </row>
    <row r="5999" spans="1:12">
      <c r="A5999" s="612" t="s">
        <v>13673</v>
      </c>
      <c r="B5999" s="612"/>
      <c r="C5999" s="612"/>
      <c r="D5999" s="612"/>
      <c r="E5999" s="612"/>
      <c r="F5999" s="612"/>
      <c r="G5999" s="612"/>
      <c r="H5999" s="612"/>
      <c r="I5999" s="612"/>
      <c r="J5999" s="612"/>
      <c r="K5999" s="612"/>
      <c r="L5999" s="612"/>
    </row>
    <row r="6000" spans="1:12" ht="17.100000000000001" customHeight="1">
      <c r="A6000" s="636"/>
      <c r="B6000" s="636"/>
      <c r="C6000" s="636"/>
      <c r="D6000" s="636"/>
      <c r="E6000" s="636"/>
      <c r="F6000" s="636"/>
      <c r="G6000" s="636"/>
      <c r="H6000" s="636"/>
      <c r="I6000" s="636"/>
      <c r="J6000" s="636" t="s">
        <v>13672</v>
      </c>
      <c r="K6000" s="636"/>
      <c r="L6000" s="636" t="s">
        <v>15321</v>
      </c>
    </row>
    <row r="6001" spans="1:12" ht="24" customHeight="1">
      <c r="A6001" s="636"/>
      <c r="B6001" s="636"/>
      <c r="C6001" s="636"/>
      <c r="D6001" s="636"/>
      <c r="E6001" s="636"/>
      <c r="F6001" s="636"/>
      <c r="G6001" s="636"/>
      <c r="H6001" s="636"/>
      <c r="I6001" s="636"/>
      <c r="J6001" s="636" t="s">
        <v>13671</v>
      </c>
      <c r="K6001" s="636" t="s">
        <v>14461</v>
      </c>
      <c r="L6001" s="636" t="s">
        <v>15241</v>
      </c>
    </row>
    <row r="6002" spans="1:12" ht="24" customHeight="1">
      <c r="A6002" s="636"/>
      <c r="B6002" s="636"/>
      <c r="C6002" s="636"/>
      <c r="D6002" s="636"/>
      <c r="E6002" s="636"/>
      <c r="F6002" s="636"/>
      <c r="G6002" s="636"/>
      <c r="H6002" s="636"/>
      <c r="I6002" s="636"/>
      <c r="J6002" s="636" t="s">
        <v>13670</v>
      </c>
      <c r="K6002" s="636"/>
      <c r="L6002" s="636" t="s">
        <v>15246</v>
      </c>
    </row>
    <row r="6003" spans="1:12" ht="17.100000000000001" customHeight="1">
      <c r="A6003" s="636"/>
      <c r="B6003" s="636"/>
      <c r="C6003" s="636"/>
      <c r="D6003" s="636"/>
      <c r="E6003" s="636"/>
      <c r="F6003" s="636"/>
      <c r="G6003" s="636"/>
      <c r="H6003" s="636"/>
      <c r="I6003" s="636"/>
      <c r="J6003" s="636" t="s">
        <v>13669</v>
      </c>
      <c r="K6003" s="636" t="s">
        <v>13667</v>
      </c>
      <c r="L6003" s="636" t="s">
        <v>14918</v>
      </c>
    </row>
    <row r="6004" spans="1:12" ht="17.100000000000001" customHeight="1">
      <c r="A6004" s="636"/>
      <c r="B6004" s="636"/>
      <c r="C6004" s="636"/>
      <c r="D6004" s="636"/>
      <c r="E6004" s="636"/>
      <c r="F6004" s="636"/>
      <c r="G6004" s="636"/>
      <c r="H6004" s="636"/>
      <c r="I6004" s="636"/>
      <c r="J6004" s="636" t="s">
        <v>13668</v>
      </c>
      <c r="K6004" s="636"/>
      <c r="L6004" s="636" t="s">
        <v>15247</v>
      </c>
    </row>
    <row r="6005" spans="1:12" ht="17.100000000000001" customHeight="1">
      <c r="A6005" s="637"/>
      <c r="B6005" s="637"/>
      <c r="C6005" s="637"/>
      <c r="D6005" s="637"/>
      <c r="E6005" s="637"/>
      <c r="F6005" s="637"/>
      <c r="G6005" s="637"/>
      <c r="H6005" s="637"/>
      <c r="I6005" s="637"/>
      <c r="J6005" s="637"/>
      <c r="K6005" s="637"/>
      <c r="L6005" s="637"/>
    </row>
    <row r="6006" spans="1:12" ht="17.100000000000001" customHeight="1">
      <c r="A6006" s="616" t="s">
        <v>14045</v>
      </c>
      <c r="B6006" s="617" t="s">
        <v>13506</v>
      </c>
      <c r="C6006" s="616" t="s">
        <v>8</v>
      </c>
      <c r="D6006" s="616" t="s">
        <v>2133</v>
      </c>
      <c r="E6006" s="618" t="s">
        <v>35</v>
      </c>
      <c r="F6006" s="617"/>
      <c r="G6006" s="617"/>
      <c r="H6006" s="617"/>
      <c r="I6006" s="617"/>
      <c r="J6006" s="617"/>
      <c r="K6006" s="617"/>
      <c r="L6006" s="617"/>
    </row>
    <row r="6007" spans="1:12" ht="17.100000000000001" customHeight="1">
      <c r="A6007" s="802" t="s">
        <v>12711</v>
      </c>
      <c r="B6007" s="802"/>
      <c r="C6007" s="802"/>
      <c r="D6007" s="802"/>
      <c r="E6007" s="802"/>
      <c r="F6007" s="802"/>
      <c r="G6007" s="802"/>
      <c r="H6007" s="802"/>
      <c r="I6007" s="612"/>
      <c r="J6007" s="612"/>
      <c r="K6007" s="612"/>
      <c r="L6007" s="612"/>
    </row>
    <row r="6008" spans="1:12" ht="17.100000000000001" customHeight="1">
      <c r="A6008" s="612" t="s">
        <v>13679</v>
      </c>
      <c r="B6008" s="636" t="s">
        <v>12698</v>
      </c>
      <c r="C6008" s="612" t="s">
        <v>12699</v>
      </c>
      <c r="D6008" s="612" t="s">
        <v>12700</v>
      </c>
      <c r="E6008" s="637" t="s">
        <v>12702</v>
      </c>
      <c r="F6008" s="801" t="s">
        <v>12704</v>
      </c>
      <c r="G6008" s="801"/>
      <c r="H6008" s="801" t="s">
        <v>13678</v>
      </c>
      <c r="I6008" s="801"/>
      <c r="J6008" s="801" t="s">
        <v>12705</v>
      </c>
      <c r="K6008" s="801"/>
      <c r="L6008" s="801"/>
    </row>
    <row r="6009" spans="1:12" ht="17.100000000000001" customHeight="1">
      <c r="A6009" s="626" t="s">
        <v>12709</v>
      </c>
      <c r="B6009" s="627" t="s">
        <v>13201</v>
      </c>
      <c r="C6009" s="626" t="s">
        <v>8</v>
      </c>
      <c r="D6009" s="626" t="s">
        <v>9221</v>
      </c>
      <c r="E6009" s="628" t="s">
        <v>23</v>
      </c>
      <c r="F6009" s="816" t="s">
        <v>13705</v>
      </c>
      <c r="G6009" s="816"/>
      <c r="H6009" s="816">
        <v>0.52877580000000002</v>
      </c>
      <c r="I6009" s="816"/>
      <c r="J6009" s="817">
        <v>0.43890000000000001</v>
      </c>
      <c r="K6009" s="817"/>
      <c r="L6009" s="817"/>
    </row>
    <row r="6010" spans="1:12" ht="30" customHeight="1">
      <c r="A6010" s="626" t="s">
        <v>12709</v>
      </c>
      <c r="B6010" s="627" t="s">
        <v>13200</v>
      </c>
      <c r="C6010" s="626" t="s">
        <v>8</v>
      </c>
      <c r="D6010" s="626" t="s">
        <v>9368</v>
      </c>
      <c r="E6010" s="628" t="s">
        <v>23</v>
      </c>
      <c r="F6010" s="816" t="s">
        <v>13704</v>
      </c>
      <c r="G6010" s="816"/>
      <c r="H6010" s="816">
        <v>0.52877580000000002</v>
      </c>
      <c r="I6010" s="816"/>
      <c r="J6010" s="817">
        <v>0.12690000000000001</v>
      </c>
      <c r="K6010" s="817"/>
      <c r="L6010" s="817"/>
    </row>
    <row r="6011" spans="1:12" ht="36" customHeight="1">
      <c r="A6011" s="636"/>
      <c r="B6011" s="636"/>
      <c r="C6011" s="636"/>
      <c r="D6011" s="636"/>
      <c r="E6011" s="636"/>
      <c r="F6011" s="636"/>
      <c r="G6011" s="636"/>
      <c r="H6011" s="636"/>
      <c r="I6011" s="636"/>
      <c r="J6011" s="636" t="s">
        <v>13675</v>
      </c>
      <c r="K6011" s="636"/>
      <c r="L6011" s="636" t="s">
        <v>13849</v>
      </c>
    </row>
    <row r="6012" spans="1:12" ht="14.25" customHeight="1">
      <c r="A6012" s="802" t="s">
        <v>12710</v>
      </c>
      <c r="B6012" s="802"/>
      <c r="C6012" s="802"/>
      <c r="D6012" s="802"/>
      <c r="E6012" s="802"/>
      <c r="F6012" s="802"/>
      <c r="G6012" s="802"/>
      <c r="H6012" s="802"/>
      <c r="I6012" s="612"/>
      <c r="J6012" s="612"/>
      <c r="K6012" s="612"/>
      <c r="L6012" s="612"/>
    </row>
    <row r="6013" spans="1:12" ht="17.100000000000001" customHeight="1">
      <c r="A6013" s="612" t="s">
        <v>13679</v>
      </c>
      <c r="B6013" s="636" t="s">
        <v>12698</v>
      </c>
      <c r="C6013" s="612" t="s">
        <v>12699</v>
      </c>
      <c r="D6013" s="612" t="s">
        <v>12700</v>
      </c>
      <c r="E6013" s="637" t="s">
        <v>12702</v>
      </c>
      <c r="F6013" s="801" t="s">
        <v>12704</v>
      </c>
      <c r="G6013" s="801"/>
      <c r="H6013" s="801" t="s">
        <v>13678</v>
      </c>
      <c r="I6013" s="801"/>
      <c r="J6013" s="801" t="s">
        <v>12705</v>
      </c>
      <c r="K6013" s="801"/>
      <c r="L6013" s="801"/>
    </row>
    <row r="6014" spans="1:12" ht="24" customHeight="1">
      <c r="A6014" s="626" t="s">
        <v>12709</v>
      </c>
      <c r="B6014" s="627" t="s">
        <v>13220</v>
      </c>
      <c r="C6014" s="626" t="s">
        <v>8</v>
      </c>
      <c r="D6014" s="626" t="s">
        <v>7592</v>
      </c>
      <c r="E6014" s="628" t="s">
        <v>23</v>
      </c>
      <c r="F6014" s="816" t="s">
        <v>13890</v>
      </c>
      <c r="G6014" s="816"/>
      <c r="H6014" s="816">
        <v>0.2322314</v>
      </c>
      <c r="I6014" s="816"/>
      <c r="J6014" s="817">
        <v>1.1751</v>
      </c>
      <c r="K6014" s="817"/>
      <c r="L6014" s="817"/>
    </row>
    <row r="6015" spans="1:12" ht="24" customHeight="1">
      <c r="A6015" s="626" t="s">
        <v>12709</v>
      </c>
      <c r="B6015" s="627" t="s">
        <v>13202</v>
      </c>
      <c r="C6015" s="626" t="s">
        <v>8</v>
      </c>
      <c r="D6015" s="626" t="s">
        <v>9187</v>
      </c>
      <c r="E6015" s="628" t="s">
        <v>23</v>
      </c>
      <c r="F6015" s="816" t="s">
        <v>14479</v>
      </c>
      <c r="G6015" s="816"/>
      <c r="H6015" s="816">
        <v>0.30291059999999997</v>
      </c>
      <c r="I6015" s="816"/>
      <c r="J6015" s="817">
        <v>2.1657999999999999</v>
      </c>
      <c r="K6015" s="817"/>
      <c r="L6015" s="817"/>
    </row>
    <row r="6016" spans="1:12" ht="17.100000000000001" customHeight="1">
      <c r="A6016" s="636"/>
      <c r="B6016" s="636"/>
      <c r="C6016" s="636"/>
      <c r="D6016" s="636"/>
      <c r="E6016" s="636"/>
      <c r="F6016" s="636"/>
      <c r="G6016" s="636"/>
      <c r="H6016" s="636"/>
      <c r="I6016" s="636"/>
      <c r="J6016" s="636" t="s">
        <v>13675</v>
      </c>
      <c r="K6016" s="636"/>
      <c r="L6016" s="636" t="s">
        <v>14672</v>
      </c>
    </row>
    <row r="6017" spans="1:12" ht="14.25" customHeight="1">
      <c r="A6017" s="802" t="s">
        <v>12720</v>
      </c>
      <c r="B6017" s="802"/>
      <c r="C6017" s="802"/>
      <c r="D6017" s="802"/>
      <c r="E6017" s="802"/>
      <c r="F6017" s="802"/>
      <c r="G6017" s="802"/>
      <c r="H6017" s="802"/>
      <c r="I6017" s="612"/>
      <c r="J6017" s="612"/>
      <c r="K6017" s="612"/>
      <c r="L6017" s="612"/>
    </row>
    <row r="6018" spans="1:12" ht="17.100000000000001" customHeight="1">
      <c r="A6018" s="612" t="s">
        <v>13679</v>
      </c>
      <c r="B6018" s="636" t="s">
        <v>12698</v>
      </c>
      <c r="C6018" s="612" t="s">
        <v>12699</v>
      </c>
      <c r="D6018" s="612" t="s">
        <v>12700</v>
      </c>
      <c r="E6018" s="637" t="s">
        <v>12702</v>
      </c>
      <c r="F6018" s="801" t="s">
        <v>12704</v>
      </c>
      <c r="G6018" s="801"/>
      <c r="H6018" s="801" t="s">
        <v>13678</v>
      </c>
      <c r="I6018" s="801"/>
      <c r="J6018" s="801" t="s">
        <v>12705</v>
      </c>
      <c r="K6018" s="801"/>
      <c r="L6018" s="801"/>
    </row>
    <row r="6019" spans="1:12" ht="24" customHeight="1">
      <c r="A6019" s="626" t="s">
        <v>12709</v>
      </c>
      <c r="B6019" s="627" t="s">
        <v>13440</v>
      </c>
      <c r="C6019" s="626" t="s">
        <v>8</v>
      </c>
      <c r="D6019" s="626" t="s">
        <v>9427</v>
      </c>
      <c r="E6019" s="628" t="s">
        <v>35</v>
      </c>
      <c r="F6019" s="816" t="s">
        <v>14603</v>
      </c>
      <c r="G6019" s="816"/>
      <c r="H6019" s="816">
        <v>1.2999999999999999E-2</v>
      </c>
      <c r="I6019" s="816"/>
      <c r="J6019" s="817">
        <v>0.19</v>
      </c>
      <c r="K6019" s="817"/>
      <c r="L6019" s="817"/>
    </row>
    <row r="6020" spans="1:12" ht="24" customHeight="1">
      <c r="A6020" s="626" t="s">
        <v>12709</v>
      </c>
      <c r="B6020" s="627" t="s">
        <v>13505</v>
      </c>
      <c r="C6020" s="626" t="s">
        <v>8</v>
      </c>
      <c r="D6020" s="626" t="s">
        <v>11167</v>
      </c>
      <c r="E6020" s="628" t="s">
        <v>35</v>
      </c>
      <c r="F6020" s="816" t="s">
        <v>14671</v>
      </c>
      <c r="G6020" s="816"/>
      <c r="H6020" s="816">
        <v>1</v>
      </c>
      <c r="I6020" s="816"/>
      <c r="J6020" s="817">
        <v>46.21</v>
      </c>
      <c r="K6020" s="817"/>
      <c r="L6020" s="817"/>
    </row>
    <row r="6021" spans="1:12" ht="17.100000000000001" customHeight="1">
      <c r="A6021" s="636"/>
      <c r="B6021" s="636"/>
      <c r="C6021" s="636"/>
      <c r="D6021" s="636"/>
      <c r="E6021" s="636"/>
      <c r="F6021" s="636"/>
      <c r="G6021" s="636"/>
      <c r="H6021" s="636"/>
      <c r="I6021" s="636"/>
      <c r="J6021" s="636" t="s">
        <v>13675</v>
      </c>
      <c r="K6021" s="636"/>
      <c r="L6021" s="636" t="s">
        <v>14670</v>
      </c>
    </row>
    <row r="6022" spans="1:12">
      <c r="A6022" s="802" t="s">
        <v>12722</v>
      </c>
      <c r="B6022" s="802"/>
      <c r="C6022" s="802"/>
      <c r="D6022" s="802"/>
      <c r="E6022" s="802"/>
      <c r="F6022" s="802"/>
      <c r="G6022" s="802"/>
      <c r="H6022" s="802"/>
      <c r="I6022" s="612"/>
      <c r="J6022" s="612"/>
      <c r="K6022" s="612"/>
      <c r="L6022" s="612"/>
    </row>
    <row r="6023" spans="1:12" ht="17.100000000000001" customHeight="1">
      <c r="A6023" s="612" t="s">
        <v>13679</v>
      </c>
      <c r="B6023" s="636" t="s">
        <v>12698</v>
      </c>
      <c r="C6023" s="612" t="s">
        <v>12699</v>
      </c>
      <c r="D6023" s="612" t="s">
        <v>12700</v>
      </c>
      <c r="E6023" s="637" t="s">
        <v>12702</v>
      </c>
      <c r="F6023" s="801" t="s">
        <v>12704</v>
      </c>
      <c r="G6023" s="801"/>
      <c r="H6023" s="801" t="s">
        <v>13678</v>
      </c>
      <c r="I6023" s="801"/>
      <c r="J6023" s="801" t="s">
        <v>12705</v>
      </c>
      <c r="K6023" s="801"/>
      <c r="L6023" s="801"/>
    </row>
    <row r="6024" spans="1:12" ht="24" customHeight="1">
      <c r="A6024" s="626" t="s">
        <v>12709</v>
      </c>
      <c r="B6024" s="627" t="s">
        <v>12998</v>
      </c>
      <c r="C6024" s="626" t="s">
        <v>8</v>
      </c>
      <c r="D6024" s="626" t="s">
        <v>11861</v>
      </c>
      <c r="E6024" s="628" t="s">
        <v>23</v>
      </c>
      <c r="F6024" s="816" t="s">
        <v>13683</v>
      </c>
      <c r="G6024" s="816"/>
      <c r="H6024" s="816">
        <v>0.52877580000000002</v>
      </c>
      <c r="I6024" s="816"/>
      <c r="J6024" s="817">
        <v>0.37540000000000001</v>
      </c>
      <c r="K6024" s="817"/>
      <c r="L6024" s="817"/>
    </row>
    <row r="6025" spans="1:12" ht="24" customHeight="1">
      <c r="A6025" s="636"/>
      <c r="B6025" s="636"/>
      <c r="C6025" s="636"/>
      <c r="D6025" s="636"/>
      <c r="E6025" s="636"/>
      <c r="F6025" s="636"/>
      <c r="G6025" s="636"/>
      <c r="H6025" s="636"/>
      <c r="I6025" s="636"/>
      <c r="J6025" s="636" t="s">
        <v>13675</v>
      </c>
      <c r="K6025" s="636"/>
      <c r="L6025" s="636" t="s">
        <v>13689</v>
      </c>
    </row>
    <row r="6026" spans="1:12" ht="24" customHeight="1">
      <c r="A6026" s="802" t="s">
        <v>12713</v>
      </c>
      <c r="B6026" s="802"/>
      <c r="C6026" s="802"/>
      <c r="D6026" s="802"/>
      <c r="E6026" s="802"/>
      <c r="F6026" s="802"/>
      <c r="G6026" s="802"/>
      <c r="H6026" s="802"/>
      <c r="I6026" s="612"/>
      <c r="J6026" s="612"/>
      <c r="K6026" s="612"/>
      <c r="L6026" s="612"/>
    </row>
    <row r="6027" spans="1:12" ht="24" customHeight="1">
      <c r="A6027" s="612" t="s">
        <v>13679</v>
      </c>
      <c r="B6027" s="636" t="s">
        <v>12698</v>
      </c>
      <c r="C6027" s="612" t="s">
        <v>12699</v>
      </c>
      <c r="D6027" s="612" t="s">
        <v>12700</v>
      </c>
      <c r="E6027" s="637" t="s">
        <v>12702</v>
      </c>
      <c r="F6027" s="801" t="s">
        <v>12704</v>
      </c>
      <c r="G6027" s="801"/>
      <c r="H6027" s="801" t="s">
        <v>13678</v>
      </c>
      <c r="I6027" s="801"/>
      <c r="J6027" s="801" t="s">
        <v>12705</v>
      </c>
      <c r="K6027" s="801"/>
      <c r="L6027" s="801"/>
    </row>
    <row r="6028" spans="1:12" ht="17.100000000000001" customHeight="1">
      <c r="A6028" s="626" t="s">
        <v>12709</v>
      </c>
      <c r="B6028" s="627" t="s">
        <v>12999</v>
      </c>
      <c r="C6028" s="626" t="s">
        <v>8</v>
      </c>
      <c r="D6028" s="626" t="s">
        <v>11251</v>
      </c>
      <c r="E6028" s="628" t="s">
        <v>23</v>
      </c>
      <c r="F6028" s="816" t="s">
        <v>13681</v>
      </c>
      <c r="G6028" s="816"/>
      <c r="H6028" s="816">
        <v>0.52877580000000002</v>
      </c>
      <c r="I6028" s="816"/>
      <c r="J6028" s="817">
        <v>3.6999999999999998E-2</v>
      </c>
      <c r="K6028" s="817"/>
      <c r="L6028" s="817"/>
    </row>
    <row r="6029" spans="1:12">
      <c r="A6029" s="636"/>
      <c r="B6029" s="636"/>
      <c r="C6029" s="636"/>
      <c r="D6029" s="636"/>
      <c r="E6029" s="636"/>
      <c r="F6029" s="636"/>
      <c r="G6029" s="636"/>
      <c r="H6029" s="636"/>
      <c r="I6029" s="636"/>
      <c r="J6029" s="636" t="s">
        <v>13675</v>
      </c>
      <c r="K6029" s="636"/>
      <c r="L6029" s="636" t="s">
        <v>13716</v>
      </c>
    </row>
    <row r="6030" spans="1:12" ht="17.100000000000001" customHeight="1">
      <c r="A6030" s="802" t="s">
        <v>12712</v>
      </c>
      <c r="B6030" s="802"/>
      <c r="C6030" s="802"/>
      <c r="D6030" s="802"/>
      <c r="E6030" s="802"/>
      <c r="F6030" s="802"/>
      <c r="G6030" s="802"/>
      <c r="H6030" s="802"/>
      <c r="I6030" s="612"/>
      <c r="J6030" s="612"/>
      <c r="K6030" s="612"/>
      <c r="L6030" s="612"/>
    </row>
    <row r="6031" spans="1:12" ht="24" customHeight="1">
      <c r="A6031" s="612" t="s">
        <v>13679</v>
      </c>
      <c r="B6031" s="636" t="s">
        <v>12698</v>
      </c>
      <c r="C6031" s="612" t="s">
        <v>12699</v>
      </c>
      <c r="D6031" s="612" t="s">
        <v>12700</v>
      </c>
      <c r="E6031" s="637" t="s">
        <v>12702</v>
      </c>
      <c r="F6031" s="801" t="s">
        <v>12704</v>
      </c>
      <c r="G6031" s="801"/>
      <c r="H6031" s="801" t="s">
        <v>13678</v>
      </c>
      <c r="I6031" s="801"/>
      <c r="J6031" s="801" t="s">
        <v>12705</v>
      </c>
      <c r="K6031" s="801"/>
      <c r="L6031" s="801"/>
    </row>
    <row r="6032" spans="1:12" ht="17.100000000000001" customHeight="1">
      <c r="A6032" s="626" t="s">
        <v>12709</v>
      </c>
      <c r="B6032" s="627" t="s">
        <v>13002</v>
      </c>
      <c r="C6032" s="626" t="s">
        <v>8</v>
      </c>
      <c r="D6032" s="626" t="s">
        <v>9306</v>
      </c>
      <c r="E6032" s="628" t="s">
        <v>23</v>
      </c>
      <c r="F6032" s="816" t="s">
        <v>13677</v>
      </c>
      <c r="G6032" s="816"/>
      <c r="H6032" s="816">
        <v>0.52877580000000002</v>
      </c>
      <c r="I6032" s="816"/>
      <c r="J6032" s="817">
        <v>0.18509999999999999</v>
      </c>
      <c r="K6032" s="817"/>
      <c r="L6032" s="817"/>
    </row>
    <row r="6033" spans="1:12" ht="25.5">
      <c r="A6033" s="626" t="s">
        <v>12709</v>
      </c>
      <c r="B6033" s="627" t="s">
        <v>13004</v>
      </c>
      <c r="C6033" s="626" t="s">
        <v>8</v>
      </c>
      <c r="D6033" s="626" t="s">
        <v>7388</v>
      </c>
      <c r="E6033" s="628" t="s">
        <v>23</v>
      </c>
      <c r="F6033" s="816" t="s">
        <v>13676</v>
      </c>
      <c r="G6033" s="816"/>
      <c r="H6033" s="816">
        <v>0.52877580000000002</v>
      </c>
      <c r="I6033" s="816"/>
      <c r="J6033" s="817">
        <v>1.1633</v>
      </c>
      <c r="K6033" s="817"/>
      <c r="L6033" s="817"/>
    </row>
    <row r="6034" spans="1:12" ht="17.100000000000001" customHeight="1">
      <c r="A6034" s="636"/>
      <c r="B6034" s="636"/>
      <c r="C6034" s="636"/>
      <c r="D6034" s="636"/>
      <c r="E6034" s="636"/>
      <c r="F6034" s="636"/>
      <c r="G6034" s="636"/>
      <c r="H6034" s="636"/>
      <c r="I6034" s="636"/>
      <c r="J6034" s="636" t="s">
        <v>13675</v>
      </c>
      <c r="K6034" s="636"/>
      <c r="L6034" s="636" t="s">
        <v>13791</v>
      </c>
    </row>
    <row r="6035" spans="1:12" ht="24" customHeight="1">
      <c r="A6035" s="612" t="s">
        <v>13673</v>
      </c>
      <c r="B6035" s="612"/>
      <c r="C6035" s="612"/>
      <c r="D6035" s="612"/>
      <c r="E6035" s="612"/>
      <c r="F6035" s="612"/>
      <c r="G6035" s="612"/>
      <c r="H6035" s="612"/>
      <c r="I6035" s="612"/>
      <c r="J6035" s="612"/>
      <c r="K6035" s="612"/>
      <c r="L6035" s="612"/>
    </row>
    <row r="6036" spans="1:12" ht="17.100000000000001" customHeight="1">
      <c r="A6036" s="636"/>
      <c r="B6036" s="636"/>
      <c r="C6036" s="636"/>
      <c r="D6036" s="636"/>
      <c r="E6036" s="636"/>
      <c r="F6036" s="636"/>
      <c r="G6036" s="636"/>
      <c r="H6036" s="636"/>
      <c r="I6036" s="636"/>
      <c r="J6036" s="636" t="s">
        <v>13672</v>
      </c>
      <c r="K6036" s="636"/>
      <c r="L6036" s="636" t="s">
        <v>15322</v>
      </c>
    </row>
    <row r="6037" spans="1:12">
      <c r="A6037" s="636"/>
      <c r="B6037" s="636"/>
      <c r="C6037" s="636"/>
      <c r="D6037" s="636"/>
      <c r="E6037" s="636"/>
      <c r="F6037" s="636"/>
      <c r="G6037" s="636"/>
      <c r="H6037" s="636"/>
      <c r="I6037" s="636"/>
      <c r="J6037" s="636" t="s">
        <v>13671</v>
      </c>
      <c r="K6037" s="636" t="s">
        <v>14461</v>
      </c>
      <c r="L6037" s="636" t="s">
        <v>15323</v>
      </c>
    </row>
    <row r="6038" spans="1:12" ht="17.100000000000001" customHeight="1">
      <c r="A6038" s="636"/>
      <c r="B6038" s="636"/>
      <c r="C6038" s="636"/>
      <c r="D6038" s="636"/>
      <c r="E6038" s="636"/>
      <c r="F6038" s="636"/>
      <c r="G6038" s="636"/>
      <c r="H6038" s="636"/>
      <c r="I6038" s="636"/>
      <c r="J6038" s="636" t="s">
        <v>13670</v>
      </c>
      <c r="K6038" s="636"/>
      <c r="L6038" s="636" t="s">
        <v>15324</v>
      </c>
    </row>
    <row r="6039" spans="1:12" ht="24" customHeight="1">
      <c r="A6039" s="636"/>
      <c r="B6039" s="636"/>
      <c r="C6039" s="636"/>
      <c r="D6039" s="636"/>
      <c r="E6039" s="636"/>
      <c r="F6039" s="636"/>
      <c r="G6039" s="636"/>
      <c r="H6039" s="636"/>
      <c r="I6039" s="636"/>
      <c r="J6039" s="636" t="s">
        <v>13669</v>
      </c>
      <c r="K6039" s="636" t="s">
        <v>13667</v>
      </c>
      <c r="L6039" s="636" t="s">
        <v>15325</v>
      </c>
    </row>
    <row r="6040" spans="1:12" ht="24" customHeight="1">
      <c r="A6040" s="636"/>
      <c r="B6040" s="636"/>
      <c r="C6040" s="636"/>
      <c r="D6040" s="636"/>
      <c r="E6040" s="636"/>
      <c r="F6040" s="636"/>
      <c r="G6040" s="636"/>
      <c r="H6040" s="636"/>
      <c r="I6040" s="636"/>
      <c r="J6040" s="636" t="s">
        <v>13668</v>
      </c>
      <c r="K6040" s="636"/>
      <c r="L6040" s="636" t="s">
        <v>15326</v>
      </c>
    </row>
    <row r="6041" spans="1:12" ht="17.100000000000001" customHeight="1">
      <c r="A6041" s="637"/>
      <c r="B6041" s="637"/>
      <c r="C6041" s="637"/>
      <c r="D6041" s="637"/>
      <c r="E6041" s="637"/>
      <c r="F6041" s="637"/>
      <c r="G6041" s="637"/>
      <c r="H6041" s="637"/>
      <c r="I6041" s="637"/>
      <c r="J6041" s="637"/>
      <c r="K6041" s="637"/>
      <c r="L6041" s="637"/>
    </row>
    <row r="6042" spans="1:12" ht="17.100000000000001" customHeight="1">
      <c r="A6042" s="616" t="s">
        <v>14044</v>
      </c>
      <c r="B6042" s="617" t="s">
        <v>13538</v>
      </c>
      <c r="C6042" s="616" t="s">
        <v>8</v>
      </c>
      <c r="D6042" s="616" t="s">
        <v>1846</v>
      </c>
      <c r="E6042" s="618" t="s">
        <v>35</v>
      </c>
      <c r="F6042" s="617"/>
      <c r="G6042" s="617"/>
      <c r="H6042" s="617"/>
      <c r="I6042" s="617"/>
      <c r="J6042" s="617"/>
      <c r="K6042" s="617"/>
      <c r="L6042" s="617"/>
    </row>
    <row r="6043" spans="1:12" ht="17.100000000000001" customHeight="1">
      <c r="A6043" s="802" t="s">
        <v>12711</v>
      </c>
      <c r="B6043" s="802"/>
      <c r="C6043" s="802"/>
      <c r="D6043" s="802"/>
      <c r="E6043" s="802"/>
      <c r="F6043" s="802"/>
      <c r="G6043" s="802"/>
      <c r="H6043" s="802"/>
      <c r="I6043" s="612"/>
      <c r="J6043" s="612"/>
      <c r="K6043" s="612"/>
      <c r="L6043" s="612"/>
    </row>
    <row r="6044" spans="1:12" ht="17.100000000000001" customHeight="1">
      <c r="A6044" s="612" t="s">
        <v>13679</v>
      </c>
      <c r="B6044" s="636" t="s">
        <v>12698</v>
      </c>
      <c r="C6044" s="612" t="s">
        <v>12699</v>
      </c>
      <c r="D6044" s="612" t="s">
        <v>12700</v>
      </c>
      <c r="E6044" s="637" t="s">
        <v>12702</v>
      </c>
      <c r="F6044" s="801" t="s">
        <v>12704</v>
      </c>
      <c r="G6044" s="801"/>
      <c r="H6044" s="801" t="s">
        <v>13678</v>
      </c>
      <c r="I6044" s="801"/>
      <c r="J6044" s="801" t="s">
        <v>12705</v>
      </c>
      <c r="K6044" s="801"/>
      <c r="L6044" s="801"/>
    </row>
    <row r="6045" spans="1:12" ht="17.100000000000001" customHeight="1">
      <c r="A6045" s="626" t="s">
        <v>12709</v>
      </c>
      <c r="B6045" s="627" t="s">
        <v>13201</v>
      </c>
      <c r="C6045" s="626" t="s">
        <v>8</v>
      </c>
      <c r="D6045" s="626" t="s">
        <v>9221</v>
      </c>
      <c r="E6045" s="628" t="s">
        <v>23</v>
      </c>
      <c r="F6045" s="816" t="s">
        <v>13705</v>
      </c>
      <c r="G6045" s="816"/>
      <c r="H6045" s="816">
        <v>7.7478900000000003E-2</v>
      </c>
      <c r="I6045" s="816"/>
      <c r="J6045" s="817">
        <v>6.4299999999999996E-2</v>
      </c>
      <c r="K6045" s="817"/>
      <c r="L6045" s="817"/>
    </row>
    <row r="6046" spans="1:12" ht="17.100000000000001" customHeight="1">
      <c r="A6046" s="626" t="s">
        <v>12709</v>
      </c>
      <c r="B6046" s="627" t="s">
        <v>13200</v>
      </c>
      <c r="C6046" s="626" t="s">
        <v>8</v>
      </c>
      <c r="D6046" s="626" t="s">
        <v>9368</v>
      </c>
      <c r="E6046" s="628" t="s">
        <v>23</v>
      </c>
      <c r="F6046" s="816" t="s">
        <v>13704</v>
      </c>
      <c r="G6046" s="816"/>
      <c r="H6046" s="816">
        <v>7.7478900000000003E-2</v>
      </c>
      <c r="I6046" s="816"/>
      <c r="J6046" s="817">
        <v>1.8599999999999998E-2</v>
      </c>
      <c r="K6046" s="817"/>
      <c r="L6046" s="817"/>
    </row>
    <row r="6047" spans="1:12" ht="17.100000000000001" customHeight="1">
      <c r="A6047" s="636"/>
      <c r="B6047" s="636"/>
      <c r="C6047" s="636"/>
      <c r="D6047" s="636"/>
      <c r="E6047" s="636"/>
      <c r="F6047" s="636"/>
      <c r="G6047" s="636"/>
      <c r="H6047" s="636"/>
      <c r="I6047" s="636"/>
      <c r="J6047" s="636" t="s">
        <v>13675</v>
      </c>
      <c r="K6047" s="636"/>
      <c r="L6047" s="636" t="s">
        <v>13892</v>
      </c>
    </row>
    <row r="6048" spans="1:12" ht="30" customHeight="1">
      <c r="A6048" s="802" t="s">
        <v>12710</v>
      </c>
      <c r="B6048" s="802"/>
      <c r="C6048" s="802"/>
      <c r="D6048" s="802"/>
      <c r="E6048" s="802"/>
      <c r="F6048" s="802"/>
      <c r="G6048" s="802"/>
      <c r="H6048" s="802"/>
      <c r="I6048" s="612"/>
      <c r="J6048" s="612"/>
      <c r="K6048" s="612"/>
      <c r="L6048" s="612"/>
    </row>
    <row r="6049" spans="1:12" ht="48" customHeight="1">
      <c r="A6049" s="612" t="s">
        <v>13679</v>
      </c>
      <c r="B6049" s="636" t="s">
        <v>12698</v>
      </c>
      <c r="C6049" s="612" t="s">
        <v>12699</v>
      </c>
      <c r="D6049" s="612" t="s">
        <v>12700</v>
      </c>
      <c r="E6049" s="637" t="s">
        <v>12702</v>
      </c>
      <c r="F6049" s="801" t="s">
        <v>12704</v>
      </c>
      <c r="G6049" s="801"/>
      <c r="H6049" s="801" t="s">
        <v>13678</v>
      </c>
      <c r="I6049" s="801"/>
      <c r="J6049" s="801" t="s">
        <v>12705</v>
      </c>
      <c r="K6049" s="801"/>
      <c r="L6049" s="801"/>
    </row>
    <row r="6050" spans="1:12" ht="14.25" customHeight="1">
      <c r="A6050" s="626" t="s">
        <v>12709</v>
      </c>
      <c r="B6050" s="627" t="s">
        <v>13220</v>
      </c>
      <c r="C6050" s="626" t="s">
        <v>8</v>
      </c>
      <c r="D6050" s="626" t="s">
        <v>7592</v>
      </c>
      <c r="E6050" s="628" t="s">
        <v>23</v>
      </c>
      <c r="F6050" s="816" t="s">
        <v>13890</v>
      </c>
      <c r="G6050" s="816"/>
      <c r="H6050" s="816">
        <v>3.9847599999999997E-2</v>
      </c>
      <c r="I6050" s="816"/>
      <c r="J6050" s="817">
        <v>0.2016</v>
      </c>
      <c r="K6050" s="817"/>
      <c r="L6050" s="817"/>
    </row>
    <row r="6051" spans="1:12" ht="17.100000000000001" customHeight="1">
      <c r="A6051" s="626" t="s">
        <v>12709</v>
      </c>
      <c r="B6051" s="627" t="s">
        <v>13202</v>
      </c>
      <c r="C6051" s="626" t="s">
        <v>8</v>
      </c>
      <c r="D6051" s="626" t="s">
        <v>9187</v>
      </c>
      <c r="E6051" s="628" t="s">
        <v>23</v>
      </c>
      <c r="F6051" s="816" t="s">
        <v>14479</v>
      </c>
      <c r="G6051" s="816"/>
      <c r="H6051" s="816">
        <v>3.9847599999999997E-2</v>
      </c>
      <c r="I6051" s="816"/>
      <c r="J6051" s="817">
        <v>0.28489999999999999</v>
      </c>
      <c r="K6051" s="817"/>
      <c r="L6051" s="817"/>
    </row>
    <row r="6052" spans="1:12" ht="24" customHeight="1">
      <c r="A6052" s="636"/>
      <c r="B6052" s="636"/>
      <c r="C6052" s="636"/>
      <c r="D6052" s="636"/>
      <c r="E6052" s="636"/>
      <c r="F6052" s="636"/>
      <c r="G6052" s="636"/>
      <c r="H6052" s="636"/>
      <c r="I6052" s="636"/>
      <c r="J6052" s="636" t="s">
        <v>13675</v>
      </c>
      <c r="K6052" s="636"/>
      <c r="L6052" s="636" t="s">
        <v>13700</v>
      </c>
    </row>
    <row r="6053" spans="1:12" ht="24" customHeight="1">
      <c r="A6053" s="802" t="s">
        <v>12720</v>
      </c>
      <c r="B6053" s="802"/>
      <c r="C6053" s="802"/>
      <c r="D6053" s="802"/>
      <c r="E6053" s="802"/>
      <c r="F6053" s="802"/>
      <c r="G6053" s="802"/>
      <c r="H6053" s="802"/>
      <c r="I6053" s="612"/>
      <c r="J6053" s="612"/>
      <c r="K6053" s="612"/>
      <c r="L6053" s="612"/>
    </row>
    <row r="6054" spans="1:12" ht="17.100000000000001" customHeight="1">
      <c r="A6054" s="612" t="s">
        <v>13679</v>
      </c>
      <c r="B6054" s="636" t="s">
        <v>12698</v>
      </c>
      <c r="C6054" s="612" t="s">
        <v>12699</v>
      </c>
      <c r="D6054" s="612" t="s">
        <v>12700</v>
      </c>
      <c r="E6054" s="637" t="s">
        <v>12702</v>
      </c>
      <c r="F6054" s="801" t="s">
        <v>12704</v>
      </c>
      <c r="G6054" s="801"/>
      <c r="H6054" s="801" t="s">
        <v>13678</v>
      </c>
      <c r="I6054" s="801"/>
      <c r="J6054" s="801" t="s">
        <v>12705</v>
      </c>
      <c r="K6054" s="801"/>
      <c r="L6054" s="801"/>
    </row>
    <row r="6055" spans="1:12" ht="14.25" customHeight="1">
      <c r="A6055" s="626" t="s">
        <v>12709</v>
      </c>
      <c r="B6055" s="627" t="s">
        <v>13467</v>
      </c>
      <c r="C6055" s="626" t="s">
        <v>8</v>
      </c>
      <c r="D6055" s="626" t="s">
        <v>9987</v>
      </c>
      <c r="E6055" s="628" t="s">
        <v>35</v>
      </c>
      <c r="F6055" s="816" t="s">
        <v>13998</v>
      </c>
      <c r="G6055" s="816"/>
      <c r="H6055" s="816">
        <v>1.2999999999999999E-2</v>
      </c>
      <c r="I6055" s="816"/>
      <c r="J6055" s="817">
        <v>0.02</v>
      </c>
      <c r="K6055" s="817"/>
      <c r="L6055" s="817"/>
    </row>
    <row r="6056" spans="1:12" ht="17.100000000000001" customHeight="1">
      <c r="A6056" s="626" t="s">
        <v>12709</v>
      </c>
      <c r="B6056" s="627" t="s">
        <v>13466</v>
      </c>
      <c r="C6056" s="626" t="s">
        <v>8</v>
      </c>
      <c r="D6056" s="626" t="s">
        <v>11315</v>
      </c>
      <c r="E6056" s="628" t="s">
        <v>35</v>
      </c>
      <c r="F6056" s="816" t="s">
        <v>14636</v>
      </c>
      <c r="G6056" s="816"/>
      <c r="H6056" s="816">
        <v>8.0000000000000002E-3</v>
      </c>
      <c r="I6056" s="816"/>
      <c r="J6056" s="817">
        <v>0.55000000000000004</v>
      </c>
      <c r="K6056" s="817"/>
      <c r="L6056" s="817"/>
    </row>
    <row r="6057" spans="1:12" ht="24" customHeight="1">
      <c r="A6057" s="626" t="s">
        <v>12709</v>
      </c>
      <c r="B6057" s="627" t="s">
        <v>13537</v>
      </c>
      <c r="C6057" s="626" t="s">
        <v>8</v>
      </c>
      <c r="D6057" s="626" t="s">
        <v>7287</v>
      </c>
      <c r="E6057" s="628" t="s">
        <v>35</v>
      </c>
      <c r="F6057" s="816" t="s">
        <v>13735</v>
      </c>
      <c r="G6057" s="816"/>
      <c r="H6057" s="816">
        <v>1</v>
      </c>
      <c r="I6057" s="816"/>
      <c r="J6057" s="817">
        <v>0.67</v>
      </c>
      <c r="K6057" s="817"/>
      <c r="L6057" s="817"/>
    </row>
    <row r="6058" spans="1:12" ht="24" customHeight="1">
      <c r="A6058" s="626" t="s">
        <v>12709</v>
      </c>
      <c r="B6058" s="627" t="s">
        <v>13468</v>
      </c>
      <c r="C6058" s="626" t="s">
        <v>8</v>
      </c>
      <c r="D6058" s="626" t="s">
        <v>7343</v>
      </c>
      <c r="E6058" s="628" t="s">
        <v>35</v>
      </c>
      <c r="F6058" s="816" t="s">
        <v>14635</v>
      </c>
      <c r="G6058" s="816"/>
      <c r="H6058" s="816">
        <v>7.0000000000000001E-3</v>
      </c>
      <c r="I6058" s="816"/>
      <c r="J6058" s="817">
        <v>0.55000000000000004</v>
      </c>
      <c r="K6058" s="817"/>
      <c r="L6058" s="817"/>
    </row>
    <row r="6059" spans="1:12" ht="17.100000000000001" customHeight="1">
      <c r="A6059" s="636"/>
      <c r="B6059" s="636"/>
      <c r="C6059" s="636"/>
      <c r="D6059" s="636"/>
      <c r="E6059" s="636"/>
      <c r="F6059" s="636"/>
      <c r="G6059" s="636"/>
      <c r="H6059" s="636"/>
      <c r="I6059" s="636"/>
      <c r="J6059" s="636" t="s">
        <v>13675</v>
      </c>
      <c r="K6059" s="636"/>
      <c r="L6059" s="636" t="s">
        <v>14560</v>
      </c>
    </row>
    <row r="6060" spans="1:12">
      <c r="A6060" s="802" t="s">
        <v>12722</v>
      </c>
      <c r="B6060" s="802"/>
      <c r="C6060" s="802"/>
      <c r="D6060" s="802"/>
      <c r="E6060" s="802"/>
      <c r="F6060" s="802"/>
      <c r="G6060" s="802"/>
      <c r="H6060" s="802"/>
      <c r="I6060" s="612"/>
      <c r="J6060" s="612"/>
      <c r="K6060" s="612"/>
      <c r="L6060" s="612"/>
    </row>
    <row r="6061" spans="1:12" ht="17.100000000000001" customHeight="1">
      <c r="A6061" s="612" t="s">
        <v>13679</v>
      </c>
      <c r="B6061" s="636" t="s">
        <v>12698</v>
      </c>
      <c r="C6061" s="612" t="s">
        <v>12699</v>
      </c>
      <c r="D6061" s="612" t="s">
        <v>12700</v>
      </c>
      <c r="E6061" s="637" t="s">
        <v>12702</v>
      </c>
      <c r="F6061" s="801" t="s">
        <v>12704</v>
      </c>
      <c r="G6061" s="801"/>
      <c r="H6061" s="801" t="s">
        <v>13678</v>
      </c>
      <c r="I6061" s="801"/>
      <c r="J6061" s="801" t="s">
        <v>12705</v>
      </c>
      <c r="K6061" s="801"/>
      <c r="L6061" s="801"/>
    </row>
    <row r="6062" spans="1:12" ht="24" customHeight="1">
      <c r="A6062" s="626" t="s">
        <v>12709</v>
      </c>
      <c r="B6062" s="627" t="s">
        <v>12998</v>
      </c>
      <c r="C6062" s="626" t="s">
        <v>8</v>
      </c>
      <c r="D6062" s="626" t="s">
        <v>11861</v>
      </c>
      <c r="E6062" s="628" t="s">
        <v>23</v>
      </c>
      <c r="F6062" s="816" t="s">
        <v>13683</v>
      </c>
      <c r="G6062" s="816"/>
      <c r="H6062" s="816">
        <v>7.7478900000000003E-2</v>
      </c>
      <c r="I6062" s="816"/>
      <c r="J6062" s="817">
        <v>5.5E-2</v>
      </c>
      <c r="K6062" s="817"/>
      <c r="L6062" s="817"/>
    </row>
    <row r="6063" spans="1:12" ht="24" customHeight="1">
      <c r="A6063" s="636"/>
      <c r="B6063" s="636"/>
      <c r="C6063" s="636"/>
      <c r="D6063" s="636"/>
      <c r="E6063" s="636"/>
      <c r="F6063" s="636"/>
      <c r="G6063" s="636"/>
      <c r="H6063" s="636"/>
      <c r="I6063" s="636"/>
      <c r="J6063" s="636" t="s">
        <v>13675</v>
      </c>
      <c r="K6063" s="636"/>
      <c r="L6063" s="636" t="s">
        <v>13708</v>
      </c>
    </row>
    <row r="6064" spans="1:12" ht="24" customHeight="1">
      <c r="A6064" s="802" t="s">
        <v>12713</v>
      </c>
      <c r="B6064" s="802"/>
      <c r="C6064" s="802"/>
      <c r="D6064" s="802"/>
      <c r="E6064" s="802"/>
      <c r="F6064" s="802"/>
      <c r="G6064" s="802"/>
      <c r="H6064" s="802"/>
      <c r="I6064" s="612"/>
      <c r="J6064" s="612"/>
      <c r="K6064" s="612"/>
      <c r="L6064" s="612"/>
    </row>
    <row r="6065" spans="1:12" ht="24" customHeight="1">
      <c r="A6065" s="612" t="s">
        <v>13679</v>
      </c>
      <c r="B6065" s="636" t="s">
        <v>12698</v>
      </c>
      <c r="C6065" s="612" t="s">
        <v>12699</v>
      </c>
      <c r="D6065" s="612" t="s">
        <v>12700</v>
      </c>
      <c r="E6065" s="637" t="s">
        <v>12702</v>
      </c>
      <c r="F6065" s="801" t="s">
        <v>12704</v>
      </c>
      <c r="G6065" s="801"/>
      <c r="H6065" s="801" t="s">
        <v>13678</v>
      </c>
      <c r="I6065" s="801"/>
      <c r="J6065" s="801" t="s">
        <v>12705</v>
      </c>
      <c r="K6065" s="801"/>
      <c r="L6065" s="801"/>
    </row>
    <row r="6066" spans="1:12" ht="17.100000000000001" customHeight="1">
      <c r="A6066" s="626" t="s">
        <v>12709</v>
      </c>
      <c r="B6066" s="627" t="s">
        <v>12999</v>
      </c>
      <c r="C6066" s="626" t="s">
        <v>8</v>
      </c>
      <c r="D6066" s="626" t="s">
        <v>11251</v>
      </c>
      <c r="E6066" s="628" t="s">
        <v>23</v>
      </c>
      <c r="F6066" s="816" t="s">
        <v>13681</v>
      </c>
      <c r="G6066" s="816"/>
      <c r="H6066" s="816">
        <v>7.7478900000000003E-2</v>
      </c>
      <c r="I6066" s="816"/>
      <c r="J6066" s="817">
        <v>5.4000000000000003E-3</v>
      </c>
      <c r="K6066" s="817"/>
      <c r="L6066" s="817"/>
    </row>
    <row r="6067" spans="1:12">
      <c r="A6067" s="636"/>
      <c r="B6067" s="636"/>
      <c r="C6067" s="636"/>
      <c r="D6067" s="636"/>
      <c r="E6067" s="636"/>
      <c r="F6067" s="636"/>
      <c r="G6067" s="636"/>
      <c r="H6067" s="636"/>
      <c r="I6067" s="636"/>
      <c r="J6067" s="636" t="s">
        <v>13675</v>
      </c>
      <c r="K6067" s="636"/>
      <c r="L6067" s="636" t="s">
        <v>13728</v>
      </c>
    </row>
    <row r="6068" spans="1:12" ht="17.100000000000001" customHeight="1">
      <c r="A6068" s="802" t="s">
        <v>12712</v>
      </c>
      <c r="B6068" s="802"/>
      <c r="C6068" s="802"/>
      <c r="D6068" s="802"/>
      <c r="E6068" s="802"/>
      <c r="F6068" s="802"/>
      <c r="G6068" s="802"/>
      <c r="H6068" s="802"/>
      <c r="I6068" s="612"/>
      <c r="J6068" s="612"/>
      <c r="K6068" s="612"/>
      <c r="L6068" s="612"/>
    </row>
    <row r="6069" spans="1:12" ht="24" customHeight="1">
      <c r="A6069" s="612" t="s">
        <v>13679</v>
      </c>
      <c r="B6069" s="636" t="s">
        <v>12698</v>
      </c>
      <c r="C6069" s="612" t="s">
        <v>12699</v>
      </c>
      <c r="D6069" s="612" t="s">
        <v>12700</v>
      </c>
      <c r="E6069" s="637" t="s">
        <v>12702</v>
      </c>
      <c r="F6069" s="801" t="s">
        <v>12704</v>
      </c>
      <c r="G6069" s="801"/>
      <c r="H6069" s="801" t="s">
        <v>13678</v>
      </c>
      <c r="I6069" s="801"/>
      <c r="J6069" s="801" t="s">
        <v>12705</v>
      </c>
      <c r="K6069" s="801"/>
      <c r="L6069" s="801"/>
    </row>
    <row r="6070" spans="1:12" ht="17.100000000000001" customHeight="1">
      <c r="A6070" s="626" t="s">
        <v>12709</v>
      </c>
      <c r="B6070" s="627" t="s">
        <v>13002</v>
      </c>
      <c r="C6070" s="626" t="s">
        <v>8</v>
      </c>
      <c r="D6070" s="626" t="s">
        <v>9306</v>
      </c>
      <c r="E6070" s="628" t="s">
        <v>23</v>
      </c>
      <c r="F6070" s="816" t="s">
        <v>13677</v>
      </c>
      <c r="G6070" s="816"/>
      <c r="H6070" s="816">
        <v>7.7478900000000003E-2</v>
      </c>
      <c r="I6070" s="816"/>
      <c r="J6070" s="817">
        <v>2.7099999999999999E-2</v>
      </c>
      <c r="K6070" s="817"/>
      <c r="L6070" s="817"/>
    </row>
    <row r="6071" spans="1:12" ht="25.5">
      <c r="A6071" s="626" t="s">
        <v>12709</v>
      </c>
      <c r="B6071" s="627" t="s">
        <v>13004</v>
      </c>
      <c r="C6071" s="626" t="s">
        <v>8</v>
      </c>
      <c r="D6071" s="626" t="s">
        <v>7388</v>
      </c>
      <c r="E6071" s="628" t="s">
        <v>23</v>
      </c>
      <c r="F6071" s="816" t="s">
        <v>13676</v>
      </c>
      <c r="G6071" s="816"/>
      <c r="H6071" s="816">
        <v>7.7478900000000003E-2</v>
      </c>
      <c r="I6071" s="816"/>
      <c r="J6071" s="817">
        <v>0.17050000000000001</v>
      </c>
      <c r="K6071" s="817"/>
      <c r="L6071" s="817"/>
    </row>
    <row r="6072" spans="1:12" ht="17.100000000000001" customHeight="1">
      <c r="A6072" s="636"/>
      <c r="B6072" s="636"/>
      <c r="C6072" s="636"/>
      <c r="D6072" s="636"/>
      <c r="E6072" s="636"/>
      <c r="F6072" s="636"/>
      <c r="G6072" s="636"/>
      <c r="H6072" s="636"/>
      <c r="I6072" s="636"/>
      <c r="J6072" s="636" t="s">
        <v>13675</v>
      </c>
      <c r="K6072" s="636"/>
      <c r="L6072" s="636" t="s">
        <v>13855</v>
      </c>
    </row>
    <row r="6073" spans="1:12" ht="24" customHeight="1">
      <c r="A6073" s="612" t="s">
        <v>13673</v>
      </c>
      <c r="B6073" s="612"/>
      <c r="C6073" s="612"/>
      <c r="D6073" s="612"/>
      <c r="E6073" s="612"/>
      <c r="F6073" s="612"/>
      <c r="G6073" s="612"/>
      <c r="H6073" s="612"/>
      <c r="I6073" s="612"/>
      <c r="J6073" s="612"/>
      <c r="K6073" s="612"/>
      <c r="L6073" s="612"/>
    </row>
    <row r="6074" spans="1:12" ht="17.100000000000001" customHeight="1">
      <c r="A6074" s="636"/>
      <c r="B6074" s="636"/>
      <c r="C6074" s="636"/>
      <c r="D6074" s="636"/>
      <c r="E6074" s="636"/>
      <c r="F6074" s="636"/>
      <c r="G6074" s="636"/>
      <c r="H6074" s="636"/>
      <c r="I6074" s="636"/>
      <c r="J6074" s="636" t="s">
        <v>13672</v>
      </c>
      <c r="K6074" s="636"/>
      <c r="L6074" s="636" t="s">
        <v>15253</v>
      </c>
    </row>
    <row r="6075" spans="1:12">
      <c r="A6075" s="636"/>
      <c r="B6075" s="636"/>
      <c r="C6075" s="636"/>
      <c r="D6075" s="636"/>
      <c r="E6075" s="636"/>
      <c r="F6075" s="636"/>
      <c r="G6075" s="636"/>
      <c r="H6075" s="636"/>
      <c r="I6075" s="636"/>
      <c r="J6075" s="636" t="s">
        <v>13671</v>
      </c>
      <c r="K6075" s="636" t="s">
        <v>14461</v>
      </c>
      <c r="L6075" s="636" t="s">
        <v>14908</v>
      </c>
    </row>
    <row r="6076" spans="1:12" ht="17.100000000000001" customHeight="1">
      <c r="A6076" s="636"/>
      <c r="B6076" s="636"/>
      <c r="C6076" s="636"/>
      <c r="D6076" s="636"/>
      <c r="E6076" s="636"/>
      <c r="F6076" s="636"/>
      <c r="G6076" s="636"/>
      <c r="H6076" s="636"/>
      <c r="I6076" s="636"/>
      <c r="J6076" s="636" t="s">
        <v>13670</v>
      </c>
      <c r="K6076" s="636"/>
      <c r="L6076" s="636" t="s">
        <v>15254</v>
      </c>
    </row>
    <row r="6077" spans="1:12" ht="24" customHeight="1">
      <c r="A6077" s="636"/>
      <c r="B6077" s="636"/>
      <c r="C6077" s="636"/>
      <c r="D6077" s="636"/>
      <c r="E6077" s="636"/>
      <c r="F6077" s="636"/>
      <c r="G6077" s="636"/>
      <c r="H6077" s="636"/>
      <c r="I6077" s="636"/>
      <c r="J6077" s="636" t="s">
        <v>13669</v>
      </c>
      <c r="K6077" s="636" t="s">
        <v>13667</v>
      </c>
      <c r="L6077" s="636" t="s">
        <v>15255</v>
      </c>
    </row>
    <row r="6078" spans="1:12" ht="24" customHeight="1">
      <c r="A6078" s="636"/>
      <c r="B6078" s="636"/>
      <c r="C6078" s="636"/>
      <c r="D6078" s="636"/>
      <c r="E6078" s="636"/>
      <c r="F6078" s="636"/>
      <c r="G6078" s="636"/>
      <c r="H6078" s="636"/>
      <c r="I6078" s="636"/>
      <c r="J6078" s="636" t="s">
        <v>13668</v>
      </c>
      <c r="K6078" s="636"/>
      <c r="L6078" s="636" t="s">
        <v>15256</v>
      </c>
    </row>
    <row r="6079" spans="1:12" ht="17.100000000000001" customHeight="1">
      <c r="A6079" s="637"/>
      <c r="B6079" s="637"/>
      <c r="C6079" s="637"/>
      <c r="D6079" s="637"/>
      <c r="E6079" s="637"/>
      <c r="F6079" s="637"/>
      <c r="G6079" s="637"/>
      <c r="H6079" s="637"/>
      <c r="I6079" s="637"/>
      <c r="J6079" s="637"/>
      <c r="K6079" s="637"/>
      <c r="L6079" s="637"/>
    </row>
    <row r="6080" spans="1:12" ht="17.100000000000001" customHeight="1">
      <c r="A6080" s="616" t="s">
        <v>14042</v>
      </c>
      <c r="B6080" s="617" t="s">
        <v>13504</v>
      </c>
      <c r="C6080" s="616" t="s">
        <v>8</v>
      </c>
      <c r="D6080" s="616" t="s">
        <v>1866</v>
      </c>
      <c r="E6080" s="618" t="s">
        <v>35</v>
      </c>
      <c r="F6080" s="617"/>
      <c r="G6080" s="617"/>
      <c r="H6080" s="617"/>
      <c r="I6080" s="617"/>
      <c r="J6080" s="617"/>
      <c r="K6080" s="617"/>
      <c r="L6080" s="617"/>
    </row>
    <row r="6081" spans="1:12" ht="17.100000000000001" customHeight="1">
      <c r="A6081" s="802" t="s">
        <v>12711</v>
      </c>
      <c r="B6081" s="802"/>
      <c r="C6081" s="802"/>
      <c r="D6081" s="802"/>
      <c r="E6081" s="802"/>
      <c r="F6081" s="802"/>
      <c r="G6081" s="802"/>
      <c r="H6081" s="802"/>
      <c r="I6081" s="612"/>
      <c r="J6081" s="612"/>
      <c r="K6081" s="612"/>
      <c r="L6081" s="612"/>
    </row>
    <row r="6082" spans="1:12" ht="17.100000000000001" customHeight="1">
      <c r="A6082" s="612" t="s">
        <v>13679</v>
      </c>
      <c r="B6082" s="636" t="s">
        <v>12698</v>
      </c>
      <c r="C6082" s="612" t="s">
        <v>12699</v>
      </c>
      <c r="D6082" s="612" t="s">
        <v>12700</v>
      </c>
      <c r="E6082" s="637" t="s">
        <v>12702</v>
      </c>
      <c r="F6082" s="801" t="s">
        <v>12704</v>
      </c>
      <c r="G6082" s="801"/>
      <c r="H6082" s="801" t="s">
        <v>13678</v>
      </c>
      <c r="I6082" s="801"/>
      <c r="J6082" s="801" t="s">
        <v>12705</v>
      </c>
      <c r="K6082" s="801"/>
      <c r="L6082" s="801"/>
    </row>
    <row r="6083" spans="1:12" ht="17.100000000000001" customHeight="1">
      <c r="A6083" s="626" t="s">
        <v>12709</v>
      </c>
      <c r="B6083" s="627" t="s">
        <v>13201</v>
      </c>
      <c r="C6083" s="626" t="s">
        <v>8</v>
      </c>
      <c r="D6083" s="626" t="s">
        <v>9221</v>
      </c>
      <c r="E6083" s="628" t="s">
        <v>23</v>
      </c>
      <c r="F6083" s="816" t="s">
        <v>13705</v>
      </c>
      <c r="G6083" s="816"/>
      <c r="H6083" s="816">
        <v>0.1144028</v>
      </c>
      <c r="I6083" s="816"/>
      <c r="J6083" s="817">
        <v>9.5000000000000001E-2</v>
      </c>
      <c r="K6083" s="817"/>
      <c r="L6083" s="817"/>
    </row>
    <row r="6084" spans="1:12" ht="17.100000000000001" customHeight="1">
      <c r="A6084" s="626" t="s">
        <v>12709</v>
      </c>
      <c r="B6084" s="627" t="s">
        <v>13200</v>
      </c>
      <c r="C6084" s="626" t="s">
        <v>8</v>
      </c>
      <c r="D6084" s="626" t="s">
        <v>9368</v>
      </c>
      <c r="E6084" s="628" t="s">
        <v>23</v>
      </c>
      <c r="F6084" s="816" t="s">
        <v>13704</v>
      </c>
      <c r="G6084" s="816"/>
      <c r="H6084" s="816">
        <v>0.1144028</v>
      </c>
      <c r="I6084" s="816"/>
      <c r="J6084" s="817">
        <v>2.75E-2</v>
      </c>
      <c r="K6084" s="817"/>
      <c r="L6084" s="817"/>
    </row>
    <row r="6085" spans="1:12" ht="17.100000000000001" customHeight="1">
      <c r="A6085" s="636"/>
      <c r="B6085" s="636"/>
      <c r="C6085" s="636"/>
      <c r="D6085" s="636"/>
      <c r="E6085" s="636"/>
      <c r="F6085" s="636"/>
      <c r="G6085" s="636"/>
      <c r="H6085" s="636"/>
      <c r="I6085" s="636"/>
      <c r="J6085" s="636" t="s">
        <v>13675</v>
      </c>
      <c r="K6085" s="636"/>
      <c r="L6085" s="636" t="s">
        <v>13751</v>
      </c>
    </row>
    <row r="6086" spans="1:12" ht="30" customHeight="1">
      <c r="A6086" s="802" t="s">
        <v>12710</v>
      </c>
      <c r="B6086" s="802"/>
      <c r="C6086" s="802"/>
      <c r="D6086" s="802"/>
      <c r="E6086" s="802"/>
      <c r="F6086" s="802"/>
      <c r="G6086" s="802"/>
      <c r="H6086" s="802"/>
      <c r="I6086" s="612"/>
      <c r="J6086" s="612"/>
      <c r="K6086" s="612"/>
      <c r="L6086" s="612"/>
    </row>
    <row r="6087" spans="1:12" ht="36" customHeight="1">
      <c r="A6087" s="612" t="s">
        <v>13679</v>
      </c>
      <c r="B6087" s="636" t="s">
        <v>12698</v>
      </c>
      <c r="C6087" s="612" t="s">
        <v>12699</v>
      </c>
      <c r="D6087" s="612" t="s">
        <v>12700</v>
      </c>
      <c r="E6087" s="637" t="s">
        <v>12702</v>
      </c>
      <c r="F6087" s="801" t="s">
        <v>12704</v>
      </c>
      <c r="G6087" s="801"/>
      <c r="H6087" s="801" t="s">
        <v>13678</v>
      </c>
      <c r="I6087" s="801"/>
      <c r="J6087" s="801" t="s">
        <v>12705</v>
      </c>
      <c r="K6087" s="801"/>
      <c r="L6087" s="801"/>
    </row>
    <row r="6088" spans="1:12" ht="14.25" customHeight="1">
      <c r="A6088" s="626" t="s">
        <v>12709</v>
      </c>
      <c r="B6088" s="627" t="s">
        <v>13220</v>
      </c>
      <c r="C6088" s="626" t="s">
        <v>8</v>
      </c>
      <c r="D6088" s="626" t="s">
        <v>7592</v>
      </c>
      <c r="E6088" s="628" t="s">
        <v>23</v>
      </c>
      <c r="F6088" s="816" t="s">
        <v>13890</v>
      </c>
      <c r="G6088" s="816"/>
      <c r="H6088" s="816">
        <v>5.9328600000000002E-2</v>
      </c>
      <c r="I6088" s="816"/>
      <c r="J6088" s="817">
        <v>0.30020000000000002</v>
      </c>
      <c r="K6088" s="817"/>
      <c r="L6088" s="817"/>
    </row>
    <row r="6089" spans="1:12" ht="17.100000000000001" customHeight="1">
      <c r="A6089" s="626" t="s">
        <v>12709</v>
      </c>
      <c r="B6089" s="627" t="s">
        <v>13202</v>
      </c>
      <c r="C6089" s="626" t="s">
        <v>8</v>
      </c>
      <c r="D6089" s="626" t="s">
        <v>9187</v>
      </c>
      <c r="E6089" s="628" t="s">
        <v>23</v>
      </c>
      <c r="F6089" s="816" t="s">
        <v>14479</v>
      </c>
      <c r="G6089" s="816"/>
      <c r="H6089" s="816">
        <v>5.9328600000000002E-2</v>
      </c>
      <c r="I6089" s="816"/>
      <c r="J6089" s="817">
        <v>0.42420000000000002</v>
      </c>
      <c r="K6089" s="817"/>
      <c r="L6089" s="817"/>
    </row>
    <row r="6090" spans="1:12" ht="24" customHeight="1">
      <c r="A6090" s="636"/>
      <c r="B6090" s="636"/>
      <c r="C6090" s="636"/>
      <c r="D6090" s="636"/>
      <c r="E6090" s="636"/>
      <c r="F6090" s="636"/>
      <c r="G6090" s="636"/>
      <c r="H6090" s="636"/>
      <c r="I6090" s="636"/>
      <c r="J6090" s="636" t="s">
        <v>13675</v>
      </c>
      <c r="K6090" s="636"/>
      <c r="L6090" s="636" t="s">
        <v>14041</v>
      </c>
    </row>
    <row r="6091" spans="1:12" ht="24" customHeight="1">
      <c r="A6091" s="802" t="s">
        <v>12720</v>
      </c>
      <c r="B6091" s="802"/>
      <c r="C6091" s="802"/>
      <c r="D6091" s="802"/>
      <c r="E6091" s="802"/>
      <c r="F6091" s="802"/>
      <c r="G6091" s="802"/>
      <c r="H6091" s="802"/>
      <c r="I6091" s="612"/>
      <c r="J6091" s="612"/>
      <c r="K6091" s="612"/>
      <c r="L6091" s="612"/>
    </row>
    <row r="6092" spans="1:12" ht="17.100000000000001" customHeight="1">
      <c r="A6092" s="612" t="s">
        <v>13679</v>
      </c>
      <c r="B6092" s="636" t="s">
        <v>12698</v>
      </c>
      <c r="C6092" s="612" t="s">
        <v>12699</v>
      </c>
      <c r="D6092" s="612" t="s">
        <v>12700</v>
      </c>
      <c r="E6092" s="637" t="s">
        <v>12702</v>
      </c>
      <c r="F6092" s="801" t="s">
        <v>12704</v>
      </c>
      <c r="G6092" s="801"/>
      <c r="H6092" s="801" t="s">
        <v>13678</v>
      </c>
      <c r="I6092" s="801"/>
      <c r="J6092" s="801" t="s">
        <v>12705</v>
      </c>
      <c r="K6092" s="801"/>
      <c r="L6092" s="801"/>
    </row>
    <row r="6093" spans="1:12" ht="14.25" customHeight="1">
      <c r="A6093" s="626" t="s">
        <v>12709</v>
      </c>
      <c r="B6093" s="627" t="s">
        <v>13467</v>
      </c>
      <c r="C6093" s="626" t="s">
        <v>8</v>
      </c>
      <c r="D6093" s="626" t="s">
        <v>9987</v>
      </c>
      <c r="E6093" s="628" t="s">
        <v>35</v>
      </c>
      <c r="F6093" s="816" t="s">
        <v>13998</v>
      </c>
      <c r="G6093" s="816"/>
      <c r="H6093" s="816">
        <v>0.02</v>
      </c>
      <c r="I6093" s="816"/>
      <c r="J6093" s="817">
        <v>0.03</v>
      </c>
      <c r="K6093" s="817"/>
      <c r="L6093" s="817"/>
    </row>
    <row r="6094" spans="1:12" ht="17.100000000000001" customHeight="1">
      <c r="A6094" s="626" t="s">
        <v>12709</v>
      </c>
      <c r="B6094" s="627" t="s">
        <v>13466</v>
      </c>
      <c r="C6094" s="626" t="s">
        <v>8</v>
      </c>
      <c r="D6094" s="626" t="s">
        <v>11315</v>
      </c>
      <c r="E6094" s="628" t="s">
        <v>35</v>
      </c>
      <c r="F6094" s="816" t="s">
        <v>14636</v>
      </c>
      <c r="G6094" s="816"/>
      <c r="H6094" s="816">
        <v>1.4E-2</v>
      </c>
      <c r="I6094" s="816"/>
      <c r="J6094" s="817">
        <v>0.97</v>
      </c>
      <c r="K6094" s="817"/>
      <c r="L6094" s="817"/>
    </row>
    <row r="6095" spans="1:12" ht="24" customHeight="1">
      <c r="A6095" s="626" t="s">
        <v>12709</v>
      </c>
      <c r="B6095" s="627" t="s">
        <v>13468</v>
      </c>
      <c r="C6095" s="626" t="s">
        <v>8</v>
      </c>
      <c r="D6095" s="626" t="s">
        <v>7343</v>
      </c>
      <c r="E6095" s="628" t="s">
        <v>35</v>
      </c>
      <c r="F6095" s="816" t="s">
        <v>14635</v>
      </c>
      <c r="G6095" s="816"/>
      <c r="H6095" s="816">
        <v>1.2E-2</v>
      </c>
      <c r="I6095" s="816"/>
      <c r="J6095" s="817">
        <v>0.95</v>
      </c>
      <c r="K6095" s="817"/>
      <c r="L6095" s="817"/>
    </row>
    <row r="6096" spans="1:12" ht="24" customHeight="1">
      <c r="A6096" s="626" t="s">
        <v>12709</v>
      </c>
      <c r="B6096" s="627" t="s">
        <v>13503</v>
      </c>
      <c r="C6096" s="626" t="s">
        <v>8</v>
      </c>
      <c r="D6096" s="626" t="s">
        <v>7290</v>
      </c>
      <c r="E6096" s="628" t="s">
        <v>35</v>
      </c>
      <c r="F6096" s="816" t="s">
        <v>13843</v>
      </c>
      <c r="G6096" s="816"/>
      <c r="H6096" s="816">
        <v>1</v>
      </c>
      <c r="I6096" s="816"/>
      <c r="J6096" s="817">
        <v>2.63</v>
      </c>
      <c r="K6096" s="817"/>
      <c r="L6096" s="817"/>
    </row>
    <row r="6097" spans="1:12" ht="17.100000000000001" customHeight="1">
      <c r="A6097" s="636"/>
      <c r="B6097" s="636"/>
      <c r="C6097" s="636"/>
      <c r="D6097" s="636"/>
      <c r="E6097" s="636"/>
      <c r="F6097" s="636"/>
      <c r="G6097" s="636"/>
      <c r="H6097" s="636"/>
      <c r="I6097" s="636"/>
      <c r="J6097" s="636" t="s">
        <v>13675</v>
      </c>
      <c r="K6097" s="636"/>
      <c r="L6097" s="636" t="s">
        <v>14086</v>
      </c>
    </row>
    <row r="6098" spans="1:12">
      <c r="A6098" s="802" t="s">
        <v>12722</v>
      </c>
      <c r="B6098" s="802"/>
      <c r="C6098" s="802"/>
      <c r="D6098" s="802"/>
      <c r="E6098" s="802"/>
      <c r="F6098" s="802"/>
      <c r="G6098" s="802"/>
      <c r="H6098" s="802"/>
      <c r="I6098" s="612"/>
      <c r="J6098" s="612"/>
      <c r="K6098" s="612"/>
      <c r="L6098" s="612"/>
    </row>
    <row r="6099" spans="1:12" ht="17.100000000000001" customHeight="1">
      <c r="A6099" s="612" t="s">
        <v>13679</v>
      </c>
      <c r="B6099" s="636" t="s">
        <v>12698</v>
      </c>
      <c r="C6099" s="612" t="s">
        <v>12699</v>
      </c>
      <c r="D6099" s="612" t="s">
        <v>12700</v>
      </c>
      <c r="E6099" s="637" t="s">
        <v>12702</v>
      </c>
      <c r="F6099" s="801" t="s">
        <v>12704</v>
      </c>
      <c r="G6099" s="801"/>
      <c r="H6099" s="801" t="s">
        <v>13678</v>
      </c>
      <c r="I6099" s="801"/>
      <c r="J6099" s="801" t="s">
        <v>12705</v>
      </c>
      <c r="K6099" s="801"/>
      <c r="L6099" s="801"/>
    </row>
    <row r="6100" spans="1:12" ht="24" customHeight="1">
      <c r="A6100" s="626" t="s">
        <v>12709</v>
      </c>
      <c r="B6100" s="627" t="s">
        <v>12998</v>
      </c>
      <c r="C6100" s="626" t="s">
        <v>8</v>
      </c>
      <c r="D6100" s="626" t="s">
        <v>11861</v>
      </c>
      <c r="E6100" s="628" t="s">
        <v>23</v>
      </c>
      <c r="F6100" s="816" t="s">
        <v>13683</v>
      </c>
      <c r="G6100" s="816"/>
      <c r="H6100" s="816">
        <v>0.1144028</v>
      </c>
      <c r="I6100" s="816"/>
      <c r="J6100" s="817">
        <v>8.1199999999999994E-2</v>
      </c>
      <c r="K6100" s="817"/>
      <c r="L6100" s="817"/>
    </row>
    <row r="6101" spans="1:12" ht="24" customHeight="1">
      <c r="A6101" s="636"/>
      <c r="B6101" s="636"/>
      <c r="C6101" s="636"/>
      <c r="D6101" s="636"/>
      <c r="E6101" s="636"/>
      <c r="F6101" s="636"/>
      <c r="G6101" s="636"/>
      <c r="H6101" s="636"/>
      <c r="I6101" s="636"/>
      <c r="J6101" s="636" t="s">
        <v>13675</v>
      </c>
      <c r="K6101" s="636"/>
      <c r="L6101" s="636" t="s">
        <v>13892</v>
      </c>
    </row>
    <row r="6102" spans="1:12" ht="24" customHeight="1">
      <c r="A6102" s="802" t="s">
        <v>12713</v>
      </c>
      <c r="B6102" s="802"/>
      <c r="C6102" s="802"/>
      <c r="D6102" s="802"/>
      <c r="E6102" s="802"/>
      <c r="F6102" s="802"/>
      <c r="G6102" s="802"/>
      <c r="H6102" s="802"/>
      <c r="I6102" s="612"/>
      <c r="J6102" s="612"/>
      <c r="K6102" s="612"/>
      <c r="L6102" s="612"/>
    </row>
    <row r="6103" spans="1:12" ht="24" customHeight="1">
      <c r="A6103" s="612" t="s">
        <v>13679</v>
      </c>
      <c r="B6103" s="636" t="s">
        <v>12698</v>
      </c>
      <c r="C6103" s="612" t="s">
        <v>12699</v>
      </c>
      <c r="D6103" s="612" t="s">
        <v>12700</v>
      </c>
      <c r="E6103" s="637" t="s">
        <v>12702</v>
      </c>
      <c r="F6103" s="801" t="s">
        <v>12704</v>
      </c>
      <c r="G6103" s="801"/>
      <c r="H6103" s="801" t="s">
        <v>13678</v>
      </c>
      <c r="I6103" s="801"/>
      <c r="J6103" s="801" t="s">
        <v>12705</v>
      </c>
      <c r="K6103" s="801"/>
      <c r="L6103" s="801"/>
    </row>
    <row r="6104" spans="1:12" ht="17.100000000000001" customHeight="1">
      <c r="A6104" s="626" t="s">
        <v>12709</v>
      </c>
      <c r="B6104" s="627" t="s">
        <v>12999</v>
      </c>
      <c r="C6104" s="626" t="s">
        <v>8</v>
      </c>
      <c r="D6104" s="626" t="s">
        <v>11251</v>
      </c>
      <c r="E6104" s="628" t="s">
        <v>23</v>
      </c>
      <c r="F6104" s="816" t="s">
        <v>13681</v>
      </c>
      <c r="G6104" s="816"/>
      <c r="H6104" s="816">
        <v>0.1144028</v>
      </c>
      <c r="I6104" s="816"/>
      <c r="J6104" s="817">
        <v>8.0000000000000002E-3</v>
      </c>
      <c r="K6104" s="817"/>
      <c r="L6104" s="817"/>
    </row>
    <row r="6105" spans="1:12">
      <c r="A6105" s="636"/>
      <c r="B6105" s="636"/>
      <c r="C6105" s="636"/>
      <c r="D6105" s="636"/>
      <c r="E6105" s="636"/>
      <c r="F6105" s="636"/>
      <c r="G6105" s="636"/>
      <c r="H6105" s="636"/>
      <c r="I6105" s="636"/>
      <c r="J6105" s="636" t="s">
        <v>13675</v>
      </c>
      <c r="K6105" s="636"/>
      <c r="L6105" s="636" t="s">
        <v>13728</v>
      </c>
    </row>
    <row r="6106" spans="1:12" ht="17.100000000000001" customHeight="1">
      <c r="A6106" s="802" t="s">
        <v>12712</v>
      </c>
      <c r="B6106" s="802"/>
      <c r="C6106" s="802"/>
      <c r="D6106" s="802"/>
      <c r="E6106" s="802"/>
      <c r="F6106" s="802"/>
      <c r="G6106" s="802"/>
      <c r="H6106" s="802"/>
      <c r="I6106" s="612"/>
      <c r="J6106" s="612"/>
      <c r="K6106" s="612"/>
      <c r="L6106" s="612"/>
    </row>
    <row r="6107" spans="1:12" ht="24" customHeight="1">
      <c r="A6107" s="612" t="s">
        <v>13679</v>
      </c>
      <c r="B6107" s="636" t="s">
        <v>12698</v>
      </c>
      <c r="C6107" s="612" t="s">
        <v>12699</v>
      </c>
      <c r="D6107" s="612" t="s">
        <v>12700</v>
      </c>
      <c r="E6107" s="637" t="s">
        <v>12702</v>
      </c>
      <c r="F6107" s="801" t="s">
        <v>12704</v>
      </c>
      <c r="G6107" s="801"/>
      <c r="H6107" s="801" t="s">
        <v>13678</v>
      </c>
      <c r="I6107" s="801"/>
      <c r="J6107" s="801" t="s">
        <v>12705</v>
      </c>
      <c r="K6107" s="801"/>
      <c r="L6107" s="801"/>
    </row>
    <row r="6108" spans="1:12" ht="17.100000000000001" customHeight="1">
      <c r="A6108" s="626" t="s">
        <v>12709</v>
      </c>
      <c r="B6108" s="627" t="s">
        <v>13002</v>
      </c>
      <c r="C6108" s="626" t="s">
        <v>8</v>
      </c>
      <c r="D6108" s="626" t="s">
        <v>9306</v>
      </c>
      <c r="E6108" s="628" t="s">
        <v>23</v>
      </c>
      <c r="F6108" s="816" t="s">
        <v>13677</v>
      </c>
      <c r="G6108" s="816"/>
      <c r="H6108" s="816">
        <v>0.1144028</v>
      </c>
      <c r="I6108" s="816"/>
      <c r="J6108" s="817">
        <v>0.04</v>
      </c>
      <c r="K6108" s="817"/>
      <c r="L6108" s="817"/>
    </row>
    <row r="6109" spans="1:12" ht="25.5">
      <c r="A6109" s="626" t="s">
        <v>12709</v>
      </c>
      <c r="B6109" s="627" t="s">
        <v>13004</v>
      </c>
      <c r="C6109" s="626" t="s">
        <v>8</v>
      </c>
      <c r="D6109" s="626" t="s">
        <v>7388</v>
      </c>
      <c r="E6109" s="628" t="s">
        <v>23</v>
      </c>
      <c r="F6109" s="816" t="s">
        <v>13676</v>
      </c>
      <c r="G6109" s="816"/>
      <c r="H6109" s="816">
        <v>0.1144028</v>
      </c>
      <c r="I6109" s="816"/>
      <c r="J6109" s="817">
        <v>0.25169999999999998</v>
      </c>
      <c r="K6109" s="817"/>
      <c r="L6109" s="817"/>
    </row>
    <row r="6110" spans="1:12" ht="17.100000000000001" customHeight="1">
      <c r="A6110" s="636"/>
      <c r="B6110" s="636"/>
      <c r="C6110" s="636"/>
      <c r="D6110" s="636"/>
      <c r="E6110" s="636"/>
      <c r="F6110" s="636"/>
      <c r="G6110" s="636"/>
      <c r="H6110" s="636"/>
      <c r="I6110" s="636"/>
      <c r="J6110" s="636" t="s">
        <v>13675</v>
      </c>
      <c r="K6110" s="636"/>
      <c r="L6110" s="636" t="s">
        <v>13854</v>
      </c>
    </row>
    <row r="6111" spans="1:12" ht="24" customHeight="1">
      <c r="A6111" s="612" t="s">
        <v>13673</v>
      </c>
      <c r="B6111" s="612"/>
      <c r="C6111" s="612"/>
      <c r="D6111" s="612"/>
      <c r="E6111" s="612"/>
      <c r="F6111" s="612"/>
      <c r="G6111" s="612"/>
      <c r="H6111" s="612"/>
      <c r="I6111" s="612"/>
      <c r="J6111" s="612"/>
      <c r="K6111" s="612"/>
      <c r="L6111" s="612"/>
    </row>
    <row r="6112" spans="1:12" ht="17.100000000000001" customHeight="1">
      <c r="A6112" s="636"/>
      <c r="B6112" s="636"/>
      <c r="C6112" s="636"/>
      <c r="D6112" s="636"/>
      <c r="E6112" s="636"/>
      <c r="F6112" s="636"/>
      <c r="G6112" s="636"/>
      <c r="H6112" s="636"/>
      <c r="I6112" s="636"/>
      <c r="J6112" s="636" t="s">
        <v>13672</v>
      </c>
      <c r="K6112" s="636"/>
      <c r="L6112" s="636" t="s">
        <v>15327</v>
      </c>
    </row>
    <row r="6113" spans="1:12">
      <c r="A6113" s="636"/>
      <c r="B6113" s="636"/>
      <c r="C6113" s="636"/>
      <c r="D6113" s="636"/>
      <c r="E6113" s="636"/>
      <c r="F6113" s="636"/>
      <c r="G6113" s="636"/>
      <c r="H6113" s="636"/>
      <c r="I6113" s="636"/>
      <c r="J6113" s="636" t="s">
        <v>13671</v>
      </c>
      <c r="K6113" s="636" t="s">
        <v>14461</v>
      </c>
      <c r="L6113" s="636" t="s">
        <v>15328</v>
      </c>
    </row>
    <row r="6114" spans="1:12" ht="17.100000000000001" customHeight="1">
      <c r="A6114" s="636"/>
      <c r="B6114" s="636"/>
      <c r="C6114" s="636"/>
      <c r="D6114" s="636"/>
      <c r="E6114" s="636"/>
      <c r="F6114" s="636"/>
      <c r="G6114" s="636"/>
      <c r="H6114" s="636"/>
      <c r="I6114" s="636"/>
      <c r="J6114" s="636" t="s">
        <v>13670</v>
      </c>
      <c r="K6114" s="636"/>
      <c r="L6114" s="636" t="s">
        <v>15329</v>
      </c>
    </row>
    <row r="6115" spans="1:12" ht="24" customHeight="1">
      <c r="A6115" s="636"/>
      <c r="B6115" s="636"/>
      <c r="C6115" s="636"/>
      <c r="D6115" s="636"/>
      <c r="E6115" s="636"/>
      <c r="F6115" s="636"/>
      <c r="G6115" s="636"/>
      <c r="H6115" s="636"/>
      <c r="I6115" s="636"/>
      <c r="J6115" s="636" t="s">
        <v>13669</v>
      </c>
      <c r="K6115" s="636" t="s">
        <v>13667</v>
      </c>
      <c r="L6115" s="636" t="s">
        <v>15330</v>
      </c>
    </row>
    <row r="6116" spans="1:12" ht="24" customHeight="1">
      <c r="A6116" s="636"/>
      <c r="B6116" s="636"/>
      <c r="C6116" s="636"/>
      <c r="D6116" s="636"/>
      <c r="E6116" s="636"/>
      <c r="F6116" s="636"/>
      <c r="G6116" s="636"/>
      <c r="H6116" s="636"/>
      <c r="I6116" s="636"/>
      <c r="J6116" s="636" t="s">
        <v>13668</v>
      </c>
      <c r="K6116" s="636"/>
      <c r="L6116" s="636" t="s">
        <v>15331</v>
      </c>
    </row>
    <row r="6117" spans="1:12" ht="17.100000000000001" customHeight="1">
      <c r="A6117" s="637"/>
      <c r="B6117" s="637"/>
      <c r="C6117" s="637"/>
      <c r="D6117" s="637"/>
      <c r="E6117" s="637"/>
      <c r="F6117" s="637"/>
      <c r="G6117" s="637"/>
      <c r="H6117" s="637"/>
      <c r="I6117" s="637"/>
      <c r="J6117" s="637"/>
      <c r="K6117" s="637"/>
      <c r="L6117" s="637"/>
    </row>
    <row r="6118" spans="1:12" ht="17.100000000000001" customHeight="1">
      <c r="A6118" s="616" t="s">
        <v>14040</v>
      </c>
      <c r="B6118" s="617" t="s">
        <v>13502</v>
      </c>
      <c r="C6118" s="616" t="s">
        <v>8</v>
      </c>
      <c r="D6118" s="616" t="s">
        <v>466</v>
      </c>
      <c r="E6118" s="618" t="s">
        <v>35</v>
      </c>
      <c r="F6118" s="617"/>
      <c r="G6118" s="617"/>
      <c r="H6118" s="617"/>
      <c r="I6118" s="617"/>
      <c r="J6118" s="617"/>
      <c r="K6118" s="617"/>
      <c r="L6118" s="617"/>
    </row>
    <row r="6119" spans="1:12" ht="17.100000000000001" customHeight="1">
      <c r="A6119" s="802" t="s">
        <v>12711</v>
      </c>
      <c r="B6119" s="802"/>
      <c r="C6119" s="802"/>
      <c r="D6119" s="802"/>
      <c r="E6119" s="802"/>
      <c r="F6119" s="802"/>
      <c r="G6119" s="802"/>
      <c r="H6119" s="802"/>
      <c r="I6119" s="612"/>
      <c r="J6119" s="612"/>
      <c r="K6119" s="612"/>
      <c r="L6119" s="612"/>
    </row>
    <row r="6120" spans="1:12" ht="17.100000000000001" customHeight="1">
      <c r="A6120" s="612" t="s">
        <v>13679</v>
      </c>
      <c r="B6120" s="636" t="s">
        <v>12698</v>
      </c>
      <c r="C6120" s="612" t="s">
        <v>12699</v>
      </c>
      <c r="D6120" s="612" t="s">
        <v>12700</v>
      </c>
      <c r="E6120" s="637" t="s">
        <v>12702</v>
      </c>
      <c r="F6120" s="801" t="s">
        <v>12704</v>
      </c>
      <c r="G6120" s="801"/>
      <c r="H6120" s="801" t="s">
        <v>13678</v>
      </c>
      <c r="I6120" s="801"/>
      <c r="J6120" s="801" t="s">
        <v>12705</v>
      </c>
      <c r="K6120" s="801"/>
      <c r="L6120" s="801"/>
    </row>
    <row r="6121" spans="1:12" ht="17.100000000000001" customHeight="1">
      <c r="A6121" s="626" t="s">
        <v>12709</v>
      </c>
      <c r="B6121" s="627" t="s">
        <v>13201</v>
      </c>
      <c r="C6121" s="626" t="s">
        <v>8</v>
      </c>
      <c r="D6121" s="626" t="s">
        <v>9221</v>
      </c>
      <c r="E6121" s="628" t="s">
        <v>23</v>
      </c>
      <c r="F6121" s="816" t="s">
        <v>13705</v>
      </c>
      <c r="G6121" s="816"/>
      <c r="H6121" s="816">
        <v>0.23543410000000001</v>
      </c>
      <c r="I6121" s="816"/>
      <c r="J6121" s="817">
        <v>0.19539999999999999</v>
      </c>
      <c r="K6121" s="817"/>
      <c r="L6121" s="817"/>
    </row>
    <row r="6122" spans="1:12" ht="17.100000000000001" customHeight="1">
      <c r="A6122" s="626" t="s">
        <v>12709</v>
      </c>
      <c r="B6122" s="627" t="s">
        <v>13200</v>
      </c>
      <c r="C6122" s="626" t="s">
        <v>8</v>
      </c>
      <c r="D6122" s="626" t="s">
        <v>9368</v>
      </c>
      <c r="E6122" s="628" t="s">
        <v>23</v>
      </c>
      <c r="F6122" s="816" t="s">
        <v>13704</v>
      </c>
      <c r="G6122" s="816"/>
      <c r="H6122" s="816">
        <v>0.23543410000000001</v>
      </c>
      <c r="I6122" s="816"/>
      <c r="J6122" s="817">
        <v>5.6500000000000002E-2</v>
      </c>
      <c r="K6122" s="817"/>
      <c r="L6122" s="817"/>
    </row>
    <row r="6123" spans="1:12" ht="17.100000000000001" customHeight="1">
      <c r="A6123" s="636"/>
      <c r="B6123" s="636"/>
      <c r="C6123" s="636"/>
      <c r="D6123" s="636"/>
      <c r="E6123" s="636"/>
      <c r="F6123" s="636"/>
      <c r="G6123" s="636"/>
      <c r="H6123" s="636"/>
      <c r="I6123" s="636"/>
      <c r="J6123" s="636" t="s">
        <v>13675</v>
      </c>
      <c r="K6123" s="636"/>
      <c r="L6123" s="636" t="s">
        <v>13915</v>
      </c>
    </row>
    <row r="6124" spans="1:12" ht="30" customHeight="1">
      <c r="A6124" s="802" t="s">
        <v>12710</v>
      </c>
      <c r="B6124" s="802"/>
      <c r="C6124" s="802"/>
      <c r="D6124" s="802"/>
      <c r="E6124" s="802"/>
      <c r="F6124" s="802"/>
      <c r="G6124" s="802"/>
      <c r="H6124" s="802"/>
      <c r="I6124" s="612"/>
      <c r="J6124" s="612"/>
      <c r="K6124" s="612"/>
      <c r="L6124" s="612"/>
    </row>
    <row r="6125" spans="1:12" ht="36" customHeight="1">
      <c r="A6125" s="612" t="s">
        <v>13679</v>
      </c>
      <c r="B6125" s="636" t="s">
        <v>12698</v>
      </c>
      <c r="C6125" s="612" t="s">
        <v>12699</v>
      </c>
      <c r="D6125" s="612" t="s">
        <v>12700</v>
      </c>
      <c r="E6125" s="637" t="s">
        <v>12702</v>
      </c>
      <c r="F6125" s="801" t="s">
        <v>12704</v>
      </c>
      <c r="G6125" s="801"/>
      <c r="H6125" s="801" t="s">
        <v>13678</v>
      </c>
      <c r="I6125" s="801"/>
      <c r="J6125" s="801" t="s">
        <v>12705</v>
      </c>
      <c r="K6125" s="801"/>
      <c r="L6125" s="801"/>
    </row>
    <row r="6126" spans="1:12" ht="14.25" customHeight="1">
      <c r="A6126" s="626" t="s">
        <v>12709</v>
      </c>
      <c r="B6126" s="627" t="s">
        <v>13220</v>
      </c>
      <c r="C6126" s="626" t="s">
        <v>8</v>
      </c>
      <c r="D6126" s="626" t="s">
        <v>7592</v>
      </c>
      <c r="E6126" s="628" t="s">
        <v>23</v>
      </c>
      <c r="F6126" s="816" t="s">
        <v>13890</v>
      </c>
      <c r="G6126" s="816"/>
      <c r="H6126" s="816">
        <v>0.11998549999999999</v>
      </c>
      <c r="I6126" s="816"/>
      <c r="J6126" s="817">
        <v>0.60709999999999997</v>
      </c>
      <c r="K6126" s="817"/>
      <c r="L6126" s="817"/>
    </row>
    <row r="6127" spans="1:12" ht="17.100000000000001" customHeight="1">
      <c r="A6127" s="626" t="s">
        <v>12709</v>
      </c>
      <c r="B6127" s="627" t="s">
        <v>13202</v>
      </c>
      <c r="C6127" s="626" t="s">
        <v>8</v>
      </c>
      <c r="D6127" s="626" t="s">
        <v>9187</v>
      </c>
      <c r="E6127" s="628" t="s">
        <v>23</v>
      </c>
      <c r="F6127" s="816" t="s">
        <v>14479</v>
      </c>
      <c r="G6127" s="816"/>
      <c r="H6127" s="816">
        <v>0.11998549999999999</v>
      </c>
      <c r="I6127" s="816"/>
      <c r="J6127" s="817">
        <v>0.8579</v>
      </c>
      <c r="K6127" s="817"/>
      <c r="L6127" s="817"/>
    </row>
    <row r="6128" spans="1:12" ht="24" customHeight="1">
      <c r="A6128" s="636"/>
      <c r="B6128" s="636"/>
      <c r="C6128" s="636"/>
      <c r="D6128" s="636"/>
      <c r="E6128" s="636"/>
      <c r="F6128" s="636"/>
      <c r="G6128" s="636"/>
      <c r="H6128" s="636"/>
      <c r="I6128" s="636"/>
      <c r="J6128" s="636" t="s">
        <v>13675</v>
      </c>
      <c r="K6128" s="636"/>
      <c r="L6128" s="636" t="s">
        <v>14184</v>
      </c>
    </row>
    <row r="6129" spans="1:12" ht="24" customHeight="1">
      <c r="A6129" s="802" t="s">
        <v>12720</v>
      </c>
      <c r="B6129" s="802"/>
      <c r="C6129" s="802"/>
      <c r="D6129" s="802"/>
      <c r="E6129" s="802"/>
      <c r="F6129" s="802"/>
      <c r="G6129" s="802"/>
      <c r="H6129" s="802"/>
      <c r="I6129" s="612"/>
      <c r="J6129" s="612"/>
      <c r="K6129" s="612"/>
      <c r="L6129" s="612"/>
    </row>
    <row r="6130" spans="1:12" ht="17.100000000000001" customHeight="1">
      <c r="A6130" s="612" t="s">
        <v>13679</v>
      </c>
      <c r="B6130" s="636" t="s">
        <v>12698</v>
      </c>
      <c r="C6130" s="612" t="s">
        <v>12699</v>
      </c>
      <c r="D6130" s="612" t="s">
        <v>12700</v>
      </c>
      <c r="E6130" s="637" t="s">
        <v>12702</v>
      </c>
      <c r="F6130" s="801" t="s">
        <v>12704</v>
      </c>
      <c r="G6130" s="801"/>
      <c r="H6130" s="801" t="s">
        <v>13678</v>
      </c>
      <c r="I6130" s="801"/>
      <c r="J6130" s="801" t="s">
        <v>12705</v>
      </c>
      <c r="K6130" s="801"/>
      <c r="L6130" s="801"/>
    </row>
    <row r="6131" spans="1:12" ht="14.25" customHeight="1">
      <c r="A6131" s="626" t="s">
        <v>12709</v>
      </c>
      <c r="B6131" s="627" t="s">
        <v>13467</v>
      </c>
      <c r="C6131" s="626" t="s">
        <v>8</v>
      </c>
      <c r="D6131" s="626" t="s">
        <v>9987</v>
      </c>
      <c r="E6131" s="628" t="s">
        <v>35</v>
      </c>
      <c r="F6131" s="816" t="s">
        <v>13998</v>
      </c>
      <c r="G6131" s="816"/>
      <c r="H6131" s="816">
        <v>0.06</v>
      </c>
      <c r="I6131" s="816"/>
      <c r="J6131" s="817">
        <v>0.11</v>
      </c>
      <c r="K6131" s="817"/>
      <c r="L6131" s="817"/>
    </row>
    <row r="6132" spans="1:12" ht="17.100000000000001" customHeight="1">
      <c r="A6132" s="626" t="s">
        <v>12709</v>
      </c>
      <c r="B6132" s="627" t="s">
        <v>13466</v>
      </c>
      <c r="C6132" s="626" t="s">
        <v>8</v>
      </c>
      <c r="D6132" s="626" t="s">
        <v>11315</v>
      </c>
      <c r="E6132" s="628" t="s">
        <v>35</v>
      </c>
      <c r="F6132" s="816" t="s">
        <v>14636</v>
      </c>
      <c r="G6132" s="816"/>
      <c r="H6132" s="816">
        <v>1.0999999999999999E-2</v>
      </c>
      <c r="I6132" s="816"/>
      <c r="J6132" s="817">
        <v>0.76</v>
      </c>
      <c r="K6132" s="817"/>
      <c r="L6132" s="817"/>
    </row>
    <row r="6133" spans="1:12" ht="24" customHeight="1">
      <c r="A6133" s="626" t="s">
        <v>12709</v>
      </c>
      <c r="B6133" s="627" t="s">
        <v>13468</v>
      </c>
      <c r="C6133" s="626" t="s">
        <v>8</v>
      </c>
      <c r="D6133" s="626" t="s">
        <v>7343</v>
      </c>
      <c r="E6133" s="628" t="s">
        <v>35</v>
      </c>
      <c r="F6133" s="816" t="s">
        <v>14635</v>
      </c>
      <c r="G6133" s="816"/>
      <c r="H6133" s="816">
        <v>8.9999999999999993E-3</v>
      </c>
      <c r="I6133" s="816"/>
      <c r="J6133" s="817">
        <v>0.71</v>
      </c>
      <c r="K6133" s="817"/>
      <c r="L6133" s="817"/>
    </row>
    <row r="6134" spans="1:12" ht="24" customHeight="1">
      <c r="A6134" s="626" t="s">
        <v>12709</v>
      </c>
      <c r="B6134" s="627" t="s">
        <v>13501</v>
      </c>
      <c r="C6134" s="626" t="s">
        <v>8</v>
      </c>
      <c r="D6134" s="626" t="s">
        <v>7838</v>
      </c>
      <c r="E6134" s="628" t="s">
        <v>35</v>
      </c>
      <c r="F6134" s="816" t="s">
        <v>13983</v>
      </c>
      <c r="G6134" s="816"/>
      <c r="H6134" s="816">
        <v>1</v>
      </c>
      <c r="I6134" s="816"/>
      <c r="J6134" s="817">
        <v>1.49</v>
      </c>
      <c r="K6134" s="817"/>
      <c r="L6134" s="817"/>
    </row>
    <row r="6135" spans="1:12" ht="17.100000000000001" customHeight="1">
      <c r="A6135" s="636"/>
      <c r="B6135" s="636"/>
      <c r="C6135" s="636"/>
      <c r="D6135" s="636"/>
      <c r="E6135" s="636"/>
      <c r="F6135" s="636"/>
      <c r="G6135" s="636"/>
      <c r="H6135" s="636"/>
      <c r="I6135" s="636"/>
      <c r="J6135" s="636" t="s">
        <v>13675</v>
      </c>
      <c r="K6135" s="636"/>
      <c r="L6135" s="636" t="s">
        <v>14669</v>
      </c>
    </row>
    <row r="6136" spans="1:12">
      <c r="A6136" s="802" t="s">
        <v>12722</v>
      </c>
      <c r="B6136" s="802"/>
      <c r="C6136" s="802"/>
      <c r="D6136" s="802"/>
      <c r="E6136" s="802"/>
      <c r="F6136" s="802"/>
      <c r="G6136" s="802"/>
      <c r="H6136" s="802"/>
      <c r="I6136" s="612"/>
      <c r="J6136" s="612"/>
      <c r="K6136" s="612"/>
      <c r="L6136" s="612"/>
    </row>
    <row r="6137" spans="1:12" ht="17.100000000000001" customHeight="1">
      <c r="A6137" s="612" t="s">
        <v>13679</v>
      </c>
      <c r="B6137" s="636" t="s">
        <v>12698</v>
      </c>
      <c r="C6137" s="612" t="s">
        <v>12699</v>
      </c>
      <c r="D6137" s="612" t="s">
        <v>12700</v>
      </c>
      <c r="E6137" s="637" t="s">
        <v>12702</v>
      </c>
      <c r="F6137" s="801" t="s">
        <v>12704</v>
      </c>
      <c r="G6137" s="801"/>
      <c r="H6137" s="801" t="s">
        <v>13678</v>
      </c>
      <c r="I6137" s="801"/>
      <c r="J6137" s="801" t="s">
        <v>12705</v>
      </c>
      <c r="K6137" s="801"/>
      <c r="L6137" s="801"/>
    </row>
    <row r="6138" spans="1:12" ht="24" customHeight="1">
      <c r="A6138" s="626" t="s">
        <v>12709</v>
      </c>
      <c r="B6138" s="627" t="s">
        <v>12998</v>
      </c>
      <c r="C6138" s="626" t="s">
        <v>8</v>
      </c>
      <c r="D6138" s="626" t="s">
        <v>11861</v>
      </c>
      <c r="E6138" s="628" t="s">
        <v>23</v>
      </c>
      <c r="F6138" s="816" t="s">
        <v>13683</v>
      </c>
      <c r="G6138" s="816"/>
      <c r="H6138" s="816">
        <v>0.23543410000000001</v>
      </c>
      <c r="I6138" s="816"/>
      <c r="J6138" s="817">
        <v>0.16719999999999999</v>
      </c>
      <c r="K6138" s="817"/>
      <c r="L6138" s="817"/>
    </row>
    <row r="6139" spans="1:12" ht="24" customHeight="1">
      <c r="A6139" s="636"/>
      <c r="B6139" s="636"/>
      <c r="C6139" s="636"/>
      <c r="D6139" s="636"/>
      <c r="E6139" s="636"/>
      <c r="F6139" s="636"/>
      <c r="G6139" s="636"/>
      <c r="H6139" s="636"/>
      <c r="I6139" s="636"/>
      <c r="J6139" s="636" t="s">
        <v>13675</v>
      </c>
      <c r="K6139" s="636"/>
      <c r="L6139" s="636" t="s">
        <v>13832</v>
      </c>
    </row>
    <row r="6140" spans="1:12" ht="24" customHeight="1">
      <c r="A6140" s="802" t="s">
        <v>12713</v>
      </c>
      <c r="B6140" s="802"/>
      <c r="C6140" s="802"/>
      <c r="D6140" s="802"/>
      <c r="E6140" s="802"/>
      <c r="F6140" s="802"/>
      <c r="G6140" s="802"/>
      <c r="H6140" s="802"/>
      <c r="I6140" s="612"/>
      <c r="J6140" s="612"/>
      <c r="K6140" s="612"/>
      <c r="L6140" s="612"/>
    </row>
    <row r="6141" spans="1:12" ht="24" customHeight="1">
      <c r="A6141" s="612" t="s">
        <v>13679</v>
      </c>
      <c r="B6141" s="636" t="s">
        <v>12698</v>
      </c>
      <c r="C6141" s="612" t="s">
        <v>12699</v>
      </c>
      <c r="D6141" s="612" t="s">
        <v>12700</v>
      </c>
      <c r="E6141" s="637" t="s">
        <v>12702</v>
      </c>
      <c r="F6141" s="801" t="s">
        <v>12704</v>
      </c>
      <c r="G6141" s="801"/>
      <c r="H6141" s="801" t="s">
        <v>13678</v>
      </c>
      <c r="I6141" s="801"/>
      <c r="J6141" s="801" t="s">
        <v>12705</v>
      </c>
      <c r="K6141" s="801"/>
      <c r="L6141" s="801"/>
    </row>
    <row r="6142" spans="1:12" ht="17.100000000000001" customHeight="1">
      <c r="A6142" s="626" t="s">
        <v>12709</v>
      </c>
      <c r="B6142" s="627" t="s">
        <v>12999</v>
      </c>
      <c r="C6142" s="626" t="s">
        <v>8</v>
      </c>
      <c r="D6142" s="626" t="s">
        <v>11251</v>
      </c>
      <c r="E6142" s="628" t="s">
        <v>23</v>
      </c>
      <c r="F6142" s="816" t="s">
        <v>13681</v>
      </c>
      <c r="G6142" s="816"/>
      <c r="H6142" s="816">
        <v>0.23543410000000001</v>
      </c>
      <c r="I6142" s="816"/>
      <c r="J6142" s="817">
        <v>1.6500000000000001E-2</v>
      </c>
      <c r="K6142" s="817"/>
      <c r="L6142" s="817"/>
    </row>
    <row r="6143" spans="1:12">
      <c r="A6143" s="636"/>
      <c r="B6143" s="636"/>
      <c r="C6143" s="636"/>
      <c r="D6143" s="636"/>
      <c r="E6143" s="636"/>
      <c r="F6143" s="636"/>
      <c r="G6143" s="636"/>
      <c r="H6143" s="636"/>
      <c r="I6143" s="636"/>
      <c r="J6143" s="636" t="s">
        <v>13675</v>
      </c>
      <c r="K6143" s="636"/>
      <c r="L6143" s="636" t="s">
        <v>13680</v>
      </c>
    </row>
    <row r="6144" spans="1:12" ht="17.100000000000001" customHeight="1">
      <c r="A6144" s="802" t="s">
        <v>12712</v>
      </c>
      <c r="B6144" s="802"/>
      <c r="C6144" s="802"/>
      <c r="D6144" s="802"/>
      <c r="E6144" s="802"/>
      <c r="F6144" s="802"/>
      <c r="G6144" s="802"/>
      <c r="H6144" s="802"/>
      <c r="I6144" s="612"/>
      <c r="J6144" s="612"/>
      <c r="K6144" s="612"/>
      <c r="L6144" s="612"/>
    </row>
    <row r="6145" spans="1:12" ht="24" customHeight="1">
      <c r="A6145" s="612" t="s">
        <v>13679</v>
      </c>
      <c r="B6145" s="636" t="s">
        <v>12698</v>
      </c>
      <c r="C6145" s="612" t="s">
        <v>12699</v>
      </c>
      <c r="D6145" s="612" t="s">
        <v>12700</v>
      </c>
      <c r="E6145" s="637" t="s">
        <v>12702</v>
      </c>
      <c r="F6145" s="801" t="s">
        <v>12704</v>
      </c>
      <c r="G6145" s="801"/>
      <c r="H6145" s="801" t="s">
        <v>13678</v>
      </c>
      <c r="I6145" s="801"/>
      <c r="J6145" s="801" t="s">
        <v>12705</v>
      </c>
      <c r="K6145" s="801"/>
      <c r="L6145" s="801"/>
    </row>
    <row r="6146" spans="1:12" ht="17.100000000000001" customHeight="1">
      <c r="A6146" s="626" t="s">
        <v>12709</v>
      </c>
      <c r="B6146" s="627" t="s">
        <v>13002</v>
      </c>
      <c r="C6146" s="626" t="s">
        <v>8</v>
      </c>
      <c r="D6146" s="626" t="s">
        <v>9306</v>
      </c>
      <c r="E6146" s="628" t="s">
        <v>23</v>
      </c>
      <c r="F6146" s="816" t="s">
        <v>13677</v>
      </c>
      <c r="G6146" s="816"/>
      <c r="H6146" s="816">
        <v>0.23543410000000001</v>
      </c>
      <c r="I6146" s="816"/>
      <c r="J6146" s="817">
        <v>8.2400000000000001E-2</v>
      </c>
      <c r="K6146" s="817"/>
      <c r="L6146" s="817"/>
    </row>
    <row r="6147" spans="1:12" ht="25.5">
      <c r="A6147" s="626" t="s">
        <v>12709</v>
      </c>
      <c r="B6147" s="627" t="s">
        <v>13004</v>
      </c>
      <c r="C6147" s="626" t="s">
        <v>8</v>
      </c>
      <c r="D6147" s="626" t="s">
        <v>7388</v>
      </c>
      <c r="E6147" s="628" t="s">
        <v>23</v>
      </c>
      <c r="F6147" s="816" t="s">
        <v>13676</v>
      </c>
      <c r="G6147" s="816"/>
      <c r="H6147" s="816">
        <v>0.23543410000000001</v>
      </c>
      <c r="I6147" s="816"/>
      <c r="J6147" s="817">
        <v>0.51800000000000002</v>
      </c>
      <c r="K6147" s="817"/>
      <c r="L6147" s="817"/>
    </row>
    <row r="6148" spans="1:12" ht="17.100000000000001" customHeight="1">
      <c r="A6148" s="636"/>
      <c r="B6148" s="636"/>
      <c r="C6148" s="636"/>
      <c r="D6148" s="636"/>
      <c r="E6148" s="636"/>
      <c r="F6148" s="636"/>
      <c r="G6148" s="636"/>
      <c r="H6148" s="636"/>
      <c r="I6148" s="636"/>
      <c r="J6148" s="636" t="s">
        <v>13675</v>
      </c>
      <c r="K6148" s="636"/>
      <c r="L6148" s="636" t="s">
        <v>13684</v>
      </c>
    </row>
    <row r="6149" spans="1:12" ht="24" customHeight="1">
      <c r="A6149" s="612" t="s">
        <v>13673</v>
      </c>
      <c r="B6149" s="612"/>
      <c r="C6149" s="612"/>
      <c r="D6149" s="612"/>
      <c r="E6149" s="612"/>
      <c r="F6149" s="612"/>
      <c r="G6149" s="612"/>
      <c r="H6149" s="612"/>
      <c r="I6149" s="612"/>
      <c r="J6149" s="612"/>
      <c r="K6149" s="612"/>
      <c r="L6149" s="612"/>
    </row>
    <row r="6150" spans="1:12" ht="17.100000000000001" customHeight="1">
      <c r="A6150" s="636"/>
      <c r="B6150" s="636"/>
      <c r="C6150" s="636"/>
      <c r="D6150" s="636"/>
      <c r="E6150" s="636"/>
      <c r="F6150" s="636"/>
      <c r="G6150" s="636"/>
      <c r="H6150" s="636"/>
      <c r="I6150" s="636"/>
      <c r="J6150" s="636" t="s">
        <v>13672</v>
      </c>
      <c r="K6150" s="636"/>
      <c r="L6150" s="636" t="s">
        <v>15186</v>
      </c>
    </row>
    <row r="6151" spans="1:12">
      <c r="A6151" s="636"/>
      <c r="B6151" s="636"/>
      <c r="C6151" s="636"/>
      <c r="D6151" s="636"/>
      <c r="E6151" s="636"/>
      <c r="F6151" s="636"/>
      <c r="G6151" s="636"/>
      <c r="H6151" s="636"/>
      <c r="I6151" s="636"/>
      <c r="J6151" s="636" t="s">
        <v>13671</v>
      </c>
      <c r="K6151" s="636" t="s">
        <v>14461</v>
      </c>
      <c r="L6151" s="636" t="s">
        <v>15332</v>
      </c>
    </row>
    <row r="6152" spans="1:12" ht="17.100000000000001" customHeight="1">
      <c r="A6152" s="636"/>
      <c r="B6152" s="636"/>
      <c r="C6152" s="636"/>
      <c r="D6152" s="636"/>
      <c r="E6152" s="636"/>
      <c r="F6152" s="636"/>
      <c r="G6152" s="636"/>
      <c r="H6152" s="636"/>
      <c r="I6152" s="636"/>
      <c r="J6152" s="636" t="s">
        <v>13670</v>
      </c>
      <c r="K6152" s="636"/>
      <c r="L6152" s="636" t="s">
        <v>15333</v>
      </c>
    </row>
    <row r="6153" spans="1:12" ht="24" customHeight="1">
      <c r="A6153" s="636"/>
      <c r="B6153" s="636"/>
      <c r="C6153" s="636"/>
      <c r="D6153" s="636"/>
      <c r="E6153" s="636"/>
      <c r="F6153" s="636"/>
      <c r="G6153" s="636"/>
      <c r="H6153" s="636"/>
      <c r="I6153" s="636"/>
      <c r="J6153" s="636" t="s">
        <v>13669</v>
      </c>
      <c r="K6153" s="636" t="s">
        <v>13667</v>
      </c>
      <c r="L6153" s="636" t="s">
        <v>14940</v>
      </c>
    </row>
    <row r="6154" spans="1:12" ht="24" customHeight="1">
      <c r="A6154" s="636"/>
      <c r="B6154" s="636"/>
      <c r="C6154" s="636"/>
      <c r="D6154" s="636"/>
      <c r="E6154" s="636"/>
      <c r="F6154" s="636"/>
      <c r="G6154" s="636"/>
      <c r="H6154" s="636"/>
      <c r="I6154" s="636"/>
      <c r="J6154" s="636" t="s">
        <v>13668</v>
      </c>
      <c r="K6154" s="636"/>
      <c r="L6154" s="636" t="s">
        <v>15334</v>
      </c>
    </row>
    <row r="6155" spans="1:12" ht="17.100000000000001" customHeight="1">
      <c r="A6155" s="637"/>
      <c r="B6155" s="637"/>
      <c r="C6155" s="637"/>
      <c r="D6155" s="637"/>
      <c r="E6155" s="637"/>
      <c r="F6155" s="637"/>
      <c r="G6155" s="637"/>
      <c r="H6155" s="637"/>
      <c r="I6155" s="637"/>
      <c r="J6155" s="637"/>
      <c r="K6155" s="637"/>
      <c r="L6155" s="637"/>
    </row>
    <row r="6156" spans="1:12" ht="17.100000000000001" customHeight="1">
      <c r="A6156" s="616" t="s">
        <v>14039</v>
      </c>
      <c r="B6156" s="617" t="s">
        <v>13534</v>
      </c>
      <c r="C6156" s="616" t="s">
        <v>8</v>
      </c>
      <c r="D6156" s="616" t="s">
        <v>1760</v>
      </c>
      <c r="E6156" s="618" t="s">
        <v>35</v>
      </c>
      <c r="F6156" s="617"/>
      <c r="G6156" s="617"/>
      <c r="H6156" s="617"/>
      <c r="I6156" s="617"/>
      <c r="J6156" s="617"/>
      <c r="K6156" s="617"/>
      <c r="L6156" s="617"/>
    </row>
    <row r="6157" spans="1:12" ht="17.100000000000001" customHeight="1">
      <c r="A6157" s="802" t="s">
        <v>12711</v>
      </c>
      <c r="B6157" s="802"/>
      <c r="C6157" s="802"/>
      <c r="D6157" s="802"/>
      <c r="E6157" s="802"/>
      <c r="F6157" s="802"/>
      <c r="G6157" s="802"/>
      <c r="H6157" s="802"/>
      <c r="I6157" s="612"/>
      <c r="J6157" s="612"/>
      <c r="K6157" s="612"/>
      <c r="L6157" s="612"/>
    </row>
    <row r="6158" spans="1:12" ht="17.100000000000001" customHeight="1">
      <c r="A6158" s="612" t="s">
        <v>13679</v>
      </c>
      <c r="B6158" s="636" t="s">
        <v>12698</v>
      </c>
      <c r="C6158" s="612" t="s">
        <v>12699</v>
      </c>
      <c r="D6158" s="612" t="s">
        <v>12700</v>
      </c>
      <c r="E6158" s="637" t="s">
        <v>12702</v>
      </c>
      <c r="F6158" s="801" t="s">
        <v>12704</v>
      </c>
      <c r="G6158" s="801"/>
      <c r="H6158" s="801" t="s">
        <v>13678</v>
      </c>
      <c r="I6158" s="801"/>
      <c r="J6158" s="801" t="s">
        <v>12705</v>
      </c>
      <c r="K6158" s="801"/>
      <c r="L6158" s="801"/>
    </row>
    <row r="6159" spans="1:12" ht="17.100000000000001" customHeight="1">
      <c r="A6159" s="626" t="s">
        <v>12709</v>
      </c>
      <c r="B6159" s="627" t="s">
        <v>13201</v>
      </c>
      <c r="C6159" s="626" t="s">
        <v>8</v>
      </c>
      <c r="D6159" s="626" t="s">
        <v>9221</v>
      </c>
      <c r="E6159" s="628" t="s">
        <v>23</v>
      </c>
      <c r="F6159" s="816" t="s">
        <v>13705</v>
      </c>
      <c r="G6159" s="816"/>
      <c r="H6159" s="816">
        <v>0.1769008</v>
      </c>
      <c r="I6159" s="816"/>
      <c r="J6159" s="817">
        <v>0.14680000000000001</v>
      </c>
      <c r="K6159" s="817"/>
      <c r="L6159" s="817"/>
    </row>
    <row r="6160" spans="1:12" ht="17.100000000000001" customHeight="1">
      <c r="A6160" s="626" t="s">
        <v>12709</v>
      </c>
      <c r="B6160" s="627" t="s">
        <v>13200</v>
      </c>
      <c r="C6160" s="626" t="s">
        <v>8</v>
      </c>
      <c r="D6160" s="626" t="s">
        <v>9368</v>
      </c>
      <c r="E6160" s="628" t="s">
        <v>23</v>
      </c>
      <c r="F6160" s="816" t="s">
        <v>13704</v>
      </c>
      <c r="G6160" s="816"/>
      <c r="H6160" s="816">
        <v>0.1769008</v>
      </c>
      <c r="I6160" s="816"/>
      <c r="J6160" s="817">
        <v>4.2500000000000003E-2</v>
      </c>
      <c r="K6160" s="817"/>
      <c r="L6160" s="817"/>
    </row>
    <row r="6161" spans="1:12" ht="17.100000000000001" customHeight="1">
      <c r="A6161" s="636"/>
      <c r="B6161" s="636"/>
      <c r="C6161" s="636"/>
      <c r="D6161" s="636"/>
      <c r="E6161" s="636"/>
      <c r="F6161" s="636"/>
      <c r="G6161" s="636"/>
      <c r="H6161" s="636"/>
      <c r="I6161" s="636"/>
      <c r="J6161" s="636" t="s">
        <v>13675</v>
      </c>
      <c r="K6161" s="636"/>
      <c r="L6161" s="636" t="s">
        <v>13865</v>
      </c>
    </row>
    <row r="6162" spans="1:12" ht="30" customHeight="1">
      <c r="A6162" s="802" t="s">
        <v>12710</v>
      </c>
      <c r="B6162" s="802"/>
      <c r="C6162" s="802"/>
      <c r="D6162" s="802"/>
      <c r="E6162" s="802"/>
      <c r="F6162" s="802"/>
      <c r="G6162" s="802"/>
      <c r="H6162" s="802"/>
      <c r="I6162" s="612"/>
      <c r="J6162" s="612"/>
      <c r="K6162" s="612"/>
      <c r="L6162" s="612"/>
    </row>
    <row r="6163" spans="1:12" ht="36" customHeight="1">
      <c r="A6163" s="612" t="s">
        <v>13679</v>
      </c>
      <c r="B6163" s="636" t="s">
        <v>12698</v>
      </c>
      <c r="C6163" s="612" t="s">
        <v>12699</v>
      </c>
      <c r="D6163" s="612" t="s">
        <v>12700</v>
      </c>
      <c r="E6163" s="637" t="s">
        <v>12702</v>
      </c>
      <c r="F6163" s="801" t="s">
        <v>12704</v>
      </c>
      <c r="G6163" s="801"/>
      <c r="H6163" s="801" t="s">
        <v>13678</v>
      </c>
      <c r="I6163" s="801"/>
      <c r="J6163" s="801" t="s">
        <v>12705</v>
      </c>
      <c r="K6163" s="801"/>
      <c r="L6163" s="801"/>
    </row>
    <row r="6164" spans="1:12" ht="14.25" customHeight="1">
      <c r="A6164" s="626" t="s">
        <v>12709</v>
      </c>
      <c r="B6164" s="627" t="s">
        <v>13220</v>
      </c>
      <c r="C6164" s="626" t="s">
        <v>8</v>
      </c>
      <c r="D6164" s="626" t="s">
        <v>7592</v>
      </c>
      <c r="E6164" s="628" t="s">
        <v>23</v>
      </c>
      <c r="F6164" s="816" t="s">
        <v>13890</v>
      </c>
      <c r="G6164" s="816"/>
      <c r="H6164" s="816">
        <v>9.0763999999999997E-2</v>
      </c>
      <c r="I6164" s="816"/>
      <c r="J6164" s="817">
        <v>0.45929999999999999</v>
      </c>
      <c r="K6164" s="817"/>
      <c r="L6164" s="817"/>
    </row>
    <row r="6165" spans="1:12" ht="17.100000000000001" customHeight="1">
      <c r="A6165" s="626" t="s">
        <v>12709</v>
      </c>
      <c r="B6165" s="627" t="s">
        <v>13202</v>
      </c>
      <c r="C6165" s="626" t="s">
        <v>8</v>
      </c>
      <c r="D6165" s="626" t="s">
        <v>9187</v>
      </c>
      <c r="E6165" s="628" t="s">
        <v>23</v>
      </c>
      <c r="F6165" s="816" t="s">
        <v>14479</v>
      </c>
      <c r="G6165" s="816"/>
      <c r="H6165" s="816">
        <v>9.0763999999999997E-2</v>
      </c>
      <c r="I6165" s="816"/>
      <c r="J6165" s="817">
        <v>0.64900000000000002</v>
      </c>
      <c r="K6165" s="817"/>
      <c r="L6165" s="817"/>
    </row>
    <row r="6166" spans="1:12" ht="24" customHeight="1">
      <c r="A6166" s="636"/>
      <c r="B6166" s="636"/>
      <c r="C6166" s="636"/>
      <c r="D6166" s="636"/>
      <c r="E6166" s="636"/>
      <c r="F6166" s="636"/>
      <c r="G6166" s="636"/>
      <c r="H6166" s="636"/>
      <c r="I6166" s="636"/>
      <c r="J6166" s="636" t="s">
        <v>13675</v>
      </c>
      <c r="K6166" s="636"/>
      <c r="L6166" s="636" t="s">
        <v>14668</v>
      </c>
    </row>
    <row r="6167" spans="1:12" ht="24" customHeight="1">
      <c r="A6167" s="802" t="s">
        <v>12720</v>
      </c>
      <c r="B6167" s="802"/>
      <c r="C6167" s="802"/>
      <c r="D6167" s="802"/>
      <c r="E6167" s="802"/>
      <c r="F6167" s="802"/>
      <c r="G6167" s="802"/>
      <c r="H6167" s="802"/>
      <c r="I6167" s="612"/>
      <c r="J6167" s="612"/>
      <c r="K6167" s="612"/>
      <c r="L6167" s="612"/>
    </row>
    <row r="6168" spans="1:12" ht="17.100000000000001" customHeight="1">
      <c r="A6168" s="612" t="s">
        <v>13679</v>
      </c>
      <c r="B6168" s="636" t="s">
        <v>12698</v>
      </c>
      <c r="C6168" s="612" t="s">
        <v>12699</v>
      </c>
      <c r="D6168" s="612" t="s">
        <v>12700</v>
      </c>
      <c r="E6168" s="637" t="s">
        <v>12702</v>
      </c>
      <c r="F6168" s="801" t="s">
        <v>12704</v>
      </c>
      <c r="G6168" s="801"/>
      <c r="H6168" s="801" t="s">
        <v>13678</v>
      </c>
      <c r="I6168" s="801"/>
      <c r="J6168" s="801" t="s">
        <v>12705</v>
      </c>
      <c r="K6168" s="801"/>
      <c r="L6168" s="801"/>
    </row>
    <row r="6169" spans="1:12" ht="14.25" customHeight="1">
      <c r="A6169" s="626" t="s">
        <v>12709</v>
      </c>
      <c r="B6169" s="627" t="s">
        <v>13467</v>
      </c>
      <c r="C6169" s="626" t="s">
        <v>8</v>
      </c>
      <c r="D6169" s="626" t="s">
        <v>9987</v>
      </c>
      <c r="E6169" s="628" t="s">
        <v>35</v>
      </c>
      <c r="F6169" s="816" t="s">
        <v>13998</v>
      </c>
      <c r="G6169" s="816"/>
      <c r="H6169" s="816">
        <v>0.03</v>
      </c>
      <c r="I6169" s="816"/>
      <c r="J6169" s="817">
        <v>0.05</v>
      </c>
      <c r="K6169" s="817"/>
      <c r="L6169" s="817"/>
    </row>
    <row r="6170" spans="1:12" ht="17.100000000000001" customHeight="1">
      <c r="A6170" s="626" t="s">
        <v>12709</v>
      </c>
      <c r="B6170" s="627" t="s">
        <v>13466</v>
      </c>
      <c r="C6170" s="626" t="s">
        <v>8</v>
      </c>
      <c r="D6170" s="626" t="s">
        <v>11315</v>
      </c>
      <c r="E6170" s="628" t="s">
        <v>35</v>
      </c>
      <c r="F6170" s="816" t="s">
        <v>14636</v>
      </c>
      <c r="G6170" s="816"/>
      <c r="H6170" s="816">
        <v>8.0000000000000002E-3</v>
      </c>
      <c r="I6170" s="816"/>
      <c r="J6170" s="817">
        <v>0.55000000000000004</v>
      </c>
      <c r="K6170" s="817"/>
      <c r="L6170" s="817"/>
    </row>
    <row r="6171" spans="1:12" ht="24" customHeight="1">
      <c r="A6171" s="626" t="s">
        <v>12709</v>
      </c>
      <c r="B6171" s="627" t="s">
        <v>13468</v>
      </c>
      <c r="C6171" s="626" t="s">
        <v>8</v>
      </c>
      <c r="D6171" s="626" t="s">
        <v>7343</v>
      </c>
      <c r="E6171" s="628" t="s">
        <v>35</v>
      </c>
      <c r="F6171" s="816" t="s">
        <v>14635</v>
      </c>
      <c r="G6171" s="816"/>
      <c r="H6171" s="816">
        <v>7.0000000000000001E-3</v>
      </c>
      <c r="I6171" s="816"/>
      <c r="J6171" s="817">
        <v>0.55000000000000004</v>
      </c>
      <c r="K6171" s="817"/>
      <c r="L6171" s="817"/>
    </row>
    <row r="6172" spans="1:12" ht="24" customHeight="1">
      <c r="A6172" s="626" t="s">
        <v>12709</v>
      </c>
      <c r="B6172" s="627" t="s">
        <v>13533</v>
      </c>
      <c r="C6172" s="626" t="s">
        <v>8</v>
      </c>
      <c r="D6172" s="626" t="s">
        <v>9762</v>
      </c>
      <c r="E6172" s="628" t="s">
        <v>35</v>
      </c>
      <c r="F6172" s="816" t="s">
        <v>13781</v>
      </c>
      <c r="G6172" s="816"/>
      <c r="H6172" s="816">
        <v>1</v>
      </c>
      <c r="I6172" s="816"/>
      <c r="J6172" s="817">
        <v>0.55000000000000004</v>
      </c>
      <c r="K6172" s="817"/>
      <c r="L6172" s="817"/>
    </row>
    <row r="6173" spans="1:12" ht="17.100000000000001" customHeight="1">
      <c r="A6173" s="636"/>
      <c r="B6173" s="636"/>
      <c r="C6173" s="636"/>
      <c r="D6173" s="636"/>
      <c r="E6173" s="636"/>
      <c r="F6173" s="636"/>
      <c r="G6173" s="636"/>
      <c r="H6173" s="636"/>
      <c r="I6173" s="636"/>
      <c r="J6173" s="636" t="s">
        <v>13675</v>
      </c>
      <c r="K6173" s="636"/>
      <c r="L6173" s="636" t="s">
        <v>13833</v>
      </c>
    </row>
    <row r="6174" spans="1:12">
      <c r="A6174" s="802" t="s">
        <v>12722</v>
      </c>
      <c r="B6174" s="802"/>
      <c r="C6174" s="802"/>
      <c r="D6174" s="802"/>
      <c r="E6174" s="802"/>
      <c r="F6174" s="802"/>
      <c r="G6174" s="802"/>
      <c r="H6174" s="802"/>
      <c r="I6174" s="612"/>
      <c r="J6174" s="612"/>
      <c r="K6174" s="612"/>
      <c r="L6174" s="612"/>
    </row>
    <row r="6175" spans="1:12" ht="17.100000000000001" customHeight="1">
      <c r="A6175" s="612" t="s">
        <v>13679</v>
      </c>
      <c r="B6175" s="636" t="s">
        <v>12698</v>
      </c>
      <c r="C6175" s="612" t="s">
        <v>12699</v>
      </c>
      <c r="D6175" s="612" t="s">
        <v>12700</v>
      </c>
      <c r="E6175" s="637" t="s">
        <v>12702</v>
      </c>
      <c r="F6175" s="801" t="s">
        <v>12704</v>
      </c>
      <c r="G6175" s="801"/>
      <c r="H6175" s="801" t="s">
        <v>13678</v>
      </c>
      <c r="I6175" s="801"/>
      <c r="J6175" s="801" t="s">
        <v>12705</v>
      </c>
      <c r="K6175" s="801"/>
      <c r="L6175" s="801"/>
    </row>
    <row r="6176" spans="1:12" ht="24" customHeight="1">
      <c r="A6176" s="626" t="s">
        <v>12709</v>
      </c>
      <c r="B6176" s="627" t="s">
        <v>12998</v>
      </c>
      <c r="C6176" s="626" t="s">
        <v>8</v>
      </c>
      <c r="D6176" s="626" t="s">
        <v>11861</v>
      </c>
      <c r="E6176" s="628" t="s">
        <v>23</v>
      </c>
      <c r="F6176" s="816" t="s">
        <v>13683</v>
      </c>
      <c r="G6176" s="816"/>
      <c r="H6176" s="816">
        <v>0.1769008</v>
      </c>
      <c r="I6176" s="816"/>
      <c r="J6176" s="817">
        <v>0.12559999999999999</v>
      </c>
      <c r="K6176" s="817"/>
      <c r="L6176" s="817"/>
    </row>
    <row r="6177" spans="1:12" ht="24" customHeight="1">
      <c r="A6177" s="636"/>
      <c r="B6177" s="636"/>
      <c r="C6177" s="636"/>
      <c r="D6177" s="636"/>
      <c r="E6177" s="636"/>
      <c r="F6177" s="636"/>
      <c r="G6177" s="636"/>
      <c r="H6177" s="636"/>
      <c r="I6177" s="636"/>
      <c r="J6177" s="636" t="s">
        <v>13675</v>
      </c>
      <c r="K6177" s="636"/>
      <c r="L6177" s="636" t="s">
        <v>13875</v>
      </c>
    </row>
    <row r="6178" spans="1:12" ht="24" customHeight="1">
      <c r="A6178" s="802" t="s">
        <v>12713</v>
      </c>
      <c r="B6178" s="802"/>
      <c r="C6178" s="802"/>
      <c r="D6178" s="802"/>
      <c r="E6178" s="802"/>
      <c r="F6178" s="802"/>
      <c r="G6178" s="802"/>
      <c r="H6178" s="802"/>
      <c r="I6178" s="612"/>
      <c r="J6178" s="612"/>
      <c r="K6178" s="612"/>
      <c r="L6178" s="612"/>
    </row>
    <row r="6179" spans="1:12" ht="24" customHeight="1">
      <c r="A6179" s="612" t="s">
        <v>13679</v>
      </c>
      <c r="B6179" s="636" t="s">
        <v>12698</v>
      </c>
      <c r="C6179" s="612" t="s">
        <v>12699</v>
      </c>
      <c r="D6179" s="612" t="s">
        <v>12700</v>
      </c>
      <c r="E6179" s="637" t="s">
        <v>12702</v>
      </c>
      <c r="F6179" s="801" t="s">
        <v>12704</v>
      </c>
      <c r="G6179" s="801"/>
      <c r="H6179" s="801" t="s">
        <v>13678</v>
      </c>
      <c r="I6179" s="801"/>
      <c r="J6179" s="801" t="s">
        <v>12705</v>
      </c>
      <c r="K6179" s="801"/>
      <c r="L6179" s="801"/>
    </row>
    <row r="6180" spans="1:12" ht="17.100000000000001" customHeight="1">
      <c r="A6180" s="626" t="s">
        <v>12709</v>
      </c>
      <c r="B6180" s="627" t="s">
        <v>12999</v>
      </c>
      <c r="C6180" s="626" t="s">
        <v>8</v>
      </c>
      <c r="D6180" s="626" t="s">
        <v>11251</v>
      </c>
      <c r="E6180" s="628" t="s">
        <v>23</v>
      </c>
      <c r="F6180" s="816" t="s">
        <v>13681</v>
      </c>
      <c r="G6180" s="816"/>
      <c r="H6180" s="816">
        <v>0.1769008</v>
      </c>
      <c r="I6180" s="816"/>
      <c r="J6180" s="817">
        <v>1.24E-2</v>
      </c>
      <c r="K6180" s="817"/>
      <c r="L6180" s="817"/>
    </row>
    <row r="6181" spans="1:12">
      <c r="A6181" s="636"/>
      <c r="B6181" s="636"/>
      <c r="C6181" s="636"/>
      <c r="D6181" s="636"/>
      <c r="E6181" s="636"/>
      <c r="F6181" s="636"/>
      <c r="G6181" s="636"/>
      <c r="H6181" s="636"/>
      <c r="I6181" s="636"/>
      <c r="J6181" s="636" t="s">
        <v>13675</v>
      </c>
      <c r="K6181" s="636"/>
      <c r="L6181" s="636" t="s">
        <v>13728</v>
      </c>
    </row>
    <row r="6182" spans="1:12" ht="17.100000000000001" customHeight="1">
      <c r="A6182" s="802" t="s">
        <v>12712</v>
      </c>
      <c r="B6182" s="802"/>
      <c r="C6182" s="802"/>
      <c r="D6182" s="802"/>
      <c r="E6182" s="802"/>
      <c r="F6182" s="802"/>
      <c r="G6182" s="802"/>
      <c r="H6182" s="802"/>
      <c r="I6182" s="612"/>
      <c r="J6182" s="612"/>
      <c r="K6182" s="612"/>
      <c r="L6182" s="612"/>
    </row>
    <row r="6183" spans="1:12" ht="24" customHeight="1">
      <c r="A6183" s="612" t="s">
        <v>13679</v>
      </c>
      <c r="B6183" s="636" t="s">
        <v>12698</v>
      </c>
      <c r="C6183" s="612" t="s">
        <v>12699</v>
      </c>
      <c r="D6183" s="612" t="s">
        <v>12700</v>
      </c>
      <c r="E6183" s="637" t="s">
        <v>12702</v>
      </c>
      <c r="F6183" s="801" t="s">
        <v>12704</v>
      </c>
      <c r="G6183" s="801"/>
      <c r="H6183" s="801" t="s">
        <v>13678</v>
      </c>
      <c r="I6183" s="801"/>
      <c r="J6183" s="801" t="s">
        <v>12705</v>
      </c>
      <c r="K6183" s="801"/>
      <c r="L6183" s="801"/>
    </row>
    <row r="6184" spans="1:12" ht="17.100000000000001" customHeight="1">
      <c r="A6184" s="626" t="s">
        <v>12709</v>
      </c>
      <c r="B6184" s="627" t="s">
        <v>13002</v>
      </c>
      <c r="C6184" s="626" t="s">
        <v>8</v>
      </c>
      <c r="D6184" s="626" t="s">
        <v>9306</v>
      </c>
      <c r="E6184" s="628" t="s">
        <v>23</v>
      </c>
      <c r="F6184" s="816" t="s">
        <v>13677</v>
      </c>
      <c r="G6184" s="816"/>
      <c r="H6184" s="816">
        <v>0.1769008</v>
      </c>
      <c r="I6184" s="816"/>
      <c r="J6184" s="817">
        <v>6.1899999999999997E-2</v>
      </c>
      <c r="K6184" s="817"/>
      <c r="L6184" s="817"/>
    </row>
    <row r="6185" spans="1:12" ht="25.5">
      <c r="A6185" s="626" t="s">
        <v>12709</v>
      </c>
      <c r="B6185" s="627" t="s">
        <v>13004</v>
      </c>
      <c r="C6185" s="626" t="s">
        <v>8</v>
      </c>
      <c r="D6185" s="626" t="s">
        <v>7388</v>
      </c>
      <c r="E6185" s="628" t="s">
        <v>23</v>
      </c>
      <c r="F6185" s="816" t="s">
        <v>13676</v>
      </c>
      <c r="G6185" s="816"/>
      <c r="H6185" s="816">
        <v>0.1769008</v>
      </c>
      <c r="I6185" s="816"/>
      <c r="J6185" s="817">
        <v>0.38919999999999999</v>
      </c>
      <c r="K6185" s="817"/>
      <c r="L6185" s="817"/>
    </row>
    <row r="6186" spans="1:12" ht="17.100000000000001" customHeight="1">
      <c r="A6186" s="636"/>
      <c r="B6186" s="636"/>
      <c r="C6186" s="636"/>
      <c r="D6186" s="636"/>
      <c r="E6186" s="636"/>
      <c r="F6186" s="636"/>
      <c r="G6186" s="636"/>
      <c r="H6186" s="636"/>
      <c r="I6186" s="636"/>
      <c r="J6186" s="636" t="s">
        <v>13675</v>
      </c>
      <c r="K6186" s="636"/>
      <c r="L6186" s="636" t="s">
        <v>14034</v>
      </c>
    </row>
    <row r="6187" spans="1:12" ht="24" customHeight="1">
      <c r="A6187" s="612" t="s">
        <v>13673</v>
      </c>
      <c r="B6187" s="612"/>
      <c r="C6187" s="612"/>
      <c r="D6187" s="612"/>
      <c r="E6187" s="612"/>
      <c r="F6187" s="612"/>
      <c r="G6187" s="612"/>
      <c r="H6187" s="612"/>
      <c r="I6187" s="612"/>
      <c r="J6187" s="612"/>
      <c r="K6187" s="612"/>
      <c r="L6187" s="612"/>
    </row>
    <row r="6188" spans="1:12" ht="17.100000000000001" customHeight="1">
      <c r="A6188" s="636"/>
      <c r="B6188" s="636"/>
      <c r="C6188" s="636"/>
      <c r="D6188" s="636"/>
      <c r="E6188" s="636"/>
      <c r="F6188" s="636"/>
      <c r="G6188" s="636"/>
      <c r="H6188" s="636"/>
      <c r="I6188" s="636"/>
      <c r="J6188" s="636" t="s">
        <v>13672</v>
      </c>
      <c r="K6188" s="636"/>
      <c r="L6188" s="636" t="s">
        <v>15262</v>
      </c>
    </row>
    <row r="6189" spans="1:12">
      <c r="A6189" s="636"/>
      <c r="B6189" s="636"/>
      <c r="C6189" s="636"/>
      <c r="D6189" s="636"/>
      <c r="E6189" s="636"/>
      <c r="F6189" s="636"/>
      <c r="G6189" s="636"/>
      <c r="H6189" s="636"/>
      <c r="I6189" s="636"/>
      <c r="J6189" s="636" t="s">
        <v>13671</v>
      </c>
      <c r="K6189" s="636" t="s">
        <v>14461</v>
      </c>
      <c r="L6189" s="636" t="s">
        <v>15035</v>
      </c>
    </row>
    <row r="6190" spans="1:12" ht="17.100000000000001" customHeight="1">
      <c r="A6190" s="636"/>
      <c r="B6190" s="636"/>
      <c r="C6190" s="636"/>
      <c r="D6190" s="636"/>
      <c r="E6190" s="636"/>
      <c r="F6190" s="636"/>
      <c r="G6190" s="636"/>
      <c r="H6190" s="636"/>
      <c r="I6190" s="636"/>
      <c r="J6190" s="636" t="s">
        <v>13670</v>
      </c>
      <c r="K6190" s="636"/>
      <c r="L6190" s="636" t="s">
        <v>15263</v>
      </c>
    </row>
    <row r="6191" spans="1:12" ht="24" customHeight="1">
      <c r="A6191" s="636"/>
      <c r="B6191" s="636"/>
      <c r="C6191" s="636"/>
      <c r="D6191" s="636"/>
      <c r="E6191" s="636"/>
      <c r="F6191" s="636"/>
      <c r="G6191" s="636"/>
      <c r="H6191" s="636"/>
      <c r="I6191" s="636"/>
      <c r="J6191" s="636" t="s">
        <v>13669</v>
      </c>
      <c r="K6191" s="636" t="s">
        <v>13667</v>
      </c>
      <c r="L6191" s="636" t="s">
        <v>15038</v>
      </c>
    </row>
    <row r="6192" spans="1:12" ht="24" customHeight="1">
      <c r="A6192" s="636"/>
      <c r="B6192" s="636"/>
      <c r="C6192" s="636"/>
      <c r="D6192" s="636"/>
      <c r="E6192" s="636"/>
      <c r="F6192" s="636"/>
      <c r="G6192" s="636"/>
      <c r="H6192" s="636"/>
      <c r="I6192" s="636"/>
      <c r="J6192" s="636" t="s">
        <v>13668</v>
      </c>
      <c r="K6192" s="636"/>
      <c r="L6192" s="636" t="s">
        <v>15264</v>
      </c>
    </row>
    <row r="6193" spans="1:12" ht="17.100000000000001" customHeight="1">
      <c r="A6193" s="637"/>
      <c r="B6193" s="637"/>
      <c r="C6193" s="637"/>
      <c r="D6193" s="637"/>
      <c r="E6193" s="637"/>
      <c r="F6193" s="637"/>
      <c r="G6193" s="637"/>
      <c r="H6193" s="637"/>
      <c r="I6193" s="637"/>
      <c r="J6193" s="637"/>
      <c r="K6193" s="637"/>
      <c r="L6193" s="637"/>
    </row>
    <row r="6194" spans="1:12" ht="17.100000000000001" customHeight="1">
      <c r="A6194" s="616" t="s">
        <v>14036</v>
      </c>
      <c r="B6194" s="617" t="s">
        <v>13530</v>
      </c>
      <c r="C6194" s="616" t="s">
        <v>8</v>
      </c>
      <c r="D6194" s="616" t="s">
        <v>384</v>
      </c>
      <c r="E6194" s="618" t="s">
        <v>35</v>
      </c>
      <c r="F6194" s="617"/>
      <c r="G6194" s="617"/>
      <c r="H6194" s="617"/>
      <c r="I6194" s="617"/>
      <c r="J6194" s="617"/>
      <c r="K6194" s="617"/>
      <c r="L6194" s="617"/>
    </row>
    <row r="6195" spans="1:12" ht="17.100000000000001" customHeight="1">
      <c r="A6195" s="802" t="s">
        <v>12711</v>
      </c>
      <c r="B6195" s="802"/>
      <c r="C6195" s="802"/>
      <c r="D6195" s="802"/>
      <c r="E6195" s="802"/>
      <c r="F6195" s="802"/>
      <c r="G6195" s="802"/>
      <c r="H6195" s="802"/>
      <c r="I6195" s="612"/>
      <c r="J6195" s="612"/>
      <c r="K6195" s="612"/>
      <c r="L6195" s="612"/>
    </row>
    <row r="6196" spans="1:12" ht="17.100000000000001" customHeight="1">
      <c r="A6196" s="612" t="s">
        <v>13679</v>
      </c>
      <c r="B6196" s="636" t="s">
        <v>12698</v>
      </c>
      <c r="C6196" s="612" t="s">
        <v>12699</v>
      </c>
      <c r="D6196" s="612" t="s">
        <v>12700</v>
      </c>
      <c r="E6196" s="637" t="s">
        <v>12702</v>
      </c>
      <c r="F6196" s="801" t="s">
        <v>12704</v>
      </c>
      <c r="G6196" s="801"/>
      <c r="H6196" s="801" t="s">
        <v>13678</v>
      </c>
      <c r="I6196" s="801"/>
      <c r="J6196" s="801" t="s">
        <v>12705</v>
      </c>
      <c r="K6196" s="801"/>
      <c r="L6196" s="801"/>
    </row>
    <row r="6197" spans="1:12" ht="17.100000000000001" customHeight="1">
      <c r="A6197" s="626" t="s">
        <v>12709</v>
      </c>
      <c r="B6197" s="627" t="s">
        <v>13201</v>
      </c>
      <c r="C6197" s="626" t="s">
        <v>8</v>
      </c>
      <c r="D6197" s="626" t="s">
        <v>9221</v>
      </c>
      <c r="E6197" s="628" t="s">
        <v>23</v>
      </c>
      <c r="F6197" s="816" t="s">
        <v>13705</v>
      </c>
      <c r="G6197" s="816"/>
      <c r="H6197" s="816">
        <v>0.17534939999999999</v>
      </c>
      <c r="I6197" s="816"/>
      <c r="J6197" s="817">
        <v>0.14549999999999999</v>
      </c>
      <c r="K6197" s="817"/>
      <c r="L6197" s="817"/>
    </row>
    <row r="6198" spans="1:12" ht="17.100000000000001" customHeight="1">
      <c r="A6198" s="626" t="s">
        <v>12709</v>
      </c>
      <c r="B6198" s="627" t="s">
        <v>13200</v>
      </c>
      <c r="C6198" s="626" t="s">
        <v>8</v>
      </c>
      <c r="D6198" s="626" t="s">
        <v>9368</v>
      </c>
      <c r="E6198" s="628" t="s">
        <v>23</v>
      </c>
      <c r="F6198" s="816" t="s">
        <v>13704</v>
      </c>
      <c r="G6198" s="816"/>
      <c r="H6198" s="816">
        <v>0.17534939999999999</v>
      </c>
      <c r="I6198" s="816"/>
      <c r="J6198" s="817">
        <v>4.2099999999999999E-2</v>
      </c>
      <c r="K6198" s="817"/>
      <c r="L6198" s="817"/>
    </row>
    <row r="6199" spans="1:12" ht="17.100000000000001" customHeight="1">
      <c r="A6199" s="636"/>
      <c r="B6199" s="636"/>
      <c r="C6199" s="636"/>
      <c r="D6199" s="636"/>
      <c r="E6199" s="636"/>
      <c r="F6199" s="636"/>
      <c r="G6199" s="636"/>
      <c r="H6199" s="636"/>
      <c r="I6199" s="636"/>
      <c r="J6199" s="636" t="s">
        <v>13675</v>
      </c>
      <c r="K6199" s="636"/>
      <c r="L6199" s="636" t="s">
        <v>13865</v>
      </c>
    </row>
    <row r="6200" spans="1:12" ht="30" customHeight="1">
      <c r="A6200" s="802" t="s">
        <v>12710</v>
      </c>
      <c r="B6200" s="802"/>
      <c r="C6200" s="802"/>
      <c r="D6200" s="802"/>
      <c r="E6200" s="802"/>
      <c r="F6200" s="802"/>
      <c r="G6200" s="802"/>
      <c r="H6200" s="802"/>
      <c r="I6200" s="612"/>
      <c r="J6200" s="612"/>
      <c r="K6200" s="612"/>
      <c r="L6200" s="612"/>
    </row>
    <row r="6201" spans="1:12" ht="24" customHeight="1">
      <c r="A6201" s="612" t="s">
        <v>13679</v>
      </c>
      <c r="B6201" s="636" t="s">
        <v>12698</v>
      </c>
      <c r="C6201" s="612" t="s">
        <v>12699</v>
      </c>
      <c r="D6201" s="612" t="s">
        <v>12700</v>
      </c>
      <c r="E6201" s="637" t="s">
        <v>12702</v>
      </c>
      <c r="F6201" s="801" t="s">
        <v>12704</v>
      </c>
      <c r="G6201" s="801"/>
      <c r="H6201" s="801" t="s">
        <v>13678</v>
      </c>
      <c r="I6201" s="801"/>
      <c r="J6201" s="801" t="s">
        <v>12705</v>
      </c>
      <c r="K6201" s="801"/>
      <c r="L6201" s="801"/>
    </row>
    <row r="6202" spans="1:12" ht="14.25" customHeight="1">
      <c r="A6202" s="626" t="s">
        <v>12709</v>
      </c>
      <c r="B6202" s="627" t="s">
        <v>13220</v>
      </c>
      <c r="C6202" s="626" t="s">
        <v>8</v>
      </c>
      <c r="D6202" s="626" t="s">
        <v>7592</v>
      </c>
      <c r="E6202" s="628" t="s">
        <v>23</v>
      </c>
      <c r="F6202" s="816" t="s">
        <v>13890</v>
      </c>
      <c r="G6202" s="816"/>
      <c r="H6202" s="816">
        <v>8.98785E-2</v>
      </c>
      <c r="I6202" s="816"/>
      <c r="J6202" s="817">
        <v>0.45479999999999998</v>
      </c>
      <c r="K6202" s="817"/>
      <c r="L6202" s="817"/>
    </row>
    <row r="6203" spans="1:12" ht="17.100000000000001" customHeight="1">
      <c r="A6203" s="626" t="s">
        <v>12709</v>
      </c>
      <c r="B6203" s="627" t="s">
        <v>13202</v>
      </c>
      <c r="C6203" s="626" t="s">
        <v>8</v>
      </c>
      <c r="D6203" s="626" t="s">
        <v>9187</v>
      </c>
      <c r="E6203" s="628" t="s">
        <v>23</v>
      </c>
      <c r="F6203" s="816" t="s">
        <v>14479</v>
      </c>
      <c r="G6203" s="816"/>
      <c r="H6203" s="816">
        <v>8.98785E-2</v>
      </c>
      <c r="I6203" s="816"/>
      <c r="J6203" s="817">
        <v>0.64259999999999995</v>
      </c>
      <c r="K6203" s="817"/>
      <c r="L6203" s="817"/>
    </row>
    <row r="6204" spans="1:12" ht="24" customHeight="1">
      <c r="A6204" s="636"/>
      <c r="B6204" s="636"/>
      <c r="C6204" s="636"/>
      <c r="D6204" s="636"/>
      <c r="E6204" s="636"/>
      <c r="F6204" s="636"/>
      <c r="G6204" s="636"/>
      <c r="H6204" s="636"/>
      <c r="I6204" s="636"/>
      <c r="J6204" s="636" t="s">
        <v>13675</v>
      </c>
      <c r="K6204" s="636"/>
      <c r="L6204" s="636" t="s">
        <v>14038</v>
      </c>
    </row>
    <row r="6205" spans="1:12" ht="24" customHeight="1">
      <c r="A6205" s="802" t="s">
        <v>12720</v>
      </c>
      <c r="B6205" s="802"/>
      <c r="C6205" s="802"/>
      <c r="D6205" s="802"/>
      <c r="E6205" s="802"/>
      <c r="F6205" s="802"/>
      <c r="G6205" s="802"/>
      <c r="H6205" s="802"/>
      <c r="I6205" s="612"/>
      <c r="J6205" s="612"/>
      <c r="K6205" s="612"/>
      <c r="L6205" s="612"/>
    </row>
    <row r="6206" spans="1:12" ht="17.100000000000001" customHeight="1">
      <c r="A6206" s="612" t="s">
        <v>13679</v>
      </c>
      <c r="B6206" s="636" t="s">
        <v>12698</v>
      </c>
      <c r="C6206" s="612" t="s">
        <v>12699</v>
      </c>
      <c r="D6206" s="612" t="s">
        <v>12700</v>
      </c>
      <c r="E6206" s="637" t="s">
        <v>12702</v>
      </c>
      <c r="F6206" s="801" t="s">
        <v>12704</v>
      </c>
      <c r="G6206" s="801"/>
      <c r="H6206" s="801" t="s">
        <v>13678</v>
      </c>
      <c r="I6206" s="801"/>
      <c r="J6206" s="801" t="s">
        <v>12705</v>
      </c>
      <c r="K6206" s="801"/>
      <c r="L6206" s="801"/>
    </row>
    <row r="6207" spans="1:12" ht="14.25" customHeight="1">
      <c r="A6207" s="626" t="s">
        <v>12709</v>
      </c>
      <c r="B6207" s="627" t="s">
        <v>13467</v>
      </c>
      <c r="C6207" s="626" t="s">
        <v>8</v>
      </c>
      <c r="D6207" s="626" t="s">
        <v>9987</v>
      </c>
      <c r="E6207" s="628" t="s">
        <v>35</v>
      </c>
      <c r="F6207" s="816" t="s">
        <v>13998</v>
      </c>
      <c r="G6207" s="816"/>
      <c r="H6207" s="816">
        <v>0.02</v>
      </c>
      <c r="I6207" s="816"/>
      <c r="J6207" s="817">
        <v>0.03</v>
      </c>
      <c r="K6207" s="817"/>
      <c r="L6207" s="817"/>
    </row>
    <row r="6208" spans="1:12" ht="17.100000000000001" customHeight="1">
      <c r="A6208" s="626" t="s">
        <v>12709</v>
      </c>
      <c r="B6208" s="627" t="s">
        <v>13466</v>
      </c>
      <c r="C6208" s="626" t="s">
        <v>8</v>
      </c>
      <c r="D6208" s="626" t="s">
        <v>11315</v>
      </c>
      <c r="E6208" s="628" t="s">
        <v>35</v>
      </c>
      <c r="F6208" s="816" t="s">
        <v>14636</v>
      </c>
      <c r="G6208" s="816"/>
      <c r="H6208" s="816">
        <v>1.4E-2</v>
      </c>
      <c r="I6208" s="816"/>
      <c r="J6208" s="817">
        <v>0.97</v>
      </c>
      <c r="K6208" s="817"/>
      <c r="L6208" s="817"/>
    </row>
    <row r="6209" spans="1:12" ht="24" customHeight="1">
      <c r="A6209" s="626" t="s">
        <v>12709</v>
      </c>
      <c r="B6209" s="627" t="s">
        <v>13468</v>
      </c>
      <c r="C6209" s="626" t="s">
        <v>8</v>
      </c>
      <c r="D6209" s="626" t="s">
        <v>7343</v>
      </c>
      <c r="E6209" s="628" t="s">
        <v>35</v>
      </c>
      <c r="F6209" s="816" t="s">
        <v>14635</v>
      </c>
      <c r="G6209" s="816"/>
      <c r="H6209" s="816">
        <v>1.2E-2</v>
      </c>
      <c r="I6209" s="816"/>
      <c r="J6209" s="817">
        <v>0.95</v>
      </c>
      <c r="K6209" s="817"/>
      <c r="L6209" s="817"/>
    </row>
    <row r="6210" spans="1:12" ht="24" customHeight="1">
      <c r="A6210" s="626" t="s">
        <v>12709</v>
      </c>
      <c r="B6210" s="627" t="s">
        <v>13529</v>
      </c>
      <c r="C6210" s="626" t="s">
        <v>8</v>
      </c>
      <c r="D6210" s="626" t="s">
        <v>9764</v>
      </c>
      <c r="E6210" s="628" t="s">
        <v>35</v>
      </c>
      <c r="F6210" s="816" t="s">
        <v>14667</v>
      </c>
      <c r="G6210" s="816"/>
      <c r="H6210" s="816">
        <v>1</v>
      </c>
      <c r="I6210" s="816"/>
      <c r="J6210" s="817">
        <v>3.94</v>
      </c>
      <c r="K6210" s="817"/>
      <c r="L6210" s="817"/>
    </row>
    <row r="6211" spans="1:12" ht="17.100000000000001" customHeight="1">
      <c r="A6211" s="636"/>
      <c r="B6211" s="636"/>
      <c r="C6211" s="636"/>
      <c r="D6211" s="636"/>
      <c r="E6211" s="636"/>
      <c r="F6211" s="636"/>
      <c r="G6211" s="636"/>
      <c r="H6211" s="636"/>
      <c r="I6211" s="636"/>
      <c r="J6211" s="636" t="s">
        <v>13675</v>
      </c>
      <c r="K6211" s="636"/>
      <c r="L6211" s="636" t="s">
        <v>14666</v>
      </c>
    </row>
    <row r="6212" spans="1:12">
      <c r="A6212" s="802" t="s">
        <v>12722</v>
      </c>
      <c r="B6212" s="802"/>
      <c r="C6212" s="802"/>
      <c r="D6212" s="802"/>
      <c r="E6212" s="802"/>
      <c r="F6212" s="802"/>
      <c r="G6212" s="802"/>
      <c r="H6212" s="802"/>
      <c r="I6212" s="612"/>
      <c r="J6212" s="612"/>
      <c r="K6212" s="612"/>
      <c r="L6212" s="612"/>
    </row>
    <row r="6213" spans="1:12" ht="17.100000000000001" customHeight="1">
      <c r="A6213" s="612" t="s">
        <v>13679</v>
      </c>
      <c r="B6213" s="636" t="s">
        <v>12698</v>
      </c>
      <c r="C6213" s="612" t="s">
        <v>12699</v>
      </c>
      <c r="D6213" s="612" t="s">
        <v>12700</v>
      </c>
      <c r="E6213" s="637" t="s">
        <v>12702</v>
      </c>
      <c r="F6213" s="801" t="s">
        <v>12704</v>
      </c>
      <c r="G6213" s="801"/>
      <c r="H6213" s="801" t="s">
        <v>13678</v>
      </c>
      <c r="I6213" s="801"/>
      <c r="J6213" s="801" t="s">
        <v>12705</v>
      </c>
      <c r="K6213" s="801"/>
      <c r="L6213" s="801"/>
    </row>
    <row r="6214" spans="1:12" ht="24" customHeight="1">
      <c r="A6214" s="626" t="s">
        <v>12709</v>
      </c>
      <c r="B6214" s="627" t="s">
        <v>12998</v>
      </c>
      <c r="C6214" s="626" t="s">
        <v>8</v>
      </c>
      <c r="D6214" s="626" t="s">
        <v>11861</v>
      </c>
      <c r="E6214" s="628" t="s">
        <v>23</v>
      </c>
      <c r="F6214" s="816" t="s">
        <v>13683</v>
      </c>
      <c r="G6214" s="816"/>
      <c r="H6214" s="816">
        <v>0.17534939999999999</v>
      </c>
      <c r="I6214" s="816"/>
      <c r="J6214" s="817">
        <v>0.1245</v>
      </c>
      <c r="K6214" s="817"/>
      <c r="L6214" s="817"/>
    </row>
    <row r="6215" spans="1:12" ht="17.100000000000001" customHeight="1">
      <c r="A6215" s="636"/>
      <c r="B6215" s="636"/>
      <c r="C6215" s="636"/>
      <c r="D6215" s="636"/>
      <c r="E6215" s="636"/>
      <c r="F6215" s="636"/>
      <c r="G6215" s="636"/>
      <c r="H6215" s="636"/>
      <c r="I6215" s="636"/>
      <c r="J6215" s="636" t="s">
        <v>13675</v>
      </c>
      <c r="K6215" s="636"/>
      <c r="L6215" s="636" t="s">
        <v>13751</v>
      </c>
    </row>
    <row r="6216" spans="1:12">
      <c r="A6216" s="802" t="s">
        <v>12713</v>
      </c>
      <c r="B6216" s="802"/>
      <c r="C6216" s="802"/>
      <c r="D6216" s="802"/>
      <c r="E6216" s="802"/>
      <c r="F6216" s="802"/>
      <c r="G6216" s="802"/>
      <c r="H6216" s="802"/>
      <c r="I6216" s="612"/>
      <c r="J6216" s="612"/>
      <c r="K6216" s="612"/>
      <c r="L6216" s="612"/>
    </row>
    <row r="6217" spans="1:12" ht="17.100000000000001" customHeight="1">
      <c r="A6217" s="612" t="s">
        <v>13679</v>
      </c>
      <c r="B6217" s="636" t="s">
        <v>12698</v>
      </c>
      <c r="C6217" s="612" t="s">
        <v>12699</v>
      </c>
      <c r="D6217" s="612" t="s">
        <v>12700</v>
      </c>
      <c r="E6217" s="637" t="s">
        <v>12702</v>
      </c>
      <c r="F6217" s="801" t="s">
        <v>12704</v>
      </c>
      <c r="G6217" s="801"/>
      <c r="H6217" s="801" t="s">
        <v>13678</v>
      </c>
      <c r="I6217" s="801"/>
      <c r="J6217" s="801" t="s">
        <v>12705</v>
      </c>
      <c r="K6217" s="801"/>
      <c r="L6217" s="801"/>
    </row>
    <row r="6218" spans="1:12" ht="24" customHeight="1">
      <c r="A6218" s="626" t="s">
        <v>12709</v>
      </c>
      <c r="B6218" s="627" t="s">
        <v>12999</v>
      </c>
      <c r="C6218" s="626" t="s">
        <v>8</v>
      </c>
      <c r="D6218" s="626" t="s">
        <v>11251</v>
      </c>
      <c r="E6218" s="628" t="s">
        <v>23</v>
      </c>
      <c r="F6218" s="816" t="s">
        <v>13681</v>
      </c>
      <c r="G6218" s="816"/>
      <c r="H6218" s="816">
        <v>0.17534939999999999</v>
      </c>
      <c r="I6218" s="816"/>
      <c r="J6218" s="817">
        <v>1.23E-2</v>
      </c>
      <c r="K6218" s="817"/>
      <c r="L6218" s="817"/>
    </row>
    <row r="6219" spans="1:12" ht="17.100000000000001" customHeight="1">
      <c r="A6219" s="636"/>
      <c r="B6219" s="636"/>
      <c r="C6219" s="636"/>
      <c r="D6219" s="636"/>
      <c r="E6219" s="636"/>
      <c r="F6219" s="636"/>
      <c r="G6219" s="636"/>
      <c r="H6219" s="636"/>
      <c r="I6219" s="636"/>
      <c r="J6219" s="636" t="s">
        <v>13675</v>
      </c>
      <c r="K6219" s="636"/>
      <c r="L6219" s="636" t="s">
        <v>13728</v>
      </c>
    </row>
    <row r="6220" spans="1:12">
      <c r="A6220" s="802" t="s">
        <v>12712</v>
      </c>
      <c r="B6220" s="802"/>
      <c r="C6220" s="802"/>
      <c r="D6220" s="802"/>
      <c r="E6220" s="802"/>
      <c r="F6220" s="802"/>
      <c r="G6220" s="802"/>
      <c r="H6220" s="802"/>
      <c r="I6220" s="612"/>
      <c r="J6220" s="612"/>
      <c r="K6220" s="612"/>
      <c r="L6220" s="612"/>
    </row>
    <row r="6221" spans="1:12" ht="17.100000000000001" customHeight="1">
      <c r="A6221" s="612" t="s">
        <v>13679</v>
      </c>
      <c r="B6221" s="636" t="s">
        <v>12698</v>
      </c>
      <c r="C6221" s="612" t="s">
        <v>12699</v>
      </c>
      <c r="D6221" s="612" t="s">
        <v>12700</v>
      </c>
      <c r="E6221" s="637" t="s">
        <v>12702</v>
      </c>
      <c r="F6221" s="801" t="s">
        <v>12704</v>
      </c>
      <c r="G6221" s="801"/>
      <c r="H6221" s="801" t="s">
        <v>13678</v>
      </c>
      <c r="I6221" s="801"/>
      <c r="J6221" s="801" t="s">
        <v>12705</v>
      </c>
      <c r="K6221" s="801"/>
      <c r="L6221" s="801"/>
    </row>
    <row r="6222" spans="1:12" ht="24" customHeight="1">
      <c r="A6222" s="626" t="s">
        <v>12709</v>
      </c>
      <c r="B6222" s="627" t="s">
        <v>13002</v>
      </c>
      <c r="C6222" s="626" t="s">
        <v>8</v>
      </c>
      <c r="D6222" s="626" t="s">
        <v>9306</v>
      </c>
      <c r="E6222" s="628" t="s">
        <v>23</v>
      </c>
      <c r="F6222" s="816" t="s">
        <v>13677</v>
      </c>
      <c r="G6222" s="816"/>
      <c r="H6222" s="816">
        <v>0.17534939999999999</v>
      </c>
      <c r="I6222" s="816"/>
      <c r="J6222" s="817">
        <v>6.1400000000000003E-2</v>
      </c>
      <c r="K6222" s="817"/>
      <c r="L6222" s="817"/>
    </row>
    <row r="6223" spans="1:12" ht="17.100000000000001" customHeight="1">
      <c r="A6223" s="626" t="s">
        <v>12709</v>
      </c>
      <c r="B6223" s="627" t="s">
        <v>13004</v>
      </c>
      <c r="C6223" s="626" t="s">
        <v>8</v>
      </c>
      <c r="D6223" s="626" t="s">
        <v>7388</v>
      </c>
      <c r="E6223" s="628" t="s">
        <v>23</v>
      </c>
      <c r="F6223" s="816" t="s">
        <v>13676</v>
      </c>
      <c r="G6223" s="816"/>
      <c r="H6223" s="816">
        <v>0.17534939999999999</v>
      </c>
      <c r="I6223" s="816"/>
      <c r="J6223" s="817">
        <v>0.38579999999999998</v>
      </c>
      <c r="K6223" s="817"/>
      <c r="L6223" s="817"/>
    </row>
    <row r="6224" spans="1:12">
      <c r="A6224" s="636"/>
      <c r="B6224" s="636"/>
      <c r="C6224" s="636"/>
      <c r="D6224" s="636"/>
      <c r="E6224" s="636"/>
      <c r="F6224" s="636"/>
      <c r="G6224" s="636"/>
      <c r="H6224" s="636"/>
      <c r="I6224" s="636"/>
      <c r="J6224" s="636" t="s">
        <v>13675</v>
      </c>
      <c r="K6224" s="636"/>
      <c r="L6224" s="636" t="s">
        <v>14034</v>
      </c>
    </row>
    <row r="6225" spans="1:12" ht="17.100000000000001" customHeight="1">
      <c r="A6225" s="612" t="s">
        <v>13673</v>
      </c>
      <c r="B6225" s="612"/>
      <c r="C6225" s="612"/>
      <c r="D6225" s="612"/>
      <c r="E6225" s="612"/>
      <c r="F6225" s="612"/>
      <c r="G6225" s="612"/>
      <c r="H6225" s="612"/>
      <c r="I6225" s="612"/>
      <c r="J6225" s="612"/>
      <c r="K6225" s="612"/>
      <c r="L6225" s="612"/>
    </row>
    <row r="6226" spans="1:12" ht="24" customHeight="1">
      <c r="A6226" s="636"/>
      <c r="B6226" s="636"/>
      <c r="C6226" s="636"/>
      <c r="D6226" s="636"/>
      <c r="E6226" s="636"/>
      <c r="F6226" s="636"/>
      <c r="G6226" s="636"/>
      <c r="H6226" s="636"/>
      <c r="I6226" s="636"/>
      <c r="J6226" s="636" t="s">
        <v>13672</v>
      </c>
      <c r="K6226" s="636"/>
      <c r="L6226" s="636" t="s">
        <v>15270</v>
      </c>
    </row>
    <row r="6227" spans="1:12" ht="24" customHeight="1">
      <c r="A6227" s="636"/>
      <c r="B6227" s="636"/>
      <c r="C6227" s="636"/>
      <c r="D6227" s="636"/>
      <c r="E6227" s="636"/>
      <c r="F6227" s="636"/>
      <c r="G6227" s="636"/>
      <c r="H6227" s="636"/>
      <c r="I6227" s="636"/>
      <c r="J6227" s="636" t="s">
        <v>13671</v>
      </c>
      <c r="K6227" s="636" t="s">
        <v>14461</v>
      </c>
      <c r="L6227" s="636" t="s">
        <v>15271</v>
      </c>
    </row>
    <row r="6228" spans="1:12" ht="17.100000000000001" customHeight="1">
      <c r="A6228" s="636"/>
      <c r="B6228" s="636"/>
      <c r="C6228" s="636"/>
      <c r="D6228" s="636"/>
      <c r="E6228" s="636"/>
      <c r="F6228" s="636"/>
      <c r="G6228" s="636"/>
      <c r="H6228" s="636"/>
      <c r="I6228" s="636"/>
      <c r="J6228" s="636" t="s">
        <v>13670</v>
      </c>
      <c r="K6228" s="636"/>
      <c r="L6228" s="636" t="s">
        <v>15272</v>
      </c>
    </row>
    <row r="6229" spans="1:12" ht="17.100000000000001" customHeight="1">
      <c r="A6229" s="636"/>
      <c r="B6229" s="636"/>
      <c r="C6229" s="636"/>
      <c r="D6229" s="636"/>
      <c r="E6229" s="636"/>
      <c r="F6229" s="636"/>
      <c r="G6229" s="636"/>
      <c r="H6229" s="636"/>
      <c r="I6229" s="636"/>
      <c r="J6229" s="636" t="s">
        <v>13669</v>
      </c>
      <c r="K6229" s="636" t="s">
        <v>13667</v>
      </c>
      <c r="L6229" s="636" t="s">
        <v>15273</v>
      </c>
    </row>
    <row r="6230" spans="1:12" ht="17.100000000000001" customHeight="1">
      <c r="A6230" s="636"/>
      <c r="B6230" s="636"/>
      <c r="C6230" s="636"/>
      <c r="D6230" s="636"/>
      <c r="E6230" s="636"/>
      <c r="F6230" s="636"/>
      <c r="G6230" s="636"/>
      <c r="H6230" s="636"/>
      <c r="I6230" s="636"/>
      <c r="J6230" s="636" t="s">
        <v>13668</v>
      </c>
      <c r="K6230" s="636"/>
      <c r="L6230" s="636" t="s">
        <v>15274</v>
      </c>
    </row>
    <row r="6231" spans="1:12" ht="17.100000000000001" customHeight="1">
      <c r="A6231" s="637"/>
      <c r="B6231" s="637"/>
      <c r="C6231" s="637"/>
      <c r="D6231" s="637"/>
      <c r="E6231" s="637"/>
      <c r="F6231" s="637"/>
      <c r="G6231" s="637"/>
      <c r="H6231" s="637"/>
      <c r="I6231" s="637"/>
      <c r="J6231" s="637"/>
      <c r="K6231" s="637"/>
      <c r="L6231" s="637"/>
    </row>
    <row r="6232" spans="1:12" ht="17.100000000000001" customHeight="1">
      <c r="A6232" s="616" t="s">
        <v>14033</v>
      </c>
      <c r="B6232" s="617" t="s">
        <v>13524</v>
      </c>
      <c r="C6232" s="616" t="s">
        <v>8</v>
      </c>
      <c r="D6232" s="616" t="s">
        <v>1792</v>
      </c>
      <c r="E6232" s="618" t="s">
        <v>17</v>
      </c>
      <c r="F6232" s="617"/>
      <c r="G6232" s="617"/>
      <c r="H6232" s="617"/>
      <c r="I6232" s="617"/>
      <c r="J6232" s="617"/>
      <c r="K6232" s="617"/>
      <c r="L6232" s="617"/>
    </row>
    <row r="6233" spans="1:12" ht="17.100000000000001" customHeight="1">
      <c r="A6233" s="802" t="s">
        <v>12711</v>
      </c>
      <c r="B6233" s="802"/>
      <c r="C6233" s="802"/>
      <c r="D6233" s="802"/>
      <c r="E6233" s="802"/>
      <c r="F6233" s="802"/>
      <c r="G6233" s="802"/>
      <c r="H6233" s="802"/>
      <c r="I6233" s="612"/>
      <c r="J6233" s="612"/>
      <c r="K6233" s="612"/>
      <c r="L6233" s="612"/>
    </row>
    <row r="6234" spans="1:12" ht="17.100000000000001" customHeight="1">
      <c r="A6234" s="612" t="s">
        <v>13679</v>
      </c>
      <c r="B6234" s="636" t="s">
        <v>12698</v>
      </c>
      <c r="C6234" s="612" t="s">
        <v>12699</v>
      </c>
      <c r="D6234" s="612" t="s">
        <v>12700</v>
      </c>
      <c r="E6234" s="637" t="s">
        <v>12702</v>
      </c>
      <c r="F6234" s="801" t="s">
        <v>12704</v>
      </c>
      <c r="G6234" s="801"/>
      <c r="H6234" s="801" t="s">
        <v>13678</v>
      </c>
      <c r="I6234" s="801"/>
      <c r="J6234" s="801" t="s">
        <v>12705</v>
      </c>
      <c r="K6234" s="801"/>
      <c r="L6234" s="801"/>
    </row>
    <row r="6235" spans="1:12" ht="30" customHeight="1">
      <c r="A6235" s="626" t="s">
        <v>12709</v>
      </c>
      <c r="B6235" s="627" t="s">
        <v>13201</v>
      </c>
      <c r="C6235" s="626" t="s">
        <v>8</v>
      </c>
      <c r="D6235" s="626" t="s">
        <v>9221</v>
      </c>
      <c r="E6235" s="628" t="s">
        <v>23</v>
      </c>
      <c r="F6235" s="816" t="s">
        <v>13705</v>
      </c>
      <c r="G6235" s="816"/>
      <c r="H6235" s="816">
        <v>3.1179800000000001E-2</v>
      </c>
      <c r="I6235" s="816"/>
      <c r="J6235" s="817">
        <v>2.5899999999999999E-2</v>
      </c>
      <c r="K6235" s="817"/>
      <c r="L6235" s="817"/>
    </row>
    <row r="6236" spans="1:12" ht="24" customHeight="1">
      <c r="A6236" s="626" t="s">
        <v>12709</v>
      </c>
      <c r="B6236" s="627" t="s">
        <v>13200</v>
      </c>
      <c r="C6236" s="626" t="s">
        <v>8</v>
      </c>
      <c r="D6236" s="626" t="s">
        <v>9368</v>
      </c>
      <c r="E6236" s="628" t="s">
        <v>23</v>
      </c>
      <c r="F6236" s="816" t="s">
        <v>13704</v>
      </c>
      <c r="G6236" s="816"/>
      <c r="H6236" s="816">
        <v>3.1179800000000001E-2</v>
      </c>
      <c r="I6236" s="816"/>
      <c r="J6236" s="817">
        <v>7.4999999999999997E-3</v>
      </c>
      <c r="K6236" s="817"/>
      <c r="L6236" s="817"/>
    </row>
    <row r="6237" spans="1:12" ht="14.25" customHeight="1">
      <c r="A6237" s="636"/>
      <c r="B6237" s="636"/>
      <c r="C6237" s="636"/>
      <c r="D6237" s="636"/>
      <c r="E6237" s="636"/>
      <c r="F6237" s="636"/>
      <c r="G6237" s="636"/>
      <c r="H6237" s="636"/>
      <c r="I6237" s="636"/>
      <c r="J6237" s="636" t="s">
        <v>13675</v>
      </c>
      <c r="K6237" s="636"/>
      <c r="L6237" s="636" t="s">
        <v>13726</v>
      </c>
    </row>
    <row r="6238" spans="1:12" ht="17.100000000000001" customHeight="1">
      <c r="A6238" s="802" t="s">
        <v>12710</v>
      </c>
      <c r="B6238" s="802"/>
      <c r="C6238" s="802"/>
      <c r="D6238" s="802"/>
      <c r="E6238" s="802"/>
      <c r="F6238" s="802"/>
      <c r="G6238" s="802"/>
      <c r="H6238" s="802"/>
      <c r="I6238" s="612"/>
      <c r="J6238" s="612"/>
      <c r="K6238" s="612"/>
      <c r="L6238" s="612"/>
    </row>
    <row r="6239" spans="1:12" ht="24" customHeight="1">
      <c r="A6239" s="612" t="s">
        <v>13679</v>
      </c>
      <c r="B6239" s="636" t="s">
        <v>12698</v>
      </c>
      <c r="C6239" s="612" t="s">
        <v>12699</v>
      </c>
      <c r="D6239" s="612" t="s">
        <v>12700</v>
      </c>
      <c r="E6239" s="637" t="s">
        <v>12702</v>
      </c>
      <c r="F6239" s="801" t="s">
        <v>12704</v>
      </c>
      <c r="G6239" s="801"/>
      <c r="H6239" s="801" t="s">
        <v>13678</v>
      </c>
      <c r="I6239" s="801"/>
      <c r="J6239" s="801" t="s">
        <v>12705</v>
      </c>
      <c r="K6239" s="801"/>
      <c r="L6239" s="801"/>
    </row>
    <row r="6240" spans="1:12" ht="24" customHeight="1">
      <c r="A6240" s="626" t="s">
        <v>12709</v>
      </c>
      <c r="B6240" s="627" t="s">
        <v>13220</v>
      </c>
      <c r="C6240" s="626" t="s">
        <v>8</v>
      </c>
      <c r="D6240" s="626" t="s">
        <v>7592</v>
      </c>
      <c r="E6240" s="628" t="s">
        <v>23</v>
      </c>
      <c r="F6240" s="816" t="s">
        <v>13890</v>
      </c>
      <c r="G6240" s="816"/>
      <c r="H6240" s="816">
        <v>1.5938999999999998E-2</v>
      </c>
      <c r="I6240" s="816"/>
      <c r="J6240" s="817">
        <v>8.0699999999999994E-2</v>
      </c>
      <c r="K6240" s="817"/>
      <c r="L6240" s="817"/>
    </row>
    <row r="6241" spans="1:12" ht="17.100000000000001" customHeight="1">
      <c r="A6241" s="626" t="s">
        <v>12709</v>
      </c>
      <c r="B6241" s="627" t="s">
        <v>13202</v>
      </c>
      <c r="C6241" s="626" t="s">
        <v>8</v>
      </c>
      <c r="D6241" s="626" t="s">
        <v>9187</v>
      </c>
      <c r="E6241" s="628" t="s">
        <v>23</v>
      </c>
      <c r="F6241" s="816" t="s">
        <v>14479</v>
      </c>
      <c r="G6241" s="816"/>
      <c r="H6241" s="816">
        <v>1.5938999999999998E-2</v>
      </c>
      <c r="I6241" s="816"/>
      <c r="J6241" s="817">
        <v>0.114</v>
      </c>
      <c r="K6241" s="817"/>
      <c r="L6241" s="817"/>
    </row>
    <row r="6242" spans="1:12" ht="14.25" customHeight="1">
      <c r="A6242" s="636"/>
      <c r="B6242" s="636"/>
      <c r="C6242" s="636"/>
      <c r="D6242" s="636"/>
      <c r="E6242" s="636"/>
      <c r="F6242" s="636"/>
      <c r="G6242" s="636"/>
      <c r="H6242" s="636"/>
      <c r="I6242" s="636"/>
      <c r="J6242" s="636" t="s">
        <v>13675</v>
      </c>
      <c r="K6242" s="636"/>
      <c r="L6242" s="636" t="s">
        <v>13865</v>
      </c>
    </row>
    <row r="6243" spans="1:12" ht="17.100000000000001" customHeight="1">
      <c r="A6243" s="802" t="s">
        <v>12720</v>
      </c>
      <c r="B6243" s="802"/>
      <c r="C6243" s="802"/>
      <c r="D6243" s="802"/>
      <c r="E6243" s="802"/>
      <c r="F6243" s="802"/>
      <c r="G6243" s="802"/>
      <c r="H6243" s="802"/>
      <c r="I6243" s="612"/>
      <c r="J6243" s="612"/>
      <c r="K6243" s="612"/>
      <c r="L6243" s="612"/>
    </row>
    <row r="6244" spans="1:12" ht="24" customHeight="1">
      <c r="A6244" s="612" t="s">
        <v>13679</v>
      </c>
      <c r="B6244" s="636" t="s">
        <v>12698</v>
      </c>
      <c r="C6244" s="612" t="s">
        <v>12699</v>
      </c>
      <c r="D6244" s="612" t="s">
        <v>12700</v>
      </c>
      <c r="E6244" s="637" t="s">
        <v>12702</v>
      </c>
      <c r="F6244" s="801" t="s">
        <v>12704</v>
      </c>
      <c r="G6244" s="801"/>
      <c r="H6244" s="801" t="s">
        <v>13678</v>
      </c>
      <c r="I6244" s="801"/>
      <c r="J6244" s="801" t="s">
        <v>12705</v>
      </c>
      <c r="K6244" s="801"/>
      <c r="L6244" s="801"/>
    </row>
    <row r="6245" spans="1:12" ht="24" customHeight="1">
      <c r="A6245" s="626" t="s">
        <v>12709</v>
      </c>
      <c r="B6245" s="627" t="s">
        <v>13523</v>
      </c>
      <c r="C6245" s="626" t="s">
        <v>8</v>
      </c>
      <c r="D6245" s="626" t="s">
        <v>12188</v>
      </c>
      <c r="E6245" s="628" t="s">
        <v>17</v>
      </c>
      <c r="F6245" s="816" t="s">
        <v>14237</v>
      </c>
      <c r="G6245" s="816"/>
      <c r="H6245" s="816">
        <v>1.0609999999999999</v>
      </c>
      <c r="I6245" s="816"/>
      <c r="J6245" s="817">
        <v>2.99</v>
      </c>
      <c r="K6245" s="817"/>
      <c r="L6245" s="817"/>
    </row>
    <row r="6246" spans="1:12" ht="17.100000000000001" customHeight="1">
      <c r="A6246" s="636"/>
      <c r="B6246" s="636"/>
      <c r="C6246" s="636"/>
      <c r="D6246" s="636"/>
      <c r="E6246" s="636"/>
      <c r="F6246" s="636"/>
      <c r="G6246" s="636"/>
      <c r="H6246" s="636"/>
      <c r="I6246" s="636"/>
      <c r="J6246" s="636" t="s">
        <v>13675</v>
      </c>
      <c r="K6246" s="636"/>
      <c r="L6246" s="636" t="s">
        <v>14665</v>
      </c>
    </row>
    <row r="6247" spans="1:12">
      <c r="A6247" s="802" t="s">
        <v>12722</v>
      </c>
      <c r="B6247" s="802"/>
      <c r="C6247" s="802"/>
      <c r="D6247" s="802"/>
      <c r="E6247" s="802"/>
      <c r="F6247" s="802"/>
      <c r="G6247" s="802"/>
      <c r="H6247" s="802"/>
      <c r="I6247" s="612"/>
      <c r="J6247" s="612"/>
      <c r="K6247" s="612"/>
      <c r="L6247" s="612"/>
    </row>
    <row r="6248" spans="1:12" ht="17.100000000000001" customHeight="1">
      <c r="A6248" s="612" t="s">
        <v>13679</v>
      </c>
      <c r="B6248" s="636" t="s">
        <v>12698</v>
      </c>
      <c r="C6248" s="612" t="s">
        <v>12699</v>
      </c>
      <c r="D6248" s="612" t="s">
        <v>12700</v>
      </c>
      <c r="E6248" s="637" t="s">
        <v>12702</v>
      </c>
      <c r="F6248" s="801" t="s">
        <v>12704</v>
      </c>
      <c r="G6248" s="801"/>
      <c r="H6248" s="801" t="s">
        <v>13678</v>
      </c>
      <c r="I6248" s="801"/>
      <c r="J6248" s="801" t="s">
        <v>12705</v>
      </c>
      <c r="K6248" s="801"/>
      <c r="L6248" s="801"/>
    </row>
    <row r="6249" spans="1:12" ht="24" customHeight="1">
      <c r="A6249" s="626" t="s">
        <v>12709</v>
      </c>
      <c r="B6249" s="627" t="s">
        <v>12998</v>
      </c>
      <c r="C6249" s="626" t="s">
        <v>8</v>
      </c>
      <c r="D6249" s="626" t="s">
        <v>11861</v>
      </c>
      <c r="E6249" s="628" t="s">
        <v>23</v>
      </c>
      <c r="F6249" s="816" t="s">
        <v>13683</v>
      </c>
      <c r="G6249" s="816"/>
      <c r="H6249" s="816">
        <v>3.1179800000000001E-2</v>
      </c>
      <c r="I6249" s="816"/>
      <c r="J6249" s="817">
        <v>2.2100000000000002E-2</v>
      </c>
      <c r="K6249" s="817"/>
      <c r="L6249" s="817"/>
    </row>
    <row r="6250" spans="1:12" ht="17.100000000000001" customHeight="1">
      <c r="A6250" s="636"/>
      <c r="B6250" s="636"/>
      <c r="C6250" s="636"/>
      <c r="D6250" s="636"/>
      <c r="E6250" s="636"/>
      <c r="F6250" s="636"/>
      <c r="G6250" s="636"/>
      <c r="H6250" s="636"/>
      <c r="I6250" s="636"/>
      <c r="J6250" s="636" t="s">
        <v>13675</v>
      </c>
      <c r="K6250" s="636"/>
      <c r="L6250" s="636" t="s">
        <v>13680</v>
      </c>
    </row>
    <row r="6251" spans="1:12">
      <c r="A6251" s="802" t="s">
        <v>12713</v>
      </c>
      <c r="B6251" s="802"/>
      <c r="C6251" s="802"/>
      <c r="D6251" s="802"/>
      <c r="E6251" s="802"/>
      <c r="F6251" s="802"/>
      <c r="G6251" s="802"/>
      <c r="H6251" s="802"/>
      <c r="I6251" s="612"/>
      <c r="J6251" s="612"/>
      <c r="K6251" s="612"/>
      <c r="L6251" s="612"/>
    </row>
    <row r="6252" spans="1:12" ht="17.100000000000001" customHeight="1">
      <c r="A6252" s="612" t="s">
        <v>13679</v>
      </c>
      <c r="B6252" s="636" t="s">
        <v>12698</v>
      </c>
      <c r="C6252" s="612" t="s">
        <v>12699</v>
      </c>
      <c r="D6252" s="612" t="s">
        <v>12700</v>
      </c>
      <c r="E6252" s="637" t="s">
        <v>12702</v>
      </c>
      <c r="F6252" s="801" t="s">
        <v>12704</v>
      </c>
      <c r="G6252" s="801"/>
      <c r="H6252" s="801" t="s">
        <v>13678</v>
      </c>
      <c r="I6252" s="801"/>
      <c r="J6252" s="801" t="s">
        <v>12705</v>
      </c>
      <c r="K6252" s="801"/>
      <c r="L6252" s="801"/>
    </row>
    <row r="6253" spans="1:12" ht="24" customHeight="1">
      <c r="A6253" s="626" t="s">
        <v>12709</v>
      </c>
      <c r="B6253" s="627" t="s">
        <v>12999</v>
      </c>
      <c r="C6253" s="626" t="s">
        <v>8</v>
      </c>
      <c r="D6253" s="626" t="s">
        <v>11251</v>
      </c>
      <c r="E6253" s="628" t="s">
        <v>23</v>
      </c>
      <c r="F6253" s="816" t="s">
        <v>13681</v>
      </c>
      <c r="G6253" s="816"/>
      <c r="H6253" s="816">
        <v>3.1179800000000001E-2</v>
      </c>
      <c r="I6253" s="816"/>
      <c r="J6253" s="817">
        <v>2.2000000000000001E-3</v>
      </c>
      <c r="K6253" s="817"/>
      <c r="L6253" s="817"/>
    </row>
    <row r="6254" spans="1:12" ht="17.100000000000001" customHeight="1">
      <c r="A6254" s="636"/>
      <c r="B6254" s="636"/>
      <c r="C6254" s="636"/>
      <c r="D6254" s="636"/>
      <c r="E6254" s="636"/>
      <c r="F6254" s="636"/>
      <c r="G6254" s="636"/>
      <c r="H6254" s="636"/>
      <c r="I6254" s="636"/>
      <c r="J6254" s="636" t="s">
        <v>13675</v>
      </c>
      <c r="K6254" s="636"/>
      <c r="L6254" s="636" t="s">
        <v>13727</v>
      </c>
    </row>
    <row r="6255" spans="1:12">
      <c r="A6255" s="802" t="s">
        <v>12712</v>
      </c>
      <c r="B6255" s="802"/>
      <c r="C6255" s="802"/>
      <c r="D6255" s="802"/>
      <c r="E6255" s="802"/>
      <c r="F6255" s="802"/>
      <c r="G6255" s="802"/>
      <c r="H6255" s="802"/>
      <c r="I6255" s="612"/>
      <c r="J6255" s="612"/>
      <c r="K6255" s="612"/>
      <c r="L6255" s="612"/>
    </row>
    <row r="6256" spans="1:12" ht="17.100000000000001" customHeight="1">
      <c r="A6256" s="612" t="s">
        <v>13679</v>
      </c>
      <c r="B6256" s="636" t="s">
        <v>12698</v>
      </c>
      <c r="C6256" s="612" t="s">
        <v>12699</v>
      </c>
      <c r="D6256" s="612" t="s">
        <v>12700</v>
      </c>
      <c r="E6256" s="637" t="s">
        <v>12702</v>
      </c>
      <c r="F6256" s="801" t="s">
        <v>12704</v>
      </c>
      <c r="G6256" s="801"/>
      <c r="H6256" s="801" t="s">
        <v>13678</v>
      </c>
      <c r="I6256" s="801"/>
      <c r="J6256" s="801" t="s">
        <v>12705</v>
      </c>
      <c r="K6256" s="801"/>
      <c r="L6256" s="801"/>
    </row>
    <row r="6257" spans="1:12" ht="24" customHeight="1">
      <c r="A6257" s="626" t="s">
        <v>12709</v>
      </c>
      <c r="B6257" s="627" t="s">
        <v>13002</v>
      </c>
      <c r="C6257" s="626" t="s">
        <v>8</v>
      </c>
      <c r="D6257" s="626" t="s">
        <v>9306</v>
      </c>
      <c r="E6257" s="628" t="s">
        <v>23</v>
      </c>
      <c r="F6257" s="816" t="s">
        <v>13677</v>
      </c>
      <c r="G6257" s="816"/>
      <c r="H6257" s="816">
        <v>3.1179800000000001E-2</v>
      </c>
      <c r="I6257" s="816"/>
      <c r="J6257" s="817">
        <v>1.09E-2</v>
      </c>
      <c r="K6257" s="817"/>
      <c r="L6257" s="817"/>
    </row>
    <row r="6258" spans="1:12" ht="17.100000000000001" customHeight="1">
      <c r="A6258" s="626" t="s">
        <v>12709</v>
      </c>
      <c r="B6258" s="627" t="s">
        <v>13004</v>
      </c>
      <c r="C6258" s="626" t="s">
        <v>8</v>
      </c>
      <c r="D6258" s="626" t="s">
        <v>7388</v>
      </c>
      <c r="E6258" s="628" t="s">
        <v>23</v>
      </c>
      <c r="F6258" s="816" t="s">
        <v>13676</v>
      </c>
      <c r="G6258" s="816"/>
      <c r="H6258" s="816">
        <v>3.1179800000000001E-2</v>
      </c>
      <c r="I6258" s="816"/>
      <c r="J6258" s="817">
        <v>6.8599999999999994E-2</v>
      </c>
      <c r="K6258" s="817"/>
      <c r="L6258" s="817"/>
    </row>
    <row r="6259" spans="1:12">
      <c r="A6259" s="636"/>
      <c r="B6259" s="636"/>
      <c r="C6259" s="636"/>
      <c r="D6259" s="636"/>
      <c r="E6259" s="636"/>
      <c r="F6259" s="636"/>
      <c r="G6259" s="636"/>
      <c r="H6259" s="636"/>
      <c r="I6259" s="636"/>
      <c r="J6259" s="636" t="s">
        <v>13675</v>
      </c>
      <c r="K6259" s="636"/>
      <c r="L6259" s="636" t="s">
        <v>13892</v>
      </c>
    </row>
    <row r="6260" spans="1:12" ht="17.100000000000001" customHeight="1">
      <c r="A6260" s="612" t="s">
        <v>13673</v>
      </c>
      <c r="B6260" s="612"/>
      <c r="C6260" s="612"/>
      <c r="D6260" s="612"/>
      <c r="E6260" s="612"/>
      <c r="F6260" s="612"/>
      <c r="G6260" s="612"/>
      <c r="H6260" s="612"/>
      <c r="I6260" s="612"/>
      <c r="J6260" s="612"/>
      <c r="K6260" s="612"/>
      <c r="L6260" s="612"/>
    </row>
    <row r="6261" spans="1:12" ht="24" customHeight="1">
      <c r="A6261" s="636"/>
      <c r="B6261" s="636"/>
      <c r="C6261" s="636"/>
      <c r="D6261" s="636"/>
      <c r="E6261" s="636"/>
      <c r="F6261" s="636"/>
      <c r="G6261" s="636"/>
      <c r="H6261" s="636"/>
      <c r="I6261" s="636"/>
      <c r="J6261" s="636" t="s">
        <v>13672</v>
      </c>
      <c r="K6261" s="636"/>
      <c r="L6261" s="636" t="s">
        <v>15285</v>
      </c>
    </row>
    <row r="6262" spans="1:12" ht="24" customHeight="1">
      <c r="A6262" s="636"/>
      <c r="B6262" s="636"/>
      <c r="C6262" s="636"/>
      <c r="D6262" s="636"/>
      <c r="E6262" s="636"/>
      <c r="F6262" s="636"/>
      <c r="G6262" s="636"/>
      <c r="H6262" s="636"/>
      <c r="I6262" s="636"/>
      <c r="J6262" s="636" t="s">
        <v>13671</v>
      </c>
      <c r="K6262" s="636" t="s">
        <v>14461</v>
      </c>
      <c r="L6262" s="636" t="s">
        <v>15286</v>
      </c>
    </row>
    <row r="6263" spans="1:12" ht="17.100000000000001" customHeight="1">
      <c r="A6263" s="636"/>
      <c r="B6263" s="636"/>
      <c r="C6263" s="636"/>
      <c r="D6263" s="636"/>
      <c r="E6263" s="636"/>
      <c r="F6263" s="636"/>
      <c r="G6263" s="636"/>
      <c r="H6263" s="636"/>
      <c r="I6263" s="636"/>
      <c r="J6263" s="636" t="s">
        <v>13670</v>
      </c>
      <c r="K6263" s="636"/>
      <c r="L6263" s="636" t="s">
        <v>15287</v>
      </c>
    </row>
    <row r="6264" spans="1:12" ht="17.100000000000001" customHeight="1">
      <c r="A6264" s="636"/>
      <c r="B6264" s="636"/>
      <c r="C6264" s="636"/>
      <c r="D6264" s="636"/>
      <c r="E6264" s="636"/>
      <c r="F6264" s="636"/>
      <c r="G6264" s="636"/>
      <c r="H6264" s="636"/>
      <c r="I6264" s="636"/>
      <c r="J6264" s="636" t="s">
        <v>13669</v>
      </c>
      <c r="K6264" s="636" t="s">
        <v>13667</v>
      </c>
      <c r="L6264" s="636" t="s">
        <v>15288</v>
      </c>
    </row>
    <row r="6265" spans="1:12" ht="17.100000000000001" customHeight="1">
      <c r="A6265" s="636"/>
      <c r="B6265" s="636"/>
      <c r="C6265" s="636"/>
      <c r="D6265" s="636"/>
      <c r="E6265" s="636"/>
      <c r="F6265" s="636"/>
      <c r="G6265" s="636"/>
      <c r="H6265" s="636"/>
      <c r="I6265" s="636"/>
      <c r="J6265" s="636" t="s">
        <v>13668</v>
      </c>
      <c r="K6265" s="636"/>
      <c r="L6265" s="636" t="s">
        <v>15289</v>
      </c>
    </row>
    <row r="6266" spans="1:12" ht="17.100000000000001" customHeight="1">
      <c r="A6266" s="637"/>
      <c r="B6266" s="637"/>
      <c r="C6266" s="637"/>
      <c r="D6266" s="637"/>
      <c r="E6266" s="637"/>
      <c r="F6266" s="637"/>
      <c r="G6266" s="637"/>
      <c r="H6266" s="637"/>
      <c r="I6266" s="637"/>
      <c r="J6266" s="637"/>
      <c r="K6266" s="637"/>
      <c r="L6266" s="637"/>
    </row>
    <row r="6267" spans="1:12" ht="17.100000000000001" customHeight="1">
      <c r="A6267" s="616" t="s">
        <v>14032</v>
      </c>
      <c r="B6267" s="617" t="s">
        <v>13522</v>
      </c>
      <c r="C6267" s="616" t="s">
        <v>8</v>
      </c>
      <c r="D6267" s="616" t="s">
        <v>1793</v>
      </c>
      <c r="E6267" s="618" t="s">
        <v>17</v>
      </c>
      <c r="F6267" s="617"/>
      <c r="G6267" s="617"/>
      <c r="H6267" s="617"/>
      <c r="I6267" s="617"/>
      <c r="J6267" s="617"/>
      <c r="K6267" s="617"/>
      <c r="L6267" s="617"/>
    </row>
    <row r="6268" spans="1:12" ht="17.100000000000001" customHeight="1">
      <c r="A6268" s="802" t="s">
        <v>12711</v>
      </c>
      <c r="B6268" s="802"/>
      <c r="C6268" s="802"/>
      <c r="D6268" s="802"/>
      <c r="E6268" s="802"/>
      <c r="F6268" s="802"/>
      <c r="G6268" s="802"/>
      <c r="H6268" s="802"/>
      <c r="I6268" s="612"/>
      <c r="J6268" s="612"/>
      <c r="K6268" s="612"/>
      <c r="L6268" s="612"/>
    </row>
    <row r="6269" spans="1:12" ht="17.100000000000001" customHeight="1">
      <c r="A6269" s="612" t="s">
        <v>13679</v>
      </c>
      <c r="B6269" s="636" t="s">
        <v>12698</v>
      </c>
      <c r="C6269" s="612" t="s">
        <v>12699</v>
      </c>
      <c r="D6269" s="612" t="s">
        <v>12700</v>
      </c>
      <c r="E6269" s="637" t="s">
        <v>12702</v>
      </c>
      <c r="F6269" s="801" t="s">
        <v>12704</v>
      </c>
      <c r="G6269" s="801"/>
      <c r="H6269" s="801" t="s">
        <v>13678</v>
      </c>
      <c r="I6269" s="801"/>
      <c r="J6269" s="801" t="s">
        <v>12705</v>
      </c>
      <c r="K6269" s="801"/>
      <c r="L6269" s="801"/>
    </row>
    <row r="6270" spans="1:12" ht="30" customHeight="1">
      <c r="A6270" s="626" t="s">
        <v>12709</v>
      </c>
      <c r="B6270" s="627" t="s">
        <v>13201</v>
      </c>
      <c r="C6270" s="626" t="s">
        <v>8</v>
      </c>
      <c r="D6270" s="626" t="s">
        <v>9221</v>
      </c>
      <c r="E6270" s="628" t="s">
        <v>23</v>
      </c>
      <c r="F6270" s="816" t="s">
        <v>13705</v>
      </c>
      <c r="G6270" s="816"/>
      <c r="H6270" s="816">
        <v>3.8161500000000001E-2</v>
      </c>
      <c r="I6270" s="816"/>
      <c r="J6270" s="817">
        <v>3.1699999999999999E-2</v>
      </c>
      <c r="K6270" s="817"/>
      <c r="L6270" s="817"/>
    </row>
    <row r="6271" spans="1:12" ht="24" customHeight="1">
      <c r="A6271" s="626" t="s">
        <v>12709</v>
      </c>
      <c r="B6271" s="627" t="s">
        <v>13200</v>
      </c>
      <c r="C6271" s="626" t="s">
        <v>8</v>
      </c>
      <c r="D6271" s="626" t="s">
        <v>9368</v>
      </c>
      <c r="E6271" s="628" t="s">
        <v>23</v>
      </c>
      <c r="F6271" s="816" t="s">
        <v>13704</v>
      </c>
      <c r="G6271" s="816"/>
      <c r="H6271" s="816">
        <v>3.8161500000000001E-2</v>
      </c>
      <c r="I6271" s="816"/>
      <c r="J6271" s="817">
        <v>9.1999999999999998E-3</v>
      </c>
      <c r="K6271" s="817"/>
      <c r="L6271" s="817"/>
    </row>
    <row r="6272" spans="1:12" ht="14.25" customHeight="1">
      <c r="A6272" s="636"/>
      <c r="B6272" s="636"/>
      <c r="C6272" s="636"/>
      <c r="D6272" s="636"/>
      <c r="E6272" s="636"/>
      <c r="F6272" s="636"/>
      <c r="G6272" s="636"/>
      <c r="H6272" s="636"/>
      <c r="I6272" s="636"/>
      <c r="J6272" s="636" t="s">
        <v>13675</v>
      </c>
      <c r="K6272" s="636"/>
      <c r="L6272" s="636" t="s">
        <v>13716</v>
      </c>
    </row>
    <row r="6273" spans="1:12" ht="17.100000000000001" customHeight="1">
      <c r="A6273" s="802" t="s">
        <v>12710</v>
      </c>
      <c r="B6273" s="802"/>
      <c r="C6273" s="802"/>
      <c r="D6273" s="802"/>
      <c r="E6273" s="802"/>
      <c r="F6273" s="802"/>
      <c r="G6273" s="802"/>
      <c r="H6273" s="802"/>
      <c r="I6273" s="612"/>
      <c r="J6273" s="612"/>
      <c r="K6273" s="612"/>
      <c r="L6273" s="612"/>
    </row>
    <row r="6274" spans="1:12" ht="24" customHeight="1">
      <c r="A6274" s="612" t="s">
        <v>13679</v>
      </c>
      <c r="B6274" s="636" t="s">
        <v>12698</v>
      </c>
      <c r="C6274" s="612" t="s">
        <v>12699</v>
      </c>
      <c r="D6274" s="612" t="s">
        <v>12700</v>
      </c>
      <c r="E6274" s="637" t="s">
        <v>12702</v>
      </c>
      <c r="F6274" s="801" t="s">
        <v>12704</v>
      </c>
      <c r="G6274" s="801"/>
      <c r="H6274" s="801" t="s">
        <v>13678</v>
      </c>
      <c r="I6274" s="801"/>
      <c r="J6274" s="801" t="s">
        <v>12705</v>
      </c>
      <c r="K6274" s="801"/>
      <c r="L6274" s="801"/>
    </row>
    <row r="6275" spans="1:12" ht="24" customHeight="1">
      <c r="A6275" s="626" t="s">
        <v>12709</v>
      </c>
      <c r="B6275" s="627" t="s">
        <v>13220</v>
      </c>
      <c r="C6275" s="626" t="s">
        <v>8</v>
      </c>
      <c r="D6275" s="626" t="s">
        <v>7592</v>
      </c>
      <c r="E6275" s="628" t="s">
        <v>23</v>
      </c>
      <c r="F6275" s="816" t="s">
        <v>13890</v>
      </c>
      <c r="G6275" s="816"/>
      <c r="H6275" s="816">
        <v>1.9480999999999998E-2</v>
      </c>
      <c r="I6275" s="816"/>
      <c r="J6275" s="817">
        <v>9.8599999999999993E-2</v>
      </c>
      <c r="K6275" s="817"/>
      <c r="L6275" s="817"/>
    </row>
    <row r="6276" spans="1:12" ht="17.100000000000001" customHeight="1">
      <c r="A6276" s="626" t="s">
        <v>12709</v>
      </c>
      <c r="B6276" s="627" t="s">
        <v>13202</v>
      </c>
      <c r="C6276" s="626" t="s">
        <v>8</v>
      </c>
      <c r="D6276" s="626" t="s">
        <v>9187</v>
      </c>
      <c r="E6276" s="628" t="s">
        <v>23</v>
      </c>
      <c r="F6276" s="816" t="s">
        <v>14479</v>
      </c>
      <c r="G6276" s="816"/>
      <c r="H6276" s="816">
        <v>1.9480999999999998E-2</v>
      </c>
      <c r="I6276" s="816"/>
      <c r="J6276" s="817">
        <v>0.13930000000000001</v>
      </c>
      <c r="K6276" s="817"/>
      <c r="L6276" s="817"/>
    </row>
    <row r="6277" spans="1:12" ht="14.25" customHeight="1">
      <c r="A6277" s="636"/>
      <c r="B6277" s="636"/>
      <c r="C6277" s="636"/>
      <c r="D6277" s="636"/>
      <c r="E6277" s="636"/>
      <c r="F6277" s="636"/>
      <c r="G6277" s="636"/>
      <c r="H6277" s="636"/>
      <c r="I6277" s="636"/>
      <c r="J6277" s="636" t="s">
        <v>13675</v>
      </c>
      <c r="K6277" s="636"/>
      <c r="L6277" s="636" t="s">
        <v>13704</v>
      </c>
    </row>
    <row r="6278" spans="1:12" ht="17.100000000000001" customHeight="1">
      <c r="A6278" s="802" t="s">
        <v>12720</v>
      </c>
      <c r="B6278" s="802"/>
      <c r="C6278" s="802"/>
      <c r="D6278" s="802"/>
      <c r="E6278" s="802"/>
      <c r="F6278" s="802"/>
      <c r="G6278" s="802"/>
      <c r="H6278" s="802"/>
      <c r="I6278" s="612"/>
      <c r="J6278" s="612"/>
      <c r="K6278" s="612"/>
      <c r="L6278" s="612"/>
    </row>
    <row r="6279" spans="1:12" ht="24" customHeight="1">
      <c r="A6279" s="612" t="s">
        <v>13679</v>
      </c>
      <c r="B6279" s="636" t="s">
        <v>12698</v>
      </c>
      <c r="C6279" s="612" t="s">
        <v>12699</v>
      </c>
      <c r="D6279" s="612" t="s">
        <v>12700</v>
      </c>
      <c r="E6279" s="637" t="s">
        <v>12702</v>
      </c>
      <c r="F6279" s="801" t="s">
        <v>12704</v>
      </c>
      <c r="G6279" s="801"/>
      <c r="H6279" s="801" t="s">
        <v>13678</v>
      </c>
      <c r="I6279" s="801"/>
      <c r="J6279" s="801" t="s">
        <v>12705</v>
      </c>
      <c r="K6279" s="801"/>
      <c r="L6279" s="801"/>
    </row>
    <row r="6280" spans="1:12" ht="24" customHeight="1">
      <c r="A6280" s="626" t="s">
        <v>12709</v>
      </c>
      <c r="B6280" s="627" t="s">
        <v>13521</v>
      </c>
      <c r="C6280" s="626" t="s">
        <v>8</v>
      </c>
      <c r="D6280" s="626" t="s">
        <v>12189</v>
      </c>
      <c r="E6280" s="628" t="s">
        <v>17</v>
      </c>
      <c r="F6280" s="816" t="s">
        <v>14664</v>
      </c>
      <c r="G6280" s="816"/>
      <c r="H6280" s="816">
        <v>1.0609999999999999</v>
      </c>
      <c r="I6280" s="816"/>
      <c r="J6280" s="817">
        <v>6.71</v>
      </c>
      <c r="K6280" s="817"/>
      <c r="L6280" s="817"/>
    </row>
    <row r="6281" spans="1:12" ht="17.100000000000001" customHeight="1">
      <c r="A6281" s="636"/>
      <c r="B6281" s="636"/>
      <c r="C6281" s="636"/>
      <c r="D6281" s="636"/>
      <c r="E6281" s="636"/>
      <c r="F6281" s="636"/>
      <c r="G6281" s="636"/>
      <c r="H6281" s="636"/>
      <c r="I6281" s="636"/>
      <c r="J6281" s="636" t="s">
        <v>13675</v>
      </c>
      <c r="K6281" s="636"/>
      <c r="L6281" s="636" t="s">
        <v>14663</v>
      </c>
    </row>
    <row r="6282" spans="1:12">
      <c r="A6282" s="802" t="s">
        <v>12722</v>
      </c>
      <c r="B6282" s="802"/>
      <c r="C6282" s="802"/>
      <c r="D6282" s="802"/>
      <c r="E6282" s="802"/>
      <c r="F6282" s="802"/>
      <c r="G6282" s="802"/>
      <c r="H6282" s="802"/>
      <c r="I6282" s="612"/>
      <c r="J6282" s="612"/>
      <c r="K6282" s="612"/>
      <c r="L6282" s="612"/>
    </row>
    <row r="6283" spans="1:12" ht="17.100000000000001" customHeight="1">
      <c r="A6283" s="612" t="s">
        <v>13679</v>
      </c>
      <c r="B6283" s="636" t="s">
        <v>12698</v>
      </c>
      <c r="C6283" s="612" t="s">
        <v>12699</v>
      </c>
      <c r="D6283" s="612" t="s">
        <v>12700</v>
      </c>
      <c r="E6283" s="637" t="s">
        <v>12702</v>
      </c>
      <c r="F6283" s="801" t="s">
        <v>12704</v>
      </c>
      <c r="G6283" s="801"/>
      <c r="H6283" s="801" t="s">
        <v>13678</v>
      </c>
      <c r="I6283" s="801"/>
      <c r="J6283" s="801" t="s">
        <v>12705</v>
      </c>
      <c r="K6283" s="801"/>
      <c r="L6283" s="801"/>
    </row>
    <row r="6284" spans="1:12" ht="24" customHeight="1">
      <c r="A6284" s="626" t="s">
        <v>12709</v>
      </c>
      <c r="B6284" s="627" t="s">
        <v>12998</v>
      </c>
      <c r="C6284" s="626" t="s">
        <v>8</v>
      </c>
      <c r="D6284" s="626" t="s">
        <v>11861</v>
      </c>
      <c r="E6284" s="628" t="s">
        <v>23</v>
      </c>
      <c r="F6284" s="816" t="s">
        <v>13683</v>
      </c>
      <c r="G6284" s="816"/>
      <c r="H6284" s="816">
        <v>3.8161500000000001E-2</v>
      </c>
      <c r="I6284" s="816"/>
      <c r="J6284" s="817">
        <v>2.7099999999999999E-2</v>
      </c>
      <c r="K6284" s="817"/>
      <c r="L6284" s="817"/>
    </row>
    <row r="6285" spans="1:12" ht="24" customHeight="1">
      <c r="A6285" s="636"/>
      <c r="B6285" s="636"/>
      <c r="C6285" s="636"/>
      <c r="D6285" s="636"/>
      <c r="E6285" s="636"/>
      <c r="F6285" s="636"/>
      <c r="G6285" s="636"/>
      <c r="H6285" s="636"/>
      <c r="I6285" s="636"/>
      <c r="J6285" s="636" t="s">
        <v>13675</v>
      </c>
      <c r="K6285" s="636"/>
      <c r="L6285" s="636" t="s">
        <v>13726</v>
      </c>
    </row>
    <row r="6286" spans="1:12" ht="17.100000000000001" customHeight="1">
      <c r="A6286" s="802" t="s">
        <v>12713</v>
      </c>
      <c r="B6286" s="802"/>
      <c r="C6286" s="802"/>
      <c r="D6286" s="802"/>
      <c r="E6286" s="802"/>
      <c r="F6286" s="802"/>
      <c r="G6286" s="802"/>
      <c r="H6286" s="802"/>
      <c r="I6286" s="612"/>
      <c r="J6286" s="612"/>
      <c r="K6286" s="612"/>
      <c r="L6286" s="612"/>
    </row>
    <row r="6287" spans="1:12">
      <c r="A6287" s="612" t="s">
        <v>13679</v>
      </c>
      <c r="B6287" s="636" t="s">
        <v>12698</v>
      </c>
      <c r="C6287" s="612" t="s">
        <v>12699</v>
      </c>
      <c r="D6287" s="612" t="s">
        <v>12700</v>
      </c>
      <c r="E6287" s="637" t="s">
        <v>12702</v>
      </c>
      <c r="F6287" s="801" t="s">
        <v>12704</v>
      </c>
      <c r="G6287" s="801"/>
      <c r="H6287" s="801" t="s">
        <v>13678</v>
      </c>
      <c r="I6287" s="801"/>
      <c r="J6287" s="801" t="s">
        <v>12705</v>
      </c>
      <c r="K6287" s="801"/>
      <c r="L6287" s="801"/>
    </row>
    <row r="6288" spans="1:12" ht="17.100000000000001" customHeight="1">
      <c r="A6288" s="626" t="s">
        <v>12709</v>
      </c>
      <c r="B6288" s="627" t="s">
        <v>12999</v>
      </c>
      <c r="C6288" s="626" t="s">
        <v>8</v>
      </c>
      <c r="D6288" s="626" t="s">
        <v>11251</v>
      </c>
      <c r="E6288" s="628" t="s">
        <v>23</v>
      </c>
      <c r="F6288" s="816" t="s">
        <v>13681</v>
      </c>
      <c r="G6288" s="816"/>
      <c r="H6288" s="816">
        <v>3.8161500000000001E-2</v>
      </c>
      <c r="I6288" s="816"/>
      <c r="J6288" s="817">
        <v>2.7000000000000001E-3</v>
      </c>
      <c r="K6288" s="817"/>
      <c r="L6288" s="817"/>
    </row>
    <row r="6289" spans="1:12" ht="24" customHeight="1">
      <c r="A6289" s="636"/>
      <c r="B6289" s="636"/>
      <c r="C6289" s="636"/>
      <c r="D6289" s="636"/>
      <c r="E6289" s="636"/>
      <c r="F6289" s="636"/>
      <c r="G6289" s="636"/>
      <c r="H6289" s="636"/>
      <c r="I6289" s="636"/>
      <c r="J6289" s="636" t="s">
        <v>13675</v>
      </c>
      <c r="K6289" s="636"/>
      <c r="L6289" s="636" t="s">
        <v>13727</v>
      </c>
    </row>
    <row r="6290" spans="1:12" ht="17.100000000000001" customHeight="1">
      <c r="A6290" s="802" t="s">
        <v>12712</v>
      </c>
      <c r="B6290" s="802"/>
      <c r="C6290" s="802"/>
      <c r="D6290" s="802"/>
      <c r="E6290" s="802"/>
      <c r="F6290" s="802"/>
      <c r="G6290" s="802"/>
      <c r="H6290" s="802"/>
      <c r="I6290" s="612"/>
      <c r="J6290" s="612"/>
      <c r="K6290" s="612"/>
      <c r="L6290" s="612"/>
    </row>
    <row r="6291" spans="1:12">
      <c r="A6291" s="612" t="s">
        <v>13679</v>
      </c>
      <c r="B6291" s="636" t="s">
        <v>12698</v>
      </c>
      <c r="C6291" s="612" t="s">
        <v>12699</v>
      </c>
      <c r="D6291" s="612" t="s">
        <v>12700</v>
      </c>
      <c r="E6291" s="637" t="s">
        <v>12702</v>
      </c>
      <c r="F6291" s="801" t="s">
        <v>12704</v>
      </c>
      <c r="G6291" s="801"/>
      <c r="H6291" s="801" t="s">
        <v>13678</v>
      </c>
      <c r="I6291" s="801"/>
      <c r="J6291" s="801" t="s">
        <v>12705</v>
      </c>
      <c r="K6291" s="801"/>
      <c r="L6291" s="801"/>
    </row>
    <row r="6292" spans="1:12" ht="17.100000000000001" customHeight="1">
      <c r="A6292" s="626" t="s">
        <v>12709</v>
      </c>
      <c r="B6292" s="627" t="s">
        <v>13002</v>
      </c>
      <c r="C6292" s="626" t="s">
        <v>8</v>
      </c>
      <c r="D6292" s="626" t="s">
        <v>9306</v>
      </c>
      <c r="E6292" s="628" t="s">
        <v>23</v>
      </c>
      <c r="F6292" s="816" t="s">
        <v>13677</v>
      </c>
      <c r="G6292" s="816"/>
      <c r="H6292" s="816">
        <v>3.8161500000000001E-2</v>
      </c>
      <c r="I6292" s="816"/>
      <c r="J6292" s="817">
        <v>1.34E-2</v>
      </c>
      <c r="K6292" s="817"/>
      <c r="L6292" s="817"/>
    </row>
    <row r="6293" spans="1:12" ht="24" customHeight="1">
      <c r="A6293" s="626" t="s">
        <v>12709</v>
      </c>
      <c r="B6293" s="627" t="s">
        <v>13004</v>
      </c>
      <c r="C6293" s="626" t="s">
        <v>8</v>
      </c>
      <c r="D6293" s="626" t="s">
        <v>7388</v>
      </c>
      <c r="E6293" s="628" t="s">
        <v>23</v>
      </c>
      <c r="F6293" s="816" t="s">
        <v>13676</v>
      </c>
      <c r="G6293" s="816"/>
      <c r="H6293" s="816">
        <v>3.8161500000000001E-2</v>
      </c>
      <c r="I6293" s="816"/>
      <c r="J6293" s="817">
        <v>8.4000000000000005E-2</v>
      </c>
      <c r="K6293" s="817"/>
      <c r="L6293" s="817"/>
    </row>
    <row r="6294" spans="1:12" ht="17.100000000000001" customHeight="1">
      <c r="A6294" s="636"/>
      <c r="B6294" s="636"/>
      <c r="C6294" s="636"/>
      <c r="D6294" s="636"/>
      <c r="E6294" s="636"/>
      <c r="F6294" s="636"/>
      <c r="G6294" s="636"/>
      <c r="H6294" s="636"/>
      <c r="I6294" s="636"/>
      <c r="J6294" s="636" t="s">
        <v>13675</v>
      </c>
      <c r="K6294" s="636"/>
      <c r="L6294" s="636" t="s">
        <v>13882</v>
      </c>
    </row>
    <row r="6295" spans="1:12">
      <c r="A6295" s="612" t="s">
        <v>13673</v>
      </c>
      <c r="B6295" s="612"/>
      <c r="C6295" s="612"/>
      <c r="D6295" s="612"/>
      <c r="E6295" s="612"/>
      <c r="F6295" s="612"/>
      <c r="G6295" s="612"/>
      <c r="H6295" s="612"/>
      <c r="I6295" s="612"/>
      <c r="J6295" s="612"/>
      <c r="K6295" s="612"/>
      <c r="L6295" s="612"/>
    </row>
    <row r="6296" spans="1:12" ht="17.100000000000001" customHeight="1">
      <c r="A6296" s="636"/>
      <c r="B6296" s="636"/>
      <c r="C6296" s="636"/>
      <c r="D6296" s="636"/>
      <c r="E6296" s="636"/>
      <c r="F6296" s="636"/>
      <c r="G6296" s="636"/>
      <c r="H6296" s="636"/>
      <c r="I6296" s="636"/>
      <c r="J6296" s="636" t="s">
        <v>13672</v>
      </c>
      <c r="K6296" s="636"/>
      <c r="L6296" s="636" t="s">
        <v>15290</v>
      </c>
    </row>
    <row r="6297" spans="1:12" ht="24" customHeight="1">
      <c r="A6297" s="636"/>
      <c r="B6297" s="636"/>
      <c r="C6297" s="636"/>
      <c r="D6297" s="636"/>
      <c r="E6297" s="636"/>
      <c r="F6297" s="636"/>
      <c r="G6297" s="636"/>
      <c r="H6297" s="636"/>
      <c r="I6297" s="636"/>
      <c r="J6297" s="636" t="s">
        <v>13671</v>
      </c>
      <c r="K6297" s="636" t="s">
        <v>14461</v>
      </c>
      <c r="L6297" s="636" t="s">
        <v>15291</v>
      </c>
    </row>
    <row r="6298" spans="1:12" ht="24" customHeight="1">
      <c r="A6298" s="636"/>
      <c r="B6298" s="636"/>
      <c r="C6298" s="636"/>
      <c r="D6298" s="636"/>
      <c r="E6298" s="636"/>
      <c r="F6298" s="636"/>
      <c r="G6298" s="636"/>
      <c r="H6298" s="636"/>
      <c r="I6298" s="636"/>
      <c r="J6298" s="636" t="s">
        <v>13670</v>
      </c>
      <c r="K6298" s="636"/>
      <c r="L6298" s="636" t="s">
        <v>15292</v>
      </c>
    </row>
    <row r="6299" spans="1:12" ht="17.100000000000001" customHeight="1">
      <c r="A6299" s="636"/>
      <c r="B6299" s="636"/>
      <c r="C6299" s="636"/>
      <c r="D6299" s="636"/>
      <c r="E6299" s="636"/>
      <c r="F6299" s="636"/>
      <c r="G6299" s="636"/>
      <c r="H6299" s="636"/>
      <c r="I6299" s="636"/>
      <c r="J6299" s="636" t="s">
        <v>13669</v>
      </c>
      <c r="K6299" s="636" t="s">
        <v>13667</v>
      </c>
      <c r="L6299" s="636" t="s">
        <v>15293</v>
      </c>
    </row>
    <row r="6300" spans="1:12" ht="17.100000000000001" customHeight="1">
      <c r="A6300" s="636"/>
      <c r="B6300" s="636"/>
      <c r="C6300" s="636"/>
      <c r="D6300" s="636"/>
      <c r="E6300" s="636"/>
      <c r="F6300" s="636"/>
      <c r="G6300" s="636"/>
      <c r="H6300" s="636"/>
      <c r="I6300" s="636"/>
      <c r="J6300" s="636" t="s">
        <v>13668</v>
      </c>
      <c r="K6300" s="636"/>
      <c r="L6300" s="636" t="s">
        <v>15294</v>
      </c>
    </row>
    <row r="6301" spans="1:12" ht="17.100000000000001" customHeight="1">
      <c r="A6301" s="637"/>
      <c r="B6301" s="637"/>
      <c r="C6301" s="637"/>
      <c r="D6301" s="637"/>
      <c r="E6301" s="637"/>
      <c r="F6301" s="637"/>
      <c r="G6301" s="637"/>
      <c r="H6301" s="637"/>
      <c r="I6301" s="637"/>
      <c r="J6301" s="637"/>
      <c r="K6301" s="637"/>
      <c r="L6301" s="637"/>
    </row>
    <row r="6302" spans="1:12" ht="17.100000000000001" customHeight="1">
      <c r="A6302" s="616" t="s">
        <v>14031</v>
      </c>
      <c r="B6302" s="617" t="s">
        <v>13520</v>
      </c>
      <c r="C6302" s="616" t="s">
        <v>8</v>
      </c>
      <c r="D6302" s="616" t="s">
        <v>1794</v>
      </c>
      <c r="E6302" s="618" t="s">
        <v>17</v>
      </c>
      <c r="F6302" s="617"/>
      <c r="G6302" s="617"/>
      <c r="H6302" s="617"/>
      <c r="I6302" s="617"/>
      <c r="J6302" s="617"/>
      <c r="K6302" s="617"/>
      <c r="L6302" s="617"/>
    </row>
    <row r="6303" spans="1:12" ht="17.100000000000001" customHeight="1">
      <c r="A6303" s="802" t="s">
        <v>12711</v>
      </c>
      <c r="B6303" s="802"/>
      <c r="C6303" s="802"/>
      <c r="D6303" s="802"/>
      <c r="E6303" s="802"/>
      <c r="F6303" s="802"/>
      <c r="G6303" s="802"/>
      <c r="H6303" s="802"/>
      <c r="I6303" s="612"/>
      <c r="J6303" s="612"/>
      <c r="K6303" s="612"/>
      <c r="L6303" s="612"/>
    </row>
    <row r="6304" spans="1:12" ht="17.100000000000001" customHeight="1">
      <c r="A6304" s="612" t="s">
        <v>13679</v>
      </c>
      <c r="B6304" s="636" t="s">
        <v>12698</v>
      </c>
      <c r="C6304" s="612" t="s">
        <v>12699</v>
      </c>
      <c r="D6304" s="612" t="s">
        <v>12700</v>
      </c>
      <c r="E6304" s="637" t="s">
        <v>12702</v>
      </c>
      <c r="F6304" s="801" t="s">
        <v>12704</v>
      </c>
      <c r="G6304" s="801"/>
      <c r="H6304" s="801" t="s">
        <v>13678</v>
      </c>
      <c r="I6304" s="801"/>
      <c r="J6304" s="801" t="s">
        <v>12705</v>
      </c>
      <c r="K6304" s="801"/>
      <c r="L6304" s="801"/>
    </row>
    <row r="6305" spans="1:12" ht="17.100000000000001" customHeight="1">
      <c r="A6305" s="626" t="s">
        <v>12709</v>
      </c>
      <c r="B6305" s="627" t="s">
        <v>13201</v>
      </c>
      <c r="C6305" s="626" t="s">
        <v>8</v>
      </c>
      <c r="D6305" s="626" t="s">
        <v>9221</v>
      </c>
      <c r="E6305" s="628" t="s">
        <v>23</v>
      </c>
      <c r="F6305" s="816" t="s">
        <v>13705</v>
      </c>
      <c r="G6305" s="816"/>
      <c r="H6305" s="816">
        <v>4.6313300000000002E-2</v>
      </c>
      <c r="I6305" s="816"/>
      <c r="J6305" s="817">
        <v>3.8399999999999997E-2</v>
      </c>
      <c r="K6305" s="817"/>
      <c r="L6305" s="817"/>
    </row>
    <row r="6306" spans="1:12" ht="30" customHeight="1">
      <c r="A6306" s="626" t="s">
        <v>12709</v>
      </c>
      <c r="B6306" s="627" t="s">
        <v>13200</v>
      </c>
      <c r="C6306" s="626" t="s">
        <v>8</v>
      </c>
      <c r="D6306" s="626" t="s">
        <v>9368</v>
      </c>
      <c r="E6306" s="628" t="s">
        <v>23</v>
      </c>
      <c r="F6306" s="816" t="s">
        <v>13704</v>
      </c>
      <c r="G6306" s="816"/>
      <c r="H6306" s="816">
        <v>4.6313300000000002E-2</v>
      </c>
      <c r="I6306" s="816"/>
      <c r="J6306" s="817">
        <v>1.11E-2</v>
      </c>
      <c r="K6306" s="817"/>
      <c r="L6306" s="817"/>
    </row>
    <row r="6307" spans="1:12" ht="36" customHeight="1">
      <c r="A6307" s="636"/>
      <c r="B6307" s="636"/>
      <c r="C6307" s="636"/>
      <c r="D6307" s="636"/>
      <c r="E6307" s="636"/>
      <c r="F6307" s="636"/>
      <c r="G6307" s="636"/>
      <c r="H6307" s="636"/>
      <c r="I6307" s="636"/>
      <c r="J6307" s="636" t="s">
        <v>13675</v>
      </c>
      <c r="K6307" s="636"/>
      <c r="L6307" s="636" t="s">
        <v>13767</v>
      </c>
    </row>
    <row r="6308" spans="1:12" ht="14.25" customHeight="1">
      <c r="A6308" s="802" t="s">
        <v>12710</v>
      </c>
      <c r="B6308" s="802"/>
      <c r="C6308" s="802"/>
      <c r="D6308" s="802"/>
      <c r="E6308" s="802"/>
      <c r="F6308" s="802"/>
      <c r="G6308" s="802"/>
      <c r="H6308" s="802"/>
      <c r="I6308" s="612"/>
      <c r="J6308" s="612"/>
      <c r="K6308" s="612"/>
      <c r="L6308" s="612"/>
    </row>
    <row r="6309" spans="1:12" ht="17.100000000000001" customHeight="1">
      <c r="A6309" s="612" t="s">
        <v>13679</v>
      </c>
      <c r="B6309" s="636" t="s">
        <v>12698</v>
      </c>
      <c r="C6309" s="612" t="s">
        <v>12699</v>
      </c>
      <c r="D6309" s="612" t="s">
        <v>12700</v>
      </c>
      <c r="E6309" s="637" t="s">
        <v>12702</v>
      </c>
      <c r="F6309" s="801" t="s">
        <v>12704</v>
      </c>
      <c r="G6309" s="801"/>
      <c r="H6309" s="801" t="s">
        <v>13678</v>
      </c>
      <c r="I6309" s="801"/>
      <c r="J6309" s="801" t="s">
        <v>12705</v>
      </c>
      <c r="K6309" s="801"/>
      <c r="L6309" s="801"/>
    </row>
    <row r="6310" spans="1:12" ht="24" customHeight="1">
      <c r="A6310" s="626" t="s">
        <v>12709</v>
      </c>
      <c r="B6310" s="627" t="s">
        <v>13220</v>
      </c>
      <c r="C6310" s="626" t="s">
        <v>8</v>
      </c>
      <c r="D6310" s="626" t="s">
        <v>7592</v>
      </c>
      <c r="E6310" s="628" t="s">
        <v>23</v>
      </c>
      <c r="F6310" s="816" t="s">
        <v>13890</v>
      </c>
      <c r="G6310" s="816"/>
      <c r="H6310" s="816">
        <v>2.3908599999999999E-2</v>
      </c>
      <c r="I6310" s="816"/>
      <c r="J6310" s="817">
        <v>0.121</v>
      </c>
      <c r="K6310" s="817"/>
      <c r="L6310" s="817"/>
    </row>
    <row r="6311" spans="1:12" ht="24" customHeight="1">
      <c r="A6311" s="626" t="s">
        <v>12709</v>
      </c>
      <c r="B6311" s="627" t="s">
        <v>13202</v>
      </c>
      <c r="C6311" s="626" t="s">
        <v>8</v>
      </c>
      <c r="D6311" s="626" t="s">
        <v>9187</v>
      </c>
      <c r="E6311" s="628" t="s">
        <v>23</v>
      </c>
      <c r="F6311" s="816" t="s">
        <v>14479</v>
      </c>
      <c r="G6311" s="816"/>
      <c r="H6311" s="816">
        <v>2.3908599999999999E-2</v>
      </c>
      <c r="I6311" s="816"/>
      <c r="J6311" s="817">
        <v>0.1709</v>
      </c>
      <c r="K6311" s="817"/>
      <c r="L6311" s="817"/>
    </row>
    <row r="6312" spans="1:12" ht="17.100000000000001" customHeight="1">
      <c r="A6312" s="636"/>
      <c r="B6312" s="636"/>
      <c r="C6312" s="636"/>
      <c r="D6312" s="636"/>
      <c r="E6312" s="636"/>
      <c r="F6312" s="636"/>
      <c r="G6312" s="636"/>
      <c r="H6312" s="636"/>
      <c r="I6312" s="636"/>
      <c r="J6312" s="636" t="s">
        <v>13675</v>
      </c>
      <c r="K6312" s="636"/>
      <c r="L6312" s="636" t="s">
        <v>13854</v>
      </c>
    </row>
    <row r="6313" spans="1:12" ht="14.25" customHeight="1">
      <c r="A6313" s="802" t="s">
        <v>12720</v>
      </c>
      <c r="B6313" s="802"/>
      <c r="C6313" s="802"/>
      <c r="D6313" s="802"/>
      <c r="E6313" s="802"/>
      <c r="F6313" s="802"/>
      <c r="G6313" s="802"/>
      <c r="H6313" s="802"/>
      <c r="I6313" s="612"/>
      <c r="J6313" s="612"/>
      <c r="K6313" s="612"/>
      <c r="L6313" s="612"/>
    </row>
    <row r="6314" spans="1:12" ht="17.100000000000001" customHeight="1">
      <c r="A6314" s="612" t="s">
        <v>13679</v>
      </c>
      <c r="B6314" s="636" t="s">
        <v>12698</v>
      </c>
      <c r="C6314" s="612" t="s">
        <v>12699</v>
      </c>
      <c r="D6314" s="612" t="s">
        <v>12700</v>
      </c>
      <c r="E6314" s="637" t="s">
        <v>12702</v>
      </c>
      <c r="F6314" s="801" t="s">
        <v>12704</v>
      </c>
      <c r="G6314" s="801"/>
      <c r="H6314" s="801" t="s">
        <v>13678</v>
      </c>
      <c r="I6314" s="801"/>
      <c r="J6314" s="801" t="s">
        <v>12705</v>
      </c>
      <c r="K6314" s="801"/>
      <c r="L6314" s="801"/>
    </row>
    <row r="6315" spans="1:12" ht="24" customHeight="1">
      <c r="A6315" s="626" t="s">
        <v>12709</v>
      </c>
      <c r="B6315" s="627" t="s">
        <v>13467</v>
      </c>
      <c r="C6315" s="626" t="s">
        <v>8</v>
      </c>
      <c r="D6315" s="626" t="s">
        <v>9987</v>
      </c>
      <c r="E6315" s="628" t="s">
        <v>35</v>
      </c>
      <c r="F6315" s="816" t="s">
        <v>13998</v>
      </c>
      <c r="G6315" s="816"/>
      <c r="H6315" s="816">
        <v>8.0000000000000002E-3</v>
      </c>
      <c r="I6315" s="816"/>
      <c r="J6315" s="817">
        <v>0.01</v>
      </c>
      <c r="K6315" s="817"/>
      <c r="L6315" s="817"/>
    </row>
    <row r="6316" spans="1:12" ht="24" customHeight="1">
      <c r="A6316" s="626" t="s">
        <v>12709</v>
      </c>
      <c r="B6316" s="627" t="s">
        <v>13519</v>
      </c>
      <c r="C6316" s="626" t="s">
        <v>8</v>
      </c>
      <c r="D6316" s="626" t="s">
        <v>12190</v>
      </c>
      <c r="E6316" s="628" t="s">
        <v>17</v>
      </c>
      <c r="F6316" s="816" t="s">
        <v>14662</v>
      </c>
      <c r="G6316" s="816"/>
      <c r="H6316" s="816">
        <v>1.0609999999999999</v>
      </c>
      <c r="I6316" s="816"/>
      <c r="J6316" s="817">
        <v>9.7799999999999994</v>
      </c>
      <c r="K6316" s="817"/>
      <c r="L6316" s="817"/>
    </row>
    <row r="6317" spans="1:12" ht="17.100000000000001" customHeight="1">
      <c r="A6317" s="636"/>
      <c r="B6317" s="636"/>
      <c r="C6317" s="636"/>
      <c r="D6317" s="636"/>
      <c r="E6317" s="636"/>
      <c r="F6317" s="636"/>
      <c r="G6317" s="636"/>
      <c r="H6317" s="636"/>
      <c r="I6317" s="636"/>
      <c r="J6317" s="636" t="s">
        <v>13675</v>
      </c>
      <c r="K6317" s="636"/>
      <c r="L6317" s="636" t="s">
        <v>14660</v>
      </c>
    </row>
    <row r="6318" spans="1:12">
      <c r="A6318" s="802" t="s">
        <v>12722</v>
      </c>
      <c r="B6318" s="802"/>
      <c r="C6318" s="802"/>
      <c r="D6318" s="802"/>
      <c r="E6318" s="802"/>
      <c r="F6318" s="802"/>
      <c r="G6318" s="802"/>
      <c r="H6318" s="802"/>
      <c r="I6318" s="612"/>
      <c r="J6318" s="612"/>
      <c r="K6318" s="612"/>
      <c r="L6318" s="612"/>
    </row>
    <row r="6319" spans="1:12" ht="17.100000000000001" customHeight="1">
      <c r="A6319" s="612" t="s">
        <v>13679</v>
      </c>
      <c r="B6319" s="636" t="s">
        <v>12698</v>
      </c>
      <c r="C6319" s="612" t="s">
        <v>12699</v>
      </c>
      <c r="D6319" s="612" t="s">
        <v>12700</v>
      </c>
      <c r="E6319" s="637" t="s">
        <v>12702</v>
      </c>
      <c r="F6319" s="801" t="s">
        <v>12704</v>
      </c>
      <c r="G6319" s="801"/>
      <c r="H6319" s="801" t="s">
        <v>13678</v>
      </c>
      <c r="I6319" s="801"/>
      <c r="J6319" s="801" t="s">
        <v>12705</v>
      </c>
      <c r="K6319" s="801"/>
      <c r="L6319" s="801"/>
    </row>
    <row r="6320" spans="1:12" ht="24" customHeight="1">
      <c r="A6320" s="626" t="s">
        <v>12709</v>
      </c>
      <c r="B6320" s="627" t="s">
        <v>12998</v>
      </c>
      <c r="C6320" s="626" t="s">
        <v>8</v>
      </c>
      <c r="D6320" s="626" t="s">
        <v>11861</v>
      </c>
      <c r="E6320" s="628" t="s">
        <v>23</v>
      </c>
      <c r="F6320" s="816" t="s">
        <v>13683</v>
      </c>
      <c r="G6320" s="816"/>
      <c r="H6320" s="816">
        <v>4.6313300000000002E-2</v>
      </c>
      <c r="I6320" s="816"/>
      <c r="J6320" s="817">
        <v>3.2899999999999999E-2</v>
      </c>
      <c r="K6320" s="817"/>
      <c r="L6320" s="817"/>
    </row>
    <row r="6321" spans="1:12" ht="24" customHeight="1">
      <c r="A6321" s="636"/>
      <c r="B6321" s="636"/>
      <c r="C6321" s="636"/>
      <c r="D6321" s="636"/>
      <c r="E6321" s="636"/>
      <c r="F6321" s="636"/>
      <c r="G6321" s="636"/>
      <c r="H6321" s="636"/>
      <c r="I6321" s="636"/>
      <c r="J6321" s="636" t="s">
        <v>13675</v>
      </c>
      <c r="K6321" s="636"/>
      <c r="L6321" s="636" t="s">
        <v>13726</v>
      </c>
    </row>
    <row r="6322" spans="1:12" ht="24" customHeight="1">
      <c r="A6322" s="802" t="s">
        <v>12713</v>
      </c>
      <c r="B6322" s="802"/>
      <c r="C6322" s="802"/>
      <c r="D6322" s="802"/>
      <c r="E6322" s="802"/>
      <c r="F6322" s="802"/>
      <c r="G6322" s="802"/>
      <c r="H6322" s="802"/>
      <c r="I6322" s="612"/>
      <c r="J6322" s="612"/>
      <c r="K6322" s="612"/>
      <c r="L6322" s="612"/>
    </row>
    <row r="6323" spans="1:12" ht="24" customHeight="1">
      <c r="A6323" s="612" t="s">
        <v>13679</v>
      </c>
      <c r="B6323" s="636" t="s">
        <v>12698</v>
      </c>
      <c r="C6323" s="612" t="s">
        <v>12699</v>
      </c>
      <c r="D6323" s="612" t="s">
        <v>12700</v>
      </c>
      <c r="E6323" s="637" t="s">
        <v>12702</v>
      </c>
      <c r="F6323" s="801" t="s">
        <v>12704</v>
      </c>
      <c r="G6323" s="801"/>
      <c r="H6323" s="801" t="s">
        <v>13678</v>
      </c>
      <c r="I6323" s="801"/>
      <c r="J6323" s="801" t="s">
        <v>12705</v>
      </c>
      <c r="K6323" s="801"/>
      <c r="L6323" s="801"/>
    </row>
    <row r="6324" spans="1:12" ht="17.100000000000001" customHeight="1">
      <c r="A6324" s="626" t="s">
        <v>12709</v>
      </c>
      <c r="B6324" s="627" t="s">
        <v>12999</v>
      </c>
      <c r="C6324" s="626" t="s">
        <v>8</v>
      </c>
      <c r="D6324" s="626" t="s">
        <v>11251</v>
      </c>
      <c r="E6324" s="628" t="s">
        <v>23</v>
      </c>
      <c r="F6324" s="816" t="s">
        <v>13681</v>
      </c>
      <c r="G6324" s="816"/>
      <c r="H6324" s="816">
        <v>4.6313300000000002E-2</v>
      </c>
      <c r="I6324" s="816"/>
      <c r="J6324" s="817">
        <v>3.2000000000000002E-3</v>
      </c>
      <c r="K6324" s="817"/>
      <c r="L6324" s="817"/>
    </row>
    <row r="6325" spans="1:12">
      <c r="A6325" s="636"/>
      <c r="B6325" s="636"/>
      <c r="C6325" s="636"/>
      <c r="D6325" s="636"/>
      <c r="E6325" s="636"/>
      <c r="F6325" s="636"/>
      <c r="G6325" s="636"/>
      <c r="H6325" s="636"/>
      <c r="I6325" s="636"/>
      <c r="J6325" s="636" t="s">
        <v>13675</v>
      </c>
      <c r="K6325" s="636"/>
      <c r="L6325" s="636" t="s">
        <v>13727</v>
      </c>
    </row>
    <row r="6326" spans="1:12" ht="17.100000000000001" customHeight="1">
      <c r="A6326" s="802" t="s">
        <v>12712</v>
      </c>
      <c r="B6326" s="802"/>
      <c r="C6326" s="802"/>
      <c r="D6326" s="802"/>
      <c r="E6326" s="802"/>
      <c r="F6326" s="802"/>
      <c r="G6326" s="802"/>
      <c r="H6326" s="802"/>
      <c r="I6326" s="612"/>
      <c r="J6326" s="612"/>
      <c r="K6326" s="612"/>
      <c r="L6326" s="612"/>
    </row>
    <row r="6327" spans="1:12" ht="24" customHeight="1">
      <c r="A6327" s="612" t="s">
        <v>13679</v>
      </c>
      <c r="B6327" s="636" t="s">
        <v>12698</v>
      </c>
      <c r="C6327" s="612" t="s">
        <v>12699</v>
      </c>
      <c r="D6327" s="612" t="s">
        <v>12700</v>
      </c>
      <c r="E6327" s="637" t="s">
        <v>12702</v>
      </c>
      <c r="F6327" s="801" t="s">
        <v>12704</v>
      </c>
      <c r="G6327" s="801"/>
      <c r="H6327" s="801" t="s">
        <v>13678</v>
      </c>
      <c r="I6327" s="801"/>
      <c r="J6327" s="801" t="s">
        <v>12705</v>
      </c>
      <c r="K6327" s="801"/>
      <c r="L6327" s="801"/>
    </row>
    <row r="6328" spans="1:12" ht="17.100000000000001" customHeight="1">
      <c r="A6328" s="626" t="s">
        <v>12709</v>
      </c>
      <c r="B6328" s="627" t="s">
        <v>13002</v>
      </c>
      <c r="C6328" s="626" t="s">
        <v>8</v>
      </c>
      <c r="D6328" s="626" t="s">
        <v>9306</v>
      </c>
      <c r="E6328" s="628" t="s">
        <v>23</v>
      </c>
      <c r="F6328" s="816" t="s">
        <v>13677</v>
      </c>
      <c r="G6328" s="816"/>
      <c r="H6328" s="816">
        <v>4.6313300000000002E-2</v>
      </c>
      <c r="I6328" s="816"/>
      <c r="J6328" s="817">
        <v>1.6199999999999999E-2</v>
      </c>
      <c r="K6328" s="817"/>
      <c r="L6328" s="817"/>
    </row>
    <row r="6329" spans="1:12" ht="25.5">
      <c r="A6329" s="626" t="s">
        <v>12709</v>
      </c>
      <c r="B6329" s="627" t="s">
        <v>13004</v>
      </c>
      <c r="C6329" s="626" t="s">
        <v>8</v>
      </c>
      <c r="D6329" s="626" t="s">
        <v>7388</v>
      </c>
      <c r="E6329" s="628" t="s">
        <v>23</v>
      </c>
      <c r="F6329" s="816" t="s">
        <v>13676</v>
      </c>
      <c r="G6329" s="816"/>
      <c r="H6329" s="816">
        <v>4.6313300000000002E-2</v>
      </c>
      <c r="I6329" s="816"/>
      <c r="J6329" s="817">
        <v>0.1019</v>
      </c>
      <c r="K6329" s="817"/>
      <c r="L6329" s="817"/>
    </row>
    <row r="6330" spans="1:12" ht="17.100000000000001" customHeight="1">
      <c r="A6330" s="636"/>
      <c r="B6330" s="636"/>
      <c r="C6330" s="636"/>
      <c r="D6330" s="636"/>
      <c r="E6330" s="636"/>
      <c r="F6330" s="636"/>
      <c r="G6330" s="636"/>
      <c r="H6330" s="636"/>
      <c r="I6330" s="636"/>
      <c r="J6330" s="636" t="s">
        <v>13675</v>
      </c>
      <c r="K6330" s="636"/>
      <c r="L6330" s="636" t="s">
        <v>13751</v>
      </c>
    </row>
    <row r="6331" spans="1:12" ht="24" customHeight="1">
      <c r="A6331" s="612" t="s">
        <v>13673</v>
      </c>
      <c r="B6331" s="612"/>
      <c r="C6331" s="612"/>
      <c r="D6331" s="612"/>
      <c r="E6331" s="612"/>
      <c r="F6331" s="612"/>
      <c r="G6331" s="612"/>
      <c r="H6331" s="612"/>
      <c r="I6331" s="612"/>
      <c r="J6331" s="612"/>
      <c r="K6331" s="612"/>
      <c r="L6331" s="612"/>
    </row>
    <row r="6332" spans="1:12" ht="17.100000000000001" customHeight="1">
      <c r="A6332" s="636"/>
      <c r="B6332" s="636"/>
      <c r="C6332" s="636"/>
      <c r="D6332" s="636"/>
      <c r="E6332" s="636"/>
      <c r="F6332" s="636"/>
      <c r="G6332" s="636"/>
      <c r="H6332" s="636"/>
      <c r="I6332" s="636"/>
      <c r="J6332" s="636" t="s">
        <v>13672</v>
      </c>
      <c r="K6332" s="636"/>
      <c r="L6332" s="636" t="s">
        <v>15295</v>
      </c>
    </row>
    <row r="6333" spans="1:12">
      <c r="A6333" s="636"/>
      <c r="B6333" s="636"/>
      <c r="C6333" s="636"/>
      <c r="D6333" s="636"/>
      <c r="E6333" s="636"/>
      <c r="F6333" s="636"/>
      <c r="G6333" s="636"/>
      <c r="H6333" s="636"/>
      <c r="I6333" s="636"/>
      <c r="J6333" s="636" t="s">
        <v>13671</v>
      </c>
      <c r="K6333" s="636" t="s">
        <v>14461</v>
      </c>
      <c r="L6333" s="636" t="s">
        <v>15296</v>
      </c>
    </row>
    <row r="6334" spans="1:12" ht="17.100000000000001" customHeight="1">
      <c r="A6334" s="636"/>
      <c r="B6334" s="636"/>
      <c r="C6334" s="636"/>
      <c r="D6334" s="636"/>
      <c r="E6334" s="636"/>
      <c r="F6334" s="636"/>
      <c r="G6334" s="636"/>
      <c r="H6334" s="636"/>
      <c r="I6334" s="636"/>
      <c r="J6334" s="636" t="s">
        <v>13670</v>
      </c>
      <c r="K6334" s="636"/>
      <c r="L6334" s="636" t="s">
        <v>15297</v>
      </c>
    </row>
    <row r="6335" spans="1:12" ht="24" customHeight="1">
      <c r="A6335" s="636"/>
      <c r="B6335" s="636"/>
      <c r="C6335" s="636"/>
      <c r="D6335" s="636"/>
      <c r="E6335" s="636"/>
      <c r="F6335" s="636"/>
      <c r="G6335" s="636"/>
      <c r="H6335" s="636"/>
      <c r="I6335" s="636"/>
      <c r="J6335" s="636" t="s">
        <v>13669</v>
      </c>
      <c r="K6335" s="636" t="s">
        <v>13667</v>
      </c>
      <c r="L6335" s="636" t="s">
        <v>14883</v>
      </c>
    </row>
    <row r="6336" spans="1:12" ht="24" customHeight="1">
      <c r="A6336" s="636"/>
      <c r="B6336" s="636"/>
      <c r="C6336" s="636"/>
      <c r="D6336" s="636"/>
      <c r="E6336" s="636"/>
      <c r="F6336" s="636"/>
      <c r="G6336" s="636"/>
      <c r="H6336" s="636"/>
      <c r="I6336" s="636"/>
      <c r="J6336" s="636" t="s">
        <v>13668</v>
      </c>
      <c r="K6336" s="636"/>
      <c r="L6336" s="636" t="s">
        <v>15298</v>
      </c>
    </row>
    <row r="6337" spans="1:12" ht="17.100000000000001" customHeight="1">
      <c r="A6337" s="637"/>
      <c r="B6337" s="637"/>
      <c r="C6337" s="637"/>
      <c r="D6337" s="637"/>
      <c r="E6337" s="637"/>
      <c r="F6337" s="637"/>
      <c r="G6337" s="637"/>
      <c r="H6337" s="637"/>
      <c r="I6337" s="637"/>
      <c r="J6337" s="637"/>
      <c r="K6337" s="637"/>
      <c r="L6337" s="637"/>
    </row>
    <row r="6338" spans="1:12" ht="17.100000000000001" customHeight="1">
      <c r="A6338" s="616" t="s">
        <v>14030</v>
      </c>
      <c r="B6338" s="617" t="s">
        <v>13500</v>
      </c>
      <c r="C6338" s="616" t="s">
        <v>8</v>
      </c>
      <c r="D6338" s="616" t="s">
        <v>368</v>
      </c>
      <c r="E6338" s="618" t="s">
        <v>35</v>
      </c>
      <c r="F6338" s="617"/>
      <c r="G6338" s="617"/>
      <c r="H6338" s="617"/>
      <c r="I6338" s="617"/>
      <c r="J6338" s="617"/>
      <c r="K6338" s="617"/>
      <c r="L6338" s="617"/>
    </row>
    <row r="6339" spans="1:12" ht="17.100000000000001" customHeight="1">
      <c r="A6339" s="802" t="s">
        <v>12711</v>
      </c>
      <c r="B6339" s="802"/>
      <c r="C6339" s="802"/>
      <c r="D6339" s="802"/>
      <c r="E6339" s="802"/>
      <c r="F6339" s="802"/>
      <c r="G6339" s="802"/>
      <c r="H6339" s="802"/>
      <c r="I6339" s="612"/>
      <c r="J6339" s="612"/>
      <c r="K6339" s="612"/>
      <c r="L6339" s="612"/>
    </row>
    <row r="6340" spans="1:12" ht="17.100000000000001" customHeight="1">
      <c r="A6340" s="612" t="s">
        <v>13679</v>
      </c>
      <c r="B6340" s="636" t="s">
        <v>12698</v>
      </c>
      <c r="C6340" s="612" t="s">
        <v>12699</v>
      </c>
      <c r="D6340" s="612" t="s">
        <v>12700</v>
      </c>
      <c r="E6340" s="637" t="s">
        <v>12702</v>
      </c>
      <c r="F6340" s="801" t="s">
        <v>12704</v>
      </c>
      <c r="G6340" s="801"/>
      <c r="H6340" s="801" t="s">
        <v>13678</v>
      </c>
      <c r="I6340" s="801"/>
      <c r="J6340" s="801" t="s">
        <v>12705</v>
      </c>
      <c r="K6340" s="801"/>
      <c r="L6340" s="801"/>
    </row>
    <row r="6341" spans="1:12" ht="17.100000000000001" customHeight="1">
      <c r="A6341" s="626" t="s">
        <v>12709</v>
      </c>
      <c r="B6341" s="627" t="s">
        <v>13201</v>
      </c>
      <c r="C6341" s="626" t="s">
        <v>8</v>
      </c>
      <c r="D6341" s="626" t="s">
        <v>9221</v>
      </c>
      <c r="E6341" s="628" t="s">
        <v>23</v>
      </c>
      <c r="F6341" s="816" t="s">
        <v>13705</v>
      </c>
      <c r="G6341" s="816"/>
      <c r="H6341" s="816">
        <v>0.39713110000000001</v>
      </c>
      <c r="I6341" s="816"/>
      <c r="J6341" s="817">
        <v>0.3296</v>
      </c>
      <c r="K6341" s="817"/>
      <c r="L6341" s="817"/>
    </row>
    <row r="6342" spans="1:12" ht="17.100000000000001" customHeight="1">
      <c r="A6342" s="626" t="s">
        <v>12709</v>
      </c>
      <c r="B6342" s="627" t="s">
        <v>13200</v>
      </c>
      <c r="C6342" s="626" t="s">
        <v>8</v>
      </c>
      <c r="D6342" s="626" t="s">
        <v>9368</v>
      </c>
      <c r="E6342" s="628" t="s">
        <v>23</v>
      </c>
      <c r="F6342" s="816" t="s">
        <v>13704</v>
      </c>
      <c r="G6342" s="816"/>
      <c r="H6342" s="816">
        <v>0.39713110000000001</v>
      </c>
      <c r="I6342" s="816"/>
      <c r="J6342" s="817">
        <v>9.5299999999999996E-2</v>
      </c>
      <c r="K6342" s="817"/>
      <c r="L6342" s="817"/>
    </row>
    <row r="6343" spans="1:12" ht="17.100000000000001" customHeight="1">
      <c r="A6343" s="636"/>
      <c r="B6343" s="636"/>
      <c r="C6343" s="636"/>
      <c r="D6343" s="636"/>
      <c r="E6343" s="636"/>
      <c r="F6343" s="636"/>
      <c r="G6343" s="636"/>
      <c r="H6343" s="636"/>
      <c r="I6343" s="636"/>
      <c r="J6343" s="636" t="s">
        <v>13675</v>
      </c>
      <c r="K6343" s="636"/>
      <c r="L6343" s="636" t="s">
        <v>13837</v>
      </c>
    </row>
    <row r="6344" spans="1:12" ht="30" customHeight="1">
      <c r="A6344" s="802" t="s">
        <v>12710</v>
      </c>
      <c r="B6344" s="802"/>
      <c r="C6344" s="802"/>
      <c r="D6344" s="802"/>
      <c r="E6344" s="802"/>
      <c r="F6344" s="802"/>
      <c r="G6344" s="802"/>
      <c r="H6344" s="802"/>
      <c r="I6344" s="612"/>
      <c r="J6344" s="612"/>
      <c r="K6344" s="612"/>
      <c r="L6344" s="612"/>
    </row>
    <row r="6345" spans="1:12" ht="24" customHeight="1">
      <c r="A6345" s="612" t="s">
        <v>13679</v>
      </c>
      <c r="B6345" s="636" t="s">
        <v>12698</v>
      </c>
      <c r="C6345" s="612" t="s">
        <v>12699</v>
      </c>
      <c r="D6345" s="612" t="s">
        <v>12700</v>
      </c>
      <c r="E6345" s="637" t="s">
        <v>12702</v>
      </c>
      <c r="F6345" s="801" t="s">
        <v>12704</v>
      </c>
      <c r="G6345" s="801"/>
      <c r="H6345" s="801" t="s">
        <v>13678</v>
      </c>
      <c r="I6345" s="801"/>
      <c r="J6345" s="801" t="s">
        <v>12705</v>
      </c>
      <c r="K6345" s="801"/>
      <c r="L6345" s="801"/>
    </row>
    <row r="6346" spans="1:12" ht="14.25" customHeight="1">
      <c r="A6346" s="626" t="s">
        <v>12709</v>
      </c>
      <c r="B6346" s="627" t="s">
        <v>13220</v>
      </c>
      <c r="C6346" s="626" t="s">
        <v>8</v>
      </c>
      <c r="D6346" s="626" t="s">
        <v>7592</v>
      </c>
      <c r="E6346" s="628" t="s">
        <v>23</v>
      </c>
      <c r="F6346" s="816" t="s">
        <v>13890</v>
      </c>
      <c r="G6346" s="816"/>
      <c r="H6346" s="816">
        <v>0.2018945</v>
      </c>
      <c r="I6346" s="816"/>
      <c r="J6346" s="817">
        <v>1.0216000000000001</v>
      </c>
      <c r="K6346" s="817"/>
      <c r="L6346" s="817"/>
    </row>
    <row r="6347" spans="1:12" ht="17.100000000000001" customHeight="1">
      <c r="A6347" s="626" t="s">
        <v>12709</v>
      </c>
      <c r="B6347" s="627" t="s">
        <v>13202</v>
      </c>
      <c r="C6347" s="626" t="s">
        <v>8</v>
      </c>
      <c r="D6347" s="626" t="s">
        <v>9187</v>
      </c>
      <c r="E6347" s="628" t="s">
        <v>23</v>
      </c>
      <c r="F6347" s="816" t="s">
        <v>14479</v>
      </c>
      <c r="G6347" s="816"/>
      <c r="H6347" s="816">
        <v>0.2018945</v>
      </c>
      <c r="I6347" s="816"/>
      <c r="J6347" s="817">
        <v>1.4435</v>
      </c>
      <c r="K6347" s="817"/>
      <c r="L6347" s="817"/>
    </row>
    <row r="6348" spans="1:12" ht="24" customHeight="1">
      <c r="A6348" s="636"/>
      <c r="B6348" s="636"/>
      <c r="C6348" s="636"/>
      <c r="D6348" s="636"/>
      <c r="E6348" s="636"/>
      <c r="F6348" s="636"/>
      <c r="G6348" s="636"/>
      <c r="H6348" s="636"/>
      <c r="I6348" s="636"/>
      <c r="J6348" s="636" t="s">
        <v>13675</v>
      </c>
      <c r="K6348" s="636"/>
      <c r="L6348" s="636" t="s">
        <v>13962</v>
      </c>
    </row>
    <row r="6349" spans="1:12" ht="24" customHeight="1">
      <c r="A6349" s="802" t="s">
        <v>12720</v>
      </c>
      <c r="B6349" s="802"/>
      <c r="C6349" s="802"/>
      <c r="D6349" s="802"/>
      <c r="E6349" s="802"/>
      <c r="F6349" s="802"/>
      <c r="G6349" s="802"/>
      <c r="H6349" s="802"/>
      <c r="I6349" s="612"/>
      <c r="J6349" s="612"/>
      <c r="K6349" s="612"/>
      <c r="L6349" s="612"/>
    </row>
    <row r="6350" spans="1:12" ht="17.100000000000001" customHeight="1">
      <c r="A6350" s="612" t="s">
        <v>13679</v>
      </c>
      <c r="B6350" s="636" t="s">
        <v>12698</v>
      </c>
      <c r="C6350" s="612" t="s">
        <v>12699</v>
      </c>
      <c r="D6350" s="612" t="s">
        <v>12700</v>
      </c>
      <c r="E6350" s="637" t="s">
        <v>12702</v>
      </c>
      <c r="F6350" s="801" t="s">
        <v>12704</v>
      </c>
      <c r="G6350" s="801"/>
      <c r="H6350" s="801" t="s">
        <v>13678</v>
      </c>
      <c r="I6350" s="801"/>
      <c r="J6350" s="801" t="s">
        <v>12705</v>
      </c>
      <c r="K6350" s="801"/>
      <c r="L6350" s="801"/>
    </row>
    <row r="6351" spans="1:12" ht="14.25" customHeight="1">
      <c r="A6351" s="626" t="s">
        <v>12709</v>
      </c>
      <c r="B6351" s="627" t="s">
        <v>13467</v>
      </c>
      <c r="C6351" s="626" t="s">
        <v>8</v>
      </c>
      <c r="D6351" s="626" t="s">
        <v>9987</v>
      </c>
      <c r="E6351" s="628" t="s">
        <v>35</v>
      </c>
      <c r="F6351" s="816" t="s">
        <v>13998</v>
      </c>
      <c r="G6351" s="816"/>
      <c r="H6351" s="816">
        <v>7.4999999999999997E-2</v>
      </c>
      <c r="I6351" s="816"/>
      <c r="J6351" s="817">
        <v>0.14000000000000001</v>
      </c>
      <c r="K6351" s="817"/>
      <c r="L6351" s="817"/>
    </row>
    <row r="6352" spans="1:12" ht="17.100000000000001" customHeight="1">
      <c r="A6352" s="626" t="s">
        <v>12709</v>
      </c>
      <c r="B6352" s="627" t="s">
        <v>13466</v>
      </c>
      <c r="C6352" s="626" t="s">
        <v>8</v>
      </c>
      <c r="D6352" s="626" t="s">
        <v>11315</v>
      </c>
      <c r="E6352" s="628" t="s">
        <v>35</v>
      </c>
      <c r="F6352" s="816" t="s">
        <v>14636</v>
      </c>
      <c r="G6352" s="816"/>
      <c r="H6352" s="816">
        <v>1.2E-2</v>
      </c>
      <c r="I6352" s="816"/>
      <c r="J6352" s="817">
        <v>0.83</v>
      </c>
      <c r="K6352" s="817"/>
      <c r="L6352" s="817"/>
    </row>
    <row r="6353" spans="1:12" ht="24" customHeight="1">
      <c r="A6353" s="626" t="s">
        <v>12709</v>
      </c>
      <c r="B6353" s="627" t="s">
        <v>13468</v>
      </c>
      <c r="C6353" s="626" t="s">
        <v>8</v>
      </c>
      <c r="D6353" s="626" t="s">
        <v>7343</v>
      </c>
      <c r="E6353" s="628" t="s">
        <v>35</v>
      </c>
      <c r="F6353" s="816" t="s">
        <v>14635</v>
      </c>
      <c r="G6353" s="816"/>
      <c r="H6353" s="816">
        <v>1.0999999999999999E-2</v>
      </c>
      <c r="I6353" s="816"/>
      <c r="J6353" s="817">
        <v>0.87</v>
      </c>
      <c r="K6353" s="817"/>
      <c r="L6353" s="817"/>
    </row>
    <row r="6354" spans="1:12" ht="24" customHeight="1">
      <c r="A6354" s="626" t="s">
        <v>12709</v>
      </c>
      <c r="B6354" s="627" t="s">
        <v>13499</v>
      </c>
      <c r="C6354" s="626" t="s">
        <v>8</v>
      </c>
      <c r="D6354" s="626" t="s">
        <v>11592</v>
      </c>
      <c r="E6354" s="628" t="s">
        <v>35</v>
      </c>
      <c r="F6354" s="816" t="s">
        <v>13771</v>
      </c>
      <c r="G6354" s="816"/>
      <c r="H6354" s="816">
        <v>1</v>
      </c>
      <c r="I6354" s="816"/>
      <c r="J6354" s="817">
        <v>0.94</v>
      </c>
      <c r="K6354" s="817"/>
      <c r="L6354" s="817"/>
    </row>
    <row r="6355" spans="1:12" ht="17.100000000000001" customHeight="1">
      <c r="A6355" s="636"/>
      <c r="B6355" s="636"/>
      <c r="C6355" s="636"/>
      <c r="D6355" s="636"/>
      <c r="E6355" s="636"/>
      <c r="F6355" s="636"/>
      <c r="G6355" s="636"/>
      <c r="H6355" s="636"/>
      <c r="I6355" s="636"/>
      <c r="J6355" s="636" t="s">
        <v>13675</v>
      </c>
      <c r="K6355" s="636"/>
      <c r="L6355" s="636" t="s">
        <v>14661</v>
      </c>
    </row>
    <row r="6356" spans="1:12">
      <c r="A6356" s="802" t="s">
        <v>12722</v>
      </c>
      <c r="B6356" s="802"/>
      <c r="C6356" s="802"/>
      <c r="D6356" s="802"/>
      <c r="E6356" s="802"/>
      <c r="F6356" s="802"/>
      <c r="G6356" s="802"/>
      <c r="H6356" s="802"/>
      <c r="I6356" s="612"/>
      <c r="J6356" s="612"/>
      <c r="K6356" s="612"/>
      <c r="L6356" s="612"/>
    </row>
    <row r="6357" spans="1:12" ht="17.100000000000001" customHeight="1">
      <c r="A6357" s="612" t="s">
        <v>13679</v>
      </c>
      <c r="B6357" s="636" t="s">
        <v>12698</v>
      </c>
      <c r="C6357" s="612" t="s">
        <v>12699</v>
      </c>
      <c r="D6357" s="612" t="s">
        <v>12700</v>
      </c>
      <c r="E6357" s="637" t="s">
        <v>12702</v>
      </c>
      <c r="F6357" s="801" t="s">
        <v>12704</v>
      </c>
      <c r="G6357" s="801"/>
      <c r="H6357" s="801" t="s">
        <v>13678</v>
      </c>
      <c r="I6357" s="801"/>
      <c r="J6357" s="801" t="s">
        <v>12705</v>
      </c>
      <c r="K6357" s="801"/>
      <c r="L6357" s="801"/>
    </row>
    <row r="6358" spans="1:12" ht="24" customHeight="1">
      <c r="A6358" s="626" t="s">
        <v>12709</v>
      </c>
      <c r="B6358" s="627" t="s">
        <v>12998</v>
      </c>
      <c r="C6358" s="626" t="s">
        <v>8</v>
      </c>
      <c r="D6358" s="626" t="s">
        <v>11861</v>
      </c>
      <c r="E6358" s="628" t="s">
        <v>23</v>
      </c>
      <c r="F6358" s="816" t="s">
        <v>13683</v>
      </c>
      <c r="G6358" s="816"/>
      <c r="H6358" s="816">
        <v>0.39713110000000001</v>
      </c>
      <c r="I6358" s="816"/>
      <c r="J6358" s="817">
        <v>0.28199999999999997</v>
      </c>
      <c r="K6358" s="817"/>
      <c r="L6358" s="817"/>
    </row>
    <row r="6359" spans="1:12" ht="24" customHeight="1">
      <c r="A6359" s="636"/>
      <c r="B6359" s="636"/>
      <c r="C6359" s="636"/>
      <c r="D6359" s="636"/>
      <c r="E6359" s="636"/>
      <c r="F6359" s="636"/>
      <c r="G6359" s="636"/>
      <c r="H6359" s="636"/>
      <c r="I6359" s="636"/>
      <c r="J6359" s="636" t="s">
        <v>13675</v>
      </c>
      <c r="K6359" s="636"/>
      <c r="L6359" s="636" t="s">
        <v>13762</v>
      </c>
    </row>
    <row r="6360" spans="1:12" ht="24" customHeight="1">
      <c r="A6360" s="802" t="s">
        <v>12713</v>
      </c>
      <c r="B6360" s="802"/>
      <c r="C6360" s="802"/>
      <c r="D6360" s="802"/>
      <c r="E6360" s="802"/>
      <c r="F6360" s="802"/>
      <c r="G6360" s="802"/>
      <c r="H6360" s="802"/>
      <c r="I6360" s="612"/>
      <c r="J6360" s="612"/>
      <c r="K6360" s="612"/>
      <c r="L6360" s="612"/>
    </row>
    <row r="6361" spans="1:12" ht="24" customHeight="1">
      <c r="A6361" s="612" t="s">
        <v>13679</v>
      </c>
      <c r="B6361" s="636" t="s">
        <v>12698</v>
      </c>
      <c r="C6361" s="612" t="s">
        <v>12699</v>
      </c>
      <c r="D6361" s="612" t="s">
        <v>12700</v>
      </c>
      <c r="E6361" s="637" t="s">
        <v>12702</v>
      </c>
      <c r="F6361" s="801" t="s">
        <v>12704</v>
      </c>
      <c r="G6361" s="801"/>
      <c r="H6361" s="801" t="s">
        <v>13678</v>
      </c>
      <c r="I6361" s="801"/>
      <c r="J6361" s="801" t="s">
        <v>12705</v>
      </c>
      <c r="K6361" s="801"/>
      <c r="L6361" s="801"/>
    </row>
    <row r="6362" spans="1:12" ht="17.100000000000001" customHeight="1">
      <c r="A6362" s="626" t="s">
        <v>12709</v>
      </c>
      <c r="B6362" s="627" t="s">
        <v>12999</v>
      </c>
      <c r="C6362" s="626" t="s">
        <v>8</v>
      </c>
      <c r="D6362" s="626" t="s">
        <v>11251</v>
      </c>
      <c r="E6362" s="628" t="s">
        <v>23</v>
      </c>
      <c r="F6362" s="816" t="s">
        <v>13681</v>
      </c>
      <c r="G6362" s="816"/>
      <c r="H6362" s="816">
        <v>0.39713110000000001</v>
      </c>
      <c r="I6362" s="816"/>
      <c r="J6362" s="817">
        <v>2.7799999999999998E-2</v>
      </c>
      <c r="K6362" s="817"/>
      <c r="L6362" s="817"/>
    </row>
    <row r="6363" spans="1:12">
      <c r="A6363" s="636"/>
      <c r="B6363" s="636"/>
      <c r="C6363" s="636"/>
      <c r="D6363" s="636"/>
      <c r="E6363" s="636"/>
      <c r="F6363" s="636"/>
      <c r="G6363" s="636"/>
      <c r="H6363" s="636"/>
      <c r="I6363" s="636"/>
      <c r="J6363" s="636" t="s">
        <v>13675</v>
      </c>
      <c r="K6363" s="636"/>
      <c r="L6363" s="636" t="s">
        <v>13726</v>
      </c>
    </row>
    <row r="6364" spans="1:12" ht="17.100000000000001" customHeight="1">
      <c r="A6364" s="802" t="s">
        <v>12712</v>
      </c>
      <c r="B6364" s="802"/>
      <c r="C6364" s="802"/>
      <c r="D6364" s="802"/>
      <c r="E6364" s="802"/>
      <c r="F6364" s="802"/>
      <c r="G6364" s="802"/>
      <c r="H6364" s="802"/>
      <c r="I6364" s="612"/>
      <c r="J6364" s="612"/>
      <c r="K6364" s="612"/>
      <c r="L6364" s="612"/>
    </row>
    <row r="6365" spans="1:12" ht="24" customHeight="1">
      <c r="A6365" s="612" t="s">
        <v>13679</v>
      </c>
      <c r="B6365" s="636" t="s">
        <v>12698</v>
      </c>
      <c r="C6365" s="612" t="s">
        <v>12699</v>
      </c>
      <c r="D6365" s="612" t="s">
        <v>12700</v>
      </c>
      <c r="E6365" s="637" t="s">
        <v>12702</v>
      </c>
      <c r="F6365" s="801" t="s">
        <v>12704</v>
      </c>
      <c r="G6365" s="801"/>
      <c r="H6365" s="801" t="s">
        <v>13678</v>
      </c>
      <c r="I6365" s="801"/>
      <c r="J6365" s="801" t="s">
        <v>12705</v>
      </c>
      <c r="K6365" s="801"/>
      <c r="L6365" s="801"/>
    </row>
    <row r="6366" spans="1:12" ht="17.100000000000001" customHeight="1">
      <c r="A6366" s="626" t="s">
        <v>12709</v>
      </c>
      <c r="B6366" s="627" t="s">
        <v>13002</v>
      </c>
      <c r="C6366" s="626" t="s">
        <v>8</v>
      </c>
      <c r="D6366" s="626" t="s">
        <v>9306</v>
      </c>
      <c r="E6366" s="628" t="s">
        <v>23</v>
      </c>
      <c r="F6366" s="816" t="s">
        <v>13677</v>
      </c>
      <c r="G6366" s="816"/>
      <c r="H6366" s="816">
        <v>0.39713110000000001</v>
      </c>
      <c r="I6366" s="816"/>
      <c r="J6366" s="817">
        <v>0.13900000000000001</v>
      </c>
      <c r="K6366" s="817"/>
      <c r="L6366" s="817"/>
    </row>
    <row r="6367" spans="1:12" ht="25.5">
      <c r="A6367" s="626" t="s">
        <v>12709</v>
      </c>
      <c r="B6367" s="627" t="s">
        <v>13004</v>
      </c>
      <c r="C6367" s="626" t="s">
        <v>8</v>
      </c>
      <c r="D6367" s="626" t="s">
        <v>7388</v>
      </c>
      <c r="E6367" s="628" t="s">
        <v>23</v>
      </c>
      <c r="F6367" s="816" t="s">
        <v>13676</v>
      </c>
      <c r="G6367" s="816"/>
      <c r="H6367" s="816">
        <v>0.39713110000000001</v>
      </c>
      <c r="I6367" s="816"/>
      <c r="J6367" s="817">
        <v>0.87370000000000003</v>
      </c>
      <c r="K6367" s="817"/>
      <c r="L6367" s="817"/>
    </row>
    <row r="6368" spans="1:12" ht="17.100000000000001" customHeight="1">
      <c r="A6368" s="636"/>
      <c r="B6368" s="636"/>
      <c r="C6368" s="636"/>
      <c r="D6368" s="636"/>
      <c r="E6368" s="636"/>
      <c r="F6368" s="636"/>
      <c r="G6368" s="636"/>
      <c r="H6368" s="636"/>
      <c r="I6368" s="636"/>
      <c r="J6368" s="636" t="s">
        <v>13675</v>
      </c>
      <c r="K6368" s="636"/>
      <c r="L6368" s="636" t="s">
        <v>13863</v>
      </c>
    </row>
    <row r="6369" spans="1:12" ht="24" customHeight="1">
      <c r="A6369" s="612" t="s">
        <v>13673</v>
      </c>
      <c r="B6369" s="612"/>
      <c r="C6369" s="612"/>
      <c r="D6369" s="612"/>
      <c r="E6369" s="612"/>
      <c r="F6369" s="612"/>
      <c r="G6369" s="612"/>
      <c r="H6369" s="612"/>
      <c r="I6369" s="612"/>
      <c r="J6369" s="612"/>
      <c r="K6369" s="612"/>
      <c r="L6369" s="612"/>
    </row>
    <row r="6370" spans="1:12" ht="17.100000000000001" customHeight="1">
      <c r="A6370" s="636"/>
      <c r="B6370" s="636"/>
      <c r="C6370" s="636"/>
      <c r="D6370" s="636"/>
      <c r="E6370" s="636"/>
      <c r="F6370" s="636"/>
      <c r="G6370" s="636"/>
      <c r="H6370" s="636"/>
      <c r="I6370" s="636"/>
      <c r="J6370" s="636" t="s">
        <v>13672</v>
      </c>
      <c r="K6370" s="636"/>
      <c r="L6370" s="636" t="s">
        <v>15335</v>
      </c>
    </row>
    <row r="6371" spans="1:12">
      <c r="A6371" s="636"/>
      <c r="B6371" s="636"/>
      <c r="C6371" s="636"/>
      <c r="D6371" s="636"/>
      <c r="E6371" s="636"/>
      <c r="F6371" s="636"/>
      <c r="G6371" s="636"/>
      <c r="H6371" s="636"/>
      <c r="I6371" s="636"/>
      <c r="J6371" s="636" t="s">
        <v>13671</v>
      </c>
      <c r="K6371" s="636" t="s">
        <v>14461</v>
      </c>
      <c r="L6371" s="636" t="s">
        <v>15241</v>
      </c>
    </row>
    <row r="6372" spans="1:12" ht="17.100000000000001" customHeight="1">
      <c r="A6372" s="636"/>
      <c r="B6372" s="636"/>
      <c r="C6372" s="636"/>
      <c r="D6372" s="636"/>
      <c r="E6372" s="636"/>
      <c r="F6372" s="636"/>
      <c r="G6372" s="636"/>
      <c r="H6372" s="636"/>
      <c r="I6372" s="636"/>
      <c r="J6372" s="636" t="s">
        <v>13670</v>
      </c>
      <c r="K6372" s="636"/>
      <c r="L6372" s="636" t="s">
        <v>15336</v>
      </c>
    </row>
    <row r="6373" spans="1:12" ht="24" customHeight="1">
      <c r="A6373" s="636"/>
      <c r="B6373" s="636"/>
      <c r="C6373" s="636"/>
      <c r="D6373" s="636"/>
      <c r="E6373" s="636"/>
      <c r="F6373" s="636"/>
      <c r="G6373" s="636"/>
      <c r="H6373" s="636"/>
      <c r="I6373" s="636"/>
      <c r="J6373" s="636" t="s">
        <v>13669</v>
      </c>
      <c r="K6373" s="636" t="s">
        <v>13667</v>
      </c>
      <c r="L6373" s="636" t="s">
        <v>15337</v>
      </c>
    </row>
    <row r="6374" spans="1:12" ht="24" customHeight="1">
      <c r="A6374" s="636"/>
      <c r="B6374" s="636"/>
      <c r="C6374" s="636"/>
      <c r="D6374" s="636"/>
      <c r="E6374" s="636"/>
      <c r="F6374" s="636"/>
      <c r="G6374" s="636"/>
      <c r="H6374" s="636"/>
      <c r="I6374" s="636"/>
      <c r="J6374" s="636" t="s">
        <v>13668</v>
      </c>
      <c r="K6374" s="636"/>
      <c r="L6374" s="636" t="s">
        <v>15338</v>
      </c>
    </row>
    <row r="6375" spans="1:12" ht="17.100000000000001" customHeight="1">
      <c r="A6375" s="637"/>
      <c r="B6375" s="637"/>
      <c r="C6375" s="637"/>
      <c r="D6375" s="637"/>
      <c r="E6375" s="637"/>
      <c r="F6375" s="637"/>
      <c r="G6375" s="637"/>
      <c r="H6375" s="637"/>
      <c r="I6375" s="637"/>
      <c r="J6375" s="637"/>
      <c r="K6375" s="637"/>
      <c r="L6375" s="637"/>
    </row>
    <row r="6376" spans="1:12" ht="17.100000000000001" customHeight="1">
      <c r="A6376" s="616" t="s">
        <v>14028</v>
      </c>
      <c r="B6376" s="617" t="s">
        <v>13498</v>
      </c>
      <c r="C6376" s="616" t="s">
        <v>8</v>
      </c>
      <c r="D6376" s="616" t="s">
        <v>1905</v>
      </c>
      <c r="E6376" s="618" t="s">
        <v>35</v>
      </c>
      <c r="F6376" s="617"/>
      <c r="G6376" s="617"/>
      <c r="H6376" s="617"/>
      <c r="I6376" s="617"/>
      <c r="J6376" s="617"/>
      <c r="K6376" s="617"/>
      <c r="L6376" s="617"/>
    </row>
    <row r="6377" spans="1:12" ht="17.100000000000001" customHeight="1">
      <c r="A6377" s="802" t="s">
        <v>12711</v>
      </c>
      <c r="B6377" s="802"/>
      <c r="C6377" s="802"/>
      <c r="D6377" s="802"/>
      <c r="E6377" s="802"/>
      <c r="F6377" s="802"/>
      <c r="G6377" s="802"/>
      <c r="H6377" s="802"/>
      <c r="I6377" s="612"/>
      <c r="J6377" s="612"/>
      <c r="K6377" s="612"/>
      <c r="L6377" s="612"/>
    </row>
    <row r="6378" spans="1:12" ht="17.100000000000001" customHeight="1">
      <c r="A6378" s="612" t="s">
        <v>13679</v>
      </c>
      <c r="B6378" s="636" t="s">
        <v>12698</v>
      </c>
      <c r="C6378" s="612" t="s">
        <v>12699</v>
      </c>
      <c r="D6378" s="612" t="s">
        <v>12700</v>
      </c>
      <c r="E6378" s="637" t="s">
        <v>12702</v>
      </c>
      <c r="F6378" s="801" t="s">
        <v>12704</v>
      </c>
      <c r="G6378" s="801"/>
      <c r="H6378" s="801" t="s">
        <v>13678</v>
      </c>
      <c r="I6378" s="801"/>
      <c r="J6378" s="801" t="s">
        <v>12705</v>
      </c>
      <c r="K6378" s="801"/>
      <c r="L6378" s="801"/>
    </row>
    <row r="6379" spans="1:12" ht="17.100000000000001" customHeight="1">
      <c r="A6379" s="626" t="s">
        <v>12709</v>
      </c>
      <c r="B6379" s="627" t="s">
        <v>13201</v>
      </c>
      <c r="C6379" s="626" t="s">
        <v>8</v>
      </c>
      <c r="D6379" s="626" t="s">
        <v>9221</v>
      </c>
      <c r="E6379" s="628" t="s">
        <v>23</v>
      </c>
      <c r="F6379" s="816" t="s">
        <v>13705</v>
      </c>
      <c r="G6379" s="816"/>
      <c r="H6379" s="816">
        <v>0.23488970000000001</v>
      </c>
      <c r="I6379" s="816"/>
      <c r="J6379" s="817">
        <v>0.19500000000000001</v>
      </c>
      <c r="K6379" s="817"/>
      <c r="L6379" s="817"/>
    </row>
    <row r="6380" spans="1:12" ht="17.100000000000001" customHeight="1">
      <c r="A6380" s="626" t="s">
        <v>12709</v>
      </c>
      <c r="B6380" s="627" t="s">
        <v>13200</v>
      </c>
      <c r="C6380" s="626" t="s">
        <v>8</v>
      </c>
      <c r="D6380" s="626" t="s">
        <v>9368</v>
      </c>
      <c r="E6380" s="628" t="s">
        <v>23</v>
      </c>
      <c r="F6380" s="816" t="s">
        <v>13704</v>
      </c>
      <c r="G6380" s="816"/>
      <c r="H6380" s="816">
        <v>0.23488970000000001</v>
      </c>
      <c r="I6380" s="816"/>
      <c r="J6380" s="817">
        <v>5.6399999999999999E-2</v>
      </c>
      <c r="K6380" s="817"/>
      <c r="L6380" s="817"/>
    </row>
    <row r="6381" spans="1:12" ht="17.100000000000001" customHeight="1">
      <c r="A6381" s="636"/>
      <c r="B6381" s="636"/>
      <c r="C6381" s="636"/>
      <c r="D6381" s="636"/>
      <c r="E6381" s="636"/>
      <c r="F6381" s="636"/>
      <c r="G6381" s="636"/>
      <c r="H6381" s="636"/>
      <c r="I6381" s="636"/>
      <c r="J6381" s="636" t="s">
        <v>13675</v>
      </c>
      <c r="K6381" s="636"/>
      <c r="L6381" s="636" t="s">
        <v>13915</v>
      </c>
    </row>
    <row r="6382" spans="1:12" ht="30" customHeight="1">
      <c r="A6382" s="802" t="s">
        <v>12710</v>
      </c>
      <c r="B6382" s="802"/>
      <c r="C6382" s="802"/>
      <c r="D6382" s="802"/>
      <c r="E6382" s="802"/>
      <c r="F6382" s="802"/>
      <c r="G6382" s="802"/>
      <c r="H6382" s="802"/>
      <c r="I6382" s="612"/>
      <c r="J6382" s="612"/>
      <c r="K6382" s="612"/>
      <c r="L6382" s="612"/>
    </row>
    <row r="6383" spans="1:12" ht="36" customHeight="1">
      <c r="A6383" s="612" t="s">
        <v>13679</v>
      </c>
      <c r="B6383" s="636" t="s">
        <v>12698</v>
      </c>
      <c r="C6383" s="612" t="s">
        <v>12699</v>
      </c>
      <c r="D6383" s="612" t="s">
        <v>12700</v>
      </c>
      <c r="E6383" s="637" t="s">
        <v>12702</v>
      </c>
      <c r="F6383" s="801" t="s">
        <v>12704</v>
      </c>
      <c r="G6383" s="801"/>
      <c r="H6383" s="801" t="s">
        <v>13678</v>
      </c>
      <c r="I6383" s="801"/>
      <c r="J6383" s="801" t="s">
        <v>12705</v>
      </c>
      <c r="K6383" s="801"/>
      <c r="L6383" s="801"/>
    </row>
    <row r="6384" spans="1:12" ht="14.25" customHeight="1">
      <c r="A6384" s="626" t="s">
        <v>12709</v>
      </c>
      <c r="B6384" s="627" t="s">
        <v>13220</v>
      </c>
      <c r="C6384" s="626" t="s">
        <v>8</v>
      </c>
      <c r="D6384" s="626" t="s">
        <v>7592</v>
      </c>
      <c r="E6384" s="628" t="s">
        <v>23</v>
      </c>
      <c r="F6384" s="816" t="s">
        <v>13890</v>
      </c>
      <c r="G6384" s="816"/>
      <c r="H6384" s="816">
        <v>0.11998549999999999</v>
      </c>
      <c r="I6384" s="816"/>
      <c r="J6384" s="817">
        <v>0.60709999999999997</v>
      </c>
      <c r="K6384" s="817"/>
      <c r="L6384" s="817"/>
    </row>
    <row r="6385" spans="1:12" ht="17.100000000000001" customHeight="1">
      <c r="A6385" s="626" t="s">
        <v>12709</v>
      </c>
      <c r="B6385" s="627" t="s">
        <v>13202</v>
      </c>
      <c r="C6385" s="626" t="s">
        <v>8</v>
      </c>
      <c r="D6385" s="626" t="s">
        <v>9187</v>
      </c>
      <c r="E6385" s="628" t="s">
        <v>23</v>
      </c>
      <c r="F6385" s="816" t="s">
        <v>14479</v>
      </c>
      <c r="G6385" s="816"/>
      <c r="H6385" s="816">
        <v>0.11998549999999999</v>
      </c>
      <c r="I6385" s="816"/>
      <c r="J6385" s="817">
        <v>0.8579</v>
      </c>
      <c r="K6385" s="817"/>
      <c r="L6385" s="817"/>
    </row>
    <row r="6386" spans="1:12" ht="24" customHeight="1">
      <c r="A6386" s="636"/>
      <c r="B6386" s="636"/>
      <c r="C6386" s="636"/>
      <c r="D6386" s="636"/>
      <c r="E6386" s="636"/>
      <c r="F6386" s="636"/>
      <c r="G6386" s="636"/>
      <c r="H6386" s="636"/>
      <c r="I6386" s="636"/>
      <c r="J6386" s="636" t="s">
        <v>13675</v>
      </c>
      <c r="K6386" s="636"/>
      <c r="L6386" s="636" t="s">
        <v>14184</v>
      </c>
    </row>
    <row r="6387" spans="1:12" ht="24" customHeight="1">
      <c r="A6387" s="802" t="s">
        <v>12720</v>
      </c>
      <c r="B6387" s="802"/>
      <c r="C6387" s="802"/>
      <c r="D6387" s="802"/>
      <c r="E6387" s="802"/>
      <c r="F6387" s="802"/>
      <c r="G6387" s="802"/>
      <c r="H6387" s="802"/>
      <c r="I6387" s="612"/>
      <c r="J6387" s="612"/>
      <c r="K6387" s="612"/>
      <c r="L6387" s="612"/>
    </row>
    <row r="6388" spans="1:12" ht="17.100000000000001" customHeight="1">
      <c r="A6388" s="612" t="s">
        <v>13679</v>
      </c>
      <c r="B6388" s="636" t="s">
        <v>12698</v>
      </c>
      <c r="C6388" s="612" t="s">
        <v>12699</v>
      </c>
      <c r="D6388" s="612" t="s">
        <v>12700</v>
      </c>
      <c r="E6388" s="637" t="s">
        <v>12702</v>
      </c>
      <c r="F6388" s="801" t="s">
        <v>12704</v>
      </c>
      <c r="G6388" s="801"/>
      <c r="H6388" s="801" t="s">
        <v>13678</v>
      </c>
      <c r="I6388" s="801"/>
      <c r="J6388" s="801" t="s">
        <v>12705</v>
      </c>
      <c r="K6388" s="801"/>
      <c r="L6388" s="801"/>
    </row>
    <row r="6389" spans="1:12" ht="14.25" customHeight="1">
      <c r="A6389" s="626" t="s">
        <v>12709</v>
      </c>
      <c r="B6389" s="627" t="s">
        <v>13467</v>
      </c>
      <c r="C6389" s="626" t="s">
        <v>8</v>
      </c>
      <c r="D6389" s="626" t="s">
        <v>9987</v>
      </c>
      <c r="E6389" s="628" t="s">
        <v>35</v>
      </c>
      <c r="F6389" s="816" t="s">
        <v>13998</v>
      </c>
      <c r="G6389" s="816"/>
      <c r="H6389" s="816">
        <v>0.03</v>
      </c>
      <c r="I6389" s="816"/>
      <c r="J6389" s="817">
        <v>0.05</v>
      </c>
      <c r="K6389" s="817"/>
      <c r="L6389" s="817"/>
    </row>
    <row r="6390" spans="1:12" ht="17.100000000000001" customHeight="1">
      <c r="A6390" s="626" t="s">
        <v>12709</v>
      </c>
      <c r="B6390" s="627" t="s">
        <v>13466</v>
      </c>
      <c r="C6390" s="626" t="s">
        <v>8</v>
      </c>
      <c r="D6390" s="626" t="s">
        <v>11315</v>
      </c>
      <c r="E6390" s="628" t="s">
        <v>35</v>
      </c>
      <c r="F6390" s="816" t="s">
        <v>14636</v>
      </c>
      <c r="G6390" s="816"/>
      <c r="H6390" s="816">
        <v>2.1000000000000001E-2</v>
      </c>
      <c r="I6390" s="816"/>
      <c r="J6390" s="817">
        <v>1.45</v>
      </c>
      <c r="K6390" s="817"/>
      <c r="L6390" s="817"/>
    </row>
    <row r="6391" spans="1:12" ht="24" customHeight="1">
      <c r="A6391" s="626" t="s">
        <v>12709</v>
      </c>
      <c r="B6391" s="627" t="s">
        <v>13468</v>
      </c>
      <c r="C6391" s="626" t="s">
        <v>8</v>
      </c>
      <c r="D6391" s="626" t="s">
        <v>7343</v>
      </c>
      <c r="E6391" s="628" t="s">
        <v>35</v>
      </c>
      <c r="F6391" s="816" t="s">
        <v>14635</v>
      </c>
      <c r="G6391" s="816"/>
      <c r="H6391" s="816">
        <v>1.7999999999999999E-2</v>
      </c>
      <c r="I6391" s="816"/>
      <c r="J6391" s="817">
        <v>1.43</v>
      </c>
      <c r="K6391" s="817"/>
      <c r="L6391" s="817"/>
    </row>
    <row r="6392" spans="1:12" ht="24" customHeight="1">
      <c r="A6392" s="626" t="s">
        <v>12709</v>
      </c>
      <c r="B6392" s="627" t="s">
        <v>13497</v>
      </c>
      <c r="C6392" s="626" t="s">
        <v>8</v>
      </c>
      <c r="D6392" s="626" t="s">
        <v>11594</v>
      </c>
      <c r="E6392" s="628" t="s">
        <v>35</v>
      </c>
      <c r="F6392" s="816" t="s">
        <v>13687</v>
      </c>
      <c r="G6392" s="816"/>
      <c r="H6392" s="816">
        <v>1</v>
      </c>
      <c r="I6392" s="816"/>
      <c r="J6392" s="817">
        <v>6.86</v>
      </c>
      <c r="K6392" s="817"/>
      <c r="L6392" s="817"/>
    </row>
    <row r="6393" spans="1:12" ht="17.100000000000001" customHeight="1">
      <c r="A6393" s="636"/>
      <c r="B6393" s="636"/>
      <c r="C6393" s="636"/>
      <c r="D6393" s="636"/>
      <c r="E6393" s="636"/>
      <c r="F6393" s="636"/>
      <c r="G6393" s="636"/>
      <c r="H6393" s="636"/>
      <c r="I6393" s="636"/>
      <c r="J6393" s="636" t="s">
        <v>13675</v>
      </c>
      <c r="K6393" s="636"/>
      <c r="L6393" s="636" t="s">
        <v>14660</v>
      </c>
    </row>
    <row r="6394" spans="1:12">
      <c r="A6394" s="802" t="s">
        <v>12722</v>
      </c>
      <c r="B6394" s="802"/>
      <c r="C6394" s="802"/>
      <c r="D6394" s="802"/>
      <c r="E6394" s="802"/>
      <c r="F6394" s="802"/>
      <c r="G6394" s="802"/>
      <c r="H6394" s="802"/>
      <c r="I6394" s="612"/>
      <c r="J6394" s="612"/>
      <c r="K6394" s="612"/>
      <c r="L6394" s="612"/>
    </row>
    <row r="6395" spans="1:12" ht="17.100000000000001" customHeight="1">
      <c r="A6395" s="612" t="s">
        <v>13679</v>
      </c>
      <c r="B6395" s="636" t="s">
        <v>12698</v>
      </c>
      <c r="C6395" s="612" t="s">
        <v>12699</v>
      </c>
      <c r="D6395" s="612" t="s">
        <v>12700</v>
      </c>
      <c r="E6395" s="637" t="s">
        <v>12702</v>
      </c>
      <c r="F6395" s="801" t="s">
        <v>12704</v>
      </c>
      <c r="G6395" s="801"/>
      <c r="H6395" s="801" t="s">
        <v>13678</v>
      </c>
      <c r="I6395" s="801"/>
      <c r="J6395" s="801" t="s">
        <v>12705</v>
      </c>
      <c r="K6395" s="801"/>
      <c r="L6395" s="801"/>
    </row>
    <row r="6396" spans="1:12" ht="24" customHeight="1">
      <c r="A6396" s="626" t="s">
        <v>12709</v>
      </c>
      <c r="B6396" s="627" t="s">
        <v>12998</v>
      </c>
      <c r="C6396" s="626" t="s">
        <v>8</v>
      </c>
      <c r="D6396" s="626" t="s">
        <v>11861</v>
      </c>
      <c r="E6396" s="628" t="s">
        <v>23</v>
      </c>
      <c r="F6396" s="816" t="s">
        <v>13683</v>
      </c>
      <c r="G6396" s="816"/>
      <c r="H6396" s="816">
        <v>0.23488970000000001</v>
      </c>
      <c r="I6396" s="816"/>
      <c r="J6396" s="817">
        <v>0.1668</v>
      </c>
      <c r="K6396" s="817"/>
      <c r="L6396" s="817"/>
    </row>
    <row r="6397" spans="1:12" ht="24" customHeight="1">
      <c r="A6397" s="636"/>
      <c r="B6397" s="636"/>
      <c r="C6397" s="636"/>
      <c r="D6397" s="636"/>
      <c r="E6397" s="636"/>
      <c r="F6397" s="636"/>
      <c r="G6397" s="636"/>
      <c r="H6397" s="636"/>
      <c r="I6397" s="636"/>
      <c r="J6397" s="636" t="s">
        <v>13675</v>
      </c>
      <c r="K6397" s="636"/>
      <c r="L6397" s="636" t="s">
        <v>13832</v>
      </c>
    </row>
    <row r="6398" spans="1:12" ht="24" customHeight="1">
      <c r="A6398" s="802" t="s">
        <v>12713</v>
      </c>
      <c r="B6398" s="802"/>
      <c r="C6398" s="802"/>
      <c r="D6398" s="802"/>
      <c r="E6398" s="802"/>
      <c r="F6398" s="802"/>
      <c r="G6398" s="802"/>
      <c r="H6398" s="802"/>
      <c r="I6398" s="612"/>
      <c r="J6398" s="612"/>
      <c r="K6398" s="612"/>
      <c r="L6398" s="612"/>
    </row>
    <row r="6399" spans="1:12" ht="24" customHeight="1">
      <c r="A6399" s="612" t="s">
        <v>13679</v>
      </c>
      <c r="B6399" s="636" t="s">
        <v>12698</v>
      </c>
      <c r="C6399" s="612" t="s">
        <v>12699</v>
      </c>
      <c r="D6399" s="612" t="s">
        <v>12700</v>
      </c>
      <c r="E6399" s="637" t="s">
        <v>12702</v>
      </c>
      <c r="F6399" s="801" t="s">
        <v>12704</v>
      </c>
      <c r="G6399" s="801"/>
      <c r="H6399" s="801" t="s">
        <v>13678</v>
      </c>
      <c r="I6399" s="801"/>
      <c r="J6399" s="801" t="s">
        <v>12705</v>
      </c>
      <c r="K6399" s="801"/>
      <c r="L6399" s="801"/>
    </row>
    <row r="6400" spans="1:12" ht="17.100000000000001" customHeight="1">
      <c r="A6400" s="626" t="s">
        <v>12709</v>
      </c>
      <c r="B6400" s="627" t="s">
        <v>12999</v>
      </c>
      <c r="C6400" s="626" t="s">
        <v>8</v>
      </c>
      <c r="D6400" s="626" t="s">
        <v>11251</v>
      </c>
      <c r="E6400" s="628" t="s">
        <v>23</v>
      </c>
      <c r="F6400" s="816" t="s">
        <v>13681</v>
      </c>
      <c r="G6400" s="816"/>
      <c r="H6400" s="816">
        <v>0.23488970000000001</v>
      </c>
      <c r="I6400" s="816"/>
      <c r="J6400" s="817">
        <v>1.6400000000000001E-2</v>
      </c>
      <c r="K6400" s="817"/>
      <c r="L6400" s="817"/>
    </row>
    <row r="6401" spans="1:12">
      <c r="A6401" s="636"/>
      <c r="B6401" s="636"/>
      <c r="C6401" s="636"/>
      <c r="D6401" s="636"/>
      <c r="E6401" s="636"/>
      <c r="F6401" s="636"/>
      <c r="G6401" s="636"/>
      <c r="H6401" s="636"/>
      <c r="I6401" s="636"/>
      <c r="J6401" s="636" t="s">
        <v>13675</v>
      </c>
      <c r="K6401" s="636"/>
      <c r="L6401" s="636" t="s">
        <v>13680</v>
      </c>
    </row>
    <row r="6402" spans="1:12" ht="17.100000000000001" customHeight="1">
      <c r="A6402" s="802" t="s">
        <v>12712</v>
      </c>
      <c r="B6402" s="802"/>
      <c r="C6402" s="802"/>
      <c r="D6402" s="802"/>
      <c r="E6402" s="802"/>
      <c r="F6402" s="802"/>
      <c r="G6402" s="802"/>
      <c r="H6402" s="802"/>
      <c r="I6402" s="612"/>
      <c r="J6402" s="612"/>
      <c r="K6402" s="612"/>
      <c r="L6402" s="612"/>
    </row>
    <row r="6403" spans="1:12" ht="24" customHeight="1">
      <c r="A6403" s="612" t="s">
        <v>13679</v>
      </c>
      <c r="B6403" s="636" t="s">
        <v>12698</v>
      </c>
      <c r="C6403" s="612" t="s">
        <v>12699</v>
      </c>
      <c r="D6403" s="612" t="s">
        <v>12700</v>
      </c>
      <c r="E6403" s="637" t="s">
        <v>12702</v>
      </c>
      <c r="F6403" s="801" t="s">
        <v>12704</v>
      </c>
      <c r="G6403" s="801"/>
      <c r="H6403" s="801" t="s">
        <v>13678</v>
      </c>
      <c r="I6403" s="801"/>
      <c r="J6403" s="801" t="s">
        <v>12705</v>
      </c>
      <c r="K6403" s="801"/>
      <c r="L6403" s="801"/>
    </row>
    <row r="6404" spans="1:12" ht="17.100000000000001" customHeight="1">
      <c r="A6404" s="626" t="s">
        <v>12709</v>
      </c>
      <c r="B6404" s="627" t="s">
        <v>13002</v>
      </c>
      <c r="C6404" s="626" t="s">
        <v>8</v>
      </c>
      <c r="D6404" s="626" t="s">
        <v>9306</v>
      </c>
      <c r="E6404" s="628" t="s">
        <v>23</v>
      </c>
      <c r="F6404" s="816" t="s">
        <v>13677</v>
      </c>
      <c r="G6404" s="816"/>
      <c r="H6404" s="816">
        <v>0.23488970000000001</v>
      </c>
      <c r="I6404" s="816"/>
      <c r="J6404" s="817">
        <v>8.2199999999999995E-2</v>
      </c>
      <c r="K6404" s="817"/>
      <c r="L6404" s="817"/>
    </row>
    <row r="6405" spans="1:12" ht="25.5">
      <c r="A6405" s="626" t="s">
        <v>12709</v>
      </c>
      <c r="B6405" s="627" t="s">
        <v>13004</v>
      </c>
      <c r="C6405" s="626" t="s">
        <v>8</v>
      </c>
      <c r="D6405" s="626" t="s">
        <v>7388</v>
      </c>
      <c r="E6405" s="628" t="s">
        <v>23</v>
      </c>
      <c r="F6405" s="816" t="s">
        <v>13676</v>
      </c>
      <c r="G6405" s="816"/>
      <c r="H6405" s="816">
        <v>0.23488970000000001</v>
      </c>
      <c r="I6405" s="816"/>
      <c r="J6405" s="817">
        <v>0.51680000000000004</v>
      </c>
      <c r="K6405" s="817"/>
      <c r="L6405" s="817"/>
    </row>
    <row r="6406" spans="1:12" ht="17.100000000000001" customHeight="1">
      <c r="A6406" s="636"/>
      <c r="B6406" s="636"/>
      <c r="C6406" s="636"/>
      <c r="D6406" s="636"/>
      <c r="E6406" s="636"/>
      <c r="F6406" s="636"/>
      <c r="G6406" s="636"/>
      <c r="H6406" s="636"/>
      <c r="I6406" s="636"/>
      <c r="J6406" s="636" t="s">
        <v>13675</v>
      </c>
      <c r="K6406" s="636"/>
      <c r="L6406" s="636" t="s">
        <v>13684</v>
      </c>
    </row>
    <row r="6407" spans="1:12" ht="24" customHeight="1">
      <c r="A6407" s="612" t="s">
        <v>13673</v>
      </c>
      <c r="B6407" s="612"/>
      <c r="C6407" s="612"/>
      <c r="D6407" s="612"/>
      <c r="E6407" s="612"/>
      <c r="F6407" s="612"/>
      <c r="G6407" s="612"/>
      <c r="H6407" s="612"/>
      <c r="I6407" s="612"/>
      <c r="J6407" s="612"/>
      <c r="K6407" s="612"/>
      <c r="L6407" s="612"/>
    </row>
    <row r="6408" spans="1:12" ht="17.100000000000001" customHeight="1">
      <c r="A6408" s="636"/>
      <c r="B6408" s="636"/>
      <c r="C6408" s="636"/>
      <c r="D6408" s="636"/>
      <c r="E6408" s="636"/>
      <c r="F6408" s="636"/>
      <c r="G6408" s="636"/>
      <c r="H6408" s="636"/>
      <c r="I6408" s="636"/>
      <c r="J6408" s="636" t="s">
        <v>13672</v>
      </c>
      <c r="K6408" s="636"/>
      <c r="L6408" s="636" t="s">
        <v>15339</v>
      </c>
    </row>
    <row r="6409" spans="1:12">
      <c r="A6409" s="636"/>
      <c r="B6409" s="636"/>
      <c r="C6409" s="636"/>
      <c r="D6409" s="636"/>
      <c r="E6409" s="636"/>
      <c r="F6409" s="636"/>
      <c r="G6409" s="636"/>
      <c r="H6409" s="636"/>
      <c r="I6409" s="636"/>
      <c r="J6409" s="636" t="s">
        <v>13671</v>
      </c>
      <c r="K6409" s="636" t="s">
        <v>14461</v>
      </c>
      <c r="L6409" s="636" t="s">
        <v>15332</v>
      </c>
    </row>
    <row r="6410" spans="1:12" ht="17.100000000000001" customHeight="1">
      <c r="A6410" s="636"/>
      <c r="B6410" s="636"/>
      <c r="C6410" s="636"/>
      <c r="D6410" s="636"/>
      <c r="E6410" s="636"/>
      <c r="F6410" s="636"/>
      <c r="G6410" s="636"/>
      <c r="H6410" s="636"/>
      <c r="I6410" s="636"/>
      <c r="J6410" s="636" t="s">
        <v>13670</v>
      </c>
      <c r="K6410" s="636"/>
      <c r="L6410" s="636" t="s">
        <v>15340</v>
      </c>
    </row>
    <row r="6411" spans="1:12" ht="24" customHeight="1">
      <c r="A6411" s="636"/>
      <c r="B6411" s="636"/>
      <c r="C6411" s="636"/>
      <c r="D6411" s="636"/>
      <c r="E6411" s="636"/>
      <c r="F6411" s="636"/>
      <c r="G6411" s="636"/>
      <c r="H6411" s="636"/>
      <c r="I6411" s="636"/>
      <c r="J6411" s="636" t="s">
        <v>13669</v>
      </c>
      <c r="K6411" s="636" t="s">
        <v>13667</v>
      </c>
      <c r="L6411" s="636" t="s">
        <v>15341</v>
      </c>
    </row>
    <row r="6412" spans="1:12" ht="24" customHeight="1">
      <c r="A6412" s="636"/>
      <c r="B6412" s="636"/>
      <c r="C6412" s="636"/>
      <c r="D6412" s="636"/>
      <c r="E6412" s="636"/>
      <c r="F6412" s="636"/>
      <c r="G6412" s="636"/>
      <c r="H6412" s="636"/>
      <c r="I6412" s="636"/>
      <c r="J6412" s="636" t="s">
        <v>13668</v>
      </c>
      <c r="K6412" s="636"/>
      <c r="L6412" s="636" t="s">
        <v>15342</v>
      </c>
    </row>
    <row r="6413" spans="1:12" ht="17.100000000000001" customHeight="1">
      <c r="A6413" s="637"/>
      <c r="B6413" s="637"/>
      <c r="C6413" s="637"/>
      <c r="D6413" s="637"/>
      <c r="E6413" s="637"/>
      <c r="F6413" s="637"/>
      <c r="G6413" s="637"/>
      <c r="H6413" s="637"/>
      <c r="I6413" s="637"/>
      <c r="J6413" s="637"/>
      <c r="K6413" s="637"/>
      <c r="L6413" s="637"/>
    </row>
    <row r="6414" spans="1:12" ht="17.100000000000001" customHeight="1">
      <c r="A6414" s="616" t="s">
        <v>14027</v>
      </c>
      <c r="B6414" s="617" t="s">
        <v>13496</v>
      </c>
      <c r="C6414" s="616" t="s">
        <v>8</v>
      </c>
      <c r="D6414" s="616" t="s">
        <v>1730</v>
      </c>
      <c r="E6414" s="618" t="s">
        <v>35</v>
      </c>
      <c r="F6414" s="617"/>
      <c r="G6414" s="617"/>
      <c r="H6414" s="617"/>
      <c r="I6414" s="617"/>
      <c r="J6414" s="617"/>
      <c r="K6414" s="617"/>
      <c r="L6414" s="617"/>
    </row>
    <row r="6415" spans="1:12" ht="17.100000000000001" customHeight="1">
      <c r="A6415" s="802" t="s">
        <v>12711</v>
      </c>
      <c r="B6415" s="802"/>
      <c r="C6415" s="802"/>
      <c r="D6415" s="802"/>
      <c r="E6415" s="802"/>
      <c r="F6415" s="802"/>
      <c r="G6415" s="802"/>
      <c r="H6415" s="802"/>
      <c r="I6415" s="612"/>
      <c r="J6415" s="612"/>
      <c r="K6415" s="612"/>
      <c r="L6415" s="612"/>
    </row>
    <row r="6416" spans="1:12" ht="17.100000000000001" customHeight="1">
      <c r="A6416" s="612" t="s">
        <v>13679</v>
      </c>
      <c r="B6416" s="636" t="s">
        <v>12698</v>
      </c>
      <c r="C6416" s="612" t="s">
        <v>12699</v>
      </c>
      <c r="D6416" s="612" t="s">
        <v>12700</v>
      </c>
      <c r="E6416" s="637" t="s">
        <v>12702</v>
      </c>
      <c r="F6416" s="801" t="s">
        <v>12704</v>
      </c>
      <c r="G6416" s="801"/>
      <c r="H6416" s="801" t="s">
        <v>13678</v>
      </c>
      <c r="I6416" s="801"/>
      <c r="J6416" s="801" t="s">
        <v>12705</v>
      </c>
      <c r="K6416" s="801"/>
      <c r="L6416" s="801"/>
    </row>
    <row r="6417" spans="1:12" ht="17.100000000000001" customHeight="1">
      <c r="A6417" s="626" t="s">
        <v>12709</v>
      </c>
      <c r="B6417" s="627" t="s">
        <v>13201</v>
      </c>
      <c r="C6417" s="626" t="s">
        <v>8</v>
      </c>
      <c r="D6417" s="626" t="s">
        <v>9221</v>
      </c>
      <c r="E6417" s="628" t="s">
        <v>23</v>
      </c>
      <c r="F6417" s="816" t="s">
        <v>13705</v>
      </c>
      <c r="G6417" s="816"/>
      <c r="H6417" s="816">
        <v>0.29703619999999997</v>
      </c>
      <c r="I6417" s="816"/>
      <c r="J6417" s="817">
        <v>0.2465</v>
      </c>
      <c r="K6417" s="817"/>
      <c r="L6417" s="817"/>
    </row>
    <row r="6418" spans="1:12" ht="17.100000000000001" customHeight="1">
      <c r="A6418" s="626" t="s">
        <v>12709</v>
      </c>
      <c r="B6418" s="627" t="s">
        <v>13200</v>
      </c>
      <c r="C6418" s="626" t="s">
        <v>8</v>
      </c>
      <c r="D6418" s="626" t="s">
        <v>9368</v>
      </c>
      <c r="E6418" s="628" t="s">
        <v>23</v>
      </c>
      <c r="F6418" s="816" t="s">
        <v>13704</v>
      </c>
      <c r="G6418" s="816"/>
      <c r="H6418" s="816">
        <v>0.29703619999999997</v>
      </c>
      <c r="I6418" s="816"/>
      <c r="J6418" s="817">
        <v>7.1300000000000002E-2</v>
      </c>
      <c r="K6418" s="817"/>
      <c r="L6418" s="817"/>
    </row>
    <row r="6419" spans="1:12" ht="17.100000000000001" customHeight="1">
      <c r="A6419" s="636"/>
      <c r="B6419" s="636"/>
      <c r="C6419" s="636"/>
      <c r="D6419" s="636"/>
      <c r="E6419" s="636"/>
      <c r="F6419" s="636"/>
      <c r="G6419" s="636"/>
      <c r="H6419" s="636"/>
      <c r="I6419" s="636"/>
      <c r="J6419" s="636" t="s">
        <v>13675</v>
      </c>
      <c r="K6419" s="636"/>
      <c r="L6419" s="636" t="s">
        <v>14026</v>
      </c>
    </row>
    <row r="6420" spans="1:12" ht="30" customHeight="1">
      <c r="A6420" s="802" t="s">
        <v>12710</v>
      </c>
      <c r="B6420" s="802"/>
      <c r="C6420" s="802"/>
      <c r="D6420" s="802"/>
      <c r="E6420" s="802"/>
      <c r="F6420" s="802"/>
      <c r="G6420" s="802"/>
      <c r="H6420" s="802"/>
      <c r="I6420" s="612"/>
      <c r="J6420" s="612"/>
      <c r="K6420" s="612"/>
      <c r="L6420" s="612"/>
    </row>
    <row r="6421" spans="1:12" ht="24" customHeight="1">
      <c r="A6421" s="612" t="s">
        <v>13679</v>
      </c>
      <c r="B6421" s="636" t="s">
        <v>12698</v>
      </c>
      <c r="C6421" s="612" t="s">
        <v>12699</v>
      </c>
      <c r="D6421" s="612" t="s">
        <v>12700</v>
      </c>
      <c r="E6421" s="637" t="s">
        <v>12702</v>
      </c>
      <c r="F6421" s="801" t="s">
        <v>12704</v>
      </c>
      <c r="G6421" s="801"/>
      <c r="H6421" s="801" t="s">
        <v>13678</v>
      </c>
      <c r="I6421" s="801"/>
      <c r="J6421" s="801" t="s">
        <v>12705</v>
      </c>
      <c r="K6421" s="801"/>
      <c r="L6421" s="801"/>
    </row>
    <row r="6422" spans="1:12" ht="14.25" customHeight="1">
      <c r="A6422" s="626" t="s">
        <v>12709</v>
      </c>
      <c r="B6422" s="627" t="s">
        <v>13220</v>
      </c>
      <c r="C6422" s="626" t="s">
        <v>8</v>
      </c>
      <c r="D6422" s="626" t="s">
        <v>7592</v>
      </c>
      <c r="E6422" s="628" t="s">
        <v>23</v>
      </c>
      <c r="F6422" s="816" t="s">
        <v>13890</v>
      </c>
      <c r="G6422" s="816"/>
      <c r="H6422" s="816">
        <v>0.15142079999999999</v>
      </c>
      <c r="I6422" s="816"/>
      <c r="J6422" s="817">
        <v>0.76619999999999999</v>
      </c>
      <c r="K6422" s="817"/>
      <c r="L6422" s="817"/>
    </row>
    <row r="6423" spans="1:12" ht="17.100000000000001" customHeight="1">
      <c r="A6423" s="626" t="s">
        <v>12709</v>
      </c>
      <c r="B6423" s="627" t="s">
        <v>13202</v>
      </c>
      <c r="C6423" s="626" t="s">
        <v>8</v>
      </c>
      <c r="D6423" s="626" t="s">
        <v>9187</v>
      </c>
      <c r="E6423" s="628" t="s">
        <v>23</v>
      </c>
      <c r="F6423" s="816" t="s">
        <v>14479</v>
      </c>
      <c r="G6423" s="816"/>
      <c r="H6423" s="816">
        <v>0.15142079999999999</v>
      </c>
      <c r="I6423" s="816"/>
      <c r="J6423" s="817">
        <v>1.0827</v>
      </c>
      <c r="K6423" s="817"/>
      <c r="L6423" s="817"/>
    </row>
    <row r="6424" spans="1:12" ht="24" customHeight="1">
      <c r="A6424" s="636"/>
      <c r="B6424" s="636"/>
      <c r="C6424" s="636"/>
      <c r="D6424" s="636"/>
      <c r="E6424" s="636"/>
      <c r="F6424" s="636"/>
      <c r="G6424" s="636"/>
      <c r="H6424" s="636"/>
      <c r="I6424" s="636"/>
      <c r="J6424" s="636" t="s">
        <v>13675</v>
      </c>
      <c r="K6424" s="636"/>
      <c r="L6424" s="636" t="s">
        <v>14101</v>
      </c>
    </row>
    <row r="6425" spans="1:12" ht="24" customHeight="1">
      <c r="A6425" s="802" t="s">
        <v>12720</v>
      </c>
      <c r="B6425" s="802"/>
      <c r="C6425" s="802"/>
      <c r="D6425" s="802"/>
      <c r="E6425" s="802"/>
      <c r="F6425" s="802"/>
      <c r="G6425" s="802"/>
      <c r="H6425" s="802"/>
      <c r="I6425" s="612"/>
      <c r="J6425" s="612"/>
      <c r="K6425" s="612"/>
      <c r="L6425" s="612"/>
    </row>
    <row r="6426" spans="1:12" ht="17.100000000000001" customHeight="1">
      <c r="A6426" s="612" t="s">
        <v>13679</v>
      </c>
      <c r="B6426" s="636" t="s">
        <v>12698</v>
      </c>
      <c r="C6426" s="612" t="s">
        <v>12699</v>
      </c>
      <c r="D6426" s="612" t="s">
        <v>12700</v>
      </c>
      <c r="E6426" s="637" t="s">
        <v>12702</v>
      </c>
      <c r="F6426" s="801" t="s">
        <v>12704</v>
      </c>
      <c r="G6426" s="801"/>
      <c r="H6426" s="801" t="s">
        <v>13678</v>
      </c>
      <c r="I6426" s="801"/>
      <c r="J6426" s="801" t="s">
        <v>12705</v>
      </c>
      <c r="K6426" s="801"/>
      <c r="L6426" s="801"/>
    </row>
    <row r="6427" spans="1:12" ht="14.25" customHeight="1">
      <c r="A6427" s="626" t="s">
        <v>12709</v>
      </c>
      <c r="B6427" s="627" t="s">
        <v>13467</v>
      </c>
      <c r="C6427" s="626" t="s">
        <v>8</v>
      </c>
      <c r="D6427" s="626" t="s">
        <v>9987</v>
      </c>
      <c r="E6427" s="628" t="s">
        <v>35</v>
      </c>
      <c r="F6427" s="816" t="s">
        <v>13998</v>
      </c>
      <c r="G6427" s="816"/>
      <c r="H6427" s="816">
        <v>0.05</v>
      </c>
      <c r="I6427" s="816"/>
      <c r="J6427" s="817">
        <v>0.09</v>
      </c>
      <c r="K6427" s="817"/>
      <c r="L6427" s="817"/>
    </row>
    <row r="6428" spans="1:12" ht="17.100000000000001" customHeight="1">
      <c r="A6428" s="626" t="s">
        <v>12709</v>
      </c>
      <c r="B6428" s="627" t="s">
        <v>13466</v>
      </c>
      <c r="C6428" s="626" t="s">
        <v>8</v>
      </c>
      <c r="D6428" s="626" t="s">
        <v>11315</v>
      </c>
      <c r="E6428" s="628" t="s">
        <v>35</v>
      </c>
      <c r="F6428" s="816" t="s">
        <v>14636</v>
      </c>
      <c r="G6428" s="816"/>
      <c r="H6428" s="816">
        <v>8.0000000000000002E-3</v>
      </c>
      <c r="I6428" s="816"/>
      <c r="J6428" s="817">
        <v>0.55000000000000004</v>
      </c>
      <c r="K6428" s="817"/>
      <c r="L6428" s="817"/>
    </row>
    <row r="6429" spans="1:12" ht="24" customHeight="1">
      <c r="A6429" s="626" t="s">
        <v>12709</v>
      </c>
      <c r="B6429" s="627" t="s">
        <v>13468</v>
      </c>
      <c r="C6429" s="626" t="s">
        <v>8</v>
      </c>
      <c r="D6429" s="626" t="s">
        <v>7343</v>
      </c>
      <c r="E6429" s="628" t="s">
        <v>35</v>
      </c>
      <c r="F6429" s="816" t="s">
        <v>14635</v>
      </c>
      <c r="G6429" s="816"/>
      <c r="H6429" s="816">
        <v>7.0000000000000001E-3</v>
      </c>
      <c r="I6429" s="816"/>
      <c r="J6429" s="817">
        <v>0.55000000000000004</v>
      </c>
      <c r="K6429" s="817"/>
      <c r="L6429" s="817"/>
    </row>
    <row r="6430" spans="1:12" ht="17.100000000000001" customHeight="1">
      <c r="A6430" s="626" t="s">
        <v>12709</v>
      </c>
      <c r="B6430" s="627" t="s">
        <v>13495</v>
      </c>
      <c r="C6430" s="626" t="s">
        <v>8</v>
      </c>
      <c r="D6430" s="626" t="s">
        <v>9748</v>
      </c>
      <c r="E6430" s="628" t="s">
        <v>35</v>
      </c>
      <c r="F6430" s="816" t="s">
        <v>14659</v>
      </c>
      <c r="G6430" s="816"/>
      <c r="H6430" s="816">
        <v>1</v>
      </c>
      <c r="I6430" s="816"/>
      <c r="J6430" s="817">
        <v>5.5</v>
      </c>
      <c r="K6430" s="817"/>
      <c r="L6430" s="817"/>
    </row>
    <row r="6431" spans="1:12">
      <c r="A6431" s="636"/>
      <c r="B6431" s="636"/>
      <c r="C6431" s="636"/>
      <c r="D6431" s="636"/>
      <c r="E6431" s="636"/>
      <c r="F6431" s="636"/>
      <c r="G6431" s="636"/>
      <c r="H6431" s="636"/>
      <c r="I6431" s="636"/>
      <c r="J6431" s="636" t="s">
        <v>13675</v>
      </c>
      <c r="K6431" s="636"/>
      <c r="L6431" s="636" t="s">
        <v>14658</v>
      </c>
    </row>
    <row r="6432" spans="1:12" ht="17.100000000000001" customHeight="1">
      <c r="A6432" s="802" t="s">
        <v>12722</v>
      </c>
      <c r="B6432" s="802"/>
      <c r="C6432" s="802"/>
      <c r="D6432" s="802"/>
      <c r="E6432" s="802"/>
      <c r="F6432" s="802"/>
      <c r="G6432" s="802"/>
      <c r="H6432" s="802"/>
      <c r="I6432" s="612"/>
      <c r="J6432" s="612"/>
      <c r="K6432" s="612"/>
      <c r="L6432" s="612"/>
    </row>
    <row r="6433" spans="1:12" ht="24" customHeight="1">
      <c r="A6433" s="612" t="s">
        <v>13679</v>
      </c>
      <c r="B6433" s="636" t="s">
        <v>12698</v>
      </c>
      <c r="C6433" s="612" t="s">
        <v>12699</v>
      </c>
      <c r="D6433" s="612" t="s">
        <v>12700</v>
      </c>
      <c r="E6433" s="637" t="s">
        <v>12702</v>
      </c>
      <c r="F6433" s="801" t="s">
        <v>12704</v>
      </c>
      <c r="G6433" s="801"/>
      <c r="H6433" s="801" t="s">
        <v>13678</v>
      </c>
      <c r="I6433" s="801"/>
      <c r="J6433" s="801" t="s">
        <v>12705</v>
      </c>
      <c r="K6433" s="801"/>
      <c r="L6433" s="801"/>
    </row>
    <row r="6434" spans="1:12" ht="17.100000000000001" customHeight="1">
      <c r="A6434" s="626" t="s">
        <v>12709</v>
      </c>
      <c r="B6434" s="627" t="s">
        <v>12998</v>
      </c>
      <c r="C6434" s="626" t="s">
        <v>8</v>
      </c>
      <c r="D6434" s="626" t="s">
        <v>11861</v>
      </c>
      <c r="E6434" s="628" t="s">
        <v>23</v>
      </c>
      <c r="F6434" s="816" t="s">
        <v>13683</v>
      </c>
      <c r="G6434" s="816"/>
      <c r="H6434" s="816">
        <v>0.29703619999999997</v>
      </c>
      <c r="I6434" s="816"/>
      <c r="J6434" s="817">
        <v>0.2109</v>
      </c>
      <c r="K6434" s="817"/>
      <c r="L6434" s="817"/>
    </row>
    <row r="6435" spans="1:12">
      <c r="A6435" s="636"/>
      <c r="B6435" s="636"/>
      <c r="C6435" s="636"/>
      <c r="D6435" s="636"/>
      <c r="E6435" s="636"/>
      <c r="F6435" s="636"/>
      <c r="G6435" s="636"/>
      <c r="H6435" s="636"/>
      <c r="I6435" s="636"/>
      <c r="J6435" s="636" t="s">
        <v>13675</v>
      </c>
      <c r="K6435" s="636"/>
      <c r="L6435" s="636" t="s">
        <v>13775</v>
      </c>
    </row>
    <row r="6436" spans="1:12" ht="17.100000000000001" customHeight="1">
      <c r="A6436" s="802" t="s">
        <v>12713</v>
      </c>
      <c r="B6436" s="802"/>
      <c r="C6436" s="802"/>
      <c r="D6436" s="802"/>
      <c r="E6436" s="802"/>
      <c r="F6436" s="802"/>
      <c r="G6436" s="802"/>
      <c r="H6436" s="802"/>
      <c r="I6436" s="612"/>
      <c r="J6436" s="612"/>
      <c r="K6436" s="612"/>
      <c r="L6436" s="612"/>
    </row>
    <row r="6437" spans="1:12" ht="24" customHeight="1">
      <c r="A6437" s="612" t="s">
        <v>13679</v>
      </c>
      <c r="B6437" s="636" t="s">
        <v>12698</v>
      </c>
      <c r="C6437" s="612" t="s">
        <v>12699</v>
      </c>
      <c r="D6437" s="612" t="s">
        <v>12700</v>
      </c>
      <c r="E6437" s="637" t="s">
        <v>12702</v>
      </c>
      <c r="F6437" s="801" t="s">
        <v>12704</v>
      </c>
      <c r="G6437" s="801"/>
      <c r="H6437" s="801" t="s">
        <v>13678</v>
      </c>
      <c r="I6437" s="801"/>
      <c r="J6437" s="801" t="s">
        <v>12705</v>
      </c>
      <c r="K6437" s="801"/>
      <c r="L6437" s="801"/>
    </row>
    <row r="6438" spans="1:12" ht="17.100000000000001" customHeight="1">
      <c r="A6438" s="626" t="s">
        <v>12709</v>
      </c>
      <c r="B6438" s="627" t="s">
        <v>12999</v>
      </c>
      <c r="C6438" s="626" t="s">
        <v>8</v>
      </c>
      <c r="D6438" s="626" t="s">
        <v>11251</v>
      </c>
      <c r="E6438" s="628" t="s">
        <v>23</v>
      </c>
      <c r="F6438" s="816" t="s">
        <v>13681</v>
      </c>
      <c r="G6438" s="816"/>
      <c r="H6438" s="816">
        <v>0.29703619999999997</v>
      </c>
      <c r="I6438" s="816"/>
      <c r="J6438" s="817">
        <v>2.0799999999999999E-2</v>
      </c>
      <c r="K6438" s="817"/>
      <c r="L6438" s="817"/>
    </row>
    <row r="6439" spans="1:12">
      <c r="A6439" s="636"/>
      <c r="B6439" s="636"/>
      <c r="C6439" s="636"/>
      <c r="D6439" s="636"/>
      <c r="E6439" s="636"/>
      <c r="F6439" s="636"/>
      <c r="G6439" s="636"/>
      <c r="H6439" s="636"/>
      <c r="I6439" s="636"/>
      <c r="J6439" s="636" t="s">
        <v>13675</v>
      </c>
      <c r="K6439" s="636"/>
      <c r="L6439" s="636" t="s">
        <v>13680</v>
      </c>
    </row>
    <row r="6440" spans="1:12" ht="17.100000000000001" customHeight="1">
      <c r="A6440" s="802" t="s">
        <v>12712</v>
      </c>
      <c r="B6440" s="802"/>
      <c r="C6440" s="802"/>
      <c r="D6440" s="802"/>
      <c r="E6440" s="802"/>
      <c r="F6440" s="802"/>
      <c r="G6440" s="802"/>
      <c r="H6440" s="802"/>
      <c r="I6440" s="612"/>
      <c r="J6440" s="612"/>
      <c r="K6440" s="612"/>
      <c r="L6440" s="612"/>
    </row>
    <row r="6441" spans="1:12" ht="24" customHeight="1">
      <c r="A6441" s="612" t="s">
        <v>13679</v>
      </c>
      <c r="B6441" s="636" t="s">
        <v>12698</v>
      </c>
      <c r="C6441" s="612" t="s">
        <v>12699</v>
      </c>
      <c r="D6441" s="612" t="s">
        <v>12700</v>
      </c>
      <c r="E6441" s="637" t="s">
        <v>12702</v>
      </c>
      <c r="F6441" s="801" t="s">
        <v>12704</v>
      </c>
      <c r="G6441" s="801"/>
      <c r="H6441" s="801" t="s">
        <v>13678</v>
      </c>
      <c r="I6441" s="801"/>
      <c r="J6441" s="801" t="s">
        <v>12705</v>
      </c>
      <c r="K6441" s="801"/>
      <c r="L6441" s="801"/>
    </row>
    <row r="6442" spans="1:12" ht="24" customHeight="1">
      <c r="A6442" s="626" t="s">
        <v>12709</v>
      </c>
      <c r="B6442" s="627" t="s">
        <v>13002</v>
      </c>
      <c r="C6442" s="626" t="s">
        <v>8</v>
      </c>
      <c r="D6442" s="626" t="s">
        <v>9306</v>
      </c>
      <c r="E6442" s="628" t="s">
        <v>23</v>
      </c>
      <c r="F6442" s="816" t="s">
        <v>13677</v>
      </c>
      <c r="G6442" s="816"/>
      <c r="H6442" s="816">
        <v>0.29703619999999997</v>
      </c>
      <c r="I6442" s="816"/>
      <c r="J6442" s="817">
        <v>0.104</v>
      </c>
      <c r="K6442" s="817"/>
      <c r="L6442" s="817"/>
    </row>
    <row r="6443" spans="1:12" ht="17.100000000000001" customHeight="1">
      <c r="A6443" s="626" t="s">
        <v>12709</v>
      </c>
      <c r="B6443" s="627" t="s">
        <v>13004</v>
      </c>
      <c r="C6443" s="626" t="s">
        <v>8</v>
      </c>
      <c r="D6443" s="626" t="s">
        <v>7388</v>
      </c>
      <c r="E6443" s="628" t="s">
        <v>23</v>
      </c>
      <c r="F6443" s="816" t="s">
        <v>13676</v>
      </c>
      <c r="G6443" s="816"/>
      <c r="H6443" s="816">
        <v>0.29703619999999997</v>
      </c>
      <c r="I6443" s="816"/>
      <c r="J6443" s="817">
        <v>0.65349999999999997</v>
      </c>
      <c r="K6443" s="817"/>
      <c r="L6443" s="817"/>
    </row>
    <row r="6444" spans="1:12" ht="17.100000000000001" customHeight="1">
      <c r="A6444" s="636"/>
      <c r="B6444" s="636"/>
      <c r="C6444" s="636"/>
      <c r="D6444" s="636"/>
      <c r="E6444" s="636"/>
      <c r="F6444" s="636"/>
      <c r="G6444" s="636"/>
      <c r="H6444" s="636"/>
      <c r="I6444" s="636"/>
      <c r="J6444" s="636" t="s">
        <v>13675</v>
      </c>
      <c r="K6444" s="636"/>
      <c r="L6444" s="636" t="s">
        <v>13932</v>
      </c>
    </row>
    <row r="6445" spans="1:12" ht="17.100000000000001" customHeight="1">
      <c r="A6445" s="612" t="s">
        <v>13673</v>
      </c>
      <c r="B6445" s="612"/>
      <c r="C6445" s="612"/>
      <c r="D6445" s="612"/>
      <c r="E6445" s="612"/>
      <c r="F6445" s="612"/>
      <c r="G6445" s="612"/>
      <c r="H6445" s="612"/>
      <c r="I6445" s="612"/>
      <c r="J6445" s="612"/>
      <c r="K6445" s="612"/>
      <c r="L6445" s="612"/>
    </row>
    <row r="6446" spans="1:12" ht="17.100000000000001" customHeight="1">
      <c r="A6446" s="636"/>
      <c r="B6446" s="636"/>
      <c r="C6446" s="636"/>
      <c r="D6446" s="636"/>
      <c r="E6446" s="636"/>
      <c r="F6446" s="636"/>
      <c r="G6446" s="636"/>
      <c r="H6446" s="636"/>
      <c r="I6446" s="636"/>
      <c r="J6446" s="636" t="s">
        <v>13672</v>
      </c>
      <c r="K6446" s="636"/>
      <c r="L6446" s="636" t="s">
        <v>15343</v>
      </c>
    </row>
    <row r="6447" spans="1:12" ht="17.100000000000001" customHeight="1">
      <c r="A6447" s="636"/>
      <c r="B6447" s="636"/>
      <c r="C6447" s="636"/>
      <c r="D6447" s="636"/>
      <c r="E6447" s="636"/>
      <c r="F6447" s="636"/>
      <c r="G6447" s="636"/>
      <c r="H6447" s="636"/>
      <c r="I6447" s="636"/>
      <c r="J6447" s="636" t="s">
        <v>13671</v>
      </c>
      <c r="K6447" s="636" t="s">
        <v>14461</v>
      </c>
      <c r="L6447" s="636" t="s">
        <v>15209</v>
      </c>
    </row>
    <row r="6448" spans="1:12" ht="17.100000000000001" customHeight="1">
      <c r="A6448" s="636"/>
      <c r="B6448" s="636"/>
      <c r="C6448" s="636"/>
      <c r="D6448" s="636"/>
      <c r="E6448" s="636"/>
      <c r="F6448" s="636"/>
      <c r="G6448" s="636"/>
      <c r="H6448" s="636"/>
      <c r="I6448" s="636"/>
      <c r="J6448" s="636" t="s">
        <v>13670</v>
      </c>
      <c r="K6448" s="636"/>
      <c r="L6448" s="636" t="s">
        <v>15344</v>
      </c>
    </row>
    <row r="6449" spans="1:12" ht="17.100000000000001" customHeight="1">
      <c r="A6449" s="636"/>
      <c r="B6449" s="636"/>
      <c r="C6449" s="636"/>
      <c r="D6449" s="636"/>
      <c r="E6449" s="636"/>
      <c r="F6449" s="636"/>
      <c r="G6449" s="636"/>
      <c r="H6449" s="636"/>
      <c r="I6449" s="636"/>
      <c r="J6449" s="636" t="s">
        <v>13669</v>
      </c>
      <c r="K6449" s="636" t="s">
        <v>13667</v>
      </c>
      <c r="L6449" s="636" t="s">
        <v>15345</v>
      </c>
    </row>
    <row r="6450" spans="1:12" ht="30" customHeight="1">
      <c r="A6450" s="636"/>
      <c r="B6450" s="636"/>
      <c r="C6450" s="636"/>
      <c r="D6450" s="636"/>
      <c r="E6450" s="636"/>
      <c r="F6450" s="636"/>
      <c r="G6450" s="636"/>
      <c r="H6450" s="636"/>
      <c r="I6450" s="636"/>
      <c r="J6450" s="636" t="s">
        <v>13668</v>
      </c>
      <c r="K6450" s="636"/>
      <c r="L6450" s="636" t="s">
        <v>15346</v>
      </c>
    </row>
    <row r="6451" spans="1:12" ht="24" customHeight="1">
      <c r="A6451" s="637"/>
      <c r="B6451" s="637"/>
      <c r="C6451" s="637"/>
      <c r="D6451" s="637"/>
      <c r="E6451" s="637"/>
      <c r="F6451" s="637"/>
      <c r="G6451" s="637"/>
      <c r="H6451" s="637"/>
      <c r="I6451" s="637"/>
      <c r="J6451" s="637"/>
      <c r="K6451" s="637"/>
      <c r="L6451" s="637"/>
    </row>
    <row r="6452" spans="1:12" ht="14.25" customHeight="1">
      <c r="A6452" s="616" t="s">
        <v>14025</v>
      </c>
      <c r="B6452" s="617" t="s">
        <v>13494</v>
      </c>
      <c r="C6452" s="616" t="s">
        <v>8</v>
      </c>
      <c r="D6452" s="616" t="s">
        <v>4716</v>
      </c>
      <c r="E6452" s="618" t="s">
        <v>12730</v>
      </c>
      <c r="F6452" s="617"/>
      <c r="G6452" s="617"/>
      <c r="H6452" s="617"/>
      <c r="I6452" s="617"/>
      <c r="J6452" s="617"/>
      <c r="K6452" s="617"/>
      <c r="L6452" s="617"/>
    </row>
    <row r="6453" spans="1:12" ht="17.100000000000001" customHeight="1">
      <c r="A6453" s="802" t="s">
        <v>12711</v>
      </c>
      <c r="B6453" s="802"/>
      <c r="C6453" s="802"/>
      <c r="D6453" s="802"/>
      <c r="E6453" s="802"/>
      <c r="F6453" s="802"/>
      <c r="G6453" s="802"/>
      <c r="H6453" s="802"/>
      <c r="I6453" s="612"/>
      <c r="J6453" s="612"/>
      <c r="K6453" s="612"/>
      <c r="L6453" s="612"/>
    </row>
    <row r="6454" spans="1:12" ht="24" customHeight="1">
      <c r="A6454" s="612" t="s">
        <v>13679</v>
      </c>
      <c r="B6454" s="636" t="s">
        <v>12698</v>
      </c>
      <c r="C6454" s="612" t="s">
        <v>12699</v>
      </c>
      <c r="D6454" s="612" t="s">
        <v>12700</v>
      </c>
      <c r="E6454" s="637" t="s">
        <v>12702</v>
      </c>
      <c r="F6454" s="801" t="s">
        <v>12704</v>
      </c>
      <c r="G6454" s="801"/>
      <c r="H6454" s="801" t="s">
        <v>13678</v>
      </c>
      <c r="I6454" s="801"/>
      <c r="J6454" s="801" t="s">
        <v>12705</v>
      </c>
      <c r="K6454" s="801"/>
      <c r="L6454" s="801"/>
    </row>
    <row r="6455" spans="1:12" ht="24" customHeight="1">
      <c r="A6455" s="626" t="s">
        <v>12709</v>
      </c>
      <c r="B6455" s="627" t="s">
        <v>13048</v>
      </c>
      <c r="C6455" s="626" t="s">
        <v>8</v>
      </c>
      <c r="D6455" s="626" t="s">
        <v>9233</v>
      </c>
      <c r="E6455" s="628" t="s">
        <v>23</v>
      </c>
      <c r="F6455" s="816" t="s">
        <v>13690</v>
      </c>
      <c r="G6455" s="816"/>
      <c r="H6455" s="816">
        <v>3.9525234999999999</v>
      </c>
      <c r="I6455" s="816"/>
      <c r="J6455" s="817">
        <v>4.0316000000000001</v>
      </c>
      <c r="K6455" s="817"/>
      <c r="L6455" s="817"/>
    </row>
    <row r="6456" spans="1:12" ht="17.100000000000001" customHeight="1">
      <c r="A6456" s="626" t="s">
        <v>12709</v>
      </c>
      <c r="B6456" s="627" t="s">
        <v>13047</v>
      </c>
      <c r="C6456" s="626" t="s">
        <v>8</v>
      </c>
      <c r="D6456" s="626" t="s">
        <v>9380</v>
      </c>
      <c r="E6456" s="628" t="s">
        <v>23</v>
      </c>
      <c r="F6456" s="816" t="s">
        <v>13689</v>
      </c>
      <c r="G6456" s="816"/>
      <c r="H6456" s="816">
        <v>3.9525234999999999</v>
      </c>
      <c r="I6456" s="816"/>
      <c r="J6456" s="817">
        <v>1.502</v>
      </c>
      <c r="K6456" s="817"/>
      <c r="L6456" s="817"/>
    </row>
    <row r="6457" spans="1:12" ht="14.25" customHeight="1">
      <c r="A6457" s="636"/>
      <c r="B6457" s="636"/>
      <c r="C6457" s="636"/>
      <c r="D6457" s="636"/>
      <c r="E6457" s="636"/>
      <c r="F6457" s="636"/>
      <c r="G6457" s="636"/>
      <c r="H6457" s="636"/>
      <c r="I6457" s="636"/>
      <c r="J6457" s="636" t="s">
        <v>13675</v>
      </c>
      <c r="K6457" s="636"/>
      <c r="L6457" s="636" t="s">
        <v>13764</v>
      </c>
    </row>
    <row r="6458" spans="1:12" ht="17.100000000000001" customHeight="1">
      <c r="A6458" s="802" t="s">
        <v>12710</v>
      </c>
      <c r="B6458" s="802"/>
      <c r="C6458" s="802"/>
      <c r="D6458" s="802"/>
      <c r="E6458" s="802"/>
      <c r="F6458" s="802"/>
      <c r="G6458" s="802"/>
      <c r="H6458" s="802"/>
      <c r="I6458" s="612"/>
      <c r="J6458" s="612"/>
      <c r="K6458" s="612"/>
      <c r="L6458" s="612"/>
    </row>
    <row r="6459" spans="1:12" ht="24" customHeight="1">
      <c r="A6459" s="612" t="s">
        <v>13679</v>
      </c>
      <c r="B6459" s="636" t="s">
        <v>12698</v>
      </c>
      <c r="C6459" s="612" t="s">
        <v>12699</v>
      </c>
      <c r="D6459" s="612" t="s">
        <v>12700</v>
      </c>
      <c r="E6459" s="637" t="s">
        <v>12702</v>
      </c>
      <c r="F6459" s="801" t="s">
        <v>12704</v>
      </c>
      <c r="G6459" s="801"/>
      <c r="H6459" s="801" t="s">
        <v>13678</v>
      </c>
      <c r="I6459" s="801"/>
      <c r="J6459" s="801" t="s">
        <v>12705</v>
      </c>
      <c r="K6459" s="801"/>
      <c r="L6459" s="801"/>
    </row>
    <row r="6460" spans="1:12" ht="17.100000000000001" customHeight="1">
      <c r="A6460" s="626" t="s">
        <v>12709</v>
      </c>
      <c r="B6460" s="627" t="s">
        <v>13046</v>
      </c>
      <c r="C6460" s="626" t="s">
        <v>8</v>
      </c>
      <c r="D6460" s="626" t="s">
        <v>11281</v>
      </c>
      <c r="E6460" s="628" t="s">
        <v>23</v>
      </c>
      <c r="F6460" s="816" t="s">
        <v>13731</v>
      </c>
      <c r="G6460" s="816"/>
      <c r="H6460" s="816">
        <v>4.0103188999999997</v>
      </c>
      <c r="I6460" s="816"/>
      <c r="J6460" s="817">
        <v>20.613</v>
      </c>
      <c r="K6460" s="817"/>
      <c r="L6460" s="817"/>
    </row>
    <row r="6461" spans="1:12">
      <c r="A6461" s="636"/>
      <c r="B6461" s="636"/>
      <c r="C6461" s="636"/>
      <c r="D6461" s="636"/>
      <c r="E6461" s="636"/>
      <c r="F6461" s="636"/>
      <c r="G6461" s="636"/>
      <c r="H6461" s="636"/>
      <c r="I6461" s="636"/>
      <c r="J6461" s="636" t="s">
        <v>13675</v>
      </c>
      <c r="K6461" s="636"/>
      <c r="L6461" s="636" t="s">
        <v>14507</v>
      </c>
    </row>
    <row r="6462" spans="1:12" ht="17.100000000000001" customHeight="1">
      <c r="A6462" s="802" t="s">
        <v>12722</v>
      </c>
      <c r="B6462" s="802"/>
      <c r="C6462" s="802"/>
      <c r="D6462" s="802"/>
      <c r="E6462" s="802"/>
      <c r="F6462" s="802"/>
      <c r="G6462" s="802"/>
      <c r="H6462" s="802"/>
      <c r="I6462" s="612"/>
      <c r="J6462" s="612"/>
      <c r="K6462" s="612"/>
      <c r="L6462" s="612"/>
    </row>
    <row r="6463" spans="1:12" ht="24" customHeight="1">
      <c r="A6463" s="612" t="s">
        <v>13679</v>
      </c>
      <c r="B6463" s="636" t="s">
        <v>12698</v>
      </c>
      <c r="C6463" s="612" t="s">
        <v>12699</v>
      </c>
      <c r="D6463" s="612" t="s">
        <v>12700</v>
      </c>
      <c r="E6463" s="637" t="s">
        <v>12702</v>
      </c>
      <c r="F6463" s="801" t="s">
        <v>12704</v>
      </c>
      <c r="G6463" s="801"/>
      <c r="H6463" s="801" t="s">
        <v>13678</v>
      </c>
      <c r="I6463" s="801"/>
      <c r="J6463" s="801" t="s">
        <v>12705</v>
      </c>
      <c r="K6463" s="801"/>
      <c r="L6463" s="801"/>
    </row>
    <row r="6464" spans="1:12" ht="17.100000000000001" customHeight="1">
      <c r="A6464" s="626" t="s">
        <v>12709</v>
      </c>
      <c r="B6464" s="627" t="s">
        <v>12998</v>
      </c>
      <c r="C6464" s="626" t="s">
        <v>8</v>
      </c>
      <c r="D6464" s="626" t="s">
        <v>11861</v>
      </c>
      <c r="E6464" s="628" t="s">
        <v>23</v>
      </c>
      <c r="F6464" s="816" t="s">
        <v>13683</v>
      </c>
      <c r="G6464" s="816"/>
      <c r="H6464" s="816">
        <v>3.9525234999999999</v>
      </c>
      <c r="I6464" s="816"/>
      <c r="J6464" s="817">
        <v>2.8062999999999998</v>
      </c>
      <c r="K6464" s="817"/>
      <c r="L6464" s="817"/>
    </row>
    <row r="6465" spans="1:12">
      <c r="A6465" s="636"/>
      <c r="B6465" s="636"/>
      <c r="C6465" s="636"/>
      <c r="D6465" s="636"/>
      <c r="E6465" s="636"/>
      <c r="F6465" s="636"/>
      <c r="G6465" s="636"/>
      <c r="H6465" s="636"/>
      <c r="I6465" s="636"/>
      <c r="J6465" s="636" t="s">
        <v>13675</v>
      </c>
      <c r="K6465" s="636"/>
      <c r="L6465" s="636" t="s">
        <v>13763</v>
      </c>
    </row>
    <row r="6466" spans="1:12" ht="17.100000000000001" customHeight="1">
      <c r="A6466" s="802" t="s">
        <v>12713</v>
      </c>
      <c r="B6466" s="802"/>
      <c r="C6466" s="802"/>
      <c r="D6466" s="802"/>
      <c r="E6466" s="802"/>
      <c r="F6466" s="802"/>
      <c r="G6466" s="802"/>
      <c r="H6466" s="802"/>
      <c r="I6466" s="612"/>
      <c r="J6466" s="612"/>
      <c r="K6466" s="612"/>
      <c r="L6466" s="612"/>
    </row>
    <row r="6467" spans="1:12" ht="24" customHeight="1">
      <c r="A6467" s="612" t="s">
        <v>13679</v>
      </c>
      <c r="B6467" s="636" t="s">
        <v>12698</v>
      </c>
      <c r="C6467" s="612" t="s">
        <v>12699</v>
      </c>
      <c r="D6467" s="612" t="s">
        <v>12700</v>
      </c>
      <c r="E6467" s="637" t="s">
        <v>12702</v>
      </c>
      <c r="F6467" s="801" t="s">
        <v>12704</v>
      </c>
      <c r="G6467" s="801"/>
      <c r="H6467" s="801" t="s">
        <v>13678</v>
      </c>
      <c r="I6467" s="801"/>
      <c r="J6467" s="801" t="s">
        <v>12705</v>
      </c>
      <c r="K6467" s="801"/>
      <c r="L6467" s="801"/>
    </row>
    <row r="6468" spans="1:12" ht="17.100000000000001" customHeight="1">
      <c r="A6468" s="626" t="s">
        <v>12709</v>
      </c>
      <c r="B6468" s="627" t="s">
        <v>12999</v>
      </c>
      <c r="C6468" s="626" t="s">
        <v>8</v>
      </c>
      <c r="D6468" s="626" t="s">
        <v>11251</v>
      </c>
      <c r="E6468" s="628" t="s">
        <v>23</v>
      </c>
      <c r="F6468" s="816" t="s">
        <v>13681</v>
      </c>
      <c r="G6468" s="816"/>
      <c r="H6468" s="816">
        <v>3.9525234999999999</v>
      </c>
      <c r="I6468" s="816"/>
      <c r="J6468" s="817">
        <v>0.2767</v>
      </c>
      <c r="K6468" s="817"/>
      <c r="L6468" s="817"/>
    </row>
    <row r="6469" spans="1:12">
      <c r="A6469" s="636"/>
      <c r="B6469" s="636"/>
      <c r="C6469" s="636"/>
      <c r="D6469" s="636"/>
      <c r="E6469" s="636"/>
      <c r="F6469" s="636"/>
      <c r="G6469" s="636"/>
      <c r="H6469" s="636"/>
      <c r="I6469" s="636"/>
      <c r="J6469" s="636" t="s">
        <v>13675</v>
      </c>
      <c r="K6469" s="636"/>
      <c r="L6469" s="636" t="s">
        <v>13762</v>
      </c>
    </row>
    <row r="6470" spans="1:12" ht="17.100000000000001" customHeight="1">
      <c r="A6470" s="802" t="s">
        <v>12712</v>
      </c>
      <c r="B6470" s="802"/>
      <c r="C6470" s="802"/>
      <c r="D6470" s="802"/>
      <c r="E6470" s="802"/>
      <c r="F6470" s="802"/>
      <c r="G6470" s="802"/>
      <c r="H6470" s="802"/>
      <c r="I6470" s="612"/>
      <c r="J6470" s="612"/>
      <c r="K6470" s="612"/>
      <c r="L6470" s="612"/>
    </row>
    <row r="6471" spans="1:12" ht="24" customHeight="1">
      <c r="A6471" s="612" t="s">
        <v>13679</v>
      </c>
      <c r="B6471" s="636" t="s">
        <v>12698</v>
      </c>
      <c r="C6471" s="612" t="s">
        <v>12699</v>
      </c>
      <c r="D6471" s="612" t="s">
        <v>12700</v>
      </c>
      <c r="E6471" s="637" t="s">
        <v>12702</v>
      </c>
      <c r="F6471" s="801" t="s">
        <v>12704</v>
      </c>
      <c r="G6471" s="801"/>
      <c r="H6471" s="801" t="s">
        <v>13678</v>
      </c>
      <c r="I6471" s="801"/>
      <c r="J6471" s="801" t="s">
        <v>12705</v>
      </c>
      <c r="K6471" s="801"/>
      <c r="L6471" s="801"/>
    </row>
    <row r="6472" spans="1:12" ht="24" customHeight="1">
      <c r="A6472" s="626" t="s">
        <v>12709</v>
      </c>
      <c r="B6472" s="627" t="s">
        <v>13002</v>
      </c>
      <c r="C6472" s="626" t="s">
        <v>8</v>
      </c>
      <c r="D6472" s="626" t="s">
        <v>9306</v>
      </c>
      <c r="E6472" s="628" t="s">
        <v>23</v>
      </c>
      <c r="F6472" s="816" t="s">
        <v>13677</v>
      </c>
      <c r="G6472" s="816"/>
      <c r="H6472" s="816">
        <v>3.9525234999999999</v>
      </c>
      <c r="I6472" s="816"/>
      <c r="J6472" s="817">
        <v>1.3834</v>
      </c>
      <c r="K6472" s="817"/>
      <c r="L6472" s="817"/>
    </row>
    <row r="6473" spans="1:12" ht="17.100000000000001" customHeight="1">
      <c r="A6473" s="626" t="s">
        <v>12709</v>
      </c>
      <c r="B6473" s="627" t="s">
        <v>13004</v>
      </c>
      <c r="C6473" s="626" t="s">
        <v>8</v>
      </c>
      <c r="D6473" s="626" t="s">
        <v>7388</v>
      </c>
      <c r="E6473" s="628" t="s">
        <v>23</v>
      </c>
      <c r="F6473" s="816" t="s">
        <v>13676</v>
      </c>
      <c r="G6473" s="816"/>
      <c r="H6473" s="816">
        <v>3.9525234999999999</v>
      </c>
      <c r="I6473" s="816"/>
      <c r="J6473" s="817">
        <v>8.6956000000000007</v>
      </c>
      <c r="K6473" s="817"/>
      <c r="L6473" s="817"/>
    </row>
    <row r="6474" spans="1:12" ht="17.100000000000001" customHeight="1">
      <c r="A6474" s="636"/>
      <c r="B6474" s="636"/>
      <c r="C6474" s="636"/>
      <c r="D6474" s="636"/>
      <c r="E6474" s="636"/>
      <c r="F6474" s="636"/>
      <c r="G6474" s="636"/>
      <c r="H6474" s="636"/>
      <c r="I6474" s="636"/>
      <c r="J6474" s="636" t="s">
        <v>13675</v>
      </c>
      <c r="K6474" s="636"/>
      <c r="L6474" s="636" t="s">
        <v>13761</v>
      </c>
    </row>
    <row r="6475" spans="1:12" ht="17.100000000000001" customHeight="1">
      <c r="A6475" s="612" t="s">
        <v>13673</v>
      </c>
      <c r="B6475" s="612"/>
      <c r="C6475" s="612"/>
      <c r="D6475" s="612"/>
      <c r="E6475" s="612"/>
      <c r="F6475" s="612"/>
      <c r="G6475" s="612"/>
      <c r="H6475" s="612"/>
      <c r="I6475" s="612"/>
      <c r="J6475" s="612"/>
      <c r="K6475" s="612"/>
      <c r="L6475" s="612"/>
    </row>
    <row r="6476" spans="1:12" ht="17.100000000000001" customHeight="1">
      <c r="A6476" s="636"/>
      <c r="B6476" s="636"/>
      <c r="C6476" s="636"/>
      <c r="D6476" s="636"/>
      <c r="E6476" s="636"/>
      <c r="F6476" s="636"/>
      <c r="G6476" s="636"/>
      <c r="H6476" s="636"/>
      <c r="I6476" s="636"/>
      <c r="J6476" s="636" t="s">
        <v>13672</v>
      </c>
      <c r="K6476" s="636"/>
      <c r="L6476" s="636" t="s">
        <v>15347</v>
      </c>
    </row>
    <row r="6477" spans="1:12" ht="17.100000000000001" customHeight="1">
      <c r="A6477" s="636"/>
      <c r="B6477" s="636"/>
      <c r="C6477" s="636"/>
      <c r="D6477" s="636"/>
      <c r="E6477" s="636"/>
      <c r="F6477" s="636"/>
      <c r="G6477" s="636"/>
      <c r="H6477" s="636"/>
      <c r="I6477" s="636"/>
      <c r="J6477" s="636" t="s">
        <v>13671</v>
      </c>
      <c r="K6477" s="636" t="s">
        <v>14461</v>
      </c>
      <c r="L6477" s="636" t="s">
        <v>15348</v>
      </c>
    </row>
    <row r="6478" spans="1:12" ht="17.100000000000001" customHeight="1">
      <c r="A6478" s="636"/>
      <c r="B6478" s="636"/>
      <c r="C6478" s="636"/>
      <c r="D6478" s="636"/>
      <c r="E6478" s="636"/>
      <c r="F6478" s="636"/>
      <c r="G6478" s="636"/>
      <c r="H6478" s="636"/>
      <c r="I6478" s="636"/>
      <c r="J6478" s="636" t="s">
        <v>13670</v>
      </c>
      <c r="K6478" s="636"/>
      <c r="L6478" s="636" t="s">
        <v>15349</v>
      </c>
    </row>
    <row r="6479" spans="1:12" ht="17.100000000000001" customHeight="1">
      <c r="A6479" s="636"/>
      <c r="B6479" s="636"/>
      <c r="C6479" s="636"/>
      <c r="D6479" s="636"/>
      <c r="E6479" s="636"/>
      <c r="F6479" s="636"/>
      <c r="G6479" s="636"/>
      <c r="H6479" s="636"/>
      <c r="I6479" s="636"/>
      <c r="J6479" s="636" t="s">
        <v>13669</v>
      </c>
      <c r="K6479" s="636" t="s">
        <v>13667</v>
      </c>
      <c r="L6479" s="636" t="s">
        <v>15225</v>
      </c>
    </row>
    <row r="6480" spans="1:12" ht="30" customHeight="1">
      <c r="A6480" s="636"/>
      <c r="B6480" s="636"/>
      <c r="C6480" s="636"/>
      <c r="D6480" s="636"/>
      <c r="E6480" s="636"/>
      <c r="F6480" s="636"/>
      <c r="G6480" s="636"/>
      <c r="H6480" s="636"/>
      <c r="I6480" s="636"/>
      <c r="J6480" s="636" t="s">
        <v>13668</v>
      </c>
      <c r="K6480" s="636"/>
      <c r="L6480" s="636" t="s">
        <v>15350</v>
      </c>
    </row>
    <row r="6481" spans="1:12" ht="24" customHeight="1">
      <c r="A6481" s="637"/>
      <c r="B6481" s="637"/>
      <c r="C6481" s="637"/>
      <c r="D6481" s="637"/>
      <c r="E6481" s="637"/>
      <c r="F6481" s="637"/>
      <c r="G6481" s="637"/>
      <c r="H6481" s="637"/>
      <c r="I6481" s="637"/>
      <c r="J6481" s="637"/>
      <c r="K6481" s="637"/>
      <c r="L6481" s="637"/>
    </row>
    <row r="6482" spans="1:12" ht="14.25" customHeight="1">
      <c r="A6482" s="616" t="s">
        <v>14024</v>
      </c>
      <c r="B6482" s="617" t="s">
        <v>13493</v>
      </c>
      <c r="C6482" s="616" t="s">
        <v>8</v>
      </c>
      <c r="D6482" s="616" t="s">
        <v>4493</v>
      </c>
      <c r="E6482" s="618" t="s">
        <v>12730</v>
      </c>
      <c r="F6482" s="617"/>
      <c r="G6482" s="617"/>
      <c r="H6482" s="617"/>
      <c r="I6482" s="617"/>
      <c r="J6482" s="617"/>
      <c r="K6482" s="617"/>
      <c r="L6482" s="617"/>
    </row>
    <row r="6483" spans="1:12" ht="17.100000000000001" customHeight="1">
      <c r="A6483" s="802" t="s">
        <v>12711</v>
      </c>
      <c r="B6483" s="802"/>
      <c r="C6483" s="802"/>
      <c r="D6483" s="802"/>
      <c r="E6483" s="802"/>
      <c r="F6483" s="802"/>
      <c r="G6483" s="802"/>
      <c r="H6483" s="802"/>
      <c r="I6483" s="612"/>
      <c r="J6483" s="612"/>
      <c r="K6483" s="612"/>
      <c r="L6483" s="612"/>
    </row>
    <row r="6484" spans="1:12" ht="24" customHeight="1">
      <c r="A6484" s="612" t="s">
        <v>13679</v>
      </c>
      <c r="B6484" s="636" t="s">
        <v>12698</v>
      </c>
      <c r="C6484" s="612" t="s">
        <v>12699</v>
      </c>
      <c r="D6484" s="612" t="s">
        <v>12700</v>
      </c>
      <c r="E6484" s="637" t="s">
        <v>12702</v>
      </c>
      <c r="F6484" s="801" t="s">
        <v>12704</v>
      </c>
      <c r="G6484" s="801"/>
      <c r="H6484" s="801" t="s">
        <v>13678</v>
      </c>
      <c r="I6484" s="801"/>
      <c r="J6484" s="801" t="s">
        <v>12705</v>
      </c>
      <c r="K6484" s="801"/>
      <c r="L6484" s="801"/>
    </row>
    <row r="6485" spans="1:12" ht="24" customHeight="1">
      <c r="A6485" s="626" t="s">
        <v>12709</v>
      </c>
      <c r="B6485" s="627" t="s">
        <v>13048</v>
      </c>
      <c r="C6485" s="626" t="s">
        <v>8</v>
      </c>
      <c r="D6485" s="626" t="s">
        <v>9233</v>
      </c>
      <c r="E6485" s="628" t="s">
        <v>23</v>
      </c>
      <c r="F6485" s="816" t="s">
        <v>13690</v>
      </c>
      <c r="G6485" s="816"/>
      <c r="H6485" s="816">
        <v>2.3961701999999998</v>
      </c>
      <c r="I6485" s="816"/>
      <c r="J6485" s="817">
        <v>2.4441000000000002</v>
      </c>
      <c r="K6485" s="817"/>
      <c r="L6485" s="817"/>
    </row>
    <row r="6486" spans="1:12" ht="17.100000000000001" customHeight="1">
      <c r="A6486" s="626" t="s">
        <v>12709</v>
      </c>
      <c r="B6486" s="627" t="s">
        <v>13047</v>
      </c>
      <c r="C6486" s="626" t="s">
        <v>8</v>
      </c>
      <c r="D6486" s="626" t="s">
        <v>9380</v>
      </c>
      <c r="E6486" s="628" t="s">
        <v>23</v>
      </c>
      <c r="F6486" s="816" t="s">
        <v>13689</v>
      </c>
      <c r="G6486" s="816"/>
      <c r="H6486" s="816">
        <v>2.3961701999999998</v>
      </c>
      <c r="I6486" s="816"/>
      <c r="J6486" s="817">
        <v>0.91049999999999998</v>
      </c>
      <c r="K6486" s="817"/>
      <c r="L6486" s="817"/>
    </row>
    <row r="6487" spans="1:12" ht="14.25" customHeight="1">
      <c r="A6487" s="636"/>
      <c r="B6487" s="636"/>
      <c r="C6487" s="636"/>
      <c r="D6487" s="636"/>
      <c r="E6487" s="636"/>
      <c r="F6487" s="636"/>
      <c r="G6487" s="636"/>
      <c r="H6487" s="636"/>
      <c r="I6487" s="636"/>
      <c r="J6487" s="636" t="s">
        <v>13675</v>
      </c>
      <c r="K6487" s="636"/>
      <c r="L6487" s="636" t="s">
        <v>14541</v>
      </c>
    </row>
    <row r="6488" spans="1:12" ht="17.100000000000001" customHeight="1">
      <c r="A6488" s="802" t="s">
        <v>12710</v>
      </c>
      <c r="B6488" s="802"/>
      <c r="C6488" s="802"/>
      <c r="D6488" s="802"/>
      <c r="E6488" s="802"/>
      <c r="F6488" s="802"/>
      <c r="G6488" s="802"/>
      <c r="H6488" s="802"/>
      <c r="I6488" s="612"/>
      <c r="J6488" s="612"/>
      <c r="K6488" s="612"/>
      <c r="L6488" s="612"/>
    </row>
    <row r="6489" spans="1:12" ht="24" customHeight="1">
      <c r="A6489" s="612" t="s">
        <v>13679</v>
      </c>
      <c r="B6489" s="636" t="s">
        <v>12698</v>
      </c>
      <c r="C6489" s="612" t="s">
        <v>12699</v>
      </c>
      <c r="D6489" s="612" t="s">
        <v>12700</v>
      </c>
      <c r="E6489" s="637" t="s">
        <v>12702</v>
      </c>
      <c r="F6489" s="801" t="s">
        <v>12704</v>
      </c>
      <c r="G6489" s="801"/>
      <c r="H6489" s="801" t="s">
        <v>13678</v>
      </c>
      <c r="I6489" s="801"/>
      <c r="J6489" s="801" t="s">
        <v>12705</v>
      </c>
      <c r="K6489" s="801"/>
      <c r="L6489" s="801"/>
    </row>
    <row r="6490" spans="1:12" ht="17.100000000000001" customHeight="1">
      <c r="A6490" s="626" t="s">
        <v>12709</v>
      </c>
      <c r="B6490" s="627" t="s">
        <v>13046</v>
      </c>
      <c r="C6490" s="626" t="s">
        <v>8</v>
      </c>
      <c r="D6490" s="626" t="s">
        <v>11281</v>
      </c>
      <c r="E6490" s="628" t="s">
        <v>23</v>
      </c>
      <c r="F6490" s="816" t="s">
        <v>13731</v>
      </c>
      <c r="G6490" s="816"/>
      <c r="H6490" s="816">
        <v>2.4316437</v>
      </c>
      <c r="I6490" s="816"/>
      <c r="J6490" s="817">
        <v>12.4986</v>
      </c>
      <c r="K6490" s="817"/>
      <c r="L6490" s="817"/>
    </row>
    <row r="6491" spans="1:12">
      <c r="A6491" s="636"/>
      <c r="B6491" s="636"/>
      <c r="C6491" s="636"/>
      <c r="D6491" s="636"/>
      <c r="E6491" s="636"/>
      <c r="F6491" s="636"/>
      <c r="G6491" s="636"/>
      <c r="H6491" s="636"/>
      <c r="I6491" s="636"/>
      <c r="J6491" s="636" t="s">
        <v>13675</v>
      </c>
      <c r="K6491" s="636"/>
      <c r="L6491" s="636" t="s">
        <v>14540</v>
      </c>
    </row>
    <row r="6492" spans="1:12" ht="17.100000000000001" customHeight="1">
      <c r="A6492" s="802" t="s">
        <v>12722</v>
      </c>
      <c r="B6492" s="802"/>
      <c r="C6492" s="802"/>
      <c r="D6492" s="802"/>
      <c r="E6492" s="802"/>
      <c r="F6492" s="802"/>
      <c r="G6492" s="802"/>
      <c r="H6492" s="802"/>
      <c r="I6492" s="612"/>
      <c r="J6492" s="612"/>
      <c r="K6492" s="612"/>
      <c r="L6492" s="612"/>
    </row>
    <row r="6493" spans="1:12" ht="24" customHeight="1">
      <c r="A6493" s="612" t="s">
        <v>13679</v>
      </c>
      <c r="B6493" s="636" t="s">
        <v>12698</v>
      </c>
      <c r="C6493" s="612" t="s">
        <v>12699</v>
      </c>
      <c r="D6493" s="612" t="s">
        <v>12700</v>
      </c>
      <c r="E6493" s="637" t="s">
        <v>12702</v>
      </c>
      <c r="F6493" s="801" t="s">
        <v>12704</v>
      </c>
      <c r="G6493" s="801"/>
      <c r="H6493" s="801" t="s">
        <v>13678</v>
      </c>
      <c r="I6493" s="801"/>
      <c r="J6493" s="801" t="s">
        <v>12705</v>
      </c>
      <c r="K6493" s="801"/>
      <c r="L6493" s="801"/>
    </row>
    <row r="6494" spans="1:12" ht="24" customHeight="1">
      <c r="A6494" s="626" t="s">
        <v>12709</v>
      </c>
      <c r="B6494" s="627" t="s">
        <v>12998</v>
      </c>
      <c r="C6494" s="626" t="s">
        <v>8</v>
      </c>
      <c r="D6494" s="626" t="s">
        <v>11861</v>
      </c>
      <c r="E6494" s="628" t="s">
        <v>23</v>
      </c>
      <c r="F6494" s="816" t="s">
        <v>13683</v>
      </c>
      <c r="G6494" s="816"/>
      <c r="H6494" s="816">
        <v>2.3961701999999998</v>
      </c>
      <c r="I6494" s="816"/>
      <c r="J6494" s="817">
        <v>1.7013</v>
      </c>
      <c r="K6494" s="817"/>
      <c r="L6494" s="817"/>
    </row>
    <row r="6495" spans="1:12" ht="24" customHeight="1">
      <c r="A6495" s="636"/>
      <c r="B6495" s="636"/>
      <c r="C6495" s="636"/>
      <c r="D6495" s="636"/>
      <c r="E6495" s="636"/>
      <c r="F6495" s="636"/>
      <c r="G6495" s="636"/>
      <c r="H6495" s="636"/>
      <c r="I6495" s="636"/>
      <c r="J6495" s="636" t="s">
        <v>13675</v>
      </c>
      <c r="K6495" s="636"/>
      <c r="L6495" s="636" t="s">
        <v>13833</v>
      </c>
    </row>
    <row r="6496" spans="1:12" ht="17.100000000000001" customHeight="1">
      <c r="A6496" s="802" t="s">
        <v>12713</v>
      </c>
      <c r="B6496" s="802"/>
      <c r="C6496" s="802"/>
      <c r="D6496" s="802"/>
      <c r="E6496" s="802"/>
      <c r="F6496" s="802"/>
      <c r="G6496" s="802"/>
      <c r="H6496" s="802"/>
      <c r="I6496" s="612"/>
      <c r="J6496" s="612"/>
      <c r="K6496" s="612"/>
      <c r="L6496" s="612"/>
    </row>
    <row r="6497" spans="1:12">
      <c r="A6497" s="612" t="s">
        <v>13679</v>
      </c>
      <c r="B6497" s="636" t="s">
        <v>12698</v>
      </c>
      <c r="C6497" s="612" t="s">
        <v>12699</v>
      </c>
      <c r="D6497" s="612" t="s">
        <v>12700</v>
      </c>
      <c r="E6497" s="637" t="s">
        <v>12702</v>
      </c>
      <c r="F6497" s="801" t="s">
        <v>12704</v>
      </c>
      <c r="G6497" s="801"/>
      <c r="H6497" s="801" t="s">
        <v>13678</v>
      </c>
      <c r="I6497" s="801"/>
      <c r="J6497" s="801" t="s">
        <v>12705</v>
      </c>
      <c r="K6497" s="801"/>
      <c r="L6497" s="801"/>
    </row>
    <row r="6498" spans="1:12" ht="17.100000000000001" customHeight="1">
      <c r="A6498" s="626" t="s">
        <v>12709</v>
      </c>
      <c r="B6498" s="627" t="s">
        <v>12999</v>
      </c>
      <c r="C6498" s="626" t="s">
        <v>8</v>
      </c>
      <c r="D6498" s="626" t="s">
        <v>11251</v>
      </c>
      <c r="E6498" s="628" t="s">
        <v>23</v>
      </c>
      <c r="F6498" s="816" t="s">
        <v>13681</v>
      </c>
      <c r="G6498" s="816"/>
      <c r="H6498" s="816">
        <v>2.3961701999999998</v>
      </c>
      <c r="I6498" s="816"/>
      <c r="J6498" s="817">
        <v>0.16769999999999999</v>
      </c>
      <c r="K6498" s="817"/>
      <c r="L6498" s="817"/>
    </row>
    <row r="6499" spans="1:12" ht="24" customHeight="1">
      <c r="A6499" s="636"/>
      <c r="B6499" s="636"/>
      <c r="C6499" s="636"/>
      <c r="D6499" s="636"/>
      <c r="E6499" s="636"/>
      <c r="F6499" s="636"/>
      <c r="G6499" s="636"/>
      <c r="H6499" s="636"/>
      <c r="I6499" s="636"/>
      <c r="J6499" s="636" t="s">
        <v>13675</v>
      </c>
      <c r="K6499" s="636"/>
      <c r="L6499" s="636" t="s">
        <v>13832</v>
      </c>
    </row>
    <row r="6500" spans="1:12" ht="17.100000000000001" customHeight="1">
      <c r="A6500" s="802" t="s">
        <v>12712</v>
      </c>
      <c r="B6500" s="802"/>
      <c r="C6500" s="802"/>
      <c r="D6500" s="802"/>
      <c r="E6500" s="802"/>
      <c r="F6500" s="802"/>
      <c r="G6500" s="802"/>
      <c r="H6500" s="802"/>
      <c r="I6500" s="612"/>
      <c r="J6500" s="612"/>
      <c r="K6500" s="612"/>
      <c r="L6500" s="612"/>
    </row>
    <row r="6501" spans="1:12">
      <c r="A6501" s="612" t="s">
        <v>13679</v>
      </c>
      <c r="B6501" s="636" t="s">
        <v>12698</v>
      </c>
      <c r="C6501" s="612" t="s">
        <v>12699</v>
      </c>
      <c r="D6501" s="612" t="s">
        <v>12700</v>
      </c>
      <c r="E6501" s="637" t="s">
        <v>12702</v>
      </c>
      <c r="F6501" s="801" t="s">
        <v>12704</v>
      </c>
      <c r="G6501" s="801"/>
      <c r="H6501" s="801" t="s">
        <v>13678</v>
      </c>
      <c r="I6501" s="801"/>
      <c r="J6501" s="801" t="s">
        <v>12705</v>
      </c>
      <c r="K6501" s="801"/>
      <c r="L6501" s="801"/>
    </row>
    <row r="6502" spans="1:12" ht="17.100000000000001" customHeight="1">
      <c r="A6502" s="626" t="s">
        <v>12709</v>
      </c>
      <c r="B6502" s="627" t="s">
        <v>13002</v>
      </c>
      <c r="C6502" s="626" t="s">
        <v>8</v>
      </c>
      <c r="D6502" s="626" t="s">
        <v>9306</v>
      </c>
      <c r="E6502" s="628" t="s">
        <v>23</v>
      </c>
      <c r="F6502" s="816" t="s">
        <v>13677</v>
      </c>
      <c r="G6502" s="816"/>
      <c r="H6502" s="816">
        <v>2.3961701999999998</v>
      </c>
      <c r="I6502" s="816"/>
      <c r="J6502" s="817">
        <v>0.8387</v>
      </c>
      <c r="K6502" s="817"/>
      <c r="L6502" s="817"/>
    </row>
    <row r="6503" spans="1:12" ht="24" customHeight="1">
      <c r="A6503" s="626" t="s">
        <v>12709</v>
      </c>
      <c r="B6503" s="627" t="s">
        <v>13004</v>
      </c>
      <c r="C6503" s="626" t="s">
        <v>8</v>
      </c>
      <c r="D6503" s="626" t="s">
        <v>7388</v>
      </c>
      <c r="E6503" s="628" t="s">
        <v>23</v>
      </c>
      <c r="F6503" s="816" t="s">
        <v>13676</v>
      </c>
      <c r="G6503" s="816"/>
      <c r="H6503" s="816">
        <v>2.3961701999999998</v>
      </c>
      <c r="I6503" s="816"/>
      <c r="J6503" s="817">
        <v>5.2716000000000003</v>
      </c>
      <c r="K6503" s="817"/>
      <c r="L6503" s="817"/>
    </row>
    <row r="6504" spans="1:12" ht="17.100000000000001" customHeight="1">
      <c r="A6504" s="636"/>
      <c r="B6504" s="636"/>
      <c r="C6504" s="636"/>
      <c r="D6504" s="636"/>
      <c r="E6504" s="636"/>
      <c r="F6504" s="636"/>
      <c r="G6504" s="636"/>
      <c r="H6504" s="636"/>
      <c r="I6504" s="636"/>
      <c r="J6504" s="636" t="s">
        <v>13675</v>
      </c>
      <c r="K6504" s="636"/>
      <c r="L6504" s="636" t="s">
        <v>13831</v>
      </c>
    </row>
    <row r="6505" spans="1:12">
      <c r="A6505" s="612" t="s">
        <v>13673</v>
      </c>
      <c r="B6505" s="612"/>
      <c r="C6505" s="612"/>
      <c r="D6505" s="612"/>
      <c r="E6505" s="612"/>
      <c r="F6505" s="612"/>
      <c r="G6505" s="612"/>
      <c r="H6505" s="612"/>
      <c r="I6505" s="612"/>
      <c r="J6505" s="612"/>
      <c r="K6505" s="612"/>
      <c r="L6505" s="612"/>
    </row>
    <row r="6506" spans="1:12" ht="17.100000000000001" customHeight="1">
      <c r="A6506" s="636"/>
      <c r="B6506" s="636"/>
      <c r="C6506" s="636"/>
      <c r="D6506" s="636"/>
      <c r="E6506" s="636"/>
      <c r="F6506" s="636"/>
      <c r="G6506" s="636"/>
      <c r="H6506" s="636"/>
      <c r="I6506" s="636"/>
      <c r="J6506" s="636" t="s">
        <v>13672</v>
      </c>
      <c r="K6506" s="636"/>
      <c r="L6506" s="636" t="s">
        <v>15351</v>
      </c>
    </row>
    <row r="6507" spans="1:12" ht="24" customHeight="1">
      <c r="A6507" s="636"/>
      <c r="B6507" s="636"/>
      <c r="C6507" s="636"/>
      <c r="D6507" s="636"/>
      <c r="E6507" s="636"/>
      <c r="F6507" s="636"/>
      <c r="G6507" s="636"/>
      <c r="H6507" s="636"/>
      <c r="I6507" s="636"/>
      <c r="J6507" s="636" t="s">
        <v>13671</v>
      </c>
      <c r="K6507" s="636" t="s">
        <v>14461</v>
      </c>
      <c r="L6507" s="636" t="s">
        <v>15352</v>
      </c>
    </row>
    <row r="6508" spans="1:12" ht="24" customHeight="1">
      <c r="A6508" s="636"/>
      <c r="B6508" s="636"/>
      <c r="C6508" s="636"/>
      <c r="D6508" s="636"/>
      <c r="E6508" s="636"/>
      <c r="F6508" s="636"/>
      <c r="G6508" s="636"/>
      <c r="H6508" s="636"/>
      <c r="I6508" s="636"/>
      <c r="J6508" s="636" t="s">
        <v>13670</v>
      </c>
      <c r="K6508" s="636"/>
      <c r="L6508" s="636" t="s">
        <v>15353</v>
      </c>
    </row>
    <row r="6509" spans="1:12" ht="17.100000000000001" customHeight="1">
      <c r="A6509" s="636"/>
      <c r="B6509" s="636"/>
      <c r="C6509" s="636"/>
      <c r="D6509" s="636"/>
      <c r="E6509" s="636"/>
      <c r="F6509" s="636"/>
      <c r="G6509" s="636"/>
      <c r="H6509" s="636"/>
      <c r="I6509" s="636"/>
      <c r="J6509" s="636" t="s">
        <v>13669</v>
      </c>
      <c r="K6509" s="636" t="s">
        <v>13667</v>
      </c>
      <c r="L6509" s="636" t="s">
        <v>15354</v>
      </c>
    </row>
    <row r="6510" spans="1:12" ht="17.100000000000001" customHeight="1">
      <c r="A6510" s="636"/>
      <c r="B6510" s="636"/>
      <c r="C6510" s="636"/>
      <c r="D6510" s="636"/>
      <c r="E6510" s="636"/>
      <c r="F6510" s="636"/>
      <c r="G6510" s="636"/>
      <c r="H6510" s="636"/>
      <c r="I6510" s="636"/>
      <c r="J6510" s="636" t="s">
        <v>13668</v>
      </c>
      <c r="K6510" s="636"/>
      <c r="L6510" s="636" t="s">
        <v>15355</v>
      </c>
    </row>
    <row r="6511" spans="1:12" ht="17.100000000000001" customHeight="1">
      <c r="A6511" s="637"/>
      <c r="B6511" s="637"/>
      <c r="C6511" s="637"/>
      <c r="D6511" s="637"/>
      <c r="E6511" s="637"/>
      <c r="F6511" s="637"/>
      <c r="G6511" s="637"/>
      <c r="H6511" s="637"/>
      <c r="I6511" s="637"/>
      <c r="J6511" s="637"/>
      <c r="K6511" s="637"/>
      <c r="L6511" s="637"/>
    </row>
    <row r="6512" spans="1:12" ht="17.100000000000001" customHeight="1">
      <c r="A6512" s="616" t="s">
        <v>14023</v>
      </c>
      <c r="B6512" s="617" t="s">
        <v>13549</v>
      </c>
      <c r="C6512" s="616" t="s">
        <v>8</v>
      </c>
      <c r="D6512" s="616" t="s">
        <v>3552</v>
      </c>
      <c r="E6512" s="618" t="s">
        <v>12730</v>
      </c>
      <c r="F6512" s="617"/>
      <c r="G6512" s="617"/>
      <c r="H6512" s="617"/>
      <c r="I6512" s="617"/>
      <c r="J6512" s="617"/>
      <c r="K6512" s="617"/>
      <c r="L6512" s="617"/>
    </row>
    <row r="6513" spans="1:12" ht="17.100000000000001" customHeight="1">
      <c r="A6513" s="802" t="s">
        <v>12711</v>
      </c>
      <c r="B6513" s="802"/>
      <c r="C6513" s="802"/>
      <c r="D6513" s="802"/>
      <c r="E6513" s="802"/>
      <c r="F6513" s="802"/>
      <c r="G6513" s="802"/>
      <c r="H6513" s="802"/>
      <c r="I6513" s="612"/>
      <c r="J6513" s="612"/>
      <c r="K6513" s="612"/>
      <c r="L6513" s="612"/>
    </row>
    <row r="6514" spans="1:12" ht="17.100000000000001" customHeight="1">
      <c r="A6514" s="612" t="s">
        <v>13679</v>
      </c>
      <c r="B6514" s="636" t="s">
        <v>12698</v>
      </c>
      <c r="C6514" s="612" t="s">
        <v>12699</v>
      </c>
      <c r="D6514" s="612" t="s">
        <v>12700</v>
      </c>
      <c r="E6514" s="637" t="s">
        <v>12702</v>
      </c>
      <c r="F6514" s="801" t="s">
        <v>12704</v>
      </c>
      <c r="G6514" s="801"/>
      <c r="H6514" s="801" t="s">
        <v>13678</v>
      </c>
      <c r="I6514" s="801"/>
      <c r="J6514" s="801" t="s">
        <v>12705</v>
      </c>
      <c r="K6514" s="801"/>
      <c r="L6514" s="801"/>
    </row>
    <row r="6515" spans="1:12" ht="17.100000000000001" customHeight="1">
      <c r="A6515" s="626" t="s">
        <v>12709</v>
      </c>
      <c r="B6515" s="627" t="s">
        <v>13048</v>
      </c>
      <c r="C6515" s="626" t="s">
        <v>8</v>
      </c>
      <c r="D6515" s="626" t="s">
        <v>9233</v>
      </c>
      <c r="E6515" s="628" t="s">
        <v>23</v>
      </c>
      <c r="F6515" s="816" t="s">
        <v>13690</v>
      </c>
      <c r="G6515" s="816"/>
      <c r="H6515" s="816">
        <v>10.0116323</v>
      </c>
      <c r="I6515" s="816"/>
      <c r="J6515" s="817">
        <v>10.2119</v>
      </c>
      <c r="K6515" s="817"/>
      <c r="L6515" s="817"/>
    </row>
    <row r="6516" spans="1:12" ht="30" customHeight="1">
      <c r="A6516" s="626" t="s">
        <v>12709</v>
      </c>
      <c r="B6516" s="627" t="s">
        <v>13047</v>
      </c>
      <c r="C6516" s="626" t="s">
        <v>8</v>
      </c>
      <c r="D6516" s="626" t="s">
        <v>9380</v>
      </c>
      <c r="E6516" s="628" t="s">
        <v>23</v>
      </c>
      <c r="F6516" s="816" t="s">
        <v>13689</v>
      </c>
      <c r="G6516" s="816"/>
      <c r="H6516" s="816">
        <v>10.0116323</v>
      </c>
      <c r="I6516" s="816"/>
      <c r="J6516" s="817">
        <v>3.8043999999999998</v>
      </c>
      <c r="K6516" s="817"/>
      <c r="L6516" s="817"/>
    </row>
    <row r="6517" spans="1:12" ht="24" customHeight="1">
      <c r="A6517" s="636"/>
      <c r="B6517" s="636"/>
      <c r="C6517" s="636"/>
      <c r="D6517" s="636"/>
      <c r="E6517" s="636"/>
      <c r="F6517" s="636"/>
      <c r="G6517" s="636"/>
      <c r="H6517" s="636"/>
      <c r="I6517" s="636"/>
      <c r="J6517" s="636" t="s">
        <v>13675</v>
      </c>
      <c r="K6517" s="636"/>
      <c r="L6517" s="636" t="s">
        <v>13748</v>
      </c>
    </row>
    <row r="6518" spans="1:12" ht="14.25" customHeight="1">
      <c r="A6518" s="802" t="s">
        <v>12710</v>
      </c>
      <c r="B6518" s="802"/>
      <c r="C6518" s="802"/>
      <c r="D6518" s="802"/>
      <c r="E6518" s="802"/>
      <c r="F6518" s="802"/>
      <c r="G6518" s="802"/>
      <c r="H6518" s="802"/>
      <c r="I6518" s="612"/>
      <c r="J6518" s="612"/>
      <c r="K6518" s="612"/>
      <c r="L6518" s="612"/>
    </row>
    <row r="6519" spans="1:12" ht="17.100000000000001" customHeight="1">
      <c r="A6519" s="612" t="s">
        <v>13679</v>
      </c>
      <c r="B6519" s="636" t="s">
        <v>12698</v>
      </c>
      <c r="C6519" s="612" t="s">
        <v>12699</v>
      </c>
      <c r="D6519" s="612" t="s">
        <v>12700</v>
      </c>
      <c r="E6519" s="637" t="s">
        <v>12702</v>
      </c>
      <c r="F6519" s="801" t="s">
        <v>12704</v>
      </c>
      <c r="G6519" s="801"/>
      <c r="H6519" s="801" t="s">
        <v>13678</v>
      </c>
      <c r="I6519" s="801"/>
      <c r="J6519" s="801" t="s">
        <v>12705</v>
      </c>
      <c r="K6519" s="801"/>
      <c r="L6519" s="801"/>
    </row>
    <row r="6520" spans="1:12" ht="48" customHeight="1">
      <c r="A6520" s="626" t="s">
        <v>12709</v>
      </c>
      <c r="B6520" s="627" t="s">
        <v>13046</v>
      </c>
      <c r="C6520" s="626" t="s">
        <v>8</v>
      </c>
      <c r="D6520" s="626" t="s">
        <v>11281</v>
      </c>
      <c r="E6520" s="628" t="s">
        <v>23</v>
      </c>
      <c r="F6520" s="816" t="s">
        <v>13731</v>
      </c>
      <c r="G6520" s="816"/>
      <c r="H6520" s="816">
        <v>10.1588435</v>
      </c>
      <c r="I6520" s="816"/>
      <c r="J6520" s="817">
        <v>52.216500000000003</v>
      </c>
      <c r="K6520" s="817"/>
      <c r="L6520" s="817"/>
    </row>
    <row r="6521" spans="1:12" ht="24" customHeight="1">
      <c r="A6521" s="636"/>
      <c r="B6521" s="636"/>
      <c r="C6521" s="636"/>
      <c r="D6521" s="636"/>
      <c r="E6521" s="636"/>
      <c r="F6521" s="636"/>
      <c r="G6521" s="636"/>
      <c r="H6521" s="636"/>
      <c r="I6521" s="636"/>
      <c r="J6521" s="636" t="s">
        <v>13675</v>
      </c>
      <c r="K6521" s="636"/>
      <c r="L6521" s="636" t="s">
        <v>14496</v>
      </c>
    </row>
    <row r="6522" spans="1:12" ht="24" customHeight="1">
      <c r="A6522" s="802" t="s">
        <v>12720</v>
      </c>
      <c r="B6522" s="802"/>
      <c r="C6522" s="802"/>
      <c r="D6522" s="802"/>
      <c r="E6522" s="802"/>
      <c r="F6522" s="802"/>
      <c r="G6522" s="802"/>
      <c r="H6522" s="802"/>
      <c r="I6522" s="612"/>
      <c r="J6522" s="612"/>
      <c r="K6522" s="612"/>
      <c r="L6522" s="612"/>
    </row>
    <row r="6523" spans="1:12" ht="24" customHeight="1">
      <c r="A6523" s="612" t="s">
        <v>13679</v>
      </c>
      <c r="B6523" s="636" t="s">
        <v>12698</v>
      </c>
      <c r="C6523" s="612" t="s">
        <v>12699</v>
      </c>
      <c r="D6523" s="612" t="s">
        <v>12700</v>
      </c>
      <c r="E6523" s="637" t="s">
        <v>12702</v>
      </c>
      <c r="F6523" s="801" t="s">
        <v>12704</v>
      </c>
      <c r="G6523" s="801"/>
      <c r="H6523" s="801" t="s">
        <v>13678</v>
      </c>
      <c r="I6523" s="801"/>
      <c r="J6523" s="801" t="s">
        <v>12705</v>
      </c>
      <c r="K6523" s="801"/>
      <c r="L6523" s="801"/>
    </row>
    <row r="6524" spans="1:12" ht="24" customHeight="1">
      <c r="A6524" s="626" t="s">
        <v>12709</v>
      </c>
      <c r="B6524" s="627" t="s">
        <v>13250</v>
      </c>
      <c r="C6524" s="626" t="s">
        <v>8</v>
      </c>
      <c r="D6524" s="626" t="s">
        <v>7526</v>
      </c>
      <c r="E6524" s="628" t="s">
        <v>12730</v>
      </c>
      <c r="F6524" s="816" t="s">
        <v>13747</v>
      </c>
      <c r="G6524" s="816"/>
      <c r="H6524" s="816">
        <v>0.81799999999999995</v>
      </c>
      <c r="I6524" s="816"/>
      <c r="J6524" s="817">
        <v>51.12</v>
      </c>
      <c r="K6524" s="817"/>
      <c r="L6524" s="817"/>
    </row>
    <row r="6525" spans="1:12" ht="17.100000000000001" customHeight="1">
      <c r="A6525" s="626" t="s">
        <v>12709</v>
      </c>
      <c r="B6525" s="627" t="s">
        <v>13249</v>
      </c>
      <c r="C6525" s="626" t="s">
        <v>8</v>
      </c>
      <c r="D6525" s="626" t="s">
        <v>8420</v>
      </c>
      <c r="E6525" s="628" t="s">
        <v>20</v>
      </c>
      <c r="F6525" s="816" t="s">
        <v>13700</v>
      </c>
      <c r="G6525" s="816"/>
      <c r="H6525" s="816">
        <v>277.72000000000003</v>
      </c>
      <c r="I6525" s="816"/>
      <c r="J6525" s="817">
        <v>136.08000000000001</v>
      </c>
      <c r="K6525" s="817"/>
      <c r="L6525" s="817"/>
    </row>
    <row r="6526" spans="1:12" ht="14.25" customHeight="1">
      <c r="A6526" s="626" t="s">
        <v>12709</v>
      </c>
      <c r="B6526" s="627" t="s">
        <v>13248</v>
      </c>
      <c r="C6526" s="626" t="s">
        <v>8</v>
      </c>
      <c r="D6526" s="626" t="s">
        <v>10712</v>
      </c>
      <c r="E6526" s="628" t="s">
        <v>12730</v>
      </c>
      <c r="F6526" s="816" t="s">
        <v>13745</v>
      </c>
      <c r="G6526" s="816"/>
      <c r="H6526" s="816">
        <v>0.58899999999999997</v>
      </c>
      <c r="I6526" s="816"/>
      <c r="J6526" s="817">
        <v>47.12</v>
      </c>
      <c r="K6526" s="817"/>
      <c r="L6526" s="817"/>
    </row>
    <row r="6527" spans="1:12" ht="17.100000000000001" customHeight="1">
      <c r="A6527" s="636"/>
      <c r="B6527" s="636"/>
      <c r="C6527" s="636"/>
      <c r="D6527" s="636"/>
      <c r="E6527" s="636"/>
      <c r="F6527" s="636"/>
      <c r="G6527" s="636"/>
      <c r="H6527" s="636"/>
      <c r="I6527" s="636"/>
      <c r="J6527" s="636" t="s">
        <v>13675</v>
      </c>
      <c r="K6527" s="636"/>
      <c r="L6527" s="636" t="s">
        <v>14495</v>
      </c>
    </row>
    <row r="6528" spans="1:12" ht="24" customHeight="1">
      <c r="A6528" s="802" t="s">
        <v>12722</v>
      </c>
      <c r="B6528" s="802"/>
      <c r="C6528" s="802"/>
      <c r="D6528" s="802"/>
      <c r="E6528" s="802"/>
      <c r="F6528" s="802"/>
      <c r="G6528" s="802"/>
      <c r="H6528" s="802"/>
      <c r="I6528" s="612"/>
      <c r="J6528" s="612"/>
      <c r="K6528" s="612"/>
      <c r="L6528" s="612"/>
    </row>
    <row r="6529" spans="1:12" ht="24" customHeight="1">
      <c r="A6529" s="612" t="s">
        <v>13679</v>
      </c>
      <c r="B6529" s="636" t="s">
        <v>12698</v>
      </c>
      <c r="C6529" s="612" t="s">
        <v>12699</v>
      </c>
      <c r="D6529" s="612" t="s">
        <v>12700</v>
      </c>
      <c r="E6529" s="637" t="s">
        <v>12702</v>
      </c>
      <c r="F6529" s="801" t="s">
        <v>12704</v>
      </c>
      <c r="G6529" s="801"/>
      <c r="H6529" s="801" t="s">
        <v>13678</v>
      </c>
      <c r="I6529" s="801"/>
      <c r="J6529" s="801" t="s">
        <v>12705</v>
      </c>
      <c r="K6529" s="801"/>
      <c r="L6529" s="801"/>
    </row>
    <row r="6530" spans="1:12" ht="17.100000000000001" customHeight="1">
      <c r="A6530" s="626" t="s">
        <v>12709</v>
      </c>
      <c r="B6530" s="627" t="s">
        <v>12998</v>
      </c>
      <c r="C6530" s="626" t="s">
        <v>8</v>
      </c>
      <c r="D6530" s="626" t="s">
        <v>11861</v>
      </c>
      <c r="E6530" s="628" t="s">
        <v>23</v>
      </c>
      <c r="F6530" s="816" t="s">
        <v>13683</v>
      </c>
      <c r="G6530" s="816"/>
      <c r="H6530" s="816">
        <v>10.0116323</v>
      </c>
      <c r="I6530" s="816"/>
      <c r="J6530" s="817">
        <v>7.1082999999999998</v>
      </c>
      <c r="K6530" s="817"/>
      <c r="L6530" s="817"/>
    </row>
    <row r="6531" spans="1:12">
      <c r="A6531" s="636"/>
      <c r="B6531" s="636"/>
      <c r="C6531" s="636"/>
      <c r="D6531" s="636"/>
      <c r="E6531" s="636"/>
      <c r="F6531" s="636"/>
      <c r="G6531" s="636"/>
      <c r="H6531" s="636"/>
      <c r="I6531" s="636"/>
      <c r="J6531" s="636" t="s">
        <v>13675</v>
      </c>
      <c r="K6531" s="636"/>
      <c r="L6531" s="636" t="s">
        <v>13744</v>
      </c>
    </row>
    <row r="6532" spans="1:12" ht="17.100000000000001" customHeight="1">
      <c r="A6532" s="802" t="s">
        <v>12713</v>
      </c>
      <c r="B6532" s="802"/>
      <c r="C6532" s="802"/>
      <c r="D6532" s="802"/>
      <c r="E6532" s="802"/>
      <c r="F6532" s="802"/>
      <c r="G6532" s="802"/>
      <c r="H6532" s="802"/>
      <c r="I6532" s="612"/>
      <c r="J6532" s="612"/>
      <c r="K6532" s="612"/>
      <c r="L6532" s="612"/>
    </row>
    <row r="6533" spans="1:12" ht="24" customHeight="1">
      <c r="A6533" s="612" t="s">
        <v>13679</v>
      </c>
      <c r="B6533" s="636" t="s">
        <v>12698</v>
      </c>
      <c r="C6533" s="612" t="s">
        <v>12699</v>
      </c>
      <c r="D6533" s="612" t="s">
        <v>12700</v>
      </c>
      <c r="E6533" s="637" t="s">
        <v>12702</v>
      </c>
      <c r="F6533" s="801" t="s">
        <v>12704</v>
      </c>
      <c r="G6533" s="801"/>
      <c r="H6533" s="801" t="s">
        <v>13678</v>
      </c>
      <c r="I6533" s="801"/>
      <c r="J6533" s="801" t="s">
        <v>12705</v>
      </c>
      <c r="K6533" s="801"/>
      <c r="L6533" s="801"/>
    </row>
    <row r="6534" spans="1:12" ht="17.100000000000001" customHeight="1">
      <c r="A6534" s="626" t="s">
        <v>12709</v>
      </c>
      <c r="B6534" s="627" t="s">
        <v>12999</v>
      </c>
      <c r="C6534" s="626" t="s">
        <v>8</v>
      </c>
      <c r="D6534" s="626" t="s">
        <v>11251</v>
      </c>
      <c r="E6534" s="628" t="s">
        <v>23</v>
      </c>
      <c r="F6534" s="816" t="s">
        <v>13681</v>
      </c>
      <c r="G6534" s="816"/>
      <c r="H6534" s="816">
        <v>10.0116323</v>
      </c>
      <c r="I6534" s="816"/>
      <c r="J6534" s="817">
        <v>0.70079999999999998</v>
      </c>
      <c r="K6534" s="817"/>
      <c r="L6534" s="817"/>
    </row>
    <row r="6535" spans="1:12">
      <c r="A6535" s="636"/>
      <c r="B6535" s="636"/>
      <c r="C6535" s="636"/>
      <c r="D6535" s="636"/>
      <c r="E6535" s="636"/>
      <c r="F6535" s="636"/>
      <c r="G6535" s="636"/>
      <c r="H6535" s="636"/>
      <c r="I6535" s="636"/>
      <c r="J6535" s="636" t="s">
        <v>13675</v>
      </c>
      <c r="K6535" s="636"/>
      <c r="L6535" s="636" t="s">
        <v>13694</v>
      </c>
    </row>
    <row r="6536" spans="1:12" ht="17.100000000000001" customHeight="1">
      <c r="A6536" s="802" t="s">
        <v>12712</v>
      </c>
      <c r="B6536" s="802"/>
      <c r="C6536" s="802"/>
      <c r="D6536" s="802"/>
      <c r="E6536" s="802"/>
      <c r="F6536" s="802"/>
      <c r="G6536" s="802"/>
      <c r="H6536" s="802"/>
      <c r="I6536" s="612"/>
      <c r="J6536" s="612"/>
      <c r="K6536" s="612"/>
      <c r="L6536" s="612"/>
    </row>
    <row r="6537" spans="1:12" ht="24" customHeight="1">
      <c r="A6537" s="612" t="s">
        <v>13679</v>
      </c>
      <c r="B6537" s="636" t="s">
        <v>12698</v>
      </c>
      <c r="C6537" s="612" t="s">
        <v>12699</v>
      </c>
      <c r="D6537" s="612" t="s">
        <v>12700</v>
      </c>
      <c r="E6537" s="637" t="s">
        <v>12702</v>
      </c>
      <c r="F6537" s="801" t="s">
        <v>12704</v>
      </c>
      <c r="G6537" s="801"/>
      <c r="H6537" s="801" t="s">
        <v>13678</v>
      </c>
      <c r="I6537" s="801"/>
      <c r="J6537" s="801" t="s">
        <v>12705</v>
      </c>
      <c r="K6537" s="801"/>
      <c r="L6537" s="801"/>
    </row>
    <row r="6538" spans="1:12" ht="17.100000000000001" customHeight="1">
      <c r="A6538" s="626" t="s">
        <v>12709</v>
      </c>
      <c r="B6538" s="627" t="s">
        <v>13002</v>
      </c>
      <c r="C6538" s="626" t="s">
        <v>8</v>
      </c>
      <c r="D6538" s="626" t="s">
        <v>9306</v>
      </c>
      <c r="E6538" s="628" t="s">
        <v>23</v>
      </c>
      <c r="F6538" s="816" t="s">
        <v>13677</v>
      </c>
      <c r="G6538" s="816"/>
      <c r="H6538" s="816">
        <v>10.0116323</v>
      </c>
      <c r="I6538" s="816"/>
      <c r="J6538" s="817">
        <v>3.5041000000000002</v>
      </c>
      <c r="K6538" s="817"/>
      <c r="L6538" s="817"/>
    </row>
    <row r="6539" spans="1:12" ht="25.5">
      <c r="A6539" s="626" t="s">
        <v>12709</v>
      </c>
      <c r="B6539" s="627" t="s">
        <v>13004</v>
      </c>
      <c r="C6539" s="626" t="s">
        <v>8</v>
      </c>
      <c r="D6539" s="626" t="s">
        <v>7388</v>
      </c>
      <c r="E6539" s="628" t="s">
        <v>23</v>
      </c>
      <c r="F6539" s="816" t="s">
        <v>13676</v>
      </c>
      <c r="G6539" s="816"/>
      <c r="H6539" s="816">
        <v>10.0116323</v>
      </c>
      <c r="I6539" s="816"/>
      <c r="J6539" s="817">
        <v>22.025600000000001</v>
      </c>
      <c r="K6539" s="817"/>
      <c r="L6539" s="817"/>
    </row>
    <row r="6540" spans="1:12" ht="17.100000000000001" customHeight="1">
      <c r="A6540" s="636"/>
      <c r="B6540" s="636"/>
      <c r="C6540" s="636"/>
      <c r="D6540" s="636"/>
      <c r="E6540" s="636"/>
      <c r="F6540" s="636"/>
      <c r="G6540" s="636"/>
      <c r="H6540" s="636"/>
      <c r="I6540" s="636"/>
      <c r="J6540" s="636" t="s">
        <v>13675</v>
      </c>
      <c r="K6540" s="636"/>
      <c r="L6540" s="636" t="s">
        <v>13743</v>
      </c>
    </row>
    <row r="6541" spans="1:12" ht="24" customHeight="1">
      <c r="A6541" s="612" t="s">
        <v>13673</v>
      </c>
      <c r="B6541" s="612"/>
      <c r="C6541" s="612"/>
      <c r="D6541" s="612"/>
      <c r="E6541" s="612"/>
      <c r="F6541" s="612"/>
      <c r="G6541" s="612"/>
      <c r="H6541" s="612"/>
      <c r="I6541" s="612"/>
      <c r="J6541" s="612"/>
      <c r="K6541" s="612"/>
      <c r="L6541" s="612"/>
    </row>
    <row r="6542" spans="1:12" ht="17.100000000000001" customHeight="1">
      <c r="A6542" s="636"/>
      <c r="B6542" s="636"/>
      <c r="C6542" s="636"/>
      <c r="D6542" s="636"/>
      <c r="E6542" s="636"/>
      <c r="F6542" s="636"/>
      <c r="G6542" s="636"/>
      <c r="H6542" s="636"/>
      <c r="I6542" s="636"/>
      <c r="J6542" s="636" t="s">
        <v>13672</v>
      </c>
      <c r="K6542" s="636"/>
      <c r="L6542" s="636" t="s">
        <v>15226</v>
      </c>
    </row>
    <row r="6543" spans="1:12">
      <c r="A6543" s="636"/>
      <c r="B6543" s="636"/>
      <c r="C6543" s="636"/>
      <c r="D6543" s="636"/>
      <c r="E6543" s="636"/>
      <c r="F6543" s="636"/>
      <c r="G6543" s="636"/>
      <c r="H6543" s="636"/>
      <c r="I6543" s="636"/>
      <c r="J6543" s="636" t="s">
        <v>13671</v>
      </c>
      <c r="K6543" s="636" t="s">
        <v>14461</v>
      </c>
      <c r="L6543" s="636" t="s">
        <v>14978</v>
      </c>
    </row>
    <row r="6544" spans="1:12" ht="17.100000000000001" customHeight="1">
      <c r="A6544" s="636"/>
      <c r="B6544" s="636"/>
      <c r="C6544" s="636"/>
      <c r="D6544" s="636"/>
      <c r="E6544" s="636"/>
      <c r="F6544" s="636"/>
      <c r="G6544" s="636"/>
      <c r="H6544" s="636"/>
      <c r="I6544" s="636"/>
      <c r="J6544" s="636" t="s">
        <v>13670</v>
      </c>
      <c r="K6544" s="636"/>
      <c r="L6544" s="636" t="s">
        <v>15227</v>
      </c>
    </row>
    <row r="6545" spans="1:12" ht="24" customHeight="1">
      <c r="A6545" s="636"/>
      <c r="B6545" s="636"/>
      <c r="C6545" s="636"/>
      <c r="D6545" s="636"/>
      <c r="E6545" s="636"/>
      <c r="F6545" s="636"/>
      <c r="G6545" s="636"/>
      <c r="H6545" s="636"/>
      <c r="I6545" s="636"/>
      <c r="J6545" s="636" t="s">
        <v>13669</v>
      </c>
      <c r="K6545" s="636" t="s">
        <v>13667</v>
      </c>
      <c r="L6545" s="636" t="s">
        <v>15228</v>
      </c>
    </row>
    <row r="6546" spans="1:12" ht="24" customHeight="1">
      <c r="A6546" s="636"/>
      <c r="B6546" s="636"/>
      <c r="C6546" s="636"/>
      <c r="D6546" s="636"/>
      <c r="E6546" s="636"/>
      <c r="F6546" s="636"/>
      <c r="G6546" s="636"/>
      <c r="H6546" s="636"/>
      <c r="I6546" s="636"/>
      <c r="J6546" s="636" t="s">
        <v>13668</v>
      </c>
      <c r="K6546" s="636"/>
      <c r="L6546" s="636" t="s">
        <v>15229</v>
      </c>
    </row>
    <row r="6547" spans="1:12" ht="17.100000000000001" customHeight="1">
      <c r="A6547" s="637"/>
      <c r="B6547" s="637"/>
      <c r="C6547" s="637"/>
      <c r="D6547" s="637"/>
      <c r="E6547" s="637"/>
      <c r="F6547" s="637"/>
      <c r="G6547" s="637"/>
      <c r="H6547" s="637"/>
      <c r="I6547" s="637"/>
      <c r="J6547" s="637"/>
      <c r="K6547" s="637"/>
      <c r="L6547" s="637"/>
    </row>
    <row r="6548" spans="1:12" ht="17.100000000000001" customHeight="1">
      <c r="A6548" s="616" t="s">
        <v>14022</v>
      </c>
      <c r="B6548" s="617" t="s">
        <v>13637</v>
      </c>
      <c r="C6548" s="616" t="s">
        <v>8</v>
      </c>
      <c r="D6548" s="616" t="s">
        <v>38</v>
      </c>
      <c r="E6548" s="618" t="s">
        <v>12730</v>
      </c>
      <c r="F6548" s="617"/>
      <c r="G6548" s="617"/>
      <c r="H6548" s="617"/>
      <c r="I6548" s="617"/>
      <c r="J6548" s="617"/>
      <c r="K6548" s="617"/>
      <c r="L6548" s="617"/>
    </row>
    <row r="6549" spans="1:12" ht="17.100000000000001" customHeight="1">
      <c r="A6549" s="802" t="s">
        <v>12711</v>
      </c>
      <c r="B6549" s="802"/>
      <c r="C6549" s="802"/>
      <c r="D6549" s="802"/>
      <c r="E6549" s="802"/>
      <c r="F6549" s="802"/>
      <c r="G6549" s="802"/>
      <c r="H6549" s="802"/>
      <c r="I6549" s="612"/>
      <c r="J6549" s="612"/>
      <c r="K6549" s="612"/>
      <c r="L6549" s="612"/>
    </row>
    <row r="6550" spans="1:12" ht="17.100000000000001" customHeight="1">
      <c r="A6550" s="612" t="s">
        <v>13679</v>
      </c>
      <c r="B6550" s="636" t="s">
        <v>12698</v>
      </c>
      <c r="C6550" s="612" t="s">
        <v>12699</v>
      </c>
      <c r="D6550" s="612" t="s">
        <v>12700</v>
      </c>
      <c r="E6550" s="637" t="s">
        <v>12702</v>
      </c>
      <c r="F6550" s="801" t="s">
        <v>12704</v>
      </c>
      <c r="G6550" s="801"/>
      <c r="H6550" s="801" t="s">
        <v>13678</v>
      </c>
      <c r="I6550" s="801"/>
      <c r="J6550" s="801" t="s">
        <v>12705</v>
      </c>
      <c r="K6550" s="801"/>
      <c r="L6550" s="801"/>
    </row>
    <row r="6551" spans="1:12" ht="17.100000000000001" customHeight="1">
      <c r="A6551" s="626" t="s">
        <v>12709</v>
      </c>
      <c r="B6551" s="627" t="s">
        <v>13280</v>
      </c>
      <c r="C6551" s="626" t="s">
        <v>8</v>
      </c>
      <c r="D6551" s="626" t="s">
        <v>8193</v>
      </c>
      <c r="E6551" s="628" t="s">
        <v>35</v>
      </c>
      <c r="F6551" s="816" t="s">
        <v>14491</v>
      </c>
      <c r="G6551" s="816"/>
      <c r="H6551" s="816">
        <v>1.26E-5</v>
      </c>
      <c r="I6551" s="816"/>
      <c r="J6551" s="817">
        <v>3.6513</v>
      </c>
      <c r="K6551" s="817"/>
      <c r="L6551" s="817"/>
    </row>
    <row r="6552" spans="1:12" ht="17.100000000000001" customHeight="1">
      <c r="A6552" s="626" t="s">
        <v>12709</v>
      </c>
      <c r="B6552" s="627" t="s">
        <v>13003</v>
      </c>
      <c r="C6552" s="626" t="s">
        <v>8</v>
      </c>
      <c r="D6552" s="626" t="s">
        <v>9227</v>
      </c>
      <c r="E6552" s="628" t="s">
        <v>23</v>
      </c>
      <c r="F6552" s="816" t="s">
        <v>13732</v>
      </c>
      <c r="G6552" s="816"/>
      <c r="H6552" s="816">
        <v>0.2493167</v>
      </c>
      <c r="I6552" s="816"/>
      <c r="J6552" s="817">
        <v>0.16450000000000001</v>
      </c>
      <c r="K6552" s="817"/>
      <c r="L6552" s="817"/>
    </row>
    <row r="6553" spans="1:12" ht="17.100000000000001" customHeight="1">
      <c r="A6553" s="626" t="s">
        <v>12709</v>
      </c>
      <c r="B6553" s="627" t="s">
        <v>13001</v>
      </c>
      <c r="C6553" s="626" t="s">
        <v>8</v>
      </c>
      <c r="D6553" s="626" t="s">
        <v>9374</v>
      </c>
      <c r="E6553" s="628" t="s">
        <v>23</v>
      </c>
      <c r="F6553" s="816" t="s">
        <v>13728</v>
      </c>
      <c r="G6553" s="816"/>
      <c r="H6553" s="816">
        <v>0.2493167</v>
      </c>
      <c r="I6553" s="816"/>
      <c r="J6553" s="817">
        <v>2.5000000000000001E-3</v>
      </c>
      <c r="K6553" s="817"/>
      <c r="L6553" s="817"/>
    </row>
    <row r="6554" spans="1:12" ht="30" customHeight="1">
      <c r="A6554" s="626" t="s">
        <v>12709</v>
      </c>
      <c r="B6554" s="627" t="s">
        <v>13048</v>
      </c>
      <c r="C6554" s="626" t="s">
        <v>8</v>
      </c>
      <c r="D6554" s="626" t="s">
        <v>9233</v>
      </c>
      <c r="E6554" s="628" t="s">
        <v>23</v>
      </c>
      <c r="F6554" s="816" t="s">
        <v>13690</v>
      </c>
      <c r="G6554" s="816"/>
      <c r="H6554" s="816">
        <v>0.69808680000000001</v>
      </c>
      <c r="I6554" s="816"/>
      <c r="J6554" s="817">
        <v>0.71199999999999997</v>
      </c>
      <c r="K6554" s="817"/>
      <c r="L6554" s="817"/>
    </row>
    <row r="6555" spans="1:12" ht="36" customHeight="1">
      <c r="A6555" s="626" t="s">
        <v>12709</v>
      </c>
      <c r="B6555" s="627" t="s">
        <v>13047</v>
      </c>
      <c r="C6555" s="626" t="s">
        <v>8</v>
      </c>
      <c r="D6555" s="626" t="s">
        <v>9380</v>
      </c>
      <c r="E6555" s="628" t="s">
        <v>23</v>
      </c>
      <c r="F6555" s="816" t="s">
        <v>13689</v>
      </c>
      <c r="G6555" s="816"/>
      <c r="H6555" s="816">
        <v>0.69808680000000001</v>
      </c>
      <c r="I6555" s="816"/>
      <c r="J6555" s="817">
        <v>0.26529999999999998</v>
      </c>
      <c r="K6555" s="817"/>
      <c r="L6555" s="817"/>
    </row>
    <row r="6556" spans="1:12" ht="14.25" customHeight="1">
      <c r="A6556" s="636"/>
      <c r="B6556" s="636"/>
      <c r="C6556" s="636"/>
      <c r="D6556" s="636"/>
      <c r="E6556" s="636"/>
      <c r="F6556" s="636"/>
      <c r="G6556" s="636"/>
      <c r="H6556" s="636"/>
      <c r="I6556" s="636"/>
      <c r="J6556" s="636" t="s">
        <v>13675</v>
      </c>
      <c r="K6556" s="636"/>
      <c r="L6556" s="636" t="s">
        <v>13949</v>
      </c>
    </row>
    <row r="6557" spans="1:12" ht="17.100000000000001" customHeight="1">
      <c r="A6557" s="802" t="s">
        <v>12710</v>
      </c>
      <c r="B6557" s="802"/>
      <c r="C6557" s="802"/>
      <c r="D6557" s="802"/>
      <c r="E6557" s="802"/>
      <c r="F6557" s="802"/>
      <c r="G6557" s="802"/>
      <c r="H6557" s="802"/>
      <c r="I6557" s="612"/>
      <c r="J6557" s="612"/>
      <c r="K6557" s="612"/>
      <c r="L6557" s="612"/>
    </row>
    <row r="6558" spans="1:12" ht="48" customHeight="1">
      <c r="A6558" s="612" t="s">
        <v>13679</v>
      </c>
      <c r="B6558" s="636" t="s">
        <v>12698</v>
      </c>
      <c r="C6558" s="612" t="s">
        <v>12699</v>
      </c>
      <c r="D6558" s="612" t="s">
        <v>12700</v>
      </c>
      <c r="E6558" s="637" t="s">
        <v>12702</v>
      </c>
      <c r="F6558" s="801" t="s">
        <v>12704</v>
      </c>
      <c r="G6558" s="801"/>
      <c r="H6558" s="801" t="s">
        <v>13678</v>
      </c>
      <c r="I6558" s="801"/>
      <c r="J6558" s="801" t="s">
        <v>12705</v>
      </c>
      <c r="K6558" s="801"/>
      <c r="L6558" s="801"/>
    </row>
    <row r="6559" spans="1:12" ht="24" customHeight="1">
      <c r="A6559" s="626" t="s">
        <v>12709</v>
      </c>
      <c r="B6559" s="627" t="s">
        <v>13129</v>
      </c>
      <c r="C6559" s="626" t="s">
        <v>8</v>
      </c>
      <c r="D6559" s="626" t="s">
        <v>10467</v>
      </c>
      <c r="E6559" s="628" t="s">
        <v>23</v>
      </c>
      <c r="F6559" s="816" t="s">
        <v>14252</v>
      </c>
      <c r="G6559" s="816"/>
      <c r="H6559" s="816">
        <v>0.25041940000000001</v>
      </c>
      <c r="I6559" s="816"/>
      <c r="J6559" s="817">
        <v>1.2971999999999999</v>
      </c>
      <c r="K6559" s="817"/>
      <c r="L6559" s="817"/>
    </row>
    <row r="6560" spans="1:12" ht="24" customHeight="1">
      <c r="A6560" s="626" t="s">
        <v>12709</v>
      </c>
      <c r="B6560" s="627" t="s">
        <v>13046</v>
      </c>
      <c r="C6560" s="626" t="s">
        <v>8</v>
      </c>
      <c r="D6560" s="626" t="s">
        <v>11281</v>
      </c>
      <c r="E6560" s="628" t="s">
        <v>23</v>
      </c>
      <c r="F6560" s="816" t="s">
        <v>13731</v>
      </c>
      <c r="G6560" s="816"/>
      <c r="H6560" s="816">
        <v>0.70893030000000001</v>
      </c>
      <c r="I6560" s="816"/>
      <c r="J6560" s="817">
        <v>3.6438999999999999</v>
      </c>
      <c r="K6560" s="817"/>
      <c r="L6560" s="817"/>
    </row>
    <row r="6561" spans="1:12" ht="17.100000000000001" customHeight="1">
      <c r="A6561" s="636"/>
      <c r="B6561" s="636"/>
      <c r="C6561" s="636"/>
      <c r="D6561" s="636"/>
      <c r="E6561" s="636"/>
      <c r="F6561" s="636"/>
      <c r="G6561" s="636"/>
      <c r="H6561" s="636"/>
      <c r="I6561" s="636"/>
      <c r="J6561" s="636" t="s">
        <v>13675</v>
      </c>
      <c r="K6561" s="636"/>
      <c r="L6561" s="636" t="s">
        <v>14490</v>
      </c>
    </row>
    <row r="6562" spans="1:12" ht="14.25" customHeight="1">
      <c r="A6562" s="802" t="s">
        <v>12720</v>
      </c>
      <c r="B6562" s="802"/>
      <c r="C6562" s="802"/>
      <c r="D6562" s="802"/>
      <c r="E6562" s="802"/>
      <c r="F6562" s="802"/>
      <c r="G6562" s="802"/>
      <c r="H6562" s="802"/>
      <c r="I6562" s="612"/>
      <c r="J6562" s="612"/>
      <c r="K6562" s="612"/>
      <c r="L6562" s="612"/>
    </row>
    <row r="6563" spans="1:12" ht="17.100000000000001" customHeight="1">
      <c r="A6563" s="612" t="s">
        <v>13679</v>
      </c>
      <c r="B6563" s="636" t="s">
        <v>12698</v>
      </c>
      <c r="C6563" s="612" t="s">
        <v>12699</v>
      </c>
      <c r="D6563" s="612" t="s">
        <v>12700</v>
      </c>
      <c r="E6563" s="637" t="s">
        <v>12702</v>
      </c>
      <c r="F6563" s="801" t="s">
        <v>12704</v>
      </c>
      <c r="G6563" s="801"/>
      <c r="H6563" s="801" t="s">
        <v>13678</v>
      </c>
      <c r="I6563" s="801"/>
      <c r="J6563" s="801" t="s">
        <v>12705</v>
      </c>
      <c r="K6563" s="801"/>
      <c r="L6563" s="801"/>
    </row>
    <row r="6564" spans="1:12" ht="24" customHeight="1">
      <c r="A6564" s="626" t="s">
        <v>12709</v>
      </c>
      <c r="B6564" s="627" t="s">
        <v>13281</v>
      </c>
      <c r="C6564" s="626" t="s">
        <v>8</v>
      </c>
      <c r="D6564" s="626" t="s">
        <v>8070</v>
      </c>
      <c r="E6564" s="628" t="s">
        <v>35</v>
      </c>
      <c r="F6564" s="816" t="s">
        <v>13730</v>
      </c>
      <c r="G6564" s="816"/>
      <c r="H6564" s="816">
        <v>1.26E-5</v>
      </c>
      <c r="I6564" s="816"/>
      <c r="J6564" s="817">
        <v>0.42749999999999999</v>
      </c>
      <c r="K6564" s="817"/>
      <c r="L6564" s="817"/>
    </row>
    <row r="6565" spans="1:12" ht="17.100000000000001" customHeight="1">
      <c r="A6565" s="636"/>
      <c r="B6565" s="636"/>
      <c r="C6565" s="636"/>
      <c r="D6565" s="636"/>
      <c r="E6565" s="636"/>
      <c r="F6565" s="636"/>
      <c r="G6565" s="636"/>
      <c r="H6565" s="636"/>
      <c r="I6565" s="636"/>
      <c r="J6565" s="636" t="s">
        <v>13675</v>
      </c>
      <c r="K6565" s="636"/>
      <c r="L6565" s="636" t="s">
        <v>13717</v>
      </c>
    </row>
    <row r="6566" spans="1:12">
      <c r="A6566" s="802" t="s">
        <v>12722</v>
      </c>
      <c r="B6566" s="802"/>
      <c r="C6566" s="802"/>
      <c r="D6566" s="802"/>
      <c r="E6566" s="802"/>
      <c r="F6566" s="802"/>
      <c r="G6566" s="802"/>
      <c r="H6566" s="802"/>
      <c r="I6566" s="612"/>
      <c r="J6566" s="612"/>
      <c r="K6566" s="612"/>
      <c r="L6566" s="612"/>
    </row>
    <row r="6567" spans="1:12" ht="17.100000000000001" customHeight="1">
      <c r="A6567" s="612" t="s">
        <v>13679</v>
      </c>
      <c r="B6567" s="636" t="s">
        <v>12698</v>
      </c>
      <c r="C6567" s="612" t="s">
        <v>12699</v>
      </c>
      <c r="D6567" s="612" t="s">
        <v>12700</v>
      </c>
      <c r="E6567" s="637" t="s">
        <v>12702</v>
      </c>
      <c r="F6567" s="801" t="s">
        <v>12704</v>
      </c>
      <c r="G6567" s="801"/>
      <c r="H6567" s="801" t="s">
        <v>13678</v>
      </c>
      <c r="I6567" s="801"/>
      <c r="J6567" s="801" t="s">
        <v>12705</v>
      </c>
      <c r="K6567" s="801"/>
      <c r="L6567" s="801"/>
    </row>
    <row r="6568" spans="1:12" ht="24" customHeight="1">
      <c r="A6568" s="626" t="s">
        <v>12709</v>
      </c>
      <c r="B6568" s="627" t="s">
        <v>12998</v>
      </c>
      <c r="C6568" s="626" t="s">
        <v>8</v>
      </c>
      <c r="D6568" s="626" t="s">
        <v>11861</v>
      </c>
      <c r="E6568" s="628" t="s">
        <v>23</v>
      </c>
      <c r="F6568" s="816" t="s">
        <v>13683</v>
      </c>
      <c r="G6568" s="816"/>
      <c r="H6568" s="816">
        <v>0.94740360000000001</v>
      </c>
      <c r="I6568" s="816"/>
      <c r="J6568" s="817">
        <v>0.67269999999999996</v>
      </c>
      <c r="K6568" s="817"/>
      <c r="L6568" s="817"/>
    </row>
    <row r="6569" spans="1:12" ht="24" customHeight="1">
      <c r="A6569" s="636"/>
      <c r="B6569" s="636"/>
      <c r="C6569" s="636"/>
      <c r="D6569" s="636"/>
      <c r="E6569" s="636"/>
      <c r="F6569" s="636"/>
      <c r="G6569" s="636"/>
      <c r="H6569" s="636"/>
      <c r="I6569" s="636"/>
      <c r="J6569" s="636" t="s">
        <v>13675</v>
      </c>
      <c r="K6569" s="636"/>
      <c r="L6569" s="636" t="s">
        <v>13735</v>
      </c>
    </row>
    <row r="6570" spans="1:12" ht="17.100000000000001" customHeight="1">
      <c r="A6570" s="802" t="s">
        <v>12713</v>
      </c>
      <c r="B6570" s="802"/>
      <c r="C6570" s="802"/>
      <c r="D6570" s="802"/>
      <c r="E6570" s="802"/>
      <c r="F6570" s="802"/>
      <c r="G6570" s="802"/>
      <c r="H6570" s="802"/>
      <c r="I6570" s="612"/>
      <c r="J6570" s="612"/>
      <c r="K6570" s="612"/>
      <c r="L6570" s="612"/>
    </row>
    <row r="6571" spans="1:12">
      <c r="A6571" s="612" t="s">
        <v>13679</v>
      </c>
      <c r="B6571" s="636" t="s">
        <v>12698</v>
      </c>
      <c r="C6571" s="612" t="s">
        <v>12699</v>
      </c>
      <c r="D6571" s="612" t="s">
        <v>12700</v>
      </c>
      <c r="E6571" s="637" t="s">
        <v>12702</v>
      </c>
      <c r="F6571" s="801" t="s">
        <v>12704</v>
      </c>
      <c r="G6571" s="801"/>
      <c r="H6571" s="801" t="s">
        <v>13678</v>
      </c>
      <c r="I6571" s="801"/>
      <c r="J6571" s="801" t="s">
        <v>12705</v>
      </c>
      <c r="K6571" s="801"/>
      <c r="L6571" s="801"/>
    </row>
    <row r="6572" spans="1:12" ht="17.100000000000001" customHeight="1">
      <c r="A6572" s="626" t="s">
        <v>12709</v>
      </c>
      <c r="B6572" s="627" t="s">
        <v>12999</v>
      </c>
      <c r="C6572" s="626" t="s">
        <v>8</v>
      </c>
      <c r="D6572" s="626" t="s">
        <v>11251</v>
      </c>
      <c r="E6572" s="628" t="s">
        <v>23</v>
      </c>
      <c r="F6572" s="816" t="s">
        <v>13681</v>
      </c>
      <c r="G6572" s="816"/>
      <c r="H6572" s="816">
        <v>0.94740360000000001</v>
      </c>
      <c r="I6572" s="816"/>
      <c r="J6572" s="817">
        <v>6.6299999999999998E-2</v>
      </c>
      <c r="K6572" s="817"/>
      <c r="L6572" s="817"/>
    </row>
    <row r="6573" spans="1:12" ht="24" customHeight="1">
      <c r="A6573" s="636"/>
      <c r="B6573" s="636"/>
      <c r="C6573" s="636"/>
      <c r="D6573" s="636"/>
      <c r="E6573" s="636"/>
      <c r="F6573" s="636"/>
      <c r="G6573" s="636"/>
      <c r="H6573" s="636"/>
      <c r="I6573" s="636"/>
      <c r="J6573" s="636" t="s">
        <v>13675</v>
      </c>
      <c r="K6573" s="636"/>
      <c r="L6573" s="636" t="s">
        <v>13681</v>
      </c>
    </row>
    <row r="6574" spans="1:12" ht="17.100000000000001" customHeight="1">
      <c r="A6574" s="802" t="s">
        <v>12712</v>
      </c>
      <c r="B6574" s="802"/>
      <c r="C6574" s="802"/>
      <c r="D6574" s="802"/>
      <c r="E6574" s="802"/>
      <c r="F6574" s="802"/>
      <c r="G6574" s="802"/>
      <c r="H6574" s="802"/>
      <c r="I6574" s="612"/>
      <c r="J6574" s="612"/>
      <c r="K6574" s="612"/>
      <c r="L6574" s="612"/>
    </row>
    <row r="6575" spans="1:12">
      <c r="A6575" s="612" t="s">
        <v>13679</v>
      </c>
      <c r="B6575" s="636" t="s">
        <v>12698</v>
      </c>
      <c r="C6575" s="612" t="s">
        <v>12699</v>
      </c>
      <c r="D6575" s="612" t="s">
        <v>12700</v>
      </c>
      <c r="E6575" s="637" t="s">
        <v>12702</v>
      </c>
      <c r="F6575" s="801" t="s">
        <v>12704</v>
      </c>
      <c r="G6575" s="801"/>
      <c r="H6575" s="801" t="s">
        <v>13678</v>
      </c>
      <c r="I6575" s="801"/>
      <c r="J6575" s="801" t="s">
        <v>12705</v>
      </c>
      <c r="K6575" s="801"/>
      <c r="L6575" s="801"/>
    </row>
    <row r="6576" spans="1:12" ht="17.100000000000001" customHeight="1">
      <c r="A6576" s="626" t="s">
        <v>12709</v>
      </c>
      <c r="B6576" s="627" t="s">
        <v>13002</v>
      </c>
      <c r="C6576" s="626" t="s">
        <v>8</v>
      </c>
      <c r="D6576" s="626" t="s">
        <v>9306</v>
      </c>
      <c r="E6576" s="628" t="s">
        <v>23</v>
      </c>
      <c r="F6576" s="816" t="s">
        <v>13677</v>
      </c>
      <c r="G6576" s="816"/>
      <c r="H6576" s="816">
        <v>0.94740360000000001</v>
      </c>
      <c r="I6576" s="816"/>
      <c r="J6576" s="817">
        <v>0.33160000000000001</v>
      </c>
      <c r="K6576" s="817"/>
      <c r="L6576" s="817"/>
    </row>
    <row r="6577" spans="1:12" ht="24" customHeight="1">
      <c r="A6577" s="626" t="s">
        <v>12709</v>
      </c>
      <c r="B6577" s="627" t="s">
        <v>13004</v>
      </c>
      <c r="C6577" s="626" t="s">
        <v>8</v>
      </c>
      <c r="D6577" s="626" t="s">
        <v>7388</v>
      </c>
      <c r="E6577" s="628" t="s">
        <v>23</v>
      </c>
      <c r="F6577" s="816" t="s">
        <v>13676</v>
      </c>
      <c r="G6577" s="816"/>
      <c r="H6577" s="816">
        <v>0.94740360000000001</v>
      </c>
      <c r="I6577" s="816"/>
      <c r="J6577" s="817">
        <v>2.0842999999999998</v>
      </c>
      <c r="K6577" s="817"/>
      <c r="L6577" s="817"/>
    </row>
    <row r="6578" spans="1:12" ht="17.100000000000001" customHeight="1">
      <c r="A6578" s="636"/>
      <c r="B6578" s="636"/>
      <c r="C6578" s="636"/>
      <c r="D6578" s="636"/>
      <c r="E6578" s="636"/>
      <c r="F6578" s="636"/>
      <c r="G6578" s="636"/>
      <c r="H6578" s="636"/>
      <c r="I6578" s="636"/>
      <c r="J6578" s="636" t="s">
        <v>13675</v>
      </c>
      <c r="K6578" s="636"/>
      <c r="L6578" s="636" t="s">
        <v>13734</v>
      </c>
    </row>
    <row r="6579" spans="1:12">
      <c r="A6579" s="612" t="s">
        <v>13673</v>
      </c>
      <c r="B6579" s="612"/>
      <c r="C6579" s="612"/>
      <c r="D6579" s="612"/>
      <c r="E6579" s="612"/>
      <c r="F6579" s="612"/>
      <c r="G6579" s="612"/>
      <c r="H6579" s="612"/>
      <c r="I6579" s="612"/>
      <c r="J6579" s="612"/>
      <c r="K6579" s="612"/>
      <c r="L6579" s="612"/>
    </row>
    <row r="6580" spans="1:12" ht="17.100000000000001" customHeight="1">
      <c r="A6580" s="636"/>
      <c r="B6580" s="636"/>
      <c r="C6580" s="636"/>
      <c r="D6580" s="636"/>
      <c r="E6580" s="636"/>
      <c r="F6580" s="636"/>
      <c r="G6580" s="636"/>
      <c r="H6580" s="636"/>
      <c r="I6580" s="636"/>
      <c r="J6580" s="636" t="s">
        <v>13672</v>
      </c>
      <c r="K6580" s="636"/>
      <c r="L6580" s="636" t="s">
        <v>14959</v>
      </c>
    </row>
    <row r="6581" spans="1:12" ht="24" customHeight="1">
      <c r="A6581" s="636"/>
      <c r="B6581" s="636"/>
      <c r="C6581" s="636"/>
      <c r="D6581" s="636"/>
      <c r="E6581" s="636"/>
      <c r="F6581" s="636"/>
      <c r="G6581" s="636"/>
      <c r="H6581" s="636"/>
      <c r="I6581" s="636"/>
      <c r="J6581" s="636" t="s">
        <v>13671</v>
      </c>
      <c r="K6581" s="636" t="s">
        <v>14461</v>
      </c>
      <c r="L6581" s="636" t="s">
        <v>14960</v>
      </c>
    </row>
    <row r="6582" spans="1:12" ht="24" customHeight="1">
      <c r="A6582" s="636"/>
      <c r="B6582" s="636"/>
      <c r="C6582" s="636"/>
      <c r="D6582" s="636"/>
      <c r="E6582" s="636"/>
      <c r="F6582" s="636"/>
      <c r="G6582" s="636"/>
      <c r="H6582" s="636"/>
      <c r="I6582" s="636"/>
      <c r="J6582" s="636" t="s">
        <v>13670</v>
      </c>
      <c r="K6582" s="636"/>
      <c r="L6582" s="636" t="s">
        <v>14961</v>
      </c>
    </row>
    <row r="6583" spans="1:12" ht="17.100000000000001" customHeight="1">
      <c r="A6583" s="636"/>
      <c r="B6583" s="636"/>
      <c r="C6583" s="636"/>
      <c r="D6583" s="636"/>
      <c r="E6583" s="636"/>
      <c r="F6583" s="636"/>
      <c r="G6583" s="636"/>
      <c r="H6583" s="636"/>
      <c r="I6583" s="636"/>
      <c r="J6583" s="636" t="s">
        <v>13669</v>
      </c>
      <c r="K6583" s="636" t="s">
        <v>13667</v>
      </c>
      <c r="L6583" s="636" t="s">
        <v>14962</v>
      </c>
    </row>
    <row r="6584" spans="1:12" ht="17.100000000000001" customHeight="1">
      <c r="A6584" s="636"/>
      <c r="B6584" s="636"/>
      <c r="C6584" s="636"/>
      <c r="D6584" s="636"/>
      <c r="E6584" s="636"/>
      <c r="F6584" s="636"/>
      <c r="G6584" s="636"/>
      <c r="H6584" s="636"/>
      <c r="I6584" s="636"/>
      <c r="J6584" s="636" t="s">
        <v>13668</v>
      </c>
      <c r="K6584" s="636"/>
      <c r="L6584" s="636" t="s">
        <v>14963</v>
      </c>
    </row>
    <row r="6585" spans="1:12" ht="17.100000000000001" customHeight="1">
      <c r="A6585" s="637"/>
      <c r="B6585" s="637"/>
      <c r="C6585" s="637"/>
      <c r="D6585" s="637"/>
      <c r="E6585" s="637"/>
      <c r="F6585" s="637"/>
      <c r="G6585" s="637"/>
      <c r="H6585" s="637"/>
      <c r="I6585" s="637"/>
      <c r="J6585" s="637"/>
      <c r="K6585" s="637"/>
      <c r="L6585" s="637"/>
    </row>
    <row r="6586" spans="1:12" ht="17.100000000000001" customHeight="1">
      <c r="A6586" s="616" t="s">
        <v>14021</v>
      </c>
      <c r="B6586" s="617" t="s">
        <v>13655</v>
      </c>
      <c r="C6586" s="616" t="s">
        <v>8</v>
      </c>
      <c r="D6586" s="616" t="s">
        <v>4680</v>
      </c>
      <c r="E6586" s="618" t="s">
        <v>144</v>
      </c>
      <c r="F6586" s="617"/>
      <c r="G6586" s="617"/>
      <c r="H6586" s="617"/>
      <c r="I6586" s="617"/>
      <c r="J6586" s="617"/>
      <c r="K6586" s="617"/>
      <c r="L6586" s="617"/>
    </row>
    <row r="6587" spans="1:12" ht="17.100000000000001" customHeight="1">
      <c r="A6587" s="802" t="s">
        <v>12711</v>
      </c>
      <c r="B6587" s="802"/>
      <c r="C6587" s="802"/>
      <c r="D6587" s="802"/>
      <c r="E6587" s="802"/>
      <c r="F6587" s="802"/>
      <c r="G6587" s="802"/>
      <c r="H6587" s="802"/>
      <c r="I6587" s="612"/>
      <c r="J6587" s="612"/>
      <c r="K6587" s="612"/>
      <c r="L6587" s="612"/>
    </row>
    <row r="6588" spans="1:12" ht="17.100000000000001" customHeight="1">
      <c r="A6588" s="612" t="s">
        <v>13679</v>
      </c>
      <c r="B6588" s="636" t="s">
        <v>12698</v>
      </c>
      <c r="C6588" s="612" t="s">
        <v>12699</v>
      </c>
      <c r="D6588" s="612" t="s">
        <v>12700</v>
      </c>
      <c r="E6588" s="637" t="s">
        <v>12702</v>
      </c>
      <c r="F6588" s="801" t="s">
        <v>12704</v>
      </c>
      <c r="G6588" s="801"/>
      <c r="H6588" s="801" t="s">
        <v>13678</v>
      </c>
      <c r="I6588" s="801"/>
      <c r="J6588" s="801" t="s">
        <v>12705</v>
      </c>
      <c r="K6588" s="801"/>
      <c r="L6588" s="801"/>
    </row>
    <row r="6589" spans="1:12" ht="17.100000000000001" customHeight="1">
      <c r="A6589" s="626" t="s">
        <v>12709</v>
      </c>
      <c r="B6589" s="627" t="s">
        <v>13289</v>
      </c>
      <c r="C6589" s="626" t="s">
        <v>8</v>
      </c>
      <c r="D6589" s="626" t="s">
        <v>8192</v>
      </c>
      <c r="E6589" s="628" t="s">
        <v>35</v>
      </c>
      <c r="F6589" s="816" t="s">
        <v>14489</v>
      </c>
      <c r="G6589" s="816"/>
      <c r="H6589" s="816">
        <v>1.3999999999999999E-6</v>
      </c>
      <c r="I6589" s="816"/>
      <c r="J6589" s="817">
        <v>0.38529999999999998</v>
      </c>
      <c r="K6589" s="817"/>
      <c r="L6589" s="817"/>
    </row>
    <row r="6590" spans="1:12" ht="30" customHeight="1">
      <c r="A6590" s="626" t="s">
        <v>12709</v>
      </c>
      <c r="B6590" s="627" t="s">
        <v>13003</v>
      </c>
      <c r="C6590" s="626" t="s">
        <v>8</v>
      </c>
      <c r="D6590" s="626" t="s">
        <v>9227</v>
      </c>
      <c r="E6590" s="628" t="s">
        <v>23</v>
      </c>
      <c r="F6590" s="816" t="s">
        <v>13732</v>
      </c>
      <c r="G6590" s="816"/>
      <c r="H6590" s="816">
        <v>1.3021899999999999E-2</v>
      </c>
      <c r="I6590" s="816"/>
      <c r="J6590" s="817">
        <v>8.6E-3</v>
      </c>
      <c r="K6590" s="817"/>
      <c r="L6590" s="817"/>
    </row>
    <row r="6591" spans="1:12" ht="36" customHeight="1">
      <c r="A6591" s="626" t="s">
        <v>12709</v>
      </c>
      <c r="B6591" s="627" t="s">
        <v>13001</v>
      </c>
      <c r="C6591" s="626" t="s">
        <v>8</v>
      </c>
      <c r="D6591" s="626" t="s">
        <v>9374</v>
      </c>
      <c r="E6591" s="628" t="s">
        <v>23</v>
      </c>
      <c r="F6591" s="816" t="s">
        <v>13728</v>
      </c>
      <c r="G6591" s="816"/>
      <c r="H6591" s="816">
        <v>1.3021899999999999E-2</v>
      </c>
      <c r="I6591" s="816"/>
      <c r="J6591" s="817">
        <v>1E-4</v>
      </c>
      <c r="K6591" s="817"/>
      <c r="L6591" s="817"/>
    </row>
    <row r="6592" spans="1:12" ht="14.25" customHeight="1">
      <c r="A6592" s="636"/>
      <c r="B6592" s="636"/>
      <c r="C6592" s="636"/>
      <c r="D6592" s="636"/>
      <c r="E6592" s="636"/>
      <c r="F6592" s="636"/>
      <c r="G6592" s="636"/>
      <c r="H6592" s="636"/>
      <c r="I6592" s="636"/>
      <c r="J6592" s="636" t="s">
        <v>13675</v>
      </c>
      <c r="K6592" s="636"/>
      <c r="L6592" s="636" t="s">
        <v>13784</v>
      </c>
    </row>
    <row r="6593" spans="1:12" ht="17.100000000000001" customHeight="1">
      <c r="A6593" s="802" t="s">
        <v>12710</v>
      </c>
      <c r="B6593" s="802"/>
      <c r="C6593" s="802"/>
      <c r="D6593" s="802"/>
      <c r="E6593" s="802"/>
      <c r="F6593" s="802"/>
      <c r="G6593" s="802"/>
      <c r="H6593" s="802"/>
      <c r="I6593" s="612"/>
      <c r="J6593" s="612"/>
      <c r="K6593" s="612"/>
      <c r="L6593" s="612"/>
    </row>
    <row r="6594" spans="1:12" ht="24" customHeight="1">
      <c r="A6594" s="612" t="s">
        <v>13679</v>
      </c>
      <c r="B6594" s="636" t="s">
        <v>12698</v>
      </c>
      <c r="C6594" s="612" t="s">
        <v>12699</v>
      </c>
      <c r="D6594" s="612" t="s">
        <v>12700</v>
      </c>
      <c r="E6594" s="637" t="s">
        <v>12702</v>
      </c>
      <c r="F6594" s="801" t="s">
        <v>12704</v>
      </c>
      <c r="G6594" s="801"/>
      <c r="H6594" s="801" t="s">
        <v>13678</v>
      </c>
      <c r="I6594" s="801"/>
      <c r="J6594" s="801" t="s">
        <v>12705</v>
      </c>
      <c r="K6594" s="801"/>
      <c r="L6594" s="801"/>
    </row>
    <row r="6595" spans="1:12" ht="24" customHeight="1">
      <c r="A6595" s="626" t="s">
        <v>12709</v>
      </c>
      <c r="B6595" s="627" t="s">
        <v>13129</v>
      </c>
      <c r="C6595" s="626" t="s">
        <v>8</v>
      </c>
      <c r="D6595" s="626" t="s">
        <v>10467</v>
      </c>
      <c r="E6595" s="628" t="s">
        <v>23</v>
      </c>
      <c r="F6595" s="816" t="s">
        <v>14252</v>
      </c>
      <c r="G6595" s="816"/>
      <c r="H6595" s="816">
        <v>1.25235E-2</v>
      </c>
      <c r="I6595" s="816"/>
      <c r="J6595" s="817">
        <v>6.4899999999999999E-2</v>
      </c>
      <c r="K6595" s="817"/>
      <c r="L6595" s="817"/>
    </row>
    <row r="6596" spans="1:12" ht="17.100000000000001" customHeight="1">
      <c r="A6596" s="636"/>
      <c r="B6596" s="636"/>
      <c r="C6596" s="636"/>
      <c r="D6596" s="636"/>
      <c r="E6596" s="636"/>
      <c r="F6596" s="636"/>
      <c r="G6596" s="636"/>
      <c r="H6596" s="636"/>
      <c r="I6596" s="636"/>
      <c r="J6596" s="636" t="s">
        <v>13675</v>
      </c>
      <c r="K6596" s="636"/>
      <c r="L6596" s="636" t="s">
        <v>13708</v>
      </c>
    </row>
    <row r="6597" spans="1:12" ht="14.25" customHeight="1">
      <c r="A6597" s="802" t="s">
        <v>12720</v>
      </c>
      <c r="B6597" s="802"/>
      <c r="C6597" s="802"/>
      <c r="D6597" s="802"/>
      <c r="E6597" s="802"/>
      <c r="F6597" s="802"/>
      <c r="G6597" s="802"/>
      <c r="H6597" s="802"/>
      <c r="I6597" s="612"/>
      <c r="J6597" s="612"/>
      <c r="K6597" s="612"/>
      <c r="L6597" s="612"/>
    </row>
    <row r="6598" spans="1:12" ht="17.100000000000001" customHeight="1">
      <c r="A6598" s="612" t="s">
        <v>13679</v>
      </c>
      <c r="B6598" s="636" t="s">
        <v>12698</v>
      </c>
      <c r="C6598" s="612" t="s">
        <v>12699</v>
      </c>
      <c r="D6598" s="612" t="s">
        <v>12700</v>
      </c>
      <c r="E6598" s="637" t="s">
        <v>12702</v>
      </c>
      <c r="F6598" s="801" t="s">
        <v>12704</v>
      </c>
      <c r="G6598" s="801"/>
      <c r="H6598" s="801" t="s">
        <v>13678</v>
      </c>
      <c r="I6598" s="801"/>
      <c r="J6598" s="801" t="s">
        <v>12705</v>
      </c>
      <c r="K6598" s="801"/>
      <c r="L6598" s="801"/>
    </row>
    <row r="6599" spans="1:12" ht="24" customHeight="1">
      <c r="A6599" s="626" t="s">
        <v>12709</v>
      </c>
      <c r="B6599" s="627" t="s">
        <v>13281</v>
      </c>
      <c r="C6599" s="626" t="s">
        <v>8</v>
      </c>
      <c r="D6599" s="626" t="s">
        <v>8070</v>
      </c>
      <c r="E6599" s="628" t="s">
        <v>35</v>
      </c>
      <c r="F6599" s="816" t="s">
        <v>13730</v>
      </c>
      <c r="G6599" s="816"/>
      <c r="H6599" s="816">
        <v>1.3999999999999999E-6</v>
      </c>
      <c r="I6599" s="816"/>
      <c r="J6599" s="817">
        <v>4.7500000000000001E-2</v>
      </c>
      <c r="K6599" s="817"/>
      <c r="L6599" s="817"/>
    </row>
    <row r="6600" spans="1:12" ht="24" customHeight="1">
      <c r="A6600" s="626" t="s">
        <v>12709</v>
      </c>
      <c r="B6600" s="627" t="s">
        <v>13007</v>
      </c>
      <c r="C6600" s="626" t="s">
        <v>8</v>
      </c>
      <c r="D6600" s="626" t="s">
        <v>10549</v>
      </c>
      <c r="E6600" s="628" t="s">
        <v>58</v>
      </c>
      <c r="F6600" s="816" t="s">
        <v>14172</v>
      </c>
      <c r="G6600" s="816"/>
      <c r="H6600" s="816">
        <v>0.14194129999999999</v>
      </c>
      <c r="I6600" s="816"/>
      <c r="J6600" s="817">
        <v>0.45989999999999998</v>
      </c>
      <c r="K6600" s="817"/>
      <c r="L6600" s="817"/>
    </row>
    <row r="6601" spans="1:12" ht="17.100000000000001" customHeight="1">
      <c r="A6601" s="636"/>
      <c r="B6601" s="636"/>
      <c r="C6601" s="636"/>
      <c r="D6601" s="636"/>
      <c r="E6601" s="636"/>
      <c r="F6601" s="636"/>
      <c r="G6601" s="636"/>
      <c r="H6601" s="636"/>
      <c r="I6601" s="636"/>
      <c r="J6601" s="636" t="s">
        <v>13675</v>
      </c>
      <c r="K6601" s="636"/>
      <c r="L6601" s="636" t="s">
        <v>13746</v>
      </c>
    </row>
    <row r="6602" spans="1:12">
      <c r="A6602" s="802" t="s">
        <v>12722</v>
      </c>
      <c r="B6602" s="802"/>
      <c r="C6602" s="802"/>
      <c r="D6602" s="802"/>
      <c r="E6602" s="802"/>
      <c r="F6602" s="802"/>
      <c r="G6602" s="802"/>
      <c r="H6602" s="802"/>
      <c r="I6602" s="612"/>
      <c r="J6602" s="612"/>
      <c r="K6602" s="612"/>
      <c r="L6602" s="612"/>
    </row>
    <row r="6603" spans="1:12" ht="17.100000000000001" customHeight="1">
      <c r="A6603" s="612" t="s">
        <v>13679</v>
      </c>
      <c r="B6603" s="636" t="s">
        <v>12698</v>
      </c>
      <c r="C6603" s="612" t="s">
        <v>12699</v>
      </c>
      <c r="D6603" s="612" t="s">
        <v>12700</v>
      </c>
      <c r="E6603" s="637" t="s">
        <v>12702</v>
      </c>
      <c r="F6603" s="801" t="s">
        <v>12704</v>
      </c>
      <c r="G6603" s="801"/>
      <c r="H6603" s="801" t="s">
        <v>13678</v>
      </c>
      <c r="I6603" s="801"/>
      <c r="J6603" s="801" t="s">
        <v>12705</v>
      </c>
      <c r="K6603" s="801"/>
      <c r="L6603" s="801"/>
    </row>
    <row r="6604" spans="1:12" ht="24" customHeight="1">
      <c r="A6604" s="626" t="s">
        <v>12709</v>
      </c>
      <c r="B6604" s="627" t="s">
        <v>12998</v>
      </c>
      <c r="C6604" s="626" t="s">
        <v>8</v>
      </c>
      <c r="D6604" s="626" t="s">
        <v>11861</v>
      </c>
      <c r="E6604" s="628" t="s">
        <v>23</v>
      </c>
      <c r="F6604" s="816" t="s">
        <v>13683</v>
      </c>
      <c r="G6604" s="816"/>
      <c r="H6604" s="816">
        <v>1.3021899999999999E-2</v>
      </c>
      <c r="I6604" s="816"/>
      <c r="J6604" s="817">
        <v>9.1999999999999998E-3</v>
      </c>
      <c r="K6604" s="817"/>
      <c r="L6604" s="817"/>
    </row>
    <row r="6605" spans="1:12" ht="24" customHeight="1">
      <c r="A6605" s="636"/>
      <c r="B6605" s="636"/>
      <c r="C6605" s="636"/>
      <c r="D6605" s="636"/>
      <c r="E6605" s="636"/>
      <c r="F6605" s="636"/>
      <c r="G6605" s="636"/>
      <c r="H6605" s="636"/>
      <c r="I6605" s="636"/>
      <c r="J6605" s="636" t="s">
        <v>13675</v>
      </c>
      <c r="K6605" s="636"/>
      <c r="L6605" s="636" t="s">
        <v>13728</v>
      </c>
    </row>
    <row r="6606" spans="1:12" ht="24" customHeight="1">
      <c r="A6606" s="802" t="s">
        <v>12713</v>
      </c>
      <c r="B6606" s="802"/>
      <c r="C6606" s="802"/>
      <c r="D6606" s="802"/>
      <c r="E6606" s="802"/>
      <c r="F6606" s="802"/>
      <c r="G6606" s="802"/>
      <c r="H6606" s="802"/>
      <c r="I6606" s="612"/>
      <c r="J6606" s="612"/>
      <c r="K6606" s="612"/>
      <c r="L6606" s="612"/>
    </row>
    <row r="6607" spans="1:12" ht="24" customHeight="1">
      <c r="A6607" s="612" t="s">
        <v>13679</v>
      </c>
      <c r="B6607" s="636" t="s">
        <v>12698</v>
      </c>
      <c r="C6607" s="612" t="s">
        <v>12699</v>
      </c>
      <c r="D6607" s="612" t="s">
        <v>12700</v>
      </c>
      <c r="E6607" s="637" t="s">
        <v>12702</v>
      </c>
      <c r="F6607" s="801" t="s">
        <v>12704</v>
      </c>
      <c r="G6607" s="801"/>
      <c r="H6607" s="801" t="s">
        <v>13678</v>
      </c>
      <c r="I6607" s="801"/>
      <c r="J6607" s="801" t="s">
        <v>12705</v>
      </c>
      <c r="K6607" s="801"/>
      <c r="L6607" s="801"/>
    </row>
    <row r="6608" spans="1:12" ht="17.100000000000001" customHeight="1">
      <c r="A6608" s="626" t="s">
        <v>12709</v>
      </c>
      <c r="B6608" s="627" t="s">
        <v>12999</v>
      </c>
      <c r="C6608" s="626" t="s">
        <v>8</v>
      </c>
      <c r="D6608" s="626" t="s">
        <v>11251</v>
      </c>
      <c r="E6608" s="628" t="s">
        <v>23</v>
      </c>
      <c r="F6608" s="816" t="s">
        <v>13681</v>
      </c>
      <c r="G6608" s="816"/>
      <c r="H6608" s="816">
        <v>1.3021899999999999E-2</v>
      </c>
      <c r="I6608" s="816"/>
      <c r="J6608" s="817">
        <v>8.9999999999999998E-4</v>
      </c>
      <c r="K6608" s="817"/>
      <c r="L6608" s="817"/>
    </row>
    <row r="6609" spans="1:12">
      <c r="A6609" s="636"/>
      <c r="B6609" s="636"/>
      <c r="C6609" s="636"/>
      <c r="D6609" s="636"/>
      <c r="E6609" s="636"/>
      <c r="F6609" s="636"/>
      <c r="G6609" s="636"/>
      <c r="H6609" s="636"/>
      <c r="I6609" s="636"/>
      <c r="J6609" s="636" t="s">
        <v>13675</v>
      </c>
      <c r="K6609" s="636"/>
      <c r="L6609" s="636" t="s">
        <v>13727</v>
      </c>
    </row>
    <row r="6610" spans="1:12" ht="17.100000000000001" customHeight="1">
      <c r="A6610" s="802" t="s">
        <v>12712</v>
      </c>
      <c r="B6610" s="802"/>
      <c r="C6610" s="802"/>
      <c r="D6610" s="802"/>
      <c r="E6610" s="802"/>
      <c r="F6610" s="802"/>
      <c r="G6610" s="802"/>
      <c r="H6610" s="802"/>
      <c r="I6610" s="612"/>
      <c r="J6610" s="612"/>
      <c r="K6610" s="612"/>
      <c r="L6610" s="612"/>
    </row>
    <row r="6611" spans="1:12" ht="24" customHeight="1">
      <c r="A6611" s="612" t="s">
        <v>13679</v>
      </c>
      <c r="B6611" s="636" t="s">
        <v>12698</v>
      </c>
      <c r="C6611" s="612" t="s">
        <v>12699</v>
      </c>
      <c r="D6611" s="612" t="s">
        <v>12700</v>
      </c>
      <c r="E6611" s="637" t="s">
        <v>12702</v>
      </c>
      <c r="F6611" s="801" t="s">
        <v>12704</v>
      </c>
      <c r="G6611" s="801"/>
      <c r="H6611" s="801" t="s">
        <v>13678</v>
      </c>
      <c r="I6611" s="801"/>
      <c r="J6611" s="801" t="s">
        <v>12705</v>
      </c>
      <c r="K6611" s="801"/>
      <c r="L6611" s="801"/>
    </row>
    <row r="6612" spans="1:12" ht="17.100000000000001" customHeight="1">
      <c r="A6612" s="626" t="s">
        <v>12709</v>
      </c>
      <c r="B6612" s="627" t="s">
        <v>13002</v>
      </c>
      <c r="C6612" s="626" t="s">
        <v>8</v>
      </c>
      <c r="D6612" s="626" t="s">
        <v>9306</v>
      </c>
      <c r="E6612" s="628" t="s">
        <v>23</v>
      </c>
      <c r="F6612" s="816" t="s">
        <v>13677</v>
      </c>
      <c r="G6612" s="816"/>
      <c r="H6612" s="816">
        <v>1.3021899999999999E-2</v>
      </c>
      <c r="I6612" s="816"/>
      <c r="J6612" s="817">
        <v>4.5999999999999999E-3</v>
      </c>
      <c r="K6612" s="817"/>
      <c r="L6612" s="817"/>
    </row>
    <row r="6613" spans="1:12" ht="25.5">
      <c r="A6613" s="626" t="s">
        <v>12709</v>
      </c>
      <c r="B6613" s="627" t="s">
        <v>13004</v>
      </c>
      <c r="C6613" s="626" t="s">
        <v>8</v>
      </c>
      <c r="D6613" s="626" t="s">
        <v>7388</v>
      </c>
      <c r="E6613" s="628" t="s">
        <v>23</v>
      </c>
      <c r="F6613" s="816" t="s">
        <v>13676</v>
      </c>
      <c r="G6613" s="816"/>
      <c r="H6613" s="816">
        <v>1.3021899999999999E-2</v>
      </c>
      <c r="I6613" s="816"/>
      <c r="J6613" s="817">
        <v>2.86E-2</v>
      </c>
      <c r="K6613" s="817"/>
      <c r="L6613" s="817"/>
    </row>
    <row r="6614" spans="1:12" ht="17.100000000000001" customHeight="1">
      <c r="A6614" s="636"/>
      <c r="B6614" s="636"/>
      <c r="C6614" s="636"/>
      <c r="D6614" s="636"/>
      <c r="E6614" s="636"/>
      <c r="F6614" s="636"/>
      <c r="G6614" s="636"/>
      <c r="H6614" s="636"/>
      <c r="I6614" s="636"/>
      <c r="J6614" s="636" t="s">
        <v>13675</v>
      </c>
      <c r="K6614" s="636"/>
      <c r="L6614" s="636" t="s">
        <v>13726</v>
      </c>
    </row>
    <row r="6615" spans="1:12" ht="24" customHeight="1">
      <c r="A6615" s="612" t="s">
        <v>13673</v>
      </c>
      <c r="B6615" s="612"/>
      <c r="C6615" s="612"/>
      <c r="D6615" s="612"/>
      <c r="E6615" s="612"/>
      <c r="F6615" s="612"/>
      <c r="G6615" s="612"/>
      <c r="H6615" s="612"/>
      <c r="I6615" s="612"/>
      <c r="J6615" s="612"/>
      <c r="K6615" s="612"/>
      <c r="L6615" s="612"/>
    </row>
    <row r="6616" spans="1:12" ht="17.100000000000001" customHeight="1">
      <c r="A6616" s="636"/>
      <c r="B6616" s="636"/>
      <c r="C6616" s="636"/>
      <c r="D6616" s="636"/>
      <c r="E6616" s="636"/>
      <c r="F6616" s="636"/>
      <c r="G6616" s="636"/>
      <c r="H6616" s="636"/>
      <c r="I6616" s="636"/>
      <c r="J6616" s="636" t="s">
        <v>13672</v>
      </c>
      <c r="K6616" s="636"/>
      <c r="L6616" s="636" t="s">
        <v>14886</v>
      </c>
    </row>
    <row r="6617" spans="1:12">
      <c r="A6617" s="636"/>
      <c r="B6617" s="636"/>
      <c r="C6617" s="636"/>
      <c r="D6617" s="636"/>
      <c r="E6617" s="636"/>
      <c r="F6617" s="636"/>
      <c r="G6617" s="636"/>
      <c r="H6617" s="636"/>
      <c r="I6617" s="636"/>
      <c r="J6617" s="636" t="s">
        <v>13671</v>
      </c>
      <c r="K6617" s="636" t="s">
        <v>14461</v>
      </c>
      <c r="L6617" s="636" t="s">
        <v>14879</v>
      </c>
    </row>
    <row r="6618" spans="1:12" ht="17.100000000000001" customHeight="1">
      <c r="A6618" s="636"/>
      <c r="B6618" s="636"/>
      <c r="C6618" s="636"/>
      <c r="D6618" s="636"/>
      <c r="E6618" s="636"/>
      <c r="F6618" s="636"/>
      <c r="G6618" s="636"/>
      <c r="H6618" s="636"/>
      <c r="I6618" s="636"/>
      <c r="J6618" s="636" t="s">
        <v>13670</v>
      </c>
      <c r="K6618" s="636"/>
      <c r="L6618" s="636" t="s">
        <v>14887</v>
      </c>
    </row>
    <row r="6619" spans="1:12" ht="24" customHeight="1">
      <c r="A6619" s="636"/>
      <c r="B6619" s="636"/>
      <c r="C6619" s="636"/>
      <c r="D6619" s="636"/>
      <c r="E6619" s="636"/>
      <c r="F6619" s="636"/>
      <c r="G6619" s="636"/>
      <c r="H6619" s="636"/>
      <c r="I6619" s="636"/>
      <c r="J6619" s="636" t="s">
        <v>13669</v>
      </c>
      <c r="K6619" s="636" t="s">
        <v>13667</v>
      </c>
      <c r="L6619" s="636" t="s">
        <v>14888</v>
      </c>
    </row>
    <row r="6620" spans="1:12" ht="24" customHeight="1">
      <c r="A6620" s="636"/>
      <c r="B6620" s="636"/>
      <c r="C6620" s="636"/>
      <c r="D6620" s="636"/>
      <c r="E6620" s="636"/>
      <c r="F6620" s="636"/>
      <c r="G6620" s="636"/>
      <c r="H6620" s="636"/>
      <c r="I6620" s="636"/>
      <c r="J6620" s="636" t="s">
        <v>13668</v>
      </c>
      <c r="K6620" s="636"/>
      <c r="L6620" s="636" t="s">
        <v>14889</v>
      </c>
    </row>
    <row r="6621" spans="1:12" ht="17.100000000000001" customHeight="1">
      <c r="A6621" s="637"/>
      <c r="B6621" s="637"/>
      <c r="C6621" s="637"/>
      <c r="D6621" s="637"/>
      <c r="E6621" s="637"/>
      <c r="F6621" s="637"/>
      <c r="G6621" s="637"/>
      <c r="H6621" s="637"/>
      <c r="I6621" s="637"/>
      <c r="J6621" s="637"/>
      <c r="K6621" s="637"/>
      <c r="L6621" s="637"/>
    </row>
    <row r="6622" spans="1:12" ht="17.100000000000001" customHeight="1">
      <c r="A6622" s="616" t="s">
        <v>14020</v>
      </c>
      <c r="B6622" s="617" t="s">
        <v>13492</v>
      </c>
      <c r="C6622" s="616" t="s">
        <v>8</v>
      </c>
      <c r="D6622" s="616" t="s">
        <v>438</v>
      </c>
      <c r="E6622" s="618" t="s">
        <v>35</v>
      </c>
      <c r="F6622" s="617"/>
      <c r="G6622" s="617"/>
      <c r="H6622" s="617"/>
      <c r="I6622" s="617"/>
      <c r="J6622" s="617"/>
      <c r="K6622" s="617"/>
      <c r="L6622" s="617"/>
    </row>
    <row r="6623" spans="1:12" ht="17.100000000000001" customHeight="1">
      <c r="A6623" s="802" t="s">
        <v>12711</v>
      </c>
      <c r="B6623" s="802"/>
      <c r="C6623" s="802"/>
      <c r="D6623" s="802"/>
      <c r="E6623" s="802"/>
      <c r="F6623" s="802"/>
      <c r="G6623" s="802"/>
      <c r="H6623" s="802"/>
      <c r="I6623" s="612"/>
      <c r="J6623" s="612"/>
      <c r="K6623" s="612"/>
      <c r="L6623" s="612"/>
    </row>
    <row r="6624" spans="1:12" ht="17.100000000000001" customHeight="1">
      <c r="A6624" s="612" t="s">
        <v>13679</v>
      </c>
      <c r="B6624" s="636" t="s">
        <v>12698</v>
      </c>
      <c r="C6624" s="612" t="s">
        <v>12699</v>
      </c>
      <c r="D6624" s="612" t="s">
        <v>12700</v>
      </c>
      <c r="E6624" s="637" t="s">
        <v>12702</v>
      </c>
      <c r="F6624" s="801" t="s">
        <v>12704</v>
      </c>
      <c r="G6624" s="801"/>
      <c r="H6624" s="801" t="s">
        <v>13678</v>
      </c>
      <c r="I6624" s="801"/>
      <c r="J6624" s="801" t="s">
        <v>12705</v>
      </c>
      <c r="K6624" s="801"/>
      <c r="L6624" s="801"/>
    </row>
    <row r="6625" spans="1:12" ht="17.100000000000001" customHeight="1">
      <c r="A6625" s="626" t="s">
        <v>12709</v>
      </c>
      <c r="B6625" s="627" t="s">
        <v>13201</v>
      </c>
      <c r="C6625" s="626" t="s">
        <v>8</v>
      </c>
      <c r="D6625" s="626" t="s">
        <v>9221</v>
      </c>
      <c r="E6625" s="628" t="s">
        <v>23</v>
      </c>
      <c r="F6625" s="816" t="s">
        <v>13705</v>
      </c>
      <c r="G6625" s="816"/>
      <c r="H6625" s="816">
        <v>0.13888529999999999</v>
      </c>
      <c r="I6625" s="816"/>
      <c r="J6625" s="817">
        <v>0.1153</v>
      </c>
      <c r="K6625" s="817"/>
      <c r="L6625" s="817"/>
    </row>
    <row r="6626" spans="1:12" ht="17.100000000000001" customHeight="1">
      <c r="A6626" s="626" t="s">
        <v>12709</v>
      </c>
      <c r="B6626" s="627" t="s">
        <v>13200</v>
      </c>
      <c r="C6626" s="626" t="s">
        <v>8</v>
      </c>
      <c r="D6626" s="626" t="s">
        <v>9368</v>
      </c>
      <c r="E6626" s="628" t="s">
        <v>23</v>
      </c>
      <c r="F6626" s="816" t="s">
        <v>13704</v>
      </c>
      <c r="G6626" s="816"/>
      <c r="H6626" s="816">
        <v>0.13888529999999999</v>
      </c>
      <c r="I6626" s="816"/>
      <c r="J6626" s="817">
        <v>3.3300000000000003E-2</v>
      </c>
      <c r="K6626" s="817"/>
      <c r="L6626" s="817"/>
    </row>
    <row r="6627" spans="1:12" ht="17.100000000000001" customHeight="1">
      <c r="A6627" s="636"/>
      <c r="B6627" s="636"/>
      <c r="C6627" s="636"/>
      <c r="D6627" s="636"/>
      <c r="E6627" s="636"/>
      <c r="F6627" s="636"/>
      <c r="G6627" s="636"/>
      <c r="H6627" s="636"/>
      <c r="I6627" s="636"/>
      <c r="J6627" s="636" t="s">
        <v>13675</v>
      </c>
      <c r="K6627" s="636"/>
      <c r="L6627" s="636" t="s">
        <v>13795</v>
      </c>
    </row>
    <row r="6628" spans="1:12" ht="30" customHeight="1">
      <c r="A6628" s="802" t="s">
        <v>12710</v>
      </c>
      <c r="B6628" s="802"/>
      <c r="C6628" s="802"/>
      <c r="D6628" s="802"/>
      <c r="E6628" s="802"/>
      <c r="F6628" s="802"/>
      <c r="G6628" s="802"/>
      <c r="H6628" s="802"/>
      <c r="I6628" s="612"/>
      <c r="J6628" s="612"/>
      <c r="K6628" s="612"/>
      <c r="L6628" s="612"/>
    </row>
    <row r="6629" spans="1:12" ht="48" customHeight="1">
      <c r="A6629" s="612" t="s">
        <v>13679</v>
      </c>
      <c r="B6629" s="636" t="s">
        <v>12698</v>
      </c>
      <c r="C6629" s="612" t="s">
        <v>12699</v>
      </c>
      <c r="D6629" s="612" t="s">
        <v>12700</v>
      </c>
      <c r="E6629" s="637" t="s">
        <v>12702</v>
      </c>
      <c r="F6629" s="801" t="s">
        <v>12704</v>
      </c>
      <c r="G6629" s="801"/>
      <c r="H6629" s="801" t="s">
        <v>13678</v>
      </c>
      <c r="I6629" s="801"/>
      <c r="J6629" s="801" t="s">
        <v>12705</v>
      </c>
      <c r="K6629" s="801"/>
      <c r="L6629" s="801"/>
    </row>
    <row r="6630" spans="1:12" ht="14.25" customHeight="1">
      <c r="A6630" s="626" t="s">
        <v>12709</v>
      </c>
      <c r="B6630" s="627" t="s">
        <v>13220</v>
      </c>
      <c r="C6630" s="626" t="s">
        <v>8</v>
      </c>
      <c r="D6630" s="626" t="s">
        <v>7592</v>
      </c>
      <c r="E6630" s="628" t="s">
        <v>23</v>
      </c>
      <c r="F6630" s="816" t="s">
        <v>13890</v>
      </c>
      <c r="G6630" s="816"/>
      <c r="H6630" s="816">
        <v>7.0397399999999999E-2</v>
      </c>
      <c r="I6630" s="816"/>
      <c r="J6630" s="817">
        <v>0.35620000000000002</v>
      </c>
      <c r="K6630" s="817"/>
      <c r="L6630" s="817"/>
    </row>
    <row r="6631" spans="1:12" ht="17.100000000000001" customHeight="1">
      <c r="A6631" s="626" t="s">
        <v>12709</v>
      </c>
      <c r="B6631" s="627" t="s">
        <v>13202</v>
      </c>
      <c r="C6631" s="626" t="s">
        <v>8</v>
      </c>
      <c r="D6631" s="626" t="s">
        <v>9187</v>
      </c>
      <c r="E6631" s="628" t="s">
        <v>23</v>
      </c>
      <c r="F6631" s="816" t="s">
        <v>14479</v>
      </c>
      <c r="G6631" s="816"/>
      <c r="H6631" s="816">
        <v>7.0397399999999999E-2</v>
      </c>
      <c r="I6631" s="816"/>
      <c r="J6631" s="817">
        <v>0.50329999999999997</v>
      </c>
      <c r="K6631" s="817"/>
      <c r="L6631" s="817"/>
    </row>
    <row r="6632" spans="1:12" ht="24" customHeight="1">
      <c r="A6632" s="636"/>
      <c r="B6632" s="636"/>
      <c r="C6632" s="636"/>
      <c r="D6632" s="636"/>
      <c r="E6632" s="636"/>
      <c r="F6632" s="636"/>
      <c r="G6632" s="636"/>
      <c r="H6632" s="636"/>
      <c r="I6632" s="636"/>
      <c r="J6632" s="636" t="s">
        <v>13675</v>
      </c>
      <c r="K6632" s="636"/>
      <c r="L6632" s="636" t="s">
        <v>13995</v>
      </c>
    </row>
    <row r="6633" spans="1:12" ht="24" customHeight="1">
      <c r="A6633" s="802" t="s">
        <v>12720</v>
      </c>
      <c r="B6633" s="802"/>
      <c r="C6633" s="802"/>
      <c r="D6633" s="802"/>
      <c r="E6633" s="802"/>
      <c r="F6633" s="802"/>
      <c r="G6633" s="802"/>
      <c r="H6633" s="802"/>
      <c r="I6633" s="612"/>
      <c r="J6633" s="612"/>
      <c r="K6633" s="612"/>
      <c r="L6633" s="612"/>
    </row>
    <row r="6634" spans="1:12" ht="17.100000000000001" customHeight="1">
      <c r="A6634" s="612" t="s">
        <v>13679</v>
      </c>
      <c r="B6634" s="636" t="s">
        <v>12698</v>
      </c>
      <c r="C6634" s="612" t="s">
        <v>12699</v>
      </c>
      <c r="D6634" s="612" t="s">
        <v>12700</v>
      </c>
      <c r="E6634" s="637" t="s">
        <v>12702</v>
      </c>
      <c r="F6634" s="801" t="s">
        <v>12704</v>
      </c>
      <c r="G6634" s="801"/>
      <c r="H6634" s="801" t="s">
        <v>13678</v>
      </c>
      <c r="I6634" s="801"/>
      <c r="J6634" s="801" t="s">
        <v>12705</v>
      </c>
      <c r="K6634" s="801"/>
      <c r="L6634" s="801"/>
    </row>
    <row r="6635" spans="1:12" ht="14.25" customHeight="1">
      <c r="A6635" s="626" t="s">
        <v>12709</v>
      </c>
      <c r="B6635" s="627" t="s">
        <v>13467</v>
      </c>
      <c r="C6635" s="626" t="s">
        <v>8</v>
      </c>
      <c r="D6635" s="626" t="s">
        <v>9987</v>
      </c>
      <c r="E6635" s="628" t="s">
        <v>35</v>
      </c>
      <c r="F6635" s="816" t="s">
        <v>13998</v>
      </c>
      <c r="G6635" s="816"/>
      <c r="H6635" s="816">
        <v>1.7000000000000001E-2</v>
      </c>
      <c r="I6635" s="816"/>
      <c r="J6635" s="817">
        <v>0.03</v>
      </c>
      <c r="K6635" s="817"/>
      <c r="L6635" s="817"/>
    </row>
    <row r="6636" spans="1:12" ht="17.100000000000001" customHeight="1">
      <c r="A6636" s="626" t="s">
        <v>12709</v>
      </c>
      <c r="B6636" s="627" t="s">
        <v>13466</v>
      </c>
      <c r="C6636" s="626" t="s">
        <v>8</v>
      </c>
      <c r="D6636" s="626" t="s">
        <v>11315</v>
      </c>
      <c r="E6636" s="628" t="s">
        <v>35</v>
      </c>
      <c r="F6636" s="816" t="s">
        <v>14636</v>
      </c>
      <c r="G6636" s="816"/>
      <c r="H6636" s="816">
        <v>7.4999999999999997E-3</v>
      </c>
      <c r="I6636" s="816"/>
      <c r="J6636" s="817">
        <v>0.52</v>
      </c>
      <c r="K6636" s="817"/>
      <c r="L6636" s="817"/>
    </row>
    <row r="6637" spans="1:12" ht="24" customHeight="1">
      <c r="A6637" s="626" t="s">
        <v>12709</v>
      </c>
      <c r="B6637" s="627" t="s">
        <v>13468</v>
      </c>
      <c r="C6637" s="626" t="s">
        <v>8</v>
      </c>
      <c r="D6637" s="626" t="s">
        <v>7343</v>
      </c>
      <c r="E6637" s="628" t="s">
        <v>35</v>
      </c>
      <c r="F6637" s="816" t="s">
        <v>14635</v>
      </c>
      <c r="G6637" s="816"/>
      <c r="H6637" s="816">
        <v>4.8999999999999998E-3</v>
      </c>
      <c r="I6637" s="816"/>
      <c r="J6637" s="817">
        <v>0.39</v>
      </c>
      <c r="K6637" s="817"/>
      <c r="L6637" s="817"/>
    </row>
    <row r="6638" spans="1:12" ht="24" customHeight="1">
      <c r="A6638" s="626" t="s">
        <v>12709</v>
      </c>
      <c r="B6638" s="627" t="s">
        <v>13491</v>
      </c>
      <c r="C6638" s="626" t="s">
        <v>8</v>
      </c>
      <c r="D6638" s="626" t="s">
        <v>11089</v>
      </c>
      <c r="E6638" s="628" t="s">
        <v>35</v>
      </c>
      <c r="F6638" s="816" t="s">
        <v>14657</v>
      </c>
      <c r="G6638" s="816"/>
      <c r="H6638" s="816">
        <v>1</v>
      </c>
      <c r="I6638" s="816"/>
      <c r="J6638" s="817">
        <v>5.58</v>
      </c>
      <c r="K6638" s="817"/>
      <c r="L6638" s="817"/>
    </row>
    <row r="6639" spans="1:12" ht="17.100000000000001" customHeight="1">
      <c r="A6639" s="636"/>
      <c r="B6639" s="636"/>
      <c r="C6639" s="636"/>
      <c r="D6639" s="636"/>
      <c r="E6639" s="636"/>
      <c r="F6639" s="636"/>
      <c r="G6639" s="636"/>
      <c r="H6639" s="636"/>
      <c r="I6639" s="636"/>
      <c r="J6639" s="636" t="s">
        <v>13675</v>
      </c>
      <c r="K6639" s="636"/>
      <c r="L6639" s="636" t="s">
        <v>14175</v>
      </c>
    </row>
    <row r="6640" spans="1:12">
      <c r="A6640" s="802" t="s">
        <v>12722</v>
      </c>
      <c r="B6640" s="802"/>
      <c r="C6640" s="802"/>
      <c r="D6640" s="802"/>
      <c r="E6640" s="802"/>
      <c r="F6640" s="802"/>
      <c r="G6640" s="802"/>
      <c r="H6640" s="802"/>
      <c r="I6640" s="612"/>
      <c r="J6640" s="612"/>
      <c r="K6640" s="612"/>
      <c r="L6640" s="612"/>
    </row>
    <row r="6641" spans="1:12" ht="17.100000000000001" customHeight="1">
      <c r="A6641" s="612" t="s">
        <v>13679</v>
      </c>
      <c r="B6641" s="636" t="s">
        <v>12698</v>
      </c>
      <c r="C6641" s="612" t="s">
        <v>12699</v>
      </c>
      <c r="D6641" s="612" t="s">
        <v>12700</v>
      </c>
      <c r="E6641" s="637" t="s">
        <v>12702</v>
      </c>
      <c r="F6641" s="801" t="s">
        <v>12704</v>
      </c>
      <c r="G6641" s="801"/>
      <c r="H6641" s="801" t="s">
        <v>13678</v>
      </c>
      <c r="I6641" s="801"/>
      <c r="J6641" s="801" t="s">
        <v>12705</v>
      </c>
      <c r="K6641" s="801"/>
      <c r="L6641" s="801"/>
    </row>
    <row r="6642" spans="1:12" ht="24" customHeight="1">
      <c r="A6642" s="626" t="s">
        <v>12709</v>
      </c>
      <c r="B6642" s="627" t="s">
        <v>12998</v>
      </c>
      <c r="C6642" s="626" t="s">
        <v>8</v>
      </c>
      <c r="D6642" s="626" t="s">
        <v>11861</v>
      </c>
      <c r="E6642" s="628" t="s">
        <v>23</v>
      </c>
      <c r="F6642" s="816" t="s">
        <v>13683</v>
      </c>
      <c r="G6642" s="816"/>
      <c r="H6642" s="816">
        <v>0.13888529999999999</v>
      </c>
      <c r="I6642" s="816"/>
      <c r="J6642" s="817">
        <v>9.8599999999999993E-2</v>
      </c>
      <c r="K6642" s="817"/>
      <c r="L6642" s="817"/>
    </row>
    <row r="6643" spans="1:12" ht="24" customHeight="1">
      <c r="A6643" s="636"/>
      <c r="B6643" s="636"/>
      <c r="C6643" s="636"/>
      <c r="D6643" s="636"/>
      <c r="E6643" s="636"/>
      <c r="F6643" s="636"/>
      <c r="G6643" s="636"/>
      <c r="H6643" s="636"/>
      <c r="I6643" s="636"/>
      <c r="J6643" s="636" t="s">
        <v>13675</v>
      </c>
      <c r="K6643" s="636"/>
      <c r="L6643" s="636" t="s">
        <v>13882</v>
      </c>
    </row>
    <row r="6644" spans="1:12" ht="24" customHeight="1">
      <c r="A6644" s="802" t="s">
        <v>12713</v>
      </c>
      <c r="B6644" s="802"/>
      <c r="C6644" s="802"/>
      <c r="D6644" s="802"/>
      <c r="E6644" s="802"/>
      <c r="F6644" s="802"/>
      <c r="G6644" s="802"/>
      <c r="H6644" s="802"/>
      <c r="I6644" s="612"/>
      <c r="J6644" s="612"/>
      <c r="K6644" s="612"/>
      <c r="L6644" s="612"/>
    </row>
    <row r="6645" spans="1:12" ht="24" customHeight="1">
      <c r="A6645" s="612" t="s">
        <v>13679</v>
      </c>
      <c r="B6645" s="636" t="s">
        <v>12698</v>
      </c>
      <c r="C6645" s="612" t="s">
        <v>12699</v>
      </c>
      <c r="D6645" s="612" t="s">
        <v>12700</v>
      </c>
      <c r="E6645" s="637" t="s">
        <v>12702</v>
      </c>
      <c r="F6645" s="801" t="s">
        <v>12704</v>
      </c>
      <c r="G6645" s="801"/>
      <c r="H6645" s="801" t="s">
        <v>13678</v>
      </c>
      <c r="I6645" s="801"/>
      <c r="J6645" s="801" t="s">
        <v>12705</v>
      </c>
      <c r="K6645" s="801"/>
      <c r="L6645" s="801"/>
    </row>
    <row r="6646" spans="1:12" ht="17.100000000000001" customHeight="1">
      <c r="A6646" s="626" t="s">
        <v>12709</v>
      </c>
      <c r="B6646" s="627" t="s">
        <v>12999</v>
      </c>
      <c r="C6646" s="626" t="s">
        <v>8</v>
      </c>
      <c r="D6646" s="626" t="s">
        <v>11251</v>
      </c>
      <c r="E6646" s="628" t="s">
        <v>23</v>
      </c>
      <c r="F6646" s="816" t="s">
        <v>13681</v>
      </c>
      <c r="G6646" s="816"/>
      <c r="H6646" s="816">
        <v>0.13888529999999999</v>
      </c>
      <c r="I6646" s="816"/>
      <c r="J6646" s="817">
        <v>9.7000000000000003E-3</v>
      </c>
      <c r="K6646" s="817"/>
      <c r="L6646" s="817"/>
    </row>
    <row r="6647" spans="1:12">
      <c r="A6647" s="636"/>
      <c r="B6647" s="636"/>
      <c r="C6647" s="636"/>
      <c r="D6647" s="636"/>
      <c r="E6647" s="636"/>
      <c r="F6647" s="636"/>
      <c r="G6647" s="636"/>
      <c r="H6647" s="636"/>
      <c r="I6647" s="636"/>
      <c r="J6647" s="636" t="s">
        <v>13675</v>
      </c>
      <c r="K6647" s="636"/>
      <c r="L6647" s="636" t="s">
        <v>13728</v>
      </c>
    </row>
    <row r="6648" spans="1:12" ht="17.100000000000001" customHeight="1">
      <c r="A6648" s="802" t="s">
        <v>12712</v>
      </c>
      <c r="B6648" s="802"/>
      <c r="C6648" s="802"/>
      <c r="D6648" s="802"/>
      <c r="E6648" s="802"/>
      <c r="F6648" s="802"/>
      <c r="G6648" s="802"/>
      <c r="H6648" s="802"/>
      <c r="I6648" s="612"/>
      <c r="J6648" s="612"/>
      <c r="K6648" s="612"/>
      <c r="L6648" s="612"/>
    </row>
    <row r="6649" spans="1:12" ht="24" customHeight="1">
      <c r="A6649" s="612" t="s">
        <v>13679</v>
      </c>
      <c r="B6649" s="636" t="s">
        <v>12698</v>
      </c>
      <c r="C6649" s="612" t="s">
        <v>12699</v>
      </c>
      <c r="D6649" s="612" t="s">
        <v>12700</v>
      </c>
      <c r="E6649" s="637" t="s">
        <v>12702</v>
      </c>
      <c r="F6649" s="801" t="s">
        <v>12704</v>
      </c>
      <c r="G6649" s="801"/>
      <c r="H6649" s="801" t="s">
        <v>13678</v>
      </c>
      <c r="I6649" s="801"/>
      <c r="J6649" s="801" t="s">
        <v>12705</v>
      </c>
      <c r="K6649" s="801"/>
      <c r="L6649" s="801"/>
    </row>
    <row r="6650" spans="1:12" ht="17.100000000000001" customHeight="1">
      <c r="A6650" s="626" t="s">
        <v>12709</v>
      </c>
      <c r="B6650" s="627" t="s">
        <v>13002</v>
      </c>
      <c r="C6650" s="626" t="s">
        <v>8</v>
      </c>
      <c r="D6650" s="626" t="s">
        <v>9306</v>
      </c>
      <c r="E6650" s="628" t="s">
        <v>23</v>
      </c>
      <c r="F6650" s="816" t="s">
        <v>13677</v>
      </c>
      <c r="G6650" s="816"/>
      <c r="H6650" s="816">
        <v>0.13888529999999999</v>
      </c>
      <c r="I6650" s="816"/>
      <c r="J6650" s="817">
        <v>4.8599999999999997E-2</v>
      </c>
      <c r="K6650" s="817"/>
      <c r="L6650" s="817"/>
    </row>
    <row r="6651" spans="1:12" ht="25.5">
      <c r="A6651" s="626" t="s">
        <v>12709</v>
      </c>
      <c r="B6651" s="627" t="s">
        <v>13004</v>
      </c>
      <c r="C6651" s="626" t="s">
        <v>8</v>
      </c>
      <c r="D6651" s="626" t="s">
        <v>7388</v>
      </c>
      <c r="E6651" s="628" t="s">
        <v>23</v>
      </c>
      <c r="F6651" s="816" t="s">
        <v>13676</v>
      </c>
      <c r="G6651" s="816"/>
      <c r="H6651" s="816">
        <v>0.13888529999999999</v>
      </c>
      <c r="I6651" s="816"/>
      <c r="J6651" s="817">
        <v>0.30549999999999999</v>
      </c>
      <c r="K6651" s="817"/>
      <c r="L6651" s="817"/>
    </row>
    <row r="6652" spans="1:12" ht="17.100000000000001" customHeight="1">
      <c r="A6652" s="636"/>
      <c r="B6652" s="636"/>
      <c r="C6652" s="636"/>
      <c r="D6652" s="636"/>
      <c r="E6652" s="636"/>
      <c r="F6652" s="636"/>
      <c r="G6652" s="636"/>
      <c r="H6652" s="636"/>
      <c r="I6652" s="636"/>
      <c r="J6652" s="636" t="s">
        <v>13675</v>
      </c>
      <c r="K6652" s="636"/>
      <c r="L6652" s="636" t="s">
        <v>13677</v>
      </c>
    </row>
    <row r="6653" spans="1:12" ht="24" customHeight="1">
      <c r="A6653" s="612" t="s">
        <v>13673</v>
      </c>
      <c r="B6653" s="612"/>
      <c r="C6653" s="612"/>
      <c r="D6653" s="612"/>
      <c r="E6653" s="612"/>
      <c r="F6653" s="612"/>
      <c r="G6653" s="612"/>
      <c r="H6653" s="612"/>
      <c r="I6653" s="612"/>
      <c r="J6653" s="612"/>
      <c r="K6653" s="612"/>
      <c r="L6653" s="612"/>
    </row>
    <row r="6654" spans="1:12" ht="17.100000000000001" customHeight="1">
      <c r="A6654" s="636"/>
      <c r="B6654" s="636"/>
      <c r="C6654" s="636"/>
      <c r="D6654" s="636"/>
      <c r="E6654" s="636"/>
      <c r="F6654" s="636"/>
      <c r="G6654" s="636"/>
      <c r="H6654" s="636"/>
      <c r="I6654" s="636"/>
      <c r="J6654" s="636" t="s">
        <v>13672</v>
      </c>
      <c r="K6654" s="636"/>
      <c r="L6654" s="636" t="s">
        <v>15356</v>
      </c>
    </row>
    <row r="6655" spans="1:12">
      <c r="A6655" s="636"/>
      <c r="B6655" s="636"/>
      <c r="C6655" s="636"/>
      <c r="D6655" s="636"/>
      <c r="E6655" s="636"/>
      <c r="F6655" s="636"/>
      <c r="G6655" s="636"/>
      <c r="H6655" s="636"/>
      <c r="I6655" s="636"/>
      <c r="J6655" s="636" t="s">
        <v>13671</v>
      </c>
      <c r="K6655" s="636" t="s">
        <v>14461</v>
      </c>
      <c r="L6655" s="636" t="s">
        <v>15357</v>
      </c>
    </row>
    <row r="6656" spans="1:12" ht="17.100000000000001" customHeight="1">
      <c r="A6656" s="636"/>
      <c r="B6656" s="636"/>
      <c r="C6656" s="636"/>
      <c r="D6656" s="636"/>
      <c r="E6656" s="636"/>
      <c r="F6656" s="636"/>
      <c r="G6656" s="636"/>
      <c r="H6656" s="636"/>
      <c r="I6656" s="636"/>
      <c r="J6656" s="636" t="s">
        <v>13670</v>
      </c>
      <c r="K6656" s="636"/>
      <c r="L6656" s="636" t="s">
        <v>15358</v>
      </c>
    </row>
    <row r="6657" spans="1:12" ht="24" customHeight="1">
      <c r="A6657" s="636"/>
      <c r="B6657" s="636"/>
      <c r="C6657" s="636"/>
      <c r="D6657" s="636"/>
      <c r="E6657" s="636"/>
      <c r="F6657" s="636"/>
      <c r="G6657" s="636"/>
      <c r="H6657" s="636"/>
      <c r="I6657" s="636"/>
      <c r="J6657" s="636" t="s">
        <v>13669</v>
      </c>
      <c r="K6657" s="636" t="s">
        <v>13667</v>
      </c>
      <c r="L6657" s="636" t="s">
        <v>15359</v>
      </c>
    </row>
    <row r="6658" spans="1:12" ht="24" customHeight="1">
      <c r="A6658" s="636"/>
      <c r="B6658" s="636"/>
      <c r="C6658" s="636"/>
      <c r="D6658" s="636"/>
      <c r="E6658" s="636"/>
      <c r="F6658" s="636"/>
      <c r="G6658" s="636"/>
      <c r="H6658" s="636"/>
      <c r="I6658" s="636"/>
      <c r="J6658" s="636" t="s">
        <v>13668</v>
      </c>
      <c r="K6658" s="636"/>
      <c r="L6658" s="636" t="s">
        <v>15360</v>
      </c>
    </row>
    <row r="6659" spans="1:12" ht="17.100000000000001" customHeight="1">
      <c r="A6659" s="637"/>
      <c r="B6659" s="637"/>
      <c r="C6659" s="637"/>
      <c r="D6659" s="637"/>
      <c r="E6659" s="637"/>
      <c r="F6659" s="637"/>
      <c r="G6659" s="637"/>
      <c r="H6659" s="637"/>
      <c r="I6659" s="637"/>
      <c r="J6659" s="637"/>
      <c r="K6659" s="637"/>
      <c r="L6659" s="637"/>
    </row>
    <row r="6660" spans="1:12" ht="17.100000000000001" customHeight="1">
      <c r="A6660" s="616" t="s">
        <v>14019</v>
      </c>
      <c r="B6660" s="617" t="s">
        <v>13490</v>
      </c>
      <c r="C6660" s="616" t="s">
        <v>8</v>
      </c>
      <c r="D6660" s="616" t="s">
        <v>1991</v>
      </c>
      <c r="E6660" s="618" t="s">
        <v>35</v>
      </c>
      <c r="F6660" s="617"/>
      <c r="G6660" s="617"/>
      <c r="H6660" s="617"/>
      <c r="I6660" s="617"/>
      <c r="J6660" s="617"/>
      <c r="K6660" s="617"/>
      <c r="L6660" s="617"/>
    </row>
    <row r="6661" spans="1:12" ht="17.100000000000001" customHeight="1">
      <c r="A6661" s="802" t="s">
        <v>12711</v>
      </c>
      <c r="B6661" s="802"/>
      <c r="C6661" s="802"/>
      <c r="D6661" s="802"/>
      <c r="E6661" s="802"/>
      <c r="F6661" s="802"/>
      <c r="G6661" s="802"/>
      <c r="H6661" s="802"/>
      <c r="I6661" s="612"/>
      <c r="J6661" s="612"/>
      <c r="K6661" s="612"/>
      <c r="L6661" s="612"/>
    </row>
    <row r="6662" spans="1:12" ht="17.100000000000001" customHeight="1">
      <c r="A6662" s="612" t="s">
        <v>13679</v>
      </c>
      <c r="B6662" s="636" t="s">
        <v>12698</v>
      </c>
      <c r="C6662" s="612" t="s">
        <v>12699</v>
      </c>
      <c r="D6662" s="612" t="s">
        <v>12700</v>
      </c>
      <c r="E6662" s="637" t="s">
        <v>12702</v>
      </c>
      <c r="F6662" s="801" t="s">
        <v>12704</v>
      </c>
      <c r="G6662" s="801"/>
      <c r="H6662" s="801" t="s">
        <v>13678</v>
      </c>
      <c r="I6662" s="801"/>
      <c r="J6662" s="801" t="s">
        <v>12705</v>
      </c>
      <c r="K6662" s="801"/>
      <c r="L6662" s="801"/>
    </row>
    <row r="6663" spans="1:12" ht="17.100000000000001" customHeight="1">
      <c r="A6663" s="626" t="s">
        <v>12709</v>
      </c>
      <c r="B6663" s="627" t="s">
        <v>13201</v>
      </c>
      <c r="C6663" s="626" t="s">
        <v>8</v>
      </c>
      <c r="D6663" s="626" t="s">
        <v>9221</v>
      </c>
      <c r="E6663" s="628" t="s">
        <v>23</v>
      </c>
      <c r="F6663" s="816" t="s">
        <v>13705</v>
      </c>
      <c r="G6663" s="816"/>
      <c r="H6663" s="816">
        <v>0.1981241</v>
      </c>
      <c r="I6663" s="816"/>
      <c r="J6663" s="817">
        <v>0.16439999999999999</v>
      </c>
      <c r="K6663" s="817"/>
      <c r="L6663" s="817"/>
    </row>
    <row r="6664" spans="1:12" ht="17.100000000000001" customHeight="1">
      <c r="A6664" s="626" t="s">
        <v>12709</v>
      </c>
      <c r="B6664" s="627" t="s">
        <v>13200</v>
      </c>
      <c r="C6664" s="626" t="s">
        <v>8</v>
      </c>
      <c r="D6664" s="626" t="s">
        <v>9368</v>
      </c>
      <c r="E6664" s="628" t="s">
        <v>23</v>
      </c>
      <c r="F6664" s="816" t="s">
        <v>13704</v>
      </c>
      <c r="G6664" s="816"/>
      <c r="H6664" s="816">
        <v>0.1981241</v>
      </c>
      <c r="I6664" s="816"/>
      <c r="J6664" s="817">
        <v>4.7500000000000001E-2</v>
      </c>
      <c r="K6664" s="817"/>
      <c r="L6664" s="817"/>
    </row>
    <row r="6665" spans="1:12" ht="17.100000000000001" customHeight="1">
      <c r="A6665" s="636"/>
      <c r="B6665" s="636"/>
      <c r="C6665" s="636"/>
      <c r="D6665" s="636"/>
      <c r="E6665" s="636"/>
      <c r="F6665" s="636"/>
      <c r="G6665" s="636"/>
      <c r="H6665" s="636"/>
      <c r="I6665" s="636"/>
      <c r="J6665" s="636" t="s">
        <v>13675</v>
      </c>
      <c r="K6665" s="636"/>
      <c r="L6665" s="636" t="s">
        <v>13775</v>
      </c>
    </row>
    <row r="6666" spans="1:12" ht="30" customHeight="1">
      <c r="A6666" s="802" t="s">
        <v>12710</v>
      </c>
      <c r="B6666" s="802"/>
      <c r="C6666" s="802"/>
      <c r="D6666" s="802"/>
      <c r="E6666" s="802"/>
      <c r="F6666" s="802"/>
      <c r="G6666" s="802"/>
      <c r="H6666" s="802"/>
      <c r="I6666" s="612"/>
      <c r="J6666" s="612"/>
      <c r="K6666" s="612"/>
      <c r="L6666" s="612"/>
    </row>
    <row r="6667" spans="1:12" ht="48" customHeight="1">
      <c r="A6667" s="612" t="s">
        <v>13679</v>
      </c>
      <c r="B6667" s="636" t="s">
        <v>12698</v>
      </c>
      <c r="C6667" s="612" t="s">
        <v>12699</v>
      </c>
      <c r="D6667" s="612" t="s">
        <v>12700</v>
      </c>
      <c r="E6667" s="637" t="s">
        <v>12702</v>
      </c>
      <c r="F6667" s="801" t="s">
        <v>12704</v>
      </c>
      <c r="G6667" s="801"/>
      <c r="H6667" s="801" t="s">
        <v>13678</v>
      </c>
      <c r="I6667" s="801"/>
      <c r="J6667" s="801" t="s">
        <v>12705</v>
      </c>
      <c r="K6667" s="801"/>
      <c r="L6667" s="801"/>
    </row>
    <row r="6668" spans="1:12" ht="14.25" customHeight="1">
      <c r="A6668" s="626" t="s">
        <v>12709</v>
      </c>
      <c r="B6668" s="627" t="s">
        <v>13220</v>
      </c>
      <c r="C6668" s="626" t="s">
        <v>8</v>
      </c>
      <c r="D6668" s="626" t="s">
        <v>7592</v>
      </c>
      <c r="E6668" s="628" t="s">
        <v>23</v>
      </c>
      <c r="F6668" s="816" t="s">
        <v>13890</v>
      </c>
      <c r="G6668" s="816"/>
      <c r="H6668" s="816">
        <v>0.1005045</v>
      </c>
      <c r="I6668" s="816"/>
      <c r="J6668" s="817">
        <v>0.50860000000000005</v>
      </c>
      <c r="K6668" s="817"/>
      <c r="L6668" s="817"/>
    </row>
    <row r="6669" spans="1:12" ht="17.100000000000001" customHeight="1">
      <c r="A6669" s="626" t="s">
        <v>12709</v>
      </c>
      <c r="B6669" s="627" t="s">
        <v>13202</v>
      </c>
      <c r="C6669" s="626" t="s">
        <v>8</v>
      </c>
      <c r="D6669" s="626" t="s">
        <v>9187</v>
      </c>
      <c r="E6669" s="628" t="s">
        <v>23</v>
      </c>
      <c r="F6669" s="816" t="s">
        <v>14479</v>
      </c>
      <c r="G6669" s="816"/>
      <c r="H6669" s="816">
        <v>0.1005045</v>
      </c>
      <c r="I6669" s="816"/>
      <c r="J6669" s="817">
        <v>0.71860000000000002</v>
      </c>
      <c r="K6669" s="817"/>
      <c r="L6669" s="817"/>
    </row>
    <row r="6670" spans="1:12" ht="24" customHeight="1">
      <c r="A6670" s="636"/>
      <c r="B6670" s="636"/>
      <c r="C6670" s="636"/>
      <c r="D6670" s="636"/>
      <c r="E6670" s="636"/>
      <c r="F6670" s="636"/>
      <c r="G6670" s="636"/>
      <c r="H6670" s="636"/>
      <c r="I6670" s="636"/>
      <c r="J6670" s="636" t="s">
        <v>13675</v>
      </c>
      <c r="K6670" s="636"/>
      <c r="L6670" s="636" t="s">
        <v>13856</v>
      </c>
    </row>
    <row r="6671" spans="1:12" ht="24" customHeight="1">
      <c r="A6671" s="802" t="s">
        <v>12720</v>
      </c>
      <c r="B6671" s="802"/>
      <c r="C6671" s="802"/>
      <c r="D6671" s="802"/>
      <c r="E6671" s="802"/>
      <c r="F6671" s="802"/>
      <c r="G6671" s="802"/>
      <c r="H6671" s="802"/>
      <c r="I6671" s="612"/>
      <c r="J6671" s="612"/>
      <c r="K6671" s="612"/>
      <c r="L6671" s="612"/>
    </row>
    <row r="6672" spans="1:12" ht="17.100000000000001" customHeight="1">
      <c r="A6672" s="612" t="s">
        <v>13679</v>
      </c>
      <c r="B6672" s="636" t="s">
        <v>12698</v>
      </c>
      <c r="C6672" s="612" t="s">
        <v>12699</v>
      </c>
      <c r="D6672" s="612" t="s">
        <v>12700</v>
      </c>
      <c r="E6672" s="637" t="s">
        <v>12702</v>
      </c>
      <c r="F6672" s="801" t="s">
        <v>12704</v>
      </c>
      <c r="G6672" s="801"/>
      <c r="H6672" s="801" t="s">
        <v>13678</v>
      </c>
      <c r="I6672" s="801"/>
      <c r="J6672" s="801" t="s">
        <v>12705</v>
      </c>
      <c r="K6672" s="801"/>
      <c r="L6672" s="801"/>
    </row>
    <row r="6673" spans="1:12" ht="14.25" customHeight="1">
      <c r="A6673" s="626" t="s">
        <v>12709</v>
      </c>
      <c r="B6673" s="627" t="s">
        <v>13467</v>
      </c>
      <c r="C6673" s="626" t="s">
        <v>8</v>
      </c>
      <c r="D6673" s="626" t="s">
        <v>9987</v>
      </c>
      <c r="E6673" s="628" t="s">
        <v>35</v>
      </c>
      <c r="F6673" s="816" t="s">
        <v>13998</v>
      </c>
      <c r="G6673" s="816"/>
      <c r="H6673" s="816">
        <v>2.1000000000000001E-2</v>
      </c>
      <c r="I6673" s="816"/>
      <c r="J6673" s="817">
        <v>0.04</v>
      </c>
      <c r="K6673" s="817"/>
      <c r="L6673" s="817"/>
    </row>
    <row r="6674" spans="1:12" ht="17.100000000000001" customHeight="1">
      <c r="A6674" s="626" t="s">
        <v>12709</v>
      </c>
      <c r="B6674" s="627" t="s">
        <v>13466</v>
      </c>
      <c r="C6674" s="626" t="s">
        <v>8</v>
      </c>
      <c r="D6674" s="626" t="s">
        <v>11315</v>
      </c>
      <c r="E6674" s="628" t="s">
        <v>35</v>
      </c>
      <c r="F6674" s="816" t="s">
        <v>14636</v>
      </c>
      <c r="G6674" s="816"/>
      <c r="H6674" s="816">
        <v>1.4999999999999999E-2</v>
      </c>
      <c r="I6674" s="816"/>
      <c r="J6674" s="817">
        <v>1.04</v>
      </c>
      <c r="K6674" s="817"/>
      <c r="L6674" s="817"/>
    </row>
    <row r="6675" spans="1:12" ht="24" customHeight="1">
      <c r="A6675" s="626" t="s">
        <v>12709</v>
      </c>
      <c r="B6675" s="627" t="s">
        <v>13468</v>
      </c>
      <c r="C6675" s="626" t="s">
        <v>8</v>
      </c>
      <c r="D6675" s="626" t="s">
        <v>7343</v>
      </c>
      <c r="E6675" s="628" t="s">
        <v>35</v>
      </c>
      <c r="F6675" s="816" t="s">
        <v>14635</v>
      </c>
      <c r="G6675" s="816"/>
      <c r="H6675" s="816">
        <v>9.9000000000000008E-3</v>
      </c>
      <c r="I6675" s="816"/>
      <c r="J6675" s="817">
        <v>0.79</v>
      </c>
      <c r="K6675" s="817"/>
      <c r="L6675" s="817"/>
    </row>
    <row r="6676" spans="1:12" ht="24" customHeight="1">
      <c r="A6676" s="626" t="s">
        <v>12709</v>
      </c>
      <c r="B6676" s="627" t="s">
        <v>13489</v>
      </c>
      <c r="C6676" s="626" t="s">
        <v>8</v>
      </c>
      <c r="D6676" s="626" t="s">
        <v>8815</v>
      </c>
      <c r="E6676" s="628" t="s">
        <v>35</v>
      </c>
      <c r="F6676" s="816" t="s">
        <v>14656</v>
      </c>
      <c r="G6676" s="816"/>
      <c r="H6676" s="816">
        <v>1</v>
      </c>
      <c r="I6676" s="816"/>
      <c r="J6676" s="817">
        <v>2.96</v>
      </c>
      <c r="K6676" s="817"/>
      <c r="L6676" s="817"/>
    </row>
    <row r="6677" spans="1:12" ht="17.100000000000001" customHeight="1">
      <c r="A6677" s="636"/>
      <c r="B6677" s="636"/>
      <c r="C6677" s="636"/>
      <c r="D6677" s="636"/>
      <c r="E6677" s="636"/>
      <c r="F6677" s="636"/>
      <c r="G6677" s="636"/>
      <c r="H6677" s="636"/>
      <c r="I6677" s="636"/>
      <c r="J6677" s="636" t="s">
        <v>13675</v>
      </c>
      <c r="K6677" s="636"/>
      <c r="L6677" s="636" t="s">
        <v>13754</v>
      </c>
    </row>
    <row r="6678" spans="1:12">
      <c r="A6678" s="802" t="s">
        <v>12722</v>
      </c>
      <c r="B6678" s="802"/>
      <c r="C6678" s="802"/>
      <c r="D6678" s="802"/>
      <c r="E6678" s="802"/>
      <c r="F6678" s="802"/>
      <c r="G6678" s="802"/>
      <c r="H6678" s="802"/>
      <c r="I6678" s="612"/>
      <c r="J6678" s="612"/>
      <c r="K6678" s="612"/>
      <c r="L6678" s="612"/>
    </row>
    <row r="6679" spans="1:12" ht="17.100000000000001" customHeight="1">
      <c r="A6679" s="612" t="s">
        <v>13679</v>
      </c>
      <c r="B6679" s="636" t="s">
        <v>12698</v>
      </c>
      <c r="C6679" s="612" t="s">
        <v>12699</v>
      </c>
      <c r="D6679" s="612" t="s">
        <v>12700</v>
      </c>
      <c r="E6679" s="637" t="s">
        <v>12702</v>
      </c>
      <c r="F6679" s="801" t="s">
        <v>12704</v>
      </c>
      <c r="G6679" s="801"/>
      <c r="H6679" s="801" t="s">
        <v>13678</v>
      </c>
      <c r="I6679" s="801"/>
      <c r="J6679" s="801" t="s">
        <v>12705</v>
      </c>
      <c r="K6679" s="801"/>
      <c r="L6679" s="801"/>
    </row>
    <row r="6680" spans="1:12" ht="24" customHeight="1">
      <c r="A6680" s="626" t="s">
        <v>12709</v>
      </c>
      <c r="B6680" s="627" t="s">
        <v>12998</v>
      </c>
      <c r="C6680" s="626" t="s">
        <v>8</v>
      </c>
      <c r="D6680" s="626" t="s">
        <v>11861</v>
      </c>
      <c r="E6680" s="628" t="s">
        <v>23</v>
      </c>
      <c r="F6680" s="816" t="s">
        <v>13683</v>
      </c>
      <c r="G6680" s="816"/>
      <c r="H6680" s="816">
        <v>0.1981241</v>
      </c>
      <c r="I6680" s="816"/>
      <c r="J6680" s="817">
        <v>0.14069999999999999</v>
      </c>
      <c r="K6680" s="817"/>
      <c r="L6680" s="817"/>
    </row>
    <row r="6681" spans="1:12" ht="24" customHeight="1">
      <c r="A6681" s="636"/>
      <c r="B6681" s="636"/>
      <c r="C6681" s="636"/>
      <c r="D6681" s="636"/>
      <c r="E6681" s="636"/>
      <c r="F6681" s="636"/>
      <c r="G6681" s="636"/>
      <c r="H6681" s="636"/>
      <c r="I6681" s="636"/>
      <c r="J6681" s="636" t="s">
        <v>13675</v>
      </c>
      <c r="K6681" s="636"/>
      <c r="L6681" s="636" t="s">
        <v>13880</v>
      </c>
    </row>
    <row r="6682" spans="1:12" ht="36" customHeight="1">
      <c r="A6682" s="802" t="s">
        <v>12713</v>
      </c>
      <c r="B6682" s="802"/>
      <c r="C6682" s="802"/>
      <c r="D6682" s="802"/>
      <c r="E6682" s="802"/>
      <c r="F6682" s="802"/>
      <c r="G6682" s="802"/>
      <c r="H6682" s="802"/>
      <c r="I6682" s="612"/>
      <c r="J6682" s="612"/>
      <c r="K6682" s="612"/>
      <c r="L6682" s="612"/>
    </row>
    <row r="6683" spans="1:12" ht="17.100000000000001" customHeight="1">
      <c r="A6683" s="612" t="s">
        <v>13679</v>
      </c>
      <c r="B6683" s="636" t="s">
        <v>12698</v>
      </c>
      <c r="C6683" s="612" t="s">
        <v>12699</v>
      </c>
      <c r="D6683" s="612" t="s">
        <v>12700</v>
      </c>
      <c r="E6683" s="637" t="s">
        <v>12702</v>
      </c>
      <c r="F6683" s="801" t="s">
        <v>12704</v>
      </c>
      <c r="G6683" s="801"/>
      <c r="H6683" s="801" t="s">
        <v>13678</v>
      </c>
      <c r="I6683" s="801"/>
      <c r="J6683" s="801" t="s">
        <v>12705</v>
      </c>
      <c r="K6683" s="801"/>
      <c r="L6683" s="801"/>
    </row>
    <row r="6684" spans="1:12" ht="25.5">
      <c r="A6684" s="626" t="s">
        <v>12709</v>
      </c>
      <c r="B6684" s="627" t="s">
        <v>12999</v>
      </c>
      <c r="C6684" s="626" t="s">
        <v>8</v>
      </c>
      <c r="D6684" s="626" t="s">
        <v>11251</v>
      </c>
      <c r="E6684" s="628" t="s">
        <v>23</v>
      </c>
      <c r="F6684" s="816" t="s">
        <v>13681</v>
      </c>
      <c r="G6684" s="816"/>
      <c r="H6684" s="816">
        <v>0.1981241</v>
      </c>
      <c r="I6684" s="816"/>
      <c r="J6684" s="817">
        <v>1.3899999999999999E-2</v>
      </c>
      <c r="K6684" s="817"/>
      <c r="L6684" s="817"/>
    </row>
    <row r="6685" spans="1:12" ht="17.100000000000001" customHeight="1">
      <c r="A6685" s="636"/>
      <c r="B6685" s="636"/>
      <c r="C6685" s="636"/>
      <c r="D6685" s="636"/>
      <c r="E6685" s="636"/>
      <c r="F6685" s="636"/>
      <c r="G6685" s="636"/>
      <c r="H6685" s="636"/>
      <c r="I6685" s="636"/>
      <c r="J6685" s="636" t="s">
        <v>13675</v>
      </c>
      <c r="K6685" s="636"/>
      <c r="L6685" s="636" t="s">
        <v>13728</v>
      </c>
    </row>
    <row r="6686" spans="1:12" ht="24" customHeight="1">
      <c r="A6686" s="802" t="s">
        <v>12712</v>
      </c>
      <c r="B6686" s="802"/>
      <c r="C6686" s="802"/>
      <c r="D6686" s="802"/>
      <c r="E6686" s="802"/>
      <c r="F6686" s="802"/>
      <c r="G6686" s="802"/>
      <c r="H6686" s="802"/>
      <c r="I6686" s="612"/>
      <c r="J6686" s="612"/>
      <c r="K6686" s="612"/>
      <c r="L6686" s="612"/>
    </row>
    <row r="6687" spans="1:12" ht="17.100000000000001" customHeight="1">
      <c r="A6687" s="612" t="s">
        <v>13679</v>
      </c>
      <c r="B6687" s="636" t="s">
        <v>12698</v>
      </c>
      <c r="C6687" s="612" t="s">
        <v>12699</v>
      </c>
      <c r="D6687" s="612" t="s">
        <v>12700</v>
      </c>
      <c r="E6687" s="637" t="s">
        <v>12702</v>
      </c>
      <c r="F6687" s="801" t="s">
        <v>12704</v>
      </c>
      <c r="G6687" s="801"/>
      <c r="H6687" s="801" t="s">
        <v>13678</v>
      </c>
      <c r="I6687" s="801"/>
      <c r="J6687" s="801" t="s">
        <v>12705</v>
      </c>
      <c r="K6687" s="801"/>
      <c r="L6687" s="801"/>
    </row>
    <row r="6688" spans="1:12" ht="25.5">
      <c r="A6688" s="626" t="s">
        <v>12709</v>
      </c>
      <c r="B6688" s="627" t="s">
        <v>13002</v>
      </c>
      <c r="C6688" s="626" t="s">
        <v>8</v>
      </c>
      <c r="D6688" s="626" t="s">
        <v>9306</v>
      </c>
      <c r="E6688" s="628" t="s">
        <v>23</v>
      </c>
      <c r="F6688" s="816" t="s">
        <v>13677</v>
      </c>
      <c r="G6688" s="816"/>
      <c r="H6688" s="816">
        <v>0.1981241</v>
      </c>
      <c r="I6688" s="816"/>
      <c r="J6688" s="817">
        <v>6.93E-2</v>
      </c>
      <c r="K6688" s="817"/>
      <c r="L6688" s="817"/>
    </row>
    <row r="6689" spans="1:12" ht="17.100000000000001" customHeight="1">
      <c r="A6689" s="626" t="s">
        <v>12709</v>
      </c>
      <c r="B6689" s="627" t="s">
        <v>13004</v>
      </c>
      <c r="C6689" s="626" t="s">
        <v>8</v>
      </c>
      <c r="D6689" s="626" t="s">
        <v>7388</v>
      </c>
      <c r="E6689" s="628" t="s">
        <v>23</v>
      </c>
      <c r="F6689" s="816" t="s">
        <v>13676</v>
      </c>
      <c r="G6689" s="816"/>
      <c r="H6689" s="816">
        <v>0.1981241</v>
      </c>
      <c r="I6689" s="816"/>
      <c r="J6689" s="817">
        <v>0.43590000000000001</v>
      </c>
      <c r="K6689" s="817"/>
      <c r="L6689" s="817"/>
    </row>
    <row r="6690" spans="1:12" ht="24" customHeight="1">
      <c r="A6690" s="636"/>
      <c r="B6690" s="636"/>
      <c r="C6690" s="636"/>
      <c r="D6690" s="636"/>
      <c r="E6690" s="636"/>
      <c r="F6690" s="636"/>
      <c r="G6690" s="636"/>
      <c r="H6690" s="636"/>
      <c r="I6690" s="636"/>
      <c r="J6690" s="636" t="s">
        <v>13675</v>
      </c>
      <c r="K6690" s="636"/>
      <c r="L6690" s="636" t="s">
        <v>13746</v>
      </c>
    </row>
    <row r="6691" spans="1:12" ht="17.100000000000001" customHeight="1">
      <c r="A6691" s="612" t="s">
        <v>13673</v>
      </c>
      <c r="B6691" s="612"/>
      <c r="C6691" s="612"/>
      <c r="D6691" s="612"/>
      <c r="E6691" s="612"/>
      <c r="F6691" s="612"/>
      <c r="G6691" s="612"/>
      <c r="H6691" s="612"/>
      <c r="I6691" s="612"/>
      <c r="J6691" s="612"/>
      <c r="K6691" s="612"/>
      <c r="L6691" s="612"/>
    </row>
    <row r="6692" spans="1:12">
      <c r="A6692" s="636"/>
      <c r="B6692" s="636"/>
      <c r="C6692" s="636"/>
      <c r="D6692" s="636"/>
      <c r="E6692" s="636"/>
      <c r="F6692" s="636"/>
      <c r="G6692" s="636"/>
      <c r="H6692" s="636"/>
      <c r="I6692" s="636"/>
      <c r="J6692" s="636" t="s">
        <v>13672</v>
      </c>
      <c r="K6692" s="636"/>
      <c r="L6692" s="636" t="s">
        <v>15361</v>
      </c>
    </row>
    <row r="6693" spans="1:12" ht="17.100000000000001" customHeight="1">
      <c r="A6693" s="636"/>
      <c r="B6693" s="636"/>
      <c r="C6693" s="636"/>
      <c r="D6693" s="636"/>
      <c r="E6693" s="636"/>
      <c r="F6693" s="636"/>
      <c r="G6693" s="636"/>
      <c r="H6693" s="636"/>
      <c r="I6693" s="636"/>
      <c r="J6693" s="636" t="s">
        <v>13671</v>
      </c>
      <c r="K6693" s="636" t="s">
        <v>14461</v>
      </c>
      <c r="L6693" s="636" t="s">
        <v>15362</v>
      </c>
    </row>
    <row r="6694" spans="1:12" ht="24" customHeight="1">
      <c r="A6694" s="636"/>
      <c r="B6694" s="636"/>
      <c r="C6694" s="636"/>
      <c r="D6694" s="636"/>
      <c r="E6694" s="636"/>
      <c r="F6694" s="636"/>
      <c r="G6694" s="636"/>
      <c r="H6694" s="636"/>
      <c r="I6694" s="636"/>
      <c r="J6694" s="636" t="s">
        <v>13670</v>
      </c>
      <c r="K6694" s="636"/>
      <c r="L6694" s="636" t="s">
        <v>15363</v>
      </c>
    </row>
    <row r="6695" spans="1:12" ht="24" customHeight="1">
      <c r="A6695" s="636"/>
      <c r="B6695" s="636"/>
      <c r="C6695" s="636"/>
      <c r="D6695" s="636"/>
      <c r="E6695" s="636"/>
      <c r="F6695" s="636"/>
      <c r="G6695" s="636"/>
      <c r="H6695" s="636"/>
      <c r="I6695" s="636"/>
      <c r="J6695" s="636" t="s">
        <v>13669</v>
      </c>
      <c r="K6695" s="636" t="s">
        <v>13667</v>
      </c>
      <c r="L6695" s="636" t="s">
        <v>15364</v>
      </c>
    </row>
    <row r="6696" spans="1:12" ht="17.100000000000001" customHeight="1">
      <c r="A6696" s="636"/>
      <c r="B6696" s="636"/>
      <c r="C6696" s="636"/>
      <c r="D6696" s="636"/>
      <c r="E6696" s="636"/>
      <c r="F6696" s="636"/>
      <c r="G6696" s="636"/>
      <c r="H6696" s="636"/>
      <c r="I6696" s="636"/>
      <c r="J6696" s="636" t="s">
        <v>13668</v>
      </c>
      <c r="K6696" s="636"/>
      <c r="L6696" s="636" t="s">
        <v>15365</v>
      </c>
    </row>
    <row r="6697" spans="1:12" ht="17.100000000000001" customHeight="1">
      <c r="A6697" s="637"/>
      <c r="B6697" s="637"/>
      <c r="C6697" s="637"/>
      <c r="D6697" s="637"/>
      <c r="E6697" s="637"/>
      <c r="F6697" s="637"/>
      <c r="G6697" s="637"/>
      <c r="H6697" s="637"/>
      <c r="I6697" s="637"/>
      <c r="J6697" s="637"/>
      <c r="K6697" s="637"/>
      <c r="L6697" s="637"/>
    </row>
    <row r="6698" spans="1:12" ht="17.100000000000001" customHeight="1">
      <c r="A6698" s="616" t="s">
        <v>14018</v>
      </c>
      <c r="B6698" s="617" t="s">
        <v>13488</v>
      </c>
      <c r="C6698" s="616" t="s">
        <v>8</v>
      </c>
      <c r="D6698" s="616" t="s">
        <v>2007</v>
      </c>
      <c r="E6698" s="618" t="s">
        <v>35</v>
      </c>
      <c r="F6698" s="617"/>
      <c r="G6698" s="617"/>
      <c r="H6698" s="617"/>
      <c r="I6698" s="617"/>
      <c r="J6698" s="617"/>
      <c r="K6698" s="617"/>
      <c r="L6698" s="617"/>
    </row>
    <row r="6699" spans="1:12" ht="17.100000000000001" customHeight="1">
      <c r="A6699" s="802" t="s">
        <v>12711</v>
      </c>
      <c r="B6699" s="802"/>
      <c r="C6699" s="802"/>
      <c r="D6699" s="802"/>
      <c r="E6699" s="802"/>
      <c r="F6699" s="802"/>
      <c r="G6699" s="802"/>
      <c r="H6699" s="802"/>
      <c r="I6699" s="612"/>
      <c r="J6699" s="612"/>
      <c r="K6699" s="612"/>
      <c r="L6699" s="612"/>
    </row>
    <row r="6700" spans="1:12" ht="17.100000000000001" customHeight="1">
      <c r="A6700" s="612" t="s">
        <v>13679</v>
      </c>
      <c r="B6700" s="636" t="s">
        <v>12698</v>
      </c>
      <c r="C6700" s="612" t="s">
        <v>12699</v>
      </c>
      <c r="D6700" s="612" t="s">
        <v>12700</v>
      </c>
      <c r="E6700" s="637" t="s">
        <v>12702</v>
      </c>
      <c r="F6700" s="801" t="s">
        <v>12704</v>
      </c>
      <c r="G6700" s="801"/>
      <c r="H6700" s="801" t="s">
        <v>13678</v>
      </c>
      <c r="I6700" s="801"/>
      <c r="J6700" s="801" t="s">
        <v>12705</v>
      </c>
      <c r="K6700" s="801"/>
      <c r="L6700" s="801"/>
    </row>
    <row r="6701" spans="1:12" ht="17.100000000000001" customHeight="1">
      <c r="A6701" s="626" t="s">
        <v>12709</v>
      </c>
      <c r="B6701" s="627" t="s">
        <v>13201</v>
      </c>
      <c r="C6701" s="626" t="s">
        <v>8</v>
      </c>
      <c r="D6701" s="626" t="s">
        <v>9221</v>
      </c>
      <c r="E6701" s="628" t="s">
        <v>23</v>
      </c>
      <c r="F6701" s="816" t="s">
        <v>13705</v>
      </c>
      <c r="G6701" s="816"/>
      <c r="H6701" s="816">
        <v>0.49783090000000002</v>
      </c>
      <c r="I6701" s="816"/>
      <c r="J6701" s="817">
        <v>0.41320000000000001</v>
      </c>
      <c r="K6701" s="817"/>
      <c r="L6701" s="817"/>
    </row>
    <row r="6702" spans="1:12" ht="17.100000000000001" customHeight="1">
      <c r="A6702" s="626" t="s">
        <v>12709</v>
      </c>
      <c r="B6702" s="627" t="s">
        <v>13200</v>
      </c>
      <c r="C6702" s="626" t="s">
        <v>8</v>
      </c>
      <c r="D6702" s="626" t="s">
        <v>9368</v>
      </c>
      <c r="E6702" s="628" t="s">
        <v>23</v>
      </c>
      <c r="F6702" s="816" t="s">
        <v>13704</v>
      </c>
      <c r="G6702" s="816"/>
      <c r="H6702" s="816">
        <v>0.49783090000000002</v>
      </c>
      <c r="I6702" s="816"/>
      <c r="J6702" s="817">
        <v>0.1195</v>
      </c>
      <c r="K6702" s="817"/>
      <c r="L6702" s="817"/>
    </row>
    <row r="6703" spans="1:12" ht="30" customHeight="1">
      <c r="A6703" s="636"/>
      <c r="B6703" s="636"/>
      <c r="C6703" s="636"/>
      <c r="D6703" s="636"/>
      <c r="E6703" s="636"/>
      <c r="F6703" s="636"/>
      <c r="G6703" s="636"/>
      <c r="H6703" s="636"/>
      <c r="I6703" s="636"/>
      <c r="J6703" s="636" t="s">
        <v>13675</v>
      </c>
      <c r="K6703" s="636"/>
      <c r="L6703" s="636" t="s">
        <v>13803</v>
      </c>
    </row>
    <row r="6704" spans="1:12" ht="48" customHeight="1">
      <c r="A6704" s="802" t="s">
        <v>12710</v>
      </c>
      <c r="B6704" s="802"/>
      <c r="C6704" s="802"/>
      <c r="D6704" s="802"/>
      <c r="E6704" s="802"/>
      <c r="F6704" s="802"/>
      <c r="G6704" s="802"/>
      <c r="H6704" s="802"/>
      <c r="I6704" s="612"/>
      <c r="J6704" s="612"/>
      <c r="K6704" s="612"/>
      <c r="L6704" s="612"/>
    </row>
    <row r="6705" spans="1:12" ht="14.25" customHeight="1">
      <c r="A6705" s="612" t="s">
        <v>13679</v>
      </c>
      <c r="B6705" s="636" t="s">
        <v>12698</v>
      </c>
      <c r="C6705" s="612" t="s">
        <v>12699</v>
      </c>
      <c r="D6705" s="612" t="s">
        <v>12700</v>
      </c>
      <c r="E6705" s="637" t="s">
        <v>12702</v>
      </c>
      <c r="F6705" s="801" t="s">
        <v>12704</v>
      </c>
      <c r="G6705" s="801"/>
      <c r="H6705" s="801" t="s">
        <v>13678</v>
      </c>
      <c r="I6705" s="801"/>
      <c r="J6705" s="801" t="s">
        <v>12705</v>
      </c>
      <c r="K6705" s="801"/>
      <c r="L6705" s="801"/>
    </row>
    <row r="6706" spans="1:12" ht="17.100000000000001" customHeight="1">
      <c r="A6706" s="626" t="s">
        <v>12709</v>
      </c>
      <c r="B6706" s="627" t="s">
        <v>13220</v>
      </c>
      <c r="C6706" s="626" t="s">
        <v>8</v>
      </c>
      <c r="D6706" s="626" t="s">
        <v>7592</v>
      </c>
      <c r="E6706" s="628" t="s">
        <v>23</v>
      </c>
      <c r="F6706" s="816" t="s">
        <v>13890</v>
      </c>
      <c r="G6706" s="816"/>
      <c r="H6706" s="816">
        <v>0.25236809999999998</v>
      </c>
      <c r="I6706" s="816"/>
      <c r="J6706" s="817">
        <v>1.2769999999999999</v>
      </c>
      <c r="K6706" s="817"/>
      <c r="L6706" s="817"/>
    </row>
    <row r="6707" spans="1:12" ht="24" customHeight="1">
      <c r="A6707" s="626" t="s">
        <v>12709</v>
      </c>
      <c r="B6707" s="627" t="s">
        <v>13202</v>
      </c>
      <c r="C6707" s="626" t="s">
        <v>8</v>
      </c>
      <c r="D6707" s="626" t="s">
        <v>9187</v>
      </c>
      <c r="E6707" s="628" t="s">
        <v>23</v>
      </c>
      <c r="F6707" s="816" t="s">
        <v>14479</v>
      </c>
      <c r="G6707" s="816"/>
      <c r="H6707" s="816">
        <v>0.25236809999999998</v>
      </c>
      <c r="I6707" s="816"/>
      <c r="J6707" s="817">
        <v>1.8044</v>
      </c>
      <c r="K6707" s="817"/>
      <c r="L6707" s="817"/>
    </row>
    <row r="6708" spans="1:12" ht="24" customHeight="1">
      <c r="A6708" s="636"/>
      <c r="B6708" s="636"/>
      <c r="C6708" s="636"/>
      <c r="D6708" s="636"/>
      <c r="E6708" s="636"/>
      <c r="F6708" s="636"/>
      <c r="G6708" s="636"/>
      <c r="H6708" s="636"/>
      <c r="I6708" s="636"/>
      <c r="J6708" s="636" t="s">
        <v>13675</v>
      </c>
      <c r="K6708" s="636"/>
      <c r="L6708" s="636" t="s">
        <v>14653</v>
      </c>
    </row>
    <row r="6709" spans="1:12" ht="17.100000000000001" customHeight="1">
      <c r="A6709" s="802" t="s">
        <v>12720</v>
      </c>
      <c r="B6709" s="802"/>
      <c r="C6709" s="802"/>
      <c r="D6709" s="802"/>
      <c r="E6709" s="802"/>
      <c r="F6709" s="802"/>
      <c r="G6709" s="802"/>
      <c r="H6709" s="802"/>
      <c r="I6709" s="612"/>
      <c r="J6709" s="612"/>
      <c r="K6709" s="612"/>
      <c r="L6709" s="612"/>
    </row>
    <row r="6710" spans="1:12" ht="14.25" customHeight="1">
      <c r="A6710" s="612" t="s">
        <v>13679</v>
      </c>
      <c r="B6710" s="636" t="s">
        <v>12698</v>
      </c>
      <c r="C6710" s="612" t="s">
        <v>12699</v>
      </c>
      <c r="D6710" s="612" t="s">
        <v>12700</v>
      </c>
      <c r="E6710" s="637" t="s">
        <v>12702</v>
      </c>
      <c r="F6710" s="801" t="s">
        <v>12704</v>
      </c>
      <c r="G6710" s="801"/>
      <c r="H6710" s="801" t="s">
        <v>13678</v>
      </c>
      <c r="I6710" s="801"/>
      <c r="J6710" s="801" t="s">
        <v>12705</v>
      </c>
      <c r="K6710" s="801"/>
      <c r="L6710" s="801"/>
    </row>
    <row r="6711" spans="1:12" ht="17.100000000000001" customHeight="1">
      <c r="A6711" s="626" t="s">
        <v>12709</v>
      </c>
      <c r="B6711" s="627" t="s">
        <v>13477</v>
      </c>
      <c r="C6711" s="626" t="s">
        <v>8</v>
      </c>
      <c r="D6711" s="626" t="s">
        <v>7400</v>
      </c>
      <c r="E6711" s="628" t="s">
        <v>35</v>
      </c>
      <c r="F6711" s="816" t="s">
        <v>14649</v>
      </c>
      <c r="G6711" s="816"/>
      <c r="H6711" s="816">
        <v>1</v>
      </c>
      <c r="I6711" s="816"/>
      <c r="J6711" s="817">
        <v>3.3</v>
      </c>
      <c r="K6711" s="817"/>
      <c r="L6711" s="817"/>
    </row>
    <row r="6712" spans="1:12" ht="24" customHeight="1">
      <c r="A6712" s="626" t="s">
        <v>12709</v>
      </c>
      <c r="B6712" s="627" t="s">
        <v>13487</v>
      </c>
      <c r="C6712" s="626" t="s">
        <v>8</v>
      </c>
      <c r="D6712" s="626" t="s">
        <v>9750</v>
      </c>
      <c r="E6712" s="628" t="s">
        <v>35</v>
      </c>
      <c r="F6712" s="816" t="s">
        <v>14655</v>
      </c>
      <c r="G6712" s="816"/>
      <c r="H6712" s="816">
        <v>1</v>
      </c>
      <c r="I6712" s="816"/>
      <c r="J6712" s="817">
        <v>5.68</v>
      </c>
      <c r="K6712" s="817"/>
      <c r="L6712" s="817"/>
    </row>
    <row r="6713" spans="1:12" ht="24" customHeight="1">
      <c r="A6713" s="626" t="s">
        <v>12709</v>
      </c>
      <c r="B6713" s="627" t="s">
        <v>13462</v>
      </c>
      <c r="C6713" s="626" t="s">
        <v>8</v>
      </c>
      <c r="D6713" s="626" t="s">
        <v>10684</v>
      </c>
      <c r="E6713" s="628" t="s">
        <v>35</v>
      </c>
      <c r="F6713" s="816" t="s">
        <v>14633</v>
      </c>
      <c r="G6713" s="816"/>
      <c r="H6713" s="816">
        <v>4.5999999999999999E-2</v>
      </c>
      <c r="I6713" s="816"/>
      <c r="J6713" s="817">
        <v>1.34</v>
      </c>
      <c r="K6713" s="817"/>
      <c r="L6713" s="817"/>
    </row>
    <row r="6714" spans="1:12" ht="17.100000000000001" customHeight="1">
      <c r="A6714" s="636"/>
      <c r="B6714" s="636"/>
      <c r="C6714" s="636"/>
      <c r="D6714" s="636"/>
      <c r="E6714" s="636"/>
      <c r="F6714" s="636"/>
      <c r="G6714" s="636"/>
      <c r="H6714" s="636"/>
      <c r="I6714" s="636"/>
      <c r="J6714" s="636" t="s">
        <v>13675</v>
      </c>
      <c r="K6714" s="636"/>
      <c r="L6714" s="636" t="s">
        <v>14654</v>
      </c>
    </row>
    <row r="6715" spans="1:12">
      <c r="A6715" s="802" t="s">
        <v>12722</v>
      </c>
      <c r="B6715" s="802"/>
      <c r="C6715" s="802"/>
      <c r="D6715" s="802"/>
      <c r="E6715" s="802"/>
      <c r="F6715" s="802"/>
      <c r="G6715" s="802"/>
      <c r="H6715" s="802"/>
      <c r="I6715" s="612"/>
      <c r="J6715" s="612"/>
      <c r="K6715" s="612"/>
      <c r="L6715" s="612"/>
    </row>
    <row r="6716" spans="1:12" ht="17.100000000000001" customHeight="1">
      <c r="A6716" s="612" t="s">
        <v>13679</v>
      </c>
      <c r="B6716" s="636" t="s">
        <v>12698</v>
      </c>
      <c r="C6716" s="612" t="s">
        <v>12699</v>
      </c>
      <c r="D6716" s="612" t="s">
        <v>12700</v>
      </c>
      <c r="E6716" s="637" t="s">
        <v>12702</v>
      </c>
      <c r="F6716" s="801" t="s">
        <v>12704</v>
      </c>
      <c r="G6716" s="801"/>
      <c r="H6716" s="801" t="s">
        <v>13678</v>
      </c>
      <c r="I6716" s="801"/>
      <c r="J6716" s="801" t="s">
        <v>12705</v>
      </c>
      <c r="K6716" s="801"/>
      <c r="L6716" s="801"/>
    </row>
    <row r="6717" spans="1:12" ht="24" customHeight="1">
      <c r="A6717" s="626" t="s">
        <v>12709</v>
      </c>
      <c r="B6717" s="627" t="s">
        <v>12998</v>
      </c>
      <c r="C6717" s="626" t="s">
        <v>8</v>
      </c>
      <c r="D6717" s="626" t="s">
        <v>11861</v>
      </c>
      <c r="E6717" s="628" t="s">
        <v>23</v>
      </c>
      <c r="F6717" s="816" t="s">
        <v>13683</v>
      </c>
      <c r="G6717" s="816"/>
      <c r="H6717" s="816">
        <v>0.49783090000000002</v>
      </c>
      <c r="I6717" s="816"/>
      <c r="J6717" s="817">
        <v>0.35349999999999998</v>
      </c>
      <c r="K6717" s="817"/>
      <c r="L6717" s="817"/>
    </row>
    <row r="6718" spans="1:12" ht="24" customHeight="1">
      <c r="A6718" s="636"/>
      <c r="B6718" s="636"/>
      <c r="C6718" s="636"/>
      <c r="D6718" s="636"/>
      <c r="E6718" s="636"/>
      <c r="F6718" s="636"/>
      <c r="G6718" s="636"/>
      <c r="H6718" s="636"/>
      <c r="I6718" s="636"/>
      <c r="J6718" s="636" t="s">
        <v>13675</v>
      </c>
      <c r="K6718" s="636"/>
      <c r="L6718" s="636" t="s">
        <v>13677</v>
      </c>
    </row>
    <row r="6719" spans="1:12" ht="24" customHeight="1">
      <c r="A6719" s="802" t="s">
        <v>12713</v>
      </c>
      <c r="B6719" s="802"/>
      <c r="C6719" s="802"/>
      <c r="D6719" s="802"/>
      <c r="E6719" s="802"/>
      <c r="F6719" s="802"/>
      <c r="G6719" s="802"/>
      <c r="H6719" s="802"/>
      <c r="I6719" s="612"/>
      <c r="J6719" s="612"/>
      <c r="K6719" s="612"/>
      <c r="L6719" s="612"/>
    </row>
    <row r="6720" spans="1:12" ht="24" customHeight="1">
      <c r="A6720" s="612" t="s">
        <v>13679</v>
      </c>
      <c r="B6720" s="636" t="s">
        <v>12698</v>
      </c>
      <c r="C6720" s="612" t="s">
        <v>12699</v>
      </c>
      <c r="D6720" s="612" t="s">
        <v>12700</v>
      </c>
      <c r="E6720" s="637" t="s">
        <v>12702</v>
      </c>
      <c r="F6720" s="801" t="s">
        <v>12704</v>
      </c>
      <c r="G6720" s="801"/>
      <c r="H6720" s="801" t="s">
        <v>13678</v>
      </c>
      <c r="I6720" s="801"/>
      <c r="J6720" s="801" t="s">
        <v>12705</v>
      </c>
      <c r="K6720" s="801"/>
      <c r="L6720" s="801"/>
    </row>
    <row r="6721" spans="1:12" ht="17.100000000000001" customHeight="1">
      <c r="A6721" s="626" t="s">
        <v>12709</v>
      </c>
      <c r="B6721" s="627" t="s">
        <v>12999</v>
      </c>
      <c r="C6721" s="626" t="s">
        <v>8</v>
      </c>
      <c r="D6721" s="626" t="s">
        <v>11251</v>
      </c>
      <c r="E6721" s="628" t="s">
        <v>23</v>
      </c>
      <c r="F6721" s="816" t="s">
        <v>13681</v>
      </c>
      <c r="G6721" s="816"/>
      <c r="H6721" s="816">
        <v>0.49783090000000002</v>
      </c>
      <c r="I6721" s="816"/>
      <c r="J6721" s="817">
        <v>3.4799999999999998E-2</v>
      </c>
      <c r="K6721" s="817"/>
      <c r="L6721" s="817"/>
    </row>
    <row r="6722" spans="1:12">
      <c r="A6722" s="636"/>
      <c r="B6722" s="636"/>
      <c r="C6722" s="636"/>
      <c r="D6722" s="636"/>
      <c r="E6722" s="636"/>
      <c r="F6722" s="636"/>
      <c r="G6722" s="636"/>
      <c r="H6722" s="636"/>
      <c r="I6722" s="636"/>
      <c r="J6722" s="636" t="s">
        <v>13675</v>
      </c>
      <c r="K6722" s="636"/>
      <c r="L6722" s="636" t="s">
        <v>13726</v>
      </c>
    </row>
    <row r="6723" spans="1:12" ht="17.100000000000001" customHeight="1">
      <c r="A6723" s="802" t="s">
        <v>12712</v>
      </c>
      <c r="B6723" s="802"/>
      <c r="C6723" s="802"/>
      <c r="D6723" s="802"/>
      <c r="E6723" s="802"/>
      <c r="F6723" s="802"/>
      <c r="G6723" s="802"/>
      <c r="H6723" s="802"/>
      <c r="I6723" s="612"/>
      <c r="J6723" s="612"/>
      <c r="K6723" s="612"/>
      <c r="L6723" s="612"/>
    </row>
    <row r="6724" spans="1:12" ht="24" customHeight="1">
      <c r="A6724" s="612" t="s">
        <v>13679</v>
      </c>
      <c r="B6724" s="636" t="s">
        <v>12698</v>
      </c>
      <c r="C6724" s="612" t="s">
        <v>12699</v>
      </c>
      <c r="D6724" s="612" t="s">
        <v>12700</v>
      </c>
      <c r="E6724" s="637" t="s">
        <v>12702</v>
      </c>
      <c r="F6724" s="801" t="s">
        <v>12704</v>
      </c>
      <c r="G6724" s="801"/>
      <c r="H6724" s="801" t="s">
        <v>13678</v>
      </c>
      <c r="I6724" s="801"/>
      <c r="J6724" s="801" t="s">
        <v>12705</v>
      </c>
      <c r="K6724" s="801"/>
      <c r="L6724" s="801"/>
    </row>
    <row r="6725" spans="1:12" ht="17.100000000000001" customHeight="1">
      <c r="A6725" s="626" t="s">
        <v>12709</v>
      </c>
      <c r="B6725" s="627" t="s">
        <v>13002</v>
      </c>
      <c r="C6725" s="626" t="s">
        <v>8</v>
      </c>
      <c r="D6725" s="626" t="s">
        <v>9306</v>
      </c>
      <c r="E6725" s="628" t="s">
        <v>23</v>
      </c>
      <c r="F6725" s="816" t="s">
        <v>13677</v>
      </c>
      <c r="G6725" s="816"/>
      <c r="H6725" s="816">
        <v>0.49783090000000002</v>
      </c>
      <c r="I6725" s="816"/>
      <c r="J6725" s="817">
        <v>0.17419999999999999</v>
      </c>
      <c r="K6725" s="817"/>
      <c r="L6725" s="817"/>
    </row>
    <row r="6726" spans="1:12" ht="25.5">
      <c r="A6726" s="626" t="s">
        <v>12709</v>
      </c>
      <c r="B6726" s="627" t="s">
        <v>13004</v>
      </c>
      <c r="C6726" s="626" t="s">
        <v>8</v>
      </c>
      <c r="D6726" s="626" t="s">
        <v>7388</v>
      </c>
      <c r="E6726" s="628" t="s">
        <v>23</v>
      </c>
      <c r="F6726" s="816" t="s">
        <v>13676</v>
      </c>
      <c r="G6726" s="816"/>
      <c r="H6726" s="816">
        <v>0.49783090000000002</v>
      </c>
      <c r="I6726" s="816"/>
      <c r="J6726" s="817">
        <v>1.0952</v>
      </c>
      <c r="K6726" s="817"/>
      <c r="L6726" s="817"/>
    </row>
    <row r="6727" spans="1:12" ht="17.100000000000001" customHeight="1">
      <c r="A6727" s="636"/>
      <c r="B6727" s="636"/>
      <c r="C6727" s="636"/>
      <c r="D6727" s="636"/>
      <c r="E6727" s="636"/>
      <c r="F6727" s="636"/>
      <c r="G6727" s="636"/>
      <c r="H6727" s="636"/>
      <c r="I6727" s="636"/>
      <c r="J6727" s="636" t="s">
        <v>13675</v>
      </c>
      <c r="K6727" s="636"/>
      <c r="L6727" s="636" t="s">
        <v>13929</v>
      </c>
    </row>
    <row r="6728" spans="1:12" ht="24" customHeight="1">
      <c r="A6728" s="612" t="s">
        <v>13673</v>
      </c>
      <c r="B6728" s="612"/>
      <c r="C6728" s="612"/>
      <c r="D6728" s="612"/>
      <c r="E6728" s="612"/>
      <c r="F6728" s="612"/>
      <c r="G6728" s="612"/>
      <c r="H6728" s="612"/>
      <c r="I6728" s="612"/>
      <c r="J6728" s="612"/>
      <c r="K6728" s="612"/>
      <c r="L6728" s="612"/>
    </row>
    <row r="6729" spans="1:12" ht="17.100000000000001" customHeight="1">
      <c r="A6729" s="636"/>
      <c r="B6729" s="636"/>
      <c r="C6729" s="636"/>
      <c r="D6729" s="636"/>
      <c r="E6729" s="636"/>
      <c r="F6729" s="636"/>
      <c r="G6729" s="636"/>
      <c r="H6729" s="636"/>
      <c r="I6729" s="636"/>
      <c r="J6729" s="636" t="s">
        <v>13672</v>
      </c>
      <c r="K6729" s="636"/>
      <c r="L6729" s="636" t="s">
        <v>15366</v>
      </c>
    </row>
    <row r="6730" spans="1:12">
      <c r="A6730" s="636"/>
      <c r="B6730" s="636"/>
      <c r="C6730" s="636"/>
      <c r="D6730" s="636"/>
      <c r="E6730" s="636"/>
      <c r="F6730" s="636"/>
      <c r="G6730" s="636"/>
      <c r="H6730" s="636"/>
      <c r="I6730" s="636"/>
      <c r="J6730" s="636" t="s">
        <v>13671</v>
      </c>
      <c r="K6730" s="636" t="s">
        <v>14461</v>
      </c>
      <c r="L6730" s="636" t="s">
        <v>15253</v>
      </c>
    </row>
    <row r="6731" spans="1:12" ht="17.100000000000001" customHeight="1">
      <c r="A6731" s="636"/>
      <c r="B6731" s="636"/>
      <c r="C6731" s="636"/>
      <c r="D6731" s="636"/>
      <c r="E6731" s="636"/>
      <c r="F6731" s="636"/>
      <c r="G6731" s="636"/>
      <c r="H6731" s="636"/>
      <c r="I6731" s="636"/>
      <c r="J6731" s="636" t="s">
        <v>13670</v>
      </c>
      <c r="K6731" s="636"/>
      <c r="L6731" s="636" t="s">
        <v>15367</v>
      </c>
    </row>
    <row r="6732" spans="1:12" ht="24" customHeight="1">
      <c r="A6732" s="636"/>
      <c r="B6732" s="636"/>
      <c r="C6732" s="636"/>
      <c r="D6732" s="636"/>
      <c r="E6732" s="636"/>
      <c r="F6732" s="636"/>
      <c r="G6732" s="636"/>
      <c r="H6732" s="636"/>
      <c r="I6732" s="636"/>
      <c r="J6732" s="636" t="s">
        <v>13669</v>
      </c>
      <c r="K6732" s="636" t="s">
        <v>13667</v>
      </c>
      <c r="L6732" s="636" t="s">
        <v>15368</v>
      </c>
    </row>
    <row r="6733" spans="1:12" ht="24" customHeight="1">
      <c r="A6733" s="636"/>
      <c r="B6733" s="636"/>
      <c r="C6733" s="636"/>
      <c r="D6733" s="636"/>
      <c r="E6733" s="636"/>
      <c r="F6733" s="636"/>
      <c r="G6733" s="636"/>
      <c r="H6733" s="636"/>
      <c r="I6733" s="636"/>
      <c r="J6733" s="636" t="s">
        <v>13668</v>
      </c>
      <c r="K6733" s="636"/>
      <c r="L6733" s="636" t="s">
        <v>15369</v>
      </c>
    </row>
    <row r="6734" spans="1:12" ht="17.100000000000001" customHeight="1">
      <c r="A6734" s="637"/>
      <c r="B6734" s="637"/>
      <c r="C6734" s="637"/>
      <c r="D6734" s="637"/>
      <c r="E6734" s="637"/>
      <c r="F6734" s="637"/>
      <c r="G6734" s="637"/>
      <c r="H6734" s="637"/>
      <c r="I6734" s="637"/>
      <c r="J6734" s="637"/>
      <c r="K6734" s="637"/>
      <c r="L6734" s="637"/>
    </row>
    <row r="6735" spans="1:12" ht="17.100000000000001" customHeight="1">
      <c r="A6735" s="616" t="s">
        <v>14017</v>
      </c>
      <c r="B6735" s="617" t="s">
        <v>13486</v>
      </c>
      <c r="C6735" s="616" t="s">
        <v>8</v>
      </c>
      <c r="D6735" s="616" t="s">
        <v>1989</v>
      </c>
      <c r="E6735" s="618" t="s">
        <v>35</v>
      </c>
      <c r="F6735" s="617"/>
      <c r="G6735" s="617"/>
      <c r="H6735" s="617"/>
      <c r="I6735" s="617"/>
      <c r="J6735" s="617"/>
      <c r="K6735" s="617"/>
      <c r="L6735" s="617"/>
    </row>
    <row r="6736" spans="1:12" ht="17.100000000000001" customHeight="1">
      <c r="A6736" s="802" t="s">
        <v>12711</v>
      </c>
      <c r="B6736" s="802"/>
      <c r="C6736" s="802"/>
      <c r="D6736" s="802"/>
      <c r="E6736" s="802"/>
      <c r="F6736" s="802"/>
      <c r="G6736" s="802"/>
      <c r="H6736" s="802"/>
      <c r="I6736" s="612"/>
      <c r="J6736" s="612"/>
      <c r="K6736" s="612"/>
      <c r="L6736" s="612"/>
    </row>
    <row r="6737" spans="1:12" ht="17.100000000000001" customHeight="1">
      <c r="A6737" s="612" t="s">
        <v>13679</v>
      </c>
      <c r="B6737" s="636" t="s">
        <v>12698</v>
      </c>
      <c r="C6737" s="612" t="s">
        <v>12699</v>
      </c>
      <c r="D6737" s="612" t="s">
        <v>12700</v>
      </c>
      <c r="E6737" s="637" t="s">
        <v>12702</v>
      </c>
      <c r="F6737" s="801" t="s">
        <v>12704</v>
      </c>
      <c r="G6737" s="801"/>
      <c r="H6737" s="801" t="s">
        <v>13678</v>
      </c>
      <c r="I6737" s="801"/>
      <c r="J6737" s="801" t="s">
        <v>12705</v>
      </c>
      <c r="K6737" s="801"/>
      <c r="L6737" s="801"/>
    </row>
    <row r="6738" spans="1:12" ht="17.100000000000001" customHeight="1">
      <c r="A6738" s="626" t="s">
        <v>12709</v>
      </c>
      <c r="B6738" s="627" t="s">
        <v>13201</v>
      </c>
      <c r="C6738" s="626" t="s">
        <v>8</v>
      </c>
      <c r="D6738" s="626" t="s">
        <v>9221</v>
      </c>
      <c r="E6738" s="628" t="s">
        <v>23</v>
      </c>
      <c r="F6738" s="816" t="s">
        <v>13705</v>
      </c>
      <c r="G6738" s="816"/>
      <c r="H6738" s="816">
        <v>0.1981241</v>
      </c>
      <c r="I6738" s="816"/>
      <c r="J6738" s="817">
        <v>0.16439999999999999</v>
      </c>
      <c r="K6738" s="817"/>
      <c r="L6738" s="817"/>
    </row>
    <row r="6739" spans="1:12" ht="17.100000000000001" customHeight="1">
      <c r="A6739" s="626" t="s">
        <v>12709</v>
      </c>
      <c r="B6739" s="627" t="s">
        <v>13200</v>
      </c>
      <c r="C6739" s="626" t="s">
        <v>8</v>
      </c>
      <c r="D6739" s="626" t="s">
        <v>9368</v>
      </c>
      <c r="E6739" s="628" t="s">
        <v>23</v>
      </c>
      <c r="F6739" s="816" t="s">
        <v>13704</v>
      </c>
      <c r="G6739" s="816"/>
      <c r="H6739" s="816">
        <v>0.1981241</v>
      </c>
      <c r="I6739" s="816"/>
      <c r="J6739" s="817">
        <v>4.7500000000000001E-2</v>
      </c>
      <c r="K6739" s="817"/>
      <c r="L6739" s="817"/>
    </row>
    <row r="6740" spans="1:12" ht="17.100000000000001" customHeight="1">
      <c r="A6740" s="636"/>
      <c r="B6740" s="636"/>
      <c r="C6740" s="636"/>
      <c r="D6740" s="636"/>
      <c r="E6740" s="636"/>
      <c r="F6740" s="636"/>
      <c r="G6740" s="636"/>
      <c r="H6740" s="636"/>
      <c r="I6740" s="636"/>
      <c r="J6740" s="636" t="s">
        <v>13675</v>
      </c>
      <c r="K6740" s="636"/>
      <c r="L6740" s="636" t="s">
        <v>13775</v>
      </c>
    </row>
    <row r="6741" spans="1:12" ht="30" customHeight="1">
      <c r="A6741" s="802" t="s">
        <v>12710</v>
      </c>
      <c r="B6741" s="802"/>
      <c r="C6741" s="802"/>
      <c r="D6741" s="802"/>
      <c r="E6741" s="802"/>
      <c r="F6741" s="802"/>
      <c r="G6741" s="802"/>
      <c r="H6741" s="802"/>
      <c r="I6741" s="612"/>
      <c r="J6741" s="612"/>
      <c r="K6741" s="612"/>
      <c r="L6741" s="612"/>
    </row>
    <row r="6742" spans="1:12" ht="48" customHeight="1">
      <c r="A6742" s="612" t="s">
        <v>13679</v>
      </c>
      <c r="B6742" s="636" t="s">
        <v>12698</v>
      </c>
      <c r="C6742" s="612" t="s">
        <v>12699</v>
      </c>
      <c r="D6742" s="612" t="s">
        <v>12700</v>
      </c>
      <c r="E6742" s="637" t="s">
        <v>12702</v>
      </c>
      <c r="F6742" s="801" t="s">
        <v>12704</v>
      </c>
      <c r="G6742" s="801"/>
      <c r="H6742" s="801" t="s">
        <v>13678</v>
      </c>
      <c r="I6742" s="801"/>
      <c r="J6742" s="801" t="s">
        <v>12705</v>
      </c>
      <c r="K6742" s="801"/>
      <c r="L6742" s="801"/>
    </row>
    <row r="6743" spans="1:12" ht="14.25" customHeight="1">
      <c r="A6743" s="626" t="s">
        <v>12709</v>
      </c>
      <c r="B6743" s="627" t="s">
        <v>13220</v>
      </c>
      <c r="C6743" s="626" t="s">
        <v>8</v>
      </c>
      <c r="D6743" s="626" t="s">
        <v>7592</v>
      </c>
      <c r="E6743" s="628" t="s">
        <v>23</v>
      </c>
      <c r="F6743" s="816" t="s">
        <v>13890</v>
      </c>
      <c r="G6743" s="816"/>
      <c r="H6743" s="816">
        <v>0.1005045</v>
      </c>
      <c r="I6743" s="816"/>
      <c r="J6743" s="817">
        <v>0.50860000000000005</v>
      </c>
      <c r="K6743" s="817"/>
      <c r="L6743" s="817"/>
    </row>
    <row r="6744" spans="1:12" ht="17.100000000000001" customHeight="1">
      <c r="A6744" s="626" t="s">
        <v>12709</v>
      </c>
      <c r="B6744" s="627" t="s">
        <v>13202</v>
      </c>
      <c r="C6744" s="626" t="s">
        <v>8</v>
      </c>
      <c r="D6744" s="626" t="s">
        <v>9187</v>
      </c>
      <c r="E6744" s="628" t="s">
        <v>23</v>
      </c>
      <c r="F6744" s="816" t="s">
        <v>14479</v>
      </c>
      <c r="G6744" s="816"/>
      <c r="H6744" s="816">
        <v>0.1005045</v>
      </c>
      <c r="I6744" s="816"/>
      <c r="J6744" s="817">
        <v>0.71860000000000002</v>
      </c>
      <c r="K6744" s="817"/>
      <c r="L6744" s="817"/>
    </row>
    <row r="6745" spans="1:12" ht="24" customHeight="1">
      <c r="A6745" s="636"/>
      <c r="B6745" s="636"/>
      <c r="C6745" s="636"/>
      <c r="D6745" s="636"/>
      <c r="E6745" s="636"/>
      <c r="F6745" s="636"/>
      <c r="G6745" s="636"/>
      <c r="H6745" s="636"/>
      <c r="I6745" s="636"/>
      <c r="J6745" s="636" t="s">
        <v>13675</v>
      </c>
      <c r="K6745" s="636"/>
      <c r="L6745" s="636" t="s">
        <v>13856</v>
      </c>
    </row>
    <row r="6746" spans="1:12" ht="24" customHeight="1">
      <c r="A6746" s="802" t="s">
        <v>12720</v>
      </c>
      <c r="B6746" s="802"/>
      <c r="C6746" s="802"/>
      <c r="D6746" s="802"/>
      <c r="E6746" s="802"/>
      <c r="F6746" s="802"/>
      <c r="G6746" s="802"/>
      <c r="H6746" s="802"/>
      <c r="I6746" s="612"/>
      <c r="J6746" s="612"/>
      <c r="K6746" s="612"/>
      <c r="L6746" s="612"/>
    </row>
    <row r="6747" spans="1:12" ht="17.100000000000001" customHeight="1">
      <c r="A6747" s="612" t="s">
        <v>13679</v>
      </c>
      <c r="B6747" s="636" t="s">
        <v>12698</v>
      </c>
      <c r="C6747" s="612" t="s">
        <v>12699</v>
      </c>
      <c r="D6747" s="612" t="s">
        <v>12700</v>
      </c>
      <c r="E6747" s="637" t="s">
        <v>12702</v>
      </c>
      <c r="F6747" s="801" t="s">
        <v>12704</v>
      </c>
      <c r="G6747" s="801"/>
      <c r="H6747" s="801" t="s">
        <v>13678</v>
      </c>
      <c r="I6747" s="801"/>
      <c r="J6747" s="801" t="s">
        <v>12705</v>
      </c>
      <c r="K6747" s="801"/>
      <c r="L6747" s="801"/>
    </row>
    <row r="6748" spans="1:12" ht="14.25" customHeight="1">
      <c r="A6748" s="626" t="s">
        <v>12709</v>
      </c>
      <c r="B6748" s="627" t="s">
        <v>13467</v>
      </c>
      <c r="C6748" s="626" t="s">
        <v>8</v>
      </c>
      <c r="D6748" s="626" t="s">
        <v>9987</v>
      </c>
      <c r="E6748" s="628" t="s">
        <v>35</v>
      </c>
      <c r="F6748" s="816" t="s">
        <v>13998</v>
      </c>
      <c r="G6748" s="816"/>
      <c r="H6748" s="816">
        <v>2.1000000000000001E-2</v>
      </c>
      <c r="I6748" s="816"/>
      <c r="J6748" s="817">
        <v>0.04</v>
      </c>
      <c r="K6748" s="817"/>
      <c r="L6748" s="817"/>
    </row>
    <row r="6749" spans="1:12" ht="17.100000000000001" customHeight="1">
      <c r="A6749" s="626" t="s">
        <v>12709</v>
      </c>
      <c r="B6749" s="627" t="s">
        <v>13466</v>
      </c>
      <c r="C6749" s="626" t="s">
        <v>8</v>
      </c>
      <c r="D6749" s="626" t="s">
        <v>11315</v>
      </c>
      <c r="E6749" s="628" t="s">
        <v>35</v>
      </c>
      <c r="F6749" s="816" t="s">
        <v>14636</v>
      </c>
      <c r="G6749" s="816"/>
      <c r="H6749" s="816">
        <v>1.4999999999999999E-2</v>
      </c>
      <c r="I6749" s="816"/>
      <c r="J6749" s="817">
        <v>1.04</v>
      </c>
      <c r="K6749" s="817"/>
      <c r="L6749" s="817"/>
    </row>
    <row r="6750" spans="1:12" ht="24" customHeight="1">
      <c r="A6750" s="626" t="s">
        <v>12709</v>
      </c>
      <c r="B6750" s="627" t="s">
        <v>13468</v>
      </c>
      <c r="C6750" s="626" t="s">
        <v>8</v>
      </c>
      <c r="D6750" s="626" t="s">
        <v>7343</v>
      </c>
      <c r="E6750" s="628" t="s">
        <v>35</v>
      </c>
      <c r="F6750" s="816" t="s">
        <v>14635</v>
      </c>
      <c r="G6750" s="816"/>
      <c r="H6750" s="816">
        <v>9.9000000000000008E-3</v>
      </c>
      <c r="I6750" s="816"/>
      <c r="J6750" s="817">
        <v>0.79</v>
      </c>
      <c r="K6750" s="817"/>
      <c r="L6750" s="817"/>
    </row>
    <row r="6751" spans="1:12" ht="24" customHeight="1">
      <c r="A6751" s="626" t="s">
        <v>12709</v>
      </c>
      <c r="B6751" s="627" t="s">
        <v>13485</v>
      </c>
      <c r="C6751" s="626" t="s">
        <v>8</v>
      </c>
      <c r="D6751" s="626" t="s">
        <v>9744</v>
      </c>
      <c r="E6751" s="628" t="s">
        <v>35</v>
      </c>
      <c r="F6751" s="816" t="s">
        <v>14041</v>
      </c>
      <c r="G6751" s="816"/>
      <c r="H6751" s="816">
        <v>1</v>
      </c>
      <c r="I6751" s="816"/>
      <c r="J6751" s="817">
        <v>0.72</v>
      </c>
      <c r="K6751" s="817"/>
      <c r="L6751" s="817"/>
    </row>
    <row r="6752" spans="1:12" ht="17.100000000000001" customHeight="1">
      <c r="A6752" s="636"/>
      <c r="B6752" s="636"/>
      <c r="C6752" s="636"/>
      <c r="D6752" s="636"/>
      <c r="E6752" s="636"/>
      <c r="F6752" s="636"/>
      <c r="G6752" s="636"/>
      <c r="H6752" s="636"/>
      <c r="I6752" s="636"/>
      <c r="J6752" s="636" t="s">
        <v>13675</v>
      </c>
      <c r="K6752" s="636"/>
      <c r="L6752" s="636" t="s">
        <v>14029</v>
      </c>
    </row>
    <row r="6753" spans="1:12">
      <c r="A6753" s="802" t="s">
        <v>12722</v>
      </c>
      <c r="B6753" s="802"/>
      <c r="C6753" s="802"/>
      <c r="D6753" s="802"/>
      <c r="E6753" s="802"/>
      <c r="F6753" s="802"/>
      <c r="G6753" s="802"/>
      <c r="H6753" s="802"/>
      <c r="I6753" s="612"/>
      <c r="J6753" s="612"/>
      <c r="K6753" s="612"/>
      <c r="L6753" s="612"/>
    </row>
    <row r="6754" spans="1:12" ht="17.100000000000001" customHeight="1">
      <c r="A6754" s="612" t="s">
        <v>13679</v>
      </c>
      <c r="B6754" s="636" t="s">
        <v>12698</v>
      </c>
      <c r="C6754" s="612" t="s">
        <v>12699</v>
      </c>
      <c r="D6754" s="612" t="s">
        <v>12700</v>
      </c>
      <c r="E6754" s="637" t="s">
        <v>12702</v>
      </c>
      <c r="F6754" s="801" t="s">
        <v>12704</v>
      </c>
      <c r="G6754" s="801"/>
      <c r="H6754" s="801" t="s">
        <v>13678</v>
      </c>
      <c r="I6754" s="801"/>
      <c r="J6754" s="801" t="s">
        <v>12705</v>
      </c>
      <c r="K6754" s="801"/>
      <c r="L6754" s="801"/>
    </row>
    <row r="6755" spans="1:12" ht="36" customHeight="1">
      <c r="A6755" s="626" t="s">
        <v>12709</v>
      </c>
      <c r="B6755" s="627" t="s">
        <v>12998</v>
      </c>
      <c r="C6755" s="626" t="s">
        <v>8</v>
      </c>
      <c r="D6755" s="626" t="s">
        <v>11861</v>
      </c>
      <c r="E6755" s="628" t="s">
        <v>23</v>
      </c>
      <c r="F6755" s="816" t="s">
        <v>13683</v>
      </c>
      <c r="G6755" s="816"/>
      <c r="H6755" s="816">
        <v>0.1981241</v>
      </c>
      <c r="I6755" s="816"/>
      <c r="J6755" s="817">
        <v>0.14069999999999999</v>
      </c>
      <c r="K6755" s="817"/>
      <c r="L6755" s="817"/>
    </row>
    <row r="6756" spans="1:12" ht="24" customHeight="1">
      <c r="A6756" s="636"/>
      <c r="B6756" s="636"/>
      <c r="C6756" s="636"/>
      <c r="D6756" s="636"/>
      <c r="E6756" s="636"/>
      <c r="F6756" s="636"/>
      <c r="G6756" s="636"/>
      <c r="H6756" s="636"/>
      <c r="I6756" s="636"/>
      <c r="J6756" s="636" t="s">
        <v>13675</v>
      </c>
      <c r="K6756" s="636"/>
      <c r="L6756" s="636" t="s">
        <v>13880</v>
      </c>
    </row>
    <row r="6757" spans="1:12" ht="24" customHeight="1">
      <c r="A6757" s="802" t="s">
        <v>12713</v>
      </c>
      <c r="B6757" s="802"/>
      <c r="C6757" s="802"/>
      <c r="D6757" s="802"/>
      <c r="E6757" s="802"/>
      <c r="F6757" s="802"/>
      <c r="G6757" s="802"/>
      <c r="H6757" s="802"/>
      <c r="I6757" s="612"/>
      <c r="J6757" s="612"/>
      <c r="K6757" s="612"/>
      <c r="L6757" s="612"/>
    </row>
    <row r="6758" spans="1:12" ht="17.100000000000001" customHeight="1">
      <c r="A6758" s="612" t="s">
        <v>13679</v>
      </c>
      <c r="B6758" s="636" t="s">
        <v>12698</v>
      </c>
      <c r="C6758" s="612" t="s">
        <v>12699</v>
      </c>
      <c r="D6758" s="612" t="s">
        <v>12700</v>
      </c>
      <c r="E6758" s="637" t="s">
        <v>12702</v>
      </c>
      <c r="F6758" s="801" t="s">
        <v>12704</v>
      </c>
      <c r="G6758" s="801"/>
      <c r="H6758" s="801" t="s">
        <v>13678</v>
      </c>
      <c r="I6758" s="801"/>
      <c r="J6758" s="801" t="s">
        <v>12705</v>
      </c>
      <c r="K6758" s="801"/>
      <c r="L6758" s="801"/>
    </row>
    <row r="6759" spans="1:12" ht="25.5">
      <c r="A6759" s="626" t="s">
        <v>12709</v>
      </c>
      <c r="B6759" s="627" t="s">
        <v>12999</v>
      </c>
      <c r="C6759" s="626" t="s">
        <v>8</v>
      </c>
      <c r="D6759" s="626" t="s">
        <v>11251</v>
      </c>
      <c r="E6759" s="628" t="s">
        <v>23</v>
      </c>
      <c r="F6759" s="816" t="s">
        <v>13681</v>
      </c>
      <c r="G6759" s="816"/>
      <c r="H6759" s="816">
        <v>0.1981241</v>
      </c>
      <c r="I6759" s="816"/>
      <c r="J6759" s="817">
        <v>1.3899999999999999E-2</v>
      </c>
      <c r="K6759" s="817"/>
      <c r="L6759" s="817"/>
    </row>
    <row r="6760" spans="1:12" ht="17.100000000000001" customHeight="1">
      <c r="A6760" s="636"/>
      <c r="B6760" s="636"/>
      <c r="C6760" s="636"/>
      <c r="D6760" s="636"/>
      <c r="E6760" s="636"/>
      <c r="F6760" s="636"/>
      <c r="G6760" s="636"/>
      <c r="H6760" s="636"/>
      <c r="I6760" s="636"/>
      <c r="J6760" s="636" t="s">
        <v>13675</v>
      </c>
      <c r="K6760" s="636"/>
      <c r="L6760" s="636" t="s">
        <v>13728</v>
      </c>
    </row>
    <row r="6761" spans="1:12" ht="24" customHeight="1">
      <c r="A6761" s="802" t="s">
        <v>12712</v>
      </c>
      <c r="B6761" s="802"/>
      <c r="C6761" s="802"/>
      <c r="D6761" s="802"/>
      <c r="E6761" s="802"/>
      <c r="F6761" s="802"/>
      <c r="G6761" s="802"/>
      <c r="H6761" s="802"/>
      <c r="I6761" s="612"/>
      <c r="J6761" s="612"/>
      <c r="K6761" s="612"/>
      <c r="L6761" s="612"/>
    </row>
    <row r="6762" spans="1:12" ht="17.100000000000001" customHeight="1">
      <c r="A6762" s="612" t="s">
        <v>13679</v>
      </c>
      <c r="B6762" s="636" t="s">
        <v>12698</v>
      </c>
      <c r="C6762" s="612" t="s">
        <v>12699</v>
      </c>
      <c r="D6762" s="612" t="s">
        <v>12700</v>
      </c>
      <c r="E6762" s="637" t="s">
        <v>12702</v>
      </c>
      <c r="F6762" s="801" t="s">
        <v>12704</v>
      </c>
      <c r="G6762" s="801"/>
      <c r="H6762" s="801" t="s">
        <v>13678</v>
      </c>
      <c r="I6762" s="801"/>
      <c r="J6762" s="801" t="s">
        <v>12705</v>
      </c>
      <c r="K6762" s="801"/>
      <c r="L6762" s="801"/>
    </row>
    <row r="6763" spans="1:12" ht="25.5">
      <c r="A6763" s="626" t="s">
        <v>12709</v>
      </c>
      <c r="B6763" s="627" t="s">
        <v>13002</v>
      </c>
      <c r="C6763" s="626" t="s">
        <v>8</v>
      </c>
      <c r="D6763" s="626" t="s">
        <v>9306</v>
      </c>
      <c r="E6763" s="628" t="s">
        <v>23</v>
      </c>
      <c r="F6763" s="816" t="s">
        <v>13677</v>
      </c>
      <c r="G6763" s="816"/>
      <c r="H6763" s="816">
        <v>0.1981241</v>
      </c>
      <c r="I6763" s="816"/>
      <c r="J6763" s="817">
        <v>6.93E-2</v>
      </c>
      <c r="K6763" s="817"/>
      <c r="L6763" s="817"/>
    </row>
    <row r="6764" spans="1:12" ht="17.100000000000001" customHeight="1">
      <c r="A6764" s="626" t="s">
        <v>12709</v>
      </c>
      <c r="B6764" s="627" t="s">
        <v>13004</v>
      </c>
      <c r="C6764" s="626" t="s">
        <v>8</v>
      </c>
      <c r="D6764" s="626" t="s">
        <v>7388</v>
      </c>
      <c r="E6764" s="628" t="s">
        <v>23</v>
      </c>
      <c r="F6764" s="816" t="s">
        <v>13676</v>
      </c>
      <c r="G6764" s="816"/>
      <c r="H6764" s="816">
        <v>0.1981241</v>
      </c>
      <c r="I6764" s="816"/>
      <c r="J6764" s="817">
        <v>0.43590000000000001</v>
      </c>
      <c r="K6764" s="817"/>
      <c r="L6764" s="817"/>
    </row>
    <row r="6765" spans="1:12" ht="24" customHeight="1">
      <c r="A6765" s="636"/>
      <c r="B6765" s="636"/>
      <c r="C6765" s="636"/>
      <c r="D6765" s="636"/>
      <c r="E6765" s="636"/>
      <c r="F6765" s="636"/>
      <c r="G6765" s="636"/>
      <c r="H6765" s="636"/>
      <c r="I6765" s="636"/>
      <c r="J6765" s="636" t="s">
        <v>13675</v>
      </c>
      <c r="K6765" s="636"/>
      <c r="L6765" s="636" t="s">
        <v>13746</v>
      </c>
    </row>
    <row r="6766" spans="1:12" ht="17.100000000000001" customHeight="1">
      <c r="A6766" s="612" t="s">
        <v>13673</v>
      </c>
      <c r="B6766" s="612"/>
      <c r="C6766" s="612"/>
      <c r="D6766" s="612"/>
      <c r="E6766" s="612"/>
      <c r="F6766" s="612"/>
      <c r="G6766" s="612"/>
      <c r="H6766" s="612"/>
      <c r="I6766" s="612"/>
      <c r="J6766" s="612"/>
      <c r="K6766" s="612"/>
      <c r="L6766" s="612"/>
    </row>
    <row r="6767" spans="1:12">
      <c r="A6767" s="636"/>
      <c r="B6767" s="636"/>
      <c r="C6767" s="636"/>
      <c r="D6767" s="636"/>
      <c r="E6767" s="636"/>
      <c r="F6767" s="636"/>
      <c r="G6767" s="636"/>
      <c r="H6767" s="636"/>
      <c r="I6767" s="636"/>
      <c r="J6767" s="636" t="s">
        <v>13672</v>
      </c>
      <c r="K6767" s="636"/>
      <c r="L6767" s="636" t="s">
        <v>15370</v>
      </c>
    </row>
    <row r="6768" spans="1:12" ht="17.100000000000001" customHeight="1">
      <c r="A6768" s="636"/>
      <c r="B6768" s="636"/>
      <c r="C6768" s="636"/>
      <c r="D6768" s="636"/>
      <c r="E6768" s="636"/>
      <c r="F6768" s="636"/>
      <c r="G6768" s="636"/>
      <c r="H6768" s="636"/>
      <c r="I6768" s="636"/>
      <c r="J6768" s="636" t="s">
        <v>13671</v>
      </c>
      <c r="K6768" s="636" t="s">
        <v>14461</v>
      </c>
      <c r="L6768" s="636" t="s">
        <v>15362</v>
      </c>
    </row>
    <row r="6769" spans="1:12" ht="24" customHeight="1">
      <c r="A6769" s="636"/>
      <c r="B6769" s="636"/>
      <c r="C6769" s="636"/>
      <c r="D6769" s="636"/>
      <c r="E6769" s="636"/>
      <c r="F6769" s="636"/>
      <c r="G6769" s="636"/>
      <c r="H6769" s="636"/>
      <c r="I6769" s="636"/>
      <c r="J6769" s="636" t="s">
        <v>13670</v>
      </c>
      <c r="K6769" s="636"/>
      <c r="L6769" s="636" t="s">
        <v>15371</v>
      </c>
    </row>
    <row r="6770" spans="1:12" ht="24" customHeight="1">
      <c r="A6770" s="636"/>
      <c r="B6770" s="636"/>
      <c r="C6770" s="636"/>
      <c r="D6770" s="636"/>
      <c r="E6770" s="636"/>
      <c r="F6770" s="636"/>
      <c r="G6770" s="636"/>
      <c r="H6770" s="636"/>
      <c r="I6770" s="636"/>
      <c r="J6770" s="636" t="s">
        <v>13669</v>
      </c>
      <c r="K6770" s="636" t="s">
        <v>13667</v>
      </c>
      <c r="L6770" s="636" t="s">
        <v>15372</v>
      </c>
    </row>
    <row r="6771" spans="1:12" ht="17.100000000000001" customHeight="1">
      <c r="A6771" s="636"/>
      <c r="B6771" s="636"/>
      <c r="C6771" s="636"/>
      <c r="D6771" s="636"/>
      <c r="E6771" s="636"/>
      <c r="F6771" s="636"/>
      <c r="G6771" s="636"/>
      <c r="H6771" s="636"/>
      <c r="I6771" s="636"/>
      <c r="J6771" s="636" t="s">
        <v>13668</v>
      </c>
      <c r="K6771" s="636"/>
      <c r="L6771" s="636" t="s">
        <v>15373</v>
      </c>
    </row>
    <row r="6772" spans="1:12" ht="17.100000000000001" customHeight="1">
      <c r="A6772" s="637"/>
      <c r="B6772" s="637"/>
      <c r="C6772" s="637"/>
      <c r="D6772" s="637"/>
      <c r="E6772" s="637"/>
      <c r="F6772" s="637"/>
      <c r="G6772" s="637"/>
      <c r="H6772" s="637"/>
      <c r="I6772" s="637"/>
      <c r="J6772" s="637"/>
      <c r="K6772" s="637"/>
      <c r="L6772" s="637"/>
    </row>
    <row r="6773" spans="1:12" ht="17.100000000000001" customHeight="1">
      <c r="A6773" s="616" t="s">
        <v>14015</v>
      </c>
      <c r="B6773" s="617" t="s">
        <v>13484</v>
      </c>
      <c r="C6773" s="616" t="s">
        <v>8</v>
      </c>
      <c r="D6773" s="616" t="s">
        <v>1995</v>
      </c>
      <c r="E6773" s="618" t="s">
        <v>35</v>
      </c>
      <c r="F6773" s="617"/>
      <c r="G6773" s="617"/>
      <c r="H6773" s="617"/>
      <c r="I6773" s="617"/>
      <c r="J6773" s="617"/>
      <c r="K6773" s="617"/>
      <c r="L6773" s="617"/>
    </row>
    <row r="6774" spans="1:12" ht="17.100000000000001" customHeight="1">
      <c r="A6774" s="802" t="s">
        <v>12711</v>
      </c>
      <c r="B6774" s="802"/>
      <c r="C6774" s="802"/>
      <c r="D6774" s="802"/>
      <c r="E6774" s="802"/>
      <c r="F6774" s="802"/>
      <c r="G6774" s="802"/>
      <c r="H6774" s="802"/>
      <c r="I6774" s="612"/>
      <c r="J6774" s="612"/>
      <c r="K6774" s="612"/>
      <c r="L6774" s="612"/>
    </row>
    <row r="6775" spans="1:12" ht="17.100000000000001" customHeight="1">
      <c r="A6775" s="612" t="s">
        <v>13679</v>
      </c>
      <c r="B6775" s="636" t="s">
        <v>12698</v>
      </c>
      <c r="C6775" s="612" t="s">
        <v>12699</v>
      </c>
      <c r="D6775" s="612" t="s">
        <v>12700</v>
      </c>
      <c r="E6775" s="637" t="s">
        <v>12702</v>
      </c>
      <c r="F6775" s="801" t="s">
        <v>12704</v>
      </c>
      <c r="G6775" s="801"/>
      <c r="H6775" s="801" t="s">
        <v>13678</v>
      </c>
      <c r="I6775" s="801"/>
      <c r="J6775" s="801" t="s">
        <v>12705</v>
      </c>
      <c r="K6775" s="801"/>
      <c r="L6775" s="801"/>
    </row>
    <row r="6776" spans="1:12" ht="17.100000000000001" customHeight="1">
      <c r="A6776" s="626" t="s">
        <v>12709</v>
      </c>
      <c r="B6776" s="627" t="s">
        <v>13201</v>
      </c>
      <c r="C6776" s="626" t="s">
        <v>8</v>
      </c>
      <c r="D6776" s="626" t="s">
        <v>9221</v>
      </c>
      <c r="E6776" s="628" t="s">
        <v>23</v>
      </c>
      <c r="F6776" s="816" t="s">
        <v>13705</v>
      </c>
      <c r="G6776" s="816"/>
      <c r="H6776" s="816">
        <v>0.25886619999999999</v>
      </c>
      <c r="I6776" s="816"/>
      <c r="J6776" s="817">
        <v>0.21490000000000001</v>
      </c>
      <c r="K6776" s="817"/>
      <c r="L6776" s="817"/>
    </row>
    <row r="6777" spans="1:12" ht="17.100000000000001" customHeight="1">
      <c r="A6777" s="626" t="s">
        <v>12709</v>
      </c>
      <c r="B6777" s="627" t="s">
        <v>13200</v>
      </c>
      <c r="C6777" s="626" t="s">
        <v>8</v>
      </c>
      <c r="D6777" s="626" t="s">
        <v>9368</v>
      </c>
      <c r="E6777" s="628" t="s">
        <v>23</v>
      </c>
      <c r="F6777" s="816" t="s">
        <v>13704</v>
      </c>
      <c r="G6777" s="816"/>
      <c r="H6777" s="816">
        <v>0.25886619999999999</v>
      </c>
      <c r="I6777" s="816"/>
      <c r="J6777" s="817">
        <v>6.2100000000000002E-2</v>
      </c>
      <c r="K6777" s="817"/>
      <c r="L6777" s="817"/>
    </row>
    <row r="6778" spans="1:12" ht="30" customHeight="1">
      <c r="A6778" s="636"/>
      <c r="B6778" s="636"/>
      <c r="C6778" s="636"/>
      <c r="D6778" s="636"/>
      <c r="E6778" s="636"/>
      <c r="F6778" s="636"/>
      <c r="G6778" s="636"/>
      <c r="H6778" s="636"/>
      <c r="I6778" s="636"/>
      <c r="J6778" s="636" t="s">
        <v>13675</v>
      </c>
      <c r="K6778" s="636"/>
      <c r="L6778" s="636" t="s">
        <v>13762</v>
      </c>
    </row>
    <row r="6779" spans="1:12" ht="48" customHeight="1">
      <c r="A6779" s="802" t="s">
        <v>12710</v>
      </c>
      <c r="B6779" s="802"/>
      <c r="C6779" s="802"/>
      <c r="D6779" s="802"/>
      <c r="E6779" s="802"/>
      <c r="F6779" s="802"/>
      <c r="G6779" s="802"/>
      <c r="H6779" s="802"/>
      <c r="I6779" s="612"/>
      <c r="J6779" s="612"/>
      <c r="K6779" s="612"/>
      <c r="L6779" s="612"/>
    </row>
    <row r="6780" spans="1:12" ht="14.25" customHeight="1">
      <c r="A6780" s="612" t="s">
        <v>13679</v>
      </c>
      <c r="B6780" s="636" t="s">
        <v>12698</v>
      </c>
      <c r="C6780" s="612" t="s">
        <v>12699</v>
      </c>
      <c r="D6780" s="612" t="s">
        <v>12700</v>
      </c>
      <c r="E6780" s="637" t="s">
        <v>12702</v>
      </c>
      <c r="F6780" s="801" t="s">
        <v>12704</v>
      </c>
      <c r="G6780" s="801"/>
      <c r="H6780" s="801" t="s">
        <v>13678</v>
      </c>
      <c r="I6780" s="801"/>
      <c r="J6780" s="801" t="s">
        <v>12705</v>
      </c>
      <c r="K6780" s="801"/>
      <c r="L6780" s="801"/>
    </row>
    <row r="6781" spans="1:12" ht="17.100000000000001" customHeight="1">
      <c r="A6781" s="626" t="s">
        <v>12709</v>
      </c>
      <c r="B6781" s="627" t="s">
        <v>13220</v>
      </c>
      <c r="C6781" s="626" t="s">
        <v>8</v>
      </c>
      <c r="D6781" s="626" t="s">
        <v>7592</v>
      </c>
      <c r="E6781" s="628" t="s">
        <v>23</v>
      </c>
      <c r="F6781" s="816" t="s">
        <v>13890</v>
      </c>
      <c r="G6781" s="816"/>
      <c r="H6781" s="816">
        <v>0.13149710000000001</v>
      </c>
      <c r="I6781" s="816"/>
      <c r="J6781" s="817">
        <v>0.66539999999999999</v>
      </c>
      <c r="K6781" s="817"/>
      <c r="L6781" s="817"/>
    </row>
    <row r="6782" spans="1:12" ht="24" customHeight="1">
      <c r="A6782" s="626" t="s">
        <v>12709</v>
      </c>
      <c r="B6782" s="627" t="s">
        <v>13202</v>
      </c>
      <c r="C6782" s="626" t="s">
        <v>8</v>
      </c>
      <c r="D6782" s="626" t="s">
        <v>9187</v>
      </c>
      <c r="E6782" s="628" t="s">
        <v>23</v>
      </c>
      <c r="F6782" s="816" t="s">
        <v>14479</v>
      </c>
      <c r="G6782" s="816"/>
      <c r="H6782" s="816">
        <v>0.13149710000000001</v>
      </c>
      <c r="I6782" s="816"/>
      <c r="J6782" s="817">
        <v>0.94020000000000004</v>
      </c>
      <c r="K6782" s="817"/>
      <c r="L6782" s="817"/>
    </row>
    <row r="6783" spans="1:12" ht="24" customHeight="1">
      <c r="A6783" s="636"/>
      <c r="B6783" s="636"/>
      <c r="C6783" s="636"/>
      <c r="D6783" s="636"/>
      <c r="E6783" s="636"/>
      <c r="F6783" s="636"/>
      <c r="G6783" s="636"/>
      <c r="H6783" s="636"/>
      <c r="I6783" s="636"/>
      <c r="J6783" s="636" t="s">
        <v>13675</v>
      </c>
      <c r="K6783" s="636"/>
      <c r="L6783" s="636" t="s">
        <v>14001</v>
      </c>
    </row>
    <row r="6784" spans="1:12" ht="17.100000000000001" customHeight="1">
      <c r="A6784" s="802" t="s">
        <v>12720</v>
      </c>
      <c r="B6784" s="802"/>
      <c r="C6784" s="802"/>
      <c r="D6784" s="802"/>
      <c r="E6784" s="802"/>
      <c r="F6784" s="802"/>
      <c r="G6784" s="802"/>
      <c r="H6784" s="802"/>
      <c r="I6784" s="612"/>
      <c r="J6784" s="612"/>
      <c r="K6784" s="612"/>
      <c r="L6784" s="612"/>
    </row>
    <row r="6785" spans="1:12" ht="14.25" customHeight="1">
      <c r="A6785" s="612" t="s">
        <v>13679</v>
      </c>
      <c r="B6785" s="636" t="s">
        <v>12698</v>
      </c>
      <c r="C6785" s="612" t="s">
        <v>12699</v>
      </c>
      <c r="D6785" s="612" t="s">
        <v>12700</v>
      </c>
      <c r="E6785" s="637" t="s">
        <v>12702</v>
      </c>
      <c r="F6785" s="801" t="s">
        <v>12704</v>
      </c>
      <c r="G6785" s="801"/>
      <c r="H6785" s="801" t="s">
        <v>13678</v>
      </c>
      <c r="I6785" s="801"/>
      <c r="J6785" s="801" t="s">
        <v>12705</v>
      </c>
      <c r="K6785" s="801"/>
      <c r="L6785" s="801"/>
    </row>
    <row r="6786" spans="1:12" ht="17.100000000000001" customHeight="1">
      <c r="A6786" s="626" t="s">
        <v>12709</v>
      </c>
      <c r="B6786" s="627" t="s">
        <v>13462</v>
      </c>
      <c r="C6786" s="626" t="s">
        <v>8</v>
      </c>
      <c r="D6786" s="626" t="s">
        <v>10684</v>
      </c>
      <c r="E6786" s="628" t="s">
        <v>35</v>
      </c>
      <c r="F6786" s="816" t="s">
        <v>14633</v>
      </c>
      <c r="G6786" s="816"/>
      <c r="H6786" s="816">
        <v>0.02</v>
      </c>
      <c r="I6786" s="816"/>
      <c r="J6786" s="817">
        <v>0.57999999999999996</v>
      </c>
      <c r="K6786" s="817"/>
      <c r="L6786" s="817"/>
    </row>
    <row r="6787" spans="1:12" ht="24" customHeight="1">
      <c r="A6787" s="626" t="s">
        <v>12709</v>
      </c>
      <c r="B6787" s="627" t="s">
        <v>13463</v>
      </c>
      <c r="C6787" s="626" t="s">
        <v>8</v>
      </c>
      <c r="D6787" s="626" t="s">
        <v>7398</v>
      </c>
      <c r="E6787" s="628" t="s">
        <v>35</v>
      </c>
      <c r="F6787" s="816" t="s">
        <v>13806</v>
      </c>
      <c r="G6787" s="816"/>
      <c r="H6787" s="816">
        <v>1</v>
      </c>
      <c r="I6787" s="816"/>
      <c r="J6787" s="817">
        <v>1.86</v>
      </c>
      <c r="K6787" s="817"/>
      <c r="L6787" s="817"/>
    </row>
    <row r="6788" spans="1:12" ht="24" customHeight="1">
      <c r="A6788" s="626" t="s">
        <v>12709</v>
      </c>
      <c r="B6788" s="627" t="s">
        <v>13483</v>
      </c>
      <c r="C6788" s="626" t="s">
        <v>8</v>
      </c>
      <c r="D6788" s="626" t="s">
        <v>9753</v>
      </c>
      <c r="E6788" s="628" t="s">
        <v>35</v>
      </c>
      <c r="F6788" s="816" t="s">
        <v>14640</v>
      </c>
      <c r="G6788" s="816"/>
      <c r="H6788" s="816">
        <v>1</v>
      </c>
      <c r="I6788" s="816"/>
      <c r="J6788" s="817">
        <v>2.16</v>
      </c>
      <c r="K6788" s="817"/>
      <c r="L6788" s="817"/>
    </row>
    <row r="6789" spans="1:12" ht="17.100000000000001" customHeight="1">
      <c r="A6789" s="636"/>
      <c r="B6789" s="636"/>
      <c r="C6789" s="636"/>
      <c r="D6789" s="636"/>
      <c r="E6789" s="636"/>
      <c r="F6789" s="636"/>
      <c r="G6789" s="636"/>
      <c r="H6789" s="636"/>
      <c r="I6789" s="636"/>
      <c r="J6789" s="636" t="s">
        <v>13675</v>
      </c>
      <c r="K6789" s="636"/>
      <c r="L6789" s="636" t="s">
        <v>14639</v>
      </c>
    </row>
    <row r="6790" spans="1:12">
      <c r="A6790" s="802" t="s">
        <v>12722</v>
      </c>
      <c r="B6790" s="802"/>
      <c r="C6790" s="802"/>
      <c r="D6790" s="802"/>
      <c r="E6790" s="802"/>
      <c r="F6790" s="802"/>
      <c r="G6790" s="802"/>
      <c r="H6790" s="802"/>
      <c r="I6790" s="612"/>
      <c r="J6790" s="612"/>
      <c r="K6790" s="612"/>
      <c r="L6790" s="612"/>
    </row>
    <row r="6791" spans="1:12" ht="17.100000000000001" customHeight="1">
      <c r="A6791" s="612" t="s">
        <v>13679</v>
      </c>
      <c r="B6791" s="636" t="s">
        <v>12698</v>
      </c>
      <c r="C6791" s="612" t="s">
        <v>12699</v>
      </c>
      <c r="D6791" s="612" t="s">
        <v>12700</v>
      </c>
      <c r="E6791" s="637" t="s">
        <v>12702</v>
      </c>
      <c r="F6791" s="801" t="s">
        <v>12704</v>
      </c>
      <c r="G6791" s="801"/>
      <c r="H6791" s="801" t="s">
        <v>13678</v>
      </c>
      <c r="I6791" s="801"/>
      <c r="J6791" s="801" t="s">
        <v>12705</v>
      </c>
      <c r="K6791" s="801"/>
      <c r="L6791" s="801"/>
    </row>
    <row r="6792" spans="1:12" ht="24" customHeight="1">
      <c r="A6792" s="626" t="s">
        <v>12709</v>
      </c>
      <c r="B6792" s="627" t="s">
        <v>12998</v>
      </c>
      <c r="C6792" s="626" t="s">
        <v>8</v>
      </c>
      <c r="D6792" s="626" t="s">
        <v>11861</v>
      </c>
      <c r="E6792" s="628" t="s">
        <v>23</v>
      </c>
      <c r="F6792" s="816" t="s">
        <v>13683</v>
      </c>
      <c r="G6792" s="816"/>
      <c r="H6792" s="816">
        <v>0.25886619999999999</v>
      </c>
      <c r="I6792" s="816"/>
      <c r="J6792" s="817">
        <v>0.18379999999999999</v>
      </c>
      <c r="K6792" s="817"/>
      <c r="L6792" s="817"/>
    </row>
    <row r="6793" spans="1:12" ht="36" customHeight="1">
      <c r="A6793" s="636"/>
      <c r="B6793" s="636"/>
      <c r="C6793" s="636"/>
      <c r="D6793" s="636"/>
      <c r="E6793" s="636"/>
      <c r="F6793" s="636"/>
      <c r="G6793" s="636"/>
      <c r="H6793" s="636"/>
      <c r="I6793" s="636"/>
      <c r="J6793" s="636" t="s">
        <v>13675</v>
      </c>
      <c r="K6793" s="636"/>
      <c r="L6793" s="636" t="s">
        <v>13682</v>
      </c>
    </row>
    <row r="6794" spans="1:12" ht="24" customHeight="1">
      <c r="A6794" s="802" t="s">
        <v>12713</v>
      </c>
      <c r="B6794" s="802"/>
      <c r="C6794" s="802"/>
      <c r="D6794" s="802"/>
      <c r="E6794" s="802"/>
      <c r="F6794" s="802"/>
      <c r="G6794" s="802"/>
      <c r="H6794" s="802"/>
      <c r="I6794" s="612"/>
      <c r="J6794" s="612"/>
      <c r="K6794" s="612"/>
      <c r="L6794" s="612"/>
    </row>
    <row r="6795" spans="1:12" ht="17.100000000000001" customHeight="1">
      <c r="A6795" s="612" t="s">
        <v>13679</v>
      </c>
      <c r="B6795" s="636" t="s">
        <v>12698</v>
      </c>
      <c r="C6795" s="612" t="s">
        <v>12699</v>
      </c>
      <c r="D6795" s="612" t="s">
        <v>12700</v>
      </c>
      <c r="E6795" s="637" t="s">
        <v>12702</v>
      </c>
      <c r="F6795" s="801" t="s">
        <v>12704</v>
      </c>
      <c r="G6795" s="801"/>
      <c r="H6795" s="801" t="s">
        <v>13678</v>
      </c>
      <c r="I6795" s="801"/>
      <c r="J6795" s="801" t="s">
        <v>12705</v>
      </c>
      <c r="K6795" s="801"/>
      <c r="L6795" s="801"/>
    </row>
    <row r="6796" spans="1:12" ht="25.5">
      <c r="A6796" s="626" t="s">
        <v>12709</v>
      </c>
      <c r="B6796" s="627" t="s">
        <v>12999</v>
      </c>
      <c r="C6796" s="626" t="s">
        <v>8</v>
      </c>
      <c r="D6796" s="626" t="s">
        <v>11251</v>
      </c>
      <c r="E6796" s="628" t="s">
        <v>23</v>
      </c>
      <c r="F6796" s="816" t="s">
        <v>13681</v>
      </c>
      <c r="G6796" s="816"/>
      <c r="H6796" s="816">
        <v>0.25886619999999999</v>
      </c>
      <c r="I6796" s="816"/>
      <c r="J6796" s="817">
        <v>1.8100000000000002E-2</v>
      </c>
      <c r="K6796" s="817"/>
      <c r="L6796" s="817"/>
    </row>
    <row r="6797" spans="1:12" ht="17.100000000000001" customHeight="1">
      <c r="A6797" s="636"/>
      <c r="B6797" s="636"/>
      <c r="C6797" s="636"/>
      <c r="D6797" s="636"/>
      <c r="E6797" s="636"/>
      <c r="F6797" s="636"/>
      <c r="G6797" s="636"/>
      <c r="H6797" s="636"/>
      <c r="I6797" s="636"/>
      <c r="J6797" s="636" t="s">
        <v>13675</v>
      </c>
      <c r="K6797" s="636"/>
      <c r="L6797" s="636" t="s">
        <v>13680</v>
      </c>
    </row>
    <row r="6798" spans="1:12" ht="24" customHeight="1">
      <c r="A6798" s="802" t="s">
        <v>12712</v>
      </c>
      <c r="B6798" s="802"/>
      <c r="C6798" s="802"/>
      <c r="D6798" s="802"/>
      <c r="E6798" s="802"/>
      <c r="F6798" s="802"/>
      <c r="G6798" s="802"/>
      <c r="H6798" s="802"/>
      <c r="I6798" s="612"/>
      <c r="J6798" s="612"/>
      <c r="K6798" s="612"/>
      <c r="L6798" s="612"/>
    </row>
    <row r="6799" spans="1:12" ht="17.100000000000001" customHeight="1">
      <c r="A6799" s="612" t="s">
        <v>13679</v>
      </c>
      <c r="B6799" s="636" t="s">
        <v>12698</v>
      </c>
      <c r="C6799" s="612" t="s">
        <v>12699</v>
      </c>
      <c r="D6799" s="612" t="s">
        <v>12700</v>
      </c>
      <c r="E6799" s="637" t="s">
        <v>12702</v>
      </c>
      <c r="F6799" s="801" t="s">
        <v>12704</v>
      </c>
      <c r="G6799" s="801"/>
      <c r="H6799" s="801" t="s">
        <v>13678</v>
      </c>
      <c r="I6799" s="801"/>
      <c r="J6799" s="801" t="s">
        <v>12705</v>
      </c>
      <c r="K6799" s="801"/>
      <c r="L6799" s="801"/>
    </row>
    <row r="6800" spans="1:12" ht="25.5">
      <c r="A6800" s="626" t="s">
        <v>12709</v>
      </c>
      <c r="B6800" s="627" t="s">
        <v>13002</v>
      </c>
      <c r="C6800" s="626" t="s">
        <v>8</v>
      </c>
      <c r="D6800" s="626" t="s">
        <v>9306</v>
      </c>
      <c r="E6800" s="628" t="s">
        <v>23</v>
      </c>
      <c r="F6800" s="816" t="s">
        <v>13677</v>
      </c>
      <c r="G6800" s="816"/>
      <c r="H6800" s="816">
        <v>0.25886619999999999</v>
      </c>
      <c r="I6800" s="816"/>
      <c r="J6800" s="817">
        <v>9.06E-2</v>
      </c>
      <c r="K6800" s="817"/>
      <c r="L6800" s="817"/>
    </row>
    <row r="6801" spans="1:12" ht="17.100000000000001" customHeight="1">
      <c r="A6801" s="626" t="s">
        <v>12709</v>
      </c>
      <c r="B6801" s="627" t="s">
        <v>13004</v>
      </c>
      <c r="C6801" s="626" t="s">
        <v>8</v>
      </c>
      <c r="D6801" s="626" t="s">
        <v>7388</v>
      </c>
      <c r="E6801" s="628" t="s">
        <v>23</v>
      </c>
      <c r="F6801" s="816" t="s">
        <v>13676</v>
      </c>
      <c r="G6801" s="816"/>
      <c r="H6801" s="816">
        <v>0.25886619999999999</v>
      </c>
      <c r="I6801" s="816"/>
      <c r="J6801" s="817">
        <v>0.56950000000000001</v>
      </c>
      <c r="K6801" s="817"/>
      <c r="L6801" s="817"/>
    </row>
    <row r="6802" spans="1:12" ht="24" customHeight="1">
      <c r="A6802" s="636"/>
      <c r="B6802" s="636"/>
      <c r="C6802" s="636"/>
      <c r="D6802" s="636"/>
      <c r="E6802" s="636"/>
      <c r="F6802" s="636"/>
      <c r="G6802" s="636"/>
      <c r="H6802" s="636"/>
      <c r="I6802" s="636"/>
      <c r="J6802" s="636" t="s">
        <v>13675</v>
      </c>
      <c r="K6802" s="636"/>
      <c r="L6802" s="636" t="s">
        <v>13732</v>
      </c>
    </row>
    <row r="6803" spans="1:12" ht="17.100000000000001" customHeight="1">
      <c r="A6803" s="612" t="s">
        <v>13673</v>
      </c>
      <c r="B6803" s="612"/>
      <c r="C6803" s="612"/>
      <c r="D6803" s="612"/>
      <c r="E6803" s="612"/>
      <c r="F6803" s="612"/>
      <c r="G6803" s="612"/>
      <c r="H6803" s="612"/>
      <c r="I6803" s="612"/>
      <c r="J6803" s="612"/>
      <c r="K6803" s="612"/>
      <c r="L6803" s="612"/>
    </row>
    <row r="6804" spans="1:12">
      <c r="A6804" s="636"/>
      <c r="B6804" s="636"/>
      <c r="C6804" s="636"/>
      <c r="D6804" s="636"/>
      <c r="E6804" s="636"/>
      <c r="F6804" s="636"/>
      <c r="G6804" s="636"/>
      <c r="H6804" s="636"/>
      <c r="I6804" s="636"/>
      <c r="J6804" s="636" t="s">
        <v>13672</v>
      </c>
      <c r="K6804" s="636"/>
      <c r="L6804" s="636" t="s">
        <v>15374</v>
      </c>
    </row>
    <row r="6805" spans="1:12" ht="17.100000000000001" customHeight="1">
      <c r="A6805" s="636"/>
      <c r="B6805" s="636"/>
      <c r="C6805" s="636"/>
      <c r="D6805" s="636"/>
      <c r="E6805" s="636"/>
      <c r="F6805" s="636"/>
      <c r="G6805" s="636"/>
      <c r="H6805" s="636"/>
      <c r="I6805" s="636"/>
      <c r="J6805" s="636" t="s">
        <v>13671</v>
      </c>
      <c r="K6805" s="636" t="s">
        <v>14461</v>
      </c>
      <c r="L6805" s="636" t="s">
        <v>15375</v>
      </c>
    </row>
    <row r="6806" spans="1:12" ht="24" customHeight="1">
      <c r="A6806" s="636"/>
      <c r="B6806" s="636"/>
      <c r="C6806" s="636"/>
      <c r="D6806" s="636"/>
      <c r="E6806" s="636"/>
      <c r="F6806" s="636"/>
      <c r="G6806" s="636"/>
      <c r="H6806" s="636"/>
      <c r="I6806" s="636"/>
      <c r="J6806" s="636" t="s">
        <v>13670</v>
      </c>
      <c r="K6806" s="636"/>
      <c r="L6806" s="636" t="s">
        <v>15376</v>
      </c>
    </row>
    <row r="6807" spans="1:12" ht="24" customHeight="1">
      <c r="A6807" s="636"/>
      <c r="B6807" s="636"/>
      <c r="C6807" s="636"/>
      <c r="D6807" s="636"/>
      <c r="E6807" s="636"/>
      <c r="F6807" s="636"/>
      <c r="G6807" s="636"/>
      <c r="H6807" s="636"/>
      <c r="I6807" s="636"/>
      <c r="J6807" s="636" t="s">
        <v>13669</v>
      </c>
      <c r="K6807" s="636" t="s">
        <v>13667</v>
      </c>
      <c r="L6807" s="636" t="s">
        <v>15273</v>
      </c>
    </row>
    <row r="6808" spans="1:12" ht="17.100000000000001" customHeight="1">
      <c r="A6808" s="636"/>
      <c r="B6808" s="636"/>
      <c r="C6808" s="636"/>
      <c r="D6808" s="636"/>
      <c r="E6808" s="636"/>
      <c r="F6808" s="636"/>
      <c r="G6808" s="636"/>
      <c r="H6808" s="636"/>
      <c r="I6808" s="636"/>
      <c r="J6808" s="636" t="s">
        <v>13668</v>
      </c>
      <c r="K6808" s="636"/>
      <c r="L6808" s="636" t="s">
        <v>15377</v>
      </c>
    </row>
    <row r="6809" spans="1:12" ht="17.100000000000001" customHeight="1">
      <c r="A6809" s="637"/>
      <c r="B6809" s="637"/>
      <c r="C6809" s="637"/>
      <c r="D6809" s="637"/>
      <c r="E6809" s="637"/>
      <c r="F6809" s="637"/>
      <c r="G6809" s="637"/>
      <c r="H6809" s="637"/>
      <c r="I6809" s="637"/>
      <c r="J6809" s="637"/>
      <c r="K6809" s="637"/>
      <c r="L6809" s="637"/>
    </row>
    <row r="6810" spans="1:12" ht="17.100000000000001" customHeight="1">
      <c r="A6810" s="616" t="s">
        <v>14014</v>
      </c>
      <c r="B6810" s="617" t="s">
        <v>13482</v>
      </c>
      <c r="C6810" s="616" t="s">
        <v>8</v>
      </c>
      <c r="D6810" s="616" t="s">
        <v>2005</v>
      </c>
      <c r="E6810" s="618" t="s">
        <v>35</v>
      </c>
      <c r="F6810" s="617"/>
      <c r="G6810" s="617"/>
      <c r="H6810" s="617"/>
      <c r="I6810" s="617"/>
      <c r="J6810" s="617"/>
      <c r="K6810" s="617"/>
      <c r="L6810" s="617"/>
    </row>
    <row r="6811" spans="1:12" ht="17.100000000000001" customHeight="1">
      <c r="A6811" s="802" t="s">
        <v>12711</v>
      </c>
      <c r="B6811" s="802"/>
      <c r="C6811" s="802"/>
      <c r="D6811" s="802"/>
      <c r="E6811" s="802"/>
      <c r="F6811" s="802"/>
      <c r="G6811" s="802"/>
      <c r="H6811" s="802"/>
      <c r="I6811" s="612"/>
      <c r="J6811" s="612"/>
      <c r="K6811" s="612"/>
      <c r="L6811" s="612"/>
    </row>
    <row r="6812" spans="1:12" ht="17.100000000000001" customHeight="1">
      <c r="A6812" s="612" t="s">
        <v>13679</v>
      </c>
      <c r="B6812" s="636" t="s">
        <v>12698</v>
      </c>
      <c r="C6812" s="612" t="s">
        <v>12699</v>
      </c>
      <c r="D6812" s="612" t="s">
        <v>12700</v>
      </c>
      <c r="E6812" s="637" t="s">
        <v>12702</v>
      </c>
      <c r="F6812" s="801" t="s">
        <v>12704</v>
      </c>
      <c r="G6812" s="801"/>
      <c r="H6812" s="801" t="s">
        <v>13678</v>
      </c>
      <c r="I6812" s="801"/>
      <c r="J6812" s="801" t="s">
        <v>12705</v>
      </c>
      <c r="K6812" s="801"/>
      <c r="L6812" s="801"/>
    </row>
    <row r="6813" spans="1:12" ht="17.100000000000001" customHeight="1">
      <c r="A6813" s="626" t="s">
        <v>12709</v>
      </c>
      <c r="B6813" s="627" t="s">
        <v>13201</v>
      </c>
      <c r="C6813" s="626" t="s">
        <v>8</v>
      </c>
      <c r="D6813" s="626" t="s">
        <v>9221</v>
      </c>
      <c r="E6813" s="628" t="s">
        <v>23</v>
      </c>
      <c r="F6813" s="816" t="s">
        <v>13705</v>
      </c>
      <c r="G6813" s="816"/>
      <c r="H6813" s="816">
        <v>0.49783090000000002</v>
      </c>
      <c r="I6813" s="816"/>
      <c r="J6813" s="817">
        <v>0.41320000000000001</v>
      </c>
      <c r="K6813" s="817"/>
      <c r="L6813" s="817"/>
    </row>
    <row r="6814" spans="1:12" ht="17.100000000000001" customHeight="1">
      <c r="A6814" s="626" t="s">
        <v>12709</v>
      </c>
      <c r="B6814" s="627" t="s">
        <v>13200</v>
      </c>
      <c r="C6814" s="626" t="s">
        <v>8</v>
      </c>
      <c r="D6814" s="626" t="s">
        <v>9368</v>
      </c>
      <c r="E6814" s="628" t="s">
        <v>23</v>
      </c>
      <c r="F6814" s="816" t="s">
        <v>13704</v>
      </c>
      <c r="G6814" s="816"/>
      <c r="H6814" s="816">
        <v>0.49783090000000002</v>
      </c>
      <c r="I6814" s="816"/>
      <c r="J6814" s="817">
        <v>0.1195</v>
      </c>
      <c r="K6814" s="817"/>
      <c r="L6814" s="817"/>
    </row>
    <row r="6815" spans="1:12" ht="30" customHeight="1">
      <c r="A6815" s="636"/>
      <c r="B6815" s="636"/>
      <c r="C6815" s="636"/>
      <c r="D6815" s="636"/>
      <c r="E6815" s="636"/>
      <c r="F6815" s="636"/>
      <c r="G6815" s="636"/>
      <c r="H6815" s="636"/>
      <c r="I6815" s="636"/>
      <c r="J6815" s="636" t="s">
        <v>13675</v>
      </c>
      <c r="K6815" s="636"/>
      <c r="L6815" s="636" t="s">
        <v>13803</v>
      </c>
    </row>
    <row r="6816" spans="1:12" ht="48" customHeight="1">
      <c r="A6816" s="802" t="s">
        <v>12710</v>
      </c>
      <c r="B6816" s="802"/>
      <c r="C6816" s="802"/>
      <c r="D6816" s="802"/>
      <c r="E6816" s="802"/>
      <c r="F6816" s="802"/>
      <c r="G6816" s="802"/>
      <c r="H6816" s="802"/>
      <c r="I6816" s="612"/>
      <c r="J6816" s="612"/>
      <c r="K6816" s="612"/>
      <c r="L6816" s="612"/>
    </row>
    <row r="6817" spans="1:12" ht="14.25" customHeight="1">
      <c r="A6817" s="612" t="s">
        <v>13679</v>
      </c>
      <c r="B6817" s="636" t="s">
        <v>12698</v>
      </c>
      <c r="C6817" s="612" t="s">
        <v>12699</v>
      </c>
      <c r="D6817" s="612" t="s">
        <v>12700</v>
      </c>
      <c r="E6817" s="637" t="s">
        <v>12702</v>
      </c>
      <c r="F6817" s="801" t="s">
        <v>12704</v>
      </c>
      <c r="G6817" s="801"/>
      <c r="H6817" s="801" t="s">
        <v>13678</v>
      </c>
      <c r="I6817" s="801"/>
      <c r="J6817" s="801" t="s">
        <v>12705</v>
      </c>
      <c r="K6817" s="801"/>
      <c r="L6817" s="801"/>
    </row>
    <row r="6818" spans="1:12" ht="17.100000000000001" customHeight="1">
      <c r="A6818" s="626" t="s">
        <v>12709</v>
      </c>
      <c r="B6818" s="627" t="s">
        <v>13220</v>
      </c>
      <c r="C6818" s="626" t="s">
        <v>8</v>
      </c>
      <c r="D6818" s="626" t="s">
        <v>7592</v>
      </c>
      <c r="E6818" s="628" t="s">
        <v>23</v>
      </c>
      <c r="F6818" s="816" t="s">
        <v>13890</v>
      </c>
      <c r="G6818" s="816"/>
      <c r="H6818" s="816">
        <v>0.25236809999999998</v>
      </c>
      <c r="I6818" s="816"/>
      <c r="J6818" s="817">
        <v>1.2769999999999999</v>
      </c>
      <c r="K6818" s="817"/>
      <c r="L6818" s="817"/>
    </row>
    <row r="6819" spans="1:12" ht="24" customHeight="1">
      <c r="A6819" s="626" t="s">
        <v>12709</v>
      </c>
      <c r="B6819" s="627" t="s">
        <v>13202</v>
      </c>
      <c r="C6819" s="626" t="s">
        <v>8</v>
      </c>
      <c r="D6819" s="626" t="s">
        <v>9187</v>
      </c>
      <c r="E6819" s="628" t="s">
        <v>23</v>
      </c>
      <c r="F6819" s="816" t="s">
        <v>14479</v>
      </c>
      <c r="G6819" s="816"/>
      <c r="H6819" s="816">
        <v>0.25236809999999998</v>
      </c>
      <c r="I6819" s="816"/>
      <c r="J6819" s="817">
        <v>1.8044</v>
      </c>
      <c r="K6819" s="817"/>
      <c r="L6819" s="817"/>
    </row>
    <row r="6820" spans="1:12" ht="24" customHeight="1">
      <c r="A6820" s="636"/>
      <c r="B6820" s="636"/>
      <c r="C6820" s="636"/>
      <c r="D6820" s="636"/>
      <c r="E6820" s="636"/>
      <c r="F6820" s="636"/>
      <c r="G6820" s="636"/>
      <c r="H6820" s="636"/>
      <c r="I6820" s="636"/>
      <c r="J6820" s="636" t="s">
        <v>13675</v>
      </c>
      <c r="K6820" s="636"/>
      <c r="L6820" s="636" t="s">
        <v>14653</v>
      </c>
    </row>
    <row r="6821" spans="1:12" ht="17.100000000000001" customHeight="1">
      <c r="A6821" s="802" t="s">
        <v>12720</v>
      </c>
      <c r="B6821" s="802"/>
      <c r="C6821" s="802"/>
      <c r="D6821" s="802"/>
      <c r="E6821" s="802"/>
      <c r="F6821" s="802"/>
      <c r="G6821" s="802"/>
      <c r="H6821" s="802"/>
      <c r="I6821" s="612"/>
      <c r="J6821" s="612"/>
      <c r="K6821" s="612"/>
      <c r="L6821" s="612"/>
    </row>
    <row r="6822" spans="1:12" ht="14.25" customHeight="1">
      <c r="A6822" s="612" t="s">
        <v>13679</v>
      </c>
      <c r="B6822" s="636" t="s">
        <v>12698</v>
      </c>
      <c r="C6822" s="612" t="s">
        <v>12699</v>
      </c>
      <c r="D6822" s="612" t="s">
        <v>12700</v>
      </c>
      <c r="E6822" s="637" t="s">
        <v>12702</v>
      </c>
      <c r="F6822" s="801" t="s">
        <v>12704</v>
      </c>
      <c r="G6822" s="801"/>
      <c r="H6822" s="801" t="s">
        <v>13678</v>
      </c>
      <c r="I6822" s="801"/>
      <c r="J6822" s="801" t="s">
        <v>12705</v>
      </c>
      <c r="K6822" s="801"/>
      <c r="L6822" s="801"/>
    </row>
    <row r="6823" spans="1:12" ht="17.100000000000001" customHeight="1">
      <c r="A6823" s="626" t="s">
        <v>12709</v>
      </c>
      <c r="B6823" s="627" t="s">
        <v>13477</v>
      </c>
      <c r="C6823" s="626" t="s">
        <v>8</v>
      </c>
      <c r="D6823" s="626" t="s">
        <v>7400</v>
      </c>
      <c r="E6823" s="628" t="s">
        <v>35</v>
      </c>
      <c r="F6823" s="816" t="s">
        <v>14649</v>
      </c>
      <c r="G6823" s="816"/>
      <c r="H6823" s="816">
        <v>1</v>
      </c>
      <c r="I6823" s="816"/>
      <c r="J6823" s="817">
        <v>3.3</v>
      </c>
      <c r="K6823" s="817"/>
      <c r="L6823" s="817"/>
    </row>
    <row r="6824" spans="1:12" ht="24" customHeight="1">
      <c r="A6824" s="626" t="s">
        <v>12709</v>
      </c>
      <c r="B6824" s="627" t="s">
        <v>13462</v>
      </c>
      <c r="C6824" s="626" t="s">
        <v>8</v>
      </c>
      <c r="D6824" s="626" t="s">
        <v>10684</v>
      </c>
      <c r="E6824" s="628" t="s">
        <v>35</v>
      </c>
      <c r="F6824" s="816" t="s">
        <v>14633</v>
      </c>
      <c r="G6824" s="816"/>
      <c r="H6824" s="816">
        <v>4.5999999999999999E-2</v>
      </c>
      <c r="I6824" s="816"/>
      <c r="J6824" s="817">
        <v>1.34</v>
      </c>
      <c r="K6824" s="817"/>
      <c r="L6824" s="817"/>
    </row>
    <row r="6825" spans="1:12" ht="24" customHeight="1">
      <c r="A6825" s="626" t="s">
        <v>12709</v>
      </c>
      <c r="B6825" s="627" t="s">
        <v>13481</v>
      </c>
      <c r="C6825" s="626" t="s">
        <v>8</v>
      </c>
      <c r="D6825" s="626" t="s">
        <v>9755</v>
      </c>
      <c r="E6825" s="628" t="s">
        <v>35</v>
      </c>
      <c r="F6825" s="816" t="s">
        <v>14652</v>
      </c>
      <c r="G6825" s="816"/>
      <c r="H6825" s="816">
        <v>1</v>
      </c>
      <c r="I6825" s="816"/>
      <c r="J6825" s="817">
        <v>5.72</v>
      </c>
      <c r="K6825" s="817"/>
      <c r="L6825" s="817"/>
    </row>
    <row r="6826" spans="1:12" ht="17.100000000000001" customHeight="1">
      <c r="A6826" s="636"/>
      <c r="B6826" s="636"/>
      <c r="C6826" s="636"/>
      <c r="D6826" s="636"/>
      <c r="E6826" s="636"/>
      <c r="F6826" s="636"/>
      <c r="G6826" s="636"/>
      <c r="H6826" s="636"/>
      <c r="I6826" s="636"/>
      <c r="J6826" s="636" t="s">
        <v>13675</v>
      </c>
      <c r="K6826" s="636"/>
      <c r="L6826" s="636" t="s">
        <v>14651</v>
      </c>
    </row>
    <row r="6827" spans="1:12">
      <c r="A6827" s="802" t="s">
        <v>12722</v>
      </c>
      <c r="B6827" s="802"/>
      <c r="C6827" s="802"/>
      <c r="D6827" s="802"/>
      <c r="E6827" s="802"/>
      <c r="F6827" s="802"/>
      <c r="G6827" s="802"/>
      <c r="H6827" s="802"/>
      <c r="I6827" s="612"/>
      <c r="J6827" s="612"/>
      <c r="K6827" s="612"/>
      <c r="L6827" s="612"/>
    </row>
    <row r="6828" spans="1:12" ht="17.100000000000001" customHeight="1">
      <c r="A6828" s="612" t="s">
        <v>13679</v>
      </c>
      <c r="B6828" s="636" t="s">
        <v>12698</v>
      </c>
      <c r="C6828" s="612" t="s">
        <v>12699</v>
      </c>
      <c r="D6828" s="612" t="s">
        <v>12700</v>
      </c>
      <c r="E6828" s="637" t="s">
        <v>12702</v>
      </c>
      <c r="F6828" s="801" t="s">
        <v>12704</v>
      </c>
      <c r="G6828" s="801"/>
      <c r="H6828" s="801" t="s">
        <v>13678</v>
      </c>
      <c r="I6828" s="801"/>
      <c r="J6828" s="801" t="s">
        <v>12705</v>
      </c>
      <c r="K6828" s="801"/>
      <c r="L6828" s="801"/>
    </row>
    <row r="6829" spans="1:12" ht="36" customHeight="1">
      <c r="A6829" s="626" t="s">
        <v>12709</v>
      </c>
      <c r="B6829" s="627" t="s">
        <v>12998</v>
      </c>
      <c r="C6829" s="626" t="s">
        <v>8</v>
      </c>
      <c r="D6829" s="626" t="s">
        <v>11861</v>
      </c>
      <c r="E6829" s="628" t="s">
        <v>23</v>
      </c>
      <c r="F6829" s="816" t="s">
        <v>13683</v>
      </c>
      <c r="G6829" s="816"/>
      <c r="H6829" s="816">
        <v>0.49783090000000002</v>
      </c>
      <c r="I6829" s="816"/>
      <c r="J6829" s="817">
        <v>0.35349999999999998</v>
      </c>
      <c r="K6829" s="817"/>
      <c r="L6829" s="817"/>
    </row>
    <row r="6830" spans="1:12" ht="24" customHeight="1">
      <c r="A6830" s="636"/>
      <c r="B6830" s="636"/>
      <c r="C6830" s="636"/>
      <c r="D6830" s="636"/>
      <c r="E6830" s="636"/>
      <c r="F6830" s="636"/>
      <c r="G6830" s="636"/>
      <c r="H6830" s="636"/>
      <c r="I6830" s="636"/>
      <c r="J6830" s="636" t="s">
        <v>13675</v>
      </c>
      <c r="K6830" s="636"/>
      <c r="L6830" s="636" t="s">
        <v>13677</v>
      </c>
    </row>
    <row r="6831" spans="1:12" ht="24" customHeight="1">
      <c r="A6831" s="802" t="s">
        <v>12713</v>
      </c>
      <c r="B6831" s="802"/>
      <c r="C6831" s="802"/>
      <c r="D6831" s="802"/>
      <c r="E6831" s="802"/>
      <c r="F6831" s="802"/>
      <c r="G6831" s="802"/>
      <c r="H6831" s="802"/>
      <c r="I6831" s="612"/>
      <c r="J6831" s="612"/>
      <c r="K6831" s="612"/>
      <c r="L6831" s="612"/>
    </row>
    <row r="6832" spans="1:12" ht="17.100000000000001" customHeight="1">
      <c r="A6832" s="612" t="s">
        <v>13679</v>
      </c>
      <c r="B6832" s="636" t="s">
        <v>12698</v>
      </c>
      <c r="C6832" s="612" t="s">
        <v>12699</v>
      </c>
      <c r="D6832" s="612" t="s">
        <v>12700</v>
      </c>
      <c r="E6832" s="637" t="s">
        <v>12702</v>
      </c>
      <c r="F6832" s="801" t="s">
        <v>12704</v>
      </c>
      <c r="G6832" s="801"/>
      <c r="H6832" s="801" t="s">
        <v>13678</v>
      </c>
      <c r="I6832" s="801"/>
      <c r="J6832" s="801" t="s">
        <v>12705</v>
      </c>
      <c r="K6832" s="801"/>
      <c r="L6832" s="801"/>
    </row>
    <row r="6833" spans="1:12" ht="25.5">
      <c r="A6833" s="626" t="s">
        <v>12709</v>
      </c>
      <c r="B6833" s="627" t="s">
        <v>12999</v>
      </c>
      <c r="C6833" s="626" t="s">
        <v>8</v>
      </c>
      <c r="D6833" s="626" t="s">
        <v>11251</v>
      </c>
      <c r="E6833" s="628" t="s">
        <v>23</v>
      </c>
      <c r="F6833" s="816" t="s">
        <v>13681</v>
      </c>
      <c r="G6833" s="816"/>
      <c r="H6833" s="816">
        <v>0.49783090000000002</v>
      </c>
      <c r="I6833" s="816"/>
      <c r="J6833" s="817">
        <v>3.4799999999999998E-2</v>
      </c>
      <c r="K6833" s="817"/>
      <c r="L6833" s="817"/>
    </row>
    <row r="6834" spans="1:12" ht="17.100000000000001" customHeight="1">
      <c r="A6834" s="636"/>
      <c r="B6834" s="636"/>
      <c r="C6834" s="636"/>
      <c r="D6834" s="636"/>
      <c r="E6834" s="636"/>
      <c r="F6834" s="636"/>
      <c r="G6834" s="636"/>
      <c r="H6834" s="636"/>
      <c r="I6834" s="636"/>
      <c r="J6834" s="636" t="s">
        <v>13675</v>
      </c>
      <c r="K6834" s="636"/>
      <c r="L6834" s="636" t="s">
        <v>13726</v>
      </c>
    </row>
    <row r="6835" spans="1:12" ht="24" customHeight="1">
      <c r="A6835" s="802" t="s">
        <v>12712</v>
      </c>
      <c r="B6835" s="802"/>
      <c r="C6835" s="802"/>
      <c r="D6835" s="802"/>
      <c r="E6835" s="802"/>
      <c r="F6835" s="802"/>
      <c r="G6835" s="802"/>
      <c r="H6835" s="802"/>
      <c r="I6835" s="612"/>
      <c r="J6835" s="612"/>
      <c r="K6835" s="612"/>
      <c r="L6835" s="612"/>
    </row>
    <row r="6836" spans="1:12" ht="17.100000000000001" customHeight="1">
      <c r="A6836" s="612" t="s">
        <v>13679</v>
      </c>
      <c r="B6836" s="636" t="s">
        <v>12698</v>
      </c>
      <c r="C6836" s="612" t="s">
        <v>12699</v>
      </c>
      <c r="D6836" s="612" t="s">
        <v>12700</v>
      </c>
      <c r="E6836" s="637" t="s">
        <v>12702</v>
      </c>
      <c r="F6836" s="801" t="s">
        <v>12704</v>
      </c>
      <c r="G6836" s="801"/>
      <c r="H6836" s="801" t="s">
        <v>13678</v>
      </c>
      <c r="I6836" s="801"/>
      <c r="J6836" s="801" t="s">
        <v>12705</v>
      </c>
      <c r="K6836" s="801"/>
      <c r="L6836" s="801"/>
    </row>
    <row r="6837" spans="1:12" ht="25.5">
      <c r="A6837" s="626" t="s">
        <v>12709</v>
      </c>
      <c r="B6837" s="627" t="s">
        <v>13002</v>
      </c>
      <c r="C6837" s="626" t="s">
        <v>8</v>
      </c>
      <c r="D6837" s="626" t="s">
        <v>9306</v>
      </c>
      <c r="E6837" s="628" t="s">
        <v>23</v>
      </c>
      <c r="F6837" s="816" t="s">
        <v>13677</v>
      </c>
      <c r="G6837" s="816"/>
      <c r="H6837" s="816">
        <v>0.49783090000000002</v>
      </c>
      <c r="I6837" s="816"/>
      <c r="J6837" s="817">
        <v>0.17419999999999999</v>
      </c>
      <c r="K6837" s="817"/>
      <c r="L6837" s="817"/>
    </row>
    <row r="6838" spans="1:12" ht="17.100000000000001" customHeight="1">
      <c r="A6838" s="626" t="s">
        <v>12709</v>
      </c>
      <c r="B6838" s="627" t="s">
        <v>13004</v>
      </c>
      <c r="C6838" s="626" t="s">
        <v>8</v>
      </c>
      <c r="D6838" s="626" t="s">
        <v>7388</v>
      </c>
      <c r="E6838" s="628" t="s">
        <v>23</v>
      </c>
      <c r="F6838" s="816" t="s">
        <v>13676</v>
      </c>
      <c r="G6838" s="816"/>
      <c r="H6838" s="816">
        <v>0.49783090000000002</v>
      </c>
      <c r="I6838" s="816"/>
      <c r="J6838" s="817">
        <v>1.0952</v>
      </c>
      <c r="K6838" s="817"/>
      <c r="L6838" s="817"/>
    </row>
    <row r="6839" spans="1:12" ht="24" customHeight="1">
      <c r="A6839" s="636"/>
      <c r="B6839" s="636"/>
      <c r="C6839" s="636"/>
      <c r="D6839" s="636"/>
      <c r="E6839" s="636"/>
      <c r="F6839" s="636"/>
      <c r="G6839" s="636"/>
      <c r="H6839" s="636"/>
      <c r="I6839" s="636"/>
      <c r="J6839" s="636" t="s">
        <v>13675</v>
      </c>
      <c r="K6839" s="636"/>
      <c r="L6839" s="636" t="s">
        <v>13929</v>
      </c>
    </row>
    <row r="6840" spans="1:12" ht="17.100000000000001" customHeight="1">
      <c r="A6840" s="612" t="s">
        <v>13673</v>
      </c>
      <c r="B6840" s="612"/>
      <c r="C6840" s="612"/>
      <c r="D6840" s="612"/>
      <c r="E6840" s="612"/>
      <c r="F6840" s="612"/>
      <c r="G6840" s="612"/>
      <c r="H6840" s="612"/>
      <c r="I6840" s="612"/>
      <c r="J6840" s="612"/>
      <c r="K6840" s="612"/>
      <c r="L6840" s="612"/>
    </row>
    <row r="6841" spans="1:12">
      <c r="A6841" s="636"/>
      <c r="B6841" s="636"/>
      <c r="C6841" s="636"/>
      <c r="D6841" s="636"/>
      <c r="E6841" s="636"/>
      <c r="F6841" s="636"/>
      <c r="G6841" s="636"/>
      <c r="H6841" s="636"/>
      <c r="I6841" s="636"/>
      <c r="J6841" s="636" t="s">
        <v>13672</v>
      </c>
      <c r="K6841" s="636"/>
      <c r="L6841" s="636" t="s">
        <v>14934</v>
      </c>
    </row>
    <row r="6842" spans="1:12" ht="17.100000000000001" customHeight="1">
      <c r="A6842" s="636"/>
      <c r="B6842" s="636"/>
      <c r="C6842" s="636"/>
      <c r="D6842" s="636"/>
      <c r="E6842" s="636"/>
      <c r="F6842" s="636"/>
      <c r="G6842" s="636"/>
      <c r="H6842" s="636"/>
      <c r="I6842" s="636"/>
      <c r="J6842" s="636" t="s">
        <v>13671</v>
      </c>
      <c r="K6842" s="636" t="s">
        <v>14461</v>
      </c>
      <c r="L6842" s="636" t="s">
        <v>15253</v>
      </c>
    </row>
    <row r="6843" spans="1:12" ht="24" customHeight="1">
      <c r="A6843" s="636"/>
      <c r="B6843" s="636"/>
      <c r="C6843" s="636"/>
      <c r="D6843" s="636"/>
      <c r="E6843" s="636"/>
      <c r="F6843" s="636"/>
      <c r="G6843" s="636"/>
      <c r="H6843" s="636"/>
      <c r="I6843" s="636"/>
      <c r="J6843" s="636" t="s">
        <v>13670</v>
      </c>
      <c r="K6843" s="636"/>
      <c r="L6843" s="636" t="s">
        <v>15378</v>
      </c>
    </row>
    <row r="6844" spans="1:12" ht="24" customHeight="1">
      <c r="A6844" s="636"/>
      <c r="B6844" s="636"/>
      <c r="C6844" s="636"/>
      <c r="D6844" s="636"/>
      <c r="E6844" s="636"/>
      <c r="F6844" s="636"/>
      <c r="G6844" s="636"/>
      <c r="H6844" s="636"/>
      <c r="I6844" s="636"/>
      <c r="J6844" s="636" t="s">
        <v>13669</v>
      </c>
      <c r="K6844" s="636" t="s">
        <v>13667</v>
      </c>
      <c r="L6844" s="636" t="s">
        <v>15379</v>
      </c>
    </row>
    <row r="6845" spans="1:12" ht="17.100000000000001" customHeight="1">
      <c r="A6845" s="636"/>
      <c r="B6845" s="636"/>
      <c r="C6845" s="636"/>
      <c r="D6845" s="636"/>
      <c r="E6845" s="636"/>
      <c r="F6845" s="636"/>
      <c r="G6845" s="636"/>
      <c r="H6845" s="636"/>
      <c r="I6845" s="636"/>
      <c r="J6845" s="636" t="s">
        <v>13668</v>
      </c>
      <c r="K6845" s="636"/>
      <c r="L6845" s="636" t="s">
        <v>15380</v>
      </c>
    </row>
    <row r="6846" spans="1:12" ht="17.100000000000001" customHeight="1">
      <c r="A6846" s="637"/>
      <c r="B6846" s="637"/>
      <c r="C6846" s="637"/>
      <c r="D6846" s="637"/>
      <c r="E6846" s="637"/>
      <c r="F6846" s="637"/>
      <c r="G6846" s="637"/>
      <c r="H6846" s="637"/>
      <c r="I6846" s="637"/>
      <c r="J6846" s="637"/>
      <c r="K6846" s="637"/>
      <c r="L6846" s="637"/>
    </row>
    <row r="6847" spans="1:12" ht="17.100000000000001" customHeight="1">
      <c r="A6847" s="616" t="s">
        <v>14013</v>
      </c>
      <c r="B6847" s="617" t="s">
        <v>13480</v>
      </c>
      <c r="C6847" s="616" t="s">
        <v>8</v>
      </c>
      <c r="D6847" s="616" t="s">
        <v>1994</v>
      </c>
      <c r="E6847" s="618" t="s">
        <v>35</v>
      </c>
      <c r="F6847" s="617"/>
      <c r="G6847" s="617"/>
      <c r="H6847" s="617"/>
      <c r="I6847" s="617"/>
      <c r="J6847" s="617"/>
      <c r="K6847" s="617"/>
      <c r="L6847" s="617"/>
    </row>
    <row r="6848" spans="1:12" ht="17.100000000000001" customHeight="1">
      <c r="A6848" s="802" t="s">
        <v>12711</v>
      </c>
      <c r="B6848" s="802"/>
      <c r="C6848" s="802"/>
      <c r="D6848" s="802"/>
      <c r="E6848" s="802"/>
      <c r="F6848" s="802"/>
      <c r="G6848" s="802"/>
      <c r="H6848" s="802"/>
      <c r="I6848" s="612"/>
      <c r="J6848" s="612"/>
      <c r="K6848" s="612"/>
      <c r="L6848" s="612"/>
    </row>
    <row r="6849" spans="1:12" ht="17.100000000000001" customHeight="1">
      <c r="A6849" s="612" t="s">
        <v>13679</v>
      </c>
      <c r="B6849" s="636" t="s">
        <v>12698</v>
      </c>
      <c r="C6849" s="612" t="s">
        <v>12699</v>
      </c>
      <c r="D6849" s="612" t="s">
        <v>12700</v>
      </c>
      <c r="E6849" s="637" t="s">
        <v>12702</v>
      </c>
      <c r="F6849" s="801" t="s">
        <v>12704</v>
      </c>
      <c r="G6849" s="801"/>
      <c r="H6849" s="801" t="s">
        <v>13678</v>
      </c>
      <c r="I6849" s="801"/>
      <c r="J6849" s="801" t="s">
        <v>12705</v>
      </c>
      <c r="K6849" s="801"/>
      <c r="L6849" s="801"/>
    </row>
    <row r="6850" spans="1:12" ht="17.100000000000001" customHeight="1">
      <c r="A6850" s="626" t="s">
        <v>12709</v>
      </c>
      <c r="B6850" s="627" t="s">
        <v>13201</v>
      </c>
      <c r="C6850" s="626" t="s">
        <v>8</v>
      </c>
      <c r="D6850" s="626" t="s">
        <v>9221</v>
      </c>
      <c r="E6850" s="628" t="s">
        <v>23</v>
      </c>
      <c r="F6850" s="816" t="s">
        <v>13705</v>
      </c>
      <c r="G6850" s="816"/>
      <c r="H6850" s="816">
        <v>0.25886619999999999</v>
      </c>
      <c r="I6850" s="816"/>
      <c r="J6850" s="817">
        <v>0.21490000000000001</v>
      </c>
      <c r="K6850" s="817"/>
      <c r="L6850" s="817"/>
    </row>
    <row r="6851" spans="1:12" ht="17.100000000000001" customHeight="1">
      <c r="A6851" s="626" t="s">
        <v>12709</v>
      </c>
      <c r="B6851" s="627" t="s">
        <v>13200</v>
      </c>
      <c r="C6851" s="626" t="s">
        <v>8</v>
      </c>
      <c r="D6851" s="626" t="s">
        <v>9368</v>
      </c>
      <c r="E6851" s="628" t="s">
        <v>23</v>
      </c>
      <c r="F6851" s="816" t="s">
        <v>13704</v>
      </c>
      <c r="G6851" s="816"/>
      <c r="H6851" s="816">
        <v>0.25886619999999999</v>
      </c>
      <c r="I6851" s="816"/>
      <c r="J6851" s="817">
        <v>6.2100000000000002E-2</v>
      </c>
      <c r="K6851" s="817"/>
      <c r="L6851" s="817"/>
    </row>
    <row r="6852" spans="1:12" ht="30" customHeight="1">
      <c r="A6852" s="636"/>
      <c r="B6852" s="636"/>
      <c r="C6852" s="636"/>
      <c r="D6852" s="636"/>
      <c r="E6852" s="636"/>
      <c r="F6852" s="636"/>
      <c r="G6852" s="636"/>
      <c r="H6852" s="636"/>
      <c r="I6852" s="636"/>
      <c r="J6852" s="636" t="s">
        <v>13675</v>
      </c>
      <c r="K6852" s="636"/>
      <c r="L6852" s="636" t="s">
        <v>13762</v>
      </c>
    </row>
    <row r="6853" spans="1:12" ht="48" customHeight="1">
      <c r="A6853" s="802" t="s">
        <v>12710</v>
      </c>
      <c r="B6853" s="802"/>
      <c r="C6853" s="802"/>
      <c r="D6853" s="802"/>
      <c r="E6853" s="802"/>
      <c r="F6853" s="802"/>
      <c r="G6853" s="802"/>
      <c r="H6853" s="802"/>
      <c r="I6853" s="612"/>
      <c r="J6853" s="612"/>
      <c r="K6853" s="612"/>
      <c r="L6853" s="612"/>
    </row>
    <row r="6854" spans="1:12" ht="14.25" customHeight="1">
      <c r="A6854" s="612" t="s">
        <v>13679</v>
      </c>
      <c r="B6854" s="636" t="s">
        <v>12698</v>
      </c>
      <c r="C6854" s="612" t="s">
        <v>12699</v>
      </c>
      <c r="D6854" s="612" t="s">
        <v>12700</v>
      </c>
      <c r="E6854" s="637" t="s">
        <v>12702</v>
      </c>
      <c r="F6854" s="801" t="s">
        <v>12704</v>
      </c>
      <c r="G6854" s="801"/>
      <c r="H6854" s="801" t="s">
        <v>13678</v>
      </c>
      <c r="I6854" s="801"/>
      <c r="J6854" s="801" t="s">
        <v>12705</v>
      </c>
      <c r="K6854" s="801"/>
      <c r="L6854" s="801"/>
    </row>
    <row r="6855" spans="1:12" ht="17.100000000000001" customHeight="1">
      <c r="A6855" s="626" t="s">
        <v>12709</v>
      </c>
      <c r="B6855" s="627" t="s">
        <v>13220</v>
      </c>
      <c r="C6855" s="626" t="s">
        <v>8</v>
      </c>
      <c r="D6855" s="626" t="s">
        <v>7592</v>
      </c>
      <c r="E6855" s="628" t="s">
        <v>23</v>
      </c>
      <c r="F6855" s="816" t="s">
        <v>13890</v>
      </c>
      <c r="G6855" s="816"/>
      <c r="H6855" s="816">
        <v>0.13149710000000001</v>
      </c>
      <c r="I6855" s="816"/>
      <c r="J6855" s="817">
        <v>0.66539999999999999</v>
      </c>
      <c r="K6855" s="817"/>
      <c r="L6855" s="817"/>
    </row>
    <row r="6856" spans="1:12" ht="24" customHeight="1">
      <c r="A6856" s="626" t="s">
        <v>12709</v>
      </c>
      <c r="B6856" s="627" t="s">
        <v>13202</v>
      </c>
      <c r="C6856" s="626" t="s">
        <v>8</v>
      </c>
      <c r="D6856" s="626" t="s">
        <v>9187</v>
      </c>
      <c r="E6856" s="628" t="s">
        <v>23</v>
      </c>
      <c r="F6856" s="816" t="s">
        <v>14479</v>
      </c>
      <c r="G6856" s="816"/>
      <c r="H6856" s="816">
        <v>0.13149710000000001</v>
      </c>
      <c r="I6856" s="816"/>
      <c r="J6856" s="817">
        <v>0.94020000000000004</v>
      </c>
      <c r="K6856" s="817"/>
      <c r="L6856" s="817"/>
    </row>
    <row r="6857" spans="1:12" ht="24" customHeight="1">
      <c r="A6857" s="636"/>
      <c r="B6857" s="636"/>
      <c r="C6857" s="636"/>
      <c r="D6857" s="636"/>
      <c r="E6857" s="636"/>
      <c r="F6857" s="636"/>
      <c r="G6857" s="636"/>
      <c r="H6857" s="636"/>
      <c r="I6857" s="636"/>
      <c r="J6857" s="636" t="s">
        <v>13675</v>
      </c>
      <c r="K6857" s="636"/>
      <c r="L6857" s="636" t="s">
        <v>14001</v>
      </c>
    </row>
    <row r="6858" spans="1:12" ht="17.100000000000001" customHeight="1">
      <c r="A6858" s="802" t="s">
        <v>12720</v>
      </c>
      <c r="B6858" s="802"/>
      <c r="C6858" s="802"/>
      <c r="D6858" s="802"/>
      <c r="E6858" s="802"/>
      <c r="F6858" s="802"/>
      <c r="G6858" s="802"/>
      <c r="H6858" s="802"/>
      <c r="I6858" s="612"/>
      <c r="J6858" s="612"/>
      <c r="K6858" s="612"/>
      <c r="L6858" s="612"/>
    </row>
    <row r="6859" spans="1:12" ht="14.25" customHeight="1">
      <c r="A6859" s="612" t="s">
        <v>13679</v>
      </c>
      <c r="B6859" s="636" t="s">
        <v>12698</v>
      </c>
      <c r="C6859" s="612" t="s">
        <v>12699</v>
      </c>
      <c r="D6859" s="612" t="s">
        <v>12700</v>
      </c>
      <c r="E6859" s="637" t="s">
        <v>12702</v>
      </c>
      <c r="F6859" s="801" t="s">
        <v>12704</v>
      </c>
      <c r="G6859" s="801"/>
      <c r="H6859" s="801" t="s">
        <v>13678</v>
      </c>
      <c r="I6859" s="801"/>
      <c r="J6859" s="801" t="s">
        <v>12705</v>
      </c>
      <c r="K6859" s="801"/>
      <c r="L6859" s="801"/>
    </row>
    <row r="6860" spans="1:12" ht="17.100000000000001" customHeight="1">
      <c r="A6860" s="626" t="s">
        <v>12709</v>
      </c>
      <c r="B6860" s="627" t="s">
        <v>13462</v>
      </c>
      <c r="C6860" s="626" t="s">
        <v>8</v>
      </c>
      <c r="D6860" s="626" t="s">
        <v>10684</v>
      </c>
      <c r="E6860" s="628" t="s">
        <v>35</v>
      </c>
      <c r="F6860" s="816" t="s">
        <v>14633</v>
      </c>
      <c r="G6860" s="816"/>
      <c r="H6860" s="816">
        <v>0.02</v>
      </c>
      <c r="I6860" s="816"/>
      <c r="J6860" s="817">
        <v>0.57999999999999996</v>
      </c>
      <c r="K6860" s="817"/>
      <c r="L6860" s="817"/>
    </row>
    <row r="6861" spans="1:12" ht="24" customHeight="1">
      <c r="A6861" s="626" t="s">
        <v>12709</v>
      </c>
      <c r="B6861" s="627" t="s">
        <v>13463</v>
      </c>
      <c r="C6861" s="626" t="s">
        <v>8</v>
      </c>
      <c r="D6861" s="626" t="s">
        <v>7398</v>
      </c>
      <c r="E6861" s="628" t="s">
        <v>35</v>
      </c>
      <c r="F6861" s="816" t="s">
        <v>13806</v>
      </c>
      <c r="G6861" s="816"/>
      <c r="H6861" s="816">
        <v>1</v>
      </c>
      <c r="I6861" s="816"/>
      <c r="J6861" s="817">
        <v>1.86</v>
      </c>
      <c r="K6861" s="817"/>
      <c r="L6861" s="817"/>
    </row>
    <row r="6862" spans="1:12" ht="24" customHeight="1">
      <c r="A6862" s="626" t="s">
        <v>12709</v>
      </c>
      <c r="B6862" s="627" t="s">
        <v>13479</v>
      </c>
      <c r="C6862" s="626" t="s">
        <v>8</v>
      </c>
      <c r="D6862" s="626" t="s">
        <v>9758</v>
      </c>
      <c r="E6862" s="628" t="s">
        <v>35</v>
      </c>
      <c r="F6862" s="816" t="s">
        <v>14638</v>
      </c>
      <c r="G6862" s="816"/>
      <c r="H6862" s="816">
        <v>1</v>
      </c>
      <c r="I6862" s="816"/>
      <c r="J6862" s="817">
        <v>1.73</v>
      </c>
      <c r="K6862" s="817"/>
      <c r="L6862" s="817"/>
    </row>
    <row r="6863" spans="1:12" ht="17.100000000000001" customHeight="1">
      <c r="A6863" s="636"/>
      <c r="B6863" s="636"/>
      <c r="C6863" s="636"/>
      <c r="D6863" s="636"/>
      <c r="E6863" s="636"/>
      <c r="F6863" s="636"/>
      <c r="G6863" s="636"/>
      <c r="H6863" s="636"/>
      <c r="I6863" s="636"/>
      <c r="J6863" s="636" t="s">
        <v>13675</v>
      </c>
      <c r="K6863" s="636"/>
      <c r="L6863" s="636" t="s">
        <v>14637</v>
      </c>
    </row>
    <row r="6864" spans="1:12">
      <c r="A6864" s="802" t="s">
        <v>12722</v>
      </c>
      <c r="B6864" s="802"/>
      <c r="C6864" s="802"/>
      <c r="D6864" s="802"/>
      <c r="E6864" s="802"/>
      <c r="F6864" s="802"/>
      <c r="G6864" s="802"/>
      <c r="H6864" s="802"/>
      <c r="I6864" s="612"/>
      <c r="J6864" s="612"/>
      <c r="K6864" s="612"/>
      <c r="L6864" s="612"/>
    </row>
    <row r="6865" spans="1:12" ht="17.100000000000001" customHeight="1">
      <c r="A6865" s="612" t="s">
        <v>13679</v>
      </c>
      <c r="B6865" s="636" t="s">
        <v>12698</v>
      </c>
      <c r="C6865" s="612" t="s">
        <v>12699</v>
      </c>
      <c r="D6865" s="612" t="s">
        <v>12700</v>
      </c>
      <c r="E6865" s="637" t="s">
        <v>12702</v>
      </c>
      <c r="F6865" s="801" t="s">
        <v>12704</v>
      </c>
      <c r="G6865" s="801"/>
      <c r="H6865" s="801" t="s">
        <v>13678</v>
      </c>
      <c r="I6865" s="801"/>
      <c r="J6865" s="801" t="s">
        <v>12705</v>
      </c>
      <c r="K6865" s="801"/>
      <c r="L6865" s="801"/>
    </row>
    <row r="6866" spans="1:12" ht="24" customHeight="1">
      <c r="A6866" s="626" t="s">
        <v>12709</v>
      </c>
      <c r="B6866" s="627" t="s">
        <v>12998</v>
      </c>
      <c r="C6866" s="626" t="s">
        <v>8</v>
      </c>
      <c r="D6866" s="626" t="s">
        <v>11861</v>
      </c>
      <c r="E6866" s="628" t="s">
        <v>23</v>
      </c>
      <c r="F6866" s="816" t="s">
        <v>13683</v>
      </c>
      <c r="G6866" s="816"/>
      <c r="H6866" s="816">
        <v>0.25886619999999999</v>
      </c>
      <c r="I6866" s="816"/>
      <c r="J6866" s="817">
        <v>0.18379999999999999</v>
      </c>
      <c r="K6866" s="817"/>
      <c r="L6866" s="817"/>
    </row>
    <row r="6867" spans="1:12" ht="36" customHeight="1">
      <c r="A6867" s="636"/>
      <c r="B6867" s="636"/>
      <c r="C6867" s="636"/>
      <c r="D6867" s="636"/>
      <c r="E6867" s="636"/>
      <c r="F6867" s="636"/>
      <c r="G6867" s="636"/>
      <c r="H6867" s="636"/>
      <c r="I6867" s="636"/>
      <c r="J6867" s="636" t="s">
        <v>13675</v>
      </c>
      <c r="K6867" s="636"/>
      <c r="L6867" s="636" t="s">
        <v>13682</v>
      </c>
    </row>
    <row r="6868" spans="1:12" ht="24" customHeight="1">
      <c r="A6868" s="802" t="s">
        <v>12713</v>
      </c>
      <c r="B6868" s="802"/>
      <c r="C6868" s="802"/>
      <c r="D6868" s="802"/>
      <c r="E6868" s="802"/>
      <c r="F6868" s="802"/>
      <c r="G6868" s="802"/>
      <c r="H6868" s="802"/>
      <c r="I6868" s="612"/>
      <c r="J6868" s="612"/>
      <c r="K6868" s="612"/>
      <c r="L6868" s="612"/>
    </row>
    <row r="6869" spans="1:12" ht="17.100000000000001" customHeight="1">
      <c r="A6869" s="612" t="s">
        <v>13679</v>
      </c>
      <c r="B6869" s="636" t="s">
        <v>12698</v>
      </c>
      <c r="C6869" s="612" t="s">
        <v>12699</v>
      </c>
      <c r="D6869" s="612" t="s">
        <v>12700</v>
      </c>
      <c r="E6869" s="637" t="s">
        <v>12702</v>
      </c>
      <c r="F6869" s="801" t="s">
        <v>12704</v>
      </c>
      <c r="G6869" s="801"/>
      <c r="H6869" s="801" t="s">
        <v>13678</v>
      </c>
      <c r="I6869" s="801"/>
      <c r="J6869" s="801" t="s">
        <v>12705</v>
      </c>
      <c r="K6869" s="801"/>
      <c r="L6869" s="801"/>
    </row>
    <row r="6870" spans="1:12" ht="25.5">
      <c r="A6870" s="626" t="s">
        <v>12709</v>
      </c>
      <c r="B6870" s="627" t="s">
        <v>12999</v>
      </c>
      <c r="C6870" s="626" t="s">
        <v>8</v>
      </c>
      <c r="D6870" s="626" t="s">
        <v>11251</v>
      </c>
      <c r="E6870" s="628" t="s">
        <v>23</v>
      </c>
      <c r="F6870" s="816" t="s">
        <v>13681</v>
      </c>
      <c r="G6870" s="816"/>
      <c r="H6870" s="816">
        <v>0.25886619999999999</v>
      </c>
      <c r="I6870" s="816"/>
      <c r="J6870" s="817">
        <v>1.8100000000000002E-2</v>
      </c>
      <c r="K6870" s="817"/>
      <c r="L6870" s="817"/>
    </row>
    <row r="6871" spans="1:12" ht="17.100000000000001" customHeight="1">
      <c r="A6871" s="636"/>
      <c r="B6871" s="636"/>
      <c r="C6871" s="636"/>
      <c r="D6871" s="636"/>
      <c r="E6871" s="636"/>
      <c r="F6871" s="636"/>
      <c r="G6871" s="636"/>
      <c r="H6871" s="636"/>
      <c r="I6871" s="636"/>
      <c r="J6871" s="636" t="s">
        <v>13675</v>
      </c>
      <c r="K6871" s="636"/>
      <c r="L6871" s="636" t="s">
        <v>13680</v>
      </c>
    </row>
    <row r="6872" spans="1:12" ht="24" customHeight="1">
      <c r="A6872" s="802" t="s">
        <v>12712</v>
      </c>
      <c r="B6872" s="802"/>
      <c r="C6872" s="802"/>
      <c r="D6872" s="802"/>
      <c r="E6872" s="802"/>
      <c r="F6872" s="802"/>
      <c r="G6872" s="802"/>
      <c r="H6872" s="802"/>
      <c r="I6872" s="612"/>
      <c r="J6872" s="612"/>
      <c r="K6872" s="612"/>
      <c r="L6872" s="612"/>
    </row>
    <row r="6873" spans="1:12" ht="17.100000000000001" customHeight="1">
      <c r="A6873" s="612" t="s">
        <v>13679</v>
      </c>
      <c r="B6873" s="636" t="s">
        <v>12698</v>
      </c>
      <c r="C6873" s="612" t="s">
        <v>12699</v>
      </c>
      <c r="D6873" s="612" t="s">
        <v>12700</v>
      </c>
      <c r="E6873" s="637" t="s">
        <v>12702</v>
      </c>
      <c r="F6873" s="801" t="s">
        <v>12704</v>
      </c>
      <c r="G6873" s="801"/>
      <c r="H6873" s="801" t="s">
        <v>13678</v>
      </c>
      <c r="I6873" s="801"/>
      <c r="J6873" s="801" t="s">
        <v>12705</v>
      </c>
      <c r="K6873" s="801"/>
      <c r="L6873" s="801"/>
    </row>
    <row r="6874" spans="1:12" ht="25.5">
      <c r="A6874" s="626" t="s">
        <v>12709</v>
      </c>
      <c r="B6874" s="627" t="s">
        <v>13002</v>
      </c>
      <c r="C6874" s="626" t="s">
        <v>8</v>
      </c>
      <c r="D6874" s="626" t="s">
        <v>9306</v>
      </c>
      <c r="E6874" s="628" t="s">
        <v>23</v>
      </c>
      <c r="F6874" s="816" t="s">
        <v>13677</v>
      </c>
      <c r="G6874" s="816"/>
      <c r="H6874" s="816">
        <v>0.25886619999999999</v>
      </c>
      <c r="I6874" s="816"/>
      <c r="J6874" s="817">
        <v>9.06E-2</v>
      </c>
      <c r="K6874" s="817"/>
      <c r="L6874" s="817"/>
    </row>
    <row r="6875" spans="1:12" ht="17.100000000000001" customHeight="1">
      <c r="A6875" s="626" t="s">
        <v>12709</v>
      </c>
      <c r="B6875" s="627" t="s">
        <v>13004</v>
      </c>
      <c r="C6875" s="626" t="s">
        <v>8</v>
      </c>
      <c r="D6875" s="626" t="s">
        <v>7388</v>
      </c>
      <c r="E6875" s="628" t="s">
        <v>23</v>
      </c>
      <c r="F6875" s="816" t="s">
        <v>13676</v>
      </c>
      <c r="G6875" s="816"/>
      <c r="H6875" s="816">
        <v>0.25886619999999999</v>
      </c>
      <c r="I6875" s="816"/>
      <c r="J6875" s="817">
        <v>0.56950000000000001</v>
      </c>
      <c r="K6875" s="817"/>
      <c r="L6875" s="817"/>
    </row>
    <row r="6876" spans="1:12" ht="24" customHeight="1">
      <c r="A6876" s="636"/>
      <c r="B6876" s="636"/>
      <c r="C6876" s="636"/>
      <c r="D6876" s="636"/>
      <c r="E6876" s="636"/>
      <c r="F6876" s="636"/>
      <c r="G6876" s="636"/>
      <c r="H6876" s="636"/>
      <c r="I6876" s="636"/>
      <c r="J6876" s="636" t="s">
        <v>13675</v>
      </c>
      <c r="K6876" s="636"/>
      <c r="L6876" s="636" t="s">
        <v>13732</v>
      </c>
    </row>
    <row r="6877" spans="1:12" ht="17.100000000000001" customHeight="1">
      <c r="A6877" s="612" t="s">
        <v>13673</v>
      </c>
      <c r="B6877" s="612"/>
      <c r="C6877" s="612"/>
      <c r="D6877" s="612"/>
      <c r="E6877" s="612"/>
      <c r="F6877" s="612"/>
      <c r="G6877" s="612"/>
      <c r="H6877" s="612"/>
      <c r="I6877" s="612"/>
      <c r="J6877" s="612"/>
      <c r="K6877" s="612"/>
      <c r="L6877" s="612"/>
    </row>
    <row r="6878" spans="1:12">
      <c r="A6878" s="636"/>
      <c r="B6878" s="636"/>
      <c r="C6878" s="636"/>
      <c r="D6878" s="636"/>
      <c r="E6878" s="636"/>
      <c r="F6878" s="636"/>
      <c r="G6878" s="636"/>
      <c r="H6878" s="636"/>
      <c r="I6878" s="636"/>
      <c r="J6878" s="636" t="s">
        <v>13672</v>
      </c>
      <c r="K6878" s="636"/>
      <c r="L6878" s="636" t="s">
        <v>15381</v>
      </c>
    </row>
    <row r="6879" spans="1:12" ht="17.100000000000001" customHeight="1">
      <c r="A6879" s="636"/>
      <c r="B6879" s="636"/>
      <c r="C6879" s="636"/>
      <c r="D6879" s="636"/>
      <c r="E6879" s="636"/>
      <c r="F6879" s="636"/>
      <c r="G6879" s="636"/>
      <c r="H6879" s="636"/>
      <c r="I6879" s="636"/>
      <c r="J6879" s="636" t="s">
        <v>13671</v>
      </c>
      <c r="K6879" s="636" t="s">
        <v>14461</v>
      </c>
      <c r="L6879" s="636" t="s">
        <v>15375</v>
      </c>
    </row>
    <row r="6880" spans="1:12" ht="24" customHeight="1">
      <c r="A6880" s="636"/>
      <c r="B6880" s="636"/>
      <c r="C6880" s="636"/>
      <c r="D6880" s="636"/>
      <c r="E6880" s="636"/>
      <c r="F6880" s="636"/>
      <c r="G6880" s="636"/>
      <c r="H6880" s="636"/>
      <c r="I6880" s="636"/>
      <c r="J6880" s="636" t="s">
        <v>13670</v>
      </c>
      <c r="K6880" s="636"/>
      <c r="L6880" s="636" t="s">
        <v>15236</v>
      </c>
    </row>
    <row r="6881" spans="1:12" ht="24" customHeight="1">
      <c r="A6881" s="636"/>
      <c r="B6881" s="636"/>
      <c r="C6881" s="636"/>
      <c r="D6881" s="636"/>
      <c r="E6881" s="636"/>
      <c r="F6881" s="636"/>
      <c r="G6881" s="636"/>
      <c r="H6881" s="636"/>
      <c r="I6881" s="636"/>
      <c r="J6881" s="636" t="s">
        <v>13669</v>
      </c>
      <c r="K6881" s="636" t="s">
        <v>13667</v>
      </c>
      <c r="L6881" s="636" t="s">
        <v>15009</v>
      </c>
    </row>
    <row r="6882" spans="1:12" ht="17.100000000000001" customHeight="1">
      <c r="A6882" s="636"/>
      <c r="B6882" s="636"/>
      <c r="C6882" s="636"/>
      <c r="D6882" s="636"/>
      <c r="E6882" s="636"/>
      <c r="F6882" s="636"/>
      <c r="G6882" s="636"/>
      <c r="H6882" s="636"/>
      <c r="I6882" s="636"/>
      <c r="J6882" s="636" t="s">
        <v>13668</v>
      </c>
      <c r="K6882" s="636"/>
      <c r="L6882" s="636" t="s">
        <v>15382</v>
      </c>
    </row>
    <row r="6883" spans="1:12" ht="17.100000000000001" customHeight="1">
      <c r="A6883" s="637"/>
      <c r="B6883" s="637"/>
      <c r="C6883" s="637"/>
      <c r="D6883" s="637"/>
      <c r="E6883" s="637"/>
      <c r="F6883" s="637"/>
      <c r="G6883" s="637"/>
      <c r="H6883" s="637"/>
      <c r="I6883" s="637"/>
      <c r="J6883" s="637"/>
      <c r="K6883" s="637"/>
      <c r="L6883" s="637"/>
    </row>
    <row r="6884" spans="1:12" ht="17.100000000000001" customHeight="1">
      <c r="A6884" s="616" t="s">
        <v>14012</v>
      </c>
      <c r="B6884" s="617" t="s">
        <v>13478</v>
      </c>
      <c r="C6884" s="616" t="s">
        <v>8</v>
      </c>
      <c r="D6884" s="616" t="s">
        <v>2088</v>
      </c>
      <c r="E6884" s="618" t="s">
        <v>35</v>
      </c>
      <c r="F6884" s="617"/>
      <c r="G6884" s="617"/>
      <c r="H6884" s="617"/>
      <c r="I6884" s="617"/>
      <c r="J6884" s="617"/>
      <c r="K6884" s="617"/>
      <c r="L6884" s="617"/>
    </row>
    <row r="6885" spans="1:12" ht="17.100000000000001" customHeight="1">
      <c r="A6885" s="802" t="s">
        <v>12711</v>
      </c>
      <c r="B6885" s="802"/>
      <c r="C6885" s="802"/>
      <c r="D6885" s="802"/>
      <c r="E6885" s="802"/>
      <c r="F6885" s="802"/>
      <c r="G6885" s="802"/>
      <c r="H6885" s="802"/>
      <c r="I6885" s="612"/>
      <c r="J6885" s="612"/>
      <c r="K6885" s="612"/>
      <c r="L6885" s="612"/>
    </row>
    <row r="6886" spans="1:12" ht="17.100000000000001" customHeight="1">
      <c r="A6886" s="612" t="s">
        <v>13679</v>
      </c>
      <c r="B6886" s="636" t="s">
        <v>12698</v>
      </c>
      <c r="C6886" s="612" t="s">
        <v>12699</v>
      </c>
      <c r="D6886" s="612" t="s">
        <v>12700</v>
      </c>
      <c r="E6886" s="637" t="s">
        <v>12702</v>
      </c>
      <c r="F6886" s="801" t="s">
        <v>12704</v>
      </c>
      <c r="G6886" s="801"/>
      <c r="H6886" s="801" t="s">
        <v>13678</v>
      </c>
      <c r="I6886" s="801"/>
      <c r="J6886" s="801" t="s">
        <v>12705</v>
      </c>
      <c r="K6886" s="801"/>
      <c r="L6886" s="801"/>
    </row>
    <row r="6887" spans="1:12" ht="17.100000000000001" customHeight="1">
      <c r="A6887" s="626" t="s">
        <v>12709</v>
      </c>
      <c r="B6887" s="627" t="s">
        <v>13201</v>
      </c>
      <c r="C6887" s="626" t="s">
        <v>8</v>
      </c>
      <c r="D6887" s="626" t="s">
        <v>9221</v>
      </c>
      <c r="E6887" s="628" t="s">
        <v>23</v>
      </c>
      <c r="F6887" s="816" t="s">
        <v>13705</v>
      </c>
      <c r="G6887" s="816"/>
      <c r="H6887" s="816">
        <v>0.31816460000000002</v>
      </c>
      <c r="I6887" s="816"/>
      <c r="J6887" s="817">
        <v>0.2641</v>
      </c>
      <c r="K6887" s="817"/>
      <c r="L6887" s="817"/>
    </row>
    <row r="6888" spans="1:12" ht="17.100000000000001" customHeight="1">
      <c r="A6888" s="626" t="s">
        <v>12709</v>
      </c>
      <c r="B6888" s="627" t="s">
        <v>13200</v>
      </c>
      <c r="C6888" s="626" t="s">
        <v>8</v>
      </c>
      <c r="D6888" s="626" t="s">
        <v>9368</v>
      </c>
      <c r="E6888" s="628" t="s">
        <v>23</v>
      </c>
      <c r="F6888" s="816" t="s">
        <v>13704</v>
      </c>
      <c r="G6888" s="816"/>
      <c r="H6888" s="816">
        <v>0.31816460000000002</v>
      </c>
      <c r="I6888" s="816"/>
      <c r="J6888" s="817">
        <v>7.6399999999999996E-2</v>
      </c>
      <c r="K6888" s="817"/>
      <c r="L6888" s="817"/>
    </row>
    <row r="6889" spans="1:12" ht="30" customHeight="1">
      <c r="A6889" s="636"/>
      <c r="B6889" s="636"/>
      <c r="C6889" s="636"/>
      <c r="D6889" s="636"/>
      <c r="E6889" s="636"/>
      <c r="F6889" s="636"/>
      <c r="G6889" s="636"/>
      <c r="H6889" s="636"/>
      <c r="I6889" s="636"/>
      <c r="J6889" s="636" t="s">
        <v>13675</v>
      </c>
      <c r="K6889" s="636"/>
      <c r="L6889" s="636" t="s">
        <v>13740</v>
      </c>
    </row>
    <row r="6890" spans="1:12" ht="36" customHeight="1">
      <c r="A6890" s="802" t="s">
        <v>12710</v>
      </c>
      <c r="B6890" s="802"/>
      <c r="C6890" s="802"/>
      <c r="D6890" s="802"/>
      <c r="E6890" s="802"/>
      <c r="F6890" s="802"/>
      <c r="G6890" s="802"/>
      <c r="H6890" s="802"/>
      <c r="I6890" s="612"/>
      <c r="J6890" s="612"/>
      <c r="K6890" s="612"/>
      <c r="L6890" s="612"/>
    </row>
    <row r="6891" spans="1:12" ht="14.25" customHeight="1">
      <c r="A6891" s="612" t="s">
        <v>13679</v>
      </c>
      <c r="B6891" s="636" t="s">
        <v>12698</v>
      </c>
      <c r="C6891" s="612" t="s">
        <v>12699</v>
      </c>
      <c r="D6891" s="612" t="s">
        <v>12700</v>
      </c>
      <c r="E6891" s="637" t="s">
        <v>12702</v>
      </c>
      <c r="F6891" s="801" t="s">
        <v>12704</v>
      </c>
      <c r="G6891" s="801"/>
      <c r="H6891" s="801" t="s">
        <v>13678</v>
      </c>
      <c r="I6891" s="801"/>
      <c r="J6891" s="801" t="s">
        <v>12705</v>
      </c>
      <c r="K6891" s="801"/>
      <c r="L6891" s="801"/>
    </row>
    <row r="6892" spans="1:12" ht="17.100000000000001" customHeight="1">
      <c r="A6892" s="626" t="s">
        <v>12709</v>
      </c>
      <c r="B6892" s="627" t="s">
        <v>13220</v>
      </c>
      <c r="C6892" s="626" t="s">
        <v>8</v>
      </c>
      <c r="D6892" s="626" t="s">
        <v>7592</v>
      </c>
      <c r="E6892" s="628" t="s">
        <v>23</v>
      </c>
      <c r="F6892" s="816" t="s">
        <v>13890</v>
      </c>
      <c r="G6892" s="816"/>
      <c r="H6892" s="816">
        <v>0.1616041</v>
      </c>
      <c r="I6892" s="816"/>
      <c r="J6892" s="817">
        <v>0.81769999999999998</v>
      </c>
      <c r="K6892" s="817"/>
      <c r="L6892" s="817"/>
    </row>
    <row r="6893" spans="1:12" ht="24" customHeight="1">
      <c r="A6893" s="626" t="s">
        <v>12709</v>
      </c>
      <c r="B6893" s="627" t="s">
        <v>13202</v>
      </c>
      <c r="C6893" s="626" t="s">
        <v>8</v>
      </c>
      <c r="D6893" s="626" t="s">
        <v>9187</v>
      </c>
      <c r="E6893" s="628" t="s">
        <v>23</v>
      </c>
      <c r="F6893" s="816" t="s">
        <v>14479</v>
      </c>
      <c r="G6893" s="816"/>
      <c r="H6893" s="816">
        <v>0.1616041</v>
      </c>
      <c r="I6893" s="816"/>
      <c r="J6893" s="817">
        <v>1.1555</v>
      </c>
      <c r="K6893" s="817"/>
      <c r="L6893" s="817"/>
    </row>
    <row r="6894" spans="1:12" ht="24" customHeight="1">
      <c r="A6894" s="636"/>
      <c r="B6894" s="636"/>
      <c r="C6894" s="636"/>
      <c r="D6894" s="636"/>
      <c r="E6894" s="636"/>
      <c r="F6894" s="636"/>
      <c r="G6894" s="636"/>
      <c r="H6894" s="636"/>
      <c r="I6894" s="636"/>
      <c r="J6894" s="636" t="s">
        <v>13675</v>
      </c>
      <c r="K6894" s="636"/>
      <c r="L6894" s="636" t="s">
        <v>14650</v>
      </c>
    </row>
    <row r="6895" spans="1:12" ht="17.100000000000001" customHeight="1">
      <c r="A6895" s="802" t="s">
        <v>12720</v>
      </c>
      <c r="B6895" s="802"/>
      <c r="C6895" s="802"/>
      <c r="D6895" s="802"/>
      <c r="E6895" s="802"/>
      <c r="F6895" s="802"/>
      <c r="G6895" s="802"/>
      <c r="H6895" s="802"/>
      <c r="I6895" s="612"/>
      <c r="J6895" s="612"/>
      <c r="K6895" s="612"/>
      <c r="L6895" s="612"/>
    </row>
    <row r="6896" spans="1:12" ht="14.25" customHeight="1">
      <c r="A6896" s="612" t="s">
        <v>13679</v>
      </c>
      <c r="B6896" s="636" t="s">
        <v>12698</v>
      </c>
      <c r="C6896" s="612" t="s">
        <v>12699</v>
      </c>
      <c r="D6896" s="612" t="s">
        <v>12700</v>
      </c>
      <c r="E6896" s="637" t="s">
        <v>12702</v>
      </c>
      <c r="F6896" s="801" t="s">
        <v>12704</v>
      </c>
      <c r="G6896" s="801"/>
      <c r="H6896" s="801" t="s">
        <v>13678</v>
      </c>
      <c r="I6896" s="801"/>
      <c r="J6896" s="801" t="s">
        <v>12705</v>
      </c>
      <c r="K6896" s="801"/>
      <c r="L6896" s="801"/>
    </row>
    <row r="6897" spans="1:12" ht="17.100000000000001" customHeight="1">
      <c r="A6897" s="626" t="s">
        <v>12709</v>
      </c>
      <c r="B6897" s="627" t="s">
        <v>13477</v>
      </c>
      <c r="C6897" s="626" t="s">
        <v>8</v>
      </c>
      <c r="D6897" s="626" t="s">
        <v>7400</v>
      </c>
      <c r="E6897" s="628" t="s">
        <v>35</v>
      </c>
      <c r="F6897" s="816" t="s">
        <v>14649</v>
      </c>
      <c r="G6897" s="816"/>
      <c r="H6897" s="816">
        <v>2</v>
      </c>
      <c r="I6897" s="816"/>
      <c r="J6897" s="817">
        <v>6.6</v>
      </c>
      <c r="K6897" s="817"/>
      <c r="L6897" s="817"/>
    </row>
    <row r="6898" spans="1:12" ht="24" customHeight="1">
      <c r="A6898" s="626" t="s">
        <v>12709</v>
      </c>
      <c r="B6898" s="627" t="s">
        <v>13462</v>
      </c>
      <c r="C6898" s="626" t="s">
        <v>8</v>
      </c>
      <c r="D6898" s="626" t="s">
        <v>10684</v>
      </c>
      <c r="E6898" s="628" t="s">
        <v>35</v>
      </c>
      <c r="F6898" s="816" t="s">
        <v>14633</v>
      </c>
      <c r="G6898" s="816"/>
      <c r="H6898" s="816">
        <v>9.1999999999999998E-2</v>
      </c>
      <c r="I6898" s="816"/>
      <c r="J6898" s="817">
        <v>2.69</v>
      </c>
      <c r="K6898" s="817"/>
      <c r="L6898" s="817"/>
    </row>
    <row r="6899" spans="1:12" ht="24" customHeight="1">
      <c r="A6899" s="626" t="s">
        <v>12709</v>
      </c>
      <c r="B6899" s="627" t="s">
        <v>13476</v>
      </c>
      <c r="C6899" s="626" t="s">
        <v>8</v>
      </c>
      <c r="D6899" s="626" t="s">
        <v>9867</v>
      </c>
      <c r="E6899" s="628" t="s">
        <v>35</v>
      </c>
      <c r="F6899" s="816" t="s">
        <v>14648</v>
      </c>
      <c r="G6899" s="816"/>
      <c r="H6899" s="816">
        <v>1</v>
      </c>
      <c r="I6899" s="816"/>
      <c r="J6899" s="817">
        <v>14.89</v>
      </c>
      <c r="K6899" s="817"/>
      <c r="L6899" s="817"/>
    </row>
    <row r="6900" spans="1:12" ht="17.100000000000001" customHeight="1">
      <c r="A6900" s="636"/>
      <c r="B6900" s="636"/>
      <c r="C6900" s="636"/>
      <c r="D6900" s="636"/>
      <c r="E6900" s="636"/>
      <c r="F6900" s="636"/>
      <c r="G6900" s="636"/>
      <c r="H6900" s="636"/>
      <c r="I6900" s="636"/>
      <c r="J6900" s="636" t="s">
        <v>13675</v>
      </c>
      <c r="K6900" s="636"/>
      <c r="L6900" s="636" t="s">
        <v>14647</v>
      </c>
    </row>
    <row r="6901" spans="1:12">
      <c r="A6901" s="802" t="s">
        <v>12722</v>
      </c>
      <c r="B6901" s="802"/>
      <c r="C6901" s="802"/>
      <c r="D6901" s="802"/>
      <c r="E6901" s="802"/>
      <c r="F6901" s="802"/>
      <c r="G6901" s="802"/>
      <c r="H6901" s="802"/>
      <c r="I6901" s="612"/>
      <c r="J6901" s="612"/>
      <c r="K6901" s="612"/>
      <c r="L6901" s="612"/>
    </row>
    <row r="6902" spans="1:12" ht="17.100000000000001" customHeight="1">
      <c r="A6902" s="612" t="s">
        <v>13679</v>
      </c>
      <c r="B6902" s="636" t="s">
        <v>12698</v>
      </c>
      <c r="C6902" s="612" t="s">
        <v>12699</v>
      </c>
      <c r="D6902" s="612" t="s">
        <v>12700</v>
      </c>
      <c r="E6902" s="637" t="s">
        <v>12702</v>
      </c>
      <c r="F6902" s="801" t="s">
        <v>12704</v>
      </c>
      <c r="G6902" s="801"/>
      <c r="H6902" s="801" t="s">
        <v>13678</v>
      </c>
      <c r="I6902" s="801"/>
      <c r="J6902" s="801" t="s">
        <v>12705</v>
      </c>
      <c r="K6902" s="801"/>
      <c r="L6902" s="801"/>
    </row>
    <row r="6903" spans="1:12" ht="24" customHeight="1">
      <c r="A6903" s="626" t="s">
        <v>12709</v>
      </c>
      <c r="B6903" s="627" t="s">
        <v>12998</v>
      </c>
      <c r="C6903" s="626" t="s">
        <v>8</v>
      </c>
      <c r="D6903" s="626" t="s">
        <v>11861</v>
      </c>
      <c r="E6903" s="628" t="s">
        <v>23</v>
      </c>
      <c r="F6903" s="816" t="s">
        <v>13683</v>
      </c>
      <c r="G6903" s="816"/>
      <c r="H6903" s="816">
        <v>0.31816460000000002</v>
      </c>
      <c r="I6903" s="816"/>
      <c r="J6903" s="817">
        <v>0.22589999999999999</v>
      </c>
      <c r="K6903" s="817"/>
      <c r="L6903" s="817"/>
    </row>
    <row r="6904" spans="1:12" ht="24" customHeight="1">
      <c r="A6904" s="636"/>
      <c r="B6904" s="636"/>
      <c r="C6904" s="636"/>
      <c r="D6904" s="636"/>
      <c r="E6904" s="636"/>
      <c r="F6904" s="636"/>
      <c r="G6904" s="636"/>
      <c r="H6904" s="636"/>
      <c r="I6904" s="636"/>
      <c r="J6904" s="636" t="s">
        <v>13675</v>
      </c>
      <c r="K6904" s="636"/>
      <c r="L6904" s="636" t="s">
        <v>13788</v>
      </c>
    </row>
    <row r="6905" spans="1:12" ht="24" customHeight="1">
      <c r="A6905" s="802" t="s">
        <v>12713</v>
      </c>
      <c r="B6905" s="802"/>
      <c r="C6905" s="802"/>
      <c r="D6905" s="802"/>
      <c r="E6905" s="802"/>
      <c r="F6905" s="802"/>
      <c r="G6905" s="802"/>
      <c r="H6905" s="802"/>
      <c r="I6905" s="612"/>
      <c r="J6905" s="612"/>
      <c r="K6905" s="612"/>
      <c r="L6905" s="612"/>
    </row>
    <row r="6906" spans="1:12" ht="24" customHeight="1">
      <c r="A6906" s="612" t="s">
        <v>13679</v>
      </c>
      <c r="B6906" s="636" t="s">
        <v>12698</v>
      </c>
      <c r="C6906" s="612" t="s">
        <v>12699</v>
      </c>
      <c r="D6906" s="612" t="s">
        <v>12700</v>
      </c>
      <c r="E6906" s="637" t="s">
        <v>12702</v>
      </c>
      <c r="F6906" s="801" t="s">
        <v>12704</v>
      </c>
      <c r="G6906" s="801"/>
      <c r="H6906" s="801" t="s">
        <v>13678</v>
      </c>
      <c r="I6906" s="801"/>
      <c r="J6906" s="801" t="s">
        <v>12705</v>
      </c>
      <c r="K6906" s="801"/>
      <c r="L6906" s="801"/>
    </row>
    <row r="6907" spans="1:12" ht="17.100000000000001" customHeight="1">
      <c r="A6907" s="626" t="s">
        <v>12709</v>
      </c>
      <c r="B6907" s="627" t="s">
        <v>12999</v>
      </c>
      <c r="C6907" s="626" t="s">
        <v>8</v>
      </c>
      <c r="D6907" s="626" t="s">
        <v>11251</v>
      </c>
      <c r="E6907" s="628" t="s">
        <v>23</v>
      </c>
      <c r="F6907" s="816" t="s">
        <v>13681</v>
      </c>
      <c r="G6907" s="816"/>
      <c r="H6907" s="816">
        <v>0.31816460000000002</v>
      </c>
      <c r="I6907" s="816"/>
      <c r="J6907" s="817">
        <v>2.23E-2</v>
      </c>
      <c r="K6907" s="817"/>
      <c r="L6907" s="817"/>
    </row>
    <row r="6908" spans="1:12">
      <c r="A6908" s="636"/>
      <c r="B6908" s="636"/>
      <c r="C6908" s="636"/>
      <c r="D6908" s="636"/>
      <c r="E6908" s="636"/>
      <c r="F6908" s="636"/>
      <c r="G6908" s="636"/>
      <c r="H6908" s="636"/>
      <c r="I6908" s="636"/>
      <c r="J6908" s="636" t="s">
        <v>13675</v>
      </c>
      <c r="K6908" s="636"/>
      <c r="L6908" s="636" t="s">
        <v>13680</v>
      </c>
    </row>
    <row r="6909" spans="1:12" ht="17.100000000000001" customHeight="1">
      <c r="A6909" s="802" t="s">
        <v>12712</v>
      </c>
      <c r="B6909" s="802"/>
      <c r="C6909" s="802"/>
      <c r="D6909" s="802"/>
      <c r="E6909" s="802"/>
      <c r="F6909" s="802"/>
      <c r="G6909" s="802"/>
      <c r="H6909" s="802"/>
      <c r="I6909" s="612"/>
      <c r="J6909" s="612"/>
      <c r="K6909" s="612"/>
      <c r="L6909" s="612"/>
    </row>
    <row r="6910" spans="1:12" ht="24" customHeight="1">
      <c r="A6910" s="612" t="s">
        <v>13679</v>
      </c>
      <c r="B6910" s="636" t="s">
        <v>12698</v>
      </c>
      <c r="C6910" s="612" t="s">
        <v>12699</v>
      </c>
      <c r="D6910" s="612" t="s">
        <v>12700</v>
      </c>
      <c r="E6910" s="637" t="s">
        <v>12702</v>
      </c>
      <c r="F6910" s="801" t="s">
        <v>12704</v>
      </c>
      <c r="G6910" s="801"/>
      <c r="H6910" s="801" t="s">
        <v>13678</v>
      </c>
      <c r="I6910" s="801"/>
      <c r="J6910" s="801" t="s">
        <v>12705</v>
      </c>
      <c r="K6910" s="801"/>
      <c r="L6910" s="801"/>
    </row>
    <row r="6911" spans="1:12" ht="17.100000000000001" customHeight="1">
      <c r="A6911" s="626" t="s">
        <v>12709</v>
      </c>
      <c r="B6911" s="627" t="s">
        <v>13002</v>
      </c>
      <c r="C6911" s="626" t="s">
        <v>8</v>
      </c>
      <c r="D6911" s="626" t="s">
        <v>9306</v>
      </c>
      <c r="E6911" s="628" t="s">
        <v>23</v>
      </c>
      <c r="F6911" s="816" t="s">
        <v>13677</v>
      </c>
      <c r="G6911" s="816"/>
      <c r="H6911" s="816">
        <v>0.31816460000000002</v>
      </c>
      <c r="I6911" s="816"/>
      <c r="J6911" s="817">
        <v>0.1114</v>
      </c>
      <c r="K6911" s="817"/>
      <c r="L6911" s="817"/>
    </row>
    <row r="6912" spans="1:12" ht="25.5">
      <c r="A6912" s="626" t="s">
        <v>12709</v>
      </c>
      <c r="B6912" s="627" t="s">
        <v>13004</v>
      </c>
      <c r="C6912" s="626" t="s">
        <v>8</v>
      </c>
      <c r="D6912" s="626" t="s">
        <v>7388</v>
      </c>
      <c r="E6912" s="628" t="s">
        <v>23</v>
      </c>
      <c r="F6912" s="816" t="s">
        <v>13676</v>
      </c>
      <c r="G6912" s="816"/>
      <c r="H6912" s="816">
        <v>0.31816460000000002</v>
      </c>
      <c r="I6912" s="816"/>
      <c r="J6912" s="817">
        <v>0.7</v>
      </c>
      <c r="K6912" s="817"/>
      <c r="L6912" s="817"/>
    </row>
    <row r="6913" spans="1:12" ht="17.100000000000001" customHeight="1">
      <c r="A6913" s="636"/>
      <c r="B6913" s="636"/>
      <c r="C6913" s="636"/>
      <c r="D6913" s="636"/>
      <c r="E6913" s="636"/>
      <c r="F6913" s="636"/>
      <c r="G6913" s="636"/>
      <c r="H6913" s="636"/>
      <c r="I6913" s="636"/>
      <c r="J6913" s="636" t="s">
        <v>13675</v>
      </c>
      <c r="K6913" s="636"/>
      <c r="L6913" s="636" t="s">
        <v>13999</v>
      </c>
    </row>
    <row r="6914" spans="1:12" ht="24" customHeight="1">
      <c r="A6914" s="612" t="s">
        <v>13673</v>
      </c>
      <c r="B6914" s="612"/>
      <c r="C6914" s="612"/>
      <c r="D6914" s="612"/>
      <c r="E6914" s="612"/>
      <c r="F6914" s="612"/>
      <c r="G6914" s="612"/>
      <c r="H6914" s="612"/>
      <c r="I6914" s="612"/>
      <c r="J6914" s="612"/>
      <c r="K6914" s="612"/>
      <c r="L6914" s="612"/>
    </row>
    <row r="6915" spans="1:12" ht="17.100000000000001" customHeight="1">
      <c r="A6915" s="636"/>
      <c r="B6915" s="636"/>
      <c r="C6915" s="636"/>
      <c r="D6915" s="636"/>
      <c r="E6915" s="636"/>
      <c r="F6915" s="636"/>
      <c r="G6915" s="636"/>
      <c r="H6915" s="636"/>
      <c r="I6915" s="636"/>
      <c r="J6915" s="636" t="s">
        <v>13672</v>
      </c>
      <c r="K6915" s="636"/>
      <c r="L6915" s="636" t="s">
        <v>15383</v>
      </c>
    </row>
    <row r="6916" spans="1:12">
      <c r="A6916" s="636"/>
      <c r="B6916" s="636"/>
      <c r="C6916" s="636"/>
      <c r="D6916" s="636"/>
      <c r="E6916" s="636"/>
      <c r="F6916" s="636"/>
      <c r="G6916" s="636"/>
      <c r="H6916" s="636"/>
      <c r="I6916" s="636"/>
      <c r="J6916" s="636" t="s">
        <v>13671</v>
      </c>
      <c r="K6916" s="636" t="s">
        <v>14461</v>
      </c>
      <c r="L6916" s="636" t="s">
        <v>15384</v>
      </c>
    </row>
    <row r="6917" spans="1:12" ht="17.100000000000001" customHeight="1">
      <c r="A6917" s="636"/>
      <c r="B6917" s="636"/>
      <c r="C6917" s="636"/>
      <c r="D6917" s="636"/>
      <c r="E6917" s="636"/>
      <c r="F6917" s="636"/>
      <c r="G6917" s="636"/>
      <c r="H6917" s="636"/>
      <c r="I6917" s="636"/>
      <c r="J6917" s="636" t="s">
        <v>13670</v>
      </c>
      <c r="K6917" s="636"/>
      <c r="L6917" s="636" t="s">
        <v>15385</v>
      </c>
    </row>
    <row r="6918" spans="1:12" ht="24" customHeight="1">
      <c r="A6918" s="636"/>
      <c r="B6918" s="636"/>
      <c r="C6918" s="636"/>
      <c r="D6918" s="636"/>
      <c r="E6918" s="636"/>
      <c r="F6918" s="636"/>
      <c r="G6918" s="636"/>
      <c r="H6918" s="636"/>
      <c r="I6918" s="636"/>
      <c r="J6918" s="636" t="s">
        <v>13669</v>
      </c>
      <c r="K6918" s="636" t="s">
        <v>13667</v>
      </c>
      <c r="L6918" s="636" t="s">
        <v>15386</v>
      </c>
    </row>
    <row r="6919" spans="1:12" ht="24" customHeight="1">
      <c r="A6919" s="636"/>
      <c r="B6919" s="636"/>
      <c r="C6919" s="636"/>
      <c r="D6919" s="636"/>
      <c r="E6919" s="636"/>
      <c r="F6919" s="636"/>
      <c r="G6919" s="636"/>
      <c r="H6919" s="636"/>
      <c r="I6919" s="636"/>
      <c r="J6919" s="636" t="s">
        <v>13668</v>
      </c>
      <c r="K6919" s="636"/>
      <c r="L6919" s="636" t="s">
        <v>15387</v>
      </c>
    </row>
    <row r="6920" spans="1:12" ht="17.100000000000001" customHeight="1">
      <c r="A6920" s="637"/>
      <c r="B6920" s="637"/>
      <c r="C6920" s="637"/>
      <c r="D6920" s="637"/>
      <c r="E6920" s="637"/>
      <c r="F6920" s="637"/>
      <c r="G6920" s="637"/>
      <c r="H6920" s="637"/>
      <c r="I6920" s="637"/>
      <c r="J6920" s="637"/>
      <c r="K6920" s="637"/>
      <c r="L6920" s="637"/>
    </row>
    <row r="6921" spans="1:12" ht="17.100000000000001" customHeight="1">
      <c r="A6921" s="616" t="s">
        <v>14011</v>
      </c>
      <c r="B6921" s="617" t="s">
        <v>13475</v>
      </c>
      <c r="C6921" s="616" t="s">
        <v>8</v>
      </c>
      <c r="D6921" s="616" t="s">
        <v>1979</v>
      </c>
      <c r="E6921" s="618" t="s">
        <v>17</v>
      </c>
      <c r="F6921" s="617"/>
      <c r="G6921" s="617"/>
      <c r="H6921" s="617"/>
      <c r="I6921" s="617"/>
      <c r="J6921" s="617"/>
      <c r="K6921" s="617"/>
      <c r="L6921" s="617"/>
    </row>
    <row r="6922" spans="1:12" ht="17.100000000000001" customHeight="1">
      <c r="A6922" s="802" t="s">
        <v>12711</v>
      </c>
      <c r="B6922" s="802"/>
      <c r="C6922" s="802"/>
      <c r="D6922" s="802"/>
      <c r="E6922" s="802"/>
      <c r="F6922" s="802"/>
      <c r="G6922" s="802"/>
      <c r="H6922" s="802"/>
      <c r="I6922" s="612"/>
      <c r="J6922" s="612"/>
      <c r="K6922" s="612"/>
      <c r="L6922" s="612"/>
    </row>
    <row r="6923" spans="1:12" ht="17.100000000000001" customHeight="1">
      <c r="A6923" s="612" t="s">
        <v>13679</v>
      </c>
      <c r="B6923" s="636" t="s">
        <v>12698</v>
      </c>
      <c r="C6923" s="612" t="s">
        <v>12699</v>
      </c>
      <c r="D6923" s="612" t="s">
        <v>12700</v>
      </c>
      <c r="E6923" s="637" t="s">
        <v>12702</v>
      </c>
      <c r="F6923" s="801" t="s">
        <v>12704</v>
      </c>
      <c r="G6923" s="801"/>
      <c r="H6923" s="801" t="s">
        <v>13678</v>
      </c>
      <c r="I6923" s="801"/>
      <c r="J6923" s="801" t="s">
        <v>12705</v>
      </c>
      <c r="K6923" s="801"/>
      <c r="L6923" s="801"/>
    </row>
    <row r="6924" spans="1:12" ht="17.100000000000001" customHeight="1">
      <c r="A6924" s="626" t="s">
        <v>12709</v>
      </c>
      <c r="B6924" s="627" t="s">
        <v>13201</v>
      </c>
      <c r="C6924" s="626" t="s">
        <v>8</v>
      </c>
      <c r="D6924" s="626" t="s">
        <v>9221</v>
      </c>
      <c r="E6924" s="628" t="s">
        <v>23</v>
      </c>
      <c r="F6924" s="816" t="s">
        <v>13705</v>
      </c>
      <c r="G6924" s="816"/>
      <c r="H6924" s="816">
        <v>1.4770162</v>
      </c>
      <c r="I6924" s="816"/>
      <c r="J6924" s="817">
        <v>1.2259</v>
      </c>
      <c r="K6924" s="817"/>
      <c r="L6924" s="817"/>
    </row>
    <row r="6925" spans="1:12" ht="17.100000000000001" customHeight="1">
      <c r="A6925" s="626" t="s">
        <v>12709</v>
      </c>
      <c r="B6925" s="627" t="s">
        <v>13200</v>
      </c>
      <c r="C6925" s="626" t="s">
        <v>8</v>
      </c>
      <c r="D6925" s="626" t="s">
        <v>9368</v>
      </c>
      <c r="E6925" s="628" t="s">
        <v>23</v>
      </c>
      <c r="F6925" s="816" t="s">
        <v>13704</v>
      </c>
      <c r="G6925" s="816"/>
      <c r="H6925" s="816">
        <v>1.4770162</v>
      </c>
      <c r="I6925" s="816"/>
      <c r="J6925" s="817">
        <v>0.35449999999999998</v>
      </c>
      <c r="K6925" s="817"/>
      <c r="L6925" s="817"/>
    </row>
    <row r="6926" spans="1:12" ht="17.100000000000001" customHeight="1">
      <c r="A6926" s="636"/>
      <c r="B6926" s="636"/>
      <c r="C6926" s="636"/>
      <c r="D6926" s="636"/>
      <c r="E6926" s="636"/>
      <c r="F6926" s="636"/>
      <c r="G6926" s="636"/>
      <c r="H6926" s="636"/>
      <c r="I6926" s="636"/>
      <c r="J6926" s="636" t="s">
        <v>13675</v>
      </c>
      <c r="K6926" s="636"/>
      <c r="L6926" s="636" t="s">
        <v>13812</v>
      </c>
    </row>
    <row r="6927" spans="1:12" ht="30" customHeight="1">
      <c r="A6927" s="802" t="s">
        <v>12710</v>
      </c>
      <c r="B6927" s="802"/>
      <c r="C6927" s="802"/>
      <c r="D6927" s="802"/>
      <c r="E6927" s="802"/>
      <c r="F6927" s="802"/>
      <c r="G6927" s="802"/>
      <c r="H6927" s="802"/>
      <c r="I6927" s="612"/>
      <c r="J6927" s="612"/>
      <c r="K6927" s="612"/>
      <c r="L6927" s="612"/>
    </row>
    <row r="6928" spans="1:12" ht="36" customHeight="1">
      <c r="A6928" s="612" t="s">
        <v>13679</v>
      </c>
      <c r="B6928" s="636" t="s">
        <v>12698</v>
      </c>
      <c r="C6928" s="612" t="s">
        <v>12699</v>
      </c>
      <c r="D6928" s="612" t="s">
        <v>12700</v>
      </c>
      <c r="E6928" s="637" t="s">
        <v>12702</v>
      </c>
      <c r="F6928" s="801" t="s">
        <v>12704</v>
      </c>
      <c r="G6928" s="801"/>
      <c r="H6928" s="801" t="s">
        <v>13678</v>
      </c>
      <c r="I6928" s="801"/>
      <c r="J6928" s="801" t="s">
        <v>12705</v>
      </c>
      <c r="K6928" s="801"/>
      <c r="L6928" s="801"/>
    </row>
    <row r="6929" spans="1:12" ht="14.25" customHeight="1">
      <c r="A6929" s="626" t="s">
        <v>12709</v>
      </c>
      <c r="B6929" s="627" t="s">
        <v>13220</v>
      </c>
      <c r="C6929" s="626" t="s">
        <v>8</v>
      </c>
      <c r="D6929" s="626" t="s">
        <v>7592</v>
      </c>
      <c r="E6929" s="628" t="s">
        <v>23</v>
      </c>
      <c r="F6929" s="816" t="s">
        <v>13890</v>
      </c>
      <c r="G6929" s="816"/>
      <c r="H6929" s="816">
        <v>0.74824919999999995</v>
      </c>
      <c r="I6929" s="816"/>
      <c r="J6929" s="817">
        <v>3.7860999999999998</v>
      </c>
      <c r="K6929" s="817"/>
      <c r="L6929" s="817"/>
    </row>
    <row r="6930" spans="1:12" ht="17.100000000000001" customHeight="1">
      <c r="A6930" s="626" t="s">
        <v>12709</v>
      </c>
      <c r="B6930" s="627" t="s">
        <v>13202</v>
      </c>
      <c r="C6930" s="626" t="s">
        <v>8</v>
      </c>
      <c r="D6930" s="626" t="s">
        <v>9187</v>
      </c>
      <c r="E6930" s="628" t="s">
        <v>23</v>
      </c>
      <c r="F6930" s="816" t="s">
        <v>14479</v>
      </c>
      <c r="G6930" s="816"/>
      <c r="H6930" s="816">
        <v>0.74824919999999995</v>
      </c>
      <c r="I6930" s="816"/>
      <c r="J6930" s="817">
        <v>5.35</v>
      </c>
      <c r="K6930" s="817"/>
      <c r="L6930" s="817"/>
    </row>
    <row r="6931" spans="1:12" ht="24" customHeight="1">
      <c r="A6931" s="636"/>
      <c r="B6931" s="636"/>
      <c r="C6931" s="636"/>
      <c r="D6931" s="636"/>
      <c r="E6931" s="636"/>
      <c r="F6931" s="636"/>
      <c r="G6931" s="636"/>
      <c r="H6931" s="636"/>
      <c r="I6931" s="636"/>
      <c r="J6931" s="636" t="s">
        <v>13675</v>
      </c>
      <c r="K6931" s="636"/>
      <c r="L6931" s="636" t="s">
        <v>13996</v>
      </c>
    </row>
    <row r="6932" spans="1:12" ht="24" customHeight="1">
      <c r="A6932" s="802" t="s">
        <v>12720</v>
      </c>
      <c r="B6932" s="802"/>
      <c r="C6932" s="802"/>
      <c r="D6932" s="802"/>
      <c r="E6932" s="802"/>
      <c r="F6932" s="802"/>
      <c r="G6932" s="802"/>
      <c r="H6932" s="802"/>
      <c r="I6932" s="612"/>
      <c r="J6932" s="612"/>
      <c r="K6932" s="612"/>
      <c r="L6932" s="612"/>
    </row>
    <row r="6933" spans="1:12" ht="17.100000000000001" customHeight="1">
      <c r="A6933" s="612" t="s">
        <v>13679</v>
      </c>
      <c r="B6933" s="636" t="s">
        <v>12698</v>
      </c>
      <c r="C6933" s="612" t="s">
        <v>12699</v>
      </c>
      <c r="D6933" s="612" t="s">
        <v>12700</v>
      </c>
      <c r="E6933" s="637" t="s">
        <v>12702</v>
      </c>
      <c r="F6933" s="801" t="s">
        <v>12704</v>
      </c>
      <c r="G6933" s="801"/>
      <c r="H6933" s="801" t="s">
        <v>13678</v>
      </c>
      <c r="I6933" s="801"/>
      <c r="J6933" s="801" t="s">
        <v>12705</v>
      </c>
      <c r="K6933" s="801"/>
      <c r="L6933" s="801"/>
    </row>
    <row r="6934" spans="1:12" ht="14.25" customHeight="1">
      <c r="A6934" s="626" t="s">
        <v>12709</v>
      </c>
      <c r="B6934" s="627" t="s">
        <v>13467</v>
      </c>
      <c r="C6934" s="626" t="s">
        <v>8</v>
      </c>
      <c r="D6934" s="626" t="s">
        <v>9987</v>
      </c>
      <c r="E6934" s="628" t="s">
        <v>35</v>
      </c>
      <c r="F6934" s="816" t="s">
        <v>13998</v>
      </c>
      <c r="G6934" s="816"/>
      <c r="H6934" s="816">
        <v>0.247</v>
      </c>
      <c r="I6934" s="816"/>
      <c r="J6934" s="817">
        <v>0.47</v>
      </c>
      <c r="K6934" s="817"/>
      <c r="L6934" s="817"/>
    </row>
    <row r="6935" spans="1:12" ht="17.100000000000001" customHeight="1">
      <c r="A6935" s="626" t="s">
        <v>12709</v>
      </c>
      <c r="B6935" s="627" t="s">
        <v>13466</v>
      </c>
      <c r="C6935" s="626" t="s">
        <v>8</v>
      </c>
      <c r="D6935" s="626" t="s">
        <v>11315</v>
      </c>
      <c r="E6935" s="628" t="s">
        <v>35</v>
      </c>
      <c r="F6935" s="816" t="s">
        <v>14636</v>
      </c>
      <c r="G6935" s="816"/>
      <c r="H6935" s="816">
        <v>5.9299999999999999E-2</v>
      </c>
      <c r="I6935" s="816"/>
      <c r="J6935" s="817">
        <v>4.1100000000000003</v>
      </c>
      <c r="K6935" s="817"/>
      <c r="L6935" s="817"/>
    </row>
    <row r="6936" spans="1:12" ht="24" customHeight="1">
      <c r="A6936" s="626" t="s">
        <v>12709</v>
      </c>
      <c r="B6936" s="627" t="s">
        <v>13468</v>
      </c>
      <c r="C6936" s="626" t="s">
        <v>8</v>
      </c>
      <c r="D6936" s="626" t="s">
        <v>7343</v>
      </c>
      <c r="E6936" s="628" t="s">
        <v>35</v>
      </c>
      <c r="F6936" s="816" t="s">
        <v>14635</v>
      </c>
      <c r="G6936" s="816"/>
      <c r="H6936" s="816">
        <v>3.6299999999999999E-2</v>
      </c>
      <c r="I6936" s="816"/>
      <c r="J6936" s="817">
        <v>2.9</v>
      </c>
      <c r="K6936" s="817"/>
      <c r="L6936" s="817"/>
    </row>
    <row r="6937" spans="1:12" ht="24" customHeight="1">
      <c r="A6937" s="626" t="s">
        <v>12709</v>
      </c>
      <c r="B6937" s="627" t="s">
        <v>13474</v>
      </c>
      <c r="C6937" s="626" t="s">
        <v>8</v>
      </c>
      <c r="D6937" s="626" t="s">
        <v>12137</v>
      </c>
      <c r="E6937" s="628" t="s">
        <v>17</v>
      </c>
      <c r="F6937" s="816" t="s">
        <v>14646</v>
      </c>
      <c r="G6937" s="816"/>
      <c r="H6937" s="816">
        <v>1.05</v>
      </c>
      <c r="I6937" s="816"/>
      <c r="J6937" s="817">
        <v>10.57</v>
      </c>
      <c r="K6937" s="817"/>
      <c r="L6937" s="817"/>
    </row>
    <row r="6938" spans="1:12" ht="17.100000000000001" customHeight="1">
      <c r="A6938" s="636"/>
      <c r="B6938" s="636"/>
      <c r="C6938" s="636"/>
      <c r="D6938" s="636"/>
      <c r="E6938" s="636"/>
      <c r="F6938" s="636"/>
      <c r="G6938" s="636"/>
      <c r="H6938" s="636"/>
      <c r="I6938" s="636"/>
      <c r="J6938" s="636" t="s">
        <v>13675</v>
      </c>
      <c r="K6938" s="636"/>
      <c r="L6938" s="636" t="s">
        <v>14552</v>
      </c>
    </row>
    <row r="6939" spans="1:12">
      <c r="A6939" s="802" t="s">
        <v>12722</v>
      </c>
      <c r="B6939" s="802"/>
      <c r="C6939" s="802"/>
      <c r="D6939" s="802"/>
      <c r="E6939" s="802"/>
      <c r="F6939" s="802"/>
      <c r="G6939" s="802"/>
      <c r="H6939" s="802"/>
      <c r="I6939" s="612"/>
      <c r="J6939" s="612"/>
      <c r="K6939" s="612"/>
      <c r="L6939" s="612"/>
    </row>
    <row r="6940" spans="1:12" ht="17.100000000000001" customHeight="1">
      <c r="A6940" s="612" t="s">
        <v>13679</v>
      </c>
      <c r="B6940" s="636" t="s">
        <v>12698</v>
      </c>
      <c r="C6940" s="612" t="s">
        <v>12699</v>
      </c>
      <c r="D6940" s="612" t="s">
        <v>12700</v>
      </c>
      <c r="E6940" s="637" t="s">
        <v>12702</v>
      </c>
      <c r="F6940" s="801" t="s">
        <v>12704</v>
      </c>
      <c r="G6940" s="801"/>
      <c r="H6940" s="801" t="s">
        <v>13678</v>
      </c>
      <c r="I6940" s="801"/>
      <c r="J6940" s="801" t="s">
        <v>12705</v>
      </c>
      <c r="K6940" s="801"/>
      <c r="L6940" s="801"/>
    </row>
    <row r="6941" spans="1:12" ht="24" customHeight="1">
      <c r="A6941" s="626" t="s">
        <v>12709</v>
      </c>
      <c r="B6941" s="627" t="s">
        <v>12998</v>
      </c>
      <c r="C6941" s="626" t="s">
        <v>8</v>
      </c>
      <c r="D6941" s="626" t="s">
        <v>11861</v>
      </c>
      <c r="E6941" s="628" t="s">
        <v>23</v>
      </c>
      <c r="F6941" s="816" t="s">
        <v>13683</v>
      </c>
      <c r="G6941" s="816"/>
      <c r="H6941" s="816">
        <v>1.4770162</v>
      </c>
      <c r="I6941" s="816"/>
      <c r="J6941" s="817">
        <v>1.0487</v>
      </c>
      <c r="K6941" s="817"/>
      <c r="L6941" s="817"/>
    </row>
    <row r="6942" spans="1:12" ht="24" customHeight="1">
      <c r="A6942" s="636"/>
      <c r="B6942" s="636"/>
      <c r="C6942" s="636"/>
      <c r="D6942" s="636"/>
      <c r="E6942" s="636"/>
      <c r="F6942" s="636"/>
      <c r="G6942" s="636"/>
      <c r="H6942" s="636"/>
      <c r="I6942" s="636"/>
      <c r="J6942" s="636" t="s">
        <v>13675</v>
      </c>
      <c r="K6942" s="636"/>
      <c r="L6942" s="636" t="s">
        <v>14010</v>
      </c>
    </row>
    <row r="6943" spans="1:12" ht="24" customHeight="1">
      <c r="A6943" s="802" t="s">
        <v>12713</v>
      </c>
      <c r="B6943" s="802"/>
      <c r="C6943" s="802"/>
      <c r="D6943" s="802"/>
      <c r="E6943" s="802"/>
      <c r="F6943" s="802"/>
      <c r="G6943" s="802"/>
      <c r="H6943" s="802"/>
      <c r="I6943" s="612"/>
      <c r="J6943" s="612"/>
      <c r="K6943" s="612"/>
      <c r="L6943" s="612"/>
    </row>
    <row r="6944" spans="1:12" ht="24" customHeight="1">
      <c r="A6944" s="612" t="s">
        <v>13679</v>
      </c>
      <c r="B6944" s="636" t="s">
        <v>12698</v>
      </c>
      <c r="C6944" s="612" t="s">
        <v>12699</v>
      </c>
      <c r="D6944" s="612" t="s">
        <v>12700</v>
      </c>
      <c r="E6944" s="637" t="s">
        <v>12702</v>
      </c>
      <c r="F6944" s="801" t="s">
        <v>12704</v>
      </c>
      <c r="G6944" s="801"/>
      <c r="H6944" s="801" t="s">
        <v>13678</v>
      </c>
      <c r="I6944" s="801"/>
      <c r="J6944" s="801" t="s">
        <v>12705</v>
      </c>
      <c r="K6944" s="801"/>
      <c r="L6944" s="801"/>
    </row>
    <row r="6945" spans="1:12" ht="17.100000000000001" customHeight="1">
      <c r="A6945" s="626" t="s">
        <v>12709</v>
      </c>
      <c r="B6945" s="627" t="s">
        <v>12999</v>
      </c>
      <c r="C6945" s="626" t="s">
        <v>8</v>
      </c>
      <c r="D6945" s="626" t="s">
        <v>11251</v>
      </c>
      <c r="E6945" s="628" t="s">
        <v>23</v>
      </c>
      <c r="F6945" s="816" t="s">
        <v>13681</v>
      </c>
      <c r="G6945" s="816"/>
      <c r="H6945" s="816">
        <v>1.4770162</v>
      </c>
      <c r="I6945" s="816"/>
      <c r="J6945" s="817">
        <v>0.10340000000000001</v>
      </c>
      <c r="K6945" s="817"/>
      <c r="L6945" s="817"/>
    </row>
    <row r="6946" spans="1:12">
      <c r="A6946" s="636"/>
      <c r="B6946" s="636"/>
      <c r="C6946" s="636"/>
      <c r="D6946" s="636"/>
      <c r="E6946" s="636"/>
      <c r="F6946" s="636"/>
      <c r="G6946" s="636"/>
      <c r="H6946" s="636"/>
      <c r="I6946" s="636"/>
      <c r="J6946" s="636" t="s">
        <v>13675</v>
      </c>
      <c r="K6946" s="636"/>
      <c r="L6946" s="636" t="s">
        <v>13882</v>
      </c>
    </row>
    <row r="6947" spans="1:12" ht="17.100000000000001" customHeight="1">
      <c r="A6947" s="802" t="s">
        <v>12712</v>
      </c>
      <c r="B6947" s="802"/>
      <c r="C6947" s="802"/>
      <c r="D6947" s="802"/>
      <c r="E6947" s="802"/>
      <c r="F6947" s="802"/>
      <c r="G6947" s="802"/>
      <c r="H6947" s="802"/>
      <c r="I6947" s="612"/>
      <c r="J6947" s="612"/>
      <c r="K6947" s="612"/>
      <c r="L6947" s="612"/>
    </row>
    <row r="6948" spans="1:12" ht="24" customHeight="1">
      <c r="A6948" s="612" t="s">
        <v>13679</v>
      </c>
      <c r="B6948" s="636" t="s">
        <v>12698</v>
      </c>
      <c r="C6948" s="612" t="s">
        <v>12699</v>
      </c>
      <c r="D6948" s="612" t="s">
        <v>12700</v>
      </c>
      <c r="E6948" s="637" t="s">
        <v>12702</v>
      </c>
      <c r="F6948" s="801" t="s">
        <v>12704</v>
      </c>
      <c r="G6948" s="801"/>
      <c r="H6948" s="801" t="s">
        <v>13678</v>
      </c>
      <c r="I6948" s="801"/>
      <c r="J6948" s="801" t="s">
        <v>12705</v>
      </c>
      <c r="K6948" s="801"/>
      <c r="L6948" s="801"/>
    </row>
    <row r="6949" spans="1:12" ht="17.100000000000001" customHeight="1">
      <c r="A6949" s="626" t="s">
        <v>12709</v>
      </c>
      <c r="B6949" s="627" t="s">
        <v>13002</v>
      </c>
      <c r="C6949" s="626" t="s">
        <v>8</v>
      </c>
      <c r="D6949" s="626" t="s">
        <v>9306</v>
      </c>
      <c r="E6949" s="628" t="s">
        <v>23</v>
      </c>
      <c r="F6949" s="816" t="s">
        <v>13677</v>
      </c>
      <c r="G6949" s="816"/>
      <c r="H6949" s="816">
        <v>1.4770162</v>
      </c>
      <c r="I6949" s="816"/>
      <c r="J6949" s="817">
        <v>0.51700000000000002</v>
      </c>
      <c r="K6949" s="817"/>
      <c r="L6949" s="817"/>
    </row>
    <row r="6950" spans="1:12" ht="25.5">
      <c r="A6950" s="626" t="s">
        <v>12709</v>
      </c>
      <c r="B6950" s="627" t="s">
        <v>13004</v>
      </c>
      <c r="C6950" s="626" t="s">
        <v>8</v>
      </c>
      <c r="D6950" s="626" t="s">
        <v>7388</v>
      </c>
      <c r="E6950" s="628" t="s">
        <v>23</v>
      </c>
      <c r="F6950" s="816" t="s">
        <v>13676</v>
      </c>
      <c r="G6950" s="816"/>
      <c r="H6950" s="816">
        <v>1.4770162</v>
      </c>
      <c r="I6950" s="816"/>
      <c r="J6950" s="817">
        <v>3.2494000000000001</v>
      </c>
      <c r="K6950" s="817"/>
      <c r="L6950" s="817"/>
    </row>
    <row r="6951" spans="1:12" ht="17.100000000000001" customHeight="1">
      <c r="A6951" s="636"/>
      <c r="B6951" s="636"/>
      <c r="C6951" s="636"/>
      <c r="D6951" s="636"/>
      <c r="E6951" s="636"/>
      <c r="F6951" s="636"/>
      <c r="G6951" s="636"/>
      <c r="H6951" s="636"/>
      <c r="I6951" s="636"/>
      <c r="J6951" s="636" t="s">
        <v>13675</v>
      </c>
      <c r="K6951" s="636"/>
      <c r="L6951" s="636" t="s">
        <v>14070</v>
      </c>
    </row>
    <row r="6952" spans="1:12" ht="24" customHeight="1">
      <c r="A6952" s="612" t="s">
        <v>13673</v>
      </c>
      <c r="B6952" s="612"/>
      <c r="C6952" s="612"/>
      <c r="D6952" s="612"/>
      <c r="E6952" s="612"/>
      <c r="F6952" s="612"/>
      <c r="G6952" s="612"/>
      <c r="H6952" s="612"/>
      <c r="I6952" s="612"/>
      <c r="J6952" s="612"/>
      <c r="K6952" s="612"/>
      <c r="L6952" s="612"/>
    </row>
    <row r="6953" spans="1:12" ht="17.100000000000001" customHeight="1">
      <c r="A6953" s="636"/>
      <c r="B6953" s="636"/>
      <c r="C6953" s="636"/>
      <c r="D6953" s="636"/>
      <c r="E6953" s="636"/>
      <c r="F6953" s="636"/>
      <c r="G6953" s="636"/>
      <c r="H6953" s="636"/>
      <c r="I6953" s="636"/>
      <c r="J6953" s="636" t="s">
        <v>13672</v>
      </c>
      <c r="K6953" s="636"/>
      <c r="L6953" s="636" t="s">
        <v>15388</v>
      </c>
    </row>
    <row r="6954" spans="1:12">
      <c r="A6954" s="636"/>
      <c r="B6954" s="636"/>
      <c r="C6954" s="636"/>
      <c r="D6954" s="636"/>
      <c r="E6954" s="636"/>
      <c r="F6954" s="636"/>
      <c r="G6954" s="636"/>
      <c r="H6954" s="636"/>
      <c r="I6954" s="636"/>
      <c r="J6954" s="636" t="s">
        <v>13671</v>
      </c>
      <c r="K6954" s="636" t="s">
        <v>14461</v>
      </c>
      <c r="L6954" s="636" t="s">
        <v>15270</v>
      </c>
    </row>
    <row r="6955" spans="1:12" ht="17.100000000000001" customHeight="1">
      <c r="A6955" s="636"/>
      <c r="B6955" s="636"/>
      <c r="C6955" s="636"/>
      <c r="D6955" s="636"/>
      <c r="E6955" s="636"/>
      <c r="F6955" s="636"/>
      <c r="G6955" s="636"/>
      <c r="H6955" s="636"/>
      <c r="I6955" s="636"/>
      <c r="J6955" s="636" t="s">
        <v>13670</v>
      </c>
      <c r="K6955" s="636"/>
      <c r="L6955" s="636" t="s">
        <v>15389</v>
      </c>
    </row>
    <row r="6956" spans="1:12" ht="24" customHeight="1">
      <c r="A6956" s="636"/>
      <c r="B6956" s="636"/>
      <c r="C6956" s="636"/>
      <c r="D6956" s="636"/>
      <c r="E6956" s="636"/>
      <c r="F6956" s="636"/>
      <c r="G6956" s="636"/>
      <c r="H6956" s="636"/>
      <c r="I6956" s="636"/>
      <c r="J6956" s="636" t="s">
        <v>13669</v>
      </c>
      <c r="K6956" s="636" t="s">
        <v>13667</v>
      </c>
      <c r="L6956" s="636" t="s">
        <v>15390</v>
      </c>
    </row>
    <row r="6957" spans="1:12" ht="24" customHeight="1">
      <c r="A6957" s="636"/>
      <c r="B6957" s="636"/>
      <c r="C6957" s="636"/>
      <c r="D6957" s="636"/>
      <c r="E6957" s="636"/>
      <c r="F6957" s="636"/>
      <c r="G6957" s="636"/>
      <c r="H6957" s="636"/>
      <c r="I6957" s="636"/>
      <c r="J6957" s="636" t="s">
        <v>13668</v>
      </c>
      <c r="K6957" s="636"/>
      <c r="L6957" s="636" t="s">
        <v>15391</v>
      </c>
    </row>
    <row r="6958" spans="1:12" ht="17.100000000000001" customHeight="1">
      <c r="A6958" s="637"/>
      <c r="B6958" s="637"/>
      <c r="C6958" s="637"/>
      <c r="D6958" s="637"/>
      <c r="E6958" s="637"/>
      <c r="F6958" s="637"/>
      <c r="G6958" s="637"/>
      <c r="H6958" s="637"/>
      <c r="I6958" s="637"/>
      <c r="J6958" s="637"/>
      <c r="K6958" s="637"/>
      <c r="L6958" s="637"/>
    </row>
    <row r="6959" spans="1:12" ht="17.100000000000001" customHeight="1">
      <c r="A6959" s="616" t="s">
        <v>14008</v>
      </c>
      <c r="B6959" s="617" t="s">
        <v>13473</v>
      </c>
      <c r="C6959" s="616" t="s">
        <v>8</v>
      </c>
      <c r="D6959" s="616" t="s">
        <v>2102</v>
      </c>
      <c r="E6959" s="618" t="s">
        <v>17</v>
      </c>
      <c r="F6959" s="617"/>
      <c r="G6959" s="617"/>
      <c r="H6959" s="617"/>
      <c r="I6959" s="617"/>
      <c r="J6959" s="617"/>
      <c r="K6959" s="617"/>
      <c r="L6959" s="617"/>
    </row>
    <row r="6960" spans="1:12" ht="17.100000000000001" customHeight="1">
      <c r="A6960" s="802" t="s">
        <v>12711</v>
      </c>
      <c r="B6960" s="802"/>
      <c r="C6960" s="802"/>
      <c r="D6960" s="802"/>
      <c r="E6960" s="802"/>
      <c r="F6960" s="802"/>
      <c r="G6960" s="802"/>
      <c r="H6960" s="802"/>
      <c r="I6960" s="612"/>
      <c r="J6960" s="612"/>
      <c r="K6960" s="612"/>
      <c r="L6960" s="612"/>
    </row>
    <row r="6961" spans="1:12" ht="17.100000000000001" customHeight="1">
      <c r="A6961" s="612" t="s">
        <v>13679</v>
      </c>
      <c r="B6961" s="636" t="s">
        <v>12698</v>
      </c>
      <c r="C6961" s="612" t="s">
        <v>12699</v>
      </c>
      <c r="D6961" s="612" t="s">
        <v>12700</v>
      </c>
      <c r="E6961" s="637" t="s">
        <v>12702</v>
      </c>
      <c r="F6961" s="801" t="s">
        <v>12704</v>
      </c>
      <c r="G6961" s="801"/>
      <c r="H6961" s="801" t="s">
        <v>13678</v>
      </c>
      <c r="I6961" s="801"/>
      <c r="J6961" s="801" t="s">
        <v>12705</v>
      </c>
      <c r="K6961" s="801"/>
      <c r="L6961" s="801"/>
    </row>
    <row r="6962" spans="1:12" ht="17.100000000000001" customHeight="1">
      <c r="A6962" s="626" t="s">
        <v>12709</v>
      </c>
      <c r="B6962" s="627" t="s">
        <v>13201</v>
      </c>
      <c r="C6962" s="626" t="s">
        <v>8</v>
      </c>
      <c r="D6962" s="626" t="s">
        <v>9221</v>
      </c>
      <c r="E6962" s="628" t="s">
        <v>23</v>
      </c>
      <c r="F6962" s="816" t="s">
        <v>13705</v>
      </c>
      <c r="G6962" s="816"/>
      <c r="H6962" s="816">
        <v>0.73674240000000002</v>
      </c>
      <c r="I6962" s="816"/>
      <c r="J6962" s="817">
        <v>0.61150000000000004</v>
      </c>
      <c r="K6962" s="817"/>
      <c r="L6962" s="817"/>
    </row>
    <row r="6963" spans="1:12" ht="17.100000000000001" customHeight="1">
      <c r="A6963" s="626" t="s">
        <v>12709</v>
      </c>
      <c r="B6963" s="627" t="s">
        <v>13200</v>
      </c>
      <c r="C6963" s="626" t="s">
        <v>8</v>
      </c>
      <c r="D6963" s="626" t="s">
        <v>9368</v>
      </c>
      <c r="E6963" s="628" t="s">
        <v>23</v>
      </c>
      <c r="F6963" s="816" t="s">
        <v>13704</v>
      </c>
      <c r="G6963" s="816"/>
      <c r="H6963" s="816">
        <v>0.73674240000000002</v>
      </c>
      <c r="I6963" s="816"/>
      <c r="J6963" s="817">
        <v>0.17680000000000001</v>
      </c>
      <c r="K6963" s="817"/>
      <c r="L6963" s="817"/>
    </row>
    <row r="6964" spans="1:12" ht="17.100000000000001" customHeight="1">
      <c r="A6964" s="636"/>
      <c r="B6964" s="636"/>
      <c r="C6964" s="636"/>
      <c r="D6964" s="636"/>
      <c r="E6964" s="636"/>
      <c r="F6964" s="636"/>
      <c r="G6964" s="636"/>
      <c r="H6964" s="636"/>
      <c r="I6964" s="636"/>
      <c r="J6964" s="636" t="s">
        <v>13675</v>
      </c>
      <c r="K6964" s="636"/>
      <c r="L6964" s="636" t="s">
        <v>13893</v>
      </c>
    </row>
    <row r="6965" spans="1:12" ht="30" customHeight="1">
      <c r="A6965" s="802" t="s">
        <v>12710</v>
      </c>
      <c r="B6965" s="802"/>
      <c r="C6965" s="802"/>
      <c r="D6965" s="802"/>
      <c r="E6965" s="802"/>
      <c r="F6965" s="802"/>
      <c r="G6965" s="802"/>
      <c r="H6965" s="802"/>
      <c r="I6965" s="612"/>
      <c r="J6965" s="612"/>
      <c r="K6965" s="612"/>
      <c r="L6965" s="612"/>
    </row>
    <row r="6966" spans="1:12" ht="36" customHeight="1">
      <c r="A6966" s="612" t="s">
        <v>13679</v>
      </c>
      <c r="B6966" s="636" t="s">
        <v>12698</v>
      </c>
      <c r="C6966" s="612" t="s">
        <v>12699</v>
      </c>
      <c r="D6966" s="612" t="s">
        <v>12700</v>
      </c>
      <c r="E6966" s="637" t="s">
        <v>12702</v>
      </c>
      <c r="F6966" s="801" t="s">
        <v>12704</v>
      </c>
      <c r="G6966" s="801"/>
      <c r="H6966" s="801" t="s">
        <v>13678</v>
      </c>
      <c r="I6966" s="801"/>
      <c r="J6966" s="801" t="s">
        <v>12705</v>
      </c>
      <c r="K6966" s="801"/>
      <c r="L6966" s="801"/>
    </row>
    <row r="6967" spans="1:12" ht="14.25" customHeight="1">
      <c r="A6967" s="626" t="s">
        <v>12709</v>
      </c>
      <c r="B6967" s="627" t="s">
        <v>13220</v>
      </c>
      <c r="C6967" s="626" t="s">
        <v>8</v>
      </c>
      <c r="D6967" s="626" t="s">
        <v>7592</v>
      </c>
      <c r="E6967" s="628" t="s">
        <v>23</v>
      </c>
      <c r="F6967" s="816" t="s">
        <v>13890</v>
      </c>
      <c r="G6967" s="816"/>
      <c r="H6967" s="816">
        <v>0.37412459999999997</v>
      </c>
      <c r="I6967" s="816"/>
      <c r="J6967" s="817">
        <v>1.8931</v>
      </c>
      <c r="K6967" s="817"/>
      <c r="L6967" s="817"/>
    </row>
    <row r="6968" spans="1:12" ht="17.100000000000001" customHeight="1">
      <c r="A6968" s="626" t="s">
        <v>12709</v>
      </c>
      <c r="B6968" s="627" t="s">
        <v>13202</v>
      </c>
      <c r="C6968" s="626" t="s">
        <v>8</v>
      </c>
      <c r="D6968" s="626" t="s">
        <v>9187</v>
      </c>
      <c r="E6968" s="628" t="s">
        <v>23</v>
      </c>
      <c r="F6968" s="816" t="s">
        <v>14479</v>
      </c>
      <c r="G6968" s="816"/>
      <c r="H6968" s="816">
        <v>0.37412459999999997</v>
      </c>
      <c r="I6968" s="816"/>
      <c r="J6968" s="817">
        <v>2.6749999999999998</v>
      </c>
      <c r="K6968" s="817"/>
      <c r="L6968" s="817"/>
    </row>
    <row r="6969" spans="1:12" ht="24" customHeight="1">
      <c r="A6969" s="636"/>
      <c r="B6969" s="636"/>
      <c r="C6969" s="636"/>
      <c r="D6969" s="636"/>
      <c r="E6969" s="636"/>
      <c r="F6969" s="636"/>
      <c r="G6969" s="636"/>
      <c r="H6969" s="636"/>
      <c r="I6969" s="636"/>
      <c r="J6969" s="636" t="s">
        <v>13675</v>
      </c>
      <c r="K6969" s="636"/>
      <c r="L6969" s="636" t="s">
        <v>14645</v>
      </c>
    </row>
    <row r="6970" spans="1:12" ht="24" customHeight="1">
      <c r="A6970" s="802" t="s">
        <v>12720</v>
      </c>
      <c r="B6970" s="802"/>
      <c r="C6970" s="802"/>
      <c r="D6970" s="802"/>
      <c r="E6970" s="802"/>
      <c r="F6970" s="802"/>
      <c r="G6970" s="802"/>
      <c r="H6970" s="802"/>
      <c r="I6970" s="612"/>
      <c r="J6970" s="612"/>
      <c r="K6970" s="612"/>
      <c r="L6970" s="612"/>
    </row>
    <row r="6971" spans="1:12" ht="17.100000000000001" customHeight="1">
      <c r="A6971" s="612" t="s">
        <v>13679</v>
      </c>
      <c r="B6971" s="636" t="s">
        <v>12698</v>
      </c>
      <c r="C6971" s="612" t="s">
        <v>12699</v>
      </c>
      <c r="D6971" s="612" t="s">
        <v>12700</v>
      </c>
      <c r="E6971" s="637" t="s">
        <v>12702</v>
      </c>
      <c r="F6971" s="801" t="s">
        <v>12704</v>
      </c>
      <c r="G6971" s="801"/>
      <c r="H6971" s="801" t="s">
        <v>13678</v>
      </c>
      <c r="I6971" s="801"/>
      <c r="J6971" s="801" t="s">
        <v>12705</v>
      </c>
      <c r="K6971" s="801"/>
      <c r="L6971" s="801"/>
    </row>
    <row r="6972" spans="1:12" ht="14.25" customHeight="1">
      <c r="A6972" s="626" t="s">
        <v>12709</v>
      </c>
      <c r="B6972" s="627" t="s">
        <v>13467</v>
      </c>
      <c r="C6972" s="626" t="s">
        <v>8</v>
      </c>
      <c r="D6972" s="626" t="s">
        <v>9987</v>
      </c>
      <c r="E6972" s="628" t="s">
        <v>35</v>
      </c>
      <c r="F6972" s="816" t="s">
        <v>13998</v>
      </c>
      <c r="G6972" s="816"/>
      <c r="H6972" s="816">
        <v>0.123</v>
      </c>
      <c r="I6972" s="816"/>
      <c r="J6972" s="817">
        <v>0.23</v>
      </c>
      <c r="K6972" s="817"/>
      <c r="L6972" s="817"/>
    </row>
    <row r="6973" spans="1:12" ht="17.100000000000001" customHeight="1">
      <c r="A6973" s="626" t="s">
        <v>12709</v>
      </c>
      <c r="B6973" s="627" t="s">
        <v>13466</v>
      </c>
      <c r="C6973" s="626" t="s">
        <v>8</v>
      </c>
      <c r="D6973" s="626" t="s">
        <v>11315</v>
      </c>
      <c r="E6973" s="628" t="s">
        <v>35</v>
      </c>
      <c r="F6973" s="816" t="s">
        <v>14636</v>
      </c>
      <c r="G6973" s="816"/>
      <c r="H6973" s="816">
        <v>2.8199999999999999E-2</v>
      </c>
      <c r="I6973" s="816"/>
      <c r="J6973" s="817">
        <v>1.95</v>
      </c>
      <c r="K6973" s="817"/>
      <c r="L6973" s="817"/>
    </row>
    <row r="6974" spans="1:12" ht="24" customHeight="1">
      <c r="A6974" s="626" t="s">
        <v>12709</v>
      </c>
      <c r="B6974" s="627" t="s">
        <v>13468</v>
      </c>
      <c r="C6974" s="626" t="s">
        <v>8</v>
      </c>
      <c r="D6974" s="626" t="s">
        <v>7343</v>
      </c>
      <c r="E6974" s="628" t="s">
        <v>35</v>
      </c>
      <c r="F6974" s="816" t="s">
        <v>14635</v>
      </c>
      <c r="G6974" s="816"/>
      <c r="H6974" s="816">
        <v>1.72E-2</v>
      </c>
      <c r="I6974" s="816"/>
      <c r="J6974" s="817">
        <v>1.37</v>
      </c>
      <c r="K6974" s="817"/>
      <c r="L6974" s="817"/>
    </row>
    <row r="6975" spans="1:12" ht="24" customHeight="1">
      <c r="A6975" s="626" t="s">
        <v>12709</v>
      </c>
      <c r="B6975" s="627" t="s">
        <v>13472</v>
      </c>
      <c r="C6975" s="626" t="s">
        <v>8</v>
      </c>
      <c r="D6975" s="626" t="s">
        <v>12138</v>
      </c>
      <c r="E6975" s="628" t="s">
        <v>17</v>
      </c>
      <c r="F6975" s="816" t="s">
        <v>14644</v>
      </c>
      <c r="G6975" s="816"/>
      <c r="H6975" s="816">
        <v>1.05</v>
      </c>
      <c r="I6975" s="816"/>
      <c r="J6975" s="817">
        <v>27.04</v>
      </c>
      <c r="K6975" s="817"/>
      <c r="L6975" s="817"/>
    </row>
    <row r="6976" spans="1:12" ht="17.100000000000001" customHeight="1">
      <c r="A6976" s="636"/>
      <c r="B6976" s="636"/>
      <c r="C6976" s="636"/>
      <c r="D6976" s="636"/>
      <c r="E6976" s="636"/>
      <c r="F6976" s="636"/>
      <c r="G6976" s="636"/>
      <c r="H6976" s="636"/>
      <c r="I6976" s="636"/>
      <c r="J6976" s="636" t="s">
        <v>13675</v>
      </c>
      <c r="K6976" s="636"/>
      <c r="L6976" s="636" t="s">
        <v>14643</v>
      </c>
    </row>
    <row r="6977" spans="1:12">
      <c r="A6977" s="802" t="s">
        <v>12722</v>
      </c>
      <c r="B6977" s="802"/>
      <c r="C6977" s="802"/>
      <c r="D6977" s="802"/>
      <c r="E6977" s="802"/>
      <c r="F6977" s="802"/>
      <c r="G6977" s="802"/>
      <c r="H6977" s="802"/>
      <c r="I6977" s="612"/>
      <c r="J6977" s="612"/>
      <c r="K6977" s="612"/>
      <c r="L6977" s="612"/>
    </row>
    <row r="6978" spans="1:12" ht="17.100000000000001" customHeight="1">
      <c r="A6978" s="612" t="s">
        <v>13679</v>
      </c>
      <c r="B6978" s="636" t="s">
        <v>12698</v>
      </c>
      <c r="C6978" s="612" t="s">
        <v>12699</v>
      </c>
      <c r="D6978" s="612" t="s">
        <v>12700</v>
      </c>
      <c r="E6978" s="637" t="s">
        <v>12702</v>
      </c>
      <c r="F6978" s="801" t="s">
        <v>12704</v>
      </c>
      <c r="G6978" s="801"/>
      <c r="H6978" s="801" t="s">
        <v>13678</v>
      </c>
      <c r="I6978" s="801"/>
      <c r="J6978" s="801" t="s">
        <v>12705</v>
      </c>
      <c r="K6978" s="801"/>
      <c r="L6978" s="801"/>
    </row>
    <row r="6979" spans="1:12" ht="24" customHeight="1">
      <c r="A6979" s="626" t="s">
        <v>12709</v>
      </c>
      <c r="B6979" s="627" t="s">
        <v>12998</v>
      </c>
      <c r="C6979" s="626" t="s">
        <v>8</v>
      </c>
      <c r="D6979" s="626" t="s">
        <v>11861</v>
      </c>
      <c r="E6979" s="628" t="s">
        <v>23</v>
      </c>
      <c r="F6979" s="816" t="s">
        <v>13683</v>
      </c>
      <c r="G6979" s="816"/>
      <c r="H6979" s="816">
        <v>0.73674240000000002</v>
      </c>
      <c r="I6979" s="816"/>
      <c r="J6979" s="817">
        <v>0.52310000000000001</v>
      </c>
      <c r="K6979" s="817"/>
      <c r="L6979" s="817"/>
    </row>
    <row r="6980" spans="1:12" ht="24" customHeight="1">
      <c r="A6980" s="636"/>
      <c r="B6980" s="636"/>
      <c r="C6980" s="636"/>
      <c r="D6980" s="636"/>
      <c r="E6980" s="636"/>
      <c r="F6980" s="636"/>
      <c r="G6980" s="636"/>
      <c r="H6980" s="636"/>
      <c r="I6980" s="636"/>
      <c r="J6980" s="636" t="s">
        <v>13675</v>
      </c>
      <c r="K6980" s="636"/>
      <c r="L6980" s="636" t="s">
        <v>13896</v>
      </c>
    </row>
    <row r="6981" spans="1:12" ht="17.100000000000001" customHeight="1">
      <c r="A6981" s="802" t="s">
        <v>12713</v>
      </c>
      <c r="B6981" s="802"/>
      <c r="C6981" s="802"/>
      <c r="D6981" s="802"/>
      <c r="E6981" s="802"/>
      <c r="F6981" s="802"/>
      <c r="G6981" s="802"/>
      <c r="H6981" s="802"/>
      <c r="I6981" s="612"/>
      <c r="J6981" s="612"/>
      <c r="K6981" s="612"/>
      <c r="L6981" s="612"/>
    </row>
    <row r="6982" spans="1:12">
      <c r="A6982" s="612" t="s">
        <v>13679</v>
      </c>
      <c r="B6982" s="636" t="s">
        <v>12698</v>
      </c>
      <c r="C6982" s="612" t="s">
        <v>12699</v>
      </c>
      <c r="D6982" s="612" t="s">
        <v>12700</v>
      </c>
      <c r="E6982" s="637" t="s">
        <v>12702</v>
      </c>
      <c r="F6982" s="801" t="s">
        <v>12704</v>
      </c>
      <c r="G6982" s="801"/>
      <c r="H6982" s="801" t="s">
        <v>13678</v>
      </c>
      <c r="I6982" s="801"/>
      <c r="J6982" s="801" t="s">
        <v>12705</v>
      </c>
      <c r="K6982" s="801"/>
      <c r="L6982" s="801"/>
    </row>
    <row r="6983" spans="1:12" ht="17.100000000000001" customHeight="1">
      <c r="A6983" s="626" t="s">
        <v>12709</v>
      </c>
      <c r="B6983" s="627" t="s">
        <v>12999</v>
      </c>
      <c r="C6983" s="626" t="s">
        <v>8</v>
      </c>
      <c r="D6983" s="626" t="s">
        <v>11251</v>
      </c>
      <c r="E6983" s="628" t="s">
        <v>23</v>
      </c>
      <c r="F6983" s="816" t="s">
        <v>13681</v>
      </c>
      <c r="G6983" s="816"/>
      <c r="H6983" s="816">
        <v>0.73674240000000002</v>
      </c>
      <c r="I6983" s="816"/>
      <c r="J6983" s="817">
        <v>5.16E-2</v>
      </c>
      <c r="K6983" s="817"/>
      <c r="L6983" s="817"/>
    </row>
    <row r="6984" spans="1:12" ht="24" customHeight="1">
      <c r="A6984" s="636"/>
      <c r="B6984" s="636"/>
      <c r="C6984" s="636"/>
      <c r="D6984" s="636"/>
      <c r="E6984" s="636"/>
      <c r="F6984" s="636"/>
      <c r="G6984" s="636"/>
      <c r="H6984" s="636"/>
      <c r="I6984" s="636"/>
      <c r="J6984" s="636" t="s">
        <v>13675</v>
      </c>
      <c r="K6984" s="636"/>
      <c r="L6984" s="636" t="s">
        <v>13767</v>
      </c>
    </row>
    <row r="6985" spans="1:12" ht="17.100000000000001" customHeight="1">
      <c r="A6985" s="802" t="s">
        <v>12712</v>
      </c>
      <c r="B6985" s="802"/>
      <c r="C6985" s="802"/>
      <c r="D6985" s="802"/>
      <c r="E6985" s="802"/>
      <c r="F6985" s="802"/>
      <c r="G6985" s="802"/>
      <c r="H6985" s="802"/>
      <c r="I6985" s="612"/>
      <c r="J6985" s="612"/>
      <c r="K6985" s="612"/>
      <c r="L6985" s="612"/>
    </row>
    <row r="6986" spans="1:12">
      <c r="A6986" s="612" t="s">
        <v>13679</v>
      </c>
      <c r="B6986" s="636" t="s">
        <v>12698</v>
      </c>
      <c r="C6986" s="612" t="s">
        <v>12699</v>
      </c>
      <c r="D6986" s="612" t="s">
        <v>12700</v>
      </c>
      <c r="E6986" s="637" t="s">
        <v>12702</v>
      </c>
      <c r="F6986" s="801" t="s">
        <v>12704</v>
      </c>
      <c r="G6986" s="801"/>
      <c r="H6986" s="801" t="s">
        <v>13678</v>
      </c>
      <c r="I6986" s="801"/>
      <c r="J6986" s="801" t="s">
        <v>12705</v>
      </c>
      <c r="K6986" s="801"/>
      <c r="L6986" s="801"/>
    </row>
    <row r="6987" spans="1:12" ht="17.100000000000001" customHeight="1">
      <c r="A6987" s="626" t="s">
        <v>12709</v>
      </c>
      <c r="B6987" s="627" t="s">
        <v>13002</v>
      </c>
      <c r="C6987" s="626" t="s">
        <v>8</v>
      </c>
      <c r="D6987" s="626" t="s">
        <v>9306</v>
      </c>
      <c r="E6987" s="628" t="s">
        <v>23</v>
      </c>
      <c r="F6987" s="816" t="s">
        <v>13677</v>
      </c>
      <c r="G6987" s="816"/>
      <c r="H6987" s="816">
        <v>0.73674240000000002</v>
      </c>
      <c r="I6987" s="816"/>
      <c r="J6987" s="817">
        <v>0.25790000000000002</v>
      </c>
      <c r="K6987" s="817"/>
      <c r="L6987" s="817"/>
    </row>
    <row r="6988" spans="1:12" ht="24" customHeight="1">
      <c r="A6988" s="626" t="s">
        <v>12709</v>
      </c>
      <c r="B6988" s="627" t="s">
        <v>13004</v>
      </c>
      <c r="C6988" s="626" t="s">
        <v>8</v>
      </c>
      <c r="D6988" s="626" t="s">
        <v>7388</v>
      </c>
      <c r="E6988" s="628" t="s">
        <v>23</v>
      </c>
      <c r="F6988" s="816" t="s">
        <v>13676</v>
      </c>
      <c r="G6988" s="816"/>
      <c r="H6988" s="816">
        <v>0.73674240000000002</v>
      </c>
      <c r="I6988" s="816"/>
      <c r="J6988" s="817">
        <v>1.6208</v>
      </c>
      <c r="K6988" s="817"/>
      <c r="L6988" s="817"/>
    </row>
    <row r="6989" spans="1:12" ht="17.100000000000001" customHeight="1">
      <c r="A6989" s="636"/>
      <c r="B6989" s="636"/>
      <c r="C6989" s="636"/>
      <c r="D6989" s="636"/>
      <c r="E6989" s="636"/>
      <c r="F6989" s="636"/>
      <c r="G6989" s="636"/>
      <c r="H6989" s="636"/>
      <c r="I6989" s="636"/>
      <c r="J6989" s="636" t="s">
        <v>13675</v>
      </c>
      <c r="K6989" s="636"/>
      <c r="L6989" s="636" t="s">
        <v>13887</v>
      </c>
    </row>
    <row r="6990" spans="1:12">
      <c r="A6990" s="612" t="s">
        <v>13673</v>
      </c>
      <c r="B6990" s="612"/>
      <c r="C6990" s="612"/>
      <c r="D6990" s="612"/>
      <c r="E6990" s="612"/>
      <c r="F6990" s="612"/>
      <c r="G6990" s="612"/>
      <c r="H6990" s="612"/>
      <c r="I6990" s="612"/>
      <c r="J6990" s="612"/>
      <c r="K6990" s="612"/>
      <c r="L6990" s="612"/>
    </row>
    <row r="6991" spans="1:12" ht="17.100000000000001" customHeight="1">
      <c r="A6991" s="636"/>
      <c r="B6991" s="636"/>
      <c r="C6991" s="636"/>
      <c r="D6991" s="636"/>
      <c r="E6991" s="636"/>
      <c r="F6991" s="636"/>
      <c r="G6991" s="636"/>
      <c r="H6991" s="636"/>
      <c r="I6991" s="636"/>
      <c r="J6991" s="636" t="s">
        <v>13672</v>
      </c>
      <c r="K6991" s="636"/>
      <c r="L6991" s="636" t="s">
        <v>15392</v>
      </c>
    </row>
    <row r="6992" spans="1:12" ht="24" customHeight="1">
      <c r="A6992" s="636"/>
      <c r="B6992" s="636"/>
      <c r="C6992" s="636"/>
      <c r="D6992" s="636"/>
      <c r="E6992" s="636"/>
      <c r="F6992" s="636"/>
      <c r="G6992" s="636"/>
      <c r="H6992" s="636"/>
      <c r="I6992" s="636"/>
      <c r="J6992" s="636" t="s">
        <v>13671</v>
      </c>
      <c r="K6992" s="636" t="s">
        <v>14461</v>
      </c>
      <c r="L6992" s="636" t="s">
        <v>15393</v>
      </c>
    </row>
    <row r="6993" spans="1:12" ht="24" customHeight="1">
      <c r="A6993" s="636"/>
      <c r="B6993" s="636"/>
      <c r="C6993" s="636"/>
      <c r="D6993" s="636"/>
      <c r="E6993" s="636"/>
      <c r="F6993" s="636"/>
      <c r="G6993" s="636"/>
      <c r="H6993" s="636"/>
      <c r="I6993" s="636"/>
      <c r="J6993" s="636" t="s">
        <v>13670</v>
      </c>
      <c r="K6993" s="636"/>
      <c r="L6993" s="636" t="s">
        <v>15394</v>
      </c>
    </row>
    <row r="6994" spans="1:12" ht="17.100000000000001" customHeight="1">
      <c r="A6994" s="636"/>
      <c r="B6994" s="636"/>
      <c r="C6994" s="636"/>
      <c r="D6994" s="636"/>
      <c r="E6994" s="636"/>
      <c r="F6994" s="636"/>
      <c r="G6994" s="636"/>
      <c r="H6994" s="636"/>
      <c r="I6994" s="636"/>
      <c r="J6994" s="636" t="s">
        <v>13669</v>
      </c>
      <c r="K6994" s="636" t="s">
        <v>13667</v>
      </c>
      <c r="L6994" s="636" t="s">
        <v>15395</v>
      </c>
    </row>
    <row r="6995" spans="1:12" ht="17.100000000000001" customHeight="1">
      <c r="A6995" s="636"/>
      <c r="B6995" s="636"/>
      <c r="C6995" s="636"/>
      <c r="D6995" s="636"/>
      <c r="E6995" s="636"/>
      <c r="F6995" s="636"/>
      <c r="G6995" s="636"/>
      <c r="H6995" s="636"/>
      <c r="I6995" s="636"/>
      <c r="J6995" s="636" t="s">
        <v>13668</v>
      </c>
      <c r="K6995" s="636"/>
      <c r="L6995" s="636" t="s">
        <v>15396</v>
      </c>
    </row>
    <row r="6996" spans="1:12" ht="17.100000000000001" customHeight="1">
      <c r="A6996" s="637"/>
      <c r="B6996" s="637"/>
      <c r="C6996" s="637"/>
      <c r="D6996" s="637"/>
      <c r="E6996" s="637"/>
      <c r="F6996" s="637"/>
      <c r="G6996" s="637"/>
      <c r="H6996" s="637"/>
      <c r="I6996" s="637"/>
      <c r="J6996" s="637"/>
      <c r="K6996" s="637"/>
      <c r="L6996" s="637"/>
    </row>
    <row r="6997" spans="1:12" ht="17.100000000000001" customHeight="1">
      <c r="A6997" s="616" t="s">
        <v>14007</v>
      </c>
      <c r="B6997" s="617" t="s">
        <v>13471</v>
      </c>
      <c r="C6997" s="616" t="s">
        <v>8</v>
      </c>
      <c r="D6997" s="616" t="s">
        <v>1976</v>
      </c>
      <c r="E6997" s="618" t="s">
        <v>17</v>
      </c>
      <c r="F6997" s="617"/>
      <c r="G6997" s="617"/>
      <c r="H6997" s="617"/>
      <c r="I6997" s="617"/>
      <c r="J6997" s="617"/>
      <c r="K6997" s="617"/>
      <c r="L6997" s="617"/>
    </row>
    <row r="6998" spans="1:12" ht="17.100000000000001" customHeight="1">
      <c r="A6998" s="802" t="s">
        <v>12711</v>
      </c>
      <c r="B6998" s="802"/>
      <c r="C6998" s="802"/>
      <c r="D6998" s="802"/>
      <c r="E6998" s="802"/>
      <c r="F6998" s="802"/>
      <c r="G6998" s="802"/>
      <c r="H6998" s="802"/>
      <c r="I6998" s="612"/>
      <c r="J6998" s="612"/>
      <c r="K6998" s="612"/>
      <c r="L6998" s="612"/>
    </row>
    <row r="6999" spans="1:12" ht="17.100000000000001" customHeight="1">
      <c r="A6999" s="612" t="s">
        <v>13679</v>
      </c>
      <c r="B6999" s="636" t="s">
        <v>12698</v>
      </c>
      <c r="C6999" s="612" t="s">
        <v>12699</v>
      </c>
      <c r="D6999" s="612" t="s">
        <v>12700</v>
      </c>
      <c r="E6999" s="637" t="s">
        <v>12702</v>
      </c>
      <c r="F6999" s="801" t="s">
        <v>12704</v>
      </c>
      <c r="G6999" s="801"/>
      <c r="H6999" s="801" t="s">
        <v>13678</v>
      </c>
      <c r="I6999" s="801"/>
      <c r="J6999" s="801" t="s">
        <v>12705</v>
      </c>
      <c r="K6999" s="801"/>
      <c r="L6999" s="801"/>
    </row>
    <row r="7000" spans="1:12" ht="17.100000000000001" customHeight="1">
      <c r="A7000" s="626" t="s">
        <v>12709</v>
      </c>
      <c r="B7000" s="627" t="s">
        <v>13201</v>
      </c>
      <c r="C7000" s="626" t="s">
        <v>8</v>
      </c>
      <c r="D7000" s="626" t="s">
        <v>9221</v>
      </c>
      <c r="E7000" s="628" t="s">
        <v>23</v>
      </c>
      <c r="F7000" s="816" t="s">
        <v>13705</v>
      </c>
      <c r="G7000" s="816"/>
      <c r="H7000" s="816">
        <v>0.59864499999999998</v>
      </c>
      <c r="I7000" s="816"/>
      <c r="J7000" s="817">
        <v>0.49690000000000001</v>
      </c>
      <c r="K7000" s="817"/>
      <c r="L7000" s="817"/>
    </row>
    <row r="7001" spans="1:12" ht="30" customHeight="1">
      <c r="A7001" s="626" t="s">
        <v>12709</v>
      </c>
      <c r="B7001" s="627" t="s">
        <v>13200</v>
      </c>
      <c r="C7001" s="626" t="s">
        <v>8</v>
      </c>
      <c r="D7001" s="626" t="s">
        <v>9368</v>
      </c>
      <c r="E7001" s="628" t="s">
        <v>23</v>
      </c>
      <c r="F7001" s="816" t="s">
        <v>13704</v>
      </c>
      <c r="G7001" s="816"/>
      <c r="H7001" s="816">
        <v>0.59864499999999998</v>
      </c>
      <c r="I7001" s="816"/>
      <c r="J7001" s="817">
        <v>0.14369999999999999</v>
      </c>
      <c r="K7001" s="817"/>
      <c r="L7001" s="817"/>
    </row>
    <row r="7002" spans="1:12" ht="36" customHeight="1">
      <c r="A7002" s="636"/>
      <c r="B7002" s="636"/>
      <c r="C7002" s="636"/>
      <c r="D7002" s="636"/>
      <c r="E7002" s="636"/>
      <c r="F7002" s="636"/>
      <c r="G7002" s="636"/>
      <c r="H7002" s="636"/>
      <c r="I7002" s="636"/>
      <c r="J7002" s="636" t="s">
        <v>13675</v>
      </c>
      <c r="K7002" s="636"/>
      <c r="L7002" s="636" t="s">
        <v>13879</v>
      </c>
    </row>
    <row r="7003" spans="1:12" ht="14.25" customHeight="1">
      <c r="A7003" s="802" t="s">
        <v>12710</v>
      </c>
      <c r="B7003" s="802"/>
      <c r="C7003" s="802"/>
      <c r="D7003" s="802"/>
      <c r="E7003" s="802"/>
      <c r="F7003" s="802"/>
      <c r="G7003" s="802"/>
      <c r="H7003" s="802"/>
      <c r="I7003" s="612"/>
      <c r="J7003" s="612"/>
      <c r="K7003" s="612"/>
      <c r="L7003" s="612"/>
    </row>
    <row r="7004" spans="1:12" ht="17.100000000000001" customHeight="1">
      <c r="A7004" s="612" t="s">
        <v>13679</v>
      </c>
      <c r="B7004" s="636" t="s">
        <v>12698</v>
      </c>
      <c r="C7004" s="612" t="s">
        <v>12699</v>
      </c>
      <c r="D7004" s="612" t="s">
        <v>12700</v>
      </c>
      <c r="E7004" s="637" t="s">
        <v>12702</v>
      </c>
      <c r="F7004" s="801" t="s">
        <v>12704</v>
      </c>
      <c r="G7004" s="801"/>
      <c r="H7004" s="801" t="s">
        <v>13678</v>
      </c>
      <c r="I7004" s="801"/>
      <c r="J7004" s="801" t="s">
        <v>12705</v>
      </c>
      <c r="K7004" s="801"/>
      <c r="L7004" s="801"/>
    </row>
    <row r="7005" spans="1:12" ht="24" customHeight="1">
      <c r="A7005" s="626" t="s">
        <v>12709</v>
      </c>
      <c r="B7005" s="627" t="s">
        <v>13220</v>
      </c>
      <c r="C7005" s="626" t="s">
        <v>8</v>
      </c>
      <c r="D7005" s="626" t="s">
        <v>7592</v>
      </c>
      <c r="E7005" s="628" t="s">
        <v>23</v>
      </c>
      <c r="F7005" s="816" t="s">
        <v>13890</v>
      </c>
      <c r="G7005" s="816"/>
      <c r="H7005" s="816">
        <v>0.30328440000000001</v>
      </c>
      <c r="I7005" s="816"/>
      <c r="J7005" s="817">
        <v>1.5346</v>
      </c>
      <c r="K7005" s="817"/>
      <c r="L7005" s="817"/>
    </row>
    <row r="7006" spans="1:12" ht="24" customHeight="1">
      <c r="A7006" s="626" t="s">
        <v>12709</v>
      </c>
      <c r="B7006" s="627" t="s">
        <v>13202</v>
      </c>
      <c r="C7006" s="626" t="s">
        <v>8</v>
      </c>
      <c r="D7006" s="626" t="s">
        <v>9187</v>
      </c>
      <c r="E7006" s="628" t="s">
        <v>23</v>
      </c>
      <c r="F7006" s="816" t="s">
        <v>14479</v>
      </c>
      <c r="G7006" s="816"/>
      <c r="H7006" s="816">
        <v>0.30328440000000001</v>
      </c>
      <c r="I7006" s="816"/>
      <c r="J7006" s="817">
        <v>2.1684999999999999</v>
      </c>
      <c r="K7006" s="817"/>
      <c r="L7006" s="817"/>
    </row>
    <row r="7007" spans="1:12" ht="17.100000000000001" customHeight="1">
      <c r="A7007" s="636"/>
      <c r="B7007" s="636"/>
      <c r="C7007" s="636"/>
      <c r="D7007" s="636"/>
      <c r="E7007" s="636"/>
      <c r="F7007" s="636"/>
      <c r="G7007" s="636"/>
      <c r="H7007" s="636"/>
      <c r="I7007" s="636"/>
      <c r="J7007" s="636" t="s">
        <v>13675</v>
      </c>
      <c r="K7007" s="636"/>
      <c r="L7007" s="636" t="s">
        <v>13719</v>
      </c>
    </row>
    <row r="7008" spans="1:12" ht="14.25" customHeight="1">
      <c r="A7008" s="802" t="s">
        <v>12720</v>
      </c>
      <c r="B7008" s="802"/>
      <c r="C7008" s="802"/>
      <c r="D7008" s="802"/>
      <c r="E7008" s="802"/>
      <c r="F7008" s="802"/>
      <c r="G7008" s="802"/>
      <c r="H7008" s="802"/>
      <c r="I7008" s="612"/>
      <c r="J7008" s="612"/>
      <c r="K7008" s="612"/>
      <c r="L7008" s="612"/>
    </row>
    <row r="7009" spans="1:12" ht="17.100000000000001" customHeight="1">
      <c r="A7009" s="612" t="s">
        <v>13679</v>
      </c>
      <c r="B7009" s="636" t="s">
        <v>12698</v>
      </c>
      <c r="C7009" s="612" t="s">
        <v>12699</v>
      </c>
      <c r="D7009" s="612" t="s">
        <v>12700</v>
      </c>
      <c r="E7009" s="637" t="s">
        <v>12702</v>
      </c>
      <c r="F7009" s="801" t="s">
        <v>12704</v>
      </c>
      <c r="G7009" s="801"/>
      <c r="H7009" s="801" t="s">
        <v>13678</v>
      </c>
      <c r="I7009" s="801"/>
      <c r="J7009" s="801" t="s">
        <v>12705</v>
      </c>
      <c r="K7009" s="801"/>
      <c r="L7009" s="801"/>
    </row>
    <row r="7010" spans="1:12" ht="24" customHeight="1">
      <c r="A7010" s="626" t="s">
        <v>12709</v>
      </c>
      <c r="B7010" s="627" t="s">
        <v>13467</v>
      </c>
      <c r="C7010" s="626" t="s">
        <v>8</v>
      </c>
      <c r="D7010" s="626" t="s">
        <v>9987</v>
      </c>
      <c r="E7010" s="628" t="s">
        <v>35</v>
      </c>
      <c r="F7010" s="816" t="s">
        <v>13998</v>
      </c>
      <c r="G7010" s="816"/>
      <c r="H7010" s="816">
        <v>0.1</v>
      </c>
      <c r="I7010" s="816"/>
      <c r="J7010" s="817">
        <v>0.19</v>
      </c>
      <c r="K7010" s="817"/>
      <c r="L7010" s="817"/>
    </row>
    <row r="7011" spans="1:12" ht="24" customHeight="1">
      <c r="A7011" s="626" t="s">
        <v>12709</v>
      </c>
      <c r="B7011" s="627" t="s">
        <v>13470</v>
      </c>
      <c r="C7011" s="626" t="s">
        <v>8</v>
      </c>
      <c r="D7011" s="626" t="s">
        <v>12139</v>
      </c>
      <c r="E7011" s="628" t="s">
        <v>17</v>
      </c>
      <c r="F7011" s="816" t="s">
        <v>14642</v>
      </c>
      <c r="G7011" s="816"/>
      <c r="H7011" s="816">
        <v>1.05</v>
      </c>
      <c r="I7011" s="816"/>
      <c r="J7011" s="817">
        <v>3.81</v>
      </c>
      <c r="K7011" s="817"/>
      <c r="L7011" s="817"/>
    </row>
    <row r="7012" spans="1:12" ht="17.100000000000001" customHeight="1">
      <c r="A7012" s="636"/>
      <c r="B7012" s="636"/>
      <c r="C7012" s="636"/>
      <c r="D7012" s="636"/>
      <c r="E7012" s="636"/>
      <c r="F7012" s="636"/>
      <c r="G7012" s="636"/>
      <c r="H7012" s="636"/>
      <c r="I7012" s="636"/>
      <c r="J7012" s="636" t="s">
        <v>13675</v>
      </c>
      <c r="K7012" s="636"/>
      <c r="L7012" s="636" t="s">
        <v>14060</v>
      </c>
    </row>
    <row r="7013" spans="1:12">
      <c r="A7013" s="802" t="s">
        <v>12722</v>
      </c>
      <c r="B7013" s="802"/>
      <c r="C7013" s="802"/>
      <c r="D7013" s="802"/>
      <c r="E7013" s="802"/>
      <c r="F7013" s="802"/>
      <c r="G7013" s="802"/>
      <c r="H7013" s="802"/>
      <c r="I7013" s="612"/>
      <c r="J7013" s="612"/>
      <c r="K7013" s="612"/>
      <c r="L7013" s="612"/>
    </row>
    <row r="7014" spans="1:12" ht="17.100000000000001" customHeight="1">
      <c r="A7014" s="612" t="s">
        <v>13679</v>
      </c>
      <c r="B7014" s="636" t="s">
        <v>12698</v>
      </c>
      <c r="C7014" s="612" t="s">
        <v>12699</v>
      </c>
      <c r="D7014" s="612" t="s">
        <v>12700</v>
      </c>
      <c r="E7014" s="637" t="s">
        <v>12702</v>
      </c>
      <c r="F7014" s="801" t="s">
        <v>12704</v>
      </c>
      <c r="G7014" s="801"/>
      <c r="H7014" s="801" t="s">
        <v>13678</v>
      </c>
      <c r="I7014" s="801"/>
      <c r="J7014" s="801" t="s">
        <v>12705</v>
      </c>
      <c r="K7014" s="801"/>
      <c r="L7014" s="801"/>
    </row>
    <row r="7015" spans="1:12" ht="24" customHeight="1">
      <c r="A7015" s="626" t="s">
        <v>12709</v>
      </c>
      <c r="B7015" s="627" t="s">
        <v>12998</v>
      </c>
      <c r="C7015" s="626" t="s">
        <v>8</v>
      </c>
      <c r="D7015" s="626" t="s">
        <v>11861</v>
      </c>
      <c r="E7015" s="628" t="s">
        <v>23</v>
      </c>
      <c r="F7015" s="816" t="s">
        <v>13683</v>
      </c>
      <c r="G7015" s="816"/>
      <c r="H7015" s="816">
        <v>0.59864499999999998</v>
      </c>
      <c r="I7015" s="816"/>
      <c r="J7015" s="817">
        <v>0.42499999999999999</v>
      </c>
      <c r="K7015" s="817"/>
      <c r="L7015" s="817"/>
    </row>
    <row r="7016" spans="1:12" ht="24" customHeight="1">
      <c r="A7016" s="636"/>
      <c r="B7016" s="636"/>
      <c r="C7016" s="636"/>
      <c r="D7016" s="636"/>
      <c r="E7016" s="636"/>
      <c r="F7016" s="636"/>
      <c r="G7016" s="636"/>
      <c r="H7016" s="636"/>
      <c r="I7016" s="636"/>
      <c r="J7016" s="636" t="s">
        <v>13675</v>
      </c>
      <c r="K7016" s="636"/>
      <c r="L7016" s="636" t="s">
        <v>13717</v>
      </c>
    </row>
    <row r="7017" spans="1:12" ht="24" customHeight="1">
      <c r="A7017" s="802" t="s">
        <v>12713</v>
      </c>
      <c r="B7017" s="802"/>
      <c r="C7017" s="802"/>
      <c r="D7017" s="802"/>
      <c r="E7017" s="802"/>
      <c r="F7017" s="802"/>
      <c r="G7017" s="802"/>
      <c r="H7017" s="802"/>
      <c r="I7017" s="612"/>
      <c r="J7017" s="612"/>
      <c r="K7017" s="612"/>
      <c r="L7017" s="612"/>
    </row>
    <row r="7018" spans="1:12" ht="24" customHeight="1">
      <c r="A7018" s="612" t="s">
        <v>13679</v>
      </c>
      <c r="B7018" s="636" t="s">
        <v>12698</v>
      </c>
      <c r="C7018" s="612" t="s">
        <v>12699</v>
      </c>
      <c r="D7018" s="612" t="s">
        <v>12700</v>
      </c>
      <c r="E7018" s="637" t="s">
        <v>12702</v>
      </c>
      <c r="F7018" s="801" t="s">
        <v>12704</v>
      </c>
      <c r="G7018" s="801"/>
      <c r="H7018" s="801" t="s">
        <v>13678</v>
      </c>
      <c r="I7018" s="801"/>
      <c r="J7018" s="801" t="s">
        <v>12705</v>
      </c>
      <c r="K7018" s="801"/>
      <c r="L7018" s="801"/>
    </row>
    <row r="7019" spans="1:12" ht="17.100000000000001" customHeight="1">
      <c r="A7019" s="626" t="s">
        <v>12709</v>
      </c>
      <c r="B7019" s="627" t="s">
        <v>12999</v>
      </c>
      <c r="C7019" s="626" t="s">
        <v>8</v>
      </c>
      <c r="D7019" s="626" t="s">
        <v>11251</v>
      </c>
      <c r="E7019" s="628" t="s">
        <v>23</v>
      </c>
      <c r="F7019" s="816" t="s">
        <v>13681</v>
      </c>
      <c r="G7019" s="816"/>
      <c r="H7019" s="816">
        <v>0.59864499999999998</v>
      </c>
      <c r="I7019" s="816"/>
      <c r="J7019" s="817">
        <v>4.19E-2</v>
      </c>
      <c r="K7019" s="817"/>
      <c r="L7019" s="817"/>
    </row>
    <row r="7020" spans="1:12">
      <c r="A7020" s="636"/>
      <c r="B7020" s="636"/>
      <c r="C7020" s="636"/>
      <c r="D7020" s="636"/>
      <c r="E7020" s="636"/>
      <c r="F7020" s="636"/>
      <c r="G7020" s="636"/>
      <c r="H7020" s="636"/>
      <c r="I7020" s="636"/>
      <c r="J7020" s="636" t="s">
        <v>13675</v>
      </c>
      <c r="K7020" s="636"/>
      <c r="L7020" s="636" t="s">
        <v>13716</v>
      </c>
    </row>
    <row r="7021" spans="1:12" ht="17.100000000000001" customHeight="1">
      <c r="A7021" s="802" t="s">
        <v>12712</v>
      </c>
      <c r="B7021" s="802"/>
      <c r="C7021" s="802"/>
      <c r="D7021" s="802"/>
      <c r="E7021" s="802"/>
      <c r="F7021" s="802"/>
      <c r="G7021" s="802"/>
      <c r="H7021" s="802"/>
      <c r="I7021" s="612"/>
      <c r="J7021" s="612"/>
      <c r="K7021" s="612"/>
      <c r="L7021" s="612"/>
    </row>
    <row r="7022" spans="1:12" ht="24" customHeight="1">
      <c r="A7022" s="612" t="s">
        <v>13679</v>
      </c>
      <c r="B7022" s="636" t="s">
        <v>12698</v>
      </c>
      <c r="C7022" s="612" t="s">
        <v>12699</v>
      </c>
      <c r="D7022" s="612" t="s">
        <v>12700</v>
      </c>
      <c r="E7022" s="637" t="s">
        <v>12702</v>
      </c>
      <c r="F7022" s="801" t="s">
        <v>12704</v>
      </c>
      <c r="G7022" s="801"/>
      <c r="H7022" s="801" t="s">
        <v>13678</v>
      </c>
      <c r="I7022" s="801"/>
      <c r="J7022" s="801" t="s">
        <v>12705</v>
      </c>
      <c r="K7022" s="801"/>
      <c r="L7022" s="801"/>
    </row>
    <row r="7023" spans="1:12" ht="17.100000000000001" customHeight="1">
      <c r="A7023" s="626" t="s">
        <v>12709</v>
      </c>
      <c r="B7023" s="627" t="s">
        <v>13002</v>
      </c>
      <c r="C7023" s="626" t="s">
        <v>8</v>
      </c>
      <c r="D7023" s="626" t="s">
        <v>9306</v>
      </c>
      <c r="E7023" s="628" t="s">
        <v>23</v>
      </c>
      <c r="F7023" s="816" t="s">
        <v>13677</v>
      </c>
      <c r="G7023" s="816"/>
      <c r="H7023" s="816">
        <v>0.59864499999999998</v>
      </c>
      <c r="I7023" s="816"/>
      <c r="J7023" s="817">
        <v>0.20949999999999999</v>
      </c>
      <c r="K7023" s="817"/>
      <c r="L7023" s="817"/>
    </row>
    <row r="7024" spans="1:12" ht="25.5">
      <c r="A7024" s="626" t="s">
        <v>12709</v>
      </c>
      <c r="B7024" s="627" t="s">
        <v>13004</v>
      </c>
      <c r="C7024" s="626" t="s">
        <v>8</v>
      </c>
      <c r="D7024" s="626" t="s">
        <v>7388</v>
      </c>
      <c r="E7024" s="628" t="s">
        <v>23</v>
      </c>
      <c r="F7024" s="816" t="s">
        <v>13676</v>
      </c>
      <c r="G7024" s="816"/>
      <c r="H7024" s="816">
        <v>0.59864499999999998</v>
      </c>
      <c r="I7024" s="816"/>
      <c r="J7024" s="817">
        <v>1.3169999999999999</v>
      </c>
      <c r="K7024" s="817"/>
      <c r="L7024" s="817"/>
    </row>
    <row r="7025" spans="1:12" ht="17.100000000000001" customHeight="1">
      <c r="A7025" s="636"/>
      <c r="B7025" s="636"/>
      <c r="C7025" s="636"/>
      <c r="D7025" s="636"/>
      <c r="E7025" s="636"/>
      <c r="F7025" s="636"/>
      <c r="G7025" s="636"/>
      <c r="H7025" s="636"/>
      <c r="I7025" s="636"/>
      <c r="J7025" s="636" t="s">
        <v>13675</v>
      </c>
      <c r="K7025" s="636"/>
      <c r="L7025" s="636" t="s">
        <v>13715</v>
      </c>
    </row>
    <row r="7026" spans="1:12" ht="24" customHeight="1">
      <c r="A7026" s="612" t="s">
        <v>13673</v>
      </c>
      <c r="B7026" s="612"/>
      <c r="C7026" s="612"/>
      <c r="D7026" s="612"/>
      <c r="E7026" s="612"/>
      <c r="F7026" s="612"/>
      <c r="G7026" s="612"/>
      <c r="H7026" s="612"/>
      <c r="I7026" s="612"/>
      <c r="J7026" s="612"/>
      <c r="K7026" s="612"/>
      <c r="L7026" s="612"/>
    </row>
    <row r="7027" spans="1:12" ht="17.100000000000001" customHeight="1">
      <c r="A7027" s="636"/>
      <c r="B7027" s="636"/>
      <c r="C7027" s="636"/>
      <c r="D7027" s="636"/>
      <c r="E7027" s="636"/>
      <c r="F7027" s="636"/>
      <c r="G7027" s="636"/>
      <c r="H7027" s="636"/>
      <c r="I7027" s="636"/>
      <c r="J7027" s="636" t="s">
        <v>13672</v>
      </c>
      <c r="K7027" s="636"/>
      <c r="L7027" s="636" t="s">
        <v>15397</v>
      </c>
    </row>
    <row r="7028" spans="1:12">
      <c r="A7028" s="636"/>
      <c r="B7028" s="636"/>
      <c r="C7028" s="636"/>
      <c r="D7028" s="636"/>
      <c r="E7028" s="636"/>
      <c r="F7028" s="636"/>
      <c r="G7028" s="636"/>
      <c r="H7028" s="636"/>
      <c r="I7028" s="636"/>
      <c r="J7028" s="636" t="s">
        <v>13671</v>
      </c>
      <c r="K7028" s="636" t="s">
        <v>14461</v>
      </c>
      <c r="L7028" s="636" t="s">
        <v>15398</v>
      </c>
    </row>
    <row r="7029" spans="1:12" ht="17.100000000000001" customHeight="1">
      <c r="A7029" s="636"/>
      <c r="B7029" s="636"/>
      <c r="C7029" s="636"/>
      <c r="D7029" s="636"/>
      <c r="E7029" s="636"/>
      <c r="F7029" s="636"/>
      <c r="G7029" s="636"/>
      <c r="H7029" s="636"/>
      <c r="I7029" s="636"/>
      <c r="J7029" s="636" t="s">
        <v>13670</v>
      </c>
      <c r="K7029" s="636"/>
      <c r="L7029" s="636" t="s">
        <v>15399</v>
      </c>
    </row>
    <row r="7030" spans="1:12" ht="24" customHeight="1">
      <c r="A7030" s="636"/>
      <c r="B7030" s="636"/>
      <c r="C7030" s="636"/>
      <c r="D7030" s="636"/>
      <c r="E7030" s="636"/>
      <c r="F7030" s="636"/>
      <c r="G7030" s="636"/>
      <c r="H7030" s="636"/>
      <c r="I7030" s="636"/>
      <c r="J7030" s="636" t="s">
        <v>13669</v>
      </c>
      <c r="K7030" s="636" t="s">
        <v>13667</v>
      </c>
      <c r="L7030" s="636" t="s">
        <v>14885</v>
      </c>
    </row>
    <row r="7031" spans="1:12" ht="24" customHeight="1">
      <c r="A7031" s="636"/>
      <c r="B7031" s="636"/>
      <c r="C7031" s="636"/>
      <c r="D7031" s="636"/>
      <c r="E7031" s="636"/>
      <c r="F7031" s="636"/>
      <c r="G7031" s="636"/>
      <c r="H7031" s="636"/>
      <c r="I7031" s="636"/>
      <c r="J7031" s="636" t="s">
        <v>13668</v>
      </c>
      <c r="K7031" s="636"/>
      <c r="L7031" s="636" t="s">
        <v>15400</v>
      </c>
    </row>
    <row r="7032" spans="1:12" ht="17.100000000000001" customHeight="1">
      <c r="A7032" s="637"/>
      <c r="B7032" s="637"/>
      <c r="C7032" s="637"/>
      <c r="D7032" s="637"/>
      <c r="E7032" s="637"/>
      <c r="F7032" s="637"/>
      <c r="G7032" s="637"/>
      <c r="H7032" s="637"/>
      <c r="I7032" s="637"/>
      <c r="J7032" s="637"/>
      <c r="K7032" s="637"/>
      <c r="L7032" s="637"/>
    </row>
    <row r="7033" spans="1:12" ht="17.100000000000001" customHeight="1">
      <c r="A7033" s="616" t="s">
        <v>14005</v>
      </c>
      <c r="B7033" s="617" t="s">
        <v>13469</v>
      </c>
      <c r="C7033" s="616" t="s">
        <v>8</v>
      </c>
      <c r="D7033" s="616" t="s">
        <v>1977</v>
      </c>
      <c r="E7033" s="618" t="s">
        <v>17</v>
      </c>
      <c r="F7033" s="617"/>
      <c r="G7033" s="617"/>
      <c r="H7033" s="617"/>
      <c r="I7033" s="617"/>
      <c r="J7033" s="617"/>
      <c r="K7033" s="617"/>
      <c r="L7033" s="617"/>
    </row>
    <row r="7034" spans="1:12" ht="17.100000000000001" customHeight="1">
      <c r="A7034" s="802" t="s">
        <v>12711</v>
      </c>
      <c r="B7034" s="802"/>
      <c r="C7034" s="802"/>
      <c r="D7034" s="802"/>
      <c r="E7034" s="802"/>
      <c r="F7034" s="802"/>
      <c r="G7034" s="802"/>
      <c r="H7034" s="802"/>
      <c r="I7034" s="612"/>
      <c r="J7034" s="612"/>
      <c r="K7034" s="612"/>
      <c r="L7034" s="612"/>
    </row>
    <row r="7035" spans="1:12" ht="17.100000000000001" customHeight="1">
      <c r="A7035" s="612" t="s">
        <v>13679</v>
      </c>
      <c r="B7035" s="636" t="s">
        <v>12698</v>
      </c>
      <c r="C7035" s="612" t="s">
        <v>12699</v>
      </c>
      <c r="D7035" s="612" t="s">
        <v>12700</v>
      </c>
      <c r="E7035" s="637" t="s">
        <v>12702</v>
      </c>
      <c r="F7035" s="801" t="s">
        <v>12704</v>
      </c>
      <c r="G7035" s="801"/>
      <c r="H7035" s="801" t="s">
        <v>13678</v>
      </c>
      <c r="I7035" s="801"/>
      <c r="J7035" s="801" t="s">
        <v>12705</v>
      </c>
      <c r="K7035" s="801"/>
      <c r="L7035" s="801"/>
    </row>
    <row r="7036" spans="1:12" ht="17.100000000000001" customHeight="1">
      <c r="A7036" s="626" t="s">
        <v>12709</v>
      </c>
      <c r="B7036" s="627" t="s">
        <v>13201</v>
      </c>
      <c r="C7036" s="626" t="s">
        <v>8</v>
      </c>
      <c r="D7036" s="626" t="s">
        <v>9221</v>
      </c>
      <c r="E7036" s="628" t="s">
        <v>23</v>
      </c>
      <c r="F7036" s="816" t="s">
        <v>13705</v>
      </c>
      <c r="G7036" s="816"/>
      <c r="H7036" s="816">
        <v>0.75790789999999997</v>
      </c>
      <c r="I7036" s="816"/>
      <c r="J7036" s="817">
        <v>0.62909999999999999</v>
      </c>
      <c r="K7036" s="817"/>
      <c r="L7036" s="817"/>
    </row>
    <row r="7037" spans="1:12" ht="17.100000000000001" customHeight="1">
      <c r="A7037" s="626" t="s">
        <v>12709</v>
      </c>
      <c r="B7037" s="627" t="s">
        <v>13200</v>
      </c>
      <c r="C7037" s="626" t="s">
        <v>8</v>
      </c>
      <c r="D7037" s="626" t="s">
        <v>9368</v>
      </c>
      <c r="E7037" s="628" t="s">
        <v>23</v>
      </c>
      <c r="F7037" s="816" t="s">
        <v>13704</v>
      </c>
      <c r="G7037" s="816"/>
      <c r="H7037" s="816">
        <v>0.75790789999999997</v>
      </c>
      <c r="I7037" s="816"/>
      <c r="J7037" s="817">
        <v>0.18190000000000001</v>
      </c>
      <c r="K7037" s="817"/>
      <c r="L7037" s="817"/>
    </row>
    <row r="7038" spans="1:12" ht="17.100000000000001" customHeight="1">
      <c r="A7038" s="636"/>
      <c r="B7038" s="636"/>
      <c r="C7038" s="636"/>
      <c r="D7038" s="636"/>
      <c r="E7038" s="636"/>
      <c r="F7038" s="636"/>
      <c r="G7038" s="636"/>
      <c r="H7038" s="636"/>
      <c r="I7038" s="636"/>
      <c r="J7038" s="636" t="s">
        <v>13675</v>
      </c>
      <c r="K7038" s="636"/>
      <c r="L7038" s="636" t="s">
        <v>13999</v>
      </c>
    </row>
    <row r="7039" spans="1:12" ht="30" customHeight="1">
      <c r="A7039" s="802" t="s">
        <v>12710</v>
      </c>
      <c r="B7039" s="802"/>
      <c r="C7039" s="802"/>
      <c r="D7039" s="802"/>
      <c r="E7039" s="802"/>
      <c r="F7039" s="802"/>
      <c r="G7039" s="802"/>
      <c r="H7039" s="802"/>
      <c r="I7039" s="612"/>
      <c r="J7039" s="612"/>
      <c r="K7039" s="612"/>
      <c r="L7039" s="612"/>
    </row>
    <row r="7040" spans="1:12" ht="48" customHeight="1">
      <c r="A7040" s="612" t="s">
        <v>13679</v>
      </c>
      <c r="B7040" s="636" t="s">
        <v>12698</v>
      </c>
      <c r="C7040" s="612" t="s">
        <v>12699</v>
      </c>
      <c r="D7040" s="612" t="s">
        <v>12700</v>
      </c>
      <c r="E7040" s="637" t="s">
        <v>12702</v>
      </c>
      <c r="F7040" s="801" t="s">
        <v>12704</v>
      </c>
      <c r="G7040" s="801"/>
      <c r="H7040" s="801" t="s">
        <v>13678</v>
      </c>
      <c r="I7040" s="801"/>
      <c r="J7040" s="801" t="s">
        <v>12705</v>
      </c>
      <c r="K7040" s="801"/>
      <c r="L7040" s="801"/>
    </row>
    <row r="7041" spans="1:12" ht="14.25" customHeight="1">
      <c r="A7041" s="626" t="s">
        <v>12709</v>
      </c>
      <c r="B7041" s="627" t="s">
        <v>13220</v>
      </c>
      <c r="C7041" s="626" t="s">
        <v>8</v>
      </c>
      <c r="D7041" s="626" t="s">
        <v>7592</v>
      </c>
      <c r="E7041" s="628" t="s">
        <v>23</v>
      </c>
      <c r="F7041" s="816" t="s">
        <v>13890</v>
      </c>
      <c r="G7041" s="816"/>
      <c r="H7041" s="816">
        <v>0.38386510000000001</v>
      </c>
      <c r="I7041" s="816"/>
      <c r="J7041" s="817">
        <v>1.9423999999999999</v>
      </c>
      <c r="K7041" s="817"/>
      <c r="L7041" s="817"/>
    </row>
    <row r="7042" spans="1:12" ht="17.100000000000001" customHeight="1">
      <c r="A7042" s="626" t="s">
        <v>12709</v>
      </c>
      <c r="B7042" s="627" t="s">
        <v>13202</v>
      </c>
      <c r="C7042" s="626" t="s">
        <v>8</v>
      </c>
      <c r="D7042" s="626" t="s">
        <v>9187</v>
      </c>
      <c r="E7042" s="628" t="s">
        <v>23</v>
      </c>
      <c r="F7042" s="816" t="s">
        <v>14479</v>
      </c>
      <c r="G7042" s="816"/>
      <c r="H7042" s="816">
        <v>0.38386510000000001</v>
      </c>
      <c r="I7042" s="816"/>
      <c r="J7042" s="817">
        <v>2.7446000000000002</v>
      </c>
      <c r="K7042" s="817"/>
      <c r="L7042" s="817"/>
    </row>
    <row r="7043" spans="1:12" ht="24" customHeight="1">
      <c r="A7043" s="636"/>
      <c r="B7043" s="636"/>
      <c r="C7043" s="636"/>
      <c r="D7043" s="636"/>
      <c r="E7043" s="636"/>
      <c r="F7043" s="636"/>
      <c r="G7043" s="636"/>
      <c r="H7043" s="636"/>
      <c r="I7043" s="636"/>
      <c r="J7043" s="636" t="s">
        <v>13675</v>
      </c>
      <c r="K7043" s="636"/>
      <c r="L7043" s="636" t="s">
        <v>14573</v>
      </c>
    </row>
    <row r="7044" spans="1:12" ht="24" customHeight="1">
      <c r="A7044" s="802" t="s">
        <v>12720</v>
      </c>
      <c r="B7044" s="802"/>
      <c r="C7044" s="802"/>
      <c r="D7044" s="802"/>
      <c r="E7044" s="802"/>
      <c r="F7044" s="802"/>
      <c r="G7044" s="802"/>
      <c r="H7044" s="802"/>
      <c r="I7044" s="612"/>
      <c r="J7044" s="612"/>
      <c r="K7044" s="612"/>
      <c r="L7044" s="612"/>
    </row>
    <row r="7045" spans="1:12" ht="17.100000000000001" customHeight="1">
      <c r="A7045" s="612" t="s">
        <v>13679</v>
      </c>
      <c r="B7045" s="636" t="s">
        <v>12698</v>
      </c>
      <c r="C7045" s="612" t="s">
        <v>12699</v>
      </c>
      <c r="D7045" s="612" t="s">
        <v>12700</v>
      </c>
      <c r="E7045" s="637" t="s">
        <v>12702</v>
      </c>
      <c r="F7045" s="801" t="s">
        <v>12704</v>
      </c>
      <c r="G7045" s="801"/>
      <c r="H7045" s="801" t="s">
        <v>13678</v>
      </c>
      <c r="I7045" s="801"/>
      <c r="J7045" s="801" t="s">
        <v>12705</v>
      </c>
      <c r="K7045" s="801"/>
      <c r="L7045" s="801"/>
    </row>
    <row r="7046" spans="1:12" ht="14.25" customHeight="1">
      <c r="A7046" s="626" t="s">
        <v>12709</v>
      </c>
      <c r="B7046" s="627" t="s">
        <v>13467</v>
      </c>
      <c r="C7046" s="626" t="s">
        <v>8</v>
      </c>
      <c r="D7046" s="626" t="s">
        <v>9987</v>
      </c>
      <c r="E7046" s="628" t="s">
        <v>35</v>
      </c>
      <c r="F7046" s="816" t="s">
        <v>13998</v>
      </c>
      <c r="G7046" s="816"/>
      <c r="H7046" s="816">
        <v>0.127</v>
      </c>
      <c r="I7046" s="816"/>
      <c r="J7046" s="817">
        <v>0.24</v>
      </c>
      <c r="K7046" s="817"/>
      <c r="L7046" s="817"/>
    </row>
    <row r="7047" spans="1:12" ht="17.100000000000001" customHeight="1">
      <c r="A7047" s="626" t="s">
        <v>12709</v>
      </c>
      <c r="B7047" s="627" t="s">
        <v>13466</v>
      </c>
      <c r="C7047" s="626" t="s">
        <v>8</v>
      </c>
      <c r="D7047" s="626" t="s">
        <v>11315</v>
      </c>
      <c r="E7047" s="628" t="s">
        <v>35</v>
      </c>
      <c r="F7047" s="816" t="s">
        <v>14636</v>
      </c>
      <c r="G7047" s="816"/>
      <c r="H7047" s="816">
        <v>1.6299999999999999E-2</v>
      </c>
      <c r="I7047" s="816"/>
      <c r="J7047" s="817">
        <v>1.1299999999999999</v>
      </c>
      <c r="K7047" s="817"/>
      <c r="L7047" s="817"/>
    </row>
    <row r="7048" spans="1:12" ht="24" customHeight="1">
      <c r="A7048" s="626" t="s">
        <v>12709</v>
      </c>
      <c r="B7048" s="627" t="s">
        <v>13468</v>
      </c>
      <c r="C7048" s="626" t="s">
        <v>8</v>
      </c>
      <c r="D7048" s="626" t="s">
        <v>7343</v>
      </c>
      <c r="E7048" s="628" t="s">
        <v>35</v>
      </c>
      <c r="F7048" s="816" t="s">
        <v>14635</v>
      </c>
      <c r="G7048" s="816"/>
      <c r="H7048" s="816">
        <v>1.0800000000000001E-2</v>
      </c>
      <c r="I7048" s="816"/>
      <c r="J7048" s="817">
        <v>0.86</v>
      </c>
      <c r="K7048" s="817"/>
      <c r="L7048" s="817"/>
    </row>
    <row r="7049" spans="1:12" ht="24" customHeight="1">
      <c r="A7049" s="626" t="s">
        <v>12709</v>
      </c>
      <c r="B7049" s="627" t="s">
        <v>13465</v>
      </c>
      <c r="C7049" s="626" t="s">
        <v>8</v>
      </c>
      <c r="D7049" s="626" t="s">
        <v>12166</v>
      </c>
      <c r="E7049" s="628" t="s">
        <v>17</v>
      </c>
      <c r="F7049" s="816" t="s">
        <v>14203</v>
      </c>
      <c r="G7049" s="816"/>
      <c r="H7049" s="816">
        <v>1.05</v>
      </c>
      <c r="I7049" s="816"/>
      <c r="J7049" s="817">
        <v>6.48</v>
      </c>
      <c r="K7049" s="817"/>
      <c r="L7049" s="817"/>
    </row>
    <row r="7050" spans="1:12" ht="17.100000000000001" customHeight="1">
      <c r="A7050" s="636"/>
      <c r="B7050" s="636"/>
      <c r="C7050" s="636"/>
      <c r="D7050" s="636"/>
      <c r="E7050" s="636"/>
      <c r="F7050" s="636"/>
      <c r="G7050" s="636"/>
      <c r="H7050" s="636"/>
      <c r="I7050" s="636"/>
      <c r="J7050" s="636" t="s">
        <v>13675</v>
      </c>
      <c r="K7050" s="636"/>
      <c r="L7050" s="636" t="s">
        <v>14634</v>
      </c>
    </row>
    <row r="7051" spans="1:12">
      <c r="A7051" s="802" t="s">
        <v>12722</v>
      </c>
      <c r="B7051" s="802"/>
      <c r="C7051" s="802"/>
      <c r="D7051" s="802"/>
      <c r="E7051" s="802"/>
      <c r="F7051" s="802"/>
      <c r="G7051" s="802"/>
      <c r="H7051" s="802"/>
      <c r="I7051" s="612"/>
      <c r="J7051" s="612"/>
      <c r="K7051" s="612"/>
      <c r="L7051" s="612"/>
    </row>
    <row r="7052" spans="1:12" ht="17.100000000000001" customHeight="1">
      <c r="A7052" s="612" t="s">
        <v>13679</v>
      </c>
      <c r="B7052" s="636" t="s">
        <v>12698</v>
      </c>
      <c r="C7052" s="612" t="s">
        <v>12699</v>
      </c>
      <c r="D7052" s="612" t="s">
        <v>12700</v>
      </c>
      <c r="E7052" s="637" t="s">
        <v>12702</v>
      </c>
      <c r="F7052" s="801" t="s">
        <v>12704</v>
      </c>
      <c r="G7052" s="801"/>
      <c r="H7052" s="801" t="s">
        <v>13678</v>
      </c>
      <c r="I7052" s="801"/>
      <c r="J7052" s="801" t="s">
        <v>12705</v>
      </c>
      <c r="K7052" s="801"/>
      <c r="L7052" s="801"/>
    </row>
    <row r="7053" spans="1:12" ht="24" customHeight="1">
      <c r="A7053" s="626" t="s">
        <v>12709</v>
      </c>
      <c r="B7053" s="627" t="s">
        <v>12998</v>
      </c>
      <c r="C7053" s="626" t="s">
        <v>8</v>
      </c>
      <c r="D7053" s="626" t="s">
        <v>11861</v>
      </c>
      <c r="E7053" s="628" t="s">
        <v>23</v>
      </c>
      <c r="F7053" s="816" t="s">
        <v>13683</v>
      </c>
      <c r="G7053" s="816"/>
      <c r="H7053" s="816">
        <v>0.75790789999999997</v>
      </c>
      <c r="I7053" s="816"/>
      <c r="J7053" s="817">
        <v>0.53810000000000002</v>
      </c>
      <c r="K7053" s="817"/>
      <c r="L7053" s="817"/>
    </row>
    <row r="7054" spans="1:12" ht="24" customHeight="1">
      <c r="A7054" s="636"/>
      <c r="B7054" s="636"/>
      <c r="C7054" s="636"/>
      <c r="D7054" s="636"/>
      <c r="E7054" s="636"/>
      <c r="F7054" s="636"/>
      <c r="G7054" s="636"/>
      <c r="H7054" s="636"/>
      <c r="I7054" s="636"/>
      <c r="J7054" s="636" t="s">
        <v>13675</v>
      </c>
      <c r="K7054" s="636"/>
      <c r="L7054" s="636" t="s">
        <v>13872</v>
      </c>
    </row>
    <row r="7055" spans="1:12" ht="24" customHeight="1">
      <c r="A7055" s="802" t="s">
        <v>12713</v>
      </c>
      <c r="B7055" s="802"/>
      <c r="C7055" s="802"/>
      <c r="D7055" s="802"/>
      <c r="E7055" s="802"/>
      <c r="F7055" s="802"/>
      <c r="G7055" s="802"/>
      <c r="H7055" s="802"/>
      <c r="I7055" s="612"/>
      <c r="J7055" s="612"/>
      <c r="K7055" s="612"/>
      <c r="L7055" s="612"/>
    </row>
    <row r="7056" spans="1:12" ht="24" customHeight="1">
      <c r="A7056" s="612" t="s">
        <v>13679</v>
      </c>
      <c r="B7056" s="636" t="s">
        <v>12698</v>
      </c>
      <c r="C7056" s="612" t="s">
        <v>12699</v>
      </c>
      <c r="D7056" s="612" t="s">
        <v>12700</v>
      </c>
      <c r="E7056" s="637" t="s">
        <v>12702</v>
      </c>
      <c r="F7056" s="801" t="s">
        <v>12704</v>
      </c>
      <c r="G7056" s="801"/>
      <c r="H7056" s="801" t="s">
        <v>13678</v>
      </c>
      <c r="I7056" s="801"/>
      <c r="J7056" s="801" t="s">
        <v>12705</v>
      </c>
      <c r="K7056" s="801"/>
      <c r="L7056" s="801"/>
    </row>
    <row r="7057" spans="1:12" ht="17.100000000000001" customHeight="1">
      <c r="A7057" s="626" t="s">
        <v>12709</v>
      </c>
      <c r="B7057" s="627" t="s">
        <v>12999</v>
      </c>
      <c r="C7057" s="626" t="s">
        <v>8</v>
      </c>
      <c r="D7057" s="626" t="s">
        <v>11251</v>
      </c>
      <c r="E7057" s="628" t="s">
        <v>23</v>
      </c>
      <c r="F7057" s="816" t="s">
        <v>13681</v>
      </c>
      <c r="G7057" s="816"/>
      <c r="H7057" s="816">
        <v>0.75790789999999997</v>
      </c>
      <c r="I7057" s="816"/>
      <c r="J7057" s="817">
        <v>5.3100000000000001E-2</v>
      </c>
      <c r="K7057" s="817"/>
      <c r="L7057" s="817"/>
    </row>
    <row r="7058" spans="1:12">
      <c r="A7058" s="636"/>
      <c r="B7058" s="636"/>
      <c r="C7058" s="636"/>
      <c r="D7058" s="636"/>
      <c r="E7058" s="636"/>
      <c r="F7058" s="636"/>
      <c r="G7058" s="636"/>
      <c r="H7058" s="636"/>
      <c r="I7058" s="636"/>
      <c r="J7058" s="636" t="s">
        <v>13675</v>
      </c>
      <c r="K7058" s="636"/>
      <c r="L7058" s="636" t="s">
        <v>13767</v>
      </c>
    </row>
    <row r="7059" spans="1:12" ht="17.100000000000001" customHeight="1">
      <c r="A7059" s="802" t="s">
        <v>12712</v>
      </c>
      <c r="B7059" s="802"/>
      <c r="C7059" s="802"/>
      <c r="D7059" s="802"/>
      <c r="E7059" s="802"/>
      <c r="F7059" s="802"/>
      <c r="G7059" s="802"/>
      <c r="H7059" s="802"/>
      <c r="I7059" s="612"/>
      <c r="J7059" s="612"/>
      <c r="K7059" s="612"/>
      <c r="L7059" s="612"/>
    </row>
    <row r="7060" spans="1:12" ht="24" customHeight="1">
      <c r="A7060" s="612" t="s">
        <v>13679</v>
      </c>
      <c r="B7060" s="636" t="s">
        <v>12698</v>
      </c>
      <c r="C7060" s="612" t="s">
        <v>12699</v>
      </c>
      <c r="D7060" s="612" t="s">
        <v>12700</v>
      </c>
      <c r="E7060" s="637" t="s">
        <v>12702</v>
      </c>
      <c r="F7060" s="801" t="s">
        <v>12704</v>
      </c>
      <c r="G7060" s="801"/>
      <c r="H7060" s="801" t="s">
        <v>13678</v>
      </c>
      <c r="I7060" s="801"/>
      <c r="J7060" s="801" t="s">
        <v>12705</v>
      </c>
      <c r="K7060" s="801"/>
      <c r="L7060" s="801"/>
    </row>
    <row r="7061" spans="1:12" ht="17.100000000000001" customHeight="1">
      <c r="A7061" s="626" t="s">
        <v>12709</v>
      </c>
      <c r="B7061" s="627" t="s">
        <v>13002</v>
      </c>
      <c r="C7061" s="626" t="s">
        <v>8</v>
      </c>
      <c r="D7061" s="626" t="s">
        <v>9306</v>
      </c>
      <c r="E7061" s="628" t="s">
        <v>23</v>
      </c>
      <c r="F7061" s="816" t="s">
        <v>13677</v>
      </c>
      <c r="G7061" s="816"/>
      <c r="H7061" s="816">
        <v>0.75790789999999997</v>
      </c>
      <c r="I7061" s="816"/>
      <c r="J7061" s="817">
        <v>0.26529999999999998</v>
      </c>
      <c r="K7061" s="817"/>
      <c r="L7061" s="817"/>
    </row>
    <row r="7062" spans="1:12" ht="25.5">
      <c r="A7062" s="626" t="s">
        <v>12709</v>
      </c>
      <c r="B7062" s="627" t="s">
        <v>13004</v>
      </c>
      <c r="C7062" s="626" t="s">
        <v>8</v>
      </c>
      <c r="D7062" s="626" t="s">
        <v>7388</v>
      </c>
      <c r="E7062" s="628" t="s">
        <v>23</v>
      </c>
      <c r="F7062" s="816" t="s">
        <v>13676</v>
      </c>
      <c r="G7062" s="816"/>
      <c r="H7062" s="816">
        <v>0.75790789999999997</v>
      </c>
      <c r="I7062" s="816"/>
      <c r="J7062" s="817">
        <v>1.6674</v>
      </c>
      <c r="K7062" s="817"/>
      <c r="L7062" s="817"/>
    </row>
    <row r="7063" spans="1:12" ht="17.100000000000001" customHeight="1">
      <c r="A7063" s="636"/>
      <c r="B7063" s="636"/>
      <c r="C7063" s="636"/>
      <c r="D7063" s="636"/>
      <c r="E7063" s="636"/>
      <c r="F7063" s="636"/>
      <c r="G7063" s="636"/>
      <c r="H7063" s="636"/>
      <c r="I7063" s="636"/>
      <c r="J7063" s="636" t="s">
        <v>13675</v>
      </c>
      <c r="K7063" s="636"/>
      <c r="L7063" s="636" t="s">
        <v>13998</v>
      </c>
    </row>
    <row r="7064" spans="1:12" ht="24" customHeight="1">
      <c r="A7064" s="612" t="s">
        <v>13673</v>
      </c>
      <c r="B7064" s="612"/>
      <c r="C7064" s="612"/>
      <c r="D7064" s="612"/>
      <c r="E7064" s="612"/>
      <c r="F7064" s="612"/>
      <c r="G7064" s="612"/>
      <c r="H7064" s="612"/>
      <c r="I7064" s="612"/>
      <c r="J7064" s="612"/>
      <c r="K7064" s="612"/>
      <c r="L7064" s="612"/>
    </row>
    <row r="7065" spans="1:12" ht="17.100000000000001" customHeight="1">
      <c r="A7065" s="636"/>
      <c r="B7065" s="636"/>
      <c r="C7065" s="636"/>
      <c r="D7065" s="636"/>
      <c r="E7065" s="636"/>
      <c r="F7065" s="636"/>
      <c r="G7065" s="636"/>
      <c r="H7065" s="636"/>
      <c r="I7065" s="636"/>
      <c r="J7065" s="636" t="s">
        <v>13672</v>
      </c>
      <c r="K7065" s="636"/>
      <c r="L7065" s="636" t="s">
        <v>15401</v>
      </c>
    </row>
    <row r="7066" spans="1:12">
      <c r="A7066" s="636"/>
      <c r="B7066" s="636"/>
      <c r="C7066" s="636"/>
      <c r="D7066" s="636"/>
      <c r="E7066" s="636"/>
      <c r="F7066" s="636"/>
      <c r="G7066" s="636"/>
      <c r="H7066" s="636"/>
      <c r="I7066" s="636"/>
      <c r="J7066" s="636" t="s">
        <v>13671</v>
      </c>
      <c r="K7066" s="636" t="s">
        <v>14461</v>
      </c>
      <c r="L7066" s="636" t="s">
        <v>15159</v>
      </c>
    </row>
    <row r="7067" spans="1:12" ht="17.100000000000001" customHeight="1">
      <c r="A7067" s="636"/>
      <c r="B7067" s="636"/>
      <c r="C7067" s="636"/>
      <c r="D7067" s="636"/>
      <c r="E7067" s="636"/>
      <c r="F7067" s="636"/>
      <c r="G7067" s="636"/>
      <c r="H7067" s="636"/>
      <c r="I7067" s="636"/>
      <c r="J7067" s="636" t="s">
        <v>13670</v>
      </c>
      <c r="K7067" s="636"/>
      <c r="L7067" s="636" t="s">
        <v>15402</v>
      </c>
    </row>
    <row r="7068" spans="1:12" ht="24" customHeight="1">
      <c r="A7068" s="636"/>
      <c r="B7068" s="636"/>
      <c r="C7068" s="636"/>
      <c r="D7068" s="636"/>
      <c r="E7068" s="636"/>
      <c r="F7068" s="636"/>
      <c r="G7068" s="636"/>
      <c r="H7068" s="636"/>
      <c r="I7068" s="636"/>
      <c r="J7068" s="636" t="s">
        <v>13669</v>
      </c>
      <c r="K7068" s="636" t="s">
        <v>13667</v>
      </c>
      <c r="L7068" s="636" t="s">
        <v>15403</v>
      </c>
    </row>
    <row r="7069" spans="1:12" ht="24" customHeight="1">
      <c r="A7069" s="636"/>
      <c r="B7069" s="636"/>
      <c r="C7069" s="636"/>
      <c r="D7069" s="636"/>
      <c r="E7069" s="636"/>
      <c r="F7069" s="636"/>
      <c r="G7069" s="636"/>
      <c r="H7069" s="636"/>
      <c r="I7069" s="636"/>
      <c r="J7069" s="636" t="s">
        <v>13668</v>
      </c>
      <c r="K7069" s="636"/>
      <c r="L7069" s="636" t="s">
        <v>15404</v>
      </c>
    </row>
    <row r="7070" spans="1:12" ht="17.100000000000001" customHeight="1">
      <c r="A7070" s="637"/>
      <c r="B7070" s="637"/>
      <c r="C7070" s="637"/>
      <c r="D7070" s="637"/>
      <c r="E7070" s="637"/>
      <c r="F7070" s="637"/>
      <c r="G7070" s="637"/>
      <c r="H7070" s="637"/>
      <c r="I7070" s="637"/>
      <c r="J7070" s="637"/>
      <c r="K7070" s="637"/>
      <c r="L7070" s="637"/>
    </row>
    <row r="7071" spans="1:12" ht="17.100000000000001" customHeight="1">
      <c r="A7071" s="616" t="s">
        <v>14004</v>
      </c>
      <c r="B7071" s="617" t="s">
        <v>14454</v>
      </c>
      <c r="C7071" s="616" t="s">
        <v>8</v>
      </c>
      <c r="D7071" s="616" t="s">
        <v>2036</v>
      </c>
      <c r="E7071" s="618" t="s">
        <v>35</v>
      </c>
      <c r="F7071" s="617"/>
      <c r="G7071" s="617"/>
      <c r="H7071" s="617"/>
      <c r="I7071" s="617"/>
      <c r="J7071" s="617"/>
      <c r="K7071" s="617"/>
      <c r="L7071" s="617"/>
    </row>
    <row r="7072" spans="1:12" ht="17.100000000000001" customHeight="1">
      <c r="A7072" s="802" t="s">
        <v>12711</v>
      </c>
      <c r="B7072" s="802"/>
      <c r="C7072" s="802"/>
      <c r="D7072" s="802"/>
      <c r="E7072" s="802"/>
      <c r="F7072" s="802"/>
      <c r="G7072" s="802"/>
      <c r="H7072" s="802"/>
      <c r="I7072" s="612"/>
      <c r="J7072" s="612"/>
      <c r="K7072" s="612"/>
      <c r="L7072" s="612"/>
    </row>
    <row r="7073" spans="1:12" ht="17.100000000000001" customHeight="1">
      <c r="A7073" s="612" t="s">
        <v>13679</v>
      </c>
      <c r="B7073" s="636" t="s">
        <v>12698</v>
      </c>
      <c r="C7073" s="612" t="s">
        <v>12699</v>
      </c>
      <c r="D7073" s="612" t="s">
        <v>12700</v>
      </c>
      <c r="E7073" s="637" t="s">
        <v>12702</v>
      </c>
      <c r="F7073" s="801" t="s">
        <v>12704</v>
      </c>
      <c r="G7073" s="801"/>
      <c r="H7073" s="801" t="s">
        <v>13678</v>
      </c>
      <c r="I7073" s="801"/>
      <c r="J7073" s="801" t="s">
        <v>12705</v>
      </c>
      <c r="K7073" s="801"/>
      <c r="L7073" s="801"/>
    </row>
    <row r="7074" spans="1:12" ht="17.100000000000001" customHeight="1">
      <c r="A7074" s="626" t="s">
        <v>12709</v>
      </c>
      <c r="B7074" s="627" t="s">
        <v>13201</v>
      </c>
      <c r="C7074" s="626" t="s">
        <v>8</v>
      </c>
      <c r="D7074" s="626" t="s">
        <v>9221</v>
      </c>
      <c r="E7074" s="628" t="s">
        <v>23</v>
      </c>
      <c r="F7074" s="816" t="s">
        <v>13705</v>
      </c>
      <c r="G7074" s="816"/>
      <c r="H7074" s="816">
        <v>0.27847840000000001</v>
      </c>
      <c r="I7074" s="816"/>
      <c r="J7074" s="817">
        <v>0.2311</v>
      </c>
      <c r="K7074" s="817"/>
      <c r="L7074" s="817"/>
    </row>
    <row r="7075" spans="1:12" ht="17.100000000000001" customHeight="1">
      <c r="A7075" s="626" t="s">
        <v>12709</v>
      </c>
      <c r="B7075" s="627" t="s">
        <v>13200</v>
      </c>
      <c r="C7075" s="626" t="s">
        <v>8</v>
      </c>
      <c r="D7075" s="626" t="s">
        <v>9368</v>
      </c>
      <c r="E7075" s="628" t="s">
        <v>23</v>
      </c>
      <c r="F7075" s="816" t="s">
        <v>13704</v>
      </c>
      <c r="G7075" s="816"/>
      <c r="H7075" s="816">
        <v>0.27847840000000001</v>
      </c>
      <c r="I7075" s="816"/>
      <c r="J7075" s="817">
        <v>6.6799999999999998E-2</v>
      </c>
      <c r="K7075" s="817"/>
      <c r="L7075" s="817"/>
    </row>
    <row r="7076" spans="1:12" ht="17.100000000000001" customHeight="1">
      <c r="A7076" s="636"/>
      <c r="B7076" s="636"/>
      <c r="C7076" s="636"/>
      <c r="D7076" s="636"/>
      <c r="E7076" s="636"/>
      <c r="F7076" s="636"/>
      <c r="G7076" s="636"/>
      <c r="H7076" s="636"/>
      <c r="I7076" s="636"/>
      <c r="J7076" s="636" t="s">
        <v>13675</v>
      </c>
      <c r="K7076" s="636"/>
      <c r="L7076" s="636" t="s">
        <v>13758</v>
      </c>
    </row>
    <row r="7077" spans="1:12" ht="30" customHeight="1">
      <c r="A7077" s="802" t="s">
        <v>12710</v>
      </c>
      <c r="B7077" s="802"/>
      <c r="C7077" s="802"/>
      <c r="D7077" s="802"/>
      <c r="E7077" s="802"/>
      <c r="F7077" s="802"/>
      <c r="G7077" s="802"/>
      <c r="H7077" s="802"/>
      <c r="I7077" s="612"/>
      <c r="J7077" s="612"/>
      <c r="K7077" s="612"/>
      <c r="L7077" s="612"/>
    </row>
    <row r="7078" spans="1:12" ht="48" customHeight="1">
      <c r="A7078" s="612" t="s">
        <v>13679</v>
      </c>
      <c r="B7078" s="636" t="s">
        <v>12698</v>
      </c>
      <c r="C7078" s="612" t="s">
        <v>12699</v>
      </c>
      <c r="D7078" s="612" t="s">
        <v>12700</v>
      </c>
      <c r="E7078" s="637" t="s">
        <v>12702</v>
      </c>
      <c r="F7078" s="801" t="s">
        <v>12704</v>
      </c>
      <c r="G7078" s="801"/>
      <c r="H7078" s="801" t="s">
        <v>13678</v>
      </c>
      <c r="I7078" s="801"/>
      <c r="J7078" s="801" t="s">
        <v>12705</v>
      </c>
      <c r="K7078" s="801"/>
      <c r="L7078" s="801"/>
    </row>
    <row r="7079" spans="1:12" ht="14.25" customHeight="1">
      <c r="A7079" s="626" t="s">
        <v>12709</v>
      </c>
      <c r="B7079" s="627" t="s">
        <v>13220</v>
      </c>
      <c r="C7079" s="626" t="s">
        <v>8</v>
      </c>
      <c r="D7079" s="626" t="s">
        <v>7592</v>
      </c>
      <c r="E7079" s="628" t="s">
        <v>23</v>
      </c>
      <c r="F7079" s="816" t="s">
        <v>13890</v>
      </c>
      <c r="G7079" s="816"/>
      <c r="H7079" s="816">
        <v>0.14123759999999999</v>
      </c>
      <c r="I7079" s="816"/>
      <c r="J7079" s="817">
        <v>0.7147</v>
      </c>
      <c r="K7079" s="817"/>
      <c r="L7079" s="817"/>
    </row>
    <row r="7080" spans="1:12" ht="17.100000000000001" customHeight="1">
      <c r="A7080" s="626" t="s">
        <v>12709</v>
      </c>
      <c r="B7080" s="627" t="s">
        <v>13202</v>
      </c>
      <c r="C7080" s="626" t="s">
        <v>8</v>
      </c>
      <c r="D7080" s="626" t="s">
        <v>9187</v>
      </c>
      <c r="E7080" s="628" t="s">
        <v>23</v>
      </c>
      <c r="F7080" s="816" t="s">
        <v>14479</v>
      </c>
      <c r="G7080" s="816"/>
      <c r="H7080" s="816">
        <v>0.14123759999999999</v>
      </c>
      <c r="I7080" s="816"/>
      <c r="J7080" s="817">
        <v>1.0098</v>
      </c>
      <c r="K7080" s="817"/>
      <c r="L7080" s="817"/>
    </row>
    <row r="7081" spans="1:12" ht="24" customHeight="1">
      <c r="A7081" s="636"/>
      <c r="B7081" s="636"/>
      <c r="C7081" s="636"/>
      <c r="D7081" s="636"/>
      <c r="E7081" s="636"/>
      <c r="F7081" s="636"/>
      <c r="G7081" s="636"/>
      <c r="H7081" s="636"/>
      <c r="I7081" s="636"/>
      <c r="J7081" s="636" t="s">
        <v>13675</v>
      </c>
      <c r="K7081" s="636"/>
      <c r="L7081" s="636" t="s">
        <v>13766</v>
      </c>
    </row>
    <row r="7082" spans="1:12" ht="24" customHeight="1">
      <c r="A7082" s="802" t="s">
        <v>12720</v>
      </c>
      <c r="B7082" s="802"/>
      <c r="C7082" s="802"/>
      <c r="D7082" s="802"/>
      <c r="E7082" s="802"/>
      <c r="F7082" s="802"/>
      <c r="G7082" s="802"/>
      <c r="H7082" s="802"/>
      <c r="I7082" s="612"/>
      <c r="J7082" s="612"/>
      <c r="K7082" s="612"/>
      <c r="L7082" s="612"/>
    </row>
    <row r="7083" spans="1:12" ht="17.100000000000001" customHeight="1">
      <c r="A7083" s="612" t="s">
        <v>13679</v>
      </c>
      <c r="B7083" s="636" t="s">
        <v>12698</v>
      </c>
      <c r="C7083" s="612" t="s">
        <v>12699</v>
      </c>
      <c r="D7083" s="612" t="s">
        <v>12700</v>
      </c>
      <c r="E7083" s="637" t="s">
        <v>12702</v>
      </c>
      <c r="F7083" s="801" t="s">
        <v>12704</v>
      </c>
      <c r="G7083" s="801"/>
      <c r="H7083" s="801" t="s">
        <v>13678</v>
      </c>
      <c r="I7083" s="801"/>
      <c r="J7083" s="801" t="s">
        <v>12705</v>
      </c>
      <c r="K7083" s="801"/>
      <c r="L7083" s="801"/>
    </row>
    <row r="7084" spans="1:12" ht="14.25" customHeight="1">
      <c r="A7084" s="626" t="s">
        <v>12709</v>
      </c>
      <c r="B7084" s="627" t="s">
        <v>13467</v>
      </c>
      <c r="C7084" s="626" t="s">
        <v>8</v>
      </c>
      <c r="D7084" s="626" t="s">
        <v>9987</v>
      </c>
      <c r="E7084" s="628" t="s">
        <v>35</v>
      </c>
      <c r="F7084" s="816" t="s">
        <v>13998</v>
      </c>
      <c r="G7084" s="816"/>
      <c r="H7084" s="816">
        <v>5.0999999999999997E-2</v>
      </c>
      <c r="I7084" s="816"/>
      <c r="J7084" s="817">
        <v>0.09</v>
      </c>
      <c r="K7084" s="817"/>
      <c r="L7084" s="817"/>
    </row>
    <row r="7085" spans="1:12" ht="17.100000000000001" customHeight="1">
      <c r="A7085" s="626" t="s">
        <v>12709</v>
      </c>
      <c r="B7085" s="627" t="s">
        <v>13466</v>
      </c>
      <c r="C7085" s="626" t="s">
        <v>8</v>
      </c>
      <c r="D7085" s="626" t="s">
        <v>11315</v>
      </c>
      <c r="E7085" s="628" t="s">
        <v>35</v>
      </c>
      <c r="F7085" s="816" t="s">
        <v>14636</v>
      </c>
      <c r="G7085" s="816"/>
      <c r="H7085" s="816">
        <v>1.4999999999999999E-2</v>
      </c>
      <c r="I7085" s="816"/>
      <c r="J7085" s="817">
        <v>1.04</v>
      </c>
      <c r="K7085" s="817"/>
      <c r="L7085" s="817"/>
    </row>
    <row r="7086" spans="1:12" ht="24" customHeight="1">
      <c r="A7086" s="626" t="s">
        <v>12709</v>
      </c>
      <c r="B7086" s="627" t="s">
        <v>13468</v>
      </c>
      <c r="C7086" s="626" t="s">
        <v>8</v>
      </c>
      <c r="D7086" s="626" t="s">
        <v>7343</v>
      </c>
      <c r="E7086" s="628" t="s">
        <v>35</v>
      </c>
      <c r="F7086" s="816" t="s">
        <v>14635</v>
      </c>
      <c r="G7086" s="816"/>
      <c r="H7086" s="816">
        <v>1.4800000000000001E-2</v>
      </c>
      <c r="I7086" s="816"/>
      <c r="J7086" s="817">
        <v>1.18</v>
      </c>
      <c r="K7086" s="817"/>
      <c r="L7086" s="817"/>
    </row>
    <row r="7087" spans="1:12" ht="24" customHeight="1">
      <c r="A7087" s="626" t="s">
        <v>12709</v>
      </c>
      <c r="B7087" s="627" t="s">
        <v>14453</v>
      </c>
      <c r="C7087" s="626" t="s">
        <v>8</v>
      </c>
      <c r="D7087" s="626" t="s">
        <v>11554</v>
      </c>
      <c r="E7087" s="628" t="s">
        <v>35</v>
      </c>
      <c r="F7087" s="816" t="s">
        <v>14083</v>
      </c>
      <c r="G7087" s="816"/>
      <c r="H7087" s="816">
        <v>1</v>
      </c>
      <c r="I7087" s="816"/>
      <c r="J7087" s="817">
        <v>2.33</v>
      </c>
      <c r="K7087" s="817"/>
      <c r="L7087" s="817"/>
    </row>
    <row r="7088" spans="1:12" ht="17.100000000000001" customHeight="1">
      <c r="A7088" s="636"/>
      <c r="B7088" s="636"/>
      <c r="C7088" s="636"/>
      <c r="D7088" s="636"/>
      <c r="E7088" s="636"/>
      <c r="F7088" s="636"/>
      <c r="G7088" s="636"/>
      <c r="H7088" s="636"/>
      <c r="I7088" s="636"/>
      <c r="J7088" s="636" t="s">
        <v>13675</v>
      </c>
      <c r="K7088" s="636"/>
      <c r="L7088" s="636" t="s">
        <v>14641</v>
      </c>
    </row>
    <row r="7089" spans="1:12">
      <c r="A7089" s="802" t="s">
        <v>12722</v>
      </c>
      <c r="B7089" s="802"/>
      <c r="C7089" s="802"/>
      <c r="D7089" s="802"/>
      <c r="E7089" s="802"/>
      <c r="F7089" s="802"/>
      <c r="G7089" s="802"/>
      <c r="H7089" s="802"/>
      <c r="I7089" s="612"/>
      <c r="J7089" s="612"/>
      <c r="K7089" s="612"/>
      <c r="L7089" s="612"/>
    </row>
    <row r="7090" spans="1:12" ht="17.100000000000001" customHeight="1">
      <c r="A7090" s="612" t="s">
        <v>13679</v>
      </c>
      <c r="B7090" s="636" t="s">
        <v>12698</v>
      </c>
      <c r="C7090" s="612" t="s">
        <v>12699</v>
      </c>
      <c r="D7090" s="612" t="s">
        <v>12700</v>
      </c>
      <c r="E7090" s="637" t="s">
        <v>12702</v>
      </c>
      <c r="F7090" s="801" t="s">
        <v>12704</v>
      </c>
      <c r="G7090" s="801"/>
      <c r="H7090" s="801" t="s">
        <v>13678</v>
      </c>
      <c r="I7090" s="801"/>
      <c r="J7090" s="801" t="s">
        <v>12705</v>
      </c>
      <c r="K7090" s="801"/>
      <c r="L7090" s="801"/>
    </row>
    <row r="7091" spans="1:12" ht="36" customHeight="1">
      <c r="A7091" s="626" t="s">
        <v>12709</v>
      </c>
      <c r="B7091" s="627" t="s">
        <v>12998</v>
      </c>
      <c r="C7091" s="626" t="s">
        <v>8</v>
      </c>
      <c r="D7091" s="626" t="s">
        <v>11861</v>
      </c>
      <c r="E7091" s="628" t="s">
        <v>23</v>
      </c>
      <c r="F7091" s="816" t="s">
        <v>13683</v>
      </c>
      <c r="G7091" s="816"/>
      <c r="H7091" s="816">
        <v>0.27847840000000001</v>
      </c>
      <c r="I7091" s="816"/>
      <c r="J7091" s="817">
        <v>0.19769999999999999</v>
      </c>
      <c r="K7091" s="817"/>
      <c r="L7091" s="817"/>
    </row>
    <row r="7092" spans="1:12" ht="24" customHeight="1">
      <c r="A7092" s="636"/>
      <c r="B7092" s="636"/>
      <c r="C7092" s="636"/>
      <c r="D7092" s="636"/>
      <c r="E7092" s="636"/>
      <c r="F7092" s="636"/>
      <c r="G7092" s="636"/>
      <c r="H7092" s="636"/>
      <c r="I7092" s="636"/>
      <c r="J7092" s="636" t="s">
        <v>13675</v>
      </c>
      <c r="K7092" s="636"/>
      <c r="L7092" s="636" t="s">
        <v>13855</v>
      </c>
    </row>
    <row r="7093" spans="1:12" ht="24" customHeight="1">
      <c r="A7093" s="802" t="s">
        <v>12713</v>
      </c>
      <c r="B7093" s="802"/>
      <c r="C7093" s="802"/>
      <c r="D7093" s="802"/>
      <c r="E7093" s="802"/>
      <c r="F7093" s="802"/>
      <c r="G7093" s="802"/>
      <c r="H7093" s="802"/>
      <c r="I7093" s="612"/>
      <c r="J7093" s="612"/>
      <c r="K7093" s="612"/>
      <c r="L7093" s="612"/>
    </row>
    <row r="7094" spans="1:12" ht="17.100000000000001" customHeight="1">
      <c r="A7094" s="612" t="s">
        <v>13679</v>
      </c>
      <c r="B7094" s="636" t="s">
        <v>12698</v>
      </c>
      <c r="C7094" s="612" t="s">
        <v>12699</v>
      </c>
      <c r="D7094" s="612" t="s">
        <v>12700</v>
      </c>
      <c r="E7094" s="637" t="s">
        <v>12702</v>
      </c>
      <c r="F7094" s="801" t="s">
        <v>12704</v>
      </c>
      <c r="G7094" s="801"/>
      <c r="H7094" s="801" t="s">
        <v>13678</v>
      </c>
      <c r="I7094" s="801"/>
      <c r="J7094" s="801" t="s">
        <v>12705</v>
      </c>
      <c r="K7094" s="801"/>
      <c r="L7094" s="801"/>
    </row>
    <row r="7095" spans="1:12" ht="25.5">
      <c r="A7095" s="626" t="s">
        <v>12709</v>
      </c>
      <c r="B7095" s="627" t="s">
        <v>12999</v>
      </c>
      <c r="C7095" s="626" t="s">
        <v>8</v>
      </c>
      <c r="D7095" s="626" t="s">
        <v>11251</v>
      </c>
      <c r="E7095" s="628" t="s">
        <v>23</v>
      </c>
      <c r="F7095" s="816" t="s">
        <v>13681</v>
      </c>
      <c r="G7095" s="816"/>
      <c r="H7095" s="816">
        <v>0.27847840000000001</v>
      </c>
      <c r="I7095" s="816"/>
      <c r="J7095" s="817">
        <v>1.95E-2</v>
      </c>
      <c r="K7095" s="817"/>
      <c r="L7095" s="817"/>
    </row>
    <row r="7096" spans="1:12" ht="17.100000000000001" customHeight="1">
      <c r="A7096" s="636"/>
      <c r="B7096" s="636"/>
      <c r="C7096" s="636"/>
      <c r="D7096" s="636"/>
      <c r="E7096" s="636"/>
      <c r="F7096" s="636"/>
      <c r="G7096" s="636"/>
      <c r="H7096" s="636"/>
      <c r="I7096" s="636"/>
      <c r="J7096" s="636" t="s">
        <v>13675</v>
      </c>
      <c r="K7096" s="636"/>
      <c r="L7096" s="636" t="s">
        <v>13680</v>
      </c>
    </row>
    <row r="7097" spans="1:12" ht="24" customHeight="1">
      <c r="A7097" s="802" t="s">
        <v>12712</v>
      </c>
      <c r="B7097" s="802"/>
      <c r="C7097" s="802"/>
      <c r="D7097" s="802"/>
      <c r="E7097" s="802"/>
      <c r="F7097" s="802"/>
      <c r="G7097" s="802"/>
      <c r="H7097" s="802"/>
      <c r="I7097" s="612"/>
      <c r="J7097" s="612"/>
      <c r="K7097" s="612"/>
      <c r="L7097" s="612"/>
    </row>
    <row r="7098" spans="1:12" ht="17.100000000000001" customHeight="1">
      <c r="A7098" s="612" t="s">
        <v>13679</v>
      </c>
      <c r="B7098" s="636" t="s">
        <v>12698</v>
      </c>
      <c r="C7098" s="612" t="s">
        <v>12699</v>
      </c>
      <c r="D7098" s="612" t="s">
        <v>12700</v>
      </c>
      <c r="E7098" s="637" t="s">
        <v>12702</v>
      </c>
      <c r="F7098" s="801" t="s">
        <v>12704</v>
      </c>
      <c r="G7098" s="801"/>
      <c r="H7098" s="801" t="s">
        <v>13678</v>
      </c>
      <c r="I7098" s="801"/>
      <c r="J7098" s="801" t="s">
        <v>12705</v>
      </c>
      <c r="K7098" s="801"/>
      <c r="L7098" s="801"/>
    </row>
    <row r="7099" spans="1:12" ht="25.5">
      <c r="A7099" s="626" t="s">
        <v>12709</v>
      </c>
      <c r="B7099" s="627" t="s">
        <v>13002</v>
      </c>
      <c r="C7099" s="626" t="s">
        <v>8</v>
      </c>
      <c r="D7099" s="626" t="s">
        <v>9306</v>
      </c>
      <c r="E7099" s="628" t="s">
        <v>23</v>
      </c>
      <c r="F7099" s="816" t="s">
        <v>13677</v>
      </c>
      <c r="G7099" s="816"/>
      <c r="H7099" s="816">
        <v>0.27847840000000001</v>
      </c>
      <c r="I7099" s="816"/>
      <c r="J7099" s="817">
        <v>9.7500000000000003E-2</v>
      </c>
      <c r="K7099" s="817"/>
      <c r="L7099" s="817"/>
    </row>
    <row r="7100" spans="1:12" ht="17.100000000000001" customHeight="1">
      <c r="A7100" s="626" t="s">
        <v>12709</v>
      </c>
      <c r="B7100" s="627" t="s">
        <v>13004</v>
      </c>
      <c r="C7100" s="626" t="s">
        <v>8</v>
      </c>
      <c r="D7100" s="626" t="s">
        <v>7388</v>
      </c>
      <c r="E7100" s="628" t="s">
        <v>23</v>
      </c>
      <c r="F7100" s="816" t="s">
        <v>13676</v>
      </c>
      <c r="G7100" s="816"/>
      <c r="H7100" s="816">
        <v>0.27847840000000001</v>
      </c>
      <c r="I7100" s="816"/>
      <c r="J7100" s="817">
        <v>0.61270000000000002</v>
      </c>
      <c r="K7100" s="817"/>
      <c r="L7100" s="817"/>
    </row>
    <row r="7101" spans="1:12" ht="24" customHeight="1">
      <c r="A7101" s="636"/>
      <c r="B7101" s="636"/>
      <c r="C7101" s="636"/>
      <c r="D7101" s="636"/>
      <c r="E7101" s="636"/>
      <c r="F7101" s="636"/>
      <c r="G7101" s="636"/>
      <c r="H7101" s="636"/>
      <c r="I7101" s="636"/>
      <c r="J7101" s="636" t="s">
        <v>13675</v>
      </c>
      <c r="K7101" s="636"/>
      <c r="L7101" s="636" t="s">
        <v>13683</v>
      </c>
    </row>
    <row r="7102" spans="1:12" ht="17.100000000000001" customHeight="1">
      <c r="A7102" s="612" t="s">
        <v>13673</v>
      </c>
      <c r="B7102" s="612"/>
      <c r="C7102" s="612"/>
      <c r="D7102" s="612"/>
      <c r="E7102" s="612"/>
      <c r="F7102" s="612"/>
      <c r="G7102" s="612"/>
      <c r="H7102" s="612"/>
      <c r="I7102" s="612"/>
      <c r="J7102" s="612"/>
      <c r="K7102" s="612"/>
      <c r="L7102" s="612"/>
    </row>
    <row r="7103" spans="1:12">
      <c r="A7103" s="636"/>
      <c r="B7103" s="636"/>
      <c r="C7103" s="636"/>
      <c r="D7103" s="636"/>
      <c r="E7103" s="636"/>
      <c r="F7103" s="636"/>
      <c r="G7103" s="636"/>
      <c r="H7103" s="636"/>
      <c r="I7103" s="636"/>
      <c r="J7103" s="636" t="s">
        <v>13672</v>
      </c>
      <c r="K7103" s="636"/>
      <c r="L7103" s="636" t="s">
        <v>15405</v>
      </c>
    </row>
    <row r="7104" spans="1:12" ht="17.100000000000001" customHeight="1">
      <c r="A7104" s="636"/>
      <c r="B7104" s="636"/>
      <c r="C7104" s="636"/>
      <c r="D7104" s="636"/>
      <c r="E7104" s="636"/>
      <c r="F7104" s="636"/>
      <c r="G7104" s="636"/>
      <c r="H7104" s="636"/>
      <c r="I7104" s="636"/>
      <c r="J7104" s="636" t="s">
        <v>13671</v>
      </c>
      <c r="K7104" s="636" t="s">
        <v>14461</v>
      </c>
      <c r="L7104" s="636" t="s">
        <v>15406</v>
      </c>
    </row>
    <row r="7105" spans="1:12" ht="24" customHeight="1">
      <c r="A7105" s="636"/>
      <c r="B7105" s="636"/>
      <c r="C7105" s="636"/>
      <c r="D7105" s="636"/>
      <c r="E7105" s="636"/>
      <c r="F7105" s="636"/>
      <c r="G7105" s="636"/>
      <c r="H7105" s="636"/>
      <c r="I7105" s="636"/>
      <c r="J7105" s="636" t="s">
        <v>13670</v>
      </c>
      <c r="K7105" s="636"/>
      <c r="L7105" s="636" t="s">
        <v>15407</v>
      </c>
    </row>
    <row r="7106" spans="1:12" ht="24" customHeight="1">
      <c r="A7106" s="636"/>
      <c r="B7106" s="636"/>
      <c r="C7106" s="636"/>
      <c r="D7106" s="636"/>
      <c r="E7106" s="636"/>
      <c r="F7106" s="636"/>
      <c r="G7106" s="636"/>
      <c r="H7106" s="636"/>
      <c r="I7106" s="636"/>
      <c r="J7106" s="636" t="s">
        <v>13669</v>
      </c>
      <c r="K7106" s="636" t="s">
        <v>13667</v>
      </c>
      <c r="L7106" s="636" t="s">
        <v>15337</v>
      </c>
    </row>
    <row r="7107" spans="1:12" ht="17.100000000000001" customHeight="1">
      <c r="A7107" s="636"/>
      <c r="B7107" s="636"/>
      <c r="C7107" s="636"/>
      <c r="D7107" s="636"/>
      <c r="E7107" s="636"/>
      <c r="F7107" s="636"/>
      <c r="G7107" s="636"/>
      <c r="H7107" s="636"/>
      <c r="I7107" s="636"/>
      <c r="J7107" s="636" t="s">
        <v>13668</v>
      </c>
      <c r="K7107" s="636"/>
      <c r="L7107" s="636" t="s">
        <v>14945</v>
      </c>
    </row>
    <row r="7108" spans="1:12" ht="17.100000000000001" customHeight="1">
      <c r="A7108" s="637"/>
      <c r="B7108" s="637"/>
      <c r="C7108" s="637"/>
      <c r="D7108" s="637"/>
      <c r="E7108" s="637"/>
      <c r="F7108" s="637"/>
      <c r="G7108" s="637"/>
      <c r="H7108" s="637"/>
      <c r="I7108" s="637"/>
      <c r="J7108" s="637"/>
      <c r="K7108" s="637"/>
      <c r="L7108" s="637"/>
    </row>
    <row r="7109" spans="1:12" ht="17.100000000000001" customHeight="1">
      <c r="A7109" s="616" t="s">
        <v>15408</v>
      </c>
      <c r="B7109" s="617" t="s">
        <v>14843</v>
      </c>
      <c r="C7109" s="616" t="s">
        <v>8</v>
      </c>
      <c r="D7109" s="616" t="s">
        <v>5011</v>
      </c>
      <c r="E7109" s="618" t="s">
        <v>35</v>
      </c>
      <c r="F7109" s="617"/>
      <c r="G7109" s="617"/>
      <c r="H7109" s="617"/>
      <c r="I7109" s="617"/>
      <c r="J7109" s="617"/>
      <c r="K7109" s="617"/>
      <c r="L7109" s="617"/>
    </row>
    <row r="7110" spans="1:12" ht="17.100000000000001" customHeight="1">
      <c r="A7110" s="802" t="s">
        <v>12711</v>
      </c>
      <c r="B7110" s="802"/>
      <c r="C7110" s="802"/>
      <c r="D7110" s="802"/>
      <c r="E7110" s="802"/>
      <c r="F7110" s="802"/>
      <c r="G7110" s="802"/>
      <c r="H7110" s="802"/>
      <c r="I7110" s="612"/>
      <c r="J7110" s="612"/>
      <c r="K7110" s="612"/>
      <c r="L7110" s="612"/>
    </row>
    <row r="7111" spans="1:12" ht="17.100000000000001" customHeight="1">
      <c r="A7111" s="612" t="s">
        <v>13679</v>
      </c>
      <c r="B7111" s="636" t="s">
        <v>12698</v>
      </c>
      <c r="C7111" s="612" t="s">
        <v>12699</v>
      </c>
      <c r="D7111" s="612" t="s">
        <v>12700</v>
      </c>
      <c r="E7111" s="637" t="s">
        <v>12702</v>
      </c>
      <c r="F7111" s="801" t="s">
        <v>12704</v>
      </c>
      <c r="G7111" s="801"/>
      <c r="H7111" s="801" t="s">
        <v>13678</v>
      </c>
      <c r="I7111" s="801"/>
      <c r="J7111" s="801" t="s">
        <v>12705</v>
      </c>
      <c r="K7111" s="801"/>
      <c r="L7111" s="801"/>
    </row>
    <row r="7112" spans="1:12" ht="17.100000000000001" customHeight="1">
      <c r="A7112" s="626" t="s">
        <v>12709</v>
      </c>
      <c r="B7112" s="627" t="s">
        <v>13064</v>
      </c>
      <c r="C7112" s="626" t="s">
        <v>8</v>
      </c>
      <c r="D7112" s="626" t="s">
        <v>11184</v>
      </c>
      <c r="E7112" s="628" t="s">
        <v>35</v>
      </c>
      <c r="F7112" s="816" t="s">
        <v>13801</v>
      </c>
      <c r="G7112" s="816"/>
      <c r="H7112" s="816">
        <v>3.0000000000000001E-6</v>
      </c>
      <c r="I7112" s="816"/>
      <c r="J7112" s="817">
        <v>0.73860000000000003</v>
      </c>
      <c r="K7112" s="817"/>
      <c r="L7112" s="817"/>
    </row>
    <row r="7113" spans="1:12" ht="17.100000000000001" customHeight="1">
      <c r="A7113" s="626" t="s">
        <v>12709</v>
      </c>
      <c r="B7113" s="627" t="s">
        <v>13003</v>
      </c>
      <c r="C7113" s="626" t="s">
        <v>8</v>
      </c>
      <c r="D7113" s="626" t="s">
        <v>9227</v>
      </c>
      <c r="E7113" s="628" t="s">
        <v>23</v>
      </c>
      <c r="F7113" s="816" t="s">
        <v>13732</v>
      </c>
      <c r="G7113" s="816"/>
      <c r="H7113" s="816">
        <v>0.51699620000000002</v>
      </c>
      <c r="I7113" s="816"/>
      <c r="J7113" s="817">
        <v>0.3412</v>
      </c>
      <c r="K7113" s="817"/>
      <c r="L7113" s="817"/>
    </row>
    <row r="7114" spans="1:12" ht="30" customHeight="1">
      <c r="A7114" s="626" t="s">
        <v>12709</v>
      </c>
      <c r="B7114" s="627" t="s">
        <v>13001</v>
      </c>
      <c r="C7114" s="626" t="s">
        <v>8</v>
      </c>
      <c r="D7114" s="626" t="s">
        <v>9374</v>
      </c>
      <c r="E7114" s="628" t="s">
        <v>23</v>
      </c>
      <c r="F7114" s="816" t="s">
        <v>13728</v>
      </c>
      <c r="G7114" s="816"/>
      <c r="H7114" s="816">
        <v>0.51699620000000002</v>
      </c>
      <c r="I7114" s="816"/>
      <c r="J7114" s="817">
        <v>5.1999999999999998E-3</v>
      </c>
      <c r="K7114" s="817"/>
      <c r="L7114" s="817"/>
    </row>
    <row r="7115" spans="1:12" ht="48" customHeight="1">
      <c r="A7115" s="626" t="s">
        <v>12709</v>
      </c>
      <c r="B7115" s="627" t="s">
        <v>13297</v>
      </c>
      <c r="C7115" s="626" t="s">
        <v>8</v>
      </c>
      <c r="D7115" s="626" t="s">
        <v>7681</v>
      </c>
      <c r="E7115" s="628" t="s">
        <v>35</v>
      </c>
      <c r="F7115" s="816" t="s">
        <v>14527</v>
      </c>
      <c r="G7115" s="816"/>
      <c r="H7115" s="816">
        <v>1.6699999999999999E-5</v>
      </c>
      <c r="I7115" s="816"/>
      <c r="J7115" s="817">
        <v>0.246</v>
      </c>
      <c r="K7115" s="817"/>
      <c r="L7115" s="817"/>
    </row>
    <row r="7116" spans="1:12" ht="14.25" customHeight="1">
      <c r="A7116" s="626" t="s">
        <v>12709</v>
      </c>
      <c r="B7116" s="627" t="s">
        <v>13048</v>
      </c>
      <c r="C7116" s="626" t="s">
        <v>8</v>
      </c>
      <c r="D7116" s="626" t="s">
        <v>9233</v>
      </c>
      <c r="E7116" s="628" t="s">
        <v>23</v>
      </c>
      <c r="F7116" s="816" t="s">
        <v>13690</v>
      </c>
      <c r="G7116" s="816"/>
      <c r="H7116" s="816">
        <v>5.6277967000000002</v>
      </c>
      <c r="I7116" s="816"/>
      <c r="J7116" s="817">
        <v>5.7404000000000002</v>
      </c>
      <c r="K7116" s="817"/>
      <c r="L7116" s="817"/>
    </row>
    <row r="7117" spans="1:12" ht="17.100000000000001" customHeight="1">
      <c r="A7117" s="626" t="s">
        <v>12709</v>
      </c>
      <c r="B7117" s="627" t="s">
        <v>13047</v>
      </c>
      <c r="C7117" s="626" t="s">
        <v>8</v>
      </c>
      <c r="D7117" s="626" t="s">
        <v>9380</v>
      </c>
      <c r="E7117" s="628" t="s">
        <v>23</v>
      </c>
      <c r="F7117" s="816" t="s">
        <v>13689</v>
      </c>
      <c r="G7117" s="816"/>
      <c r="H7117" s="816">
        <v>5.6277967000000002</v>
      </c>
      <c r="I7117" s="816"/>
      <c r="J7117" s="817">
        <v>2.1385999999999998</v>
      </c>
      <c r="K7117" s="817"/>
      <c r="L7117" s="817"/>
    </row>
    <row r="7118" spans="1:12" ht="24" customHeight="1">
      <c r="A7118" s="626" t="s">
        <v>12709</v>
      </c>
      <c r="B7118" s="627" t="s">
        <v>12989</v>
      </c>
      <c r="C7118" s="626" t="s">
        <v>8</v>
      </c>
      <c r="D7118" s="626" t="s">
        <v>12342</v>
      </c>
      <c r="E7118" s="628" t="s">
        <v>35</v>
      </c>
      <c r="F7118" s="816" t="s">
        <v>14494</v>
      </c>
      <c r="G7118" s="816"/>
      <c r="H7118" s="816">
        <v>1.3549999999999999E-4</v>
      </c>
      <c r="I7118" s="816"/>
      <c r="J7118" s="817">
        <v>0.32819999999999999</v>
      </c>
      <c r="K7118" s="817"/>
      <c r="L7118" s="817"/>
    </row>
    <row r="7119" spans="1:12" ht="24" customHeight="1">
      <c r="A7119" s="626" t="s">
        <v>12709</v>
      </c>
      <c r="B7119" s="627" t="s">
        <v>13052</v>
      </c>
      <c r="C7119" s="626" t="s">
        <v>8</v>
      </c>
      <c r="D7119" s="626" t="s">
        <v>9229</v>
      </c>
      <c r="E7119" s="628" t="s">
        <v>23</v>
      </c>
      <c r="F7119" s="816" t="s">
        <v>13692</v>
      </c>
      <c r="G7119" s="816"/>
      <c r="H7119" s="816">
        <v>5.7531141999999997</v>
      </c>
      <c r="I7119" s="816"/>
      <c r="J7119" s="817">
        <v>5.5229999999999997</v>
      </c>
      <c r="K7119" s="817"/>
      <c r="L7119" s="817"/>
    </row>
    <row r="7120" spans="1:12" ht="17.100000000000001" customHeight="1">
      <c r="A7120" s="626" t="s">
        <v>12709</v>
      </c>
      <c r="B7120" s="627" t="s">
        <v>13051</v>
      </c>
      <c r="C7120" s="626" t="s">
        <v>8</v>
      </c>
      <c r="D7120" s="626" t="s">
        <v>9376</v>
      </c>
      <c r="E7120" s="628" t="s">
        <v>23</v>
      </c>
      <c r="F7120" s="816" t="s">
        <v>13691</v>
      </c>
      <c r="G7120" s="816"/>
      <c r="H7120" s="816">
        <v>5.7531141999999997</v>
      </c>
      <c r="I7120" s="816"/>
      <c r="J7120" s="817">
        <v>2.8765999999999998</v>
      </c>
      <c r="K7120" s="817"/>
      <c r="L7120" s="817"/>
    </row>
    <row r="7121" spans="1:12" ht="14.25" customHeight="1">
      <c r="A7121" s="626" t="s">
        <v>12709</v>
      </c>
      <c r="B7121" s="627" t="s">
        <v>13032</v>
      </c>
      <c r="C7121" s="626" t="s">
        <v>8</v>
      </c>
      <c r="D7121" s="626" t="s">
        <v>9217</v>
      </c>
      <c r="E7121" s="628" t="s">
        <v>23</v>
      </c>
      <c r="F7121" s="816" t="s">
        <v>13741</v>
      </c>
      <c r="G7121" s="816"/>
      <c r="H7121" s="816">
        <v>0.19761110000000001</v>
      </c>
      <c r="I7121" s="816"/>
      <c r="J7121" s="817">
        <v>0.21340000000000001</v>
      </c>
      <c r="K7121" s="817"/>
      <c r="L7121" s="817"/>
    </row>
    <row r="7122" spans="1:12" ht="17.100000000000001" customHeight="1">
      <c r="A7122" s="626" t="s">
        <v>12709</v>
      </c>
      <c r="B7122" s="627" t="s">
        <v>13031</v>
      </c>
      <c r="C7122" s="626" t="s">
        <v>8</v>
      </c>
      <c r="D7122" s="626" t="s">
        <v>9364</v>
      </c>
      <c r="E7122" s="628" t="s">
        <v>23</v>
      </c>
      <c r="F7122" s="816" t="s">
        <v>13740</v>
      </c>
      <c r="G7122" s="816"/>
      <c r="H7122" s="816">
        <v>0.19761110000000001</v>
      </c>
      <c r="I7122" s="816"/>
      <c r="J7122" s="817">
        <v>6.7199999999999996E-2</v>
      </c>
      <c r="K7122" s="817"/>
      <c r="L7122" s="817"/>
    </row>
    <row r="7123" spans="1:12" ht="24" customHeight="1">
      <c r="A7123" s="626" t="s">
        <v>12709</v>
      </c>
      <c r="B7123" s="627" t="s">
        <v>13268</v>
      </c>
      <c r="C7123" s="626" t="s">
        <v>8</v>
      </c>
      <c r="D7123" s="626" t="s">
        <v>8451</v>
      </c>
      <c r="E7123" s="628" t="s">
        <v>35</v>
      </c>
      <c r="F7123" s="816" t="s">
        <v>14506</v>
      </c>
      <c r="G7123" s="816"/>
      <c r="H7123" s="816">
        <v>3.9999999999999998E-7</v>
      </c>
      <c r="I7123" s="816"/>
      <c r="J7123" s="817">
        <v>4.4000000000000003E-3</v>
      </c>
      <c r="K7123" s="817"/>
      <c r="L7123" s="817"/>
    </row>
    <row r="7124" spans="1:12" ht="24" customHeight="1">
      <c r="A7124" s="626" t="s">
        <v>12709</v>
      </c>
      <c r="B7124" s="627" t="s">
        <v>13302</v>
      </c>
      <c r="C7124" s="626" t="s">
        <v>8</v>
      </c>
      <c r="D7124" s="626" t="s">
        <v>7676</v>
      </c>
      <c r="E7124" s="628" t="s">
        <v>35</v>
      </c>
      <c r="F7124" s="816" t="s">
        <v>14526</v>
      </c>
      <c r="G7124" s="816"/>
      <c r="H7124" s="816">
        <v>2.3900000000000002E-5</v>
      </c>
      <c r="I7124" s="816"/>
      <c r="J7124" s="817">
        <v>8.6599999999999996E-2</v>
      </c>
      <c r="K7124" s="817"/>
      <c r="L7124" s="817"/>
    </row>
    <row r="7125" spans="1:12" ht="17.100000000000001" customHeight="1">
      <c r="A7125" s="636"/>
      <c r="B7125" s="636"/>
      <c r="C7125" s="636"/>
      <c r="D7125" s="636"/>
      <c r="E7125" s="636"/>
      <c r="F7125" s="636"/>
      <c r="G7125" s="636"/>
      <c r="H7125" s="636"/>
      <c r="I7125" s="636"/>
      <c r="J7125" s="636" t="s">
        <v>13675</v>
      </c>
      <c r="K7125" s="636"/>
      <c r="L7125" s="636" t="s">
        <v>15409</v>
      </c>
    </row>
    <row r="7126" spans="1:12">
      <c r="A7126" s="802" t="s">
        <v>12710</v>
      </c>
      <c r="B7126" s="802"/>
      <c r="C7126" s="802"/>
      <c r="D7126" s="802"/>
      <c r="E7126" s="802"/>
      <c r="F7126" s="802"/>
      <c r="G7126" s="802"/>
      <c r="H7126" s="802"/>
      <c r="I7126" s="612"/>
      <c r="J7126" s="612"/>
      <c r="K7126" s="612"/>
      <c r="L7126" s="612"/>
    </row>
    <row r="7127" spans="1:12" ht="17.100000000000001" customHeight="1">
      <c r="A7127" s="612" t="s">
        <v>13679</v>
      </c>
      <c r="B7127" s="636" t="s">
        <v>12698</v>
      </c>
      <c r="C7127" s="612" t="s">
        <v>12699</v>
      </c>
      <c r="D7127" s="612" t="s">
        <v>12700</v>
      </c>
      <c r="E7127" s="637" t="s">
        <v>12702</v>
      </c>
      <c r="F7127" s="801" t="s">
        <v>12704</v>
      </c>
      <c r="G7127" s="801"/>
      <c r="H7127" s="801" t="s">
        <v>13678</v>
      </c>
      <c r="I7127" s="801"/>
      <c r="J7127" s="801" t="s">
        <v>12705</v>
      </c>
      <c r="K7127" s="801"/>
      <c r="L7127" s="801"/>
    </row>
    <row r="7128" spans="1:12" ht="36" customHeight="1">
      <c r="A7128" s="626" t="s">
        <v>12709</v>
      </c>
      <c r="B7128" s="627" t="s">
        <v>13114</v>
      </c>
      <c r="C7128" s="626" t="s">
        <v>8</v>
      </c>
      <c r="D7128" s="626" t="s">
        <v>10562</v>
      </c>
      <c r="E7128" s="628" t="s">
        <v>23</v>
      </c>
      <c r="F7128" s="816" t="s">
        <v>14524</v>
      </c>
      <c r="G7128" s="816"/>
      <c r="H7128" s="816">
        <v>3.8365900000000001E-2</v>
      </c>
      <c r="I7128" s="816"/>
      <c r="J7128" s="817">
        <v>0.25629999999999997</v>
      </c>
      <c r="K7128" s="817"/>
      <c r="L7128" s="817"/>
    </row>
    <row r="7129" spans="1:12" ht="24" customHeight="1">
      <c r="A7129" s="626" t="s">
        <v>12709</v>
      </c>
      <c r="B7129" s="627" t="s">
        <v>13046</v>
      </c>
      <c r="C7129" s="626" t="s">
        <v>8</v>
      </c>
      <c r="D7129" s="626" t="s">
        <v>11281</v>
      </c>
      <c r="E7129" s="628" t="s">
        <v>23</v>
      </c>
      <c r="F7129" s="816" t="s">
        <v>13731</v>
      </c>
      <c r="G7129" s="816"/>
      <c r="H7129" s="816">
        <v>5.7081491</v>
      </c>
      <c r="I7129" s="816"/>
      <c r="J7129" s="817">
        <v>29.3399</v>
      </c>
      <c r="K7129" s="817"/>
      <c r="L7129" s="817"/>
    </row>
    <row r="7130" spans="1:12" ht="24" customHeight="1">
      <c r="A7130" s="626" t="s">
        <v>12709</v>
      </c>
      <c r="B7130" s="627" t="s">
        <v>13116</v>
      </c>
      <c r="C7130" s="626" t="s">
        <v>8</v>
      </c>
      <c r="D7130" s="626" t="s">
        <v>10556</v>
      </c>
      <c r="E7130" s="628" t="s">
        <v>23</v>
      </c>
      <c r="F7130" s="816" t="s">
        <v>13770</v>
      </c>
      <c r="G7130" s="816"/>
      <c r="H7130" s="816">
        <v>0.44350010000000001</v>
      </c>
      <c r="I7130" s="816"/>
      <c r="J7130" s="817">
        <v>2.1154999999999999</v>
      </c>
      <c r="K7130" s="817"/>
      <c r="L7130" s="817"/>
    </row>
    <row r="7131" spans="1:12" ht="17.100000000000001" customHeight="1">
      <c r="A7131" s="626" t="s">
        <v>12709</v>
      </c>
      <c r="B7131" s="627" t="s">
        <v>13103</v>
      </c>
      <c r="C7131" s="626" t="s">
        <v>8</v>
      </c>
      <c r="D7131" s="626" t="s">
        <v>10570</v>
      </c>
      <c r="E7131" s="628" t="s">
        <v>23</v>
      </c>
      <c r="F7131" s="816" t="s">
        <v>14289</v>
      </c>
      <c r="G7131" s="816"/>
      <c r="H7131" s="816">
        <v>3.8078800000000003E-2</v>
      </c>
      <c r="I7131" s="816"/>
      <c r="J7131" s="817">
        <v>0.1938</v>
      </c>
      <c r="K7131" s="817"/>
      <c r="L7131" s="817"/>
    </row>
    <row r="7132" spans="1:12" ht="25.5">
      <c r="A7132" s="626" t="s">
        <v>12709</v>
      </c>
      <c r="B7132" s="627" t="s">
        <v>13230</v>
      </c>
      <c r="C7132" s="626" t="s">
        <v>8</v>
      </c>
      <c r="D7132" s="626" t="s">
        <v>7362</v>
      </c>
      <c r="E7132" s="628" t="s">
        <v>23</v>
      </c>
      <c r="F7132" s="816" t="s">
        <v>14514</v>
      </c>
      <c r="G7132" s="816"/>
      <c r="H7132" s="816">
        <v>5.7569099999999998E-2</v>
      </c>
      <c r="I7132" s="816"/>
      <c r="J7132" s="817">
        <v>0.27689999999999998</v>
      </c>
      <c r="K7132" s="817"/>
      <c r="L7132" s="817"/>
    </row>
    <row r="7133" spans="1:12" ht="17.100000000000001" customHeight="1">
      <c r="A7133" s="626" t="s">
        <v>12709</v>
      </c>
      <c r="B7133" s="627" t="s">
        <v>13224</v>
      </c>
      <c r="C7133" s="626" t="s">
        <v>8</v>
      </c>
      <c r="D7133" s="626" t="s">
        <v>7556</v>
      </c>
      <c r="E7133" s="628" t="s">
        <v>23</v>
      </c>
      <c r="F7133" s="816" t="s">
        <v>14470</v>
      </c>
      <c r="G7133" s="816"/>
      <c r="H7133" s="816">
        <v>0.36930299999999999</v>
      </c>
      <c r="I7133" s="816"/>
      <c r="J7133" s="817">
        <v>2.5518999999999998</v>
      </c>
      <c r="K7133" s="817"/>
      <c r="L7133" s="817"/>
    </row>
    <row r="7134" spans="1:12" ht="24" customHeight="1">
      <c r="A7134" s="626" t="s">
        <v>12709</v>
      </c>
      <c r="B7134" s="627" t="s">
        <v>13228</v>
      </c>
      <c r="C7134" s="626" t="s">
        <v>8</v>
      </c>
      <c r="D7134" s="626" t="s">
        <v>8289</v>
      </c>
      <c r="E7134" s="628" t="s">
        <v>23</v>
      </c>
      <c r="F7134" s="816" t="s">
        <v>14199</v>
      </c>
      <c r="G7134" s="816"/>
      <c r="H7134" s="816">
        <v>3.3260499999999998E-2</v>
      </c>
      <c r="I7134" s="816"/>
      <c r="J7134" s="817">
        <v>0.18090000000000001</v>
      </c>
      <c r="K7134" s="817"/>
      <c r="L7134" s="817"/>
    </row>
    <row r="7135" spans="1:12" ht="17.100000000000001" customHeight="1">
      <c r="A7135" s="626" t="s">
        <v>12709</v>
      </c>
      <c r="B7135" s="627" t="s">
        <v>13214</v>
      </c>
      <c r="C7135" s="626" t="s">
        <v>8</v>
      </c>
      <c r="D7135" s="626" t="s">
        <v>8291</v>
      </c>
      <c r="E7135" s="628" t="s">
        <v>23</v>
      </c>
      <c r="F7135" s="816" t="s">
        <v>14513</v>
      </c>
      <c r="G7135" s="816"/>
      <c r="H7135" s="816">
        <v>0.1663028</v>
      </c>
      <c r="I7135" s="816"/>
      <c r="J7135" s="817">
        <v>1.2539</v>
      </c>
      <c r="K7135" s="817"/>
      <c r="L7135" s="817"/>
    </row>
    <row r="7136" spans="1:12" ht="25.5">
      <c r="A7136" s="626" t="s">
        <v>12709</v>
      </c>
      <c r="B7136" s="627" t="s">
        <v>13099</v>
      </c>
      <c r="C7136" s="626" t="s">
        <v>8</v>
      </c>
      <c r="D7136" s="626" t="s">
        <v>10726</v>
      </c>
      <c r="E7136" s="628" t="s">
        <v>23</v>
      </c>
      <c r="F7136" s="816" t="s">
        <v>14470</v>
      </c>
      <c r="G7136" s="816"/>
      <c r="H7136" s="816">
        <v>5.4055460999999996</v>
      </c>
      <c r="I7136" s="816"/>
      <c r="J7136" s="817">
        <v>37.3523</v>
      </c>
      <c r="K7136" s="817"/>
      <c r="L7136" s="817"/>
    </row>
    <row r="7137" spans="1:12" ht="17.100000000000001" customHeight="1">
      <c r="A7137" s="636"/>
      <c r="B7137" s="636"/>
      <c r="C7137" s="636"/>
      <c r="D7137" s="636"/>
      <c r="E7137" s="636"/>
      <c r="F7137" s="636"/>
      <c r="G7137" s="636"/>
      <c r="H7137" s="636"/>
      <c r="I7137" s="636"/>
      <c r="J7137" s="636" t="s">
        <v>13675</v>
      </c>
      <c r="K7137" s="636"/>
      <c r="L7137" s="636" t="s">
        <v>15410</v>
      </c>
    </row>
    <row r="7138" spans="1:12" ht="24" customHeight="1">
      <c r="A7138" s="802" t="s">
        <v>12720</v>
      </c>
      <c r="B7138" s="802"/>
      <c r="C7138" s="802"/>
      <c r="D7138" s="802"/>
      <c r="E7138" s="802"/>
      <c r="F7138" s="802"/>
      <c r="G7138" s="802"/>
      <c r="H7138" s="802"/>
      <c r="I7138" s="612"/>
      <c r="J7138" s="612"/>
      <c r="K7138" s="612"/>
      <c r="L7138" s="612"/>
    </row>
    <row r="7139" spans="1:12" ht="17.100000000000001" customHeight="1">
      <c r="A7139" s="612" t="s">
        <v>13679</v>
      </c>
      <c r="B7139" s="636" t="s">
        <v>12698</v>
      </c>
      <c r="C7139" s="612" t="s">
        <v>12699</v>
      </c>
      <c r="D7139" s="612" t="s">
        <v>12700</v>
      </c>
      <c r="E7139" s="637" t="s">
        <v>12702</v>
      </c>
      <c r="F7139" s="801" t="s">
        <v>12704</v>
      </c>
      <c r="G7139" s="801"/>
      <c r="H7139" s="801" t="s">
        <v>13678</v>
      </c>
      <c r="I7139" s="801"/>
      <c r="J7139" s="801" t="s">
        <v>12705</v>
      </c>
      <c r="K7139" s="801"/>
      <c r="L7139" s="801"/>
    </row>
    <row r="7140" spans="1:12" ht="25.5">
      <c r="A7140" s="626" t="s">
        <v>12709</v>
      </c>
      <c r="B7140" s="627" t="s">
        <v>13430</v>
      </c>
      <c r="C7140" s="626" t="s">
        <v>8</v>
      </c>
      <c r="D7140" s="626" t="s">
        <v>7741</v>
      </c>
      <c r="E7140" s="628" t="s">
        <v>35</v>
      </c>
      <c r="F7140" s="816" t="s">
        <v>14536</v>
      </c>
      <c r="G7140" s="816"/>
      <c r="H7140" s="816">
        <v>22.4145</v>
      </c>
      <c r="I7140" s="816"/>
      <c r="J7140" s="817">
        <v>44.38</v>
      </c>
      <c r="K7140" s="817"/>
      <c r="L7140" s="817"/>
    </row>
    <row r="7141" spans="1:12" ht="17.100000000000001" customHeight="1">
      <c r="A7141" s="626" t="s">
        <v>12709</v>
      </c>
      <c r="B7141" s="627" t="s">
        <v>13007</v>
      </c>
      <c r="C7141" s="626" t="s">
        <v>8</v>
      </c>
      <c r="D7141" s="626" t="s">
        <v>10549</v>
      </c>
      <c r="E7141" s="628" t="s">
        <v>58</v>
      </c>
      <c r="F7141" s="816" t="s">
        <v>14172</v>
      </c>
      <c r="G7141" s="816"/>
      <c r="H7141" s="816">
        <v>7.7557600000000004E-2</v>
      </c>
      <c r="I7141" s="816"/>
      <c r="J7141" s="817">
        <v>0.25130000000000002</v>
      </c>
      <c r="K7141" s="817"/>
      <c r="L7141" s="817"/>
    </row>
    <row r="7142" spans="1:12" ht="24" customHeight="1">
      <c r="A7142" s="626" t="s">
        <v>12709</v>
      </c>
      <c r="B7142" s="627" t="s">
        <v>13250</v>
      </c>
      <c r="C7142" s="626" t="s">
        <v>8</v>
      </c>
      <c r="D7142" s="626" t="s">
        <v>7526</v>
      </c>
      <c r="E7142" s="628" t="s">
        <v>12730</v>
      </c>
      <c r="F7142" s="816" t="s">
        <v>13747</v>
      </c>
      <c r="G7142" s="816"/>
      <c r="H7142" s="816">
        <v>0.17341580000000001</v>
      </c>
      <c r="I7142" s="816"/>
      <c r="J7142" s="817">
        <v>10.8385</v>
      </c>
      <c r="K7142" s="817"/>
      <c r="L7142" s="817"/>
    </row>
    <row r="7143" spans="1:12" ht="24" customHeight="1">
      <c r="A7143" s="626" t="s">
        <v>12709</v>
      </c>
      <c r="B7143" s="627" t="s">
        <v>13249</v>
      </c>
      <c r="C7143" s="626" t="s">
        <v>8</v>
      </c>
      <c r="D7143" s="626" t="s">
        <v>8420</v>
      </c>
      <c r="E7143" s="628" t="s">
        <v>20</v>
      </c>
      <c r="F7143" s="816" t="s">
        <v>13700</v>
      </c>
      <c r="G7143" s="816"/>
      <c r="H7143" s="816">
        <v>81.034475999999998</v>
      </c>
      <c r="I7143" s="816"/>
      <c r="J7143" s="817">
        <v>39.706899999999997</v>
      </c>
      <c r="K7143" s="817"/>
      <c r="L7143" s="817"/>
    </row>
    <row r="7144" spans="1:12" ht="17.100000000000001" customHeight="1">
      <c r="A7144" s="626" t="s">
        <v>12709</v>
      </c>
      <c r="B7144" s="627" t="s">
        <v>13248</v>
      </c>
      <c r="C7144" s="626" t="s">
        <v>8</v>
      </c>
      <c r="D7144" s="626" t="s">
        <v>10712</v>
      </c>
      <c r="E7144" s="628" t="s">
        <v>12730</v>
      </c>
      <c r="F7144" s="816" t="s">
        <v>13745</v>
      </c>
      <c r="G7144" s="816"/>
      <c r="H7144" s="816">
        <v>7.5788700000000001E-2</v>
      </c>
      <c r="I7144" s="816"/>
      <c r="J7144" s="817">
        <v>6.0631000000000004</v>
      </c>
      <c r="K7144" s="817"/>
      <c r="L7144" s="817"/>
    </row>
    <row r="7145" spans="1:12" ht="17.100000000000001" customHeight="1">
      <c r="A7145" s="626" t="s">
        <v>12709</v>
      </c>
      <c r="B7145" s="627" t="s">
        <v>12987</v>
      </c>
      <c r="C7145" s="626" t="s">
        <v>8</v>
      </c>
      <c r="D7145" s="626" t="s">
        <v>9192</v>
      </c>
      <c r="E7145" s="628" t="s">
        <v>12923</v>
      </c>
      <c r="F7145" s="816" t="s">
        <v>13999</v>
      </c>
      <c r="G7145" s="816"/>
      <c r="H7145" s="816">
        <v>0.60011300000000001</v>
      </c>
      <c r="I7145" s="816"/>
      <c r="J7145" s="817">
        <v>0.48609999999999998</v>
      </c>
      <c r="K7145" s="817"/>
      <c r="L7145" s="817"/>
    </row>
    <row r="7146" spans="1:12" ht="17.100000000000001" customHeight="1">
      <c r="A7146" s="626" t="s">
        <v>12709</v>
      </c>
      <c r="B7146" s="627" t="s">
        <v>13093</v>
      </c>
      <c r="C7146" s="626" t="s">
        <v>8</v>
      </c>
      <c r="D7146" s="626" t="s">
        <v>8980</v>
      </c>
      <c r="E7146" s="628" t="s">
        <v>58</v>
      </c>
      <c r="F7146" s="816" t="s">
        <v>14502</v>
      </c>
      <c r="G7146" s="816"/>
      <c r="H7146" s="816">
        <v>2.5387000000000001E-3</v>
      </c>
      <c r="I7146" s="816"/>
      <c r="J7146" s="817">
        <v>1.23E-2</v>
      </c>
      <c r="K7146" s="817"/>
      <c r="L7146" s="817"/>
    </row>
    <row r="7147" spans="1:12" ht="17.100000000000001" customHeight="1">
      <c r="A7147" s="626" t="s">
        <v>12709</v>
      </c>
      <c r="B7147" s="627" t="s">
        <v>13091</v>
      </c>
      <c r="C7147" s="626" t="s">
        <v>8</v>
      </c>
      <c r="D7147" s="626" t="s">
        <v>11248</v>
      </c>
      <c r="E7147" s="628" t="s">
        <v>17</v>
      </c>
      <c r="F7147" s="816" t="s">
        <v>14501</v>
      </c>
      <c r="G7147" s="816"/>
      <c r="H7147" s="816">
        <v>0.20044970000000001</v>
      </c>
      <c r="I7147" s="816"/>
      <c r="J7147" s="817">
        <v>0.40089999999999998</v>
      </c>
      <c r="K7147" s="817"/>
      <c r="L7147" s="817"/>
    </row>
    <row r="7148" spans="1:12" ht="17.100000000000001" customHeight="1">
      <c r="A7148" s="626" t="s">
        <v>12709</v>
      </c>
      <c r="B7148" s="627" t="s">
        <v>13094</v>
      </c>
      <c r="C7148" s="626" t="s">
        <v>8</v>
      </c>
      <c r="D7148" s="626" t="s">
        <v>8374</v>
      </c>
      <c r="E7148" s="628" t="s">
        <v>12725</v>
      </c>
      <c r="F7148" s="816" t="s">
        <v>14522</v>
      </c>
      <c r="G7148" s="816"/>
      <c r="H7148" s="816">
        <v>5.8706700000000001E-2</v>
      </c>
      <c r="I7148" s="816"/>
      <c r="J7148" s="817">
        <v>1.5745</v>
      </c>
      <c r="K7148" s="817"/>
      <c r="L7148" s="817"/>
    </row>
    <row r="7149" spans="1:12" ht="17.100000000000001" customHeight="1">
      <c r="A7149" s="626" t="s">
        <v>12709</v>
      </c>
      <c r="B7149" s="627" t="s">
        <v>13092</v>
      </c>
      <c r="C7149" s="626" t="s">
        <v>8</v>
      </c>
      <c r="D7149" s="626" t="s">
        <v>11005</v>
      </c>
      <c r="E7149" s="628" t="s">
        <v>20</v>
      </c>
      <c r="F7149" s="816" t="s">
        <v>13797</v>
      </c>
      <c r="G7149" s="816"/>
      <c r="H7149" s="816">
        <v>1.17261E-2</v>
      </c>
      <c r="I7149" s="816"/>
      <c r="J7149" s="817">
        <v>0.1452</v>
      </c>
      <c r="K7149" s="817"/>
      <c r="L7149" s="817"/>
    </row>
    <row r="7150" spans="1:12" ht="17.100000000000001" customHeight="1">
      <c r="A7150" s="626" t="s">
        <v>12709</v>
      </c>
      <c r="B7150" s="627" t="s">
        <v>13056</v>
      </c>
      <c r="C7150" s="626" t="s">
        <v>8</v>
      </c>
      <c r="D7150" s="626" t="s">
        <v>11277</v>
      </c>
      <c r="E7150" s="628" t="s">
        <v>35</v>
      </c>
      <c r="F7150" s="816" t="s">
        <v>14498</v>
      </c>
      <c r="G7150" s="816"/>
      <c r="H7150" s="816">
        <v>3.5999999999999998E-6</v>
      </c>
      <c r="I7150" s="816"/>
      <c r="J7150" s="817">
        <v>4.4999999999999997E-3</v>
      </c>
      <c r="K7150" s="817"/>
      <c r="L7150" s="817"/>
    </row>
    <row r="7151" spans="1:12" ht="30" customHeight="1">
      <c r="A7151" s="626" t="s">
        <v>12709</v>
      </c>
      <c r="B7151" s="627" t="s">
        <v>13311</v>
      </c>
      <c r="C7151" s="626" t="s">
        <v>8</v>
      </c>
      <c r="D7151" s="626" t="s">
        <v>7522</v>
      </c>
      <c r="E7151" s="628" t="s">
        <v>20</v>
      </c>
      <c r="F7151" s="816" t="s">
        <v>14521</v>
      </c>
      <c r="G7151" s="816"/>
      <c r="H7151" s="816">
        <v>3.2389899999999999E-2</v>
      </c>
      <c r="I7151" s="816"/>
      <c r="J7151" s="817">
        <v>0.4405</v>
      </c>
      <c r="K7151" s="817"/>
      <c r="L7151" s="817"/>
    </row>
    <row r="7152" spans="1:12" ht="36" customHeight="1">
      <c r="A7152" s="626" t="s">
        <v>12709</v>
      </c>
      <c r="B7152" s="627" t="s">
        <v>13310</v>
      </c>
      <c r="C7152" s="626" t="s">
        <v>8</v>
      </c>
      <c r="D7152" s="626" t="s">
        <v>9265</v>
      </c>
      <c r="E7152" s="628" t="s">
        <v>35</v>
      </c>
      <c r="F7152" s="816" t="s">
        <v>13875</v>
      </c>
      <c r="G7152" s="816"/>
      <c r="H7152" s="816">
        <v>3.6484049999999999</v>
      </c>
      <c r="I7152" s="816"/>
      <c r="J7152" s="817">
        <v>0.4743</v>
      </c>
      <c r="K7152" s="817"/>
      <c r="L7152" s="817"/>
    </row>
    <row r="7153" spans="1:12" ht="14.25" customHeight="1">
      <c r="A7153" s="626" t="s">
        <v>12709</v>
      </c>
      <c r="B7153" s="627" t="s">
        <v>13235</v>
      </c>
      <c r="C7153" s="626" t="s">
        <v>8</v>
      </c>
      <c r="D7153" s="626" t="s">
        <v>7268</v>
      </c>
      <c r="E7153" s="628" t="s">
        <v>20</v>
      </c>
      <c r="F7153" s="816" t="s">
        <v>14520</v>
      </c>
      <c r="G7153" s="816"/>
      <c r="H7153" s="816">
        <v>1.3862903</v>
      </c>
      <c r="I7153" s="816"/>
      <c r="J7153" s="817">
        <v>6.7511999999999999</v>
      </c>
      <c r="K7153" s="817"/>
      <c r="L7153" s="817"/>
    </row>
    <row r="7154" spans="1:12" ht="17.100000000000001" customHeight="1">
      <c r="A7154" s="626" t="s">
        <v>12709</v>
      </c>
      <c r="B7154" s="627" t="s">
        <v>13266</v>
      </c>
      <c r="C7154" s="626" t="s">
        <v>8</v>
      </c>
      <c r="D7154" s="626" t="s">
        <v>9514</v>
      </c>
      <c r="E7154" s="628" t="s">
        <v>58</v>
      </c>
      <c r="F7154" s="816" t="s">
        <v>14009</v>
      </c>
      <c r="G7154" s="816"/>
      <c r="H7154" s="816">
        <v>2.5014E-3</v>
      </c>
      <c r="I7154" s="816"/>
      <c r="J7154" s="817">
        <v>9.4000000000000004E-3</v>
      </c>
      <c r="K7154" s="817"/>
      <c r="L7154" s="817"/>
    </row>
    <row r="7155" spans="1:12" ht="24" customHeight="1">
      <c r="A7155" s="626" t="s">
        <v>12709</v>
      </c>
      <c r="B7155" s="627" t="s">
        <v>13315</v>
      </c>
      <c r="C7155" s="626" t="s">
        <v>8</v>
      </c>
      <c r="D7155" s="626" t="s">
        <v>7525</v>
      </c>
      <c r="E7155" s="628" t="s">
        <v>12730</v>
      </c>
      <c r="F7155" s="816" t="s">
        <v>14519</v>
      </c>
      <c r="G7155" s="816"/>
      <c r="H7155" s="816">
        <v>1.4270999999999999E-3</v>
      </c>
      <c r="I7155" s="816"/>
      <c r="J7155" s="817">
        <v>9.4899999999999998E-2</v>
      </c>
      <c r="K7155" s="817"/>
      <c r="L7155" s="817"/>
    </row>
    <row r="7156" spans="1:12" ht="24" customHeight="1">
      <c r="A7156" s="626" t="s">
        <v>12709</v>
      </c>
      <c r="B7156" s="627" t="s">
        <v>14856</v>
      </c>
      <c r="C7156" s="626" t="s">
        <v>8</v>
      </c>
      <c r="D7156" s="626" t="s">
        <v>7347</v>
      </c>
      <c r="E7156" s="628" t="s">
        <v>58</v>
      </c>
      <c r="F7156" s="816" t="s">
        <v>15411</v>
      </c>
      <c r="G7156" s="816"/>
      <c r="H7156" s="816">
        <v>1.4143863000000001</v>
      </c>
      <c r="I7156" s="816"/>
      <c r="J7156" s="817">
        <v>7.1284999999999998</v>
      </c>
      <c r="K7156" s="817"/>
      <c r="L7156" s="817"/>
    </row>
    <row r="7157" spans="1:12" ht="17.100000000000001" customHeight="1">
      <c r="A7157" s="636"/>
      <c r="B7157" s="636"/>
      <c r="C7157" s="636"/>
      <c r="D7157" s="636"/>
      <c r="E7157" s="636"/>
      <c r="F7157" s="636"/>
      <c r="G7157" s="636"/>
      <c r="H7157" s="636"/>
      <c r="I7157" s="636"/>
      <c r="J7157" s="636" t="s">
        <v>13675</v>
      </c>
      <c r="K7157" s="636"/>
      <c r="L7157" s="636" t="s">
        <v>15412</v>
      </c>
    </row>
    <row r="7158" spans="1:12" ht="14.25" customHeight="1">
      <c r="A7158" s="802" t="s">
        <v>12722</v>
      </c>
      <c r="B7158" s="802"/>
      <c r="C7158" s="802"/>
      <c r="D7158" s="802"/>
      <c r="E7158" s="802"/>
      <c r="F7158" s="802"/>
      <c r="G7158" s="802"/>
      <c r="H7158" s="802"/>
      <c r="I7158" s="612"/>
      <c r="J7158" s="612"/>
      <c r="K7158" s="612"/>
      <c r="L7158" s="612"/>
    </row>
    <row r="7159" spans="1:12" ht="17.100000000000001" customHeight="1">
      <c r="A7159" s="612" t="s">
        <v>13679</v>
      </c>
      <c r="B7159" s="636" t="s">
        <v>12698</v>
      </c>
      <c r="C7159" s="612" t="s">
        <v>12699</v>
      </c>
      <c r="D7159" s="612" t="s">
        <v>12700</v>
      </c>
      <c r="E7159" s="637" t="s">
        <v>12702</v>
      </c>
      <c r="F7159" s="801" t="s">
        <v>12704</v>
      </c>
      <c r="G7159" s="801"/>
      <c r="H7159" s="801" t="s">
        <v>13678</v>
      </c>
      <c r="I7159" s="801"/>
      <c r="J7159" s="801" t="s">
        <v>12705</v>
      </c>
      <c r="K7159" s="801"/>
      <c r="L7159" s="801"/>
    </row>
    <row r="7160" spans="1:12" ht="24" customHeight="1">
      <c r="A7160" s="626" t="s">
        <v>12709</v>
      </c>
      <c r="B7160" s="627" t="s">
        <v>12998</v>
      </c>
      <c r="C7160" s="626" t="s">
        <v>8</v>
      </c>
      <c r="D7160" s="626" t="s">
        <v>11861</v>
      </c>
      <c r="E7160" s="628" t="s">
        <v>23</v>
      </c>
      <c r="F7160" s="816" t="s">
        <v>13683</v>
      </c>
      <c r="G7160" s="816"/>
      <c r="H7160" s="816">
        <v>12.095518200000001</v>
      </c>
      <c r="I7160" s="816"/>
      <c r="J7160" s="817">
        <v>8.5877999999999997</v>
      </c>
      <c r="K7160" s="817"/>
      <c r="L7160" s="817"/>
    </row>
    <row r="7161" spans="1:12" ht="24" customHeight="1">
      <c r="A7161" s="636"/>
      <c r="B7161" s="636"/>
      <c r="C7161" s="636"/>
      <c r="D7161" s="636"/>
      <c r="E7161" s="636"/>
      <c r="F7161" s="636"/>
      <c r="G7161" s="636"/>
      <c r="H7161" s="636"/>
      <c r="I7161" s="636"/>
      <c r="J7161" s="636" t="s">
        <v>13675</v>
      </c>
      <c r="K7161" s="636"/>
      <c r="L7161" s="636" t="s">
        <v>15413</v>
      </c>
    </row>
    <row r="7162" spans="1:12" ht="17.100000000000001" customHeight="1">
      <c r="A7162" s="802" t="s">
        <v>12713</v>
      </c>
      <c r="B7162" s="802"/>
      <c r="C7162" s="802"/>
      <c r="D7162" s="802"/>
      <c r="E7162" s="802"/>
      <c r="F7162" s="802"/>
      <c r="G7162" s="802"/>
      <c r="H7162" s="802"/>
      <c r="I7162" s="612"/>
      <c r="J7162" s="612"/>
      <c r="K7162" s="612"/>
      <c r="L7162" s="612"/>
    </row>
    <row r="7163" spans="1:12">
      <c r="A7163" s="612" t="s">
        <v>13679</v>
      </c>
      <c r="B7163" s="636" t="s">
        <v>12698</v>
      </c>
      <c r="C7163" s="612" t="s">
        <v>12699</v>
      </c>
      <c r="D7163" s="612" t="s">
        <v>12700</v>
      </c>
      <c r="E7163" s="637" t="s">
        <v>12702</v>
      </c>
      <c r="F7163" s="801" t="s">
        <v>12704</v>
      </c>
      <c r="G7163" s="801"/>
      <c r="H7163" s="801" t="s">
        <v>13678</v>
      </c>
      <c r="I7163" s="801"/>
      <c r="J7163" s="801" t="s">
        <v>12705</v>
      </c>
      <c r="K7163" s="801"/>
      <c r="L7163" s="801"/>
    </row>
    <row r="7164" spans="1:12" ht="17.100000000000001" customHeight="1">
      <c r="A7164" s="626" t="s">
        <v>12709</v>
      </c>
      <c r="B7164" s="627" t="s">
        <v>12999</v>
      </c>
      <c r="C7164" s="626" t="s">
        <v>8</v>
      </c>
      <c r="D7164" s="626" t="s">
        <v>11251</v>
      </c>
      <c r="E7164" s="628" t="s">
        <v>23</v>
      </c>
      <c r="F7164" s="816" t="s">
        <v>13681</v>
      </c>
      <c r="G7164" s="816"/>
      <c r="H7164" s="816">
        <v>12.095518200000001</v>
      </c>
      <c r="I7164" s="816"/>
      <c r="J7164" s="817">
        <v>0.84670000000000001</v>
      </c>
      <c r="K7164" s="817"/>
      <c r="L7164" s="817"/>
    </row>
    <row r="7165" spans="1:12" ht="24" customHeight="1">
      <c r="A7165" s="636"/>
      <c r="B7165" s="636"/>
      <c r="C7165" s="636"/>
      <c r="D7165" s="636"/>
      <c r="E7165" s="636"/>
      <c r="F7165" s="636"/>
      <c r="G7165" s="636"/>
      <c r="H7165" s="636"/>
      <c r="I7165" s="636"/>
      <c r="J7165" s="636" t="s">
        <v>13675</v>
      </c>
      <c r="K7165" s="636"/>
      <c r="L7165" s="636" t="s">
        <v>13906</v>
      </c>
    </row>
    <row r="7166" spans="1:12" ht="24" customHeight="1">
      <c r="A7166" s="802" t="s">
        <v>12712</v>
      </c>
      <c r="B7166" s="802"/>
      <c r="C7166" s="802"/>
      <c r="D7166" s="802"/>
      <c r="E7166" s="802"/>
      <c r="F7166" s="802"/>
      <c r="G7166" s="802"/>
      <c r="H7166" s="802"/>
      <c r="I7166" s="612"/>
      <c r="J7166" s="612"/>
      <c r="K7166" s="612"/>
      <c r="L7166" s="612"/>
    </row>
    <row r="7167" spans="1:12" ht="24" customHeight="1">
      <c r="A7167" s="612" t="s">
        <v>13679</v>
      </c>
      <c r="B7167" s="636" t="s">
        <v>12698</v>
      </c>
      <c r="C7167" s="612" t="s">
        <v>12699</v>
      </c>
      <c r="D7167" s="612" t="s">
        <v>12700</v>
      </c>
      <c r="E7167" s="637" t="s">
        <v>12702</v>
      </c>
      <c r="F7167" s="801" t="s">
        <v>12704</v>
      </c>
      <c r="G7167" s="801"/>
      <c r="H7167" s="801" t="s">
        <v>13678</v>
      </c>
      <c r="I7167" s="801"/>
      <c r="J7167" s="801" t="s">
        <v>12705</v>
      </c>
      <c r="K7167" s="801"/>
      <c r="L7167" s="801"/>
    </row>
    <row r="7168" spans="1:12" ht="24" customHeight="1">
      <c r="A7168" s="626" t="s">
        <v>12709</v>
      </c>
      <c r="B7168" s="627" t="s">
        <v>13002</v>
      </c>
      <c r="C7168" s="626" t="s">
        <v>8</v>
      </c>
      <c r="D7168" s="626" t="s">
        <v>9306</v>
      </c>
      <c r="E7168" s="628" t="s">
        <v>23</v>
      </c>
      <c r="F7168" s="816" t="s">
        <v>13677</v>
      </c>
      <c r="G7168" s="816"/>
      <c r="H7168" s="816">
        <v>12.095518200000001</v>
      </c>
      <c r="I7168" s="816"/>
      <c r="J7168" s="817">
        <v>4.2333999999999996</v>
      </c>
      <c r="K7168" s="817"/>
      <c r="L7168" s="817"/>
    </row>
    <row r="7169" spans="1:12" ht="17.100000000000001" customHeight="1">
      <c r="A7169" s="626" t="s">
        <v>12709</v>
      </c>
      <c r="B7169" s="627" t="s">
        <v>13004</v>
      </c>
      <c r="C7169" s="626" t="s">
        <v>8</v>
      </c>
      <c r="D7169" s="626" t="s">
        <v>7388</v>
      </c>
      <c r="E7169" s="628" t="s">
        <v>23</v>
      </c>
      <c r="F7169" s="816" t="s">
        <v>13676</v>
      </c>
      <c r="G7169" s="816"/>
      <c r="H7169" s="816">
        <v>12.095518200000001</v>
      </c>
      <c r="I7169" s="816"/>
      <c r="J7169" s="817">
        <v>26.610099999999999</v>
      </c>
      <c r="K7169" s="817"/>
      <c r="L7169" s="817"/>
    </row>
    <row r="7170" spans="1:12">
      <c r="A7170" s="636"/>
      <c r="B7170" s="636"/>
      <c r="C7170" s="636"/>
      <c r="D7170" s="636"/>
      <c r="E7170" s="636"/>
      <c r="F7170" s="636"/>
      <c r="G7170" s="636"/>
      <c r="H7170" s="636"/>
      <c r="I7170" s="636"/>
      <c r="J7170" s="636" t="s">
        <v>13675</v>
      </c>
      <c r="K7170" s="636"/>
      <c r="L7170" s="636" t="s">
        <v>15414</v>
      </c>
    </row>
    <row r="7171" spans="1:12" ht="17.100000000000001" customHeight="1">
      <c r="A7171" s="612" t="s">
        <v>13673</v>
      </c>
      <c r="B7171" s="612"/>
      <c r="C7171" s="612"/>
      <c r="D7171" s="612"/>
      <c r="E7171" s="612"/>
      <c r="F7171" s="612"/>
      <c r="G7171" s="612"/>
      <c r="H7171" s="612"/>
      <c r="I7171" s="612"/>
      <c r="J7171" s="612"/>
      <c r="K7171" s="612"/>
      <c r="L7171" s="612"/>
    </row>
    <row r="7172" spans="1:12" ht="24" customHeight="1">
      <c r="A7172" s="636"/>
      <c r="B7172" s="636"/>
      <c r="C7172" s="636"/>
      <c r="D7172" s="636"/>
      <c r="E7172" s="636"/>
      <c r="F7172" s="636"/>
      <c r="G7172" s="636"/>
      <c r="H7172" s="636"/>
      <c r="I7172" s="636"/>
      <c r="J7172" s="636" t="s">
        <v>13672</v>
      </c>
      <c r="K7172" s="636"/>
      <c r="L7172" s="636" t="s">
        <v>15415</v>
      </c>
    </row>
    <row r="7173" spans="1:12" ht="17.100000000000001" customHeight="1">
      <c r="A7173" s="636"/>
      <c r="B7173" s="636"/>
      <c r="C7173" s="636"/>
      <c r="D7173" s="636"/>
      <c r="E7173" s="636"/>
      <c r="F7173" s="636"/>
      <c r="G7173" s="636"/>
      <c r="H7173" s="636"/>
      <c r="I7173" s="636"/>
      <c r="J7173" s="636" t="s">
        <v>13671</v>
      </c>
      <c r="K7173" s="636" t="s">
        <v>14461</v>
      </c>
      <c r="L7173" s="636" t="s">
        <v>15416</v>
      </c>
    </row>
    <row r="7174" spans="1:12">
      <c r="A7174" s="636"/>
      <c r="B7174" s="636"/>
      <c r="C7174" s="636"/>
      <c r="D7174" s="636"/>
      <c r="E7174" s="636"/>
      <c r="F7174" s="636"/>
      <c r="G7174" s="636"/>
      <c r="H7174" s="636"/>
      <c r="I7174" s="636"/>
      <c r="J7174" s="636" t="s">
        <v>13670</v>
      </c>
      <c r="K7174" s="636"/>
      <c r="L7174" s="636" t="s">
        <v>15417</v>
      </c>
    </row>
    <row r="7175" spans="1:12" ht="17.100000000000001" customHeight="1">
      <c r="A7175" s="636"/>
      <c r="B7175" s="636"/>
      <c r="C7175" s="636"/>
      <c r="D7175" s="636"/>
      <c r="E7175" s="636"/>
      <c r="F7175" s="636"/>
      <c r="G7175" s="636"/>
      <c r="H7175" s="636"/>
      <c r="I7175" s="636"/>
      <c r="J7175" s="636" t="s">
        <v>13669</v>
      </c>
      <c r="K7175" s="636" t="s">
        <v>13667</v>
      </c>
      <c r="L7175" s="636" t="s">
        <v>15418</v>
      </c>
    </row>
    <row r="7176" spans="1:12" ht="24" customHeight="1">
      <c r="A7176" s="636"/>
      <c r="B7176" s="636"/>
      <c r="C7176" s="636"/>
      <c r="D7176" s="636"/>
      <c r="E7176" s="636"/>
      <c r="F7176" s="636"/>
      <c r="G7176" s="636"/>
      <c r="H7176" s="636"/>
      <c r="I7176" s="636"/>
      <c r="J7176" s="636" t="s">
        <v>13668</v>
      </c>
      <c r="K7176" s="636"/>
      <c r="L7176" s="636" t="s">
        <v>15419</v>
      </c>
    </row>
    <row r="7177" spans="1:12" ht="17.100000000000001" customHeight="1">
      <c r="A7177" s="637"/>
      <c r="B7177" s="637"/>
      <c r="C7177" s="637"/>
      <c r="D7177" s="637"/>
      <c r="E7177" s="637"/>
      <c r="F7177" s="637"/>
      <c r="G7177" s="637"/>
      <c r="H7177" s="637"/>
      <c r="I7177" s="637"/>
      <c r="J7177" s="637"/>
      <c r="K7177" s="637"/>
      <c r="L7177" s="637"/>
    </row>
    <row r="7178" spans="1:12" ht="38.25">
      <c r="A7178" s="616" t="s">
        <v>14003</v>
      </c>
      <c r="B7178" s="617" t="s">
        <v>13484</v>
      </c>
      <c r="C7178" s="616" t="s">
        <v>8</v>
      </c>
      <c r="D7178" s="616" t="s">
        <v>1995</v>
      </c>
      <c r="E7178" s="618" t="s">
        <v>35</v>
      </c>
      <c r="F7178" s="617"/>
      <c r="G7178" s="617"/>
      <c r="H7178" s="617"/>
      <c r="I7178" s="617"/>
      <c r="J7178" s="617"/>
      <c r="K7178" s="617"/>
      <c r="L7178" s="617"/>
    </row>
    <row r="7179" spans="1:12" ht="17.100000000000001" customHeight="1">
      <c r="A7179" s="802" t="s">
        <v>12711</v>
      </c>
      <c r="B7179" s="802"/>
      <c r="C7179" s="802"/>
      <c r="D7179" s="802"/>
      <c r="E7179" s="802"/>
      <c r="F7179" s="802"/>
      <c r="G7179" s="802"/>
      <c r="H7179" s="802"/>
      <c r="I7179" s="612"/>
      <c r="J7179" s="612"/>
      <c r="K7179" s="612"/>
      <c r="L7179" s="612"/>
    </row>
    <row r="7180" spans="1:12" ht="24" customHeight="1">
      <c r="A7180" s="612" t="s">
        <v>13679</v>
      </c>
      <c r="B7180" s="636" t="s">
        <v>12698</v>
      </c>
      <c r="C7180" s="612" t="s">
        <v>12699</v>
      </c>
      <c r="D7180" s="612" t="s">
        <v>12700</v>
      </c>
      <c r="E7180" s="637" t="s">
        <v>12702</v>
      </c>
      <c r="F7180" s="801" t="s">
        <v>12704</v>
      </c>
      <c r="G7180" s="801"/>
      <c r="H7180" s="801" t="s">
        <v>13678</v>
      </c>
      <c r="I7180" s="801"/>
      <c r="J7180" s="801" t="s">
        <v>12705</v>
      </c>
      <c r="K7180" s="801"/>
      <c r="L7180" s="801"/>
    </row>
    <row r="7181" spans="1:12" ht="24" customHeight="1">
      <c r="A7181" s="626" t="s">
        <v>12709</v>
      </c>
      <c r="B7181" s="627" t="s">
        <v>13201</v>
      </c>
      <c r="C7181" s="626" t="s">
        <v>8</v>
      </c>
      <c r="D7181" s="626" t="s">
        <v>9221</v>
      </c>
      <c r="E7181" s="628" t="s">
        <v>23</v>
      </c>
      <c r="F7181" s="816" t="s">
        <v>13705</v>
      </c>
      <c r="G7181" s="816"/>
      <c r="H7181" s="816">
        <v>0.25886619999999999</v>
      </c>
      <c r="I7181" s="816"/>
      <c r="J7181" s="817">
        <v>0.21490000000000001</v>
      </c>
      <c r="K7181" s="817"/>
      <c r="L7181" s="817"/>
    </row>
    <row r="7182" spans="1:12" ht="17.100000000000001" customHeight="1">
      <c r="A7182" s="626" t="s">
        <v>12709</v>
      </c>
      <c r="B7182" s="627" t="s">
        <v>13200</v>
      </c>
      <c r="C7182" s="626" t="s">
        <v>8</v>
      </c>
      <c r="D7182" s="626" t="s">
        <v>9368</v>
      </c>
      <c r="E7182" s="628" t="s">
        <v>23</v>
      </c>
      <c r="F7182" s="816" t="s">
        <v>13704</v>
      </c>
      <c r="G7182" s="816"/>
      <c r="H7182" s="816">
        <v>0.25886619999999999</v>
      </c>
      <c r="I7182" s="816"/>
      <c r="J7182" s="817">
        <v>6.2100000000000002E-2</v>
      </c>
      <c r="K7182" s="817"/>
      <c r="L7182" s="817"/>
    </row>
    <row r="7183" spans="1:12" ht="17.100000000000001" customHeight="1">
      <c r="A7183" s="636"/>
      <c r="B7183" s="636"/>
      <c r="C7183" s="636"/>
      <c r="D7183" s="636"/>
      <c r="E7183" s="636"/>
      <c r="F7183" s="636"/>
      <c r="G7183" s="636"/>
      <c r="H7183" s="636"/>
      <c r="I7183" s="636"/>
      <c r="J7183" s="636" t="s">
        <v>13675</v>
      </c>
      <c r="K7183" s="636"/>
      <c r="L7183" s="636" t="s">
        <v>13762</v>
      </c>
    </row>
    <row r="7184" spans="1:12" ht="17.100000000000001" customHeight="1">
      <c r="A7184" s="802" t="s">
        <v>12710</v>
      </c>
      <c r="B7184" s="802"/>
      <c r="C7184" s="802"/>
      <c r="D7184" s="802"/>
      <c r="E7184" s="802"/>
      <c r="F7184" s="802"/>
      <c r="G7184" s="802"/>
      <c r="H7184" s="802"/>
      <c r="I7184" s="612"/>
      <c r="J7184" s="612"/>
      <c r="K7184" s="612"/>
      <c r="L7184" s="612"/>
    </row>
    <row r="7185" spans="1:12" ht="17.100000000000001" customHeight="1">
      <c r="A7185" s="612" t="s">
        <v>13679</v>
      </c>
      <c r="B7185" s="636" t="s">
        <v>12698</v>
      </c>
      <c r="C7185" s="612" t="s">
        <v>12699</v>
      </c>
      <c r="D7185" s="612" t="s">
        <v>12700</v>
      </c>
      <c r="E7185" s="637" t="s">
        <v>12702</v>
      </c>
      <c r="F7185" s="801" t="s">
        <v>12704</v>
      </c>
      <c r="G7185" s="801"/>
      <c r="H7185" s="801" t="s">
        <v>13678</v>
      </c>
      <c r="I7185" s="801"/>
      <c r="J7185" s="801" t="s">
        <v>12705</v>
      </c>
      <c r="K7185" s="801"/>
      <c r="L7185" s="801"/>
    </row>
    <row r="7186" spans="1:12" ht="17.100000000000001" customHeight="1">
      <c r="A7186" s="626" t="s">
        <v>12709</v>
      </c>
      <c r="B7186" s="627" t="s">
        <v>13220</v>
      </c>
      <c r="C7186" s="626" t="s">
        <v>8</v>
      </c>
      <c r="D7186" s="626" t="s">
        <v>7592</v>
      </c>
      <c r="E7186" s="628" t="s">
        <v>23</v>
      </c>
      <c r="F7186" s="816" t="s">
        <v>13890</v>
      </c>
      <c r="G7186" s="816"/>
      <c r="H7186" s="816">
        <v>0.13149710000000001</v>
      </c>
      <c r="I7186" s="816"/>
      <c r="J7186" s="817">
        <v>0.66539999999999999</v>
      </c>
      <c r="K7186" s="817"/>
      <c r="L7186" s="817"/>
    </row>
    <row r="7187" spans="1:12" ht="17.100000000000001" customHeight="1">
      <c r="A7187" s="626" t="s">
        <v>12709</v>
      </c>
      <c r="B7187" s="627" t="s">
        <v>13202</v>
      </c>
      <c r="C7187" s="626" t="s">
        <v>8</v>
      </c>
      <c r="D7187" s="626" t="s">
        <v>9187</v>
      </c>
      <c r="E7187" s="628" t="s">
        <v>23</v>
      </c>
      <c r="F7187" s="816" t="s">
        <v>14479</v>
      </c>
      <c r="G7187" s="816"/>
      <c r="H7187" s="816">
        <v>0.13149710000000001</v>
      </c>
      <c r="I7187" s="816"/>
      <c r="J7187" s="817">
        <v>0.94020000000000004</v>
      </c>
      <c r="K7187" s="817"/>
      <c r="L7187" s="817"/>
    </row>
    <row r="7188" spans="1:12" ht="17.100000000000001" customHeight="1">
      <c r="A7188" s="636"/>
      <c r="B7188" s="636"/>
      <c r="C7188" s="636"/>
      <c r="D7188" s="636"/>
      <c r="E7188" s="636"/>
      <c r="F7188" s="636"/>
      <c r="G7188" s="636"/>
      <c r="H7188" s="636"/>
      <c r="I7188" s="636"/>
      <c r="J7188" s="636" t="s">
        <v>13675</v>
      </c>
      <c r="K7188" s="636"/>
      <c r="L7188" s="636" t="s">
        <v>14001</v>
      </c>
    </row>
    <row r="7189" spans="1:12" ht="30" customHeight="1">
      <c r="A7189" s="802" t="s">
        <v>12720</v>
      </c>
      <c r="B7189" s="802"/>
      <c r="C7189" s="802"/>
      <c r="D7189" s="802"/>
      <c r="E7189" s="802"/>
      <c r="F7189" s="802"/>
      <c r="G7189" s="802"/>
      <c r="H7189" s="802"/>
      <c r="I7189" s="612"/>
      <c r="J7189" s="612"/>
      <c r="K7189" s="612"/>
      <c r="L7189" s="612"/>
    </row>
    <row r="7190" spans="1:12" ht="48" customHeight="1">
      <c r="A7190" s="612" t="s">
        <v>13679</v>
      </c>
      <c r="B7190" s="636" t="s">
        <v>12698</v>
      </c>
      <c r="C7190" s="612" t="s">
        <v>12699</v>
      </c>
      <c r="D7190" s="612" t="s">
        <v>12700</v>
      </c>
      <c r="E7190" s="637" t="s">
        <v>12702</v>
      </c>
      <c r="F7190" s="801" t="s">
        <v>12704</v>
      </c>
      <c r="G7190" s="801"/>
      <c r="H7190" s="801" t="s">
        <v>13678</v>
      </c>
      <c r="I7190" s="801"/>
      <c r="J7190" s="801" t="s">
        <v>12705</v>
      </c>
      <c r="K7190" s="801"/>
      <c r="L7190" s="801"/>
    </row>
    <row r="7191" spans="1:12" ht="14.25" customHeight="1">
      <c r="A7191" s="626" t="s">
        <v>12709</v>
      </c>
      <c r="B7191" s="627" t="s">
        <v>13462</v>
      </c>
      <c r="C7191" s="626" t="s">
        <v>8</v>
      </c>
      <c r="D7191" s="626" t="s">
        <v>10684</v>
      </c>
      <c r="E7191" s="628" t="s">
        <v>35</v>
      </c>
      <c r="F7191" s="816" t="s">
        <v>14633</v>
      </c>
      <c r="G7191" s="816"/>
      <c r="H7191" s="816">
        <v>0.02</v>
      </c>
      <c r="I7191" s="816"/>
      <c r="J7191" s="817">
        <v>0.57999999999999996</v>
      </c>
      <c r="K7191" s="817"/>
      <c r="L7191" s="817"/>
    </row>
    <row r="7192" spans="1:12" ht="17.100000000000001" customHeight="1">
      <c r="A7192" s="626" t="s">
        <v>12709</v>
      </c>
      <c r="B7192" s="627" t="s">
        <v>13463</v>
      </c>
      <c r="C7192" s="626" t="s">
        <v>8</v>
      </c>
      <c r="D7192" s="626" t="s">
        <v>7398</v>
      </c>
      <c r="E7192" s="628" t="s">
        <v>35</v>
      </c>
      <c r="F7192" s="816" t="s">
        <v>13806</v>
      </c>
      <c r="G7192" s="816"/>
      <c r="H7192" s="816">
        <v>1</v>
      </c>
      <c r="I7192" s="816"/>
      <c r="J7192" s="817">
        <v>1.86</v>
      </c>
      <c r="K7192" s="817"/>
      <c r="L7192" s="817"/>
    </row>
    <row r="7193" spans="1:12" ht="24" customHeight="1">
      <c r="A7193" s="626" t="s">
        <v>12709</v>
      </c>
      <c r="B7193" s="627" t="s">
        <v>13483</v>
      </c>
      <c r="C7193" s="626" t="s">
        <v>8</v>
      </c>
      <c r="D7193" s="626" t="s">
        <v>9753</v>
      </c>
      <c r="E7193" s="628" t="s">
        <v>35</v>
      </c>
      <c r="F7193" s="816" t="s">
        <v>14640</v>
      </c>
      <c r="G7193" s="816"/>
      <c r="H7193" s="816">
        <v>1</v>
      </c>
      <c r="I7193" s="816"/>
      <c r="J7193" s="817">
        <v>2.16</v>
      </c>
      <c r="K7193" s="817"/>
      <c r="L7193" s="817"/>
    </row>
    <row r="7194" spans="1:12" ht="24" customHeight="1">
      <c r="A7194" s="636"/>
      <c r="B7194" s="636"/>
      <c r="C7194" s="636"/>
      <c r="D7194" s="636"/>
      <c r="E7194" s="636"/>
      <c r="F7194" s="636"/>
      <c r="G7194" s="636"/>
      <c r="H7194" s="636"/>
      <c r="I7194" s="636"/>
      <c r="J7194" s="636" t="s">
        <v>13675</v>
      </c>
      <c r="K7194" s="636"/>
      <c r="L7194" s="636" t="s">
        <v>14639</v>
      </c>
    </row>
    <row r="7195" spans="1:12" ht="17.100000000000001" customHeight="1">
      <c r="A7195" s="802" t="s">
        <v>12722</v>
      </c>
      <c r="B7195" s="802"/>
      <c r="C7195" s="802"/>
      <c r="D7195" s="802"/>
      <c r="E7195" s="802"/>
      <c r="F7195" s="802"/>
      <c r="G7195" s="802"/>
      <c r="H7195" s="802"/>
      <c r="I7195" s="612"/>
      <c r="J7195" s="612"/>
      <c r="K7195" s="612"/>
      <c r="L7195" s="612"/>
    </row>
    <row r="7196" spans="1:12" ht="14.25" customHeight="1">
      <c r="A7196" s="612" t="s">
        <v>13679</v>
      </c>
      <c r="B7196" s="636" t="s">
        <v>12698</v>
      </c>
      <c r="C7196" s="612" t="s">
        <v>12699</v>
      </c>
      <c r="D7196" s="612" t="s">
        <v>12700</v>
      </c>
      <c r="E7196" s="637" t="s">
        <v>12702</v>
      </c>
      <c r="F7196" s="801" t="s">
        <v>12704</v>
      </c>
      <c r="G7196" s="801"/>
      <c r="H7196" s="801" t="s">
        <v>13678</v>
      </c>
      <c r="I7196" s="801"/>
      <c r="J7196" s="801" t="s">
        <v>12705</v>
      </c>
      <c r="K7196" s="801"/>
      <c r="L7196" s="801"/>
    </row>
    <row r="7197" spans="1:12" ht="17.100000000000001" customHeight="1">
      <c r="A7197" s="626" t="s">
        <v>12709</v>
      </c>
      <c r="B7197" s="627" t="s">
        <v>12998</v>
      </c>
      <c r="C7197" s="626" t="s">
        <v>8</v>
      </c>
      <c r="D7197" s="626" t="s">
        <v>11861</v>
      </c>
      <c r="E7197" s="628" t="s">
        <v>23</v>
      </c>
      <c r="F7197" s="816" t="s">
        <v>13683</v>
      </c>
      <c r="G7197" s="816"/>
      <c r="H7197" s="816">
        <v>0.25886619999999999</v>
      </c>
      <c r="I7197" s="816"/>
      <c r="J7197" s="817">
        <v>0.18379999999999999</v>
      </c>
      <c r="K7197" s="817"/>
      <c r="L7197" s="817"/>
    </row>
    <row r="7198" spans="1:12" ht="24" customHeight="1">
      <c r="A7198" s="636"/>
      <c r="B7198" s="636"/>
      <c r="C7198" s="636"/>
      <c r="D7198" s="636"/>
      <c r="E7198" s="636"/>
      <c r="F7198" s="636"/>
      <c r="G7198" s="636"/>
      <c r="H7198" s="636"/>
      <c r="I7198" s="636"/>
      <c r="J7198" s="636" t="s">
        <v>13675</v>
      </c>
      <c r="K7198" s="636"/>
      <c r="L7198" s="636" t="s">
        <v>13682</v>
      </c>
    </row>
    <row r="7199" spans="1:12" ht="24" customHeight="1">
      <c r="A7199" s="802" t="s">
        <v>12713</v>
      </c>
      <c r="B7199" s="802"/>
      <c r="C7199" s="802"/>
      <c r="D7199" s="802"/>
      <c r="E7199" s="802"/>
      <c r="F7199" s="802"/>
      <c r="G7199" s="802"/>
      <c r="H7199" s="802"/>
      <c r="I7199" s="612"/>
      <c r="J7199" s="612"/>
      <c r="K7199" s="612"/>
      <c r="L7199" s="612"/>
    </row>
    <row r="7200" spans="1:12" ht="17.100000000000001" customHeight="1">
      <c r="A7200" s="612" t="s">
        <v>13679</v>
      </c>
      <c r="B7200" s="636" t="s">
        <v>12698</v>
      </c>
      <c r="C7200" s="612" t="s">
        <v>12699</v>
      </c>
      <c r="D7200" s="612" t="s">
        <v>12700</v>
      </c>
      <c r="E7200" s="637" t="s">
        <v>12702</v>
      </c>
      <c r="F7200" s="801" t="s">
        <v>12704</v>
      </c>
      <c r="G7200" s="801"/>
      <c r="H7200" s="801" t="s">
        <v>13678</v>
      </c>
      <c r="I7200" s="801"/>
      <c r="J7200" s="801" t="s">
        <v>12705</v>
      </c>
      <c r="K7200" s="801"/>
      <c r="L7200" s="801"/>
    </row>
    <row r="7201" spans="1:12" ht="25.5">
      <c r="A7201" s="626" t="s">
        <v>12709</v>
      </c>
      <c r="B7201" s="627" t="s">
        <v>12999</v>
      </c>
      <c r="C7201" s="626" t="s">
        <v>8</v>
      </c>
      <c r="D7201" s="626" t="s">
        <v>11251</v>
      </c>
      <c r="E7201" s="628" t="s">
        <v>23</v>
      </c>
      <c r="F7201" s="816" t="s">
        <v>13681</v>
      </c>
      <c r="G7201" s="816"/>
      <c r="H7201" s="816">
        <v>0.25886619999999999</v>
      </c>
      <c r="I7201" s="816"/>
      <c r="J7201" s="817">
        <v>1.8100000000000002E-2</v>
      </c>
      <c r="K7201" s="817"/>
      <c r="L7201" s="817"/>
    </row>
    <row r="7202" spans="1:12" ht="17.100000000000001" customHeight="1">
      <c r="A7202" s="636"/>
      <c r="B7202" s="636"/>
      <c r="C7202" s="636"/>
      <c r="D7202" s="636"/>
      <c r="E7202" s="636"/>
      <c r="F7202" s="636"/>
      <c r="G7202" s="636"/>
      <c r="H7202" s="636"/>
      <c r="I7202" s="636"/>
      <c r="J7202" s="636" t="s">
        <v>13675</v>
      </c>
      <c r="K7202" s="636"/>
      <c r="L7202" s="636" t="s">
        <v>13680</v>
      </c>
    </row>
    <row r="7203" spans="1:12" ht="36" customHeight="1">
      <c r="A7203" s="802" t="s">
        <v>12712</v>
      </c>
      <c r="B7203" s="802"/>
      <c r="C7203" s="802"/>
      <c r="D7203" s="802"/>
      <c r="E7203" s="802"/>
      <c r="F7203" s="802"/>
      <c r="G7203" s="802"/>
      <c r="H7203" s="802"/>
      <c r="I7203" s="612"/>
      <c r="J7203" s="612"/>
      <c r="K7203" s="612"/>
      <c r="L7203" s="612"/>
    </row>
    <row r="7204" spans="1:12" ht="24" customHeight="1">
      <c r="A7204" s="612" t="s">
        <v>13679</v>
      </c>
      <c r="B7204" s="636" t="s">
        <v>12698</v>
      </c>
      <c r="C7204" s="612" t="s">
        <v>12699</v>
      </c>
      <c r="D7204" s="612" t="s">
        <v>12700</v>
      </c>
      <c r="E7204" s="637" t="s">
        <v>12702</v>
      </c>
      <c r="F7204" s="801" t="s">
        <v>12704</v>
      </c>
      <c r="G7204" s="801"/>
      <c r="H7204" s="801" t="s">
        <v>13678</v>
      </c>
      <c r="I7204" s="801"/>
      <c r="J7204" s="801" t="s">
        <v>12705</v>
      </c>
      <c r="K7204" s="801"/>
      <c r="L7204" s="801"/>
    </row>
    <row r="7205" spans="1:12" ht="24" customHeight="1">
      <c r="A7205" s="626" t="s">
        <v>12709</v>
      </c>
      <c r="B7205" s="627" t="s">
        <v>13002</v>
      </c>
      <c r="C7205" s="626" t="s">
        <v>8</v>
      </c>
      <c r="D7205" s="626" t="s">
        <v>9306</v>
      </c>
      <c r="E7205" s="628" t="s">
        <v>23</v>
      </c>
      <c r="F7205" s="816" t="s">
        <v>13677</v>
      </c>
      <c r="G7205" s="816"/>
      <c r="H7205" s="816">
        <v>0.25886619999999999</v>
      </c>
      <c r="I7205" s="816"/>
      <c r="J7205" s="817">
        <v>9.06E-2</v>
      </c>
      <c r="K7205" s="817"/>
      <c r="L7205" s="817"/>
    </row>
    <row r="7206" spans="1:12" ht="17.100000000000001" customHeight="1">
      <c r="A7206" s="626" t="s">
        <v>12709</v>
      </c>
      <c r="B7206" s="627" t="s">
        <v>13004</v>
      </c>
      <c r="C7206" s="626" t="s">
        <v>8</v>
      </c>
      <c r="D7206" s="626" t="s">
        <v>7388</v>
      </c>
      <c r="E7206" s="628" t="s">
        <v>23</v>
      </c>
      <c r="F7206" s="816" t="s">
        <v>13676</v>
      </c>
      <c r="G7206" s="816"/>
      <c r="H7206" s="816">
        <v>0.25886619999999999</v>
      </c>
      <c r="I7206" s="816"/>
      <c r="J7206" s="817">
        <v>0.56950000000000001</v>
      </c>
      <c r="K7206" s="817"/>
      <c r="L7206" s="817"/>
    </row>
    <row r="7207" spans="1:12">
      <c r="A7207" s="636"/>
      <c r="B7207" s="636"/>
      <c r="C7207" s="636"/>
      <c r="D7207" s="636"/>
      <c r="E7207" s="636"/>
      <c r="F7207" s="636"/>
      <c r="G7207" s="636"/>
      <c r="H7207" s="636"/>
      <c r="I7207" s="636"/>
      <c r="J7207" s="636" t="s">
        <v>13675</v>
      </c>
      <c r="K7207" s="636"/>
      <c r="L7207" s="636" t="s">
        <v>13732</v>
      </c>
    </row>
    <row r="7208" spans="1:12" ht="17.100000000000001" customHeight="1">
      <c r="A7208" s="612" t="s">
        <v>13673</v>
      </c>
      <c r="B7208" s="612"/>
      <c r="C7208" s="612"/>
      <c r="D7208" s="612"/>
      <c r="E7208" s="612"/>
      <c r="F7208" s="612"/>
      <c r="G7208" s="612"/>
      <c r="H7208" s="612"/>
      <c r="I7208" s="612"/>
      <c r="J7208" s="612"/>
      <c r="K7208" s="612"/>
      <c r="L7208" s="612"/>
    </row>
    <row r="7209" spans="1:12" ht="24" customHeight="1">
      <c r="A7209" s="636"/>
      <c r="B7209" s="636"/>
      <c r="C7209" s="636"/>
      <c r="D7209" s="636"/>
      <c r="E7209" s="636"/>
      <c r="F7209" s="636"/>
      <c r="G7209" s="636"/>
      <c r="H7209" s="636"/>
      <c r="I7209" s="636"/>
      <c r="J7209" s="636" t="s">
        <v>13672</v>
      </c>
      <c r="K7209" s="636"/>
      <c r="L7209" s="636" t="s">
        <v>15374</v>
      </c>
    </row>
    <row r="7210" spans="1:12" ht="17.100000000000001" customHeight="1">
      <c r="A7210" s="636"/>
      <c r="B7210" s="636"/>
      <c r="C7210" s="636"/>
      <c r="D7210" s="636"/>
      <c r="E7210" s="636"/>
      <c r="F7210" s="636"/>
      <c r="G7210" s="636"/>
      <c r="H7210" s="636"/>
      <c r="I7210" s="636"/>
      <c r="J7210" s="636" t="s">
        <v>13671</v>
      </c>
      <c r="K7210" s="636" t="s">
        <v>14461</v>
      </c>
      <c r="L7210" s="636" t="s">
        <v>15375</v>
      </c>
    </row>
    <row r="7211" spans="1:12">
      <c r="A7211" s="636"/>
      <c r="B7211" s="636"/>
      <c r="C7211" s="636"/>
      <c r="D7211" s="636"/>
      <c r="E7211" s="636"/>
      <c r="F7211" s="636"/>
      <c r="G7211" s="636"/>
      <c r="H7211" s="636"/>
      <c r="I7211" s="636"/>
      <c r="J7211" s="636" t="s">
        <v>13670</v>
      </c>
      <c r="K7211" s="636"/>
      <c r="L7211" s="636" t="s">
        <v>15376</v>
      </c>
    </row>
    <row r="7212" spans="1:12" ht="17.100000000000001" customHeight="1">
      <c r="A7212" s="636"/>
      <c r="B7212" s="636"/>
      <c r="C7212" s="636"/>
      <c r="D7212" s="636"/>
      <c r="E7212" s="636"/>
      <c r="F7212" s="636"/>
      <c r="G7212" s="636"/>
      <c r="H7212" s="636"/>
      <c r="I7212" s="636"/>
      <c r="J7212" s="636" t="s">
        <v>13669</v>
      </c>
      <c r="K7212" s="636" t="s">
        <v>13667</v>
      </c>
      <c r="L7212" s="636" t="s">
        <v>15273</v>
      </c>
    </row>
    <row r="7213" spans="1:12" ht="24" customHeight="1">
      <c r="A7213" s="636"/>
      <c r="B7213" s="636"/>
      <c r="C7213" s="636"/>
      <c r="D7213" s="636"/>
      <c r="E7213" s="636"/>
      <c r="F7213" s="636"/>
      <c r="G7213" s="636"/>
      <c r="H7213" s="636"/>
      <c r="I7213" s="636"/>
      <c r="J7213" s="636" t="s">
        <v>13668</v>
      </c>
      <c r="K7213" s="636"/>
      <c r="L7213" s="636" t="s">
        <v>15377</v>
      </c>
    </row>
    <row r="7214" spans="1:12" ht="17.100000000000001" customHeight="1">
      <c r="A7214" s="637"/>
      <c r="B7214" s="637"/>
      <c r="C7214" s="637"/>
      <c r="D7214" s="637"/>
      <c r="E7214" s="637"/>
      <c r="F7214" s="637"/>
      <c r="G7214" s="637"/>
      <c r="H7214" s="637"/>
      <c r="I7214" s="637"/>
      <c r="J7214" s="637"/>
      <c r="K7214" s="637"/>
      <c r="L7214" s="637"/>
    </row>
    <row r="7215" spans="1:12" ht="38.25">
      <c r="A7215" s="616" t="s">
        <v>14002</v>
      </c>
      <c r="B7215" s="617" t="s">
        <v>13480</v>
      </c>
      <c r="C7215" s="616" t="s">
        <v>8</v>
      </c>
      <c r="D7215" s="616" t="s">
        <v>1994</v>
      </c>
      <c r="E7215" s="618" t="s">
        <v>35</v>
      </c>
      <c r="F7215" s="617"/>
      <c r="G7215" s="617"/>
      <c r="H7215" s="617"/>
      <c r="I7215" s="617"/>
      <c r="J7215" s="617"/>
      <c r="K7215" s="617"/>
      <c r="L7215" s="617"/>
    </row>
    <row r="7216" spans="1:12" ht="17.100000000000001" customHeight="1">
      <c r="A7216" s="802" t="s">
        <v>12711</v>
      </c>
      <c r="B7216" s="802"/>
      <c r="C7216" s="802"/>
      <c r="D7216" s="802"/>
      <c r="E7216" s="802"/>
      <c r="F7216" s="802"/>
      <c r="G7216" s="802"/>
      <c r="H7216" s="802"/>
      <c r="I7216" s="612"/>
      <c r="J7216" s="612"/>
      <c r="K7216" s="612"/>
      <c r="L7216" s="612"/>
    </row>
    <row r="7217" spans="1:12" ht="24" customHeight="1">
      <c r="A7217" s="612" t="s">
        <v>13679</v>
      </c>
      <c r="B7217" s="636" t="s">
        <v>12698</v>
      </c>
      <c r="C7217" s="612" t="s">
        <v>12699</v>
      </c>
      <c r="D7217" s="612" t="s">
        <v>12700</v>
      </c>
      <c r="E7217" s="637" t="s">
        <v>12702</v>
      </c>
      <c r="F7217" s="801" t="s">
        <v>12704</v>
      </c>
      <c r="G7217" s="801"/>
      <c r="H7217" s="801" t="s">
        <v>13678</v>
      </c>
      <c r="I7217" s="801"/>
      <c r="J7217" s="801" t="s">
        <v>12705</v>
      </c>
      <c r="K7217" s="801"/>
      <c r="L7217" s="801"/>
    </row>
    <row r="7218" spans="1:12" ht="24" customHeight="1">
      <c r="A7218" s="626" t="s">
        <v>12709</v>
      </c>
      <c r="B7218" s="627" t="s">
        <v>13201</v>
      </c>
      <c r="C7218" s="626" t="s">
        <v>8</v>
      </c>
      <c r="D7218" s="626" t="s">
        <v>9221</v>
      </c>
      <c r="E7218" s="628" t="s">
        <v>23</v>
      </c>
      <c r="F7218" s="816" t="s">
        <v>13705</v>
      </c>
      <c r="G7218" s="816"/>
      <c r="H7218" s="816">
        <v>0.25886619999999999</v>
      </c>
      <c r="I7218" s="816"/>
      <c r="J7218" s="817">
        <v>0.21490000000000001</v>
      </c>
      <c r="K7218" s="817"/>
      <c r="L7218" s="817"/>
    </row>
    <row r="7219" spans="1:12" ht="17.100000000000001" customHeight="1">
      <c r="A7219" s="626" t="s">
        <v>12709</v>
      </c>
      <c r="B7219" s="627" t="s">
        <v>13200</v>
      </c>
      <c r="C7219" s="626" t="s">
        <v>8</v>
      </c>
      <c r="D7219" s="626" t="s">
        <v>9368</v>
      </c>
      <c r="E7219" s="628" t="s">
        <v>23</v>
      </c>
      <c r="F7219" s="816" t="s">
        <v>13704</v>
      </c>
      <c r="G7219" s="816"/>
      <c r="H7219" s="816">
        <v>0.25886619999999999</v>
      </c>
      <c r="I7219" s="816"/>
      <c r="J7219" s="817">
        <v>6.2100000000000002E-2</v>
      </c>
      <c r="K7219" s="817"/>
      <c r="L7219" s="817"/>
    </row>
    <row r="7220" spans="1:12" ht="17.100000000000001" customHeight="1">
      <c r="A7220" s="636"/>
      <c r="B7220" s="636"/>
      <c r="C7220" s="636"/>
      <c r="D7220" s="636"/>
      <c r="E7220" s="636"/>
      <c r="F7220" s="636"/>
      <c r="G7220" s="636"/>
      <c r="H7220" s="636"/>
      <c r="I7220" s="636"/>
      <c r="J7220" s="636" t="s">
        <v>13675</v>
      </c>
      <c r="K7220" s="636"/>
      <c r="L7220" s="636" t="s">
        <v>13762</v>
      </c>
    </row>
    <row r="7221" spans="1:12" ht="17.100000000000001" customHeight="1">
      <c r="A7221" s="802" t="s">
        <v>12710</v>
      </c>
      <c r="B7221" s="802"/>
      <c r="C7221" s="802"/>
      <c r="D7221" s="802"/>
      <c r="E7221" s="802"/>
      <c r="F7221" s="802"/>
      <c r="G7221" s="802"/>
      <c r="H7221" s="802"/>
      <c r="I7221" s="612"/>
      <c r="J7221" s="612"/>
      <c r="K7221" s="612"/>
      <c r="L7221" s="612"/>
    </row>
    <row r="7222" spans="1:12" ht="17.100000000000001" customHeight="1">
      <c r="A7222" s="612" t="s">
        <v>13679</v>
      </c>
      <c r="B7222" s="636" t="s">
        <v>12698</v>
      </c>
      <c r="C7222" s="612" t="s">
        <v>12699</v>
      </c>
      <c r="D7222" s="612" t="s">
        <v>12700</v>
      </c>
      <c r="E7222" s="637" t="s">
        <v>12702</v>
      </c>
      <c r="F7222" s="801" t="s">
        <v>12704</v>
      </c>
      <c r="G7222" s="801"/>
      <c r="H7222" s="801" t="s">
        <v>13678</v>
      </c>
      <c r="I7222" s="801"/>
      <c r="J7222" s="801" t="s">
        <v>12705</v>
      </c>
      <c r="K7222" s="801"/>
      <c r="L7222" s="801"/>
    </row>
    <row r="7223" spans="1:12" ht="17.100000000000001" customHeight="1">
      <c r="A7223" s="626" t="s">
        <v>12709</v>
      </c>
      <c r="B7223" s="627" t="s">
        <v>13220</v>
      </c>
      <c r="C7223" s="626" t="s">
        <v>8</v>
      </c>
      <c r="D7223" s="626" t="s">
        <v>7592</v>
      </c>
      <c r="E7223" s="628" t="s">
        <v>23</v>
      </c>
      <c r="F7223" s="816" t="s">
        <v>13890</v>
      </c>
      <c r="G7223" s="816"/>
      <c r="H7223" s="816">
        <v>0.13149710000000001</v>
      </c>
      <c r="I7223" s="816"/>
      <c r="J7223" s="817">
        <v>0.66539999999999999</v>
      </c>
      <c r="K7223" s="817"/>
      <c r="L7223" s="817"/>
    </row>
    <row r="7224" spans="1:12" ht="17.100000000000001" customHeight="1">
      <c r="A7224" s="626" t="s">
        <v>12709</v>
      </c>
      <c r="B7224" s="627" t="s">
        <v>13202</v>
      </c>
      <c r="C7224" s="626" t="s">
        <v>8</v>
      </c>
      <c r="D7224" s="626" t="s">
        <v>9187</v>
      </c>
      <c r="E7224" s="628" t="s">
        <v>23</v>
      </c>
      <c r="F7224" s="816" t="s">
        <v>14479</v>
      </c>
      <c r="G7224" s="816"/>
      <c r="H7224" s="816">
        <v>0.13149710000000001</v>
      </c>
      <c r="I7224" s="816"/>
      <c r="J7224" s="817">
        <v>0.94020000000000004</v>
      </c>
      <c r="K7224" s="817"/>
      <c r="L7224" s="817"/>
    </row>
    <row r="7225" spans="1:12" ht="17.100000000000001" customHeight="1">
      <c r="A7225" s="636"/>
      <c r="B7225" s="636"/>
      <c r="C7225" s="636"/>
      <c r="D7225" s="636"/>
      <c r="E7225" s="636"/>
      <c r="F7225" s="636"/>
      <c r="G7225" s="636"/>
      <c r="H7225" s="636"/>
      <c r="I7225" s="636"/>
      <c r="J7225" s="636" t="s">
        <v>13675</v>
      </c>
      <c r="K7225" s="636"/>
      <c r="L7225" s="636" t="s">
        <v>14001</v>
      </c>
    </row>
    <row r="7226" spans="1:12" ht="30" customHeight="1">
      <c r="A7226" s="802" t="s">
        <v>12720</v>
      </c>
      <c r="B7226" s="802"/>
      <c r="C7226" s="802"/>
      <c r="D7226" s="802"/>
      <c r="E7226" s="802"/>
      <c r="F7226" s="802"/>
      <c r="G7226" s="802"/>
      <c r="H7226" s="802"/>
      <c r="I7226" s="612"/>
      <c r="J7226" s="612"/>
      <c r="K7226" s="612"/>
      <c r="L7226" s="612"/>
    </row>
    <row r="7227" spans="1:12" ht="24" customHeight="1">
      <c r="A7227" s="612" t="s">
        <v>13679</v>
      </c>
      <c r="B7227" s="636" t="s">
        <v>12698</v>
      </c>
      <c r="C7227" s="612" t="s">
        <v>12699</v>
      </c>
      <c r="D7227" s="612" t="s">
        <v>12700</v>
      </c>
      <c r="E7227" s="637" t="s">
        <v>12702</v>
      </c>
      <c r="F7227" s="801" t="s">
        <v>12704</v>
      </c>
      <c r="G7227" s="801"/>
      <c r="H7227" s="801" t="s">
        <v>13678</v>
      </c>
      <c r="I7227" s="801"/>
      <c r="J7227" s="801" t="s">
        <v>12705</v>
      </c>
      <c r="K7227" s="801"/>
      <c r="L7227" s="801"/>
    </row>
    <row r="7228" spans="1:12" ht="14.25" customHeight="1">
      <c r="A7228" s="626" t="s">
        <v>12709</v>
      </c>
      <c r="B7228" s="627" t="s">
        <v>13462</v>
      </c>
      <c r="C7228" s="626" t="s">
        <v>8</v>
      </c>
      <c r="D7228" s="626" t="s">
        <v>10684</v>
      </c>
      <c r="E7228" s="628" t="s">
        <v>35</v>
      </c>
      <c r="F7228" s="816" t="s">
        <v>14633</v>
      </c>
      <c r="G7228" s="816"/>
      <c r="H7228" s="816">
        <v>0.02</v>
      </c>
      <c r="I7228" s="816"/>
      <c r="J7228" s="817">
        <v>0.57999999999999996</v>
      </c>
      <c r="K7228" s="817"/>
      <c r="L7228" s="817"/>
    </row>
    <row r="7229" spans="1:12" ht="17.100000000000001" customHeight="1">
      <c r="A7229" s="626" t="s">
        <v>12709</v>
      </c>
      <c r="B7229" s="627" t="s">
        <v>13463</v>
      </c>
      <c r="C7229" s="626" t="s">
        <v>8</v>
      </c>
      <c r="D7229" s="626" t="s">
        <v>7398</v>
      </c>
      <c r="E7229" s="628" t="s">
        <v>35</v>
      </c>
      <c r="F7229" s="816" t="s">
        <v>13806</v>
      </c>
      <c r="G7229" s="816"/>
      <c r="H7229" s="816">
        <v>1</v>
      </c>
      <c r="I7229" s="816"/>
      <c r="J7229" s="817">
        <v>1.86</v>
      </c>
      <c r="K7229" s="817"/>
      <c r="L7229" s="817"/>
    </row>
    <row r="7230" spans="1:12" ht="24" customHeight="1">
      <c r="A7230" s="626" t="s">
        <v>12709</v>
      </c>
      <c r="B7230" s="627" t="s">
        <v>13479</v>
      </c>
      <c r="C7230" s="626" t="s">
        <v>8</v>
      </c>
      <c r="D7230" s="626" t="s">
        <v>9758</v>
      </c>
      <c r="E7230" s="628" t="s">
        <v>35</v>
      </c>
      <c r="F7230" s="816" t="s">
        <v>14638</v>
      </c>
      <c r="G7230" s="816"/>
      <c r="H7230" s="816">
        <v>1</v>
      </c>
      <c r="I7230" s="816"/>
      <c r="J7230" s="817">
        <v>1.73</v>
      </c>
      <c r="K7230" s="817"/>
      <c r="L7230" s="817"/>
    </row>
    <row r="7231" spans="1:12" ht="24" customHeight="1">
      <c r="A7231" s="636"/>
      <c r="B7231" s="636"/>
      <c r="C7231" s="636"/>
      <c r="D7231" s="636"/>
      <c r="E7231" s="636"/>
      <c r="F7231" s="636"/>
      <c r="G7231" s="636"/>
      <c r="H7231" s="636"/>
      <c r="I7231" s="636"/>
      <c r="J7231" s="636" t="s">
        <v>13675</v>
      </c>
      <c r="K7231" s="636"/>
      <c r="L7231" s="636" t="s">
        <v>14637</v>
      </c>
    </row>
    <row r="7232" spans="1:12" ht="17.100000000000001" customHeight="1">
      <c r="A7232" s="802" t="s">
        <v>12722</v>
      </c>
      <c r="B7232" s="802"/>
      <c r="C7232" s="802"/>
      <c r="D7232" s="802"/>
      <c r="E7232" s="802"/>
      <c r="F7232" s="802"/>
      <c r="G7232" s="802"/>
      <c r="H7232" s="802"/>
      <c r="I7232" s="612"/>
      <c r="J7232" s="612"/>
      <c r="K7232" s="612"/>
      <c r="L7232" s="612"/>
    </row>
    <row r="7233" spans="1:12" ht="14.25" customHeight="1">
      <c r="A7233" s="612" t="s">
        <v>13679</v>
      </c>
      <c r="B7233" s="636" t="s">
        <v>12698</v>
      </c>
      <c r="C7233" s="612" t="s">
        <v>12699</v>
      </c>
      <c r="D7233" s="612" t="s">
        <v>12700</v>
      </c>
      <c r="E7233" s="637" t="s">
        <v>12702</v>
      </c>
      <c r="F7233" s="801" t="s">
        <v>12704</v>
      </c>
      <c r="G7233" s="801"/>
      <c r="H7233" s="801" t="s">
        <v>13678</v>
      </c>
      <c r="I7233" s="801"/>
      <c r="J7233" s="801" t="s">
        <v>12705</v>
      </c>
      <c r="K7233" s="801"/>
      <c r="L7233" s="801"/>
    </row>
    <row r="7234" spans="1:12" ht="17.100000000000001" customHeight="1">
      <c r="A7234" s="626" t="s">
        <v>12709</v>
      </c>
      <c r="B7234" s="627" t="s">
        <v>12998</v>
      </c>
      <c r="C7234" s="626" t="s">
        <v>8</v>
      </c>
      <c r="D7234" s="626" t="s">
        <v>11861</v>
      </c>
      <c r="E7234" s="628" t="s">
        <v>23</v>
      </c>
      <c r="F7234" s="816" t="s">
        <v>13683</v>
      </c>
      <c r="G7234" s="816"/>
      <c r="H7234" s="816">
        <v>0.25886619999999999</v>
      </c>
      <c r="I7234" s="816"/>
      <c r="J7234" s="817">
        <v>0.18379999999999999</v>
      </c>
      <c r="K7234" s="817"/>
      <c r="L7234" s="817"/>
    </row>
    <row r="7235" spans="1:12" ht="24" customHeight="1">
      <c r="A7235" s="636"/>
      <c r="B7235" s="636"/>
      <c r="C7235" s="636"/>
      <c r="D7235" s="636"/>
      <c r="E7235" s="636"/>
      <c r="F7235" s="636"/>
      <c r="G7235" s="636"/>
      <c r="H7235" s="636"/>
      <c r="I7235" s="636"/>
      <c r="J7235" s="636" t="s">
        <v>13675</v>
      </c>
      <c r="K7235" s="636"/>
      <c r="L7235" s="636" t="s">
        <v>13682</v>
      </c>
    </row>
    <row r="7236" spans="1:12" ht="17.100000000000001" customHeight="1">
      <c r="A7236" s="802" t="s">
        <v>12713</v>
      </c>
      <c r="B7236" s="802"/>
      <c r="C7236" s="802"/>
      <c r="D7236" s="802"/>
      <c r="E7236" s="802"/>
      <c r="F7236" s="802"/>
      <c r="G7236" s="802"/>
      <c r="H7236" s="802"/>
      <c r="I7236" s="612"/>
      <c r="J7236" s="612"/>
      <c r="K7236" s="612"/>
      <c r="L7236" s="612"/>
    </row>
    <row r="7237" spans="1:12">
      <c r="A7237" s="612" t="s">
        <v>13679</v>
      </c>
      <c r="B7237" s="636" t="s">
        <v>12698</v>
      </c>
      <c r="C7237" s="612" t="s">
        <v>12699</v>
      </c>
      <c r="D7237" s="612" t="s">
        <v>12700</v>
      </c>
      <c r="E7237" s="637" t="s">
        <v>12702</v>
      </c>
      <c r="F7237" s="801" t="s">
        <v>12704</v>
      </c>
      <c r="G7237" s="801"/>
      <c r="H7237" s="801" t="s">
        <v>13678</v>
      </c>
      <c r="I7237" s="801"/>
      <c r="J7237" s="801" t="s">
        <v>12705</v>
      </c>
      <c r="K7237" s="801"/>
      <c r="L7237" s="801"/>
    </row>
    <row r="7238" spans="1:12" ht="17.100000000000001" customHeight="1">
      <c r="A7238" s="626" t="s">
        <v>12709</v>
      </c>
      <c r="B7238" s="627" t="s">
        <v>12999</v>
      </c>
      <c r="C7238" s="626" t="s">
        <v>8</v>
      </c>
      <c r="D7238" s="626" t="s">
        <v>11251</v>
      </c>
      <c r="E7238" s="628" t="s">
        <v>23</v>
      </c>
      <c r="F7238" s="816" t="s">
        <v>13681</v>
      </c>
      <c r="G7238" s="816"/>
      <c r="H7238" s="816">
        <v>0.25886619999999999</v>
      </c>
      <c r="I7238" s="816"/>
      <c r="J7238" s="817">
        <v>1.8100000000000002E-2</v>
      </c>
      <c r="K7238" s="817"/>
      <c r="L7238" s="817"/>
    </row>
    <row r="7239" spans="1:12" ht="24" customHeight="1">
      <c r="A7239" s="636"/>
      <c r="B7239" s="636"/>
      <c r="C7239" s="636"/>
      <c r="D7239" s="636"/>
      <c r="E7239" s="636"/>
      <c r="F7239" s="636"/>
      <c r="G7239" s="636"/>
      <c r="H7239" s="636"/>
      <c r="I7239" s="636"/>
      <c r="J7239" s="636" t="s">
        <v>13675</v>
      </c>
      <c r="K7239" s="636"/>
      <c r="L7239" s="636" t="s">
        <v>13680</v>
      </c>
    </row>
    <row r="7240" spans="1:12" ht="17.100000000000001" customHeight="1">
      <c r="A7240" s="802" t="s">
        <v>12712</v>
      </c>
      <c r="B7240" s="802"/>
      <c r="C7240" s="802"/>
      <c r="D7240" s="802"/>
      <c r="E7240" s="802"/>
      <c r="F7240" s="802"/>
      <c r="G7240" s="802"/>
      <c r="H7240" s="802"/>
      <c r="I7240" s="612"/>
      <c r="J7240" s="612"/>
      <c r="K7240" s="612"/>
      <c r="L7240" s="612"/>
    </row>
    <row r="7241" spans="1:12">
      <c r="A7241" s="612" t="s">
        <v>13679</v>
      </c>
      <c r="B7241" s="636" t="s">
        <v>12698</v>
      </c>
      <c r="C7241" s="612" t="s">
        <v>12699</v>
      </c>
      <c r="D7241" s="612" t="s">
        <v>12700</v>
      </c>
      <c r="E7241" s="637" t="s">
        <v>12702</v>
      </c>
      <c r="F7241" s="801" t="s">
        <v>12704</v>
      </c>
      <c r="G7241" s="801"/>
      <c r="H7241" s="801" t="s">
        <v>13678</v>
      </c>
      <c r="I7241" s="801"/>
      <c r="J7241" s="801" t="s">
        <v>12705</v>
      </c>
      <c r="K7241" s="801"/>
      <c r="L7241" s="801"/>
    </row>
    <row r="7242" spans="1:12" ht="17.100000000000001" customHeight="1">
      <c r="A7242" s="626" t="s">
        <v>12709</v>
      </c>
      <c r="B7242" s="627" t="s">
        <v>13002</v>
      </c>
      <c r="C7242" s="626" t="s">
        <v>8</v>
      </c>
      <c r="D7242" s="626" t="s">
        <v>9306</v>
      </c>
      <c r="E7242" s="628" t="s">
        <v>23</v>
      </c>
      <c r="F7242" s="816" t="s">
        <v>13677</v>
      </c>
      <c r="G7242" s="816"/>
      <c r="H7242" s="816">
        <v>0.25886619999999999</v>
      </c>
      <c r="I7242" s="816"/>
      <c r="J7242" s="817">
        <v>9.06E-2</v>
      </c>
      <c r="K7242" s="817"/>
      <c r="L7242" s="817"/>
    </row>
    <row r="7243" spans="1:12" ht="24" customHeight="1">
      <c r="A7243" s="626" t="s">
        <v>12709</v>
      </c>
      <c r="B7243" s="627" t="s">
        <v>13004</v>
      </c>
      <c r="C7243" s="626" t="s">
        <v>8</v>
      </c>
      <c r="D7243" s="626" t="s">
        <v>7388</v>
      </c>
      <c r="E7243" s="628" t="s">
        <v>23</v>
      </c>
      <c r="F7243" s="816" t="s">
        <v>13676</v>
      </c>
      <c r="G7243" s="816"/>
      <c r="H7243" s="816">
        <v>0.25886619999999999</v>
      </c>
      <c r="I7243" s="816"/>
      <c r="J7243" s="817">
        <v>0.56950000000000001</v>
      </c>
      <c r="K7243" s="817"/>
      <c r="L7243" s="817"/>
    </row>
    <row r="7244" spans="1:12" ht="17.100000000000001" customHeight="1">
      <c r="A7244" s="636"/>
      <c r="B7244" s="636"/>
      <c r="C7244" s="636"/>
      <c r="D7244" s="636"/>
      <c r="E7244" s="636"/>
      <c r="F7244" s="636"/>
      <c r="G7244" s="636"/>
      <c r="H7244" s="636"/>
      <c r="I7244" s="636"/>
      <c r="J7244" s="636" t="s">
        <v>13675</v>
      </c>
      <c r="K7244" s="636"/>
      <c r="L7244" s="636" t="s">
        <v>13732</v>
      </c>
    </row>
    <row r="7245" spans="1:12">
      <c r="A7245" s="612" t="s">
        <v>13673</v>
      </c>
      <c r="B7245" s="612"/>
      <c r="C7245" s="612"/>
      <c r="D7245" s="612"/>
      <c r="E7245" s="612"/>
      <c r="F7245" s="612"/>
      <c r="G7245" s="612"/>
      <c r="H7245" s="612"/>
      <c r="I7245" s="612"/>
      <c r="J7245" s="612"/>
      <c r="K7245" s="612"/>
      <c r="L7245" s="612"/>
    </row>
    <row r="7246" spans="1:12" ht="17.100000000000001" customHeight="1">
      <c r="A7246" s="636"/>
      <c r="B7246" s="636"/>
      <c r="C7246" s="636"/>
      <c r="D7246" s="636"/>
      <c r="E7246" s="636"/>
      <c r="F7246" s="636"/>
      <c r="G7246" s="636"/>
      <c r="H7246" s="636"/>
      <c r="I7246" s="636"/>
      <c r="J7246" s="636" t="s">
        <v>13672</v>
      </c>
      <c r="K7246" s="636"/>
      <c r="L7246" s="636" t="s">
        <v>15381</v>
      </c>
    </row>
    <row r="7247" spans="1:12" ht="24" customHeight="1">
      <c r="A7247" s="636"/>
      <c r="B7247" s="636"/>
      <c r="C7247" s="636"/>
      <c r="D7247" s="636"/>
      <c r="E7247" s="636"/>
      <c r="F7247" s="636"/>
      <c r="G7247" s="636"/>
      <c r="H7247" s="636"/>
      <c r="I7247" s="636"/>
      <c r="J7247" s="636" t="s">
        <v>13671</v>
      </c>
      <c r="K7247" s="636" t="s">
        <v>14461</v>
      </c>
      <c r="L7247" s="636" t="s">
        <v>15375</v>
      </c>
    </row>
    <row r="7248" spans="1:12" ht="24" customHeight="1">
      <c r="A7248" s="636"/>
      <c r="B7248" s="636"/>
      <c r="C7248" s="636"/>
      <c r="D7248" s="636"/>
      <c r="E7248" s="636"/>
      <c r="F7248" s="636"/>
      <c r="G7248" s="636"/>
      <c r="H7248" s="636"/>
      <c r="I7248" s="636"/>
      <c r="J7248" s="636" t="s">
        <v>13670</v>
      </c>
      <c r="K7248" s="636"/>
      <c r="L7248" s="636" t="s">
        <v>15236</v>
      </c>
    </row>
    <row r="7249" spans="1:12" ht="17.100000000000001" customHeight="1">
      <c r="A7249" s="636"/>
      <c r="B7249" s="636"/>
      <c r="C7249" s="636"/>
      <c r="D7249" s="636"/>
      <c r="E7249" s="636"/>
      <c r="F7249" s="636"/>
      <c r="G7249" s="636"/>
      <c r="H7249" s="636"/>
      <c r="I7249" s="636"/>
      <c r="J7249" s="636" t="s">
        <v>13669</v>
      </c>
      <c r="K7249" s="636" t="s">
        <v>13667</v>
      </c>
      <c r="L7249" s="636" t="s">
        <v>15009</v>
      </c>
    </row>
    <row r="7250" spans="1:12" ht="17.100000000000001" customHeight="1">
      <c r="A7250" s="636"/>
      <c r="B7250" s="636"/>
      <c r="C7250" s="636"/>
      <c r="D7250" s="636"/>
      <c r="E7250" s="636"/>
      <c r="F7250" s="636"/>
      <c r="G7250" s="636"/>
      <c r="H7250" s="636"/>
      <c r="I7250" s="636"/>
      <c r="J7250" s="636" t="s">
        <v>13668</v>
      </c>
      <c r="K7250" s="636"/>
      <c r="L7250" s="636" t="s">
        <v>15382</v>
      </c>
    </row>
    <row r="7251" spans="1:12" ht="17.100000000000001" customHeight="1">
      <c r="A7251" s="637"/>
      <c r="B7251" s="637"/>
      <c r="C7251" s="637"/>
      <c r="D7251" s="637"/>
      <c r="E7251" s="637"/>
      <c r="F7251" s="637"/>
      <c r="G7251" s="637"/>
      <c r="H7251" s="637"/>
      <c r="I7251" s="637"/>
      <c r="J7251" s="637"/>
      <c r="K7251" s="637"/>
      <c r="L7251" s="637"/>
    </row>
    <row r="7252" spans="1:12" ht="17.100000000000001" customHeight="1">
      <c r="A7252" s="616" t="s">
        <v>14000</v>
      </c>
      <c r="B7252" s="617" t="s">
        <v>13469</v>
      </c>
      <c r="C7252" s="616" t="s">
        <v>8</v>
      </c>
      <c r="D7252" s="616" t="s">
        <v>1977</v>
      </c>
      <c r="E7252" s="618" t="s">
        <v>17</v>
      </c>
      <c r="F7252" s="617"/>
      <c r="G7252" s="617"/>
      <c r="H7252" s="617"/>
      <c r="I7252" s="617"/>
      <c r="J7252" s="617"/>
      <c r="K7252" s="617"/>
      <c r="L7252" s="617"/>
    </row>
    <row r="7253" spans="1:12" ht="17.100000000000001" customHeight="1">
      <c r="A7253" s="802" t="s">
        <v>12711</v>
      </c>
      <c r="B7253" s="802"/>
      <c r="C7253" s="802"/>
      <c r="D7253" s="802"/>
      <c r="E7253" s="802"/>
      <c r="F7253" s="802"/>
      <c r="G7253" s="802"/>
      <c r="H7253" s="802"/>
      <c r="I7253" s="612"/>
      <c r="J7253" s="612"/>
      <c r="K7253" s="612"/>
      <c r="L7253" s="612"/>
    </row>
    <row r="7254" spans="1:12" ht="17.100000000000001" customHeight="1">
      <c r="A7254" s="612" t="s">
        <v>13679</v>
      </c>
      <c r="B7254" s="636" t="s">
        <v>12698</v>
      </c>
      <c r="C7254" s="612" t="s">
        <v>12699</v>
      </c>
      <c r="D7254" s="612" t="s">
        <v>12700</v>
      </c>
      <c r="E7254" s="637" t="s">
        <v>12702</v>
      </c>
      <c r="F7254" s="801" t="s">
        <v>12704</v>
      </c>
      <c r="G7254" s="801"/>
      <c r="H7254" s="801" t="s">
        <v>13678</v>
      </c>
      <c r="I7254" s="801"/>
      <c r="J7254" s="801" t="s">
        <v>12705</v>
      </c>
      <c r="K7254" s="801"/>
      <c r="L7254" s="801"/>
    </row>
    <row r="7255" spans="1:12" ht="17.100000000000001" customHeight="1">
      <c r="A7255" s="626" t="s">
        <v>12709</v>
      </c>
      <c r="B7255" s="627" t="s">
        <v>13201</v>
      </c>
      <c r="C7255" s="626" t="s">
        <v>8</v>
      </c>
      <c r="D7255" s="626" t="s">
        <v>9221</v>
      </c>
      <c r="E7255" s="628" t="s">
        <v>23</v>
      </c>
      <c r="F7255" s="816" t="s">
        <v>13705</v>
      </c>
      <c r="G7255" s="816"/>
      <c r="H7255" s="816">
        <v>0.75790789999999997</v>
      </c>
      <c r="I7255" s="816"/>
      <c r="J7255" s="817">
        <v>0.62909999999999999</v>
      </c>
      <c r="K7255" s="817"/>
      <c r="L7255" s="817"/>
    </row>
    <row r="7256" spans="1:12" ht="30" customHeight="1">
      <c r="A7256" s="626" t="s">
        <v>12709</v>
      </c>
      <c r="B7256" s="627" t="s">
        <v>13200</v>
      </c>
      <c r="C7256" s="626" t="s">
        <v>8</v>
      </c>
      <c r="D7256" s="626" t="s">
        <v>9368</v>
      </c>
      <c r="E7256" s="628" t="s">
        <v>23</v>
      </c>
      <c r="F7256" s="816" t="s">
        <v>13704</v>
      </c>
      <c r="G7256" s="816"/>
      <c r="H7256" s="816">
        <v>0.75790789999999997</v>
      </c>
      <c r="I7256" s="816"/>
      <c r="J7256" s="817">
        <v>0.18190000000000001</v>
      </c>
      <c r="K7256" s="817"/>
      <c r="L7256" s="817"/>
    </row>
    <row r="7257" spans="1:12" ht="24" customHeight="1">
      <c r="A7257" s="636"/>
      <c r="B7257" s="636"/>
      <c r="C7257" s="636"/>
      <c r="D7257" s="636"/>
      <c r="E7257" s="636"/>
      <c r="F7257" s="636"/>
      <c r="G7257" s="636"/>
      <c r="H7257" s="636"/>
      <c r="I7257" s="636"/>
      <c r="J7257" s="636" t="s">
        <v>13675</v>
      </c>
      <c r="K7257" s="636"/>
      <c r="L7257" s="636" t="s">
        <v>13999</v>
      </c>
    </row>
    <row r="7258" spans="1:12" ht="14.25" customHeight="1">
      <c r="A7258" s="802" t="s">
        <v>12710</v>
      </c>
      <c r="B7258" s="802"/>
      <c r="C7258" s="802"/>
      <c r="D7258" s="802"/>
      <c r="E7258" s="802"/>
      <c r="F7258" s="802"/>
      <c r="G7258" s="802"/>
      <c r="H7258" s="802"/>
      <c r="I7258" s="612"/>
      <c r="J7258" s="612"/>
      <c r="K7258" s="612"/>
      <c r="L7258" s="612"/>
    </row>
    <row r="7259" spans="1:12" ht="17.100000000000001" customHeight="1">
      <c r="A7259" s="612" t="s">
        <v>13679</v>
      </c>
      <c r="B7259" s="636" t="s">
        <v>12698</v>
      </c>
      <c r="C7259" s="612" t="s">
        <v>12699</v>
      </c>
      <c r="D7259" s="612" t="s">
        <v>12700</v>
      </c>
      <c r="E7259" s="637" t="s">
        <v>12702</v>
      </c>
      <c r="F7259" s="801" t="s">
        <v>12704</v>
      </c>
      <c r="G7259" s="801"/>
      <c r="H7259" s="801" t="s">
        <v>13678</v>
      </c>
      <c r="I7259" s="801"/>
      <c r="J7259" s="801" t="s">
        <v>12705</v>
      </c>
      <c r="K7259" s="801"/>
      <c r="L7259" s="801"/>
    </row>
    <row r="7260" spans="1:12" ht="24" customHeight="1">
      <c r="A7260" s="626" t="s">
        <v>12709</v>
      </c>
      <c r="B7260" s="627" t="s">
        <v>13220</v>
      </c>
      <c r="C7260" s="626" t="s">
        <v>8</v>
      </c>
      <c r="D7260" s="626" t="s">
        <v>7592</v>
      </c>
      <c r="E7260" s="628" t="s">
        <v>23</v>
      </c>
      <c r="F7260" s="816" t="s">
        <v>13890</v>
      </c>
      <c r="G7260" s="816"/>
      <c r="H7260" s="816">
        <v>0.38386510000000001</v>
      </c>
      <c r="I7260" s="816"/>
      <c r="J7260" s="817">
        <v>1.9423999999999999</v>
      </c>
      <c r="K7260" s="817"/>
      <c r="L7260" s="817"/>
    </row>
    <row r="7261" spans="1:12" ht="24" customHeight="1">
      <c r="A7261" s="626" t="s">
        <v>12709</v>
      </c>
      <c r="B7261" s="627" t="s">
        <v>13202</v>
      </c>
      <c r="C7261" s="626" t="s">
        <v>8</v>
      </c>
      <c r="D7261" s="626" t="s">
        <v>9187</v>
      </c>
      <c r="E7261" s="628" t="s">
        <v>23</v>
      </c>
      <c r="F7261" s="816" t="s">
        <v>14479</v>
      </c>
      <c r="G7261" s="816"/>
      <c r="H7261" s="816">
        <v>0.38386510000000001</v>
      </c>
      <c r="I7261" s="816"/>
      <c r="J7261" s="817">
        <v>2.7446000000000002</v>
      </c>
      <c r="K7261" s="817"/>
      <c r="L7261" s="817"/>
    </row>
    <row r="7262" spans="1:12" ht="17.100000000000001" customHeight="1">
      <c r="A7262" s="636"/>
      <c r="B7262" s="636"/>
      <c r="C7262" s="636"/>
      <c r="D7262" s="636"/>
      <c r="E7262" s="636"/>
      <c r="F7262" s="636"/>
      <c r="G7262" s="636"/>
      <c r="H7262" s="636"/>
      <c r="I7262" s="636"/>
      <c r="J7262" s="636" t="s">
        <v>13675</v>
      </c>
      <c r="K7262" s="636"/>
      <c r="L7262" s="636" t="s">
        <v>14573</v>
      </c>
    </row>
    <row r="7263" spans="1:12" ht="14.25" customHeight="1">
      <c r="A7263" s="802" t="s">
        <v>12720</v>
      </c>
      <c r="B7263" s="802"/>
      <c r="C7263" s="802"/>
      <c r="D7263" s="802"/>
      <c r="E7263" s="802"/>
      <c r="F7263" s="802"/>
      <c r="G7263" s="802"/>
      <c r="H7263" s="802"/>
      <c r="I7263" s="612"/>
      <c r="J7263" s="612"/>
      <c r="K7263" s="612"/>
      <c r="L7263" s="612"/>
    </row>
    <row r="7264" spans="1:12" ht="17.100000000000001" customHeight="1">
      <c r="A7264" s="612" t="s">
        <v>13679</v>
      </c>
      <c r="B7264" s="636" t="s">
        <v>12698</v>
      </c>
      <c r="C7264" s="612" t="s">
        <v>12699</v>
      </c>
      <c r="D7264" s="612" t="s">
        <v>12700</v>
      </c>
      <c r="E7264" s="637" t="s">
        <v>12702</v>
      </c>
      <c r="F7264" s="801" t="s">
        <v>12704</v>
      </c>
      <c r="G7264" s="801"/>
      <c r="H7264" s="801" t="s">
        <v>13678</v>
      </c>
      <c r="I7264" s="801"/>
      <c r="J7264" s="801" t="s">
        <v>12705</v>
      </c>
      <c r="K7264" s="801"/>
      <c r="L7264" s="801"/>
    </row>
    <row r="7265" spans="1:12" ht="24" customHeight="1">
      <c r="A7265" s="626" t="s">
        <v>12709</v>
      </c>
      <c r="B7265" s="627" t="s">
        <v>13467</v>
      </c>
      <c r="C7265" s="626" t="s">
        <v>8</v>
      </c>
      <c r="D7265" s="626" t="s">
        <v>9987</v>
      </c>
      <c r="E7265" s="628" t="s">
        <v>35</v>
      </c>
      <c r="F7265" s="816" t="s">
        <v>13998</v>
      </c>
      <c r="G7265" s="816"/>
      <c r="H7265" s="816">
        <v>0.127</v>
      </c>
      <c r="I7265" s="816"/>
      <c r="J7265" s="817">
        <v>0.24</v>
      </c>
      <c r="K7265" s="817"/>
      <c r="L7265" s="817"/>
    </row>
    <row r="7266" spans="1:12" ht="17.100000000000001" customHeight="1">
      <c r="A7266" s="626" t="s">
        <v>12709</v>
      </c>
      <c r="B7266" s="627" t="s">
        <v>13466</v>
      </c>
      <c r="C7266" s="626" t="s">
        <v>8</v>
      </c>
      <c r="D7266" s="626" t="s">
        <v>11315</v>
      </c>
      <c r="E7266" s="628" t="s">
        <v>35</v>
      </c>
      <c r="F7266" s="816" t="s">
        <v>14636</v>
      </c>
      <c r="G7266" s="816"/>
      <c r="H7266" s="816">
        <v>1.6299999999999999E-2</v>
      </c>
      <c r="I7266" s="816"/>
      <c r="J7266" s="817">
        <v>1.1299999999999999</v>
      </c>
      <c r="K7266" s="817"/>
      <c r="L7266" s="817"/>
    </row>
    <row r="7267" spans="1:12" ht="25.5">
      <c r="A7267" s="626" t="s">
        <v>12709</v>
      </c>
      <c r="B7267" s="627" t="s">
        <v>13468</v>
      </c>
      <c r="C7267" s="626" t="s">
        <v>8</v>
      </c>
      <c r="D7267" s="626" t="s">
        <v>7343</v>
      </c>
      <c r="E7267" s="628" t="s">
        <v>35</v>
      </c>
      <c r="F7267" s="816" t="s">
        <v>14635</v>
      </c>
      <c r="G7267" s="816"/>
      <c r="H7267" s="816">
        <v>1.0800000000000001E-2</v>
      </c>
      <c r="I7267" s="816"/>
      <c r="J7267" s="817">
        <v>0.86</v>
      </c>
      <c r="K7267" s="817"/>
      <c r="L7267" s="817"/>
    </row>
    <row r="7268" spans="1:12" ht="17.100000000000001" customHeight="1">
      <c r="A7268" s="626" t="s">
        <v>12709</v>
      </c>
      <c r="B7268" s="627" t="s">
        <v>13465</v>
      </c>
      <c r="C7268" s="626" t="s">
        <v>8</v>
      </c>
      <c r="D7268" s="626" t="s">
        <v>12166</v>
      </c>
      <c r="E7268" s="628" t="s">
        <v>17</v>
      </c>
      <c r="F7268" s="816" t="s">
        <v>14203</v>
      </c>
      <c r="G7268" s="816"/>
      <c r="H7268" s="816">
        <v>1.05</v>
      </c>
      <c r="I7268" s="816"/>
      <c r="J7268" s="817">
        <v>6.48</v>
      </c>
      <c r="K7268" s="817"/>
      <c r="L7268" s="817"/>
    </row>
    <row r="7269" spans="1:12" ht="24" customHeight="1">
      <c r="A7269" s="636"/>
      <c r="B7269" s="636"/>
      <c r="C7269" s="636"/>
      <c r="D7269" s="636"/>
      <c r="E7269" s="636"/>
      <c r="F7269" s="636"/>
      <c r="G7269" s="636"/>
      <c r="H7269" s="636"/>
      <c r="I7269" s="636"/>
      <c r="J7269" s="636" t="s">
        <v>13675</v>
      </c>
      <c r="K7269" s="636"/>
      <c r="L7269" s="636" t="s">
        <v>14634</v>
      </c>
    </row>
    <row r="7270" spans="1:12" ht="17.100000000000001" customHeight="1">
      <c r="A7270" s="802" t="s">
        <v>12722</v>
      </c>
      <c r="B7270" s="802"/>
      <c r="C7270" s="802"/>
      <c r="D7270" s="802"/>
      <c r="E7270" s="802"/>
      <c r="F7270" s="802"/>
      <c r="G7270" s="802"/>
      <c r="H7270" s="802"/>
      <c r="I7270" s="612"/>
      <c r="J7270" s="612"/>
      <c r="K7270" s="612"/>
      <c r="L7270" s="612"/>
    </row>
    <row r="7271" spans="1:12">
      <c r="A7271" s="612" t="s">
        <v>13679</v>
      </c>
      <c r="B7271" s="636" t="s">
        <v>12698</v>
      </c>
      <c r="C7271" s="612" t="s">
        <v>12699</v>
      </c>
      <c r="D7271" s="612" t="s">
        <v>12700</v>
      </c>
      <c r="E7271" s="637" t="s">
        <v>12702</v>
      </c>
      <c r="F7271" s="801" t="s">
        <v>12704</v>
      </c>
      <c r="G7271" s="801"/>
      <c r="H7271" s="801" t="s">
        <v>13678</v>
      </c>
      <c r="I7271" s="801"/>
      <c r="J7271" s="801" t="s">
        <v>12705</v>
      </c>
      <c r="K7271" s="801"/>
      <c r="L7271" s="801"/>
    </row>
    <row r="7272" spans="1:12" ht="17.100000000000001" customHeight="1">
      <c r="A7272" s="626" t="s">
        <v>12709</v>
      </c>
      <c r="B7272" s="627" t="s">
        <v>12998</v>
      </c>
      <c r="C7272" s="626" t="s">
        <v>8</v>
      </c>
      <c r="D7272" s="626" t="s">
        <v>11861</v>
      </c>
      <c r="E7272" s="628" t="s">
        <v>23</v>
      </c>
      <c r="F7272" s="816" t="s">
        <v>13683</v>
      </c>
      <c r="G7272" s="816"/>
      <c r="H7272" s="816">
        <v>0.75790789999999997</v>
      </c>
      <c r="I7272" s="816"/>
      <c r="J7272" s="817">
        <v>0.53810000000000002</v>
      </c>
      <c r="K7272" s="817"/>
      <c r="L7272" s="817"/>
    </row>
    <row r="7273" spans="1:12" ht="24" customHeight="1">
      <c r="A7273" s="636"/>
      <c r="B7273" s="636"/>
      <c r="C7273" s="636"/>
      <c r="D7273" s="636"/>
      <c r="E7273" s="636"/>
      <c r="F7273" s="636"/>
      <c r="G7273" s="636"/>
      <c r="H7273" s="636"/>
      <c r="I7273" s="636"/>
      <c r="J7273" s="636" t="s">
        <v>13675</v>
      </c>
      <c r="K7273" s="636"/>
      <c r="L7273" s="636" t="s">
        <v>13872</v>
      </c>
    </row>
    <row r="7274" spans="1:12" ht="17.100000000000001" customHeight="1">
      <c r="A7274" s="802" t="s">
        <v>12713</v>
      </c>
      <c r="B7274" s="802"/>
      <c r="C7274" s="802"/>
      <c r="D7274" s="802"/>
      <c r="E7274" s="802"/>
      <c r="F7274" s="802"/>
      <c r="G7274" s="802"/>
      <c r="H7274" s="802"/>
      <c r="I7274" s="612"/>
      <c r="J7274" s="612"/>
      <c r="K7274" s="612"/>
      <c r="L7274" s="612"/>
    </row>
    <row r="7275" spans="1:12">
      <c r="A7275" s="612" t="s">
        <v>13679</v>
      </c>
      <c r="B7275" s="636" t="s">
        <v>12698</v>
      </c>
      <c r="C7275" s="612" t="s">
        <v>12699</v>
      </c>
      <c r="D7275" s="612" t="s">
        <v>12700</v>
      </c>
      <c r="E7275" s="637" t="s">
        <v>12702</v>
      </c>
      <c r="F7275" s="801" t="s">
        <v>12704</v>
      </c>
      <c r="G7275" s="801"/>
      <c r="H7275" s="801" t="s">
        <v>13678</v>
      </c>
      <c r="I7275" s="801"/>
      <c r="J7275" s="801" t="s">
        <v>12705</v>
      </c>
      <c r="K7275" s="801"/>
      <c r="L7275" s="801"/>
    </row>
    <row r="7276" spans="1:12" ht="17.100000000000001" customHeight="1">
      <c r="A7276" s="626" t="s">
        <v>12709</v>
      </c>
      <c r="B7276" s="627" t="s">
        <v>12999</v>
      </c>
      <c r="C7276" s="626" t="s">
        <v>8</v>
      </c>
      <c r="D7276" s="626" t="s">
        <v>11251</v>
      </c>
      <c r="E7276" s="628" t="s">
        <v>23</v>
      </c>
      <c r="F7276" s="816" t="s">
        <v>13681</v>
      </c>
      <c r="G7276" s="816"/>
      <c r="H7276" s="816">
        <v>0.75790789999999997</v>
      </c>
      <c r="I7276" s="816"/>
      <c r="J7276" s="817">
        <v>5.3100000000000001E-2</v>
      </c>
      <c r="K7276" s="817"/>
      <c r="L7276" s="817"/>
    </row>
    <row r="7277" spans="1:12" ht="24" customHeight="1">
      <c r="A7277" s="636"/>
      <c r="B7277" s="636"/>
      <c r="C7277" s="636"/>
      <c r="D7277" s="636"/>
      <c r="E7277" s="636"/>
      <c r="F7277" s="636"/>
      <c r="G7277" s="636"/>
      <c r="H7277" s="636"/>
      <c r="I7277" s="636"/>
      <c r="J7277" s="636" t="s">
        <v>13675</v>
      </c>
      <c r="K7277" s="636"/>
      <c r="L7277" s="636" t="s">
        <v>13767</v>
      </c>
    </row>
    <row r="7278" spans="1:12" ht="24" customHeight="1">
      <c r="A7278" s="802" t="s">
        <v>12712</v>
      </c>
      <c r="B7278" s="802"/>
      <c r="C7278" s="802"/>
      <c r="D7278" s="802"/>
      <c r="E7278" s="802"/>
      <c r="F7278" s="802"/>
      <c r="G7278" s="802"/>
      <c r="H7278" s="802"/>
      <c r="I7278" s="612"/>
      <c r="J7278" s="612"/>
      <c r="K7278" s="612"/>
      <c r="L7278" s="612"/>
    </row>
    <row r="7279" spans="1:12" ht="17.100000000000001" customHeight="1">
      <c r="A7279" s="612" t="s">
        <v>13679</v>
      </c>
      <c r="B7279" s="636" t="s">
        <v>12698</v>
      </c>
      <c r="C7279" s="612" t="s">
        <v>12699</v>
      </c>
      <c r="D7279" s="612" t="s">
        <v>12700</v>
      </c>
      <c r="E7279" s="637" t="s">
        <v>12702</v>
      </c>
      <c r="F7279" s="801" t="s">
        <v>12704</v>
      </c>
      <c r="G7279" s="801"/>
      <c r="H7279" s="801" t="s">
        <v>13678</v>
      </c>
      <c r="I7279" s="801"/>
      <c r="J7279" s="801" t="s">
        <v>12705</v>
      </c>
      <c r="K7279" s="801"/>
      <c r="L7279" s="801"/>
    </row>
    <row r="7280" spans="1:12" ht="17.100000000000001" customHeight="1">
      <c r="A7280" s="626" t="s">
        <v>12709</v>
      </c>
      <c r="B7280" s="627" t="s">
        <v>13002</v>
      </c>
      <c r="C7280" s="626" t="s">
        <v>8</v>
      </c>
      <c r="D7280" s="626" t="s">
        <v>9306</v>
      </c>
      <c r="E7280" s="628" t="s">
        <v>23</v>
      </c>
      <c r="F7280" s="816" t="s">
        <v>13677</v>
      </c>
      <c r="G7280" s="816"/>
      <c r="H7280" s="816">
        <v>0.75790789999999997</v>
      </c>
      <c r="I7280" s="816"/>
      <c r="J7280" s="817">
        <v>0.26529999999999998</v>
      </c>
      <c r="K7280" s="817"/>
      <c r="L7280" s="817"/>
    </row>
    <row r="7281" spans="1:12" ht="17.100000000000001" customHeight="1">
      <c r="A7281" s="626" t="s">
        <v>12709</v>
      </c>
      <c r="B7281" s="627" t="s">
        <v>13004</v>
      </c>
      <c r="C7281" s="626" t="s">
        <v>8</v>
      </c>
      <c r="D7281" s="626" t="s">
        <v>7388</v>
      </c>
      <c r="E7281" s="628" t="s">
        <v>23</v>
      </c>
      <c r="F7281" s="816" t="s">
        <v>13676</v>
      </c>
      <c r="G7281" s="816"/>
      <c r="H7281" s="816">
        <v>0.75790789999999997</v>
      </c>
      <c r="I7281" s="816"/>
      <c r="J7281" s="817">
        <v>1.6674</v>
      </c>
      <c r="K7281" s="817"/>
      <c r="L7281" s="817"/>
    </row>
    <row r="7282" spans="1:12" ht="17.100000000000001" customHeight="1">
      <c r="A7282" s="636"/>
      <c r="B7282" s="636"/>
      <c r="C7282" s="636"/>
      <c r="D7282" s="636"/>
      <c r="E7282" s="636"/>
      <c r="F7282" s="636"/>
      <c r="G7282" s="636"/>
      <c r="H7282" s="636"/>
      <c r="I7282" s="636"/>
      <c r="J7282" s="636" t="s">
        <v>13675</v>
      </c>
      <c r="K7282" s="636"/>
      <c r="L7282" s="636" t="s">
        <v>13998</v>
      </c>
    </row>
    <row r="7283" spans="1:12" ht="17.100000000000001" customHeight="1">
      <c r="A7283" s="612" t="s">
        <v>13673</v>
      </c>
      <c r="B7283" s="612"/>
      <c r="C7283" s="612"/>
      <c r="D7283" s="612"/>
      <c r="E7283" s="612"/>
      <c r="F7283" s="612"/>
      <c r="G7283" s="612"/>
      <c r="H7283" s="612"/>
      <c r="I7283" s="612"/>
      <c r="J7283" s="612"/>
      <c r="K7283" s="612"/>
      <c r="L7283" s="612"/>
    </row>
    <row r="7284" spans="1:12" ht="17.100000000000001" customHeight="1">
      <c r="A7284" s="636"/>
      <c r="B7284" s="636"/>
      <c r="C7284" s="636"/>
      <c r="D7284" s="636"/>
      <c r="E7284" s="636"/>
      <c r="F7284" s="636"/>
      <c r="G7284" s="636"/>
      <c r="H7284" s="636"/>
      <c r="I7284" s="636"/>
      <c r="J7284" s="636" t="s">
        <v>13672</v>
      </c>
      <c r="K7284" s="636"/>
      <c r="L7284" s="636" t="s">
        <v>15401</v>
      </c>
    </row>
    <row r="7285" spans="1:12" ht="17.100000000000001" customHeight="1">
      <c r="A7285" s="636"/>
      <c r="B7285" s="636"/>
      <c r="C7285" s="636"/>
      <c r="D7285" s="636"/>
      <c r="E7285" s="636"/>
      <c r="F7285" s="636"/>
      <c r="G7285" s="636"/>
      <c r="H7285" s="636"/>
      <c r="I7285" s="636"/>
      <c r="J7285" s="636" t="s">
        <v>13671</v>
      </c>
      <c r="K7285" s="636" t="s">
        <v>14461</v>
      </c>
      <c r="L7285" s="636" t="s">
        <v>15159</v>
      </c>
    </row>
    <row r="7286" spans="1:12" ht="30" customHeight="1">
      <c r="A7286" s="636"/>
      <c r="B7286" s="636"/>
      <c r="C7286" s="636"/>
      <c r="D7286" s="636"/>
      <c r="E7286" s="636"/>
      <c r="F7286" s="636"/>
      <c r="G7286" s="636"/>
      <c r="H7286" s="636"/>
      <c r="I7286" s="636"/>
      <c r="J7286" s="636" t="s">
        <v>13670</v>
      </c>
      <c r="K7286" s="636"/>
      <c r="L7286" s="636" t="s">
        <v>15402</v>
      </c>
    </row>
    <row r="7287" spans="1:12" ht="24" customHeight="1">
      <c r="A7287" s="636"/>
      <c r="B7287" s="636"/>
      <c r="C7287" s="636"/>
      <c r="D7287" s="636"/>
      <c r="E7287" s="636"/>
      <c r="F7287" s="636"/>
      <c r="G7287" s="636"/>
      <c r="H7287" s="636"/>
      <c r="I7287" s="636"/>
      <c r="J7287" s="636" t="s">
        <v>13669</v>
      </c>
      <c r="K7287" s="636" t="s">
        <v>13667</v>
      </c>
      <c r="L7287" s="636" t="s">
        <v>15403</v>
      </c>
    </row>
    <row r="7288" spans="1:12" ht="14.25" customHeight="1">
      <c r="A7288" s="636"/>
      <c r="B7288" s="636"/>
      <c r="C7288" s="636"/>
      <c r="D7288" s="636"/>
      <c r="E7288" s="636"/>
      <c r="F7288" s="636"/>
      <c r="G7288" s="636"/>
      <c r="H7288" s="636"/>
      <c r="I7288" s="636"/>
      <c r="J7288" s="636" t="s">
        <v>13668</v>
      </c>
      <c r="K7288" s="636"/>
      <c r="L7288" s="636" t="s">
        <v>15404</v>
      </c>
    </row>
    <row r="7289" spans="1:12" ht="17.100000000000001" customHeight="1">
      <c r="A7289" s="637"/>
      <c r="B7289" s="637"/>
      <c r="C7289" s="637"/>
      <c r="D7289" s="637"/>
      <c r="E7289" s="637"/>
      <c r="F7289" s="637"/>
      <c r="G7289" s="637"/>
      <c r="H7289" s="637"/>
      <c r="I7289" s="637"/>
      <c r="J7289" s="637"/>
      <c r="K7289" s="637"/>
      <c r="L7289" s="637"/>
    </row>
    <row r="7290" spans="1:12" ht="48" customHeight="1">
      <c r="A7290" s="616" t="s">
        <v>13997</v>
      </c>
      <c r="B7290" s="617" t="s">
        <v>13464</v>
      </c>
      <c r="C7290" s="616" t="s">
        <v>8</v>
      </c>
      <c r="D7290" s="616" t="s">
        <v>2038</v>
      </c>
      <c r="E7290" s="618" t="s">
        <v>35</v>
      </c>
      <c r="F7290" s="617"/>
      <c r="G7290" s="617"/>
      <c r="H7290" s="617"/>
      <c r="I7290" s="617"/>
      <c r="J7290" s="617"/>
      <c r="K7290" s="617"/>
      <c r="L7290" s="617"/>
    </row>
    <row r="7291" spans="1:12" ht="24" customHeight="1">
      <c r="A7291" s="802" t="s">
        <v>12711</v>
      </c>
      <c r="B7291" s="802"/>
      <c r="C7291" s="802"/>
      <c r="D7291" s="802"/>
      <c r="E7291" s="802"/>
      <c r="F7291" s="802"/>
      <c r="G7291" s="802"/>
      <c r="H7291" s="802"/>
      <c r="I7291" s="612"/>
      <c r="J7291" s="612"/>
      <c r="K7291" s="612"/>
      <c r="L7291" s="612"/>
    </row>
    <row r="7292" spans="1:12" ht="24" customHeight="1">
      <c r="A7292" s="612" t="s">
        <v>13679</v>
      </c>
      <c r="B7292" s="636" t="s">
        <v>12698</v>
      </c>
      <c r="C7292" s="612" t="s">
        <v>12699</v>
      </c>
      <c r="D7292" s="612" t="s">
        <v>12700</v>
      </c>
      <c r="E7292" s="637" t="s">
        <v>12702</v>
      </c>
      <c r="F7292" s="801" t="s">
        <v>12704</v>
      </c>
      <c r="G7292" s="801"/>
      <c r="H7292" s="801" t="s">
        <v>13678</v>
      </c>
      <c r="I7292" s="801"/>
      <c r="J7292" s="801" t="s">
        <v>12705</v>
      </c>
      <c r="K7292" s="801"/>
      <c r="L7292" s="801"/>
    </row>
    <row r="7293" spans="1:12" ht="24" customHeight="1">
      <c r="A7293" s="626" t="s">
        <v>12709</v>
      </c>
      <c r="B7293" s="627" t="s">
        <v>13201</v>
      </c>
      <c r="C7293" s="626" t="s">
        <v>8</v>
      </c>
      <c r="D7293" s="626" t="s">
        <v>9221</v>
      </c>
      <c r="E7293" s="628" t="s">
        <v>23</v>
      </c>
      <c r="F7293" s="816" t="s">
        <v>13705</v>
      </c>
      <c r="G7293" s="816"/>
      <c r="H7293" s="816">
        <v>0.3386729</v>
      </c>
      <c r="I7293" s="816"/>
      <c r="J7293" s="817">
        <v>0.28110000000000002</v>
      </c>
      <c r="K7293" s="817"/>
      <c r="L7293" s="817"/>
    </row>
    <row r="7294" spans="1:12" ht="24" customHeight="1">
      <c r="A7294" s="626" t="s">
        <v>12709</v>
      </c>
      <c r="B7294" s="627" t="s">
        <v>13200</v>
      </c>
      <c r="C7294" s="626" t="s">
        <v>8</v>
      </c>
      <c r="D7294" s="626" t="s">
        <v>9368</v>
      </c>
      <c r="E7294" s="628" t="s">
        <v>23</v>
      </c>
      <c r="F7294" s="816" t="s">
        <v>13704</v>
      </c>
      <c r="G7294" s="816"/>
      <c r="H7294" s="816">
        <v>0.3386729</v>
      </c>
      <c r="I7294" s="816"/>
      <c r="J7294" s="817">
        <v>8.1299999999999997E-2</v>
      </c>
      <c r="K7294" s="817"/>
      <c r="L7294" s="817"/>
    </row>
    <row r="7295" spans="1:12" ht="17.100000000000001" customHeight="1">
      <c r="A7295" s="636"/>
      <c r="B7295" s="636"/>
      <c r="C7295" s="636"/>
      <c r="D7295" s="636"/>
      <c r="E7295" s="636"/>
      <c r="F7295" s="636"/>
      <c r="G7295" s="636"/>
      <c r="H7295" s="636"/>
      <c r="I7295" s="636"/>
      <c r="J7295" s="636" t="s">
        <v>13675</v>
      </c>
      <c r="K7295" s="636"/>
      <c r="L7295" s="636" t="s">
        <v>13688</v>
      </c>
    </row>
    <row r="7296" spans="1:12" ht="14.25" customHeight="1">
      <c r="A7296" s="802" t="s">
        <v>12710</v>
      </c>
      <c r="B7296" s="802"/>
      <c r="C7296" s="802"/>
      <c r="D7296" s="802"/>
      <c r="E7296" s="802"/>
      <c r="F7296" s="802"/>
      <c r="G7296" s="802"/>
      <c r="H7296" s="802"/>
      <c r="I7296" s="612"/>
      <c r="J7296" s="612"/>
      <c r="K7296" s="612"/>
      <c r="L7296" s="612"/>
    </row>
    <row r="7297" spans="1:12" ht="17.100000000000001" customHeight="1">
      <c r="A7297" s="612" t="s">
        <v>13679</v>
      </c>
      <c r="B7297" s="636" t="s">
        <v>12698</v>
      </c>
      <c r="C7297" s="612" t="s">
        <v>12699</v>
      </c>
      <c r="D7297" s="612" t="s">
        <v>12700</v>
      </c>
      <c r="E7297" s="637" t="s">
        <v>12702</v>
      </c>
      <c r="F7297" s="801" t="s">
        <v>12704</v>
      </c>
      <c r="G7297" s="801"/>
      <c r="H7297" s="801" t="s">
        <v>13678</v>
      </c>
      <c r="I7297" s="801"/>
      <c r="J7297" s="801" t="s">
        <v>12705</v>
      </c>
      <c r="K7297" s="801"/>
      <c r="L7297" s="801"/>
    </row>
    <row r="7298" spans="1:12" ht="24" customHeight="1">
      <c r="A7298" s="626" t="s">
        <v>12709</v>
      </c>
      <c r="B7298" s="627" t="s">
        <v>13220</v>
      </c>
      <c r="C7298" s="626" t="s">
        <v>8</v>
      </c>
      <c r="D7298" s="626" t="s">
        <v>7592</v>
      </c>
      <c r="E7298" s="628" t="s">
        <v>23</v>
      </c>
      <c r="F7298" s="816" t="s">
        <v>13890</v>
      </c>
      <c r="G7298" s="816"/>
      <c r="H7298" s="816">
        <v>0.17134460000000001</v>
      </c>
      <c r="I7298" s="816"/>
      <c r="J7298" s="817">
        <v>0.86699999999999999</v>
      </c>
      <c r="K7298" s="817"/>
      <c r="L7298" s="817"/>
    </row>
    <row r="7299" spans="1:12" ht="24" customHeight="1">
      <c r="A7299" s="626" t="s">
        <v>12709</v>
      </c>
      <c r="B7299" s="627" t="s">
        <v>13202</v>
      </c>
      <c r="C7299" s="626" t="s">
        <v>8</v>
      </c>
      <c r="D7299" s="626" t="s">
        <v>9187</v>
      </c>
      <c r="E7299" s="628" t="s">
        <v>23</v>
      </c>
      <c r="F7299" s="816" t="s">
        <v>14479</v>
      </c>
      <c r="G7299" s="816"/>
      <c r="H7299" s="816">
        <v>0.17134460000000001</v>
      </c>
      <c r="I7299" s="816"/>
      <c r="J7299" s="817">
        <v>1.2251000000000001</v>
      </c>
      <c r="K7299" s="817"/>
      <c r="L7299" s="817"/>
    </row>
    <row r="7300" spans="1:12" ht="17.100000000000001" customHeight="1">
      <c r="A7300" s="636"/>
      <c r="B7300" s="636"/>
      <c r="C7300" s="636"/>
      <c r="D7300" s="636"/>
      <c r="E7300" s="636"/>
      <c r="F7300" s="636"/>
      <c r="G7300" s="636"/>
      <c r="H7300" s="636"/>
      <c r="I7300" s="636"/>
      <c r="J7300" s="636" t="s">
        <v>13675</v>
      </c>
      <c r="K7300" s="636"/>
      <c r="L7300" s="636" t="s">
        <v>14257</v>
      </c>
    </row>
    <row r="7301" spans="1:12">
      <c r="A7301" s="802" t="s">
        <v>12720</v>
      </c>
      <c r="B7301" s="802"/>
      <c r="C7301" s="802"/>
      <c r="D7301" s="802"/>
      <c r="E7301" s="802"/>
      <c r="F7301" s="802"/>
      <c r="G7301" s="802"/>
      <c r="H7301" s="802"/>
      <c r="I7301" s="612"/>
      <c r="J7301" s="612"/>
      <c r="K7301" s="612"/>
      <c r="L7301" s="612"/>
    </row>
    <row r="7302" spans="1:12" ht="17.100000000000001" customHeight="1">
      <c r="A7302" s="612" t="s">
        <v>13679</v>
      </c>
      <c r="B7302" s="636" t="s">
        <v>12698</v>
      </c>
      <c r="C7302" s="612" t="s">
        <v>12699</v>
      </c>
      <c r="D7302" s="612" t="s">
        <v>12700</v>
      </c>
      <c r="E7302" s="637" t="s">
        <v>12702</v>
      </c>
      <c r="F7302" s="801" t="s">
        <v>12704</v>
      </c>
      <c r="G7302" s="801"/>
      <c r="H7302" s="801" t="s">
        <v>13678</v>
      </c>
      <c r="I7302" s="801"/>
      <c r="J7302" s="801" t="s">
        <v>12705</v>
      </c>
      <c r="K7302" s="801"/>
      <c r="L7302" s="801"/>
    </row>
    <row r="7303" spans="1:12" ht="24" customHeight="1">
      <c r="A7303" s="626" t="s">
        <v>12709</v>
      </c>
      <c r="B7303" s="627" t="s">
        <v>13462</v>
      </c>
      <c r="C7303" s="626" t="s">
        <v>8</v>
      </c>
      <c r="D7303" s="626" t="s">
        <v>10684</v>
      </c>
      <c r="E7303" s="628" t="s">
        <v>35</v>
      </c>
      <c r="F7303" s="816" t="s">
        <v>14633</v>
      </c>
      <c r="G7303" s="816"/>
      <c r="H7303" s="816">
        <v>0.04</v>
      </c>
      <c r="I7303" s="816"/>
      <c r="J7303" s="817">
        <v>1.17</v>
      </c>
      <c r="K7303" s="817"/>
      <c r="L7303" s="817"/>
    </row>
    <row r="7304" spans="1:12" ht="17.100000000000001" customHeight="1">
      <c r="A7304" s="626" t="s">
        <v>12709</v>
      </c>
      <c r="B7304" s="627" t="s">
        <v>13463</v>
      </c>
      <c r="C7304" s="626" t="s">
        <v>8</v>
      </c>
      <c r="D7304" s="626" t="s">
        <v>7398</v>
      </c>
      <c r="E7304" s="628" t="s">
        <v>35</v>
      </c>
      <c r="F7304" s="816" t="s">
        <v>13806</v>
      </c>
      <c r="G7304" s="816"/>
      <c r="H7304" s="816">
        <v>2</v>
      </c>
      <c r="I7304" s="816"/>
      <c r="J7304" s="817">
        <v>3.72</v>
      </c>
      <c r="K7304" s="817"/>
      <c r="L7304" s="817"/>
    </row>
    <row r="7305" spans="1:12" ht="25.5">
      <c r="A7305" s="626" t="s">
        <v>12709</v>
      </c>
      <c r="B7305" s="627" t="s">
        <v>13461</v>
      </c>
      <c r="C7305" s="626" t="s">
        <v>8</v>
      </c>
      <c r="D7305" s="626" t="s">
        <v>11587</v>
      </c>
      <c r="E7305" s="628" t="s">
        <v>35</v>
      </c>
      <c r="F7305" s="816" t="s">
        <v>13794</v>
      </c>
      <c r="G7305" s="816"/>
      <c r="H7305" s="816">
        <v>1</v>
      </c>
      <c r="I7305" s="816"/>
      <c r="J7305" s="817">
        <v>4.88</v>
      </c>
      <c r="K7305" s="817"/>
      <c r="L7305" s="817"/>
    </row>
    <row r="7306" spans="1:12" ht="17.100000000000001" customHeight="1">
      <c r="A7306" s="636"/>
      <c r="B7306" s="636"/>
      <c r="C7306" s="636"/>
      <c r="D7306" s="636"/>
      <c r="E7306" s="636"/>
      <c r="F7306" s="636"/>
      <c r="G7306" s="636"/>
      <c r="H7306" s="636"/>
      <c r="I7306" s="636"/>
      <c r="J7306" s="636" t="s">
        <v>13675</v>
      </c>
      <c r="K7306" s="636"/>
      <c r="L7306" s="636" t="s">
        <v>14632</v>
      </c>
    </row>
    <row r="7307" spans="1:12" ht="24" customHeight="1">
      <c r="A7307" s="802" t="s">
        <v>12722</v>
      </c>
      <c r="B7307" s="802"/>
      <c r="C7307" s="802"/>
      <c r="D7307" s="802"/>
      <c r="E7307" s="802"/>
      <c r="F7307" s="802"/>
      <c r="G7307" s="802"/>
      <c r="H7307" s="802"/>
      <c r="I7307" s="612"/>
      <c r="J7307" s="612"/>
      <c r="K7307" s="612"/>
      <c r="L7307" s="612"/>
    </row>
    <row r="7308" spans="1:12" ht="17.100000000000001" customHeight="1">
      <c r="A7308" s="612" t="s">
        <v>13679</v>
      </c>
      <c r="B7308" s="636" t="s">
        <v>12698</v>
      </c>
      <c r="C7308" s="612" t="s">
        <v>12699</v>
      </c>
      <c r="D7308" s="612" t="s">
        <v>12700</v>
      </c>
      <c r="E7308" s="637" t="s">
        <v>12702</v>
      </c>
      <c r="F7308" s="801" t="s">
        <v>12704</v>
      </c>
      <c r="G7308" s="801"/>
      <c r="H7308" s="801" t="s">
        <v>13678</v>
      </c>
      <c r="I7308" s="801"/>
      <c r="J7308" s="801" t="s">
        <v>12705</v>
      </c>
      <c r="K7308" s="801"/>
      <c r="L7308" s="801"/>
    </row>
    <row r="7309" spans="1:12" ht="25.5">
      <c r="A7309" s="626" t="s">
        <v>12709</v>
      </c>
      <c r="B7309" s="627" t="s">
        <v>12998</v>
      </c>
      <c r="C7309" s="626" t="s">
        <v>8</v>
      </c>
      <c r="D7309" s="626" t="s">
        <v>11861</v>
      </c>
      <c r="E7309" s="628" t="s">
        <v>23</v>
      </c>
      <c r="F7309" s="816" t="s">
        <v>13683</v>
      </c>
      <c r="G7309" s="816"/>
      <c r="H7309" s="816">
        <v>0.3386729</v>
      </c>
      <c r="I7309" s="816"/>
      <c r="J7309" s="817">
        <v>0.24049999999999999</v>
      </c>
      <c r="K7309" s="817"/>
      <c r="L7309" s="817"/>
    </row>
    <row r="7310" spans="1:12" ht="17.100000000000001" customHeight="1">
      <c r="A7310" s="636"/>
      <c r="B7310" s="636"/>
      <c r="C7310" s="636"/>
      <c r="D7310" s="636"/>
      <c r="E7310" s="636"/>
      <c r="F7310" s="636"/>
      <c r="G7310" s="636"/>
      <c r="H7310" s="636"/>
      <c r="I7310" s="636"/>
      <c r="J7310" s="636" t="s">
        <v>13675</v>
      </c>
      <c r="K7310" s="636"/>
      <c r="L7310" s="636" t="s">
        <v>13704</v>
      </c>
    </row>
    <row r="7311" spans="1:12" ht="24" customHeight="1">
      <c r="A7311" s="802" t="s">
        <v>12713</v>
      </c>
      <c r="B7311" s="802"/>
      <c r="C7311" s="802"/>
      <c r="D7311" s="802"/>
      <c r="E7311" s="802"/>
      <c r="F7311" s="802"/>
      <c r="G7311" s="802"/>
      <c r="H7311" s="802"/>
      <c r="I7311" s="612"/>
      <c r="J7311" s="612"/>
      <c r="K7311" s="612"/>
      <c r="L7311" s="612"/>
    </row>
    <row r="7312" spans="1:12" ht="17.100000000000001" customHeight="1">
      <c r="A7312" s="612" t="s">
        <v>13679</v>
      </c>
      <c r="B7312" s="636" t="s">
        <v>12698</v>
      </c>
      <c r="C7312" s="612" t="s">
        <v>12699</v>
      </c>
      <c r="D7312" s="612" t="s">
        <v>12700</v>
      </c>
      <c r="E7312" s="637" t="s">
        <v>12702</v>
      </c>
      <c r="F7312" s="801" t="s">
        <v>12704</v>
      </c>
      <c r="G7312" s="801"/>
      <c r="H7312" s="801" t="s">
        <v>13678</v>
      </c>
      <c r="I7312" s="801"/>
      <c r="J7312" s="801" t="s">
        <v>12705</v>
      </c>
      <c r="K7312" s="801"/>
      <c r="L7312" s="801"/>
    </row>
    <row r="7313" spans="1:12" ht="25.5">
      <c r="A7313" s="626" t="s">
        <v>12709</v>
      </c>
      <c r="B7313" s="627" t="s">
        <v>12999</v>
      </c>
      <c r="C7313" s="626" t="s">
        <v>8</v>
      </c>
      <c r="D7313" s="626" t="s">
        <v>11251</v>
      </c>
      <c r="E7313" s="628" t="s">
        <v>23</v>
      </c>
      <c r="F7313" s="816" t="s">
        <v>13681</v>
      </c>
      <c r="G7313" s="816"/>
      <c r="H7313" s="816">
        <v>0.3386729</v>
      </c>
      <c r="I7313" s="816"/>
      <c r="J7313" s="817">
        <v>2.3699999999999999E-2</v>
      </c>
      <c r="K7313" s="817"/>
      <c r="L7313" s="817"/>
    </row>
    <row r="7314" spans="1:12" ht="17.100000000000001" customHeight="1">
      <c r="A7314" s="636"/>
      <c r="B7314" s="636"/>
      <c r="C7314" s="636"/>
      <c r="D7314" s="636"/>
      <c r="E7314" s="636"/>
      <c r="F7314" s="636"/>
      <c r="G7314" s="636"/>
      <c r="H7314" s="636"/>
      <c r="I7314" s="636"/>
      <c r="J7314" s="636" t="s">
        <v>13675</v>
      </c>
      <c r="K7314" s="636"/>
      <c r="L7314" s="636" t="s">
        <v>13680</v>
      </c>
    </row>
    <row r="7315" spans="1:12" ht="24" customHeight="1">
      <c r="A7315" s="802" t="s">
        <v>12712</v>
      </c>
      <c r="B7315" s="802"/>
      <c r="C7315" s="802"/>
      <c r="D7315" s="802"/>
      <c r="E7315" s="802"/>
      <c r="F7315" s="802"/>
      <c r="G7315" s="802"/>
      <c r="H7315" s="802"/>
      <c r="I7315" s="612"/>
      <c r="J7315" s="612"/>
      <c r="K7315" s="612"/>
      <c r="L7315" s="612"/>
    </row>
    <row r="7316" spans="1:12" ht="24" customHeight="1">
      <c r="A7316" s="612" t="s">
        <v>13679</v>
      </c>
      <c r="B7316" s="636" t="s">
        <v>12698</v>
      </c>
      <c r="C7316" s="612" t="s">
        <v>12699</v>
      </c>
      <c r="D7316" s="612" t="s">
        <v>12700</v>
      </c>
      <c r="E7316" s="637" t="s">
        <v>12702</v>
      </c>
      <c r="F7316" s="801" t="s">
        <v>12704</v>
      </c>
      <c r="G7316" s="801"/>
      <c r="H7316" s="801" t="s">
        <v>13678</v>
      </c>
      <c r="I7316" s="801"/>
      <c r="J7316" s="801" t="s">
        <v>12705</v>
      </c>
      <c r="K7316" s="801"/>
      <c r="L7316" s="801"/>
    </row>
    <row r="7317" spans="1:12" ht="17.100000000000001" customHeight="1">
      <c r="A7317" s="626" t="s">
        <v>12709</v>
      </c>
      <c r="B7317" s="627" t="s">
        <v>13002</v>
      </c>
      <c r="C7317" s="626" t="s">
        <v>8</v>
      </c>
      <c r="D7317" s="626" t="s">
        <v>9306</v>
      </c>
      <c r="E7317" s="628" t="s">
        <v>23</v>
      </c>
      <c r="F7317" s="816" t="s">
        <v>13677</v>
      </c>
      <c r="G7317" s="816"/>
      <c r="H7317" s="816">
        <v>0.3386729</v>
      </c>
      <c r="I7317" s="816"/>
      <c r="J7317" s="817">
        <v>0.11849999999999999</v>
      </c>
      <c r="K7317" s="817"/>
      <c r="L7317" s="817"/>
    </row>
    <row r="7318" spans="1:12" ht="17.100000000000001" customHeight="1">
      <c r="A7318" s="626" t="s">
        <v>12709</v>
      </c>
      <c r="B7318" s="627" t="s">
        <v>13004</v>
      </c>
      <c r="C7318" s="626" t="s">
        <v>8</v>
      </c>
      <c r="D7318" s="626" t="s">
        <v>7388</v>
      </c>
      <c r="E7318" s="628" t="s">
        <v>23</v>
      </c>
      <c r="F7318" s="816" t="s">
        <v>13676</v>
      </c>
      <c r="G7318" s="816"/>
      <c r="H7318" s="816">
        <v>0.3386729</v>
      </c>
      <c r="I7318" s="816"/>
      <c r="J7318" s="817">
        <v>0.74509999999999998</v>
      </c>
      <c r="K7318" s="817"/>
      <c r="L7318" s="817"/>
    </row>
    <row r="7319" spans="1:12" ht="17.100000000000001" customHeight="1">
      <c r="A7319" s="636"/>
      <c r="B7319" s="636"/>
      <c r="C7319" s="636"/>
      <c r="D7319" s="636"/>
      <c r="E7319" s="636"/>
      <c r="F7319" s="636"/>
      <c r="G7319" s="636"/>
      <c r="H7319" s="636"/>
      <c r="I7319" s="636"/>
      <c r="J7319" s="636" t="s">
        <v>13675</v>
      </c>
      <c r="K7319" s="636"/>
      <c r="L7319" s="636" t="s">
        <v>13995</v>
      </c>
    </row>
    <row r="7320" spans="1:12" ht="17.100000000000001" customHeight="1">
      <c r="A7320" s="612" t="s">
        <v>13673</v>
      </c>
      <c r="B7320" s="612"/>
      <c r="C7320" s="612"/>
      <c r="D7320" s="612"/>
      <c r="E7320" s="612"/>
      <c r="F7320" s="612"/>
      <c r="G7320" s="612"/>
      <c r="H7320" s="612"/>
      <c r="I7320" s="612"/>
      <c r="J7320" s="612"/>
      <c r="K7320" s="612"/>
      <c r="L7320" s="612"/>
    </row>
    <row r="7321" spans="1:12" ht="17.100000000000001" customHeight="1">
      <c r="A7321" s="636"/>
      <c r="B7321" s="636"/>
      <c r="C7321" s="636"/>
      <c r="D7321" s="636"/>
      <c r="E7321" s="636"/>
      <c r="F7321" s="636"/>
      <c r="G7321" s="636"/>
      <c r="H7321" s="636"/>
      <c r="I7321" s="636"/>
      <c r="J7321" s="636" t="s">
        <v>13672</v>
      </c>
      <c r="K7321" s="636"/>
      <c r="L7321" s="636" t="s">
        <v>15420</v>
      </c>
    </row>
    <row r="7322" spans="1:12" ht="17.100000000000001" customHeight="1">
      <c r="A7322" s="636"/>
      <c r="B7322" s="636"/>
      <c r="C7322" s="636"/>
      <c r="D7322" s="636"/>
      <c r="E7322" s="636"/>
      <c r="F7322" s="636"/>
      <c r="G7322" s="636"/>
      <c r="H7322" s="636"/>
      <c r="I7322" s="636"/>
      <c r="J7322" s="636" t="s">
        <v>13671</v>
      </c>
      <c r="K7322" s="636" t="s">
        <v>14461</v>
      </c>
      <c r="L7322" s="636" t="s">
        <v>15421</v>
      </c>
    </row>
    <row r="7323" spans="1:12" ht="17.100000000000001" customHeight="1">
      <c r="A7323" s="636"/>
      <c r="B7323" s="636"/>
      <c r="C7323" s="636"/>
      <c r="D7323" s="636"/>
      <c r="E7323" s="636"/>
      <c r="F7323" s="636"/>
      <c r="G7323" s="636"/>
      <c r="H7323" s="636"/>
      <c r="I7323" s="636"/>
      <c r="J7323" s="636" t="s">
        <v>13670</v>
      </c>
      <c r="K7323" s="636"/>
      <c r="L7323" s="636" t="s">
        <v>15422</v>
      </c>
    </row>
    <row r="7324" spans="1:12" ht="30" customHeight="1">
      <c r="A7324" s="636"/>
      <c r="B7324" s="636"/>
      <c r="C7324" s="636"/>
      <c r="D7324" s="636"/>
      <c r="E7324" s="636"/>
      <c r="F7324" s="636"/>
      <c r="G7324" s="636"/>
      <c r="H7324" s="636"/>
      <c r="I7324" s="636"/>
      <c r="J7324" s="636" t="s">
        <v>13669</v>
      </c>
      <c r="K7324" s="636" t="s">
        <v>13667</v>
      </c>
      <c r="L7324" s="636" t="s">
        <v>15423</v>
      </c>
    </row>
    <row r="7325" spans="1:12" ht="36" customHeight="1">
      <c r="A7325" s="636"/>
      <c r="B7325" s="636"/>
      <c r="C7325" s="636"/>
      <c r="D7325" s="636"/>
      <c r="E7325" s="636"/>
      <c r="F7325" s="636"/>
      <c r="G7325" s="636"/>
      <c r="H7325" s="636"/>
      <c r="I7325" s="636"/>
      <c r="J7325" s="636" t="s">
        <v>13668</v>
      </c>
      <c r="K7325" s="636"/>
      <c r="L7325" s="636" t="s">
        <v>15424</v>
      </c>
    </row>
    <row r="7326" spans="1:12" ht="14.25" customHeight="1">
      <c r="A7326" s="637"/>
      <c r="B7326" s="637"/>
      <c r="C7326" s="637"/>
      <c r="D7326" s="637"/>
      <c r="E7326" s="637"/>
      <c r="F7326" s="637"/>
      <c r="G7326" s="637"/>
      <c r="H7326" s="637"/>
      <c r="I7326" s="637"/>
      <c r="J7326" s="637"/>
      <c r="K7326" s="637"/>
      <c r="L7326" s="637"/>
    </row>
    <row r="7327" spans="1:12" ht="17.100000000000001" customHeight="1">
      <c r="A7327" s="616" t="s">
        <v>13994</v>
      </c>
      <c r="B7327" s="617" t="s">
        <v>13494</v>
      </c>
      <c r="C7327" s="616" t="s">
        <v>8</v>
      </c>
      <c r="D7327" s="616" t="s">
        <v>4716</v>
      </c>
      <c r="E7327" s="618" t="s">
        <v>12730</v>
      </c>
      <c r="F7327" s="617"/>
      <c r="G7327" s="617"/>
      <c r="H7327" s="617"/>
      <c r="I7327" s="617"/>
      <c r="J7327" s="617"/>
      <c r="K7327" s="617"/>
      <c r="L7327" s="617"/>
    </row>
    <row r="7328" spans="1:12" ht="48" customHeight="1">
      <c r="A7328" s="802" t="s">
        <v>12711</v>
      </c>
      <c r="B7328" s="802"/>
      <c r="C7328" s="802"/>
      <c r="D7328" s="802"/>
      <c r="E7328" s="802"/>
      <c r="F7328" s="802"/>
      <c r="G7328" s="802"/>
      <c r="H7328" s="802"/>
      <c r="I7328" s="612"/>
      <c r="J7328" s="612"/>
      <c r="K7328" s="612"/>
      <c r="L7328" s="612"/>
    </row>
    <row r="7329" spans="1:12" ht="24" customHeight="1">
      <c r="A7329" s="612" t="s">
        <v>13679</v>
      </c>
      <c r="B7329" s="636" t="s">
        <v>12698</v>
      </c>
      <c r="C7329" s="612" t="s">
        <v>12699</v>
      </c>
      <c r="D7329" s="612" t="s">
        <v>12700</v>
      </c>
      <c r="E7329" s="637" t="s">
        <v>12702</v>
      </c>
      <c r="F7329" s="801" t="s">
        <v>12704</v>
      </c>
      <c r="G7329" s="801"/>
      <c r="H7329" s="801" t="s">
        <v>13678</v>
      </c>
      <c r="I7329" s="801"/>
      <c r="J7329" s="801" t="s">
        <v>12705</v>
      </c>
      <c r="K7329" s="801"/>
      <c r="L7329" s="801"/>
    </row>
    <row r="7330" spans="1:12" ht="24" customHeight="1">
      <c r="A7330" s="626" t="s">
        <v>12709</v>
      </c>
      <c r="B7330" s="627" t="s">
        <v>13048</v>
      </c>
      <c r="C7330" s="626" t="s">
        <v>8</v>
      </c>
      <c r="D7330" s="626" t="s">
        <v>9233</v>
      </c>
      <c r="E7330" s="628" t="s">
        <v>23</v>
      </c>
      <c r="F7330" s="816" t="s">
        <v>13690</v>
      </c>
      <c r="G7330" s="816"/>
      <c r="H7330" s="816">
        <v>3.9525234999999999</v>
      </c>
      <c r="I7330" s="816"/>
      <c r="J7330" s="817">
        <v>4.0316000000000001</v>
      </c>
      <c r="K7330" s="817"/>
      <c r="L7330" s="817"/>
    </row>
    <row r="7331" spans="1:12" ht="17.100000000000001" customHeight="1">
      <c r="A7331" s="626" t="s">
        <v>12709</v>
      </c>
      <c r="B7331" s="627" t="s">
        <v>13047</v>
      </c>
      <c r="C7331" s="626" t="s">
        <v>8</v>
      </c>
      <c r="D7331" s="626" t="s">
        <v>9380</v>
      </c>
      <c r="E7331" s="628" t="s">
        <v>23</v>
      </c>
      <c r="F7331" s="816" t="s">
        <v>13689</v>
      </c>
      <c r="G7331" s="816"/>
      <c r="H7331" s="816">
        <v>3.9525234999999999</v>
      </c>
      <c r="I7331" s="816"/>
      <c r="J7331" s="817">
        <v>1.502</v>
      </c>
      <c r="K7331" s="817"/>
      <c r="L7331" s="817"/>
    </row>
    <row r="7332" spans="1:12" ht="14.25" customHeight="1">
      <c r="A7332" s="636"/>
      <c r="B7332" s="636"/>
      <c r="C7332" s="636"/>
      <c r="D7332" s="636"/>
      <c r="E7332" s="636"/>
      <c r="F7332" s="636"/>
      <c r="G7332" s="636"/>
      <c r="H7332" s="636"/>
      <c r="I7332" s="636"/>
      <c r="J7332" s="636" t="s">
        <v>13675</v>
      </c>
      <c r="K7332" s="636"/>
      <c r="L7332" s="636" t="s">
        <v>13764</v>
      </c>
    </row>
    <row r="7333" spans="1:12" ht="17.100000000000001" customHeight="1">
      <c r="A7333" s="802" t="s">
        <v>12710</v>
      </c>
      <c r="B7333" s="802"/>
      <c r="C7333" s="802"/>
      <c r="D7333" s="802"/>
      <c r="E7333" s="802"/>
      <c r="F7333" s="802"/>
      <c r="G7333" s="802"/>
      <c r="H7333" s="802"/>
      <c r="I7333" s="612"/>
      <c r="J7333" s="612"/>
      <c r="K7333" s="612"/>
      <c r="L7333" s="612"/>
    </row>
    <row r="7334" spans="1:12" ht="24" customHeight="1">
      <c r="A7334" s="612" t="s">
        <v>13679</v>
      </c>
      <c r="B7334" s="636" t="s">
        <v>12698</v>
      </c>
      <c r="C7334" s="612" t="s">
        <v>12699</v>
      </c>
      <c r="D7334" s="612" t="s">
        <v>12700</v>
      </c>
      <c r="E7334" s="637" t="s">
        <v>12702</v>
      </c>
      <c r="F7334" s="801" t="s">
        <v>12704</v>
      </c>
      <c r="G7334" s="801"/>
      <c r="H7334" s="801" t="s">
        <v>13678</v>
      </c>
      <c r="I7334" s="801"/>
      <c r="J7334" s="801" t="s">
        <v>12705</v>
      </c>
      <c r="K7334" s="801"/>
      <c r="L7334" s="801"/>
    </row>
    <row r="7335" spans="1:12" ht="17.100000000000001" customHeight="1">
      <c r="A7335" s="626" t="s">
        <v>12709</v>
      </c>
      <c r="B7335" s="627" t="s">
        <v>13046</v>
      </c>
      <c r="C7335" s="626" t="s">
        <v>8</v>
      </c>
      <c r="D7335" s="626" t="s">
        <v>11281</v>
      </c>
      <c r="E7335" s="628" t="s">
        <v>23</v>
      </c>
      <c r="F7335" s="816" t="s">
        <v>13731</v>
      </c>
      <c r="G7335" s="816"/>
      <c r="H7335" s="816">
        <v>4.0103188999999997</v>
      </c>
      <c r="I7335" s="816"/>
      <c r="J7335" s="817">
        <v>20.613</v>
      </c>
      <c r="K7335" s="817"/>
      <c r="L7335" s="817"/>
    </row>
    <row r="7336" spans="1:12">
      <c r="A7336" s="636"/>
      <c r="B7336" s="636"/>
      <c r="C7336" s="636"/>
      <c r="D7336" s="636"/>
      <c r="E7336" s="636"/>
      <c r="F7336" s="636"/>
      <c r="G7336" s="636"/>
      <c r="H7336" s="636"/>
      <c r="I7336" s="636"/>
      <c r="J7336" s="636" t="s">
        <v>13675</v>
      </c>
      <c r="K7336" s="636"/>
      <c r="L7336" s="636" t="s">
        <v>14507</v>
      </c>
    </row>
    <row r="7337" spans="1:12" ht="17.100000000000001" customHeight="1">
      <c r="A7337" s="802" t="s">
        <v>12722</v>
      </c>
      <c r="B7337" s="802"/>
      <c r="C7337" s="802"/>
      <c r="D7337" s="802"/>
      <c r="E7337" s="802"/>
      <c r="F7337" s="802"/>
      <c r="G7337" s="802"/>
      <c r="H7337" s="802"/>
      <c r="I7337" s="612"/>
      <c r="J7337" s="612"/>
      <c r="K7337" s="612"/>
      <c r="L7337" s="612"/>
    </row>
    <row r="7338" spans="1:12" ht="24" customHeight="1">
      <c r="A7338" s="612" t="s">
        <v>13679</v>
      </c>
      <c r="B7338" s="636" t="s">
        <v>12698</v>
      </c>
      <c r="C7338" s="612" t="s">
        <v>12699</v>
      </c>
      <c r="D7338" s="612" t="s">
        <v>12700</v>
      </c>
      <c r="E7338" s="637" t="s">
        <v>12702</v>
      </c>
      <c r="F7338" s="801" t="s">
        <v>12704</v>
      </c>
      <c r="G7338" s="801"/>
      <c r="H7338" s="801" t="s">
        <v>13678</v>
      </c>
      <c r="I7338" s="801"/>
      <c r="J7338" s="801" t="s">
        <v>12705</v>
      </c>
      <c r="K7338" s="801"/>
      <c r="L7338" s="801"/>
    </row>
    <row r="7339" spans="1:12" ht="24" customHeight="1">
      <c r="A7339" s="626" t="s">
        <v>12709</v>
      </c>
      <c r="B7339" s="627" t="s">
        <v>12998</v>
      </c>
      <c r="C7339" s="626" t="s">
        <v>8</v>
      </c>
      <c r="D7339" s="626" t="s">
        <v>11861</v>
      </c>
      <c r="E7339" s="628" t="s">
        <v>23</v>
      </c>
      <c r="F7339" s="816" t="s">
        <v>13683</v>
      </c>
      <c r="G7339" s="816"/>
      <c r="H7339" s="816">
        <v>3.9525234999999999</v>
      </c>
      <c r="I7339" s="816"/>
      <c r="J7339" s="817">
        <v>2.8062999999999998</v>
      </c>
      <c r="K7339" s="817"/>
      <c r="L7339" s="817"/>
    </row>
    <row r="7340" spans="1:12" ht="17.100000000000001" customHeight="1">
      <c r="A7340" s="636"/>
      <c r="B7340" s="636"/>
      <c r="C7340" s="636"/>
      <c r="D7340" s="636"/>
      <c r="E7340" s="636"/>
      <c r="F7340" s="636"/>
      <c r="G7340" s="636"/>
      <c r="H7340" s="636"/>
      <c r="I7340" s="636"/>
      <c r="J7340" s="636" t="s">
        <v>13675</v>
      </c>
      <c r="K7340" s="636"/>
      <c r="L7340" s="636" t="s">
        <v>13763</v>
      </c>
    </row>
    <row r="7341" spans="1:12">
      <c r="A7341" s="802" t="s">
        <v>12713</v>
      </c>
      <c r="B7341" s="802"/>
      <c r="C7341" s="802"/>
      <c r="D7341" s="802"/>
      <c r="E7341" s="802"/>
      <c r="F7341" s="802"/>
      <c r="G7341" s="802"/>
      <c r="H7341" s="802"/>
      <c r="I7341" s="612"/>
      <c r="J7341" s="612"/>
      <c r="K7341" s="612"/>
      <c r="L7341" s="612"/>
    </row>
    <row r="7342" spans="1:12" ht="17.100000000000001" customHeight="1">
      <c r="A7342" s="612" t="s">
        <v>13679</v>
      </c>
      <c r="B7342" s="636" t="s">
        <v>12698</v>
      </c>
      <c r="C7342" s="612" t="s">
        <v>12699</v>
      </c>
      <c r="D7342" s="612" t="s">
        <v>12700</v>
      </c>
      <c r="E7342" s="637" t="s">
        <v>12702</v>
      </c>
      <c r="F7342" s="801" t="s">
        <v>12704</v>
      </c>
      <c r="G7342" s="801"/>
      <c r="H7342" s="801" t="s">
        <v>13678</v>
      </c>
      <c r="I7342" s="801"/>
      <c r="J7342" s="801" t="s">
        <v>12705</v>
      </c>
      <c r="K7342" s="801"/>
      <c r="L7342" s="801"/>
    </row>
    <row r="7343" spans="1:12" ht="24" customHeight="1">
      <c r="A7343" s="626" t="s">
        <v>12709</v>
      </c>
      <c r="B7343" s="627" t="s">
        <v>12999</v>
      </c>
      <c r="C7343" s="626" t="s">
        <v>8</v>
      </c>
      <c r="D7343" s="626" t="s">
        <v>11251</v>
      </c>
      <c r="E7343" s="628" t="s">
        <v>23</v>
      </c>
      <c r="F7343" s="816" t="s">
        <v>13681</v>
      </c>
      <c r="G7343" s="816"/>
      <c r="H7343" s="816">
        <v>3.9525234999999999</v>
      </c>
      <c r="I7343" s="816"/>
      <c r="J7343" s="817">
        <v>0.2767</v>
      </c>
      <c r="K7343" s="817"/>
      <c r="L7343" s="817"/>
    </row>
    <row r="7344" spans="1:12" ht="17.100000000000001" customHeight="1">
      <c r="A7344" s="636"/>
      <c r="B7344" s="636"/>
      <c r="C7344" s="636"/>
      <c r="D7344" s="636"/>
      <c r="E7344" s="636"/>
      <c r="F7344" s="636"/>
      <c r="G7344" s="636"/>
      <c r="H7344" s="636"/>
      <c r="I7344" s="636"/>
      <c r="J7344" s="636" t="s">
        <v>13675</v>
      </c>
      <c r="K7344" s="636"/>
      <c r="L7344" s="636" t="s">
        <v>13762</v>
      </c>
    </row>
    <row r="7345" spans="1:12">
      <c r="A7345" s="802" t="s">
        <v>12712</v>
      </c>
      <c r="B7345" s="802"/>
      <c r="C7345" s="802"/>
      <c r="D7345" s="802"/>
      <c r="E7345" s="802"/>
      <c r="F7345" s="802"/>
      <c r="G7345" s="802"/>
      <c r="H7345" s="802"/>
      <c r="I7345" s="612"/>
      <c r="J7345" s="612"/>
      <c r="K7345" s="612"/>
      <c r="L7345" s="612"/>
    </row>
    <row r="7346" spans="1:12" ht="17.100000000000001" customHeight="1">
      <c r="A7346" s="612" t="s">
        <v>13679</v>
      </c>
      <c r="B7346" s="636" t="s">
        <v>12698</v>
      </c>
      <c r="C7346" s="612" t="s">
        <v>12699</v>
      </c>
      <c r="D7346" s="612" t="s">
        <v>12700</v>
      </c>
      <c r="E7346" s="637" t="s">
        <v>12702</v>
      </c>
      <c r="F7346" s="801" t="s">
        <v>12704</v>
      </c>
      <c r="G7346" s="801"/>
      <c r="H7346" s="801" t="s">
        <v>13678</v>
      </c>
      <c r="I7346" s="801"/>
      <c r="J7346" s="801" t="s">
        <v>12705</v>
      </c>
      <c r="K7346" s="801"/>
      <c r="L7346" s="801"/>
    </row>
    <row r="7347" spans="1:12" ht="24" customHeight="1">
      <c r="A7347" s="626" t="s">
        <v>12709</v>
      </c>
      <c r="B7347" s="627" t="s">
        <v>13002</v>
      </c>
      <c r="C7347" s="626" t="s">
        <v>8</v>
      </c>
      <c r="D7347" s="626" t="s">
        <v>9306</v>
      </c>
      <c r="E7347" s="628" t="s">
        <v>23</v>
      </c>
      <c r="F7347" s="816" t="s">
        <v>13677</v>
      </c>
      <c r="G7347" s="816"/>
      <c r="H7347" s="816">
        <v>3.9525234999999999</v>
      </c>
      <c r="I7347" s="816"/>
      <c r="J7347" s="817">
        <v>1.3834</v>
      </c>
      <c r="K7347" s="817"/>
      <c r="L7347" s="817"/>
    </row>
    <row r="7348" spans="1:12" ht="17.100000000000001" customHeight="1">
      <c r="A7348" s="626" t="s">
        <v>12709</v>
      </c>
      <c r="B7348" s="627" t="s">
        <v>13004</v>
      </c>
      <c r="C7348" s="626" t="s">
        <v>8</v>
      </c>
      <c r="D7348" s="626" t="s">
        <v>7388</v>
      </c>
      <c r="E7348" s="628" t="s">
        <v>23</v>
      </c>
      <c r="F7348" s="816" t="s">
        <v>13676</v>
      </c>
      <c r="G7348" s="816"/>
      <c r="H7348" s="816">
        <v>3.9525234999999999</v>
      </c>
      <c r="I7348" s="816"/>
      <c r="J7348" s="817">
        <v>8.6956000000000007</v>
      </c>
      <c r="K7348" s="817"/>
      <c r="L7348" s="817"/>
    </row>
    <row r="7349" spans="1:12">
      <c r="A7349" s="636"/>
      <c r="B7349" s="636"/>
      <c r="C7349" s="636"/>
      <c r="D7349" s="636"/>
      <c r="E7349" s="636"/>
      <c r="F7349" s="636"/>
      <c r="G7349" s="636"/>
      <c r="H7349" s="636"/>
      <c r="I7349" s="636"/>
      <c r="J7349" s="636" t="s">
        <v>13675</v>
      </c>
      <c r="K7349" s="636"/>
      <c r="L7349" s="636" t="s">
        <v>13761</v>
      </c>
    </row>
    <row r="7350" spans="1:12" ht="17.100000000000001" customHeight="1">
      <c r="A7350" s="612" t="s">
        <v>13673</v>
      </c>
      <c r="B7350" s="612"/>
      <c r="C7350" s="612"/>
      <c r="D7350" s="612"/>
      <c r="E7350" s="612"/>
      <c r="F7350" s="612"/>
      <c r="G7350" s="612"/>
      <c r="H7350" s="612"/>
      <c r="I7350" s="612"/>
      <c r="J7350" s="612"/>
      <c r="K7350" s="612"/>
      <c r="L7350" s="612"/>
    </row>
    <row r="7351" spans="1:12" ht="24" customHeight="1">
      <c r="A7351" s="636"/>
      <c r="B7351" s="636"/>
      <c r="C7351" s="636"/>
      <c r="D7351" s="636"/>
      <c r="E7351" s="636"/>
      <c r="F7351" s="636"/>
      <c r="G7351" s="636"/>
      <c r="H7351" s="636"/>
      <c r="I7351" s="636"/>
      <c r="J7351" s="636" t="s">
        <v>13672</v>
      </c>
      <c r="K7351" s="636"/>
      <c r="L7351" s="636" t="s">
        <v>15347</v>
      </c>
    </row>
    <row r="7352" spans="1:12" ht="24" customHeight="1">
      <c r="A7352" s="636"/>
      <c r="B7352" s="636"/>
      <c r="C7352" s="636"/>
      <c r="D7352" s="636"/>
      <c r="E7352" s="636"/>
      <c r="F7352" s="636"/>
      <c r="G7352" s="636"/>
      <c r="H7352" s="636"/>
      <c r="I7352" s="636"/>
      <c r="J7352" s="636" t="s">
        <v>13671</v>
      </c>
      <c r="K7352" s="636" t="s">
        <v>14461</v>
      </c>
      <c r="L7352" s="636" t="s">
        <v>15348</v>
      </c>
    </row>
    <row r="7353" spans="1:12" ht="17.100000000000001" customHeight="1">
      <c r="A7353" s="636"/>
      <c r="B7353" s="636"/>
      <c r="C7353" s="636"/>
      <c r="D7353" s="636"/>
      <c r="E7353" s="636"/>
      <c r="F7353" s="636"/>
      <c r="G7353" s="636"/>
      <c r="H7353" s="636"/>
      <c r="I7353" s="636"/>
      <c r="J7353" s="636" t="s">
        <v>13670</v>
      </c>
      <c r="K7353" s="636"/>
      <c r="L7353" s="636" t="s">
        <v>15349</v>
      </c>
    </row>
    <row r="7354" spans="1:12" ht="17.100000000000001" customHeight="1">
      <c r="A7354" s="636"/>
      <c r="B7354" s="636"/>
      <c r="C7354" s="636"/>
      <c r="D7354" s="636"/>
      <c r="E7354" s="636"/>
      <c r="F7354" s="636"/>
      <c r="G7354" s="636"/>
      <c r="H7354" s="636"/>
      <c r="I7354" s="636"/>
      <c r="J7354" s="636" t="s">
        <v>13669</v>
      </c>
      <c r="K7354" s="636" t="s">
        <v>13667</v>
      </c>
      <c r="L7354" s="636" t="s">
        <v>15225</v>
      </c>
    </row>
    <row r="7355" spans="1:12" ht="17.100000000000001" customHeight="1">
      <c r="A7355" s="636"/>
      <c r="B7355" s="636"/>
      <c r="C7355" s="636"/>
      <c r="D7355" s="636"/>
      <c r="E7355" s="636"/>
      <c r="F7355" s="636"/>
      <c r="G7355" s="636"/>
      <c r="H7355" s="636"/>
      <c r="I7355" s="636"/>
      <c r="J7355" s="636" t="s">
        <v>13668</v>
      </c>
      <c r="K7355" s="636"/>
      <c r="L7355" s="636" t="s">
        <v>15350</v>
      </c>
    </row>
    <row r="7356" spans="1:12" ht="17.100000000000001" customHeight="1">
      <c r="A7356" s="637"/>
      <c r="B7356" s="637"/>
      <c r="C7356" s="637"/>
      <c r="D7356" s="637"/>
      <c r="E7356" s="637"/>
      <c r="F7356" s="637"/>
      <c r="G7356" s="637"/>
      <c r="H7356" s="637"/>
      <c r="I7356" s="637"/>
      <c r="J7356" s="637"/>
      <c r="K7356" s="637"/>
      <c r="L7356" s="637"/>
    </row>
    <row r="7357" spans="1:12" ht="17.100000000000001" customHeight="1">
      <c r="A7357" s="616" t="s">
        <v>13993</v>
      </c>
      <c r="B7357" s="617" t="s">
        <v>13493</v>
      </c>
      <c r="C7357" s="616" t="s">
        <v>8</v>
      </c>
      <c r="D7357" s="616" t="s">
        <v>4493</v>
      </c>
      <c r="E7357" s="618" t="s">
        <v>12730</v>
      </c>
      <c r="F7357" s="617"/>
      <c r="G7357" s="617"/>
      <c r="H7357" s="617"/>
      <c r="I7357" s="617"/>
      <c r="J7357" s="617"/>
      <c r="K7357" s="617"/>
      <c r="L7357" s="617"/>
    </row>
    <row r="7358" spans="1:12" ht="17.100000000000001" customHeight="1">
      <c r="A7358" s="802" t="s">
        <v>12711</v>
      </c>
      <c r="B7358" s="802"/>
      <c r="C7358" s="802"/>
      <c r="D7358" s="802"/>
      <c r="E7358" s="802"/>
      <c r="F7358" s="802"/>
      <c r="G7358" s="802"/>
      <c r="H7358" s="802"/>
      <c r="I7358" s="612"/>
      <c r="J7358" s="612"/>
      <c r="K7358" s="612"/>
      <c r="L7358" s="612"/>
    </row>
    <row r="7359" spans="1:12" ht="17.100000000000001" customHeight="1">
      <c r="A7359" s="612" t="s">
        <v>13679</v>
      </c>
      <c r="B7359" s="636" t="s">
        <v>12698</v>
      </c>
      <c r="C7359" s="612" t="s">
        <v>12699</v>
      </c>
      <c r="D7359" s="612" t="s">
        <v>12700</v>
      </c>
      <c r="E7359" s="637" t="s">
        <v>12702</v>
      </c>
      <c r="F7359" s="801" t="s">
        <v>12704</v>
      </c>
      <c r="G7359" s="801"/>
      <c r="H7359" s="801" t="s">
        <v>13678</v>
      </c>
      <c r="I7359" s="801"/>
      <c r="J7359" s="801" t="s">
        <v>12705</v>
      </c>
      <c r="K7359" s="801"/>
      <c r="L7359" s="801"/>
    </row>
    <row r="7360" spans="1:12" ht="30" customHeight="1">
      <c r="A7360" s="626" t="s">
        <v>12709</v>
      </c>
      <c r="B7360" s="627" t="s">
        <v>13048</v>
      </c>
      <c r="C7360" s="626" t="s">
        <v>8</v>
      </c>
      <c r="D7360" s="626" t="s">
        <v>9233</v>
      </c>
      <c r="E7360" s="628" t="s">
        <v>23</v>
      </c>
      <c r="F7360" s="816" t="s">
        <v>13690</v>
      </c>
      <c r="G7360" s="816"/>
      <c r="H7360" s="816">
        <v>2.3961701999999998</v>
      </c>
      <c r="I7360" s="816"/>
      <c r="J7360" s="817">
        <v>2.4441000000000002</v>
      </c>
      <c r="K7360" s="817"/>
      <c r="L7360" s="817"/>
    </row>
    <row r="7361" spans="1:12" ht="60" customHeight="1">
      <c r="A7361" s="626" t="s">
        <v>12709</v>
      </c>
      <c r="B7361" s="627" t="s">
        <v>13047</v>
      </c>
      <c r="C7361" s="626" t="s">
        <v>8</v>
      </c>
      <c r="D7361" s="626" t="s">
        <v>9380</v>
      </c>
      <c r="E7361" s="628" t="s">
        <v>23</v>
      </c>
      <c r="F7361" s="816" t="s">
        <v>13689</v>
      </c>
      <c r="G7361" s="816"/>
      <c r="H7361" s="816">
        <v>2.3961701999999998</v>
      </c>
      <c r="I7361" s="816"/>
      <c r="J7361" s="817">
        <v>0.91049999999999998</v>
      </c>
      <c r="K7361" s="817"/>
      <c r="L7361" s="817"/>
    </row>
    <row r="7362" spans="1:12" ht="14.25" customHeight="1">
      <c r="A7362" s="636"/>
      <c r="B7362" s="636"/>
      <c r="C7362" s="636"/>
      <c r="D7362" s="636"/>
      <c r="E7362" s="636"/>
      <c r="F7362" s="636"/>
      <c r="G7362" s="636"/>
      <c r="H7362" s="636"/>
      <c r="I7362" s="636"/>
      <c r="J7362" s="636" t="s">
        <v>13675</v>
      </c>
      <c r="K7362" s="636"/>
      <c r="L7362" s="636" t="s">
        <v>14541</v>
      </c>
    </row>
    <row r="7363" spans="1:12" ht="17.100000000000001" customHeight="1">
      <c r="A7363" s="802" t="s">
        <v>12710</v>
      </c>
      <c r="B7363" s="802"/>
      <c r="C7363" s="802"/>
      <c r="D7363" s="802"/>
      <c r="E7363" s="802"/>
      <c r="F7363" s="802"/>
      <c r="G7363" s="802"/>
      <c r="H7363" s="802"/>
      <c r="I7363" s="612"/>
      <c r="J7363" s="612"/>
      <c r="K7363" s="612"/>
      <c r="L7363" s="612"/>
    </row>
    <row r="7364" spans="1:12" ht="24" customHeight="1">
      <c r="A7364" s="612" t="s">
        <v>13679</v>
      </c>
      <c r="B7364" s="636" t="s">
        <v>12698</v>
      </c>
      <c r="C7364" s="612" t="s">
        <v>12699</v>
      </c>
      <c r="D7364" s="612" t="s">
        <v>12700</v>
      </c>
      <c r="E7364" s="637" t="s">
        <v>12702</v>
      </c>
      <c r="F7364" s="801" t="s">
        <v>12704</v>
      </c>
      <c r="G7364" s="801"/>
      <c r="H7364" s="801" t="s">
        <v>13678</v>
      </c>
      <c r="I7364" s="801"/>
      <c r="J7364" s="801" t="s">
        <v>12705</v>
      </c>
      <c r="K7364" s="801"/>
      <c r="L7364" s="801"/>
    </row>
    <row r="7365" spans="1:12" ht="24" customHeight="1">
      <c r="A7365" s="626" t="s">
        <v>12709</v>
      </c>
      <c r="B7365" s="627" t="s">
        <v>13046</v>
      </c>
      <c r="C7365" s="626" t="s">
        <v>8</v>
      </c>
      <c r="D7365" s="626" t="s">
        <v>11281</v>
      </c>
      <c r="E7365" s="628" t="s">
        <v>23</v>
      </c>
      <c r="F7365" s="816" t="s">
        <v>13731</v>
      </c>
      <c r="G7365" s="816"/>
      <c r="H7365" s="816">
        <v>2.4316437</v>
      </c>
      <c r="I7365" s="816"/>
      <c r="J7365" s="817">
        <v>12.4986</v>
      </c>
      <c r="K7365" s="817"/>
      <c r="L7365" s="817"/>
    </row>
    <row r="7366" spans="1:12" ht="24" customHeight="1">
      <c r="A7366" s="636"/>
      <c r="B7366" s="636"/>
      <c r="C7366" s="636"/>
      <c r="D7366" s="636"/>
      <c r="E7366" s="636"/>
      <c r="F7366" s="636"/>
      <c r="G7366" s="636"/>
      <c r="H7366" s="636"/>
      <c r="I7366" s="636"/>
      <c r="J7366" s="636" t="s">
        <v>13675</v>
      </c>
      <c r="K7366" s="636"/>
      <c r="L7366" s="636" t="s">
        <v>14540</v>
      </c>
    </row>
    <row r="7367" spans="1:12" ht="24" customHeight="1">
      <c r="A7367" s="802" t="s">
        <v>12722</v>
      </c>
      <c r="B7367" s="802"/>
      <c r="C7367" s="802"/>
      <c r="D7367" s="802"/>
      <c r="E7367" s="802"/>
      <c r="F7367" s="802"/>
      <c r="G7367" s="802"/>
      <c r="H7367" s="802"/>
      <c r="I7367" s="612"/>
      <c r="J7367" s="612"/>
      <c r="K7367" s="612"/>
      <c r="L7367" s="612"/>
    </row>
    <row r="7368" spans="1:12" ht="17.100000000000001" customHeight="1">
      <c r="A7368" s="612" t="s">
        <v>13679</v>
      </c>
      <c r="B7368" s="636" t="s">
        <v>12698</v>
      </c>
      <c r="C7368" s="612" t="s">
        <v>12699</v>
      </c>
      <c r="D7368" s="612" t="s">
        <v>12700</v>
      </c>
      <c r="E7368" s="637" t="s">
        <v>12702</v>
      </c>
      <c r="F7368" s="801" t="s">
        <v>12704</v>
      </c>
      <c r="G7368" s="801"/>
      <c r="H7368" s="801" t="s">
        <v>13678</v>
      </c>
      <c r="I7368" s="801"/>
      <c r="J7368" s="801" t="s">
        <v>12705</v>
      </c>
      <c r="K7368" s="801"/>
      <c r="L7368" s="801"/>
    </row>
    <row r="7369" spans="1:12" ht="14.25" customHeight="1">
      <c r="A7369" s="626" t="s">
        <v>12709</v>
      </c>
      <c r="B7369" s="627" t="s">
        <v>12998</v>
      </c>
      <c r="C7369" s="626" t="s">
        <v>8</v>
      </c>
      <c r="D7369" s="626" t="s">
        <v>11861</v>
      </c>
      <c r="E7369" s="628" t="s">
        <v>23</v>
      </c>
      <c r="F7369" s="816" t="s">
        <v>13683</v>
      </c>
      <c r="G7369" s="816"/>
      <c r="H7369" s="816">
        <v>2.3961701999999998</v>
      </c>
      <c r="I7369" s="816"/>
      <c r="J7369" s="817">
        <v>1.7013</v>
      </c>
      <c r="K7369" s="817"/>
      <c r="L7369" s="817"/>
    </row>
    <row r="7370" spans="1:12" ht="17.100000000000001" customHeight="1">
      <c r="A7370" s="636"/>
      <c r="B7370" s="636"/>
      <c r="C7370" s="636"/>
      <c r="D7370" s="636"/>
      <c r="E7370" s="636"/>
      <c r="F7370" s="636"/>
      <c r="G7370" s="636"/>
      <c r="H7370" s="636"/>
      <c r="I7370" s="636"/>
      <c r="J7370" s="636" t="s">
        <v>13675</v>
      </c>
      <c r="K7370" s="636"/>
      <c r="L7370" s="636" t="s">
        <v>13833</v>
      </c>
    </row>
    <row r="7371" spans="1:12" ht="24" customHeight="1">
      <c r="A7371" s="802" t="s">
        <v>12713</v>
      </c>
      <c r="B7371" s="802"/>
      <c r="C7371" s="802"/>
      <c r="D7371" s="802"/>
      <c r="E7371" s="802"/>
      <c r="F7371" s="802"/>
      <c r="G7371" s="802"/>
      <c r="H7371" s="802"/>
      <c r="I7371" s="612"/>
      <c r="J7371" s="612"/>
      <c r="K7371" s="612"/>
      <c r="L7371" s="612"/>
    </row>
    <row r="7372" spans="1:12" ht="24" customHeight="1">
      <c r="A7372" s="612" t="s">
        <v>13679</v>
      </c>
      <c r="B7372" s="636" t="s">
        <v>12698</v>
      </c>
      <c r="C7372" s="612" t="s">
        <v>12699</v>
      </c>
      <c r="D7372" s="612" t="s">
        <v>12700</v>
      </c>
      <c r="E7372" s="637" t="s">
        <v>12702</v>
      </c>
      <c r="F7372" s="801" t="s">
        <v>12704</v>
      </c>
      <c r="G7372" s="801"/>
      <c r="H7372" s="801" t="s">
        <v>13678</v>
      </c>
      <c r="I7372" s="801"/>
      <c r="J7372" s="801" t="s">
        <v>12705</v>
      </c>
      <c r="K7372" s="801"/>
      <c r="L7372" s="801"/>
    </row>
    <row r="7373" spans="1:12" ht="17.100000000000001" customHeight="1">
      <c r="A7373" s="626" t="s">
        <v>12709</v>
      </c>
      <c r="B7373" s="627" t="s">
        <v>12999</v>
      </c>
      <c r="C7373" s="626" t="s">
        <v>8</v>
      </c>
      <c r="D7373" s="626" t="s">
        <v>11251</v>
      </c>
      <c r="E7373" s="628" t="s">
        <v>23</v>
      </c>
      <c r="F7373" s="816" t="s">
        <v>13681</v>
      </c>
      <c r="G7373" s="816"/>
      <c r="H7373" s="816">
        <v>2.3961701999999998</v>
      </c>
      <c r="I7373" s="816"/>
      <c r="J7373" s="817">
        <v>0.16769999999999999</v>
      </c>
      <c r="K7373" s="817"/>
      <c r="L7373" s="817"/>
    </row>
    <row r="7374" spans="1:12">
      <c r="A7374" s="636"/>
      <c r="B7374" s="636"/>
      <c r="C7374" s="636"/>
      <c r="D7374" s="636"/>
      <c r="E7374" s="636"/>
      <c r="F7374" s="636"/>
      <c r="G7374" s="636"/>
      <c r="H7374" s="636"/>
      <c r="I7374" s="636"/>
      <c r="J7374" s="636" t="s">
        <v>13675</v>
      </c>
      <c r="K7374" s="636"/>
      <c r="L7374" s="636" t="s">
        <v>13832</v>
      </c>
    </row>
    <row r="7375" spans="1:12" ht="17.100000000000001" customHeight="1">
      <c r="A7375" s="802" t="s">
        <v>12712</v>
      </c>
      <c r="B7375" s="802"/>
      <c r="C7375" s="802"/>
      <c r="D7375" s="802"/>
      <c r="E7375" s="802"/>
      <c r="F7375" s="802"/>
      <c r="G7375" s="802"/>
      <c r="H7375" s="802"/>
      <c r="I7375" s="612"/>
      <c r="J7375" s="612"/>
      <c r="K7375" s="612"/>
      <c r="L7375" s="612"/>
    </row>
    <row r="7376" spans="1:12" ht="24" customHeight="1">
      <c r="A7376" s="612" t="s">
        <v>13679</v>
      </c>
      <c r="B7376" s="636" t="s">
        <v>12698</v>
      </c>
      <c r="C7376" s="612" t="s">
        <v>12699</v>
      </c>
      <c r="D7376" s="612" t="s">
        <v>12700</v>
      </c>
      <c r="E7376" s="637" t="s">
        <v>12702</v>
      </c>
      <c r="F7376" s="801" t="s">
        <v>12704</v>
      </c>
      <c r="G7376" s="801"/>
      <c r="H7376" s="801" t="s">
        <v>13678</v>
      </c>
      <c r="I7376" s="801"/>
      <c r="J7376" s="801" t="s">
        <v>12705</v>
      </c>
      <c r="K7376" s="801"/>
      <c r="L7376" s="801"/>
    </row>
    <row r="7377" spans="1:12" ht="24" customHeight="1">
      <c r="A7377" s="626" t="s">
        <v>12709</v>
      </c>
      <c r="B7377" s="627" t="s">
        <v>13002</v>
      </c>
      <c r="C7377" s="626" t="s">
        <v>8</v>
      </c>
      <c r="D7377" s="626" t="s">
        <v>9306</v>
      </c>
      <c r="E7377" s="628" t="s">
        <v>23</v>
      </c>
      <c r="F7377" s="816" t="s">
        <v>13677</v>
      </c>
      <c r="G7377" s="816"/>
      <c r="H7377" s="816">
        <v>2.3961701999999998</v>
      </c>
      <c r="I7377" s="816"/>
      <c r="J7377" s="817">
        <v>0.8387</v>
      </c>
      <c r="K7377" s="817"/>
      <c r="L7377" s="817"/>
    </row>
    <row r="7378" spans="1:12" ht="24" customHeight="1">
      <c r="A7378" s="626" t="s">
        <v>12709</v>
      </c>
      <c r="B7378" s="627" t="s">
        <v>13004</v>
      </c>
      <c r="C7378" s="626" t="s">
        <v>8</v>
      </c>
      <c r="D7378" s="626" t="s">
        <v>7388</v>
      </c>
      <c r="E7378" s="628" t="s">
        <v>23</v>
      </c>
      <c r="F7378" s="816" t="s">
        <v>13676</v>
      </c>
      <c r="G7378" s="816"/>
      <c r="H7378" s="816">
        <v>2.3961701999999998</v>
      </c>
      <c r="I7378" s="816"/>
      <c r="J7378" s="817">
        <v>5.2716000000000003</v>
      </c>
      <c r="K7378" s="817"/>
      <c r="L7378" s="817"/>
    </row>
    <row r="7379" spans="1:12" ht="24" customHeight="1">
      <c r="A7379" s="636"/>
      <c r="B7379" s="636"/>
      <c r="C7379" s="636"/>
      <c r="D7379" s="636"/>
      <c r="E7379" s="636"/>
      <c r="F7379" s="636"/>
      <c r="G7379" s="636"/>
      <c r="H7379" s="636"/>
      <c r="I7379" s="636"/>
      <c r="J7379" s="636" t="s">
        <v>13675</v>
      </c>
      <c r="K7379" s="636"/>
      <c r="L7379" s="636" t="s">
        <v>13831</v>
      </c>
    </row>
    <row r="7380" spans="1:12" ht="24" customHeight="1">
      <c r="A7380" s="612" t="s">
        <v>13673</v>
      </c>
      <c r="B7380" s="612"/>
      <c r="C7380" s="612"/>
      <c r="D7380" s="612"/>
      <c r="E7380" s="612"/>
      <c r="F7380" s="612"/>
      <c r="G7380" s="612"/>
      <c r="H7380" s="612"/>
      <c r="I7380" s="612"/>
      <c r="J7380" s="612"/>
      <c r="K7380" s="612"/>
      <c r="L7380" s="612"/>
    </row>
    <row r="7381" spans="1:12" ht="36" customHeight="1">
      <c r="A7381" s="636"/>
      <c r="B7381" s="636"/>
      <c r="C7381" s="636"/>
      <c r="D7381" s="636"/>
      <c r="E7381" s="636"/>
      <c r="F7381" s="636"/>
      <c r="G7381" s="636"/>
      <c r="H7381" s="636"/>
      <c r="I7381" s="636"/>
      <c r="J7381" s="636" t="s">
        <v>13672</v>
      </c>
      <c r="K7381" s="636"/>
      <c r="L7381" s="636" t="s">
        <v>15351</v>
      </c>
    </row>
    <row r="7382" spans="1:12" ht="24" customHeight="1">
      <c r="A7382" s="636"/>
      <c r="B7382" s="636"/>
      <c r="C7382" s="636"/>
      <c r="D7382" s="636"/>
      <c r="E7382" s="636"/>
      <c r="F7382" s="636"/>
      <c r="G7382" s="636"/>
      <c r="H7382" s="636"/>
      <c r="I7382" s="636"/>
      <c r="J7382" s="636" t="s">
        <v>13671</v>
      </c>
      <c r="K7382" s="636" t="s">
        <v>14461</v>
      </c>
      <c r="L7382" s="636" t="s">
        <v>15352</v>
      </c>
    </row>
    <row r="7383" spans="1:12" ht="24" customHeight="1">
      <c r="A7383" s="636"/>
      <c r="B7383" s="636"/>
      <c r="C7383" s="636"/>
      <c r="D7383" s="636"/>
      <c r="E7383" s="636"/>
      <c r="F7383" s="636"/>
      <c r="G7383" s="636"/>
      <c r="H7383" s="636"/>
      <c r="I7383" s="636"/>
      <c r="J7383" s="636" t="s">
        <v>13670</v>
      </c>
      <c r="K7383" s="636"/>
      <c r="L7383" s="636" t="s">
        <v>15353</v>
      </c>
    </row>
    <row r="7384" spans="1:12" ht="17.100000000000001" customHeight="1">
      <c r="A7384" s="636"/>
      <c r="B7384" s="636"/>
      <c r="C7384" s="636"/>
      <c r="D7384" s="636"/>
      <c r="E7384" s="636"/>
      <c r="F7384" s="636"/>
      <c r="G7384" s="636"/>
      <c r="H7384" s="636"/>
      <c r="I7384" s="636"/>
      <c r="J7384" s="636" t="s">
        <v>13669</v>
      </c>
      <c r="K7384" s="636" t="s">
        <v>13667</v>
      </c>
      <c r="L7384" s="636" t="s">
        <v>15354</v>
      </c>
    </row>
    <row r="7385" spans="1:12">
      <c r="A7385" s="636"/>
      <c r="B7385" s="636"/>
      <c r="C7385" s="636"/>
      <c r="D7385" s="636"/>
      <c r="E7385" s="636"/>
      <c r="F7385" s="636"/>
      <c r="G7385" s="636"/>
      <c r="H7385" s="636"/>
      <c r="I7385" s="636"/>
      <c r="J7385" s="636" t="s">
        <v>13668</v>
      </c>
      <c r="K7385" s="636"/>
      <c r="L7385" s="636" t="s">
        <v>15355</v>
      </c>
    </row>
    <row r="7386" spans="1:12" ht="17.100000000000001" customHeight="1">
      <c r="A7386" s="637"/>
      <c r="B7386" s="637"/>
      <c r="C7386" s="637"/>
      <c r="D7386" s="637"/>
      <c r="E7386" s="637"/>
      <c r="F7386" s="637"/>
      <c r="G7386" s="637"/>
      <c r="H7386" s="637"/>
      <c r="I7386" s="637"/>
      <c r="J7386" s="637"/>
      <c r="K7386" s="637"/>
      <c r="L7386" s="637"/>
    </row>
    <row r="7387" spans="1:12" ht="24" customHeight="1">
      <c r="A7387" s="616" t="s">
        <v>13992</v>
      </c>
      <c r="B7387" s="617" t="s">
        <v>13637</v>
      </c>
      <c r="C7387" s="616" t="s">
        <v>8</v>
      </c>
      <c r="D7387" s="616" t="s">
        <v>38</v>
      </c>
      <c r="E7387" s="618" t="s">
        <v>12730</v>
      </c>
      <c r="F7387" s="617"/>
      <c r="G7387" s="617"/>
      <c r="H7387" s="617"/>
      <c r="I7387" s="617"/>
      <c r="J7387" s="617"/>
      <c r="K7387" s="617"/>
      <c r="L7387" s="617"/>
    </row>
    <row r="7388" spans="1:12" ht="17.100000000000001" customHeight="1">
      <c r="A7388" s="802" t="s">
        <v>12711</v>
      </c>
      <c r="B7388" s="802"/>
      <c r="C7388" s="802"/>
      <c r="D7388" s="802"/>
      <c r="E7388" s="802"/>
      <c r="F7388" s="802"/>
      <c r="G7388" s="802"/>
      <c r="H7388" s="802"/>
      <c r="I7388" s="612"/>
      <c r="J7388" s="612"/>
      <c r="K7388" s="612"/>
      <c r="L7388" s="612"/>
    </row>
    <row r="7389" spans="1:12">
      <c r="A7389" s="612" t="s">
        <v>13679</v>
      </c>
      <c r="B7389" s="636" t="s">
        <v>12698</v>
      </c>
      <c r="C7389" s="612" t="s">
        <v>12699</v>
      </c>
      <c r="D7389" s="612" t="s">
        <v>12700</v>
      </c>
      <c r="E7389" s="637" t="s">
        <v>12702</v>
      </c>
      <c r="F7389" s="801" t="s">
        <v>12704</v>
      </c>
      <c r="G7389" s="801"/>
      <c r="H7389" s="801" t="s">
        <v>13678</v>
      </c>
      <c r="I7389" s="801"/>
      <c r="J7389" s="801" t="s">
        <v>12705</v>
      </c>
      <c r="K7389" s="801"/>
      <c r="L7389" s="801"/>
    </row>
    <row r="7390" spans="1:12" ht="17.100000000000001" customHeight="1">
      <c r="A7390" s="626" t="s">
        <v>12709</v>
      </c>
      <c r="B7390" s="627" t="s">
        <v>13280</v>
      </c>
      <c r="C7390" s="626" t="s">
        <v>8</v>
      </c>
      <c r="D7390" s="626" t="s">
        <v>8193</v>
      </c>
      <c r="E7390" s="628" t="s">
        <v>35</v>
      </c>
      <c r="F7390" s="816" t="s">
        <v>14491</v>
      </c>
      <c r="G7390" s="816"/>
      <c r="H7390" s="816">
        <v>1.26E-5</v>
      </c>
      <c r="I7390" s="816"/>
      <c r="J7390" s="817">
        <v>3.6513</v>
      </c>
      <c r="K7390" s="817"/>
      <c r="L7390" s="817"/>
    </row>
    <row r="7391" spans="1:12" ht="24" customHeight="1">
      <c r="A7391" s="626" t="s">
        <v>12709</v>
      </c>
      <c r="B7391" s="627" t="s">
        <v>13003</v>
      </c>
      <c r="C7391" s="626" t="s">
        <v>8</v>
      </c>
      <c r="D7391" s="626" t="s">
        <v>9227</v>
      </c>
      <c r="E7391" s="628" t="s">
        <v>23</v>
      </c>
      <c r="F7391" s="816" t="s">
        <v>13732</v>
      </c>
      <c r="G7391" s="816"/>
      <c r="H7391" s="816">
        <v>0.2493167</v>
      </c>
      <c r="I7391" s="816"/>
      <c r="J7391" s="817">
        <v>0.16450000000000001</v>
      </c>
      <c r="K7391" s="817"/>
      <c r="L7391" s="817"/>
    </row>
    <row r="7392" spans="1:12" ht="17.100000000000001" customHeight="1">
      <c r="A7392" s="626" t="s">
        <v>12709</v>
      </c>
      <c r="B7392" s="627" t="s">
        <v>13001</v>
      </c>
      <c r="C7392" s="626" t="s">
        <v>8</v>
      </c>
      <c r="D7392" s="626" t="s">
        <v>9374</v>
      </c>
      <c r="E7392" s="628" t="s">
        <v>23</v>
      </c>
      <c r="F7392" s="816" t="s">
        <v>13728</v>
      </c>
      <c r="G7392" s="816"/>
      <c r="H7392" s="816">
        <v>0.2493167</v>
      </c>
      <c r="I7392" s="816"/>
      <c r="J7392" s="817">
        <v>2.5000000000000001E-3</v>
      </c>
      <c r="K7392" s="817"/>
      <c r="L7392" s="817"/>
    </row>
    <row r="7393" spans="1:12" ht="25.5">
      <c r="A7393" s="626" t="s">
        <v>12709</v>
      </c>
      <c r="B7393" s="627" t="s">
        <v>13048</v>
      </c>
      <c r="C7393" s="626" t="s">
        <v>8</v>
      </c>
      <c r="D7393" s="626" t="s">
        <v>9233</v>
      </c>
      <c r="E7393" s="628" t="s">
        <v>23</v>
      </c>
      <c r="F7393" s="816" t="s">
        <v>13690</v>
      </c>
      <c r="G7393" s="816"/>
      <c r="H7393" s="816">
        <v>0.69808680000000001</v>
      </c>
      <c r="I7393" s="816"/>
      <c r="J7393" s="817">
        <v>0.71199999999999997</v>
      </c>
      <c r="K7393" s="817"/>
      <c r="L7393" s="817"/>
    </row>
    <row r="7394" spans="1:12" ht="17.100000000000001" customHeight="1">
      <c r="A7394" s="626" t="s">
        <v>12709</v>
      </c>
      <c r="B7394" s="627" t="s">
        <v>13047</v>
      </c>
      <c r="C7394" s="626" t="s">
        <v>8</v>
      </c>
      <c r="D7394" s="626" t="s">
        <v>9380</v>
      </c>
      <c r="E7394" s="628" t="s">
        <v>23</v>
      </c>
      <c r="F7394" s="816" t="s">
        <v>13689</v>
      </c>
      <c r="G7394" s="816"/>
      <c r="H7394" s="816">
        <v>0.69808680000000001</v>
      </c>
      <c r="I7394" s="816"/>
      <c r="J7394" s="817">
        <v>0.26529999999999998</v>
      </c>
      <c r="K7394" s="817"/>
      <c r="L7394" s="817"/>
    </row>
    <row r="7395" spans="1:12" ht="24" customHeight="1">
      <c r="A7395" s="636"/>
      <c r="B7395" s="636"/>
      <c r="C7395" s="636"/>
      <c r="D7395" s="636"/>
      <c r="E7395" s="636"/>
      <c r="F7395" s="636"/>
      <c r="G7395" s="636"/>
      <c r="H7395" s="636"/>
      <c r="I7395" s="636"/>
      <c r="J7395" s="636" t="s">
        <v>13675</v>
      </c>
      <c r="K7395" s="636"/>
      <c r="L7395" s="636" t="s">
        <v>13949</v>
      </c>
    </row>
    <row r="7396" spans="1:12" ht="24" customHeight="1">
      <c r="A7396" s="802" t="s">
        <v>12710</v>
      </c>
      <c r="B7396" s="802"/>
      <c r="C7396" s="802"/>
      <c r="D7396" s="802"/>
      <c r="E7396" s="802"/>
      <c r="F7396" s="802"/>
      <c r="G7396" s="802"/>
      <c r="H7396" s="802"/>
      <c r="I7396" s="612"/>
      <c r="J7396" s="612"/>
      <c r="K7396" s="612"/>
      <c r="L7396" s="612"/>
    </row>
    <row r="7397" spans="1:12" ht="17.100000000000001" customHeight="1">
      <c r="A7397" s="612" t="s">
        <v>13679</v>
      </c>
      <c r="B7397" s="636" t="s">
        <v>12698</v>
      </c>
      <c r="C7397" s="612" t="s">
        <v>12699</v>
      </c>
      <c r="D7397" s="612" t="s">
        <v>12700</v>
      </c>
      <c r="E7397" s="637" t="s">
        <v>12702</v>
      </c>
      <c r="F7397" s="801" t="s">
        <v>12704</v>
      </c>
      <c r="G7397" s="801"/>
      <c r="H7397" s="801" t="s">
        <v>13678</v>
      </c>
      <c r="I7397" s="801"/>
      <c r="J7397" s="801" t="s">
        <v>12705</v>
      </c>
      <c r="K7397" s="801"/>
      <c r="L7397" s="801"/>
    </row>
    <row r="7398" spans="1:12" ht="17.100000000000001" customHeight="1">
      <c r="A7398" s="626" t="s">
        <v>12709</v>
      </c>
      <c r="B7398" s="627" t="s">
        <v>13129</v>
      </c>
      <c r="C7398" s="626" t="s">
        <v>8</v>
      </c>
      <c r="D7398" s="626" t="s">
        <v>10467</v>
      </c>
      <c r="E7398" s="628" t="s">
        <v>23</v>
      </c>
      <c r="F7398" s="816" t="s">
        <v>14252</v>
      </c>
      <c r="G7398" s="816"/>
      <c r="H7398" s="816">
        <v>0.25041940000000001</v>
      </c>
      <c r="I7398" s="816"/>
      <c r="J7398" s="817">
        <v>1.2971999999999999</v>
      </c>
      <c r="K7398" s="817"/>
      <c r="L7398" s="817"/>
    </row>
    <row r="7399" spans="1:12" ht="17.100000000000001" customHeight="1">
      <c r="A7399" s="626" t="s">
        <v>12709</v>
      </c>
      <c r="B7399" s="627" t="s">
        <v>13046</v>
      </c>
      <c r="C7399" s="626" t="s">
        <v>8</v>
      </c>
      <c r="D7399" s="626" t="s">
        <v>11281</v>
      </c>
      <c r="E7399" s="628" t="s">
        <v>23</v>
      </c>
      <c r="F7399" s="816" t="s">
        <v>13731</v>
      </c>
      <c r="G7399" s="816"/>
      <c r="H7399" s="816">
        <v>0.70893030000000001</v>
      </c>
      <c r="I7399" s="816"/>
      <c r="J7399" s="817">
        <v>3.6438999999999999</v>
      </c>
      <c r="K7399" s="817"/>
      <c r="L7399" s="817"/>
    </row>
    <row r="7400" spans="1:12" ht="17.100000000000001" customHeight="1">
      <c r="A7400" s="636"/>
      <c r="B7400" s="636"/>
      <c r="C7400" s="636"/>
      <c r="D7400" s="636"/>
      <c r="E7400" s="636"/>
      <c r="F7400" s="636"/>
      <c r="G7400" s="636"/>
      <c r="H7400" s="636"/>
      <c r="I7400" s="636"/>
      <c r="J7400" s="636" t="s">
        <v>13675</v>
      </c>
      <c r="K7400" s="636"/>
      <c r="L7400" s="636" t="s">
        <v>14490</v>
      </c>
    </row>
    <row r="7401" spans="1:12" ht="17.100000000000001" customHeight="1">
      <c r="A7401" s="802" t="s">
        <v>12720</v>
      </c>
      <c r="B7401" s="802"/>
      <c r="C7401" s="802"/>
      <c r="D7401" s="802"/>
      <c r="E7401" s="802"/>
      <c r="F7401" s="802"/>
      <c r="G7401" s="802"/>
      <c r="H7401" s="802"/>
      <c r="I7401" s="612"/>
      <c r="J7401" s="612"/>
      <c r="K7401" s="612"/>
      <c r="L7401" s="612"/>
    </row>
    <row r="7402" spans="1:12" ht="17.100000000000001" customHeight="1">
      <c r="A7402" s="612" t="s">
        <v>13679</v>
      </c>
      <c r="B7402" s="636" t="s">
        <v>12698</v>
      </c>
      <c r="C7402" s="612" t="s">
        <v>12699</v>
      </c>
      <c r="D7402" s="612" t="s">
        <v>12700</v>
      </c>
      <c r="E7402" s="637" t="s">
        <v>12702</v>
      </c>
      <c r="F7402" s="801" t="s">
        <v>12704</v>
      </c>
      <c r="G7402" s="801"/>
      <c r="H7402" s="801" t="s">
        <v>13678</v>
      </c>
      <c r="I7402" s="801"/>
      <c r="J7402" s="801" t="s">
        <v>12705</v>
      </c>
      <c r="K7402" s="801"/>
      <c r="L7402" s="801"/>
    </row>
    <row r="7403" spans="1:12" ht="17.100000000000001" customHeight="1">
      <c r="A7403" s="626" t="s">
        <v>12709</v>
      </c>
      <c r="B7403" s="627" t="s">
        <v>13281</v>
      </c>
      <c r="C7403" s="626" t="s">
        <v>8</v>
      </c>
      <c r="D7403" s="626" t="s">
        <v>8070</v>
      </c>
      <c r="E7403" s="628" t="s">
        <v>35</v>
      </c>
      <c r="F7403" s="816" t="s">
        <v>13730</v>
      </c>
      <c r="G7403" s="816"/>
      <c r="H7403" s="816">
        <v>1.26E-5</v>
      </c>
      <c r="I7403" s="816"/>
      <c r="J7403" s="817">
        <v>0.42749999999999999</v>
      </c>
      <c r="K7403" s="817"/>
      <c r="L7403" s="817"/>
    </row>
    <row r="7404" spans="1:12" ht="30" customHeight="1">
      <c r="A7404" s="636"/>
      <c r="B7404" s="636"/>
      <c r="C7404" s="636"/>
      <c r="D7404" s="636"/>
      <c r="E7404" s="636"/>
      <c r="F7404" s="636"/>
      <c r="G7404" s="636"/>
      <c r="H7404" s="636"/>
      <c r="I7404" s="636"/>
      <c r="J7404" s="636" t="s">
        <v>13675</v>
      </c>
      <c r="K7404" s="636"/>
      <c r="L7404" s="636" t="s">
        <v>13717</v>
      </c>
    </row>
    <row r="7405" spans="1:12" ht="60" customHeight="1">
      <c r="A7405" s="802" t="s">
        <v>12722</v>
      </c>
      <c r="B7405" s="802"/>
      <c r="C7405" s="802"/>
      <c r="D7405" s="802"/>
      <c r="E7405" s="802"/>
      <c r="F7405" s="802"/>
      <c r="G7405" s="802"/>
      <c r="H7405" s="802"/>
      <c r="I7405" s="612"/>
      <c r="J7405" s="612"/>
      <c r="K7405" s="612"/>
      <c r="L7405" s="612"/>
    </row>
    <row r="7406" spans="1:12" ht="14.25" customHeight="1">
      <c r="A7406" s="612" t="s">
        <v>13679</v>
      </c>
      <c r="B7406" s="636" t="s">
        <v>12698</v>
      </c>
      <c r="C7406" s="612" t="s">
        <v>12699</v>
      </c>
      <c r="D7406" s="612" t="s">
        <v>12700</v>
      </c>
      <c r="E7406" s="637" t="s">
        <v>12702</v>
      </c>
      <c r="F7406" s="801" t="s">
        <v>12704</v>
      </c>
      <c r="G7406" s="801"/>
      <c r="H7406" s="801" t="s">
        <v>13678</v>
      </c>
      <c r="I7406" s="801"/>
      <c r="J7406" s="801" t="s">
        <v>12705</v>
      </c>
      <c r="K7406" s="801"/>
      <c r="L7406" s="801"/>
    </row>
    <row r="7407" spans="1:12" ht="17.100000000000001" customHeight="1">
      <c r="A7407" s="626" t="s">
        <v>12709</v>
      </c>
      <c r="B7407" s="627" t="s">
        <v>12998</v>
      </c>
      <c r="C7407" s="626" t="s">
        <v>8</v>
      </c>
      <c r="D7407" s="626" t="s">
        <v>11861</v>
      </c>
      <c r="E7407" s="628" t="s">
        <v>23</v>
      </c>
      <c r="F7407" s="816" t="s">
        <v>13683</v>
      </c>
      <c r="G7407" s="816"/>
      <c r="H7407" s="816">
        <v>0.94740360000000001</v>
      </c>
      <c r="I7407" s="816"/>
      <c r="J7407" s="817">
        <v>0.67269999999999996</v>
      </c>
      <c r="K7407" s="817"/>
      <c r="L7407" s="817"/>
    </row>
    <row r="7408" spans="1:12" ht="24" customHeight="1">
      <c r="A7408" s="636"/>
      <c r="B7408" s="636"/>
      <c r="C7408" s="636"/>
      <c r="D7408" s="636"/>
      <c r="E7408" s="636"/>
      <c r="F7408" s="636"/>
      <c r="G7408" s="636"/>
      <c r="H7408" s="636"/>
      <c r="I7408" s="636"/>
      <c r="J7408" s="636" t="s">
        <v>13675</v>
      </c>
      <c r="K7408" s="636"/>
      <c r="L7408" s="636" t="s">
        <v>13735</v>
      </c>
    </row>
    <row r="7409" spans="1:12" ht="24" customHeight="1">
      <c r="A7409" s="802" t="s">
        <v>12713</v>
      </c>
      <c r="B7409" s="802"/>
      <c r="C7409" s="802"/>
      <c r="D7409" s="802"/>
      <c r="E7409" s="802"/>
      <c r="F7409" s="802"/>
      <c r="G7409" s="802"/>
      <c r="H7409" s="802"/>
      <c r="I7409" s="612"/>
      <c r="J7409" s="612"/>
      <c r="K7409" s="612"/>
      <c r="L7409" s="612"/>
    </row>
    <row r="7410" spans="1:12" ht="24" customHeight="1">
      <c r="A7410" s="612" t="s">
        <v>13679</v>
      </c>
      <c r="B7410" s="636" t="s">
        <v>12698</v>
      </c>
      <c r="C7410" s="612" t="s">
        <v>12699</v>
      </c>
      <c r="D7410" s="612" t="s">
        <v>12700</v>
      </c>
      <c r="E7410" s="637" t="s">
        <v>12702</v>
      </c>
      <c r="F7410" s="801" t="s">
        <v>12704</v>
      </c>
      <c r="G7410" s="801"/>
      <c r="H7410" s="801" t="s">
        <v>13678</v>
      </c>
      <c r="I7410" s="801"/>
      <c r="J7410" s="801" t="s">
        <v>12705</v>
      </c>
      <c r="K7410" s="801"/>
      <c r="L7410" s="801"/>
    </row>
    <row r="7411" spans="1:12" ht="24" customHeight="1">
      <c r="A7411" s="626" t="s">
        <v>12709</v>
      </c>
      <c r="B7411" s="627" t="s">
        <v>12999</v>
      </c>
      <c r="C7411" s="626" t="s">
        <v>8</v>
      </c>
      <c r="D7411" s="626" t="s">
        <v>11251</v>
      </c>
      <c r="E7411" s="628" t="s">
        <v>23</v>
      </c>
      <c r="F7411" s="816" t="s">
        <v>13681</v>
      </c>
      <c r="G7411" s="816"/>
      <c r="H7411" s="816">
        <v>0.94740360000000001</v>
      </c>
      <c r="I7411" s="816"/>
      <c r="J7411" s="817">
        <v>6.6299999999999998E-2</v>
      </c>
      <c r="K7411" s="817"/>
      <c r="L7411" s="817"/>
    </row>
    <row r="7412" spans="1:12" ht="17.100000000000001" customHeight="1">
      <c r="A7412" s="636"/>
      <c r="B7412" s="636"/>
      <c r="C7412" s="636"/>
      <c r="D7412" s="636"/>
      <c r="E7412" s="636"/>
      <c r="F7412" s="636"/>
      <c r="G7412" s="636"/>
      <c r="H7412" s="636"/>
      <c r="I7412" s="636"/>
      <c r="J7412" s="636" t="s">
        <v>13675</v>
      </c>
      <c r="K7412" s="636"/>
      <c r="L7412" s="636" t="s">
        <v>13681</v>
      </c>
    </row>
    <row r="7413" spans="1:12" ht="14.25" customHeight="1">
      <c r="A7413" s="802" t="s">
        <v>12712</v>
      </c>
      <c r="B7413" s="802"/>
      <c r="C7413" s="802"/>
      <c r="D7413" s="802"/>
      <c r="E7413" s="802"/>
      <c r="F7413" s="802"/>
      <c r="G7413" s="802"/>
      <c r="H7413" s="802"/>
      <c r="I7413" s="612"/>
      <c r="J7413" s="612"/>
      <c r="K7413" s="612"/>
      <c r="L7413" s="612"/>
    </row>
    <row r="7414" spans="1:12" ht="17.100000000000001" customHeight="1">
      <c r="A7414" s="612" t="s">
        <v>13679</v>
      </c>
      <c r="B7414" s="636" t="s">
        <v>12698</v>
      </c>
      <c r="C7414" s="612" t="s">
        <v>12699</v>
      </c>
      <c r="D7414" s="612" t="s">
        <v>12700</v>
      </c>
      <c r="E7414" s="637" t="s">
        <v>12702</v>
      </c>
      <c r="F7414" s="801" t="s">
        <v>12704</v>
      </c>
      <c r="G7414" s="801"/>
      <c r="H7414" s="801" t="s">
        <v>13678</v>
      </c>
      <c r="I7414" s="801"/>
      <c r="J7414" s="801" t="s">
        <v>12705</v>
      </c>
      <c r="K7414" s="801"/>
      <c r="L7414" s="801"/>
    </row>
    <row r="7415" spans="1:12" ht="24" customHeight="1">
      <c r="A7415" s="626" t="s">
        <v>12709</v>
      </c>
      <c r="B7415" s="627" t="s">
        <v>13002</v>
      </c>
      <c r="C7415" s="626" t="s">
        <v>8</v>
      </c>
      <c r="D7415" s="626" t="s">
        <v>9306</v>
      </c>
      <c r="E7415" s="628" t="s">
        <v>23</v>
      </c>
      <c r="F7415" s="816" t="s">
        <v>13677</v>
      </c>
      <c r="G7415" s="816"/>
      <c r="H7415" s="816">
        <v>0.94740360000000001</v>
      </c>
      <c r="I7415" s="816"/>
      <c r="J7415" s="817">
        <v>0.33160000000000001</v>
      </c>
      <c r="K7415" s="817"/>
      <c r="L7415" s="817"/>
    </row>
    <row r="7416" spans="1:12" ht="24" customHeight="1">
      <c r="A7416" s="626" t="s">
        <v>12709</v>
      </c>
      <c r="B7416" s="627" t="s">
        <v>13004</v>
      </c>
      <c r="C7416" s="626" t="s">
        <v>8</v>
      </c>
      <c r="D7416" s="626" t="s">
        <v>7388</v>
      </c>
      <c r="E7416" s="628" t="s">
        <v>23</v>
      </c>
      <c r="F7416" s="816" t="s">
        <v>13676</v>
      </c>
      <c r="G7416" s="816"/>
      <c r="H7416" s="816">
        <v>0.94740360000000001</v>
      </c>
      <c r="I7416" s="816"/>
      <c r="J7416" s="817">
        <v>2.0842999999999998</v>
      </c>
      <c r="K7416" s="817"/>
      <c r="L7416" s="817"/>
    </row>
    <row r="7417" spans="1:12" ht="17.100000000000001" customHeight="1">
      <c r="A7417" s="636"/>
      <c r="B7417" s="636"/>
      <c r="C7417" s="636"/>
      <c r="D7417" s="636"/>
      <c r="E7417" s="636"/>
      <c r="F7417" s="636"/>
      <c r="G7417" s="636"/>
      <c r="H7417" s="636"/>
      <c r="I7417" s="636"/>
      <c r="J7417" s="636" t="s">
        <v>13675</v>
      </c>
      <c r="K7417" s="636"/>
      <c r="L7417" s="636" t="s">
        <v>13734</v>
      </c>
    </row>
    <row r="7418" spans="1:12">
      <c r="A7418" s="612" t="s">
        <v>13673</v>
      </c>
      <c r="B7418" s="612"/>
      <c r="C7418" s="612"/>
      <c r="D7418" s="612"/>
      <c r="E7418" s="612"/>
      <c r="F7418" s="612"/>
      <c r="G7418" s="612"/>
      <c r="H7418" s="612"/>
      <c r="I7418" s="612"/>
      <c r="J7418" s="612"/>
      <c r="K7418" s="612"/>
      <c r="L7418" s="612"/>
    </row>
    <row r="7419" spans="1:12" ht="17.100000000000001" customHeight="1">
      <c r="A7419" s="636"/>
      <c r="B7419" s="636"/>
      <c r="C7419" s="636"/>
      <c r="D7419" s="636"/>
      <c r="E7419" s="636"/>
      <c r="F7419" s="636"/>
      <c r="G7419" s="636"/>
      <c r="H7419" s="636"/>
      <c r="I7419" s="636"/>
      <c r="J7419" s="636" t="s">
        <v>13672</v>
      </c>
      <c r="K7419" s="636"/>
      <c r="L7419" s="636" t="s">
        <v>14959</v>
      </c>
    </row>
    <row r="7420" spans="1:12" ht="24" customHeight="1">
      <c r="A7420" s="636"/>
      <c r="B7420" s="636"/>
      <c r="C7420" s="636"/>
      <c r="D7420" s="636"/>
      <c r="E7420" s="636"/>
      <c r="F7420" s="636"/>
      <c r="G7420" s="636"/>
      <c r="H7420" s="636"/>
      <c r="I7420" s="636"/>
      <c r="J7420" s="636" t="s">
        <v>13671</v>
      </c>
      <c r="K7420" s="636" t="s">
        <v>14461</v>
      </c>
      <c r="L7420" s="636" t="s">
        <v>14960</v>
      </c>
    </row>
    <row r="7421" spans="1:12" ht="24" customHeight="1">
      <c r="A7421" s="636"/>
      <c r="B7421" s="636"/>
      <c r="C7421" s="636"/>
      <c r="D7421" s="636"/>
      <c r="E7421" s="636"/>
      <c r="F7421" s="636"/>
      <c r="G7421" s="636"/>
      <c r="H7421" s="636"/>
      <c r="I7421" s="636"/>
      <c r="J7421" s="636" t="s">
        <v>13670</v>
      </c>
      <c r="K7421" s="636"/>
      <c r="L7421" s="636" t="s">
        <v>14961</v>
      </c>
    </row>
    <row r="7422" spans="1:12" ht="24" customHeight="1">
      <c r="A7422" s="636"/>
      <c r="B7422" s="636"/>
      <c r="C7422" s="636"/>
      <c r="D7422" s="636"/>
      <c r="E7422" s="636"/>
      <c r="F7422" s="636"/>
      <c r="G7422" s="636"/>
      <c r="H7422" s="636"/>
      <c r="I7422" s="636"/>
      <c r="J7422" s="636" t="s">
        <v>13669</v>
      </c>
      <c r="K7422" s="636" t="s">
        <v>13667</v>
      </c>
      <c r="L7422" s="636" t="s">
        <v>14962</v>
      </c>
    </row>
    <row r="7423" spans="1:12" ht="24" customHeight="1">
      <c r="A7423" s="636"/>
      <c r="B7423" s="636"/>
      <c r="C7423" s="636"/>
      <c r="D7423" s="636"/>
      <c r="E7423" s="636"/>
      <c r="F7423" s="636"/>
      <c r="G7423" s="636"/>
      <c r="H7423" s="636"/>
      <c r="I7423" s="636"/>
      <c r="J7423" s="636" t="s">
        <v>13668</v>
      </c>
      <c r="K7423" s="636"/>
      <c r="L7423" s="636" t="s">
        <v>14963</v>
      </c>
    </row>
    <row r="7424" spans="1:12" ht="36" customHeight="1">
      <c r="A7424" s="637"/>
      <c r="B7424" s="637"/>
      <c r="C7424" s="637"/>
      <c r="D7424" s="637"/>
      <c r="E7424" s="637"/>
      <c r="F7424" s="637"/>
      <c r="G7424" s="637"/>
      <c r="H7424" s="637"/>
      <c r="I7424" s="637"/>
      <c r="J7424" s="637"/>
      <c r="K7424" s="637"/>
      <c r="L7424" s="637"/>
    </row>
    <row r="7425" spans="1:12" ht="24" customHeight="1">
      <c r="A7425" s="616" t="s">
        <v>13991</v>
      </c>
      <c r="B7425" s="617" t="s">
        <v>13655</v>
      </c>
      <c r="C7425" s="616" t="s">
        <v>8</v>
      </c>
      <c r="D7425" s="616" t="s">
        <v>4680</v>
      </c>
      <c r="E7425" s="618" t="s">
        <v>144</v>
      </c>
      <c r="F7425" s="617"/>
      <c r="G7425" s="617"/>
      <c r="H7425" s="617"/>
      <c r="I7425" s="617"/>
      <c r="J7425" s="617"/>
      <c r="K7425" s="617"/>
      <c r="L7425" s="617"/>
    </row>
    <row r="7426" spans="1:12" ht="24" customHeight="1">
      <c r="A7426" s="802" t="s">
        <v>12711</v>
      </c>
      <c r="B7426" s="802"/>
      <c r="C7426" s="802"/>
      <c r="D7426" s="802"/>
      <c r="E7426" s="802"/>
      <c r="F7426" s="802"/>
      <c r="G7426" s="802"/>
      <c r="H7426" s="802"/>
      <c r="I7426" s="612"/>
      <c r="J7426" s="612"/>
      <c r="K7426" s="612"/>
      <c r="L7426" s="612"/>
    </row>
    <row r="7427" spans="1:12" ht="24" customHeight="1">
      <c r="A7427" s="612" t="s">
        <v>13679</v>
      </c>
      <c r="B7427" s="636" t="s">
        <v>12698</v>
      </c>
      <c r="C7427" s="612" t="s">
        <v>12699</v>
      </c>
      <c r="D7427" s="612" t="s">
        <v>12700</v>
      </c>
      <c r="E7427" s="637" t="s">
        <v>12702</v>
      </c>
      <c r="F7427" s="801" t="s">
        <v>12704</v>
      </c>
      <c r="G7427" s="801"/>
      <c r="H7427" s="801" t="s">
        <v>13678</v>
      </c>
      <c r="I7427" s="801"/>
      <c r="J7427" s="801" t="s">
        <v>12705</v>
      </c>
      <c r="K7427" s="801"/>
      <c r="L7427" s="801"/>
    </row>
    <row r="7428" spans="1:12" ht="17.100000000000001" customHeight="1">
      <c r="A7428" s="626" t="s">
        <v>12709</v>
      </c>
      <c r="B7428" s="627" t="s">
        <v>13289</v>
      </c>
      <c r="C7428" s="626" t="s">
        <v>8</v>
      </c>
      <c r="D7428" s="626" t="s">
        <v>8192</v>
      </c>
      <c r="E7428" s="628" t="s">
        <v>35</v>
      </c>
      <c r="F7428" s="816" t="s">
        <v>14489</v>
      </c>
      <c r="G7428" s="816"/>
      <c r="H7428" s="816">
        <v>1.3999999999999999E-6</v>
      </c>
      <c r="I7428" s="816"/>
      <c r="J7428" s="817">
        <v>0.38529999999999998</v>
      </c>
      <c r="K7428" s="817"/>
      <c r="L7428" s="817"/>
    </row>
    <row r="7429" spans="1:12" ht="25.5">
      <c r="A7429" s="626" t="s">
        <v>12709</v>
      </c>
      <c r="B7429" s="627" t="s">
        <v>13003</v>
      </c>
      <c r="C7429" s="626" t="s">
        <v>8</v>
      </c>
      <c r="D7429" s="626" t="s">
        <v>9227</v>
      </c>
      <c r="E7429" s="628" t="s">
        <v>23</v>
      </c>
      <c r="F7429" s="816" t="s">
        <v>13732</v>
      </c>
      <c r="G7429" s="816"/>
      <c r="H7429" s="816">
        <v>1.3021899999999999E-2</v>
      </c>
      <c r="I7429" s="816"/>
      <c r="J7429" s="817">
        <v>8.6E-3</v>
      </c>
      <c r="K7429" s="817"/>
      <c r="L7429" s="817"/>
    </row>
    <row r="7430" spans="1:12" ht="17.100000000000001" customHeight="1">
      <c r="A7430" s="626" t="s">
        <v>12709</v>
      </c>
      <c r="B7430" s="627" t="s">
        <v>13001</v>
      </c>
      <c r="C7430" s="626" t="s">
        <v>8</v>
      </c>
      <c r="D7430" s="626" t="s">
        <v>9374</v>
      </c>
      <c r="E7430" s="628" t="s">
        <v>23</v>
      </c>
      <c r="F7430" s="816" t="s">
        <v>13728</v>
      </c>
      <c r="G7430" s="816"/>
      <c r="H7430" s="816">
        <v>1.3021899999999999E-2</v>
      </c>
      <c r="I7430" s="816"/>
      <c r="J7430" s="817">
        <v>1E-4</v>
      </c>
      <c r="K7430" s="817"/>
      <c r="L7430" s="817"/>
    </row>
    <row r="7431" spans="1:12" ht="24" customHeight="1">
      <c r="A7431" s="636"/>
      <c r="B7431" s="636"/>
      <c r="C7431" s="636"/>
      <c r="D7431" s="636"/>
      <c r="E7431" s="636"/>
      <c r="F7431" s="636"/>
      <c r="G7431" s="636"/>
      <c r="H7431" s="636"/>
      <c r="I7431" s="636"/>
      <c r="J7431" s="636" t="s">
        <v>13675</v>
      </c>
      <c r="K7431" s="636"/>
      <c r="L7431" s="636" t="s">
        <v>13784</v>
      </c>
    </row>
    <row r="7432" spans="1:12" ht="17.100000000000001" customHeight="1">
      <c r="A7432" s="802" t="s">
        <v>12710</v>
      </c>
      <c r="B7432" s="802"/>
      <c r="C7432" s="802"/>
      <c r="D7432" s="802"/>
      <c r="E7432" s="802"/>
      <c r="F7432" s="802"/>
      <c r="G7432" s="802"/>
      <c r="H7432" s="802"/>
      <c r="I7432" s="612"/>
      <c r="J7432" s="612"/>
      <c r="K7432" s="612"/>
      <c r="L7432" s="612"/>
    </row>
    <row r="7433" spans="1:12">
      <c r="A7433" s="612" t="s">
        <v>13679</v>
      </c>
      <c r="B7433" s="636" t="s">
        <v>12698</v>
      </c>
      <c r="C7433" s="612" t="s">
        <v>12699</v>
      </c>
      <c r="D7433" s="612" t="s">
        <v>12700</v>
      </c>
      <c r="E7433" s="637" t="s">
        <v>12702</v>
      </c>
      <c r="F7433" s="801" t="s">
        <v>12704</v>
      </c>
      <c r="G7433" s="801"/>
      <c r="H7433" s="801" t="s">
        <v>13678</v>
      </c>
      <c r="I7433" s="801"/>
      <c r="J7433" s="801" t="s">
        <v>12705</v>
      </c>
      <c r="K7433" s="801"/>
      <c r="L7433" s="801"/>
    </row>
    <row r="7434" spans="1:12" ht="17.100000000000001" customHeight="1">
      <c r="A7434" s="626" t="s">
        <v>12709</v>
      </c>
      <c r="B7434" s="627" t="s">
        <v>13129</v>
      </c>
      <c r="C7434" s="626" t="s">
        <v>8</v>
      </c>
      <c r="D7434" s="626" t="s">
        <v>10467</v>
      </c>
      <c r="E7434" s="628" t="s">
        <v>23</v>
      </c>
      <c r="F7434" s="816" t="s">
        <v>14252</v>
      </c>
      <c r="G7434" s="816"/>
      <c r="H7434" s="816">
        <v>1.25235E-2</v>
      </c>
      <c r="I7434" s="816"/>
      <c r="J7434" s="817">
        <v>6.4899999999999999E-2</v>
      </c>
      <c r="K7434" s="817"/>
      <c r="L7434" s="817"/>
    </row>
    <row r="7435" spans="1:12" ht="24" customHeight="1">
      <c r="A7435" s="636"/>
      <c r="B7435" s="636"/>
      <c r="C7435" s="636"/>
      <c r="D7435" s="636"/>
      <c r="E7435" s="636"/>
      <c r="F7435" s="636"/>
      <c r="G7435" s="636"/>
      <c r="H7435" s="636"/>
      <c r="I7435" s="636"/>
      <c r="J7435" s="636" t="s">
        <v>13675</v>
      </c>
      <c r="K7435" s="636"/>
      <c r="L7435" s="636" t="s">
        <v>13708</v>
      </c>
    </row>
    <row r="7436" spans="1:12" ht="17.100000000000001" customHeight="1">
      <c r="A7436" s="802" t="s">
        <v>12720</v>
      </c>
      <c r="B7436" s="802"/>
      <c r="C7436" s="802"/>
      <c r="D7436" s="802"/>
      <c r="E7436" s="802"/>
      <c r="F7436" s="802"/>
      <c r="G7436" s="802"/>
      <c r="H7436" s="802"/>
      <c r="I7436" s="612"/>
      <c r="J7436" s="612"/>
      <c r="K7436" s="612"/>
      <c r="L7436" s="612"/>
    </row>
    <row r="7437" spans="1:12">
      <c r="A7437" s="612" t="s">
        <v>13679</v>
      </c>
      <c r="B7437" s="636" t="s">
        <v>12698</v>
      </c>
      <c r="C7437" s="612" t="s">
        <v>12699</v>
      </c>
      <c r="D7437" s="612" t="s">
        <v>12700</v>
      </c>
      <c r="E7437" s="637" t="s">
        <v>12702</v>
      </c>
      <c r="F7437" s="801" t="s">
        <v>12704</v>
      </c>
      <c r="G7437" s="801"/>
      <c r="H7437" s="801" t="s">
        <v>13678</v>
      </c>
      <c r="I7437" s="801"/>
      <c r="J7437" s="801" t="s">
        <v>12705</v>
      </c>
      <c r="K7437" s="801"/>
      <c r="L7437" s="801"/>
    </row>
    <row r="7438" spans="1:12" ht="17.100000000000001" customHeight="1">
      <c r="A7438" s="626" t="s">
        <v>12709</v>
      </c>
      <c r="B7438" s="627" t="s">
        <v>13281</v>
      </c>
      <c r="C7438" s="626" t="s">
        <v>8</v>
      </c>
      <c r="D7438" s="626" t="s">
        <v>8070</v>
      </c>
      <c r="E7438" s="628" t="s">
        <v>35</v>
      </c>
      <c r="F7438" s="816" t="s">
        <v>13730</v>
      </c>
      <c r="G7438" s="816"/>
      <c r="H7438" s="816">
        <v>1.3999999999999999E-6</v>
      </c>
      <c r="I7438" s="816"/>
      <c r="J7438" s="817">
        <v>4.7500000000000001E-2</v>
      </c>
      <c r="K7438" s="817"/>
      <c r="L7438" s="817"/>
    </row>
    <row r="7439" spans="1:12" ht="24" customHeight="1">
      <c r="A7439" s="626" t="s">
        <v>12709</v>
      </c>
      <c r="B7439" s="627" t="s">
        <v>13007</v>
      </c>
      <c r="C7439" s="626" t="s">
        <v>8</v>
      </c>
      <c r="D7439" s="626" t="s">
        <v>10549</v>
      </c>
      <c r="E7439" s="628" t="s">
        <v>58</v>
      </c>
      <c r="F7439" s="816" t="s">
        <v>14172</v>
      </c>
      <c r="G7439" s="816"/>
      <c r="H7439" s="816">
        <v>0.14194129999999999</v>
      </c>
      <c r="I7439" s="816"/>
      <c r="J7439" s="817">
        <v>0.45989999999999998</v>
      </c>
      <c r="K7439" s="817"/>
      <c r="L7439" s="817"/>
    </row>
    <row r="7440" spans="1:12" ht="24" customHeight="1">
      <c r="A7440" s="636"/>
      <c r="B7440" s="636"/>
      <c r="C7440" s="636"/>
      <c r="D7440" s="636"/>
      <c r="E7440" s="636"/>
      <c r="F7440" s="636"/>
      <c r="G7440" s="636"/>
      <c r="H7440" s="636"/>
      <c r="I7440" s="636"/>
      <c r="J7440" s="636" t="s">
        <v>13675</v>
      </c>
      <c r="K7440" s="636"/>
      <c r="L7440" s="636" t="s">
        <v>13746</v>
      </c>
    </row>
    <row r="7441" spans="1:12" ht="17.100000000000001" customHeight="1">
      <c r="A7441" s="802" t="s">
        <v>12722</v>
      </c>
      <c r="B7441" s="802"/>
      <c r="C7441" s="802"/>
      <c r="D7441" s="802"/>
      <c r="E7441" s="802"/>
      <c r="F7441" s="802"/>
      <c r="G7441" s="802"/>
      <c r="H7441" s="802"/>
      <c r="I7441" s="612"/>
      <c r="J7441" s="612"/>
      <c r="K7441" s="612"/>
      <c r="L7441" s="612"/>
    </row>
    <row r="7442" spans="1:12" ht="17.100000000000001" customHeight="1">
      <c r="A7442" s="612" t="s">
        <v>13679</v>
      </c>
      <c r="B7442" s="636" t="s">
        <v>12698</v>
      </c>
      <c r="C7442" s="612" t="s">
        <v>12699</v>
      </c>
      <c r="D7442" s="612" t="s">
        <v>12700</v>
      </c>
      <c r="E7442" s="637" t="s">
        <v>12702</v>
      </c>
      <c r="F7442" s="801" t="s">
        <v>12704</v>
      </c>
      <c r="G7442" s="801"/>
      <c r="H7442" s="801" t="s">
        <v>13678</v>
      </c>
      <c r="I7442" s="801"/>
      <c r="J7442" s="801" t="s">
        <v>12705</v>
      </c>
      <c r="K7442" s="801"/>
      <c r="L7442" s="801"/>
    </row>
    <row r="7443" spans="1:12" ht="17.100000000000001" customHeight="1">
      <c r="A7443" s="626" t="s">
        <v>12709</v>
      </c>
      <c r="B7443" s="627" t="s">
        <v>12998</v>
      </c>
      <c r="C7443" s="626" t="s">
        <v>8</v>
      </c>
      <c r="D7443" s="626" t="s">
        <v>11861</v>
      </c>
      <c r="E7443" s="628" t="s">
        <v>23</v>
      </c>
      <c r="F7443" s="816" t="s">
        <v>13683</v>
      </c>
      <c r="G7443" s="816"/>
      <c r="H7443" s="816">
        <v>1.3021899999999999E-2</v>
      </c>
      <c r="I7443" s="816"/>
      <c r="J7443" s="817">
        <v>9.1999999999999998E-3</v>
      </c>
      <c r="K7443" s="817"/>
      <c r="L7443" s="817"/>
    </row>
    <row r="7444" spans="1:12" ht="17.100000000000001" customHeight="1">
      <c r="A7444" s="636"/>
      <c r="B7444" s="636"/>
      <c r="C7444" s="636"/>
      <c r="D7444" s="636"/>
      <c r="E7444" s="636"/>
      <c r="F7444" s="636"/>
      <c r="G7444" s="636"/>
      <c r="H7444" s="636"/>
      <c r="I7444" s="636"/>
      <c r="J7444" s="636" t="s">
        <v>13675</v>
      </c>
      <c r="K7444" s="636"/>
      <c r="L7444" s="636" t="s">
        <v>13728</v>
      </c>
    </row>
    <row r="7445" spans="1:12" ht="17.100000000000001" customHeight="1">
      <c r="A7445" s="802" t="s">
        <v>12713</v>
      </c>
      <c r="B7445" s="802"/>
      <c r="C7445" s="802"/>
      <c r="D7445" s="802"/>
      <c r="E7445" s="802"/>
      <c r="F7445" s="802"/>
      <c r="G7445" s="802"/>
      <c r="H7445" s="802"/>
      <c r="I7445" s="612"/>
      <c r="J7445" s="612"/>
      <c r="K7445" s="612"/>
      <c r="L7445" s="612"/>
    </row>
    <row r="7446" spans="1:12" ht="17.100000000000001" customHeight="1">
      <c r="A7446" s="612" t="s">
        <v>13679</v>
      </c>
      <c r="B7446" s="636" t="s">
        <v>12698</v>
      </c>
      <c r="C7446" s="612" t="s">
        <v>12699</v>
      </c>
      <c r="D7446" s="612" t="s">
        <v>12700</v>
      </c>
      <c r="E7446" s="637" t="s">
        <v>12702</v>
      </c>
      <c r="F7446" s="801" t="s">
        <v>12704</v>
      </c>
      <c r="G7446" s="801"/>
      <c r="H7446" s="801" t="s">
        <v>13678</v>
      </c>
      <c r="I7446" s="801"/>
      <c r="J7446" s="801" t="s">
        <v>12705</v>
      </c>
      <c r="K7446" s="801"/>
      <c r="L7446" s="801"/>
    </row>
    <row r="7447" spans="1:12" ht="17.100000000000001" customHeight="1">
      <c r="A7447" s="626" t="s">
        <v>12709</v>
      </c>
      <c r="B7447" s="627" t="s">
        <v>12999</v>
      </c>
      <c r="C7447" s="626" t="s">
        <v>8</v>
      </c>
      <c r="D7447" s="626" t="s">
        <v>11251</v>
      </c>
      <c r="E7447" s="628" t="s">
        <v>23</v>
      </c>
      <c r="F7447" s="816" t="s">
        <v>13681</v>
      </c>
      <c r="G7447" s="816"/>
      <c r="H7447" s="816">
        <v>1.3021899999999999E-2</v>
      </c>
      <c r="I7447" s="816"/>
      <c r="J7447" s="817">
        <v>8.9999999999999998E-4</v>
      </c>
      <c r="K7447" s="817"/>
      <c r="L7447" s="817"/>
    </row>
    <row r="7448" spans="1:12" ht="30" customHeight="1">
      <c r="A7448" s="636"/>
      <c r="B7448" s="636"/>
      <c r="C7448" s="636"/>
      <c r="D7448" s="636"/>
      <c r="E7448" s="636"/>
      <c r="F7448" s="636"/>
      <c r="G7448" s="636"/>
      <c r="H7448" s="636"/>
      <c r="I7448" s="636"/>
      <c r="J7448" s="636" t="s">
        <v>13675</v>
      </c>
      <c r="K7448" s="636"/>
      <c r="L7448" s="636" t="s">
        <v>13727</v>
      </c>
    </row>
    <row r="7449" spans="1:12" ht="24" customHeight="1">
      <c r="A7449" s="802" t="s">
        <v>12712</v>
      </c>
      <c r="B7449" s="802"/>
      <c r="C7449" s="802"/>
      <c r="D7449" s="802"/>
      <c r="E7449" s="802"/>
      <c r="F7449" s="802"/>
      <c r="G7449" s="802"/>
      <c r="H7449" s="802"/>
      <c r="I7449" s="612"/>
      <c r="J7449" s="612"/>
      <c r="K7449" s="612"/>
      <c r="L7449" s="612"/>
    </row>
    <row r="7450" spans="1:12" ht="14.25" customHeight="1">
      <c r="A7450" s="612" t="s">
        <v>13679</v>
      </c>
      <c r="B7450" s="636" t="s">
        <v>12698</v>
      </c>
      <c r="C7450" s="612" t="s">
        <v>12699</v>
      </c>
      <c r="D7450" s="612" t="s">
        <v>12700</v>
      </c>
      <c r="E7450" s="637" t="s">
        <v>12702</v>
      </c>
      <c r="F7450" s="801" t="s">
        <v>12704</v>
      </c>
      <c r="G7450" s="801"/>
      <c r="H7450" s="801" t="s">
        <v>13678</v>
      </c>
      <c r="I7450" s="801"/>
      <c r="J7450" s="801" t="s">
        <v>12705</v>
      </c>
      <c r="K7450" s="801"/>
      <c r="L7450" s="801"/>
    </row>
    <row r="7451" spans="1:12" ht="17.100000000000001" customHeight="1">
      <c r="A7451" s="626" t="s">
        <v>12709</v>
      </c>
      <c r="B7451" s="627" t="s">
        <v>13002</v>
      </c>
      <c r="C7451" s="626" t="s">
        <v>8</v>
      </c>
      <c r="D7451" s="626" t="s">
        <v>9306</v>
      </c>
      <c r="E7451" s="628" t="s">
        <v>23</v>
      </c>
      <c r="F7451" s="816" t="s">
        <v>13677</v>
      </c>
      <c r="G7451" s="816"/>
      <c r="H7451" s="816">
        <v>1.3021899999999999E-2</v>
      </c>
      <c r="I7451" s="816"/>
      <c r="J7451" s="817">
        <v>4.5999999999999999E-3</v>
      </c>
      <c r="K7451" s="817"/>
      <c r="L7451" s="817"/>
    </row>
    <row r="7452" spans="1:12" ht="24" customHeight="1">
      <c r="A7452" s="626" t="s">
        <v>12709</v>
      </c>
      <c r="B7452" s="627" t="s">
        <v>13004</v>
      </c>
      <c r="C7452" s="626" t="s">
        <v>8</v>
      </c>
      <c r="D7452" s="626" t="s">
        <v>7388</v>
      </c>
      <c r="E7452" s="628" t="s">
        <v>23</v>
      </c>
      <c r="F7452" s="816" t="s">
        <v>13676</v>
      </c>
      <c r="G7452" s="816"/>
      <c r="H7452" s="816">
        <v>1.3021899999999999E-2</v>
      </c>
      <c r="I7452" s="816"/>
      <c r="J7452" s="817">
        <v>2.86E-2</v>
      </c>
      <c r="K7452" s="817"/>
      <c r="L7452" s="817"/>
    </row>
    <row r="7453" spans="1:12" ht="24" customHeight="1">
      <c r="A7453" s="636"/>
      <c r="B7453" s="636"/>
      <c r="C7453" s="636"/>
      <c r="D7453" s="636"/>
      <c r="E7453" s="636"/>
      <c r="F7453" s="636"/>
      <c r="G7453" s="636"/>
      <c r="H7453" s="636"/>
      <c r="I7453" s="636"/>
      <c r="J7453" s="636" t="s">
        <v>13675</v>
      </c>
      <c r="K7453" s="636"/>
      <c r="L7453" s="636" t="s">
        <v>13726</v>
      </c>
    </row>
    <row r="7454" spans="1:12" ht="24" customHeight="1">
      <c r="A7454" s="612" t="s">
        <v>13673</v>
      </c>
      <c r="B7454" s="612"/>
      <c r="C7454" s="612"/>
      <c r="D7454" s="612"/>
      <c r="E7454" s="612"/>
      <c r="F7454" s="612"/>
      <c r="G7454" s="612"/>
      <c r="H7454" s="612"/>
      <c r="I7454" s="612"/>
      <c r="J7454" s="612"/>
      <c r="K7454" s="612"/>
      <c r="L7454" s="612"/>
    </row>
    <row r="7455" spans="1:12" ht="24" customHeight="1">
      <c r="A7455" s="636"/>
      <c r="B7455" s="636"/>
      <c r="C7455" s="636"/>
      <c r="D7455" s="636"/>
      <c r="E7455" s="636"/>
      <c r="F7455" s="636"/>
      <c r="G7455" s="636"/>
      <c r="H7455" s="636"/>
      <c r="I7455" s="636"/>
      <c r="J7455" s="636" t="s">
        <v>13672</v>
      </c>
      <c r="K7455" s="636"/>
      <c r="L7455" s="636" t="s">
        <v>14886</v>
      </c>
    </row>
    <row r="7456" spans="1:12" ht="17.100000000000001" customHeight="1">
      <c r="A7456" s="636"/>
      <c r="B7456" s="636"/>
      <c r="C7456" s="636"/>
      <c r="D7456" s="636"/>
      <c r="E7456" s="636"/>
      <c r="F7456" s="636"/>
      <c r="G7456" s="636"/>
      <c r="H7456" s="636"/>
      <c r="I7456" s="636"/>
      <c r="J7456" s="636" t="s">
        <v>13671</v>
      </c>
      <c r="K7456" s="636" t="s">
        <v>14461</v>
      </c>
      <c r="L7456" s="636" t="s">
        <v>14879</v>
      </c>
    </row>
    <row r="7457" spans="1:12" ht="14.25" customHeight="1">
      <c r="A7457" s="636"/>
      <c r="B7457" s="636"/>
      <c r="C7457" s="636"/>
      <c r="D7457" s="636"/>
      <c r="E7457" s="636"/>
      <c r="F7457" s="636"/>
      <c r="G7457" s="636"/>
      <c r="H7457" s="636"/>
      <c r="I7457" s="636"/>
      <c r="J7457" s="636" t="s">
        <v>13670</v>
      </c>
      <c r="K7457" s="636"/>
      <c r="L7457" s="636" t="s">
        <v>14887</v>
      </c>
    </row>
    <row r="7458" spans="1:12" ht="17.100000000000001" customHeight="1">
      <c r="A7458" s="636"/>
      <c r="B7458" s="636"/>
      <c r="C7458" s="636"/>
      <c r="D7458" s="636"/>
      <c r="E7458" s="636"/>
      <c r="F7458" s="636"/>
      <c r="G7458" s="636"/>
      <c r="H7458" s="636"/>
      <c r="I7458" s="636"/>
      <c r="J7458" s="636" t="s">
        <v>13669</v>
      </c>
      <c r="K7458" s="636" t="s">
        <v>13667</v>
      </c>
      <c r="L7458" s="636" t="s">
        <v>14888</v>
      </c>
    </row>
    <row r="7459" spans="1:12" ht="24" customHeight="1">
      <c r="A7459" s="636"/>
      <c r="B7459" s="636"/>
      <c r="C7459" s="636"/>
      <c r="D7459" s="636"/>
      <c r="E7459" s="636"/>
      <c r="F7459" s="636"/>
      <c r="G7459" s="636"/>
      <c r="H7459" s="636"/>
      <c r="I7459" s="636"/>
      <c r="J7459" s="636" t="s">
        <v>13668</v>
      </c>
      <c r="K7459" s="636"/>
      <c r="L7459" s="636" t="s">
        <v>14889</v>
      </c>
    </row>
    <row r="7460" spans="1:12" ht="24" customHeight="1">
      <c r="A7460" s="637"/>
      <c r="B7460" s="637"/>
      <c r="C7460" s="637"/>
      <c r="D7460" s="637"/>
      <c r="E7460" s="637"/>
      <c r="F7460" s="637"/>
      <c r="G7460" s="637"/>
      <c r="H7460" s="637"/>
      <c r="I7460" s="637"/>
      <c r="J7460" s="637"/>
      <c r="K7460" s="637"/>
      <c r="L7460" s="637"/>
    </row>
    <row r="7461" spans="1:12" ht="17.100000000000001" customHeight="1">
      <c r="A7461" s="616" t="s">
        <v>15425</v>
      </c>
      <c r="B7461" s="617" t="s">
        <v>14847</v>
      </c>
      <c r="C7461" s="616" t="s">
        <v>8</v>
      </c>
      <c r="D7461" s="616" t="s">
        <v>3739</v>
      </c>
      <c r="E7461" s="618" t="s">
        <v>35</v>
      </c>
      <c r="F7461" s="617"/>
      <c r="G7461" s="617"/>
      <c r="H7461" s="617"/>
      <c r="I7461" s="617"/>
      <c r="J7461" s="617"/>
      <c r="K7461" s="617"/>
      <c r="L7461" s="617"/>
    </row>
    <row r="7462" spans="1:12">
      <c r="A7462" s="802" t="s">
        <v>12711</v>
      </c>
      <c r="B7462" s="802"/>
      <c r="C7462" s="802"/>
      <c r="D7462" s="802"/>
      <c r="E7462" s="802"/>
      <c r="F7462" s="802"/>
      <c r="G7462" s="802"/>
      <c r="H7462" s="802"/>
      <c r="I7462" s="612"/>
      <c r="J7462" s="612"/>
      <c r="K7462" s="612"/>
      <c r="L7462" s="612"/>
    </row>
    <row r="7463" spans="1:12" ht="17.100000000000001" customHeight="1">
      <c r="A7463" s="612" t="s">
        <v>13679</v>
      </c>
      <c r="B7463" s="636" t="s">
        <v>12698</v>
      </c>
      <c r="C7463" s="612" t="s">
        <v>12699</v>
      </c>
      <c r="D7463" s="612" t="s">
        <v>12700</v>
      </c>
      <c r="E7463" s="637" t="s">
        <v>12702</v>
      </c>
      <c r="F7463" s="801" t="s">
        <v>12704</v>
      </c>
      <c r="G7463" s="801"/>
      <c r="H7463" s="801" t="s">
        <v>13678</v>
      </c>
      <c r="I7463" s="801"/>
      <c r="J7463" s="801" t="s">
        <v>12705</v>
      </c>
      <c r="K7463" s="801"/>
      <c r="L7463" s="801"/>
    </row>
    <row r="7464" spans="1:12" ht="24" customHeight="1">
      <c r="A7464" s="626" t="s">
        <v>12709</v>
      </c>
      <c r="B7464" s="627" t="s">
        <v>13201</v>
      </c>
      <c r="C7464" s="626" t="s">
        <v>8</v>
      </c>
      <c r="D7464" s="626" t="s">
        <v>9221</v>
      </c>
      <c r="E7464" s="628" t="s">
        <v>23</v>
      </c>
      <c r="F7464" s="816" t="s">
        <v>13705</v>
      </c>
      <c r="G7464" s="816"/>
      <c r="H7464" s="816">
        <v>0.49674639999999998</v>
      </c>
      <c r="I7464" s="816"/>
      <c r="J7464" s="817">
        <v>0.4123</v>
      </c>
      <c r="K7464" s="817"/>
      <c r="L7464" s="817"/>
    </row>
    <row r="7465" spans="1:12" ht="24" customHeight="1">
      <c r="A7465" s="626" t="s">
        <v>12709</v>
      </c>
      <c r="B7465" s="627" t="s">
        <v>13200</v>
      </c>
      <c r="C7465" s="626" t="s">
        <v>8</v>
      </c>
      <c r="D7465" s="626" t="s">
        <v>9368</v>
      </c>
      <c r="E7465" s="628" t="s">
        <v>23</v>
      </c>
      <c r="F7465" s="816" t="s">
        <v>13704</v>
      </c>
      <c r="G7465" s="816"/>
      <c r="H7465" s="816">
        <v>0.49674639999999998</v>
      </c>
      <c r="I7465" s="816"/>
      <c r="J7465" s="817">
        <v>0.1192</v>
      </c>
      <c r="K7465" s="817"/>
      <c r="L7465" s="817"/>
    </row>
    <row r="7466" spans="1:12" ht="17.100000000000001" customHeight="1">
      <c r="A7466" s="626" t="s">
        <v>12709</v>
      </c>
      <c r="B7466" s="627" t="s">
        <v>13048</v>
      </c>
      <c r="C7466" s="626" t="s">
        <v>8</v>
      </c>
      <c r="D7466" s="626" t="s">
        <v>9233</v>
      </c>
      <c r="E7466" s="628" t="s">
        <v>23</v>
      </c>
      <c r="F7466" s="816" t="s">
        <v>13690</v>
      </c>
      <c r="G7466" s="816"/>
      <c r="H7466" s="816">
        <v>0.3494623</v>
      </c>
      <c r="I7466" s="816"/>
      <c r="J7466" s="817">
        <v>0.35649999999999998</v>
      </c>
      <c r="K7466" s="817"/>
      <c r="L7466" s="817"/>
    </row>
    <row r="7467" spans="1:12" ht="25.5">
      <c r="A7467" s="626" t="s">
        <v>12709</v>
      </c>
      <c r="B7467" s="627" t="s">
        <v>13047</v>
      </c>
      <c r="C7467" s="626" t="s">
        <v>8</v>
      </c>
      <c r="D7467" s="626" t="s">
        <v>9380</v>
      </c>
      <c r="E7467" s="628" t="s">
        <v>23</v>
      </c>
      <c r="F7467" s="816" t="s">
        <v>13689</v>
      </c>
      <c r="G7467" s="816"/>
      <c r="H7467" s="816">
        <v>0.3494623</v>
      </c>
      <c r="I7467" s="816"/>
      <c r="J7467" s="817">
        <v>0.1328</v>
      </c>
      <c r="K7467" s="817"/>
      <c r="L7467" s="817"/>
    </row>
    <row r="7468" spans="1:12" ht="17.100000000000001" customHeight="1">
      <c r="A7468" s="636"/>
      <c r="B7468" s="636"/>
      <c r="C7468" s="636"/>
      <c r="D7468" s="636"/>
      <c r="E7468" s="636"/>
      <c r="F7468" s="636"/>
      <c r="G7468" s="636"/>
      <c r="H7468" s="636"/>
      <c r="I7468" s="636"/>
      <c r="J7468" s="636" t="s">
        <v>13675</v>
      </c>
      <c r="K7468" s="636"/>
      <c r="L7468" s="636" t="s">
        <v>13690</v>
      </c>
    </row>
    <row r="7469" spans="1:12" ht="24" customHeight="1">
      <c r="A7469" s="802" t="s">
        <v>12710</v>
      </c>
      <c r="B7469" s="802"/>
      <c r="C7469" s="802"/>
      <c r="D7469" s="802"/>
      <c r="E7469" s="802"/>
      <c r="F7469" s="802"/>
      <c r="G7469" s="802"/>
      <c r="H7469" s="802"/>
      <c r="I7469" s="612"/>
      <c r="J7469" s="612"/>
      <c r="K7469" s="612"/>
      <c r="L7469" s="612"/>
    </row>
    <row r="7470" spans="1:12" ht="17.100000000000001" customHeight="1">
      <c r="A7470" s="612" t="s">
        <v>13679</v>
      </c>
      <c r="B7470" s="636" t="s">
        <v>12698</v>
      </c>
      <c r="C7470" s="612" t="s">
        <v>12699</v>
      </c>
      <c r="D7470" s="612" t="s">
        <v>12700</v>
      </c>
      <c r="E7470" s="637" t="s">
        <v>12702</v>
      </c>
      <c r="F7470" s="801" t="s">
        <v>12704</v>
      </c>
      <c r="G7470" s="801"/>
      <c r="H7470" s="801" t="s">
        <v>13678</v>
      </c>
      <c r="I7470" s="801"/>
      <c r="J7470" s="801" t="s">
        <v>12705</v>
      </c>
      <c r="K7470" s="801"/>
      <c r="L7470" s="801"/>
    </row>
    <row r="7471" spans="1:12" ht="25.5">
      <c r="A7471" s="626" t="s">
        <v>12709</v>
      </c>
      <c r="B7471" s="627" t="s">
        <v>13202</v>
      </c>
      <c r="C7471" s="626" t="s">
        <v>8</v>
      </c>
      <c r="D7471" s="626" t="s">
        <v>9187</v>
      </c>
      <c r="E7471" s="628" t="s">
        <v>23</v>
      </c>
      <c r="F7471" s="816" t="s">
        <v>14479</v>
      </c>
      <c r="G7471" s="816"/>
      <c r="H7471" s="816">
        <v>0.50227080000000002</v>
      </c>
      <c r="I7471" s="816"/>
      <c r="J7471" s="817">
        <v>3.5912000000000002</v>
      </c>
      <c r="K7471" s="817"/>
      <c r="L7471" s="817"/>
    </row>
    <row r="7472" spans="1:12" ht="17.100000000000001" customHeight="1">
      <c r="A7472" s="626" t="s">
        <v>12709</v>
      </c>
      <c r="B7472" s="627" t="s">
        <v>13046</v>
      </c>
      <c r="C7472" s="626" t="s">
        <v>8</v>
      </c>
      <c r="D7472" s="626" t="s">
        <v>11281</v>
      </c>
      <c r="E7472" s="628" t="s">
        <v>23</v>
      </c>
      <c r="F7472" s="816" t="s">
        <v>13731</v>
      </c>
      <c r="G7472" s="816"/>
      <c r="H7472" s="816">
        <v>0.3541166</v>
      </c>
      <c r="I7472" s="816"/>
      <c r="J7472" s="817">
        <v>1.8202</v>
      </c>
      <c r="K7472" s="817"/>
      <c r="L7472" s="817"/>
    </row>
    <row r="7473" spans="1:12" ht="24" customHeight="1">
      <c r="A7473" s="636"/>
      <c r="B7473" s="636"/>
      <c r="C7473" s="636"/>
      <c r="D7473" s="636"/>
      <c r="E7473" s="636"/>
      <c r="F7473" s="636"/>
      <c r="G7473" s="636"/>
      <c r="H7473" s="636"/>
      <c r="I7473" s="636"/>
      <c r="J7473" s="636" t="s">
        <v>13675</v>
      </c>
      <c r="K7473" s="636"/>
      <c r="L7473" s="636" t="s">
        <v>15426</v>
      </c>
    </row>
    <row r="7474" spans="1:12" ht="17.100000000000001" customHeight="1">
      <c r="A7474" s="802" t="s">
        <v>12720</v>
      </c>
      <c r="B7474" s="802"/>
      <c r="C7474" s="802"/>
      <c r="D7474" s="802"/>
      <c r="E7474" s="802"/>
      <c r="F7474" s="802"/>
      <c r="G7474" s="802"/>
      <c r="H7474" s="802"/>
      <c r="I7474" s="612"/>
      <c r="J7474" s="612"/>
      <c r="K7474" s="612"/>
      <c r="L7474" s="612"/>
    </row>
    <row r="7475" spans="1:12">
      <c r="A7475" s="612" t="s">
        <v>13679</v>
      </c>
      <c r="B7475" s="636" t="s">
        <v>12698</v>
      </c>
      <c r="C7475" s="612" t="s">
        <v>12699</v>
      </c>
      <c r="D7475" s="612" t="s">
        <v>12700</v>
      </c>
      <c r="E7475" s="637" t="s">
        <v>12702</v>
      </c>
      <c r="F7475" s="801" t="s">
        <v>12704</v>
      </c>
      <c r="G7475" s="801"/>
      <c r="H7475" s="801" t="s">
        <v>13678</v>
      </c>
      <c r="I7475" s="801"/>
      <c r="J7475" s="801" t="s">
        <v>12705</v>
      </c>
      <c r="K7475" s="801"/>
      <c r="L7475" s="801"/>
    </row>
    <row r="7476" spans="1:12" ht="17.100000000000001" customHeight="1">
      <c r="A7476" s="626" t="s">
        <v>12709</v>
      </c>
      <c r="B7476" s="627" t="s">
        <v>14849</v>
      </c>
      <c r="C7476" s="626" t="s">
        <v>8</v>
      </c>
      <c r="D7476" s="626" t="s">
        <v>8646</v>
      </c>
      <c r="E7476" s="628" t="s">
        <v>35</v>
      </c>
      <c r="F7476" s="816" t="s">
        <v>15427</v>
      </c>
      <c r="G7476" s="816"/>
      <c r="H7476" s="816">
        <v>1</v>
      </c>
      <c r="I7476" s="816"/>
      <c r="J7476" s="817">
        <v>6.32</v>
      </c>
      <c r="K7476" s="817"/>
      <c r="L7476" s="817"/>
    </row>
    <row r="7477" spans="1:12" ht="24" customHeight="1">
      <c r="A7477" s="626" t="s">
        <v>12709</v>
      </c>
      <c r="B7477" s="627" t="s">
        <v>13036</v>
      </c>
      <c r="C7477" s="626" t="s">
        <v>8</v>
      </c>
      <c r="D7477" s="626" t="s">
        <v>11174</v>
      </c>
      <c r="E7477" s="628" t="s">
        <v>20</v>
      </c>
      <c r="F7477" s="816" t="s">
        <v>14618</v>
      </c>
      <c r="G7477" s="816"/>
      <c r="H7477" s="816">
        <v>8.8090500000000002E-2</v>
      </c>
      <c r="I7477" s="816"/>
      <c r="J7477" s="817">
        <v>5.0731000000000002</v>
      </c>
      <c r="K7477" s="817"/>
      <c r="L7477" s="817"/>
    </row>
    <row r="7478" spans="1:12" ht="24" customHeight="1">
      <c r="A7478" s="626" t="s">
        <v>12709</v>
      </c>
      <c r="B7478" s="627" t="s">
        <v>14857</v>
      </c>
      <c r="C7478" s="626" t="s">
        <v>8</v>
      </c>
      <c r="D7478" s="626" t="s">
        <v>7612</v>
      </c>
      <c r="E7478" s="628" t="s">
        <v>35</v>
      </c>
      <c r="F7478" s="816" t="s">
        <v>15428</v>
      </c>
      <c r="G7478" s="816"/>
      <c r="H7478" s="816">
        <v>0.99989209999999995</v>
      </c>
      <c r="I7478" s="816"/>
      <c r="J7478" s="817">
        <v>105.48860000000001</v>
      </c>
      <c r="K7478" s="817"/>
      <c r="L7478" s="817"/>
    </row>
    <row r="7479" spans="1:12" ht="17.100000000000001" customHeight="1">
      <c r="A7479" s="626" t="s">
        <v>12709</v>
      </c>
      <c r="B7479" s="627" t="s">
        <v>14858</v>
      </c>
      <c r="C7479" s="626" t="s">
        <v>8</v>
      </c>
      <c r="D7479" s="626" t="s">
        <v>10651</v>
      </c>
      <c r="E7479" s="628" t="s">
        <v>35</v>
      </c>
      <c r="F7479" s="816" t="s">
        <v>15429</v>
      </c>
      <c r="G7479" s="816"/>
      <c r="H7479" s="816">
        <v>1.9997841999999999</v>
      </c>
      <c r="I7479" s="816"/>
      <c r="J7479" s="817">
        <v>31.156600000000001</v>
      </c>
      <c r="K7479" s="817"/>
      <c r="L7479" s="817"/>
    </row>
    <row r="7480" spans="1:12" ht="17.100000000000001" customHeight="1">
      <c r="A7480" s="626" t="s">
        <v>12709</v>
      </c>
      <c r="B7480" s="627" t="s">
        <v>14859</v>
      </c>
      <c r="C7480" s="626" t="s">
        <v>8</v>
      </c>
      <c r="D7480" s="626" t="s">
        <v>12331</v>
      </c>
      <c r="E7480" s="628" t="s">
        <v>35</v>
      </c>
      <c r="F7480" s="816" t="s">
        <v>15430</v>
      </c>
      <c r="G7480" s="816"/>
      <c r="H7480" s="816">
        <v>0.99989209999999995</v>
      </c>
      <c r="I7480" s="816"/>
      <c r="J7480" s="817">
        <v>1.7598</v>
      </c>
      <c r="K7480" s="817"/>
      <c r="L7480" s="817"/>
    </row>
    <row r="7481" spans="1:12" ht="17.100000000000001" customHeight="1">
      <c r="A7481" s="636"/>
      <c r="B7481" s="636"/>
      <c r="C7481" s="636"/>
      <c r="D7481" s="636"/>
      <c r="E7481" s="636"/>
      <c r="F7481" s="636"/>
      <c r="G7481" s="636"/>
      <c r="H7481" s="636"/>
      <c r="I7481" s="636"/>
      <c r="J7481" s="636" t="s">
        <v>13675</v>
      </c>
      <c r="K7481" s="636"/>
      <c r="L7481" s="636" t="s">
        <v>15431</v>
      </c>
    </row>
    <row r="7482" spans="1:12" ht="17.100000000000001" customHeight="1">
      <c r="A7482" s="802" t="s">
        <v>12722</v>
      </c>
      <c r="B7482" s="802"/>
      <c r="C7482" s="802"/>
      <c r="D7482" s="802"/>
      <c r="E7482" s="802"/>
      <c r="F7482" s="802"/>
      <c r="G7482" s="802"/>
      <c r="H7482" s="802"/>
      <c r="I7482" s="612"/>
      <c r="J7482" s="612"/>
      <c r="K7482" s="612"/>
      <c r="L7482" s="612"/>
    </row>
    <row r="7483" spans="1:12" ht="17.100000000000001" customHeight="1">
      <c r="A7483" s="612" t="s">
        <v>13679</v>
      </c>
      <c r="B7483" s="636" t="s">
        <v>12698</v>
      </c>
      <c r="C7483" s="612" t="s">
        <v>12699</v>
      </c>
      <c r="D7483" s="612" t="s">
        <v>12700</v>
      </c>
      <c r="E7483" s="637" t="s">
        <v>12702</v>
      </c>
      <c r="F7483" s="801" t="s">
        <v>12704</v>
      </c>
      <c r="G7483" s="801"/>
      <c r="H7483" s="801" t="s">
        <v>13678</v>
      </c>
      <c r="I7483" s="801"/>
      <c r="J7483" s="801" t="s">
        <v>12705</v>
      </c>
      <c r="K7483" s="801"/>
      <c r="L7483" s="801"/>
    </row>
    <row r="7484" spans="1:12" ht="17.100000000000001" customHeight="1">
      <c r="A7484" s="626" t="s">
        <v>12709</v>
      </c>
      <c r="B7484" s="627" t="s">
        <v>12998</v>
      </c>
      <c r="C7484" s="626" t="s">
        <v>8</v>
      </c>
      <c r="D7484" s="626" t="s">
        <v>11861</v>
      </c>
      <c r="E7484" s="628" t="s">
        <v>23</v>
      </c>
      <c r="F7484" s="816" t="s">
        <v>13683</v>
      </c>
      <c r="G7484" s="816"/>
      <c r="H7484" s="816">
        <v>0.84620870000000004</v>
      </c>
      <c r="I7484" s="816"/>
      <c r="J7484" s="817">
        <v>0.6008</v>
      </c>
      <c r="K7484" s="817"/>
      <c r="L7484" s="817"/>
    </row>
    <row r="7485" spans="1:12" ht="17.100000000000001" customHeight="1">
      <c r="A7485" s="636"/>
      <c r="B7485" s="636"/>
      <c r="C7485" s="636"/>
      <c r="D7485" s="636"/>
      <c r="E7485" s="636"/>
      <c r="F7485" s="636"/>
      <c r="G7485" s="636"/>
      <c r="H7485" s="636"/>
      <c r="I7485" s="636"/>
      <c r="J7485" s="636" t="s">
        <v>13675</v>
      </c>
      <c r="K7485" s="636"/>
      <c r="L7485" s="636" t="s">
        <v>13684</v>
      </c>
    </row>
    <row r="7486" spans="1:12" ht="30" customHeight="1">
      <c r="A7486" s="802" t="s">
        <v>12713</v>
      </c>
      <c r="B7486" s="802"/>
      <c r="C7486" s="802"/>
      <c r="D7486" s="802"/>
      <c r="E7486" s="802"/>
      <c r="F7486" s="802"/>
      <c r="G7486" s="802"/>
      <c r="H7486" s="802"/>
      <c r="I7486" s="612"/>
      <c r="J7486" s="612"/>
      <c r="K7486" s="612"/>
      <c r="L7486" s="612"/>
    </row>
    <row r="7487" spans="1:12" ht="48" customHeight="1">
      <c r="A7487" s="612" t="s">
        <v>13679</v>
      </c>
      <c r="B7487" s="636" t="s">
        <v>12698</v>
      </c>
      <c r="C7487" s="612" t="s">
        <v>12699</v>
      </c>
      <c r="D7487" s="612" t="s">
        <v>12700</v>
      </c>
      <c r="E7487" s="637" t="s">
        <v>12702</v>
      </c>
      <c r="F7487" s="801" t="s">
        <v>12704</v>
      </c>
      <c r="G7487" s="801"/>
      <c r="H7487" s="801" t="s">
        <v>13678</v>
      </c>
      <c r="I7487" s="801"/>
      <c r="J7487" s="801" t="s">
        <v>12705</v>
      </c>
      <c r="K7487" s="801"/>
      <c r="L7487" s="801"/>
    </row>
    <row r="7488" spans="1:12" ht="14.25" customHeight="1">
      <c r="A7488" s="626" t="s">
        <v>12709</v>
      </c>
      <c r="B7488" s="627" t="s">
        <v>12999</v>
      </c>
      <c r="C7488" s="626" t="s">
        <v>8</v>
      </c>
      <c r="D7488" s="626" t="s">
        <v>11251</v>
      </c>
      <c r="E7488" s="628" t="s">
        <v>23</v>
      </c>
      <c r="F7488" s="816" t="s">
        <v>13681</v>
      </c>
      <c r="G7488" s="816"/>
      <c r="H7488" s="816">
        <v>0.84620870000000004</v>
      </c>
      <c r="I7488" s="816"/>
      <c r="J7488" s="817">
        <v>5.9200000000000003E-2</v>
      </c>
      <c r="K7488" s="817"/>
      <c r="L7488" s="817"/>
    </row>
    <row r="7489" spans="1:12" ht="17.100000000000001" customHeight="1">
      <c r="A7489" s="636"/>
      <c r="B7489" s="636"/>
      <c r="C7489" s="636"/>
      <c r="D7489" s="636"/>
      <c r="E7489" s="636"/>
      <c r="F7489" s="636"/>
      <c r="G7489" s="636"/>
      <c r="H7489" s="636"/>
      <c r="I7489" s="636"/>
      <c r="J7489" s="636" t="s">
        <v>13675</v>
      </c>
      <c r="K7489" s="636"/>
      <c r="L7489" s="636" t="s">
        <v>13708</v>
      </c>
    </row>
    <row r="7490" spans="1:12" ht="24" customHeight="1">
      <c r="A7490" s="802" t="s">
        <v>12712</v>
      </c>
      <c r="B7490" s="802"/>
      <c r="C7490" s="802"/>
      <c r="D7490" s="802"/>
      <c r="E7490" s="802"/>
      <c r="F7490" s="802"/>
      <c r="G7490" s="802"/>
      <c r="H7490" s="802"/>
      <c r="I7490" s="612"/>
      <c r="J7490" s="612"/>
      <c r="K7490" s="612"/>
      <c r="L7490" s="612"/>
    </row>
    <row r="7491" spans="1:12" ht="24" customHeight="1">
      <c r="A7491" s="612" t="s">
        <v>13679</v>
      </c>
      <c r="B7491" s="636" t="s">
        <v>12698</v>
      </c>
      <c r="C7491" s="612" t="s">
        <v>12699</v>
      </c>
      <c r="D7491" s="612" t="s">
        <v>12700</v>
      </c>
      <c r="E7491" s="637" t="s">
        <v>12702</v>
      </c>
      <c r="F7491" s="801" t="s">
        <v>12704</v>
      </c>
      <c r="G7491" s="801"/>
      <c r="H7491" s="801" t="s">
        <v>13678</v>
      </c>
      <c r="I7491" s="801"/>
      <c r="J7491" s="801" t="s">
        <v>12705</v>
      </c>
      <c r="K7491" s="801"/>
      <c r="L7491" s="801"/>
    </row>
    <row r="7492" spans="1:12" ht="24" customHeight="1">
      <c r="A7492" s="626" t="s">
        <v>12709</v>
      </c>
      <c r="B7492" s="627" t="s">
        <v>13002</v>
      </c>
      <c r="C7492" s="626" t="s">
        <v>8</v>
      </c>
      <c r="D7492" s="626" t="s">
        <v>9306</v>
      </c>
      <c r="E7492" s="628" t="s">
        <v>23</v>
      </c>
      <c r="F7492" s="816" t="s">
        <v>13677</v>
      </c>
      <c r="G7492" s="816"/>
      <c r="H7492" s="816">
        <v>0.84620870000000004</v>
      </c>
      <c r="I7492" s="816"/>
      <c r="J7492" s="817">
        <v>0.29620000000000002</v>
      </c>
      <c r="K7492" s="817"/>
      <c r="L7492" s="817"/>
    </row>
    <row r="7493" spans="1:12" ht="24" customHeight="1">
      <c r="A7493" s="626" t="s">
        <v>12709</v>
      </c>
      <c r="B7493" s="627" t="s">
        <v>13004</v>
      </c>
      <c r="C7493" s="626" t="s">
        <v>8</v>
      </c>
      <c r="D7493" s="626" t="s">
        <v>7388</v>
      </c>
      <c r="E7493" s="628" t="s">
        <v>23</v>
      </c>
      <c r="F7493" s="816" t="s">
        <v>13676</v>
      </c>
      <c r="G7493" s="816"/>
      <c r="H7493" s="816">
        <v>0.84620870000000004</v>
      </c>
      <c r="I7493" s="816"/>
      <c r="J7493" s="817">
        <v>1.8616999999999999</v>
      </c>
      <c r="K7493" s="817"/>
      <c r="L7493" s="817"/>
    </row>
    <row r="7494" spans="1:12" ht="17.100000000000001" customHeight="1">
      <c r="A7494" s="636"/>
      <c r="B7494" s="636"/>
      <c r="C7494" s="636"/>
      <c r="D7494" s="636"/>
      <c r="E7494" s="636"/>
      <c r="F7494" s="636"/>
      <c r="G7494" s="636"/>
      <c r="H7494" s="636"/>
      <c r="I7494" s="636"/>
      <c r="J7494" s="636" t="s">
        <v>13675</v>
      </c>
      <c r="K7494" s="636"/>
      <c r="L7494" s="636" t="s">
        <v>14640</v>
      </c>
    </row>
    <row r="7495" spans="1:12" ht="14.25" customHeight="1">
      <c r="A7495" s="612" t="s">
        <v>13673</v>
      </c>
      <c r="B7495" s="612"/>
      <c r="C7495" s="612"/>
      <c r="D7495" s="612"/>
      <c r="E7495" s="612"/>
      <c r="F7495" s="612"/>
      <c r="G7495" s="612"/>
      <c r="H7495" s="612"/>
      <c r="I7495" s="612"/>
      <c r="J7495" s="612"/>
      <c r="K7495" s="612"/>
      <c r="L7495" s="612"/>
    </row>
    <row r="7496" spans="1:12" ht="17.100000000000001" customHeight="1">
      <c r="A7496" s="636"/>
      <c r="B7496" s="636"/>
      <c r="C7496" s="636"/>
      <c r="D7496" s="636"/>
      <c r="E7496" s="636"/>
      <c r="F7496" s="636"/>
      <c r="G7496" s="636"/>
      <c r="H7496" s="636"/>
      <c r="I7496" s="636"/>
      <c r="J7496" s="636" t="s">
        <v>13672</v>
      </c>
      <c r="K7496" s="636"/>
      <c r="L7496" s="636" t="s">
        <v>15432</v>
      </c>
    </row>
    <row r="7497" spans="1:12" ht="24" customHeight="1">
      <c r="A7497" s="636"/>
      <c r="B7497" s="636"/>
      <c r="C7497" s="636"/>
      <c r="D7497" s="636"/>
      <c r="E7497" s="636"/>
      <c r="F7497" s="636"/>
      <c r="G7497" s="636"/>
      <c r="H7497" s="636"/>
      <c r="I7497" s="636"/>
      <c r="J7497" s="636" t="s">
        <v>13671</v>
      </c>
      <c r="K7497" s="636" t="s">
        <v>14461</v>
      </c>
      <c r="L7497" s="636" t="s">
        <v>15433</v>
      </c>
    </row>
    <row r="7498" spans="1:12" ht="24" customHeight="1">
      <c r="A7498" s="636"/>
      <c r="B7498" s="636"/>
      <c r="C7498" s="636"/>
      <c r="D7498" s="636"/>
      <c r="E7498" s="636"/>
      <c r="F7498" s="636"/>
      <c r="G7498" s="636"/>
      <c r="H7498" s="636"/>
      <c r="I7498" s="636"/>
      <c r="J7498" s="636" t="s">
        <v>13670</v>
      </c>
      <c r="K7498" s="636"/>
      <c r="L7498" s="636" t="s">
        <v>15434</v>
      </c>
    </row>
    <row r="7499" spans="1:12" ht="17.100000000000001" customHeight="1">
      <c r="A7499" s="636"/>
      <c r="B7499" s="636"/>
      <c r="C7499" s="636"/>
      <c r="D7499" s="636"/>
      <c r="E7499" s="636"/>
      <c r="F7499" s="636"/>
      <c r="G7499" s="636"/>
      <c r="H7499" s="636"/>
      <c r="I7499" s="636"/>
      <c r="J7499" s="636" t="s">
        <v>13669</v>
      </c>
      <c r="K7499" s="636" t="s">
        <v>13667</v>
      </c>
      <c r="L7499" s="636" t="s">
        <v>15435</v>
      </c>
    </row>
    <row r="7500" spans="1:12">
      <c r="A7500" s="636"/>
      <c r="B7500" s="636"/>
      <c r="C7500" s="636"/>
      <c r="D7500" s="636"/>
      <c r="E7500" s="636"/>
      <c r="F7500" s="636"/>
      <c r="G7500" s="636"/>
      <c r="H7500" s="636"/>
      <c r="I7500" s="636"/>
      <c r="J7500" s="636" t="s">
        <v>13668</v>
      </c>
      <c r="K7500" s="636"/>
      <c r="L7500" s="636" t="s">
        <v>15436</v>
      </c>
    </row>
    <row r="7501" spans="1:12" ht="17.100000000000001" customHeight="1">
      <c r="A7501" s="637"/>
      <c r="B7501" s="637"/>
      <c r="C7501" s="637"/>
      <c r="D7501" s="637"/>
      <c r="E7501" s="637"/>
      <c r="F7501" s="637"/>
      <c r="G7501" s="637"/>
      <c r="H7501" s="637"/>
      <c r="I7501" s="637"/>
      <c r="J7501" s="637"/>
      <c r="K7501" s="637"/>
      <c r="L7501" s="637"/>
    </row>
    <row r="7502" spans="1:12" ht="36" customHeight="1">
      <c r="A7502" s="616" t="s">
        <v>15437</v>
      </c>
      <c r="B7502" s="617" t="s">
        <v>14851</v>
      </c>
      <c r="C7502" s="616" t="s">
        <v>8</v>
      </c>
      <c r="D7502" s="616" t="s">
        <v>6943</v>
      </c>
      <c r="E7502" s="618" t="s">
        <v>35</v>
      </c>
      <c r="F7502" s="617"/>
      <c r="G7502" s="617"/>
      <c r="H7502" s="617"/>
      <c r="I7502" s="617"/>
      <c r="J7502" s="617"/>
      <c r="K7502" s="617"/>
      <c r="L7502" s="617"/>
    </row>
    <row r="7503" spans="1:12" ht="24" customHeight="1">
      <c r="A7503" s="802" t="s">
        <v>12711</v>
      </c>
      <c r="B7503" s="802"/>
      <c r="C7503" s="802"/>
      <c r="D7503" s="802"/>
      <c r="E7503" s="802"/>
      <c r="F7503" s="802"/>
      <c r="G7503" s="802"/>
      <c r="H7503" s="802"/>
      <c r="I7503" s="612"/>
      <c r="J7503" s="612"/>
      <c r="K7503" s="612"/>
      <c r="L7503" s="612"/>
    </row>
    <row r="7504" spans="1:12" ht="24" customHeight="1">
      <c r="A7504" s="612" t="s">
        <v>13679</v>
      </c>
      <c r="B7504" s="636" t="s">
        <v>12698</v>
      </c>
      <c r="C7504" s="612" t="s">
        <v>12699</v>
      </c>
      <c r="D7504" s="612" t="s">
        <v>12700</v>
      </c>
      <c r="E7504" s="637" t="s">
        <v>12702</v>
      </c>
      <c r="F7504" s="801" t="s">
        <v>12704</v>
      </c>
      <c r="G7504" s="801"/>
      <c r="H7504" s="801" t="s">
        <v>13678</v>
      </c>
      <c r="I7504" s="801"/>
      <c r="J7504" s="801" t="s">
        <v>12705</v>
      </c>
      <c r="K7504" s="801"/>
      <c r="L7504" s="801"/>
    </row>
    <row r="7505" spans="1:12" ht="24" customHeight="1">
      <c r="A7505" s="626" t="s">
        <v>12709</v>
      </c>
      <c r="B7505" s="627" t="s">
        <v>13201</v>
      </c>
      <c r="C7505" s="626" t="s">
        <v>8</v>
      </c>
      <c r="D7505" s="626" t="s">
        <v>9221</v>
      </c>
      <c r="E7505" s="628" t="s">
        <v>23</v>
      </c>
      <c r="F7505" s="816" t="s">
        <v>13705</v>
      </c>
      <c r="G7505" s="816"/>
      <c r="H7505" s="816">
        <v>1.1539522</v>
      </c>
      <c r="I7505" s="816"/>
      <c r="J7505" s="817">
        <v>0.95779999999999998</v>
      </c>
      <c r="K7505" s="817"/>
      <c r="L7505" s="817"/>
    </row>
    <row r="7506" spans="1:12" ht="24" customHeight="1">
      <c r="A7506" s="626" t="s">
        <v>12709</v>
      </c>
      <c r="B7506" s="627" t="s">
        <v>13200</v>
      </c>
      <c r="C7506" s="626" t="s">
        <v>8</v>
      </c>
      <c r="D7506" s="626" t="s">
        <v>9368</v>
      </c>
      <c r="E7506" s="628" t="s">
        <v>23</v>
      </c>
      <c r="F7506" s="816" t="s">
        <v>13704</v>
      </c>
      <c r="G7506" s="816"/>
      <c r="H7506" s="816">
        <v>1.1539522</v>
      </c>
      <c r="I7506" s="816"/>
      <c r="J7506" s="817">
        <v>0.27689999999999998</v>
      </c>
      <c r="K7506" s="817"/>
      <c r="L7506" s="817"/>
    </row>
    <row r="7507" spans="1:12" ht="24" customHeight="1">
      <c r="A7507" s="626" t="s">
        <v>12709</v>
      </c>
      <c r="B7507" s="627" t="s">
        <v>13048</v>
      </c>
      <c r="C7507" s="626" t="s">
        <v>8</v>
      </c>
      <c r="D7507" s="626" t="s">
        <v>9233</v>
      </c>
      <c r="E7507" s="628" t="s">
        <v>23</v>
      </c>
      <c r="F7507" s="816" t="s">
        <v>13690</v>
      </c>
      <c r="G7507" s="816"/>
      <c r="H7507" s="816">
        <v>0.556477</v>
      </c>
      <c r="I7507" s="816"/>
      <c r="J7507" s="817">
        <v>0.56759999999999999</v>
      </c>
      <c r="K7507" s="817"/>
      <c r="L7507" s="817"/>
    </row>
    <row r="7508" spans="1:12" ht="24" customHeight="1">
      <c r="A7508" s="626" t="s">
        <v>12709</v>
      </c>
      <c r="B7508" s="627" t="s">
        <v>13047</v>
      </c>
      <c r="C7508" s="626" t="s">
        <v>8</v>
      </c>
      <c r="D7508" s="626" t="s">
        <v>9380</v>
      </c>
      <c r="E7508" s="628" t="s">
        <v>23</v>
      </c>
      <c r="F7508" s="816" t="s">
        <v>13689</v>
      </c>
      <c r="G7508" s="816"/>
      <c r="H7508" s="816">
        <v>0.556477</v>
      </c>
      <c r="I7508" s="816"/>
      <c r="J7508" s="817">
        <v>0.21149999999999999</v>
      </c>
      <c r="K7508" s="817"/>
      <c r="L7508" s="817"/>
    </row>
    <row r="7509" spans="1:12" ht="17.100000000000001" customHeight="1">
      <c r="A7509" s="636"/>
      <c r="B7509" s="636"/>
      <c r="C7509" s="636"/>
      <c r="D7509" s="636"/>
      <c r="E7509" s="636"/>
      <c r="F7509" s="636"/>
      <c r="G7509" s="636"/>
      <c r="H7509" s="636"/>
      <c r="I7509" s="636"/>
      <c r="J7509" s="636" t="s">
        <v>13675</v>
      </c>
      <c r="K7509" s="636"/>
      <c r="L7509" s="636" t="s">
        <v>15438</v>
      </c>
    </row>
    <row r="7510" spans="1:12">
      <c r="A7510" s="802" t="s">
        <v>12710</v>
      </c>
      <c r="B7510" s="802"/>
      <c r="C7510" s="802"/>
      <c r="D7510" s="802"/>
      <c r="E7510" s="802"/>
      <c r="F7510" s="802"/>
      <c r="G7510" s="802"/>
      <c r="H7510" s="802"/>
      <c r="I7510" s="612"/>
      <c r="J7510" s="612"/>
      <c r="K7510" s="612"/>
      <c r="L7510" s="612"/>
    </row>
    <row r="7511" spans="1:12" ht="17.100000000000001" customHeight="1">
      <c r="A7511" s="612" t="s">
        <v>13679</v>
      </c>
      <c r="B7511" s="636" t="s">
        <v>12698</v>
      </c>
      <c r="C7511" s="612" t="s">
        <v>12699</v>
      </c>
      <c r="D7511" s="612" t="s">
        <v>12700</v>
      </c>
      <c r="E7511" s="637" t="s">
        <v>12702</v>
      </c>
      <c r="F7511" s="801" t="s">
        <v>12704</v>
      </c>
      <c r="G7511" s="801"/>
      <c r="H7511" s="801" t="s">
        <v>13678</v>
      </c>
      <c r="I7511" s="801"/>
      <c r="J7511" s="801" t="s">
        <v>12705</v>
      </c>
      <c r="K7511" s="801"/>
      <c r="L7511" s="801"/>
    </row>
    <row r="7512" spans="1:12" ht="24" customHeight="1">
      <c r="A7512" s="626" t="s">
        <v>12709</v>
      </c>
      <c r="B7512" s="627" t="s">
        <v>13202</v>
      </c>
      <c r="C7512" s="626" t="s">
        <v>8</v>
      </c>
      <c r="D7512" s="626" t="s">
        <v>9187</v>
      </c>
      <c r="E7512" s="628" t="s">
        <v>23</v>
      </c>
      <c r="F7512" s="816" t="s">
        <v>14479</v>
      </c>
      <c r="G7512" s="816"/>
      <c r="H7512" s="816">
        <v>1.1677157</v>
      </c>
      <c r="I7512" s="816"/>
      <c r="J7512" s="817">
        <v>8.3491999999999997</v>
      </c>
      <c r="K7512" s="817"/>
      <c r="L7512" s="817"/>
    </row>
    <row r="7513" spans="1:12" ht="17.100000000000001" customHeight="1">
      <c r="A7513" s="626" t="s">
        <v>12709</v>
      </c>
      <c r="B7513" s="627" t="s">
        <v>13046</v>
      </c>
      <c r="C7513" s="626" t="s">
        <v>8</v>
      </c>
      <c r="D7513" s="626" t="s">
        <v>11281</v>
      </c>
      <c r="E7513" s="628" t="s">
        <v>23</v>
      </c>
      <c r="F7513" s="816" t="s">
        <v>13731</v>
      </c>
      <c r="G7513" s="816"/>
      <c r="H7513" s="816">
        <v>0.56433789999999995</v>
      </c>
      <c r="I7513" s="816"/>
      <c r="J7513" s="817">
        <v>2.9007000000000001</v>
      </c>
      <c r="K7513" s="817"/>
      <c r="L7513" s="817"/>
    </row>
    <row r="7514" spans="1:12">
      <c r="A7514" s="636"/>
      <c r="B7514" s="636"/>
      <c r="C7514" s="636"/>
      <c r="D7514" s="636"/>
      <c r="E7514" s="636"/>
      <c r="F7514" s="636"/>
      <c r="G7514" s="636"/>
      <c r="H7514" s="636"/>
      <c r="I7514" s="636"/>
      <c r="J7514" s="636" t="s">
        <v>13675</v>
      </c>
      <c r="K7514" s="636"/>
      <c r="L7514" s="636" t="s">
        <v>15439</v>
      </c>
    </row>
    <row r="7515" spans="1:12" ht="17.100000000000001" customHeight="1">
      <c r="A7515" s="802" t="s">
        <v>12720</v>
      </c>
      <c r="B7515" s="802"/>
      <c r="C7515" s="802"/>
      <c r="D7515" s="802"/>
      <c r="E7515" s="802"/>
      <c r="F7515" s="802"/>
      <c r="G7515" s="802"/>
      <c r="H7515" s="802"/>
      <c r="I7515" s="612"/>
      <c r="J7515" s="612"/>
      <c r="K7515" s="612"/>
      <c r="L7515" s="612"/>
    </row>
    <row r="7516" spans="1:12" ht="24" customHeight="1">
      <c r="A7516" s="612" t="s">
        <v>13679</v>
      </c>
      <c r="B7516" s="636" t="s">
        <v>12698</v>
      </c>
      <c r="C7516" s="612" t="s">
        <v>12699</v>
      </c>
      <c r="D7516" s="612" t="s">
        <v>12700</v>
      </c>
      <c r="E7516" s="637" t="s">
        <v>12702</v>
      </c>
      <c r="F7516" s="801" t="s">
        <v>12704</v>
      </c>
      <c r="G7516" s="801"/>
      <c r="H7516" s="801" t="s">
        <v>13678</v>
      </c>
      <c r="I7516" s="801"/>
      <c r="J7516" s="801" t="s">
        <v>12705</v>
      </c>
      <c r="K7516" s="801"/>
      <c r="L7516" s="801"/>
    </row>
    <row r="7517" spans="1:12" ht="17.100000000000001" customHeight="1">
      <c r="A7517" s="626" t="s">
        <v>12709</v>
      </c>
      <c r="B7517" s="627" t="s">
        <v>14849</v>
      </c>
      <c r="C7517" s="626" t="s">
        <v>8</v>
      </c>
      <c r="D7517" s="626" t="s">
        <v>8646</v>
      </c>
      <c r="E7517" s="628" t="s">
        <v>35</v>
      </c>
      <c r="F7517" s="816" t="s">
        <v>15427</v>
      </c>
      <c r="G7517" s="816"/>
      <c r="H7517" s="816">
        <v>1</v>
      </c>
      <c r="I7517" s="816"/>
      <c r="J7517" s="817">
        <v>6.32</v>
      </c>
      <c r="K7517" s="817"/>
      <c r="L7517" s="817"/>
    </row>
    <row r="7518" spans="1:12" ht="25.5">
      <c r="A7518" s="626" t="s">
        <v>12709</v>
      </c>
      <c r="B7518" s="627" t="s">
        <v>13036</v>
      </c>
      <c r="C7518" s="626" t="s">
        <v>8</v>
      </c>
      <c r="D7518" s="626" t="s">
        <v>11174</v>
      </c>
      <c r="E7518" s="628" t="s">
        <v>20</v>
      </c>
      <c r="F7518" s="816" t="s">
        <v>14618</v>
      </c>
      <c r="G7518" s="816"/>
      <c r="H7518" s="816">
        <v>8.8096400000000005E-2</v>
      </c>
      <c r="I7518" s="816"/>
      <c r="J7518" s="817">
        <v>5.0735000000000001</v>
      </c>
      <c r="K7518" s="817"/>
      <c r="L7518" s="817"/>
    </row>
    <row r="7519" spans="1:12" ht="17.100000000000001" customHeight="1">
      <c r="A7519" s="626" t="s">
        <v>12709</v>
      </c>
      <c r="B7519" s="627" t="s">
        <v>14858</v>
      </c>
      <c r="C7519" s="626" t="s">
        <v>8</v>
      </c>
      <c r="D7519" s="626" t="s">
        <v>10651</v>
      </c>
      <c r="E7519" s="628" t="s">
        <v>35</v>
      </c>
      <c r="F7519" s="816" t="s">
        <v>15429</v>
      </c>
      <c r="G7519" s="816"/>
      <c r="H7519" s="816">
        <v>1.9999172000000001</v>
      </c>
      <c r="I7519" s="816"/>
      <c r="J7519" s="817">
        <v>31.1587</v>
      </c>
      <c r="K7519" s="817"/>
      <c r="L7519" s="817"/>
    </row>
    <row r="7520" spans="1:12" ht="24" customHeight="1">
      <c r="A7520" s="626" t="s">
        <v>12709</v>
      </c>
      <c r="B7520" s="627" t="s">
        <v>14859</v>
      </c>
      <c r="C7520" s="626" t="s">
        <v>8</v>
      </c>
      <c r="D7520" s="626" t="s">
        <v>12331</v>
      </c>
      <c r="E7520" s="628" t="s">
        <v>35</v>
      </c>
      <c r="F7520" s="816" t="s">
        <v>15430</v>
      </c>
      <c r="G7520" s="816"/>
      <c r="H7520" s="816">
        <v>0.99995860000000003</v>
      </c>
      <c r="I7520" s="816"/>
      <c r="J7520" s="817">
        <v>1.7599</v>
      </c>
      <c r="K7520" s="817"/>
      <c r="L7520" s="817"/>
    </row>
    <row r="7521" spans="1:12" ht="24" customHeight="1">
      <c r="A7521" s="626" t="s">
        <v>12709</v>
      </c>
      <c r="B7521" s="627" t="s">
        <v>14860</v>
      </c>
      <c r="C7521" s="626" t="s">
        <v>8</v>
      </c>
      <c r="D7521" s="626" t="s">
        <v>7614</v>
      </c>
      <c r="E7521" s="628" t="s">
        <v>35</v>
      </c>
      <c r="F7521" s="816" t="s">
        <v>15440</v>
      </c>
      <c r="G7521" s="816"/>
      <c r="H7521" s="816">
        <v>0.99995860000000003</v>
      </c>
      <c r="I7521" s="816"/>
      <c r="J7521" s="817">
        <v>525.58820000000003</v>
      </c>
      <c r="K7521" s="817"/>
      <c r="L7521" s="817"/>
    </row>
    <row r="7522" spans="1:12" ht="17.100000000000001" customHeight="1">
      <c r="A7522" s="636"/>
      <c r="B7522" s="636"/>
      <c r="C7522" s="636"/>
      <c r="D7522" s="636"/>
      <c r="E7522" s="636"/>
      <c r="F7522" s="636"/>
      <c r="G7522" s="636"/>
      <c r="H7522" s="636"/>
      <c r="I7522" s="636"/>
      <c r="J7522" s="636" t="s">
        <v>13675</v>
      </c>
      <c r="K7522" s="636"/>
      <c r="L7522" s="636" t="s">
        <v>15441</v>
      </c>
    </row>
    <row r="7523" spans="1:12" ht="17.100000000000001" customHeight="1">
      <c r="A7523" s="802" t="s">
        <v>12722</v>
      </c>
      <c r="B7523" s="802"/>
      <c r="C7523" s="802"/>
      <c r="D7523" s="802"/>
      <c r="E7523" s="802"/>
      <c r="F7523" s="802"/>
      <c r="G7523" s="802"/>
      <c r="H7523" s="802"/>
      <c r="I7523" s="612"/>
      <c r="J7523" s="612"/>
      <c r="K7523" s="612"/>
      <c r="L7523" s="612"/>
    </row>
    <row r="7524" spans="1:12" ht="17.100000000000001" customHeight="1">
      <c r="A7524" s="612" t="s">
        <v>13679</v>
      </c>
      <c r="B7524" s="636" t="s">
        <v>12698</v>
      </c>
      <c r="C7524" s="612" t="s">
        <v>12699</v>
      </c>
      <c r="D7524" s="612" t="s">
        <v>12700</v>
      </c>
      <c r="E7524" s="637" t="s">
        <v>12702</v>
      </c>
      <c r="F7524" s="801" t="s">
        <v>12704</v>
      </c>
      <c r="G7524" s="801"/>
      <c r="H7524" s="801" t="s">
        <v>13678</v>
      </c>
      <c r="I7524" s="801"/>
      <c r="J7524" s="801" t="s">
        <v>12705</v>
      </c>
      <c r="K7524" s="801"/>
      <c r="L7524" s="801"/>
    </row>
    <row r="7525" spans="1:12" ht="17.100000000000001" customHeight="1">
      <c r="A7525" s="626" t="s">
        <v>12709</v>
      </c>
      <c r="B7525" s="627" t="s">
        <v>12998</v>
      </c>
      <c r="C7525" s="626" t="s">
        <v>8</v>
      </c>
      <c r="D7525" s="626" t="s">
        <v>11861</v>
      </c>
      <c r="E7525" s="628" t="s">
        <v>23</v>
      </c>
      <c r="F7525" s="816" t="s">
        <v>13683</v>
      </c>
      <c r="G7525" s="816"/>
      <c r="H7525" s="816">
        <v>1.7104292000000001</v>
      </c>
      <c r="I7525" s="816"/>
      <c r="J7525" s="817">
        <v>1.2143999999999999</v>
      </c>
      <c r="K7525" s="817"/>
      <c r="L7525" s="817"/>
    </row>
    <row r="7526" spans="1:12" ht="17.100000000000001" customHeight="1">
      <c r="A7526" s="636"/>
      <c r="B7526" s="636"/>
      <c r="C7526" s="636"/>
      <c r="D7526" s="636"/>
      <c r="E7526" s="636"/>
      <c r="F7526" s="636"/>
      <c r="G7526" s="636"/>
      <c r="H7526" s="636"/>
      <c r="I7526" s="636"/>
      <c r="J7526" s="636" t="s">
        <v>13675</v>
      </c>
      <c r="K7526" s="636"/>
      <c r="L7526" s="636" t="s">
        <v>15442</v>
      </c>
    </row>
    <row r="7527" spans="1:12" ht="17.100000000000001" customHeight="1">
      <c r="A7527" s="802" t="s">
        <v>12713</v>
      </c>
      <c r="B7527" s="802"/>
      <c r="C7527" s="802"/>
      <c r="D7527" s="802"/>
      <c r="E7527" s="802"/>
      <c r="F7527" s="802"/>
      <c r="G7527" s="802"/>
      <c r="H7527" s="802"/>
      <c r="I7527" s="612"/>
      <c r="J7527" s="612"/>
      <c r="K7527" s="612"/>
      <c r="L7527" s="612"/>
    </row>
    <row r="7528" spans="1:12" ht="17.100000000000001" customHeight="1">
      <c r="A7528" s="612" t="s">
        <v>13679</v>
      </c>
      <c r="B7528" s="636" t="s">
        <v>12698</v>
      </c>
      <c r="C7528" s="612" t="s">
        <v>12699</v>
      </c>
      <c r="D7528" s="612" t="s">
        <v>12700</v>
      </c>
      <c r="E7528" s="637" t="s">
        <v>12702</v>
      </c>
      <c r="F7528" s="801" t="s">
        <v>12704</v>
      </c>
      <c r="G7528" s="801"/>
      <c r="H7528" s="801" t="s">
        <v>13678</v>
      </c>
      <c r="I7528" s="801"/>
      <c r="J7528" s="801" t="s">
        <v>12705</v>
      </c>
      <c r="K7528" s="801"/>
      <c r="L7528" s="801"/>
    </row>
    <row r="7529" spans="1:12" ht="30" customHeight="1">
      <c r="A7529" s="626" t="s">
        <v>12709</v>
      </c>
      <c r="B7529" s="627" t="s">
        <v>12999</v>
      </c>
      <c r="C7529" s="626" t="s">
        <v>8</v>
      </c>
      <c r="D7529" s="626" t="s">
        <v>11251</v>
      </c>
      <c r="E7529" s="628" t="s">
        <v>23</v>
      </c>
      <c r="F7529" s="816" t="s">
        <v>13681</v>
      </c>
      <c r="G7529" s="816"/>
      <c r="H7529" s="816">
        <v>1.7104292000000001</v>
      </c>
      <c r="I7529" s="816"/>
      <c r="J7529" s="817">
        <v>0.1197</v>
      </c>
      <c r="K7529" s="817"/>
      <c r="L7529" s="817"/>
    </row>
    <row r="7530" spans="1:12" ht="60" customHeight="1">
      <c r="A7530" s="636"/>
      <c r="B7530" s="636"/>
      <c r="C7530" s="636"/>
      <c r="D7530" s="636"/>
      <c r="E7530" s="636"/>
      <c r="F7530" s="636"/>
      <c r="G7530" s="636"/>
      <c r="H7530" s="636"/>
      <c r="I7530" s="636"/>
      <c r="J7530" s="636" t="s">
        <v>13675</v>
      </c>
      <c r="K7530" s="636"/>
      <c r="L7530" s="636" t="s">
        <v>13751</v>
      </c>
    </row>
    <row r="7531" spans="1:12" ht="14.25" customHeight="1">
      <c r="A7531" s="802" t="s">
        <v>12712</v>
      </c>
      <c r="B7531" s="802"/>
      <c r="C7531" s="802"/>
      <c r="D7531" s="802"/>
      <c r="E7531" s="802"/>
      <c r="F7531" s="802"/>
      <c r="G7531" s="802"/>
      <c r="H7531" s="802"/>
      <c r="I7531" s="612"/>
      <c r="J7531" s="612"/>
      <c r="K7531" s="612"/>
      <c r="L7531" s="612"/>
    </row>
    <row r="7532" spans="1:12" ht="17.100000000000001" customHeight="1">
      <c r="A7532" s="612" t="s">
        <v>13679</v>
      </c>
      <c r="B7532" s="636" t="s">
        <v>12698</v>
      </c>
      <c r="C7532" s="612" t="s">
        <v>12699</v>
      </c>
      <c r="D7532" s="612" t="s">
        <v>12700</v>
      </c>
      <c r="E7532" s="637" t="s">
        <v>12702</v>
      </c>
      <c r="F7532" s="801" t="s">
        <v>12704</v>
      </c>
      <c r="G7532" s="801"/>
      <c r="H7532" s="801" t="s">
        <v>13678</v>
      </c>
      <c r="I7532" s="801"/>
      <c r="J7532" s="801" t="s">
        <v>12705</v>
      </c>
      <c r="K7532" s="801"/>
      <c r="L7532" s="801"/>
    </row>
    <row r="7533" spans="1:12" ht="24" customHeight="1">
      <c r="A7533" s="626" t="s">
        <v>12709</v>
      </c>
      <c r="B7533" s="627" t="s">
        <v>13002</v>
      </c>
      <c r="C7533" s="626" t="s">
        <v>8</v>
      </c>
      <c r="D7533" s="626" t="s">
        <v>9306</v>
      </c>
      <c r="E7533" s="628" t="s">
        <v>23</v>
      </c>
      <c r="F7533" s="816" t="s">
        <v>13677</v>
      </c>
      <c r="G7533" s="816"/>
      <c r="H7533" s="816">
        <v>1.7104292000000001</v>
      </c>
      <c r="I7533" s="816"/>
      <c r="J7533" s="817">
        <v>0.59870000000000001</v>
      </c>
      <c r="K7533" s="817"/>
      <c r="L7533" s="817"/>
    </row>
    <row r="7534" spans="1:12" ht="24" customHeight="1">
      <c r="A7534" s="626" t="s">
        <v>12709</v>
      </c>
      <c r="B7534" s="627" t="s">
        <v>13004</v>
      </c>
      <c r="C7534" s="626" t="s">
        <v>8</v>
      </c>
      <c r="D7534" s="626" t="s">
        <v>7388</v>
      </c>
      <c r="E7534" s="628" t="s">
        <v>23</v>
      </c>
      <c r="F7534" s="816" t="s">
        <v>13676</v>
      </c>
      <c r="G7534" s="816"/>
      <c r="H7534" s="816">
        <v>1.7104292000000001</v>
      </c>
      <c r="I7534" s="816"/>
      <c r="J7534" s="817">
        <v>3.7629000000000001</v>
      </c>
      <c r="K7534" s="817"/>
      <c r="L7534" s="817"/>
    </row>
    <row r="7535" spans="1:12" ht="24" customHeight="1">
      <c r="A7535" s="636"/>
      <c r="B7535" s="636"/>
      <c r="C7535" s="636"/>
      <c r="D7535" s="636"/>
      <c r="E7535" s="636"/>
      <c r="F7535" s="636"/>
      <c r="G7535" s="636"/>
      <c r="H7535" s="636"/>
      <c r="I7535" s="636"/>
      <c r="J7535" s="636" t="s">
        <v>13675</v>
      </c>
      <c r="K7535" s="636"/>
      <c r="L7535" s="636" t="s">
        <v>15443</v>
      </c>
    </row>
    <row r="7536" spans="1:12" ht="24" customHeight="1">
      <c r="A7536" s="612" t="s">
        <v>13673</v>
      </c>
      <c r="B7536" s="612"/>
      <c r="C7536" s="612"/>
      <c r="D7536" s="612"/>
      <c r="E7536" s="612"/>
      <c r="F7536" s="612"/>
      <c r="G7536" s="612"/>
      <c r="H7536" s="612"/>
      <c r="I7536" s="612"/>
      <c r="J7536" s="612"/>
      <c r="K7536" s="612"/>
      <c r="L7536" s="612"/>
    </row>
    <row r="7537" spans="1:12" ht="17.100000000000001" customHeight="1">
      <c r="A7537" s="636"/>
      <c r="B7537" s="636"/>
      <c r="C7537" s="636"/>
      <c r="D7537" s="636"/>
      <c r="E7537" s="636"/>
      <c r="F7537" s="636"/>
      <c r="G7537" s="636"/>
      <c r="H7537" s="636"/>
      <c r="I7537" s="636"/>
      <c r="J7537" s="636" t="s">
        <v>13672</v>
      </c>
      <c r="K7537" s="636"/>
      <c r="L7537" s="636" t="s">
        <v>15444</v>
      </c>
    </row>
    <row r="7538" spans="1:12" ht="14.25" customHeight="1">
      <c r="A7538" s="636"/>
      <c r="B7538" s="636"/>
      <c r="C7538" s="636"/>
      <c r="D7538" s="636"/>
      <c r="E7538" s="636"/>
      <c r="F7538" s="636"/>
      <c r="G7538" s="636"/>
      <c r="H7538" s="636"/>
      <c r="I7538" s="636"/>
      <c r="J7538" s="636" t="s">
        <v>13671</v>
      </c>
      <c r="K7538" s="636" t="s">
        <v>14461</v>
      </c>
      <c r="L7538" s="636" t="s">
        <v>15445</v>
      </c>
    </row>
    <row r="7539" spans="1:12" ht="17.100000000000001" customHeight="1">
      <c r="A7539" s="636"/>
      <c r="B7539" s="636"/>
      <c r="C7539" s="636"/>
      <c r="D7539" s="636"/>
      <c r="E7539" s="636"/>
      <c r="F7539" s="636"/>
      <c r="G7539" s="636"/>
      <c r="H7539" s="636"/>
      <c r="I7539" s="636"/>
      <c r="J7539" s="636" t="s">
        <v>13670</v>
      </c>
      <c r="K7539" s="636"/>
      <c r="L7539" s="636" t="s">
        <v>15446</v>
      </c>
    </row>
    <row r="7540" spans="1:12" ht="24" customHeight="1">
      <c r="A7540" s="636"/>
      <c r="B7540" s="636"/>
      <c r="C7540" s="636"/>
      <c r="D7540" s="636"/>
      <c r="E7540" s="636"/>
      <c r="F7540" s="636"/>
      <c r="G7540" s="636"/>
      <c r="H7540" s="636"/>
      <c r="I7540" s="636"/>
      <c r="J7540" s="636" t="s">
        <v>13669</v>
      </c>
      <c r="K7540" s="636" t="s">
        <v>13667</v>
      </c>
      <c r="L7540" s="636" t="s">
        <v>15447</v>
      </c>
    </row>
    <row r="7541" spans="1:12" ht="24" customHeight="1">
      <c r="A7541" s="636"/>
      <c r="B7541" s="636"/>
      <c r="C7541" s="636"/>
      <c r="D7541" s="636"/>
      <c r="E7541" s="636"/>
      <c r="F7541" s="636"/>
      <c r="G7541" s="636"/>
      <c r="H7541" s="636"/>
      <c r="I7541" s="636"/>
      <c r="J7541" s="636" t="s">
        <v>13668</v>
      </c>
      <c r="K7541" s="636"/>
      <c r="L7541" s="636" t="s">
        <v>15448</v>
      </c>
    </row>
    <row r="7542" spans="1:12" ht="17.100000000000001" customHeight="1">
      <c r="A7542" s="637"/>
      <c r="B7542" s="637"/>
      <c r="C7542" s="637"/>
      <c r="D7542" s="637"/>
      <c r="E7542" s="637"/>
      <c r="F7542" s="637"/>
      <c r="G7542" s="637"/>
      <c r="H7542" s="637"/>
      <c r="I7542" s="637"/>
      <c r="J7542" s="637"/>
      <c r="K7542" s="637"/>
      <c r="L7542" s="637"/>
    </row>
    <row r="7543" spans="1:12" ht="25.5">
      <c r="A7543" s="616" t="s">
        <v>13990</v>
      </c>
      <c r="B7543" s="617" t="s">
        <v>14853</v>
      </c>
      <c r="C7543" s="616" t="s">
        <v>8</v>
      </c>
      <c r="D7543" s="616" t="s">
        <v>6951</v>
      </c>
      <c r="E7543" s="618" t="s">
        <v>35</v>
      </c>
      <c r="F7543" s="617"/>
      <c r="G7543" s="617"/>
      <c r="H7543" s="617"/>
      <c r="I7543" s="617"/>
      <c r="J7543" s="617"/>
      <c r="K7543" s="617"/>
      <c r="L7543" s="617"/>
    </row>
    <row r="7544" spans="1:12" ht="17.100000000000001" customHeight="1">
      <c r="A7544" s="802" t="s">
        <v>12711</v>
      </c>
      <c r="B7544" s="802"/>
      <c r="C7544" s="802"/>
      <c r="D7544" s="802"/>
      <c r="E7544" s="802"/>
      <c r="F7544" s="802"/>
      <c r="G7544" s="802"/>
      <c r="H7544" s="802"/>
      <c r="I7544" s="612"/>
      <c r="J7544" s="612"/>
      <c r="K7544" s="612"/>
      <c r="L7544" s="612"/>
    </row>
    <row r="7545" spans="1:12" ht="24" customHeight="1">
      <c r="A7545" s="612" t="s">
        <v>13679</v>
      </c>
      <c r="B7545" s="636" t="s">
        <v>12698</v>
      </c>
      <c r="C7545" s="612" t="s">
        <v>12699</v>
      </c>
      <c r="D7545" s="612" t="s">
        <v>12700</v>
      </c>
      <c r="E7545" s="637" t="s">
        <v>12702</v>
      </c>
      <c r="F7545" s="801" t="s">
        <v>12704</v>
      </c>
      <c r="G7545" s="801"/>
      <c r="H7545" s="801" t="s">
        <v>13678</v>
      </c>
      <c r="I7545" s="801"/>
      <c r="J7545" s="801" t="s">
        <v>12705</v>
      </c>
      <c r="K7545" s="801"/>
      <c r="L7545" s="801"/>
    </row>
    <row r="7546" spans="1:12" ht="24" customHeight="1">
      <c r="A7546" s="626" t="s">
        <v>12709</v>
      </c>
      <c r="B7546" s="627" t="s">
        <v>13201</v>
      </c>
      <c r="C7546" s="626" t="s">
        <v>8</v>
      </c>
      <c r="D7546" s="626" t="s">
        <v>9221</v>
      </c>
      <c r="E7546" s="628" t="s">
        <v>23</v>
      </c>
      <c r="F7546" s="816" t="s">
        <v>13705</v>
      </c>
      <c r="G7546" s="816"/>
      <c r="H7546" s="816">
        <v>0.153032</v>
      </c>
      <c r="I7546" s="816"/>
      <c r="J7546" s="817">
        <v>0.127</v>
      </c>
      <c r="K7546" s="817"/>
      <c r="L7546" s="817"/>
    </row>
    <row r="7547" spans="1:12" ht="24" customHeight="1">
      <c r="A7547" s="626" t="s">
        <v>12709</v>
      </c>
      <c r="B7547" s="627" t="s">
        <v>13200</v>
      </c>
      <c r="C7547" s="626" t="s">
        <v>8</v>
      </c>
      <c r="D7547" s="626" t="s">
        <v>9368</v>
      </c>
      <c r="E7547" s="628" t="s">
        <v>23</v>
      </c>
      <c r="F7547" s="816" t="s">
        <v>13704</v>
      </c>
      <c r="G7547" s="816"/>
      <c r="H7547" s="816">
        <v>0.153032</v>
      </c>
      <c r="I7547" s="816"/>
      <c r="J7547" s="817">
        <v>3.6700000000000003E-2</v>
      </c>
      <c r="K7547" s="817"/>
      <c r="L7547" s="817"/>
    </row>
    <row r="7548" spans="1:12" ht="24" customHeight="1">
      <c r="A7548" s="626" t="s">
        <v>12709</v>
      </c>
      <c r="B7548" s="627" t="s">
        <v>13048</v>
      </c>
      <c r="C7548" s="626" t="s">
        <v>8</v>
      </c>
      <c r="D7548" s="626" t="s">
        <v>9233</v>
      </c>
      <c r="E7548" s="628" t="s">
        <v>23</v>
      </c>
      <c r="F7548" s="816" t="s">
        <v>13690</v>
      </c>
      <c r="G7548" s="816"/>
      <c r="H7548" s="816">
        <v>4.8221E-2</v>
      </c>
      <c r="I7548" s="816"/>
      <c r="J7548" s="817">
        <v>4.9200000000000001E-2</v>
      </c>
      <c r="K7548" s="817"/>
      <c r="L7548" s="817"/>
    </row>
    <row r="7549" spans="1:12" ht="24" customHeight="1">
      <c r="A7549" s="626" t="s">
        <v>12709</v>
      </c>
      <c r="B7549" s="627" t="s">
        <v>13047</v>
      </c>
      <c r="C7549" s="626" t="s">
        <v>8</v>
      </c>
      <c r="D7549" s="626" t="s">
        <v>9380</v>
      </c>
      <c r="E7549" s="628" t="s">
        <v>23</v>
      </c>
      <c r="F7549" s="816" t="s">
        <v>13689</v>
      </c>
      <c r="G7549" s="816"/>
      <c r="H7549" s="816">
        <v>4.8221E-2</v>
      </c>
      <c r="I7549" s="816"/>
      <c r="J7549" s="817">
        <v>1.83E-2</v>
      </c>
      <c r="K7549" s="817"/>
      <c r="L7549" s="817"/>
    </row>
    <row r="7550" spans="1:12" ht="36" customHeight="1">
      <c r="A7550" s="636"/>
      <c r="B7550" s="636"/>
      <c r="C7550" s="636"/>
      <c r="D7550" s="636"/>
      <c r="E7550" s="636"/>
      <c r="F7550" s="636"/>
      <c r="G7550" s="636"/>
      <c r="H7550" s="636"/>
      <c r="I7550" s="636"/>
      <c r="J7550" s="636" t="s">
        <v>13675</v>
      </c>
      <c r="K7550" s="636"/>
      <c r="L7550" s="636" t="s">
        <v>13788</v>
      </c>
    </row>
    <row r="7551" spans="1:12" ht="24" customHeight="1">
      <c r="A7551" s="802" t="s">
        <v>12710</v>
      </c>
      <c r="B7551" s="802"/>
      <c r="C7551" s="802"/>
      <c r="D7551" s="802"/>
      <c r="E7551" s="802"/>
      <c r="F7551" s="802"/>
      <c r="G7551" s="802"/>
      <c r="H7551" s="802"/>
      <c r="I7551" s="612"/>
      <c r="J7551" s="612"/>
      <c r="K7551" s="612"/>
      <c r="L7551" s="612"/>
    </row>
    <row r="7552" spans="1:12" ht="24" customHeight="1">
      <c r="A7552" s="612" t="s">
        <v>13679</v>
      </c>
      <c r="B7552" s="636" t="s">
        <v>12698</v>
      </c>
      <c r="C7552" s="612" t="s">
        <v>12699</v>
      </c>
      <c r="D7552" s="612" t="s">
        <v>12700</v>
      </c>
      <c r="E7552" s="637" t="s">
        <v>12702</v>
      </c>
      <c r="F7552" s="801" t="s">
        <v>12704</v>
      </c>
      <c r="G7552" s="801"/>
      <c r="H7552" s="801" t="s">
        <v>13678</v>
      </c>
      <c r="I7552" s="801"/>
      <c r="J7552" s="801" t="s">
        <v>12705</v>
      </c>
      <c r="K7552" s="801"/>
      <c r="L7552" s="801"/>
    </row>
    <row r="7553" spans="1:12" ht="17.100000000000001" customHeight="1">
      <c r="A7553" s="626" t="s">
        <v>12709</v>
      </c>
      <c r="B7553" s="627" t="s">
        <v>13202</v>
      </c>
      <c r="C7553" s="626" t="s">
        <v>8</v>
      </c>
      <c r="D7553" s="626" t="s">
        <v>9187</v>
      </c>
      <c r="E7553" s="628" t="s">
        <v>23</v>
      </c>
      <c r="F7553" s="816" t="s">
        <v>14479</v>
      </c>
      <c r="G7553" s="816"/>
      <c r="H7553" s="816">
        <v>0.15466540000000001</v>
      </c>
      <c r="I7553" s="816"/>
      <c r="J7553" s="817">
        <v>1.1059000000000001</v>
      </c>
      <c r="K7553" s="817"/>
      <c r="L7553" s="817"/>
    </row>
    <row r="7554" spans="1:12" ht="25.5">
      <c r="A7554" s="626" t="s">
        <v>12709</v>
      </c>
      <c r="B7554" s="627" t="s">
        <v>13046</v>
      </c>
      <c r="C7554" s="626" t="s">
        <v>8</v>
      </c>
      <c r="D7554" s="626" t="s">
        <v>11281</v>
      </c>
      <c r="E7554" s="628" t="s">
        <v>23</v>
      </c>
      <c r="F7554" s="816" t="s">
        <v>13731</v>
      </c>
      <c r="G7554" s="816"/>
      <c r="H7554" s="816">
        <v>4.8841599999999999E-2</v>
      </c>
      <c r="I7554" s="816"/>
      <c r="J7554" s="817">
        <v>0.251</v>
      </c>
      <c r="K7554" s="817"/>
      <c r="L7554" s="817"/>
    </row>
    <row r="7555" spans="1:12" ht="17.100000000000001" customHeight="1">
      <c r="A7555" s="636"/>
      <c r="B7555" s="636"/>
      <c r="C7555" s="636"/>
      <c r="D7555" s="636"/>
      <c r="E7555" s="636"/>
      <c r="F7555" s="636"/>
      <c r="G7555" s="636"/>
      <c r="H7555" s="636"/>
      <c r="I7555" s="636"/>
      <c r="J7555" s="636" t="s">
        <v>13675</v>
      </c>
      <c r="K7555" s="636"/>
      <c r="L7555" s="636" t="s">
        <v>15449</v>
      </c>
    </row>
    <row r="7556" spans="1:12" ht="24" customHeight="1">
      <c r="A7556" s="802" t="s">
        <v>12720</v>
      </c>
      <c r="B7556" s="802"/>
      <c r="C7556" s="802"/>
      <c r="D7556" s="802"/>
      <c r="E7556" s="802"/>
      <c r="F7556" s="802"/>
      <c r="G7556" s="802"/>
      <c r="H7556" s="802"/>
      <c r="I7556" s="612"/>
      <c r="J7556" s="612"/>
      <c r="K7556" s="612"/>
      <c r="L7556" s="612"/>
    </row>
    <row r="7557" spans="1:12" ht="17.100000000000001" customHeight="1">
      <c r="A7557" s="612" t="s">
        <v>13679</v>
      </c>
      <c r="B7557" s="636" t="s">
        <v>12698</v>
      </c>
      <c r="C7557" s="612" t="s">
        <v>12699</v>
      </c>
      <c r="D7557" s="612" t="s">
        <v>12700</v>
      </c>
      <c r="E7557" s="637" t="s">
        <v>12702</v>
      </c>
      <c r="F7557" s="801" t="s">
        <v>12704</v>
      </c>
      <c r="G7557" s="801"/>
      <c r="H7557" s="801" t="s">
        <v>13678</v>
      </c>
      <c r="I7557" s="801"/>
      <c r="J7557" s="801" t="s">
        <v>12705</v>
      </c>
      <c r="K7557" s="801"/>
      <c r="L7557" s="801"/>
    </row>
    <row r="7558" spans="1:12" ht="25.5">
      <c r="A7558" s="626" t="s">
        <v>12709</v>
      </c>
      <c r="B7558" s="627" t="s">
        <v>14854</v>
      </c>
      <c r="C7558" s="626" t="s">
        <v>8</v>
      </c>
      <c r="D7558" s="626" t="s">
        <v>7586</v>
      </c>
      <c r="E7558" s="628" t="s">
        <v>35</v>
      </c>
      <c r="F7558" s="816" t="s">
        <v>15450</v>
      </c>
      <c r="G7558" s="816"/>
      <c r="H7558" s="816">
        <v>1</v>
      </c>
      <c r="I7558" s="816"/>
      <c r="J7558" s="817">
        <v>27.58</v>
      </c>
      <c r="K7558" s="817"/>
      <c r="L7558" s="817"/>
    </row>
    <row r="7559" spans="1:12" ht="17.100000000000001" customHeight="1">
      <c r="A7559" s="636"/>
      <c r="B7559" s="636"/>
      <c r="C7559" s="636"/>
      <c r="D7559" s="636"/>
      <c r="E7559" s="636"/>
      <c r="F7559" s="636"/>
      <c r="G7559" s="636"/>
      <c r="H7559" s="636"/>
      <c r="I7559" s="636"/>
      <c r="J7559" s="636" t="s">
        <v>13675</v>
      </c>
      <c r="K7559" s="636"/>
      <c r="L7559" s="636" t="s">
        <v>15450</v>
      </c>
    </row>
    <row r="7560" spans="1:12" ht="24" customHeight="1">
      <c r="A7560" s="802" t="s">
        <v>12722</v>
      </c>
      <c r="B7560" s="802"/>
      <c r="C7560" s="802"/>
      <c r="D7560" s="802"/>
      <c r="E7560" s="802"/>
      <c r="F7560" s="802"/>
      <c r="G7560" s="802"/>
      <c r="H7560" s="802"/>
      <c r="I7560" s="612"/>
      <c r="J7560" s="612"/>
      <c r="K7560" s="612"/>
      <c r="L7560" s="612"/>
    </row>
    <row r="7561" spans="1:12" ht="17.100000000000001" customHeight="1">
      <c r="A7561" s="612" t="s">
        <v>13679</v>
      </c>
      <c r="B7561" s="636" t="s">
        <v>12698</v>
      </c>
      <c r="C7561" s="612" t="s">
        <v>12699</v>
      </c>
      <c r="D7561" s="612" t="s">
        <v>12700</v>
      </c>
      <c r="E7561" s="637" t="s">
        <v>12702</v>
      </c>
      <c r="F7561" s="801" t="s">
        <v>12704</v>
      </c>
      <c r="G7561" s="801"/>
      <c r="H7561" s="801" t="s">
        <v>13678</v>
      </c>
      <c r="I7561" s="801"/>
      <c r="J7561" s="801" t="s">
        <v>12705</v>
      </c>
      <c r="K7561" s="801"/>
      <c r="L7561" s="801"/>
    </row>
    <row r="7562" spans="1:12" ht="25.5">
      <c r="A7562" s="626" t="s">
        <v>12709</v>
      </c>
      <c r="B7562" s="627" t="s">
        <v>12998</v>
      </c>
      <c r="C7562" s="626" t="s">
        <v>8</v>
      </c>
      <c r="D7562" s="626" t="s">
        <v>11861</v>
      </c>
      <c r="E7562" s="628" t="s">
        <v>23</v>
      </c>
      <c r="F7562" s="816" t="s">
        <v>13683</v>
      </c>
      <c r="G7562" s="816"/>
      <c r="H7562" s="816">
        <v>0.20125299999999999</v>
      </c>
      <c r="I7562" s="816"/>
      <c r="J7562" s="817">
        <v>0.1429</v>
      </c>
      <c r="K7562" s="817"/>
      <c r="L7562" s="817"/>
    </row>
    <row r="7563" spans="1:12" ht="17.100000000000001" customHeight="1">
      <c r="A7563" s="636"/>
      <c r="B7563" s="636"/>
      <c r="C7563" s="636"/>
      <c r="D7563" s="636"/>
      <c r="E7563" s="636"/>
      <c r="F7563" s="636"/>
      <c r="G7563" s="636"/>
      <c r="H7563" s="636"/>
      <c r="I7563" s="636"/>
      <c r="J7563" s="636" t="s">
        <v>13675</v>
      </c>
      <c r="K7563" s="636"/>
      <c r="L7563" s="636" t="s">
        <v>13880</v>
      </c>
    </row>
    <row r="7564" spans="1:12" ht="24" customHeight="1">
      <c r="A7564" s="802" t="s">
        <v>12713</v>
      </c>
      <c r="B7564" s="802"/>
      <c r="C7564" s="802"/>
      <c r="D7564" s="802"/>
      <c r="E7564" s="802"/>
      <c r="F7564" s="802"/>
      <c r="G7564" s="802"/>
      <c r="H7564" s="802"/>
      <c r="I7564" s="612"/>
      <c r="J7564" s="612"/>
      <c r="K7564" s="612"/>
      <c r="L7564" s="612"/>
    </row>
    <row r="7565" spans="1:12" ht="24" customHeight="1">
      <c r="A7565" s="612" t="s">
        <v>13679</v>
      </c>
      <c r="B7565" s="636" t="s">
        <v>12698</v>
      </c>
      <c r="C7565" s="612" t="s">
        <v>12699</v>
      </c>
      <c r="D7565" s="612" t="s">
        <v>12700</v>
      </c>
      <c r="E7565" s="637" t="s">
        <v>12702</v>
      </c>
      <c r="F7565" s="801" t="s">
        <v>12704</v>
      </c>
      <c r="G7565" s="801"/>
      <c r="H7565" s="801" t="s">
        <v>13678</v>
      </c>
      <c r="I7565" s="801"/>
      <c r="J7565" s="801" t="s">
        <v>12705</v>
      </c>
      <c r="K7565" s="801"/>
      <c r="L7565" s="801"/>
    </row>
    <row r="7566" spans="1:12" ht="17.100000000000001" customHeight="1">
      <c r="A7566" s="626" t="s">
        <v>12709</v>
      </c>
      <c r="B7566" s="627" t="s">
        <v>12999</v>
      </c>
      <c r="C7566" s="626" t="s">
        <v>8</v>
      </c>
      <c r="D7566" s="626" t="s">
        <v>11251</v>
      </c>
      <c r="E7566" s="628" t="s">
        <v>23</v>
      </c>
      <c r="F7566" s="816" t="s">
        <v>13681</v>
      </c>
      <c r="G7566" s="816"/>
      <c r="H7566" s="816">
        <v>0.20125299999999999</v>
      </c>
      <c r="I7566" s="816"/>
      <c r="J7566" s="817">
        <v>1.41E-2</v>
      </c>
      <c r="K7566" s="817"/>
      <c r="L7566" s="817"/>
    </row>
    <row r="7567" spans="1:12" ht="17.100000000000001" customHeight="1">
      <c r="A7567" s="636"/>
      <c r="B7567" s="636"/>
      <c r="C7567" s="636"/>
      <c r="D7567" s="636"/>
      <c r="E7567" s="636"/>
      <c r="F7567" s="636"/>
      <c r="G7567" s="636"/>
      <c r="H7567" s="636"/>
      <c r="I7567" s="636"/>
      <c r="J7567" s="636" t="s">
        <v>13675</v>
      </c>
      <c r="K7567" s="636"/>
      <c r="L7567" s="636" t="s">
        <v>13728</v>
      </c>
    </row>
    <row r="7568" spans="1:12" ht="17.100000000000001" customHeight="1">
      <c r="A7568" s="802" t="s">
        <v>12712</v>
      </c>
      <c r="B7568" s="802"/>
      <c r="C7568" s="802"/>
      <c r="D7568" s="802"/>
      <c r="E7568" s="802"/>
      <c r="F7568" s="802"/>
      <c r="G7568" s="802"/>
      <c r="H7568" s="802"/>
      <c r="I7568" s="612"/>
      <c r="J7568" s="612"/>
      <c r="K7568" s="612"/>
      <c r="L7568" s="612"/>
    </row>
    <row r="7569" spans="1:12" ht="17.100000000000001" customHeight="1">
      <c r="A7569" s="612" t="s">
        <v>13679</v>
      </c>
      <c r="B7569" s="636" t="s">
        <v>12698</v>
      </c>
      <c r="C7569" s="612" t="s">
        <v>12699</v>
      </c>
      <c r="D7569" s="612" t="s">
        <v>12700</v>
      </c>
      <c r="E7569" s="637" t="s">
        <v>12702</v>
      </c>
      <c r="F7569" s="801" t="s">
        <v>12704</v>
      </c>
      <c r="G7569" s="801"/>
      <c r="H7569" s="801" t="s">
        <v>13678</v>
      </c>
      <c r="I7569" s="801"/>
      <c r="J7569" s="801" t="s">
        <v>12705</v>
      </c>
      <c r="K7569" s="801"/>
      <c r="L7569" s="801"/>
    </row>
    <row r="7570" spans="1:12" ht="17.100000000000001" customHeight="1">
      <c r="A7570" s="626" t="s">
        <v>12709</v>
      </c>
      <c r="B7570" s="627" t="s">
        <v>13002</v>
      </c>
      <c r="C7570" s="626" t="s">
        <v>8</v>
      </c>
      <c r="D7570" s="626" t="s">
        <v>9306</v>
      </c>
      <c r="E7570" s="628" t="s">
        <v>23</v>
      </c>
      <c r="F7570" s="816" t="s">
        <v>13677</v>
      </c>
      <c r="G7570" s="816"/>
      <c r="H7570" s="816">
        <v>0.20125299999999999</v>
      </c>
      <c r="I7570" s="816"/>
      <c r="J7570" s="817">
        <v>7.0400000000000004E-2</v>
      </c>
      <c r="K7570" s="817"/>
      <c r="L7570" s="817"/>
    </row>
    <row r="7571" spans="1:12" ht="17.100000000000001" customHeight="1">
      <c r="A7571" s="626" t="s">
        <v>12709</v>
      </c>
      <c r="B7571" s="627" t="s">
        <v>13004</v>
      </c>
      <c r="C7571" s="626" t="s">
        <v>8</v>
      </c>
      <c r="D7571" s="626" t="s">
        <v>7388</v>
      </c>
      <c r="E7571" s="628" t="s">
        <v>23</v>
      </c>
      <c r="F7571" s="816" t="s">
        <v>13676</v>
      </c>
      <c r="G7571" s="816"/>
      <c r="H7571" s="816">
        <v>0.20125299999999999</v>
      </c>
      <c r="I7571" s="816"/>
      <c r="J7571" s="817">
        <v>0.44280000000000003</v>
      </c>
      <c r="K7571" s="817"/>
      <c r="L7571" s="817"/>
    </row>
    <row r="7572" spans="1:12" ht="17.100000000000001" customHeight="1">
      <c r="A7572" s="636"/>
      <c r="B7572" s="636"/>
      <c r="C7572" s="636"/>
      <c r="D7572" s="636"/>
      <c r="E7572" s="636"/>
      <c r="F7572" s="636"/>
      <c r="G7572" s="636"/>
      <c r="H7572" s="636"/>
      <c r="I7572" s="636"/>
      <c r="J7572" s="636" t="s">
        <v>13675</v>
      </c>
      <c r="K7572" s="636"/>
      <c r="L7572" s="636" t="s">
        <v>13746</v>
      </c>
    </row>
    <row r="7573" spans="1:12" ht="30" customHeight="1">
      <c r="A7573" s="612" t="s">
        <v>13673</v>
      </c>
      <c r="B7573" s="612"/>
      <c r="C7573" s="612"/>
      <c r="D7573" s="612"/>
      <c r="E7573" s="612"/>
      <c r="F7573" s="612"/>
      <c r="G7573" s="612"/>
      <c r="H7573" s="612"/>
      <c r="I7573" s="612"/>
      <c r="J7573" s="612"/>
      <c r="K7573" s="612"/>
      <c r="L7573" s="612"/>
    </row>
    <row r="7574" spans="1:12" ht="36" customHeight="1">
      <c r="A7574" s="636"/>
      <c r="B7574" s="636"/>
      <c r="C7574" s="636"/>
      <c r="D7574" s="636"/>
      <c r="E7574" s="636"/>
      <c r="F7574" s="636"/>
      <c r="G7574" s="636"/>
      <c r="H7574" s="636"/>
      <c r="I7574" s="636"/>
      <c r="J7574" s="636" t="s">
        <v>13672</v>
      </c>
      <c r="K7574" s="636"/>
      <c r="L7574" s="636" t="s">
        <v>15451</v>
      </c>
    </row>
    <row r="7575" spans="1:12" ht="14.25" customHeight="1">
      <c r="A7575" s="636"/>
      <c r="B7575" s="636"/>
      <c r="C7575" s="636"/>
      <c r="D7575" s="636"/>
      <c r="E7575" s="636"/>
      <c r="F7575" s="636"/>
      <c r="G7575" s="636"/>
      <c r="H7575" s="636"/>
      <c r="I7575" s="636"/>
      <c r="J7575" s="636" t="s">
        <v>13671</v>
      </c>
      <c r="K7575" s="636" t="s">
        <v>14461</v>
      </c>
      <c r="L7575" s="636" t="s">
        <v>15452</v>
      </c>
    </row>
    <row r="7576" spans="1:12" ht="17.100000000000001" customHeight="1">
      <c r="A7576" s="636"/>
      <c r="B7576" s="636"/>
      <c r="C7576" s="636"/>
      <c r="D7576" s="636"/>
      <c r="E7576" s="636"/>
      <c r="F7576" s="636"/>
      <c r="G7576" s="636"/>
      <c r="H7576" s="636"/>
      <c r="I7576" s="636"/>
      <c r="J7576" s="636" t="s">
        <v>13670</v>
      </c>
      <c r="K7576" s="636"/>
      <c r="L7576" s="636" t="s">
        <v>15453</v>
      </c>
    </row>
    <row r="7577" spans="1:12" ht="24" customHeight="1">
      <c r="A7577" s="636"/>
      <c r="B7577" s="636"/>
      <c r="C7577" s="636"/>
      <c r="D7577" s="636"/>
      <c r="E7577" s="636"/>
      <c r="F7577" s="636"/>
      <c r="G7577" s="636"/>
      <c r="H7577" s="636"/>
      <c r="I7577" s="636"/>
      <c r="J7577" s="636" t="s">
        <v>13669</v>
      </c>
      <c r="K7577" s="636" t="s">
        <v>13667</v>
      </c>
      <c r="L7577" s="636" t="s">
        <v>15334</v>
      </c>
    </row>
    <row r="7578" spans="1:12" ht="24" customHeight="1">
      <c r="A7578" s="636"/>
      <c r="B7578" s="636"/>
      <c r="C7578" s="636"/>
      <c r="D7578" s="636"/>
      <c r="E7578" s="636"/>
      <c r="F7578" s="636"/>
      <c r="G7578" s="636"/>
      <c r="H7578" s="636"/>
      <c r="I7578" s="636"/>
      <c r="J7578" s="636" t="s">
        <v>13668</v>
      </c>
      <c r="K7578" s="636"/>
      <c r="L7578" s="636" t="s">
        <v>15454</v>
      </c>
    </row>
    <row r="7579" spans="1:12" ht="24" customHeight="1">
      <c r="A7579" s="637"/>
      <c r="B7579" s="637"/>
      <c r="C7579" s="637"/>
      <c r="D7579" s="637"/>
      <c r="E7579" s="637"/>
      <c r="F7579" s="637"/>
      <c r="G7579" s="637"/>
      <c r="H7579" s="637"/>
      <c r="I7579" s="637"/>
      <c r="J7579" s="637"/>
      <c r="K7579" s="637"/>
      <c r="L7579" s="637"/>
    </row>
    <row r="7580" spans="1:12" ht="24" customHeight="1">
      <c r="A7580" s="616" t="s">
        <v>13989</v>
      </c>
      <c r="B7580" s="617" t="s">
        <v>13460</v>
      </c>
      <c r="C7580" s="616" t="s">
        <v>8</v>
      </c>
      <c r="D7580" s="616" t="s">
        <v>6934</v>
      </c>
      <c r="E7580" s="618" t="s">
        <v>35</v>
      </c>
      <c r="F7580" s="617"/>
      <c r="G7580" s="617"/>
      <c r="H7580" s="617"/>
      <c r="I7580" s="617"/>
      <c r="J7580" s="617"/>
      <c r="K7580" s="617"/>
      <c r="L7580" s="617"/>
    </row>
    <row r="7581" spans="1:12" ht="17.100000000000001" customHeight="1">
      <c r="A7581" s="802" t="s">
        <v>12711</v>
      </c>
      <c r="B7581" s="802"/>
      <c r="C7581" s="802"/>
      <c r="D7581" s="802"/>
      <c r="E7581" s="802"/>
      <c r="F7581" s="802"/>
      <c r="G7581" s="802"/>
      <c r="H7581" s="802"/>
      <c r="I7581" s="612"/>
      <c r="J7581" s="612"/>
      <c r="K7581" s="612"/>
      <c r="L7581" s="612"/>
    </row>
    <row r="7582" spans="1:12" ht="14.25" customHeight="1">
      <c r="A7582" s="612" t="s">
        <v>13679</v>
      </c>
      <c r="B7582" s="636" t="s">
        <v>12698</v>
      </c>
      <c r="C7582" s="612" t="s">
        <v>12699</v>
      </c>
      <c r="D7582" s="612" t="s">
        <v>12700</v>
      </c>
      <c r="E7582" s="637" t="s">
        <v>12702</v>
      </c>
      <c r="F7582" s="801" t="s">
        <v>12704</v>
      </c>
      <c r="G7582" s="801"/>
      <c r="H7582" s="801" t="s">
        <v>13678</v>
      </c>
      <c r="I7582" s="801"/>
      <c r="J7582" s="801" t="s">
        <v>12705</v>
      </c>
      <c r="K7582" s="801"/>
      <c r="L7582" s="801"/>
    </row>
    <row r="7583" spans="1:12" ht="17.100000000000001" customHeight="1">
      <c r="A7583" s="626" t="s">
        <v>12709</v>
      </c>
      <c r="B7583" s="627" t="s">
        <v>13201</v>
      </c>
      <c r="C7583" s="626" t="s">
        <v>8</v>
      </c>
      <c r="D7583" s="626" t="s">
        <v>9221</v>
      </c>
      <c r="E7583" s="628" t="s">
        <v>23</v>
      </c>
      <c r="F7583" s="816" t="s">
        <v>13705</v>
      </c>
      <c r="G7583" s="816"/>
      <c r="H7583" s="816">
        <v>2.1622728000000002</v>
      </c>
      <c r="I7583" s="816"/>
      <c r="J7583" s="817">
        <v>1.7947</v>
      </c>
      <c r="K7583" s="817"/>
      <c r="L7583" s="817"/>
    </row>
    <row r="7584" spans="1:12" ht="24" customHeight="1">
      <c r="A7584" s="626" t="s">
        <v>12709</v>
      </c>
      <c r="B7584" s="627" t="s">
        <v>13200</v>
      </c>
      <c r="C7584" s="626" t="s">
        <v>8</v>
      </c>
      <c r="D7584" s="626" t="s">
        <v>9368</v>
      </c>
      <c r="E7584" s="628" t="s">
        <v>23</v>
      </c>
      <c r="F7584" s="816" t="s">
        <v>13704</v>
      </c>
      <c r="G7584" s="816"/>
      <c r="H7584" s="816">
        <v>2.1622728000000002</v>
      </c>
      <c r="I7584" s="816"/>
      <c r="J7584" s="817">
        <v>0.51890000000000003</v>
      </c>
      <c r="K7584" s="817"/>
      <c r="L7584" s="817"/>
    </row>
    <row r="7585" spans="1:12" ht="24" customHeight="1">
      <c r="A7585" s="626" t="s">
        <v>12709</v>
      </c>
      <c r="B7585" s="627" t="s">
        <v>13048</v>
      </c>
      <c r="C7585" s="626" t="s">
        <v>8</v>
      </c>
      <c r="D7585" s="626" t="s">
        <v>9233</v>
      </c>
      <c r="E7585" s="628" t="s">
        <v>23</v>
      </c>
      <c r="F7585" s="816" t="s">
        <v>13690</v>
      </c>
      <c r="G7585" s="816"/>
      <c r="H7585" s="816">
        <v>0.87096819999999997</v>
      </c>
      <c r="I7585" s="816"/>
      <c r="J7585" s="817">
        <v>0.88839999999999997</v>
      </c>
      <c r="K7585" s="817"/>
      <c r="L7585" s="817"/>
    </row>
    <row r="7586" spans="1:12" ht="17.100000000000001" customHeight="1">
      <c r="A7586" s="626" t="s">
        <v>12709</v>
      </c>
      <c r="B7586" s="627" t="s">
        <v>13047</v>
      </c>
      <c r="C7586" s="626" t="s">
        <v>8</v>
      </c>
      <c r="D7586" s="626" t="s">
        <v>9380</v>
      </c>
      <c r="E7586" s="628" t="s">
        <v>23</v>
      </c>
      <c r="F7586" s="816" t="s">
        <v>13689</v>
      </c>
      <c r="G7586" s="816"/>
      <c r="H7586" s="816">
        <v>0.87096819999999997</v>
      </c>
      <c r="I7586" s="816"/>
      <c r="J7586" s="817">
        <v>0.33100000000000002</v>
      </c>
      <c r="K7586" s="817"/>
      <c r="L7586" s="817"/>
    </row>
    <row r="7587" spans="1:12">
      <c r="A7587" s="636"/>
      <c r="B7587" s="636"/>
      <c r="C7587" s="636"/>
      <c r="D7587" s="636"/>
      <c r="E7587" s="636"/>
      <c r="F7587" s="636"/>
      <c r="G7587" s="636"/>
      <c r="H7587" s="636"/>
      <c r="I7587" s="636"/>
      <c r="J7587" s="636" t="s">
        <v>13675</v>
      </c>
      <c r="K7587" s="636"/>
      <c r="L7587" s="636" t="s">
        <v>13975</v>
      </c>
    </row>
    <row r="7588" spans="1:12" ht="17.100000000000001" customHeight="1">
      <c r="A7588" s="802" t="s">
        <v>12710</v>
      </c>
      <c r="B7588" s="802"/>
      <c r="C7588" s="802"/>
      <c r="D7588" s="802"/>
      <c r="E7588" s="802"/>
      <c r="F7588" s="802"/>
      <c r="G7588" s="802"/>
      <c r="H7588" s="802"/>
      <c r="I7588" s="612"/>
      <c r="J7588" s="612"/>
      <c r="K7588" s="612"/>
      <c r="L7588" s="612"/>
    </row>
    <row r="7589" spans="1:12" ht="24" customHeight="1">
      <c r="A7589" s="612" t="s">
        <v>13679</v>
      </c>
      <c r="B7589" s="636" t="s">
        <v>12698</v>
      </c>
      <c r="C7589" s="612" t="s">
        <v>12699</v>
      </c>
      <c r="D7589" s="612" t="s">
        <v>12700</v>
      </c>
      <c r="E7589" s="637" t="s">
        <v>12702</v>
      </c>
      <c r="F7589" s="801" t="s">
        <v>12704</v>
      </c>
      <c r="G7589" s="801"/>
      <c r="H7589" s="801" t="s">
        <v>13678</v>
      </c>
      <c r="I7589" s="801"/>
      <c r="J7589" s="801" t="s">
        <v>12705</v>
      </c>
      <c r="K7589" s="801"/>
      <c r="L7589" s="801"/>
    </row>
    <row r="7590" spans="1:12" ht="24" customHeight="1">
      <c r="A7590" s="626" t="s">
        <v>12709</v>
      </c>
      <c r="B7590" s="627" t="s">
        <v>13202</v>
      </c>
      <c r="C7590" s="626" t="s">
        <v>8</v>
      </c>
      <c r="D7590" s="626" t="s">
        <v>9187</v>
      </c>
      <c r="E7590" s="628" t="s">
        <v>23</v>
      </c>
      <c r="F7590" s="816" t="s">
        <v>14479</v>
      </c>
      <c r="G7590" s="816"/>
      <c r="H7590" s="816">
        <v>2.1864457000000002</v>
      </c>
      <c r="I7590" s="816"/>
      <c r="J7590" s="817">
        <v>15.633100000000001</v>
      </c>
      <c r="K7590" s="817"/>
      <c r="L7590" s="817"/>
    </row>
    <row r="7591" spans="1:12" ht="17.100000000000001" customHeight="1">
      <c r="A7591" s="626" t="s">
        <v>12709</v>
      </c>
      <c r="B7591" s="627" t="s">
        <v>13046</v>
      </c>
      <c r="C7591" s="626" t="s">
        <v>8</v>
      </c>
      <c r="D7591" s="626" t="s">
        <v>11281</v>
      </c>
      <c r="E7591" s="628" t="s">
        <v>23</v>
      </c>
      <c r="F7591" s="816" t="s">
        <v>13731</v>
      </c>
      <c r="G7591" s="816"/>
      <c r="H7591" s="816">
        <v>0.88261889999999998</v>
      </c>
      <c r="I7591" s="816"/>
      <c r="J7591" s="817">
        <v>4.5366999999999997</v>
      </c>
      <c r="K7591" s="817"/>
      <c r="L7591" s="817"/>
    </row>
    <row r="7592" spans="1:12">
      <c r="A7592" s="636"/>
      <c r="B7592" s="636"/>
      <c r="C7592" s="636"/>
      <c r="D7592" s="636"/>
      <c r="E7592" s="636"/>
      <c r="F7592" s="636"/>
      <c r="G7592" s="636"/>
      <c r="H7592" s="636"/>
      <c r="I7592" s="636"/>
      <c r="J7592" s="636" t="s">
        <v>13675</v>
      </c>
      <c r="K7592" s="636"/>
      <c r="L7592" s="636" t="s">
        <v>14622</v>
      </c>
    </row>
    <row r="7593" spans="1:12" ht="17.100000000000001" customHeight="1">
      <c r="A7593" s="802" t="s">
        <v>12720</v>
      </c>
      <c r="B7593" s="802"/>
      <c r="C7593" s="802"/>
      <c r="D7593" s="802"/>
      <c r="E7593" s="802"/>
      <c r="F7593" s="802"/>
      <c r="G7593" s="802"/>
      <c r="H7593" s="802"/>
      <c r="I7593" s="612"/>
      <c r="J7593" s="612"/>
      <c r="K7593" s="612"/>
      <c r="L7593" s="612"/>
    </row>
    <row r="7594" spans="1:12" ht="24" customHeight="1">
      <c r="A7594" s="612" t="s">
        <v>13679</v>
      </c>
      <c r="B7594" s="636" t="s">
        <v>12698</v>
      </c>
      <c r="C7594" s="612" t="s">
        <v>12699</v>
      </c>
      <c r="D7594" s="612" t="s">
        <v>12700</v>
      </c>
      <c r="E7594" s="637" t="s">
        <v>12702</v>
      </c>
      <c r="F7594" s="801" t="s">
        <v>12704</v>
      </c>
      <c r="G7594" s="801"/>
      <c r="H7594" s="801" t="s">
        <v>13678</v>
      </c>
      <c r="I7594" s="801"/>
      <c r="J7594" s="801" t="s">
        <v>12705</v>
      </c>
      <c r="K7594" s="801"/>
      <c r="L7594" s="801"/>
    </row>
    <row r="7595" spans="1:12" ht="17.100000000000001" customHeight="1">
      <c r="A7595" s="626" t="s">
        <v>12709</v>
      </c>
      <c r="B7595" s="627" t="s">
        <v>12980</v>
      </c>
      <c r="C7595" s="626" t="s">
        <v>8</v>
      </c>
      <c r="D7595" s="626" t="s">
        <v>9425</v>
      </c>
      <c r="E7595" s="628" t="s">
        <v>35</v>
      </c>
      <c r="F7595" s="816" t="s">
        <v>14614</v>
      </c>
      <c r="G7595" s="816"/>
      <c r="H7595" s="816">
        <v>0.1231814</v>
      </c>
      <c r="I7595" s="816"/>
      <c r="J7595" s="817">
        <v>0.50009999999999999</v>
      </c>
      <c r="K7595" s="817"/>
      <c r="L7595" s="817"/>
    </row>
    <row r="7596" spans="1:12" ht="25.5">
      <c r="A7596" s="626" t="s">
        <v>12709</v>
      </c>
      <c r="B7596" s="627" t="s">
        <v>12985</v>
      </c>
      <c r="C7596" s="626" t="s">
        <v>8</v>
      </c>
      <c r="D7596" s="626" t="s">
        <v>12312</v>
      </c>
      <c r="E7596" s="628" t="s">
        <v>35</v>
      </c>
      <c r="F7596" s="816" t="s">
        <v>13974</v>
      </c>
      <c r="G7596" s="816"/>
      <c r="H7596" s="816">
        <v>0.99984870000000003</v>
      </c>
      <c r="I7596" s="816"/>
      <c r="J7596" s="817">
        <v>21.456800000000001</v>
      </c>
      <c r="K7596" s="817"/>
      <c r="L7596" s="817"/>
    </row>
    <row r="7597" spans="1:12" ht="17.100000000000001" customHeight="1">
      <c r="A7597" s="626" t="s">
        <v>12709</v>
      </c>
      <c r="B7597" s="627" t="s">
        <v>13042</v>
      </c>
      <c r="C7597" s="626" t="s">
        <v>8</v>
      </c>
      <c r="D7597" s="626" t="s">
        <v>11286</v>
      </c>
      <c r="E7597" s="628" t="s">
        <v>35</v>
      </c>
      <c r="F7597" s="816" t="s">
        <v>14621</v>
      </c>
      <c r="G7597" s="816"/>
      <c r="H7597" s="816">
        <v>0.99984870000000003</v>
      </c>
      <c r="I7597" s="816"/>
      <c r="J7597" s="817">
        <v>149.35740000000001</v>
      </c>
      <c r="K7597" s="817"/>
      <c r="L7597" s="817"/>
    </row>
    <row r="7598" spans="1:12" ht="24" customHeight="1">
      <c r="A7598" s="626" t="s">
        <v>12709</v>
      </c>
      <c r="B7598" s="627" t="s">
        <v>13198</v>
      </c>
      <c r="C7598" s="626" t="s">
        <v>8</v>
      </c>
      <c r="D7598" s="626" t="s">
        <v>9195</v>
      </c>
      <c r="E7598" s="628" t="s">
        <v>35</v>
      </c>
      <c r="F7598" s="816" t="s">
        <v>14620</v>
      </c>
      <c r="G7598" s="816"/>
      <c r="H7598" s="816">
        <v>0.99984870000000003</v>
      </c>
      <c r="I7598" s="816"/>
      <c r="J7598" s="817">
        <v>37.484299999999998</v>
      </c>
      <c r="K7598" s="817"/>
      <c r="L7598" s="817"/>
    </row>
    <row r="7599" spans="1:12" ht="17.100000000000001" customHeight="1">
      <c r="A7599" s="626" t="s">
        <v>12709</v>
      </c>
      <c r="B7599" s="627" t="s">
        <v>13151</v>
      </c>
      <c r="C7599" s="626" t="s">
        <v>8</v>
      </c>
      <c r="D7599" s="626" t="s">
        <v>9968</v>
      </c>
      <c r="E7599" s="628" t="s">
        <v>35</v>
      </c>
      <c r="F7599" s="816" t="s">
        <v>14619</v>
      </c>
      <c r="G7599" s="816"/>
      <c r="H7599" s="816">
        <v>0.99984870000000003</v>
      </c>
      <c r="I7599" s="816"/>
      <c r="J7599" s="817">
        <v>156.09639999999999</v>
      </c>
      <c r="K7599" s="817"/>
      <c r="L7599" s="817"/>
    </row>
    <row r="7600" spans="1:12" ht="38.25">
      <c r="A7600" s="626" t="s">
        <v>12709</v>
      </c>
      <c r="B7600" s="627" t="s">
        <v>13037</v>
      </c>
      <c r="C7600" s="626" t="s">
        <v>8</v>
      </c>
      <c r="D7600" s="626" t="s">
        <v>10652</v>
      </c>
      <c r="E7600" s="628" t="s">
        <v>35</v>
      </c>
      <c r="F7600" s="816" t="s">
        <v>13973</v>
      </c>
      <c r="G7600" s="816"/>
      <c r="H7600" s="816">
        <v>5.9990921999999998</v>
      </c>
      <c r="I7600" s="816"/>
      <c r="J7600" s="817">
        <v>69.289500000000004</v>
      </c>
      <c r="K7600" s="817"/>
      <c r="L7600" s="817"/>
    </row>
    <row r="7601" spans="1:12" ht="17.100000000000001" customHeight="1">
      <c r="A7601" s="626" t="s">
        <v>12709</v>
      </c>
      <c r="B7601" s="627" t="s">
        <v>13036</v>
      </c>
      <c r="C7601" s="626" t="s">
        <v>8</v>
      </c>
      <c r="D7601" s="626" t="s">
        <v>11174</v>
      </c>
      <c r="E7601" s="628" t="s">
        <v>20</v>
      </c>
      <c r="F7601" s="816" t="s">
        <v>14618</v>
      </c>
      <c r="G7601" s="816"/>
      <c r="H7601" s="816">
        <v>8.6586899999999994E-2</v>
      </c>
      <c r="I7601" s="816"/>
      <c r="J7601" s="817">
        <v>4.9865000000000004</v>
      </c>
      <c r="K7601" s="817"/>
      <c r="L7601" s="817"/>
    </row>
    <row r="7602" spans="1:12" ht="24" customHeight="1">
      <c r="A7602" s="626" t="s">
        <v>12709</v>
      </c>
      <c r="B7602" s="627" t="s">
        <v>13019</v>
      </c>
      <c r="C7602" s="626" t="s">
        <v>8</v>
      </c>
      <c r="D7602" s="626" t="s">
        <v>11822</v>
      </c>
      <c r="E7602" s="628" t="s">
        <v>35</v>
      </c>
      <c r="F7602" s="816" t="s">
        <v>13972</v>
      </c>
      <c r="G7602" s="816"/>
      <c r="H7602" s="816">
        <v>0.99984870000000003</v>
      </c>
      <c r="I7602" s="816"/>
      <c r="J7602" s="817">
        <v>81.687600000000003</v>
      </c>
      <c r="K7602" s="817"/>
      <c r="L7602" s="817"/>
    </row>
    <row r="7603" spans="1:12" ht="24" customHeight="1">
      <c r="A7603" s="636"/>
      <c r="B7603" s="636"/>
      <c r="C7603" s="636"/>
      <c r="D7603" s="636"/>
      <c r="E7603" s="636"/>
      <c r="F7603" s="636"/>
      <c r="G7603" s="636"/>
      <c r="H7603" s="636"/>
      <c r="I7603" s="636"/>
      <c r="J7603" s="636" t="s">
        <v>13675</v>
      </c>
      <c r="K7603" s="636"/>
      <c r="L7603" s="636" t="s">
        <v>14617</v>
      </c>
    </row>
    <row r="7604" spans="1:12" ht="17.100000000000001" customHeight="1">
      <c r="A7604" s="802" t="s">
        <v>12722</v>
      </c>
      <c r="B7604" s="802"/>
      <c r="C7604" s="802"/>
      <c r="D7604" s="802"/>
      <c r="E7604" s="802"/>
      <c r="F7604" s="802"/>
      <c r="G7604" s="802"/>
      <c r="H7604" s="802"/>
      <c r="I7604" s="612"/>
      <c r="J7604" s="612"/>
      <c r="K7604" s="612"/>
      <c r="L7604" s="612"/>
    </row>
    <row r="7605" spans="1:12" ht="17.100000000000001" customHeight="1">
      <c r="A7605" s="612" t="s">
        <v>13679</v>
      </c>
      <c r="B7605" s="636" t="s">
        <v>12698</v>
      </c>
      <c r="C7605" s="612" t="s">
        <v>12699</v>
      </c>
      <c r="D7605" s="612" t="s">
        <v>12700</v>
      </c>
      <c r="E7605" s="637" t="s">
        <v>12702</v>
      </c>
      <c r="F7605" s="801" t="s">
        <v>12704</v>
      </c>
      <c r="G7605" s="801"/>
      <c r="H7605" s="801" t="s">
        <v>13678</v>
      </c>
      <c r="I7605" s="801"/>
      <c r="J7605" s="801" t="s">
        <v>12705</v>
      </c>
      <c r="K7605" s="801"/>
      <c r="L7605" s="801"/>
    </row>
    <row r="7606" spans="1:12" ht="17.100000000000001" customHeight="1">
      <c r="A7606" s="626" t="s">
        <v>12709</v>
      </c>
      <c r="B7606" s="627" t="s">
        <v>12998</v>
      </c>
      <c r="C7606" s="626" t="s">
        <v>8</v>
      </c>
      <c r="D7606" s="626" t="s">
        <v>11861</v>
      </c>
      <c r="E7606" s="628" t="s">
        <v>23</v>
      </c>
      <c r="F7606" s="816" t="s">
        <v>13683</v>
      </c>
      <c r="G7606" s="816"/>
      <c r="H7606" s="816">
        <v>3.0332409999999999</v>
      </c>
      <c r="I7606" s="816"/>
      <c r="J7606" s="817">
        <v>2.1536</v>
      </c>
      <c r="K7606" s="817"/>
      <c r="L7606" s="817"/>
    </row>
    <row r="7607" spans="1:12" ht="17.100000000000001" customHeight="1">
      <c r="A7607" s="636"/>
      <c r="B7607" s="636"/>
      <c r="C7607" s="636"/>
      <c r="D7607" s="636"/>
      <c r="E7607" s="636"/>
      <c r="F7607" s="636"/>
      <c r="G7607" s="636"/>
      <c r="H7607" s="636"/>
      <c r="I7607" s="636"/>
      <c r="J7607" s="636" t="s">
        <v>13675</v>
      </c>
      <c r="K7607" s="636"/>
      <c r="L7607" s="636" t="s">
        <v>13971</v>
      </c>
    </row>
    <row r="7608" spans="1:12" ht="17.100000000000001" customHeight="1">
      <c r="A7608" s="802" t="s">
        <v>12713</v>
      </c>
      <c r="B7608" s="802"/>
      <c r="C7608" s="802"/>
      <c r="D7608" s="802"/>
      <c r="E7608" s="802"/>
      <c r="F7608" s="802"/>
      <c r="G7608" s="802"/>
      <c r="H7608" s="802"/>
      <c r="I7608" s="612"/>
      <c r="J7608" s="612"/>
      <c r="K7608" s="612"/>
      <c r="L7608" s="612"/>
    </row>
    <row r="7609" spans="1:12" ht="17.100000000000001" customHeight="1">
      <c r="A7609" s="612" t="s">
        <v>13679</v>
      </c>
      <c r="B7609" s="636" t="s">
        <v>12698</v>
      </c>
      <c r="C7609" s="612" t="s">
        <v>12699</v>
      </c>
      <c r="D7609" s="612" t="s">
        <v>12700</v>
      </c>
      <c r="E7609" s="637" t="s">
        <v>12702</v>
      </c>
      <c r="F7609" s="801" t="s">
        <v>12704</v>
      </c>
      <c r="G7609" s="801"/>
      <c r="H7609" s="801" t="s">
        <v>13678</v>
      </c>
      <c r="I7609" s="801"/>
      <c r="J7609" s="801" t="s">
        <v>12705</v>
      </c>
      <c r="K7609" s="801"/>
      <c r="L7609" s="801"/>
    </row>
    <row r="7610" spans="1:12" ht="17.100000000000001" customHeight="1">
      <c r="A7610" s="626" t="s">
        <v>12709</v>
      </c>
      <c r="B7610" s="627" t="s">
        <v>12999</v>
      </c>
      <c r="C7610" s="626" t="s">
        <v>8</v>
      </c>
      <c r="D7610" s="626" t="s">
        <v>11251</v>
      </c>
      <c r="E7610" s="628" t="s">
        <v>23</v>
      </c>
      <c r="F7610" s="816" t="s">
        <v>13681</v>
      </c>
      <c r="G7610" s="816"/>
      <c r="H7610" s="816">
        <v>3.0332409999999999</v>
      </c>
      <c r="I7610" s="816"/>
      <c r="J7610" s="817">
        <v>0.21229999999999999</v>
      </c>
      <c r="K7610" s="817"/>
      <c r="L7610" s="817"/>
    </row>
    <row r="7611" spans="1:12" ht="30" customHeight="1">
      <c r="A7611" s="636"/>
      <c r="B7611" s="636"/>
      <c r="C7611" s="636"/>
      <c r="D7611" s="636"/>
      <c r="E7611" s="636"/>
      <c r="F7611" s="636"/>
      <c r="G7611" s="636"/>
      <c r="H7611" s="636"/>
      <c r="I7611" s="636"/>
      <c r="J7611" s="636" t="s">
        <v>13675</v>
      </c>
      <c r="K7611" s="636"/>
      <c r="L7611" s="636" t="s">
        <v>13775</v>
      </c>
    </row>
    <row r="7612" spans="1:12" ht="48" customHeight="1">
      <c r="A7612" s="802" t="s">
        <v>12712</v>
      </c>
      <c r="B7612" s="802"/>
      <c r="C7612" s="802"/>
      <c r="D7612" s="802"/>
      <c r="E7612" s="802"/>
      <c r="F7612" s="802"/>
      <c r="G7612" s="802"/>
      <c r="H7612" s="802"/>
      <c r="I7612" s="612"/>
      <c r="J7612" s="612"/>
      <c r="K7612" s="612"/>
      <c r="L7612" s="612"/>
    </row>
    <row r="7613" spans="1:12" ht="14.25" customHeight="1">
      <c r="A7613" s="612" t="s">
        <v>13679</v>
      </c>
      <c r="B7613" s="636" t="s">
        <v>12698</v>
      </c>
      <c r="C7613" s="612" t="s">
        <v>12699</v>
      </c>
      <c r="D7613" s="612" t="s">
        <v>12700</v>
      </c>
      <c r="E7613" s="637" t="s">
        <v>12702</v>
      </c>
      <c r="F7613" s="801" t="s">
        <v>12704</v>
      </c>
      <c r="G7613" s="801"/>
      <c r="H7613" s="801" t="s">
        <v>13678</v>
      </c>
      <c r="I7613" s="801"/>
      <c r="J7613" s="801" t="s">
        <v>12705</v>
      </c>
      <c r="K7613" s="801"/>
      <c r="L7613" s="801"/>
    </row>
    <row r="7614" spans="1:12" ht="17.100000000000001" customHeight="1">
      <c r="A7614" s="626" t="s">
        <v>12709</v>
      </c>
      <c r="B7614" s="627" t="s">
        <v>13002</v>
      </c>
      <c r="C7614" s="626" t="s">
        <v>8</v>
      </c>
      <c r="D7614" s="626" t="s">
        <v>9306</v>
      </c>
      <c r="E7614" s="628" t="s">
        <v>23</v>
      </c>
      <c r="F7614" s="816" t="s">
        <v>13677</v>
      </c>
      <c r="G7614" s="816"/>
      <c r="H7614" s="816">
        <v>3.0332409999999999</v>
      </c>
      <c r="I7614" s="816"/>
      <c r="J7614" s="817">
        <v>1.0616000000000001</v>
      </c>
      <c r="K7614" s="817"/>
      <c r="L7614" s="817"/>
    </row>
    <row r="7615" spans="1:12" ht="24" customHeight="1">
      <c r="A7615" s="626" t="s">
        <v>12709</v>
      </c>
      <c r="B7615" s="627" t="s">
        <v>13004</v>
      </c>
      <c r="C7615" s="626" t="s">
        <v>8</v>
      </c>
      <c r="D7615" s="626" t="s">
        <v>7388</v>
      </c>
      <c r="E7615" s="628" t="s">
        <v>23</v>
      </c>
      <c r="F7615" s="816" t="s">
        <v>13676</v>
      </c>
      <c r="G7615" s="816"/>
      <c r="H7615" s="816">
        <v>3.0332409999999999</v>
      </c>
      <c r="I7615" s="816"/>
      <c r="J7615" s="817">
        <v>6.6730999999999998</v>
      </c>
      <c r="K7615" s="817"/>
      <c r="L7615" s="817"/>
    </row>
    <row r="7616" spans="1:12" ht="24" customHeight="1">
      <c r="A7616" s="636"/>
      <c r="B7616" s="636"/>
      <c r="C7616" s="636"/>
      <c r="D7616" s="636"/>
      <c r="E7616" s="636"/>
      <c r="F7616" s="636"/>
      <c r="G7616" s="636"/>
      <c r="H7616" s="636"/>
      <c r="I7616" s="636"/>
      <c r="J7616" s="636" t="s">
        <v>13675</v>
      </c>
      <c r="K7616" s="636"/>
      <c r="L7616" s="636" t="s">
        <v>13970</v>
      </c>
    </row>
    <row r="7617" spans="1:12" ht="24" customHeight="1">
      <c r="A7617" s="612" t="s">
        <v>13673</v>
      </c>
      <c r="B7617" s="612"/>
      <c r="C7617" s="612"/>
      <c r="D7617" s="612"/>
      <c r="E7617" s="612"/>
      <c r="F7617" s="612"/>
      <c r="G7617" s="612"/>
      <c r="H7617" s="612"/>
      <c r="I7617" s="612"/>
      <c r="J7617" s="612"/>
      <c r="K7617" s="612"/>
      <c r="L7617" s="612"/>
    </row>
    <row r="7618" spans="1:12" ht="24" customHeight="1">
      <c r="A7618" s="636"/>
      <c r="B7618" s="636"/>
      <c r="C7618" s="636"/>
      <c r="D7618" s="636"/>
      <c r="E7618" s="636"/>
      <c r="F7618" s="636"/>
      <c r="G7618" s="636"/>
      <c r="H7618" s="636"/>
      <c r="I7618" s="636"/>
      <c r="J7618" s="636" t="s">
        <v>13672</v>
      </c>
      <c r="K7618" s="636"/>
      <c r="L7618" s="636" t="s">
        <v>15455</v>
      </c>
    </row>
    <row r="7619" spans="1:12" ht="24" customHeight="1">
      <c r="A7619" s="636"/>
      <c r="B7619" s="636"/>
      <c r="C7619" s="636"/>
      <c r="D7619" s="636"/>
      <c r="E7619" s="636"/>
      <c r="F7619" s="636"/>
      <c r="G7619" s="636"/>
      <c r="H7619" s="636"/>
      <c r="I7619" s="636"/>
      <c r="J7619" s="636" t="s">
        <v>13671</v>
      </c>
      <c r="K7619" s="636" t="s">
        <v>14461</v>
      </c>
      <c r="L7619" s="636" t="s">
        <v>15456</v>
      </c>
    </row>
    <row r="7620" spans="1:12" ht="24" customHeight="1">
      <c r="A7620" s="636"/>
      <c r="B7620" s="636"/>
      <c r="C7620" s="636"/>
      <c r="D7620" s="636"/>
      <c r="E7620" s="636"/>
      <c r="F7620" s="636"/>
      <c r="G7620" s="636"/>
      <c r="H7620" s="636"/>
      <c r="I7620" s="636"/>
      <c r="J7620" s="636" t="s">
        <v>13670</v>
      </c>
      <c r="K7620" s="636"/>
      <c r="L7620" s="636" t="s">
        <v>15457</v>
      </c>
    </row>
    <row r="7621" spans="1:12" ht="17.100000000000001" customHeight="1">
      <c r="A7621" s="636"/>
      <c r="B7621" s="636"/>
      <c r="C7621" s="636"/>
      <c r="D7621" s="636"/>
      <c r="E7621" s="636"/>
      <c r="F7621" s="636"/>
      <c r="G7621" s="636"/>
      <c r="H7621" s="636"/>
      <c r="I7621" s="636"/>
      <c r="J7621" s="636" t="s">
        <v>13669</v>
      </c>
      <c r="K7621" s="636" t="s">
        <v>13667</v>
      </c>
      <c r="L7621" s="636" t="s">
        <v>15458</v>
      </c>
    </row>
    <row r="7622" spans="1:12" ht="14.25" customHeight="1">
      <c r="A7622" s="636"/>
      <c r="B7622" s="636"/>
      <c r="C7622" s="636"/>
      <c r="D7622" s="636"/>
      <c r="E7622" s="636"/>
      <c r="F7622" s="636"/>
      <c r="G7622" s="636"/>
      <c r="H7622" s="636"/>
      <c r="I7622" s="636"/>
      <c r="J7622" s="636" t="s">
        <v>13668</v>
      </c>
      <c r="K7622" s="636"/>
      <c r="L7622" s="636" t="s">
        <v>15459</v>
      </c>
    </row>
    <row r="7623" spans="1:12" ht="17.100000000000001" customHeight="1">
      <c r="A7623" s="637"/>
      <c r="B7623" s="637"/>
      <c r="C7623" s="637"/>
      <c r="D7623" s="637"/>
      <c r="E7623" s="637"/>
      <c r="F7623" s="637"/>
      <c r="G7623" s="637"/>
      <c r="H7623" s="637"/>
      <c r="I7623" s="637"/>
      <c r="J7623" s="637"/>
      <c r="K7623" s="637"/>
      <c r="L7623" s="637"/>
    </row>
    <row r="7624" spans="1:12" ht="24" customHeight="1">
      <c r="A7624" s="616" t="s">
        <v>13984</v>
      </c>
      <c r="B7624" s="617" t="s">
        <v>13459</v>
      </c>
      <c r="C7624" s="616" t="s">
        <v>8</v>
      </c>
      <c r="D7624" s="616" t="s">
        <v>6936</v>
      </c>
      <c r="E7624" s="618" t="s">
        <v>35</v>
      </c>
      <c r="F7624" s="617"/>
      <c r="G7624" s="617"/>
      <c r="H7624" s="617"/>
      <c r="I7624" s="617"/>
      <c r="J7624" s="617"/>
      <c r="K7624" s="617"/>
      <c r="L7624" s="617"/>
    </row>
    <row r="7625" spans="1:12" ht="24" customHeight="1">
      <c r="A7625" s="802" t="s">
        <v>12711</v>
      </c>
      <c r="B7625" s="802"/>
      <c r="C7625" s="802"/>
      <c r="D7625" s="802"/>
      <c r="E7625" s="802"/>
      <c r="F7625" s="802"/>
      <c r="G7625" s="802"/>
      <c r="H7625" s="802"/>
      <c r="I7625" s="612"/>
      <c r="J7625" s="612"/>
      <c r="K7625" s="612"/>
      <c r="L7625" s="612"/>
    </row>
    <row r="7626" spans="1:12" ht="24" customHeight="1">
      <c r="A7626" s="612" t="s">
        <v>13679</v>
      </c>
      <c r="B7626" s="636" t="s">
        <v>12698</v>
      </c>
      <c r="C7626" s="612" t="s">
        <v>12699</v>
      </c>
      <c r="D7626" s="612" t="s">
        <v>12700</v>
      </c>
      <c r="E7626" s="637" t="s">
        <v>12702</v>
      </c>
      <c r="F7626" s="801" t="s">
        <v>12704</v>
      </c>
      <c r="G7626" s="801"/>
      <c r="H7626" s="801" t="s">
        <v>13678</v>
      </c>
      <c r="I7626" s="801"/>
      <c r="J7626" s="801" t="s">
        <v>12705</v>
      </c>
      <c r="K7626" s="801"/>
      <c r="L7626" s="801"/>
    </row>
    <row r="7627" spans="1:12" ht="17.100000000000001" customHeight="1">
      <c r="A7627" s="626" t="s">
        <v>12709</v>
      </c>
      <c r="B7627" s="627" t="s">
        <v>13201</v>
      </c>
      <c r="C7627" s="626" t="s">
        <v>8</v>
      </c>
      <c r="D7627" s="626" t="s">
        <v>9221</v>
      </c>
      <c r="E7627" s="628" t="s">
        <v>23</v>
      </c>
      <c r="F7627" s="816" t="s">
        <v>13705</v>
      </c>
      <c r="G7627" s="816"/>
      <c r="H7627" s="816">
        <v>0.84289970000000003</v>
      </c>
      <c r="I7627" s="816"/>
      <c r="J7627" s="817">
        <v>0.6996</v>
      </c>
      <c r="K7627" s="817"/>
      <c r="L7627" s="817"/>
    </row>
    <row r="7628" spans="1:12" ht="25.5">
      <c r="A7628" s="626" t="s">
        <v>12709</v>
      </c>
      <c r="B7628" s="627" t="s">
        <v>13200</v>
      </c>
      <c r="C7628" s="626" t="s">
        <v>8</v>
      </c>
      <c r="D7628" s="626" t="s">
        <v>9368</v>
      </c>
      <c r="E7628" s="628" t="s">
        <v>23</v>
      </c>
      <c r="F7628" s="816" t="s">
        <v>13704</v>
      </c>
      <c r="G7628" s="816"/>
      <c r="H7628" s="816">
        <v>0.84289970000000003</v>
      </c>
      <c r="I7628" s="816"/>
      <c r="J7628" s="817">
        <v>0.20230000000000001</v>
      </c>
      <c r="K7628" s="817"/>
      <c r="L7628" s="817"/>
    </row>
    <row r="7629" spans="1:12" ht="17.100000000000001" customHeight="1">
      <c r="A7629" s="626" t="s">
        <v>12709</v>
      </c>
      <c r="B7629" s="627" t="s">
        <v>13048</v>
      </c>
      <c r="C7629" s="626" t="s">
        <v>8</v>
      </c>
      <c r="D7629" s="626" t="s">
        <v>9233</v>
      </c>
      <c r="E7629" s="628" t="s">
        <v>23</v>
      </c>
      <c r="F7629" s="816" t="s">
        <v>13690</v>
      </c>
      <c r="G7629" s="816"/>
      <c r="H7629" s="816">
        <v>0.33228160000000001</v>
      </c>
      <c r="I7629" s="816"/>
      <c r="J7629" s="817">
        <v>0.33889999999999998</v>
      </c>
      <c r="K7629" s="817"/>
      <c r="L7629" s="817"/>
    </row>
    <row r="7630" spans="1:12" ht="24" customHeight="1">
      <c r="A7630" s="626" t="s">
        <v>12709</v>
      </c>
      <c r="B7630" s="627" t="s">
        <v>13047</v>
      </c>
      <c r="C7630" s="626" t="s">
        <v>8</v>
      </c>
      <c r="D7630" s="626" t="s">
        <v>9380</v>
      </c>
      <c r="E7630" s="628" t="s">
        <v>23</v>
      </c>
      <c r="F7630" s="816" t="s">
        <v>13689</v>
      </c>
      <c r="G7630" s="816"/>
      <c r="H7630" s="816">
        <v>0.33228160000000001</v>
      </c>
      <c r="I7630" s="816"/>
      <c r="J7630" s="817">
        <v>0.1263</v>
      </c>
      <c r="K7630" s="817"/>
      <c r="L7630" s="817"/>
    </row>
    <row r="7631" spans="1:12" ht="24" customHeight="1">
      <c r="A7631" s="636"/>
      <c r="B7631" s="636"/>
      <c r="C7631" s="636"/>
      <c r="D7631" s="636"/>
      <c r="E7631" s="636"/>
      <c r="F7631" s="636"/>
      <c r="G7631" s="636"/>
      <c r="H7631" s="636"/>
      <c r="I7631" s="636"/>
      <c r="J7631" s="636" t="s">
        <v>13675</v>
      </c>
      <c r="K7631" s="636"/>
      <c r="L7631" s="636" t="s">
        <v>13988</v>
      </c>
    </row>
    <row r="7632" spans="1:12" ht="24" customHeight="1">
      <c r="A7632" s="802" t="s">
        <v>12710</v>
      </c>
      <c r="B7632" s="802"/>
      <c r="C7632" s="802"/>
      <c r="D7632" s="802"/>
      <c r="E7632" s="802"/>
      <c r="F7632" s="802"/>
      <c r="G7632" s="802"/>
      <c r="H7632" s="802"/>
      <c r="I7632" s="612"/>
      <c r="J7632" s="612"/>
      <c r="K7632" s="612"/>
      <c r="L7632" s="612"/>
    </row>
    <row r="7633" spans="1:12" ht="24" customHeight="1">
      <c r="A7633" s="612" t="s">
        <v>13679</v>
      </c>
      <c r="B7633" s="636" t="s">
        <v>12698</v>
      </c>
      <c r="C7633" s="612" t="s">
        <v>12699</v>
      </c>
      <c r="D7633" s="612" t="s">
        <v>12700</v>
      </c>
      <c r="E7633" s="637" t="s">
        <v>12702</v>
      </c>
      <c r="F7633" s="801" t="s">
        <v>12704</v>
      </c>
      <c r="G7633" s="801"/>
      <c r="H7633" s="801" t="s">
        <v>13678</v>
      </c>
      <c r="I7633" s="801"/>
      <c r="J7633" s="801" t="s">
        <v>12705</v>
      </c>
      <c r="K7633" s="801"/>
      <c r="L7633" s="801"/>
    </row>
    <row r="7634" spans="1:12" ht="24" customHeight="1">
      <c r="A7634" s="626" t="s">
        <v>12709</v>
      </c>
      <c r="B7634" s="627" t="s">
        <v>13202</v>
      </c>
      <c r="C7634" s="626" t="s">
        <v>8</v>
      </c>
      <c r="D7634" s="626" t="s">
        <v>9187</v>
      </c>
      <c r="E7634" s="628" t="s">
        <v>23</v>
      </c>
      <c r="F7634" s="816" t="s">
        <v>14479</v>
      </c>
      <c r="G7634" s="816"/>
      <c r="H7634" s="816">
        <v>0.85088200000000003</v>
      </c>
      <c r="I7634" s="816"/>
      <c r="J7634" s="817">
        <v>6.0838000000000001</v>
      </c>
      <c r="K7634" s="817"/>
      <c r="L7634" s="817"/>
    </row>
    <row r="7635" spans="1:12" ht="17.100000000000001" customHeight="1">
      <c r="A7635" s="626" t="s">
        <v>12709</v>
      </c>
      <c r="B7635" s="627" t="s">
        <v>13046</v>
      </c>
      <c r="C7635" s="626" t="s">
        <v>8</v>
      </c>
      <c r="D7635" s="626" t="s">
        <v>11281</v>
      </c>
      <c r="E7635" s="628" t="s">
        <v>23</v>
      </c>
      <c r="F7635" s="816" t="s">
        <v>13731</v>
      </c>
      <c r="G7635" s="816"/>
      <c r="H7635" s="816">
        <v>0.3361574</v>
      </c>
      <c r="I7635" s="816"/>
      <c r="J7635" s="817">
        <v>1.7278</v>
      </c>
      <c r="K7635" s="817"/>
      <c r="L7635" s="817"/>
    </row>
    <row r="7636" spans="1:12">
      <c r="A7636" s="636"/>
      <c r="B7636" s="636"/>
      <c r="C7636" s="636"/>
      <c r="D7636" s="636"/>
      <c r="E7636" s="636"/>
      <c r="F7636" s="636"/>
      <c r="G7636" s="636"/>
      <c r="H7636" s="636"/>
      <c r="I7636" s="636"/>
      <c r="J7636" s="636" t="s">
        <v>13675</v>
      </c>
      <c r="K7636" s="636"/>
      <c r="L7636" s="636" t="s">
        <v>14631</v>
      </c>
    </row>
    <row r="7637" spans="1:12" ht="17.100000000000001" customHeight="1">
      <c r="A7637" s="802" t="s">
        <v>12720</v>
      </c>
      <c r="B7637" s="802"/>
      <c r="C7637" s="802"/>
      <c r="D7637" s="802"/>
      <c r="E7637" s="802"/>
      <c r="F7637" s="802"/>
      <c r="G7637" s="802"/>
      <c r="H7637" s="802"/>
      <c r="I7637" s="612"/>
      <c r="J7637" s="612"/>
      <c r="K7637" s="612"/>
      <c r="L7637" s="612"/>
    </row>
    <row r="7638" spans="1:12" ht="24" customHeight="1">
      <c r="A7638" s="612" t="s">
        <v>13679</v>
      </c>
      <c r="B7638" s="636" t="s">
        <v>12698</v>
      </c>
      <c r="C7638" s="612" t="s">
        <v>12699</v>
      </c>
      <c r="D7638" s="612" t="s">
        <v>12700</v>
      </c>
      <c r="E7638" s="637" t="s">
        <v>12702</v>
      </c>
      <c r="F7638" s="801" t="s">
        <v>12704</v>
      </c>
      <c r="G7638" s="801"/>
      <c r="H7638" s="801" t="s">
        <v>13678</v>
      </c>
      <c r="I7638" s="801"/>
      <c r="J7638" s="801" t="s">
        <v>12705</v>
      </c>
      <c r="K7638" s="801"/>
      <c r="L7638" s="801"/>
    </row>
    <row r="7639" spans="1:12" ht="17.100000000000001" customHeight="1">
      <c r="A7639" s="626" t="s">
        <v>12709</v>
      </c>
      <c r="B7639" s="627" t="s">
        <v>12980</v>
      </c>
      <c r="C7639" s="626" t="s">
        <v>8</v>
      </c>
      <c r="D7639" s="626" t="s">
        <v>9425</v>
      </c>
      <c r="E7639" s="628" t="s">
        <v>35</v>
      </c>
      <c r="F7639" s="816" t="s">
        <v>14614</v>
      </c>
      <c r="G7639" s="816"/>
      <c r="H7639" s="816">
        <v>0.1083614</v>
      </c>
      <c r="I7639" s="816"/>
      <c r="J7639" s="817">
        <v>0.43990000000000001</v>
      </c>
      <c r="K7639" s="817"/>
      <c r="L7639" s="817"/>
    </row>
    <row r="7640" spans="1:12" ht="25.5">
      <c r="A7640" s="626" t="s">
        <v>12709</v>
      </c>
      <c r="B7640" s="627" t="s">
        <v>12979</v>
      </c>
      <c r="C7640" s="626" t="s">
        <v>8</v>
      </c>
      <c r="D7640" s="626" t="s">
        <v>12315</v>
      </c>
      <c r="E7640" s="628" t="s">
        <v>35</v>
      </c>
      <c r="F7640" s="816" t="s">
        <v>13980</v>
      </c>
      <c r="G7640" s="816"/>
      <c r="H7640" s="816">
        <v>0.99964379999999997</v>
      </c>
      <c r="I7640" s="816"/>
      <c r="J7640" s="817">
        <v>2.879</v>
      </c>
      <c r="K7640" s="817"/>
      <c r="L7640" s="817"/>
    </row>
    <row r="7641" spans="1:12" ht="17.100000000000001" customHeight="1">
      <c r="A7641" s="626" t="s">
        <v>12709</v>
      </c>
      <c r="B7641" s="627" t="s">
        <v>13044</v>
      </c>
      <c r="C7641" s="626" t="s">
        <v>8</v>
      </c>
      <c r="D7641" s="626" t="s">
        <v>11289</v>
      </c>
      <c r="E7641" s="628" t="s">
        <v>35</v>
      </c>
      <c r="F7641" s="816" t="s">
        <v>13964</v>
      </c>
      <c r="G7641" s="816"/>
      <c r="H7641" s="816">
        <v>0.99964379999999997</v>
      </c>
      <c r="I7641" s="816"/>
      <c r="J7641" s="817">
        <v>7.9972000000000003</v>
      </c>
      <c r="K7641" s="817"/>
      <c r="L7641" s="817"/>
    </row>
    <row r="7642" spans="1:12" ht="24" customHeight="1">
      <c r="A7642" s="626" t="s">
        <v>12709</v>
      </c>
      <c r="B7642" s="627" t="s">
        <v>13196</v>
      </c>
      <c r="C7642" s="626" t="s">
        <v>8</v>
      </c>
      <c r="D7642" s="626" t="s">
        <v>9196</v>
      </c>
      <c r="E7642" s="628" t="s">
        <v>35</v>
      </c>
      <c r="F7642" s="816" t="s">
        <v>13986</v>
      </c>
      <c r="G7642" s="816"/>
      <c r="H7642" s="816">
        <v>0.99964379999999997</v>
      </c>
      <c r="I7642" s="816"/>
      <c r="J7642" s="817">
        <v>3.5987</v>
      </c>
      <c r="K7642" s="817"/>
      <c r="L7642" s="817"/>
    </row>
    <row r="7643" spans="1:12" ht="17.100000000000001" customHeight="1">
      <c r="A7643" s="626" t="s">
        <v>12709</v>
      </c>
      <c r="B7643" s="627" t="s">
        <v>13037</v>
      </c>
      <c r="C7643" s="626" t="s">
        <v>8</v>
      </c>
      <c r="D7643" s="626" t="s">
        <v>10652</v>
      </c>
      <c r="E7643" s="628" t="s">
        <v>35</v>
      </c>
      <c r="F7643" s="816" t="s">
        <v>13973</v>
      </c>
      <c r="G7643" s="816"/>
      <c r="H7643" s="816">
        <v>1.9992875999999999</v>
      </c>
      <c r="I7643" s="816"/>
      <c r="J7643" s="817">
        <v>23.091799999999999</v>
      </c>
      <c r="K7643" s="817"/>
      <c r="L7643" s="817"/>
    </row>
    <row r="7644" spans="1:12" ht="25.5">
      <c r="A7644" s="626" t="s">
        <v>12709</v>
      </c>
      <c r="B7644" s="627" t="s">
        <v>13036</v>
      </c>
      <c r="C7644" s="626" t="s">
        <v>8</v>
      </c>
      <c r="D7644" s="626" t="s">
        <v>11174</v>
      </c>
      <c r="E7644" s="628" t="s">
        <v>20</v>
      </c>
      <c r="F7644" s="816" t="s">
        <v>14618</v>
      </c>
      <c r="G7644" s="816"/>
      <c r="H7644" s="816">
        <v>3.0389200000000002E-2</v>
      </c>
      <c r="I7644" s="816"/>
      <c r="J7644" s="817">
        <v>1.7501</v>
      </c>
      <c r="K7644" s="817"/>
      <c r="L7644" s="817"/>
    </row>
    <row r="7645" spans="1:12" ht="17.100000000000001" customHeight="1">
      <c r="A7645" s="626" t="s">
        <v>12709</v>
      </c>
      <c r="B7645" s="627" t="s">
        <v>13149</v>
      </c>
      <c r="C7645" s="626" t="s">
        <v>8</v>
      </c>
      <c r="D7645" s="626" t="s">
        <v>9969</v>
      </c>
      <c r="E7645" s="628" t="s">
        <v>35</v>
      </c>
      <c r="F7645" s="816" t="s">
        <v>14630</v>
      </c>
      <c r="G7645" s="816"/>
      <c r="H7645" s="816">
        <v>0.99964379999999997</v>
      </c>
      <c r="I7645" s="816"/>
      <c r="J7645" s="817">
        <v>68.825500000000005</v>
      </c>
      <c r="K7645" s="817"/>
      <c r="L7645" s="817"/>
    </row>
    <row r="7646" spans="1:12" ht="24" customHeight="1">
      <c r="A7646" s="626" t="s">
        <v>12709</v>
      </c>
      <c r="B7646" s="627" t="s">
        <v>13017</v>
      </c>
      <c r="C7646" s="626" t="s">
        <v>8</v>
      </c>
      <c r="D7646" s="626" t="s">
        <v>11823</v>
      </c>
      <c r="E7646" s="628" t="s">
        <v>35</v>
      </c>
      <c r="F7646" s="816" t="s">
        <v>13985</v>
      </c>
      <c r="G7646" s="816"/>
      <c r="H7646" s="816">
        <v>0.99964379999999997</v>
      </c>
      <c r="I7646" s="816"/>
      <c r="J7646" s="817">
        <v>47.473100000000002</v>
      </c>
      <c r="K7646" s="817"/>
      <c r="L7646" s="817"/>
    </row>
    <row r="7647" spans="1:12" ht="24" customHeight="1">
      <c r="A7647" s="636"/>
      <c r="B7647" s="636"/>
      <c r="C7647" s="636"/>
      <c r="D7647" s="636"/>
      <c r="E7647" s="636"/>
      <c r="F7647" s="636"/>
      <c r="G7647" s="636"/>
      <c r="H7647" s="636"/>
      <c r="I7647" s="636"/>
      <c r="J7647" s="636" t="s">
        <v>13675</v>
      </c>
      <c r="K7647" s="636"/>
      <c r="L7647" s="636" t="s">
        <v>14629</v>
      </c>
    </row>
    <row r="7648" spans="1:12" ht="17.100000000000001" customHeight="1">
      <c r="A7648" s="802" t="s">
        <v>12722</v>
      </c>
      <c r="B7648" s="802"/>
      <c r="C7648" s="802"/>
      <c r="D7648" s="802"/>
      <c r="E7648" s="802"/>
      <c r="F7648" s="802"/>
      <c r="G7648" s="802"/>
      <c r="H7648" s="802"/>
      <c r="I7648" s="612"/>
      <c r="J7648" s="612"/>
      <c r="K7648" s="612"/>
      <c r="L7648" s="612"/>
    </row>
    <row r="7649" spans="1:12" ht="17.100000000000001" customHeight="1">
      <c r="A7649" s="612" t="s">
        <v>13679</v>
      </c>
      <c r="B7649" s="636" t="s">
        <v>12698</v>
      </c>
      <c r="C7649" s="612" t="s">
        <v>12699</v>
      </c>
      <c r="D7649" s="612" t="s">
        <v>12700</v>
      </c>
      <c r="E7649" s="637" t="s">
        <v>12702</v>
      </c>
      <c r="F7649" s="801" t="s">
        <v>12704</v>
      </c>
      <c r="G7649" s="801"/>
      <c r="H7649" s="801" t="s">
        <v>13678</v>
      </c>
      <c r="I7649" s="801"/>
      <c r="J7649" s="801" t="s">
        <v>12705</v>
      </c>
      <c r="K7649" s="801"/>
      <c r="L7649" s="801"/>
    </row>
    <row r="7650" spans="1:12" ht="17.100000000000001" customHeight="1">
      <c r="A7650" s="626" t="s">
        <v>12709</v>
      </c>
      <c r="B7650" s="627" t="s">
        <v>12998</v>
      </c>
      <c r="C7650" s="626" t="s">
        <v>8</v>
      </c>
      <c r="D7650" s="626" t="s">
        <v>11861</v>
      </c>
      <c r="E7650" s="628" t="s">
        <v>23</v>
      </c>
      <c r="F7650" s="816" t="s">
        <v>13683</v>
      </c>
      <c r="G7650" s="816"/>
      <c r="H7650" s="816">
        <v>1.1751813</v>
      </c>
      <c r="I7650" s="816"/>
      <c r="J7650" s="817">
        <v>0.83440000000000003</v>
      </c>
      <c r="K7650" s="817"/>
      <c r="L7650" s="817"/>
    </row>
    <row r="7651" spans="1:12" ht="17.100000000000001" customHeight="1">
      <c r="A7651" s="636"/>
      <c r="B7651" s="636"/>
      <c r="C7651" s="636"/>
      <c r="D7651" s="636"/>
      <c r="E7651" s="636"/>
      <c r="F7651" s="636"/>
      <c r="G7651" s="636"/>
      <c r="H7651" s="636"/>
      <c r="I7651" s="636"/>
      <c r="J7651" s="636" t="s">
        <v>13675</v>
      </c>
      <c r="K7651" s="636"/>
      <c r="L7651" s="636" t="s">
        <v>13705</v>
      </c>
    </row>
    <row r="7652" spans="1:12" ht="17.100000000000001" customHeight="1">
      <c r="A7652" s="802" t="s">
        <v>12713</v>
      </c>
      <c r="B7652" s="802"/>
      <c r="C7652" s="802"/>
      <c r="D7652" s="802"/>
      <c r="E7652" s="802"/>
      <c r="F7652" s="802"/>
      <c r="G7652" s="802"/>
      <c r="H7652" s="802"/>
      <c r="I7652" s="612"/>
      <c r="J7652" s="612"/>
      <c r="K7652" s="612"/>
      <c r="L7652" s="612"/>
    </row>
    <row r="7653" spans="1:12" ht="17.100000000000001" customHeight="1">
      <c r="A7653" s="612" t="s">
        <v>13679</v>
      </c>
      <c r="B7653" s="636" t="s">
        <v>12698</v>
      </c>
      <c r="C7653" s="612" t="s">
        <v>12699</v>
      </c>
      <c r="D7653" s="612" t="s">
        <v>12700</v>
      </c>
      <c r="E7653" s="637" t="s">
        <v>12702</v>
      </c>
      <c r="F7653" s="801" t="s">
        <v>12704</v>
      </c>
      <c r="G7653" s="801"/>
      <c r="H7653" s="801" t="s">
        <v>13678</v>
      </c>
      <c r="I7653" s="801"/>
      <c r="J7653" s="801" t="s">
        <v>12705</v>
      </c>
      <c r="K7653" s="801"/>
      <c r="L7653" s="801"/>
    </row>
    <row r="7654" spans="1:12" ht="17.100000000000001" customHeight="1">
      <c r="A7654" s="626" t="s">
        <v>12709</v>
      </c>
      <c r="B7654" s="627" t="s">
        <v>12999</v>
      </c>
      <c r="C7654" s="626" t="s">
        <v>8</v>
      </c>
      <c r="D7654" s="626" t="s">
        <v>11251</v>
      </c>
      <c r="E7654" s="628" t="s">
        <v>23</v>
      </c>
      <c r="F7654" s="816" t="s">
        <v>13681</v>
      </c>
      <c r="G7654" s="816"/>
      <c r="H7654" s="816">
        <v>1.1751813</v>
      </c>
      <c r="I7654" s="816"/>
      <c r="J7654" s="817">
        <v>8.2299999999999998E-2</v>
      </c>
      <c r="K7654" s="817"/>
      <c r="L7654" s="817"/>
    </row>
    <row r="7655" spans="1:12" ht="30" customHeight="1">
      <c r="A7655" s="636"/>
      <c r="B7655" s="636"/>
      <c r="C7655" s="636"/>
      <c r="D7655" s="636"/>
      <c r="E7655" s="636"/>
      <c r="F7655" s="636"/>
      <c r="G7655" s="636"/>
      <c r="H7655" s="636"/>
      <c r="I7655" s="636"/>
      <c r="J7655" s="636" t="s">
        <v>13675</v>
      </c>
      <c r="K7655" s="636"/>
      <c r="L7655" s="636" t="s">
        <v>13892</v>
      </c>
    </row>
    <row r="7656" spans="1:12" ht="48" customHeight="1">
      <c r="A7656" s="802" t="s">
        <v>12712</v>
      </c>
      <c r="B7656" s="802"/>
      <c r="C7656" s="802"/>
      <c r="D7656" s="802"/>
      <c r="E7656" s="802"/>
      <c r="F7656" s="802"/>
      <c r="G7656" s="802"/>
      <c r="H7656" s="802"/>
      <c r="I7656" s="612"/>
      <c r="J7656" s="612"/>
      <c r="K7656" s="612"/>
      <c r="L7656" s="612"/>
    </row>
    <row r="7657" spans="1:12" ht="14.25" customHeight="1">
      <c r="A7657" s="612" t="s">
        <v>13679</v>
      </c>
      <c r="B7657" s="636" t="s">
        <v>12698</v>
      </c>
      <c r="C7657" s="612" t="s">
        <v>12699</v>
      </c>
      <c r="D7657" s="612" t="s">
        <v>12700</v>
      </c>
      <c r="E7657" s="637" t="s">
        <v>12702</v>
      </c>
      <c r="F7657" s="801" t="s">
        <v>12704</v>
      </c>
      <c r="G7657" s="801"/>
      <c r="H7657" s="801" t="s">
        <v>13678</v>
      </c>
      <c r="I7657" s="801"/>
      <c r="J7657" s="801" t="s">
        <v>12705</v>
      </c>
      <c r="K7657" s="801"/>
      <c r="L7657" s="801"/>
    </row>
    <row r="7658" spans="1:12" ht="17.100000000000001" customHeight="1">
      <c r="A7658" s="626" t="s">
        <v>12709</v>
      </c>
      <c r="B7658" s="627" t="s">
        <v>13002</v>
      </c>
      <c r="C7658" s="626" t="s">
        <v>8</v>
      </c>
      <c r="D7658" s="626" t="s">
        <v>9306</v>
      </c>
      <c r="E7658" s="628" t="s">
        <v>23</v>
      </c>
      <c r="F7658" s="816" t="s">
        <v>13677</v>
      </c>
      <c r="G7658" s="816"/>
      <c r="H7658" s="816">
        <v>1.1751813</v>
      </c>
      <c r="I7658" s="816"/>
      <c r="J7658" s="817">
        <v>0.4113</v>
      </c>
      <c r="K7658" s="817"/>
      <c r="L7658" s="817"/>
    </row>
    <row r="7659" spans="1:12" ht="24" customHeight="1">
      <c r="A7659" s="626" t="s">
        <v>12709</v>
      </c>
      <c r="B7659" s="627" t="s">
        <v>13004</v>
      </c>
      <c r="C7659" s="626" t="s">
        <v>8</v>
      </c>
      <c r="D7659" s="626" t="s">
        <v>7388</v>
      </c>
      <c r="E7659" s="628" t="s">
        <v>23</v>
      </c>
      <c r="F7659" s="816" t="s">
        <v>13676</v>
      </c>
      <c r="G7659" s="816"/>
      <c r="H7659" s="816">
        <v>1.1751813</v>
      </c>
      <c r="I7659" s="816"/>
      <c r="J7659" s="817">
        <v>2.5853999999999999</v>
      </c>
      <c r="K7659" s="817"/>
      <c r="L7659" s="817"/>
    </row>
    <row r="7660" spans="1:12" ht="24" customHeight="1">
      <c r="A7660" s="636"/>
      <c r="B7660" s="636"/>
      <c r="C7660" s="636"/>
      <c r="D7660" s="636"/>
      <c r="E7660" s="636"/>
      <c r="F7660" s="636"/>
      <c r="G7660" s="636"/>
      <c r="H7660" s="636"/>
      <c r="I7660" s="636"/>
      <c r="J7660" s="636" t="s">
        <v>13675</v>
      </c>
      <c r="K7660" s="636"/>
      <c r="L7660" s="636" t="s">
        <v>13951</v>
      </c>
    </row>
    <row r="7661" spans="1:12" ht="17.100000000000001" customHeight="1">
      <c r="A7661" s="612" t="s">
        <v>13673</v>
      </c>
      <c r="B7661" s="612"/>
      <c r="C7661" s="612"/>
      <c r="D7661" s="612"/>
      <c r="E7661" s="612"/>
      <c r="F7661" s="612"/>
      <c r="G7661" s="612"/>
      <c r="H7661" s="612"/>
      <c r="I7661" s="612"/>
      <c r="J7661" s="612"/>
      <c r="K7661" s="612"/>
      <c r="L7661" s="612"/>
    </row>
    <row r="7662" spans="1:12" ht="14.25" customHeight="1">
      <c r="A7662" s="636"/>
      <c r="B7662" s="636"/>
      <c r="C7662" s="636"/>
      <c r="D7662" s="636"/>
      <c r="E7662" s="636"/>
      <c r="F7662" s="636"/>
      <c r="G7662" s="636"/>
      <c r="H7662" s="636"/>
      <c r="I7662" s="636"/>
      <c r="J7662" s="636" t="s">
        <v>13672</v>
      </c>
      <c r="K7662" s="636"/>
      <c r="L7662" s="636" t="s">
        <v>15460</v>
      </c>
    </row>
    <row r="7663" spans="1:12" ht="17.100000000000001" customHeight="1">
      <c r="A7663" s="636"/>
      <c r="B7663" s="636"/>
      <c r="C7663" s="636"/>
      <c r="D7663" s="636"/>
      <c r="E7663" s="636"/>
      <c r="F7663" s="636"/>
      <c r="G7663" s="636"/>
      <c r="H7663" s="636"/>
      <c r="I7663" s="636"/>
      <c r="J7663" s="636" t="s">
        <v>13671</v>
      </c>
      <c r="K7663" s="636" t="s">
        <v>14461</v>
      </c>
      <c r="L7663" s="636" t="s">
        <v>15461</v>
      </c>
    </row>
    <row r="7664" spans="1:12" ht="24" customHeight="1">
      <c r="A7664" s="636"/>
      <c r="B7664" s="636"/>
      <c r="C7664" s="636"/>
      <c r="D7664" s="636"/>
      <c r="E7664" s="636"/>
      <c r="F7664" s="636"/>
      <c r="G7664" s="636"/>
      <c r="H7664" s="636"/>
      <c r="I7664" s="636"/>
      <c r="J7664" s="636" t="s">
        <v>13670</v>
      </c>
      <c r="K7664" s="636"/>
      <c r="L7664" s="636" t="s">
        <v>15462</v>
      </c>
    </row>
    <row r="7665" spans="1:12" ht="24" customHeight="1">
      <c r="A7665" s="636"/>
      <c r="B7665" s="636"/>
      <c r="C7665" s="636"/>
      <c r="D7665" s="636"/>
      <c r="E7665" s="636"/>
      <c r="F7665" s="636"/>
      <c r="G7665" s="636"/>
      <c r="H7665" s="636"/>
      <c r="I7665" s="636"/>
      <c r="J7665" s="636" t="s">
        <v>13669</v>
      </c>
      <c r="K7665" s="636" t="s">
        <v>13667</v>
      </c>
      <c r="L7665" s="636" t="s">
        <v>15463</v>
      </c>
    </row>
    <row r="7666" spans="1:12" ht="17.100000000000001" customHeight="1">
      <c r="A7666" s="636"/>
      <c r="B7666" s="636"/>
      <c r="C7666" s="636"/>
      <c r="D7666" s="636"/>
      <c r="E7666" s="636"/>
      <c r="F7666" s="636"/>
      <c r="G7666" s="636"/>
      <c r="H7666" s="636"/>
      <c r="I7666" s="636"/>
      <c r="J7666" s="636" t="s">
        <v>13668</v>
      </c>
      <c r="K7666" s="636"/>
      <c r="L7666" s="636" t="s">
        <v>15464</v>
      </c>
    </row>
    <row r="7667" spans="1:12">
      <c r="A7667" s="637"/>
      <c r="B7667" s="637"/>
      <c r="C7667" s="637"/>
      <c r="D7667" s="637"/>
      <c r="E7667" s="637"/>
      <c r="F7667" s="637"/>
      <c r="G7667" s="637"/>
      <c r="H7667" s="637"/>
      <c r="I7667" s="637"/>
      <c r="J7667" s="637"/>
      <c r="K7667" s="637"/>
      <c r="L7667" s="637"/>
    </row>
    <row r="7668" spans="1:12" ht="17.100000000000001" customHeight="1">
      <c r="A7668" s="616" t="s">
        <v>13982</v>
      </c>
      <c r="B7668" s="617" t="s">
        <v>13458</v>
      </c>
      <c r="C7668" s="616" t="s">
        <v>8</v>
      </c>
      <c r="D7668" s="616" t="s">
        <v>6959</v>
      </c>
      <c r="E7668" s="618" t="s">
        <v>35</v>
      </c>
      <c r="F7668" s="617"/>
      <c r="G7668" s="617"/>
      <c r="H7668" s="617"/>
      <c r="I7668" s="617"/>
      <c r="J7668" s="617"/>
      <c r="K7668" s="617"/>
      <c r="L7668" s="617"/>
    </row>
    <row r="7669" spans="1:12" ht="24" customHeight="1">
      <c r="A7669" s="802" t="s">
        <v>12711</v>
      </c>
      <c r="B7669" s="802"/>
      <c r="C7669" s="802"/>
      <c r="D7669" s="802"/>
      <c r="E7669" s="802"/>
      <c r="F7669" s="802"/>
      <c r="G7669" s="802"/>
      <c r="H7669" s="802"/>
      <c r="I7669" s="612"/>
      <c r="J7669" s="612"/>
      <c r="K7669" s="612"/>
      <c r="L7669" s="612"/>
    </row>
    <row r="7670" spans="1:12" ht="17.100000000000001" customHeight="1">
      <c r="A7670" s="612" t="s">
        <v>13679</v>
      </c>
      <c r="B7670" s="636" t="s">
        <v>12698</v>
      </c>
      <c r="C7670" s="612" t="s">
        <v>12699</v>
      </c>
      <c r="D7670" s="612" t="s">
        <v>12700</v>
      </c>
      <c r="E7670" s="637" t="s">
        <v>12702</v>
      </c>
      <c r="F7670" s="801" t="s">
        <v>12704</v>
      </c>
      <c r="G7670" s="801"/>
      <c r="H7670" s="801" t="s">
        <v>13678</v>
      </c>
      <c r="I7670" s="801"/>
      <c r="J7670" s="801" t="s">
        <v>12705</v>
      </c>
      <c r="K7670" s="801"/>
      <c r="L7670" s="801"/>
    </row>
    <row r="7671" spans="1:12" ht="25.5">
      <c r="A7671" s="626" t="s">
        <v>12709</v>
      </c>
      <c r="B7671" s="627" t="s">
        <v>13201</v>
      </c>
      <c r="C7671" s="626" t="s">
        <v>8</v>
      </c>
      <c r="D7671" s="626" t="s">
        <v>9221</v>
      </c>
      <c r="E7671" s="628" t="s">
        <v>23</v>
      </c>
      <c r="F7671" s="816" t="s">
        <v>13705</v>
      </c>
      <c r="G7671" s="816"/>
      <c r="H7671" s="816">
        <v>0.44569130000000001</v>
      </c>
      <c r="I7671" s="816"/>
      <c r="J7671" s="817">
        <v>0.36990000000000001</v>
      </c>
      <c r="K7671" s="817"/>
      <c r="L7671" s="817"/>
    </row>
    <row r="7672" spans="1:12" ht="17.100000000000001" customHeight="1">
      <c r="A7672" s="626" t="s">
        <v>12709</v>
      </c>
      <c r="B7672" s="627" t="s">
        <v>13200</v>
      </c>
      <c r="C7672" s="626" t="s">
        <v>8</v>
      </c>
      <c r="D7672" s="626" t="s">
        <v>9368</v>
      </c>
      <c r="E7672" s="628" t="s">
        <v>23</v>
      </c>
      <c r="F7672" s="816" t="s">
        <v>13704</v>
      </c>
      <c r="G7672" s="816"/>
      <c r="H7672" s="816">
        <v>0.44569130000000001</v>
      </c>
      <c r="I7672" s="816"/>
      <c r="J7672" s="817">
        <v>0.107</v>
      </c>
      <c r="K7672" s="817"/>
      <c r="L7672" s="817"/>
    </row>
    <row r="7673" spans="1:12" ht="24" customHeight="1">
      <c r="A7673" s="626" t="s">
        <v>12709</v>
      </c>
      <c r="B7673" s="627" t="s">
        <v>13048</v>
      </c>
      <c r="C7673" s="626" t="s">
        <v>8</v>
      </c>
      <c r="D7673" s="626" t="s">
        <v>9233</v>
      </c>
      <c r="E7673" s="628" t="s">
        <v>23</v>
      </c>
      <c r="F7673" s="816" t="s">
        <v>13690</v>
      </c>
      <c r="G7673" s="816"/>
      <c r="H7673" s="816">
        <v>0.14038229999999999</v>
      </c>
      <c r="I7673" s="816"/>
      <c r="J7673" s="817">
        <v>0.14319999999999999</v>
      </c>
      <c r="K7673" s="817"/>
      <c r="L7673" s="817"/>
    </row>
    <row r="7674" spans="1:12" ht="17.100000000000001" customHeight="1">
      <c r="A7674" s="626" t="s">
        <v>12709</v>
      </c>
      <c r="B7674" s="627" t="s">
        <v>13047</v>
      </c>
      <c r="C7674" s="626" t="s">
        <v>8</v>
      </c>
      <c r="D7674" s="626" t="s">
        <v>9380</v>
      </c>
      <c r="E7674" s="628" t="s">
        <v>23</v>
      </c>
      <c r="F7674" s="816" t="s">
        <v>13689</v>
      </c>
      <c r="G7674" s="816"/>
      <c r="H7674" s="816">
        <v>0.14038229999999999</v>
      </c>
      <c r="I7674" s="816"/>
      <c r="J7674" s="817">
        <v>5.33E-2</v>
      </c>
      <c r="K7674" s="817"/>
      <c r="L7674" s="817"/>
    </row>
    <row r="7675" spans="1:12">
      <c r="A7675" s="636"/>
      <c r="B7675" s="636"/>
      <c r="C7675" s="636"/>
      <c r="D7675" s="636"/>
      <c r="E7675" s="636"/>
      <c r="F7675" s="636"/>
      <c r="G7675" s="636"/>
      <c r="H7675" s="636"/>
      <c r="I7675" s="636"/>
      <c r="J7675" s="636" t="s">
        <v>13675</v>
      </c>
      <c r="K7675" s="636"/>
      <c r="L7675" s="636" t="s">
        <v>13735</v>
      </c>
    </row>
    <row r="7676" spans="1:12" ht="17.100000000000001" customHeight="1">
      <c r="A7676" s="802" t="s">
        <v>12710</v>
      </c>
      <c r="B7676" s="802"/>
      <c r="C7676" s="802"/>
      <c r="D7676" s="802"/>
      <c r="E7676" s="802"/>
      <c r="F7676" s="802"/>
      <c r="G7676" s="802"/>
      <c r="H7676" s="802"/>
      <c r="I7676" s="612"/>
      <c r="J7676" s="612"/>
      <c r="K7676" s="612"/>
      <c r="L7676" s="612"/>
    </row>
    <row r="7677" spans="1:12" ht="24" customHeight="1">
      <c r="A7677" s="612" t="s">
        <v>13679</v>
      </c>
      <c r="B7677" s="636" t="s">
        <v>12698</v>
      </c>
      <c r="C7677" s="612" t="s">
        <v>12699</v>
      </c>
      <c r="D7677" s="612" t="s">
        <v>12700</v>
      </c>
      <c r="E7677" s="637" t="s">
        <v>12702</v>
      </c>
      <c r="F7677" s="801" t="s">
        <v>12704</v>
      </c>
      <c r="G7677" s="801"/>
      <c r="H7677" s="801" t="s">
        <v>13678</v>
      </c>
      <c r="I7677" s="801"/>
      <c r="J7677" s="801" t="s">
        <v>12705</v>
      </c>
      <c r="K7677" s="801"/>
      <c r="L7677" s="801"/>
    </row>
    <row r="7678" spans="1:12" ht="17.100000000000001" customHeight="1">
      <c r="A7678" s="626" t="s">
        <v>12709</v>
      </c>
      <c r="B7678" s="627" t="s">
        <v>13202</v>
      </c>
      <c r="C7678" s="626" t="s">
        <v>8</v>
      </c>
      <c r="D7678" s="626" t="s">
        <v>9187</v>
      </c>
      <c r="E7678" s="628" t="s">
        <v>23</v>
      </c>
      <c r="F7678" s="816" t="s">
        <v>14479</v>
      </c>
      <c r="G7678" s="816"/>
      <c r="H7678" s="816">
        <v>0.4517061</v>
      </c>
      <c r="I7678" s="816"/>
      <c r="J7678" s="817">
        <v>3.2296999999999998</v>
      </c>
      <c r="K7678" s="817"/>
      <c r="L7678" s="817"/>
    </row>
    <row r="7679" spans="1:12" ht="25.5">
      <c r="A7679" s="626" t="s">
        <v>12709</v>
      </c>
      <c r="B7679" s="627" t="s">
        <v>13046</v>
      </c>
      <c r="C7679" s="626" t="s">
        <v>8</v>
      </c>
      <c r="D7679" s="626" t="s">
        <v>11281</v>
      </c>
      <c r="E7679" s="628" t="s">
        <v>23</v>
      </c>
      <c r="F7679" s="816" t="s">
        <v>13731</v>
      </c>
      <c r="G7679" s="816"/>
      <c r="H7679" s="816">
        <v>0.14258599999999999</v>
      </c>
      <c r="I7679" s="816"/>
      <c r="J7679" s="817">
        <v>0.7329</v>
      </c>
      <c r="K7679" s="817"/>
      <c r="L7679" s="817"/>
    </row>
    <row r="7680" spans="1:12" ht="17.100000000000001" customHeight="1">
      <c r="A7680" s="636"/>
      <c r="B7680" s="636"/>
      <c r="C7680" s="636"/>
      <c r="D7680" s="636"/>
      <c r="E7680" s="636"/>
      <c r="F7680" s="636"/>
      <c r="G7680" s="636"/>
      <c r="H7680" s="636"/>
      <c r="I7680" s="636"/>
      <c r="J7680" s="636" t="s">
        <v>13675</v>
      </c>
      <c r="K7680" s="636"/>
      <c r="L7680" s="636" t="s">
        <v>14628</v>
      </c>
    </row>
    <row r="7681" spans="1:12" ht="24" customHeight="1">
      <c r="A7681" s="802" t="s">
        <v>12720</v>
      </c>
      <c r="B7681" s="802"/>
      <c r="C7681" s="802"/>
      <c r="D7681" s="802"/>
      <c r="E7681" s="802"/>
      <c r="F7681" s="802"/>
      <c r="G7681" s="802"/>
      <c r="H7681" s="802"/>
      <c r="I7681" s="612"/>
      <c r="J7681" s="612"/>
      <c r="K7681" s="612"/>
      <c r="L7681" s="612"/>
    </row>
    <row r="7682" spans="1:12" ht="24" customHeight="1">
      <c r="A7682" s="612" t="s">
        <v>13679</v>
      </c>
      <c r="B7682" s="636" t="s">
        <v>12698</v>
      </c>
      <c r="C7682" s="612" t="s">
        <v>12699</v>
      </c>
      <c r="D7682" s="612" t="s">
        <v>12700</v>
      </c>
      <c r="E7682" s="637" t="s">
        <v>12702</v>
      </c>
      <c r="F7682" s="801" t="s">
        <v>12704</v>
      </c>
      <c r="G7682" s="801"/>
      <c r="H7682" s="801" t="s">
        <v>13678</v>
      </c>
      <c r="I7682" s="801"/>
      <c r="J7682" s="801" t="s">
        <v>12705</v>
      </c>
      <c r="K7682" s="801"/>
      <c r="L7682" s="801"/>
    </row>
    <row r="7683" spans="1:12" ht="17.100000000000001" customHeight="1">
      <c r="A7683" s="626" t="s">
        <v>12709</v>
      </c>
      <c r="B7683" s="627" t="s">
        <v>12980</v>
      </c>
      <c r="C7683" s="626" t="s">
        <v>8</v>
      </c>
      <c r="D7683" s="626" t="s">
        <v>9425</v>
      </c>
      <c r="E7683" s="628" t="s">
        <v>35</v>
      </c>
      <c r="F7683" s="816" t="s">
        <v>14614</v>
      </c>
      <c r="G7683" s="816"/>
      <c r="H7683" s="816">
        <v>2.1000000000000001E-2</v>
      </c>
      <c r="I7683" s="816"/>
      <c r="J7683" s="817">
        <v>0.08</v>
      </c>
      <c r="K7683" s="817"/>
      <c r="L7683" s="817"/>
    </row>
    <row r="7684" spans="1:12" ht="17.100000000000001" customHeight="1">
      <c r="A7684" s="626" t="s">
        <v>12709</v>
      </c>
      <c r="B7684" s="627" t="s">
        <v>13457</v>
      </c>
      <c r="C7684" s="626" t="s">
        <v>8</v>
      </c>
      <c r="D7684" s="626" t="s">
        <v>8413</v>
      </c>
      <c r="E7684" s="628" t="s">
        <v>35</v>
      </c>
      <c r="F7684" s="816" t="s">
        <v>14627</v>
      </c>
      <c r="G7684" s="816"/>
      <c r="H7684" s="816">
        <v>1</v>
      </c>
      <c r="I7684" s="816"/>
      <c r="J7684" s="817">
        <v>61.2</v>
      </c>
      <c r="K7684" s="817"/>
      <c r="L7684" s="817"/>
    </row>
    <row r="7685" spans="1:12" ht="17.100000000000001" customHeight="1">
      <c r="A7685" s="636"/>
      <c r="B7685" s="636"/>
      <c r="C7685" s="636"/>
      <c r="D7685" s="636"/>
      <c r="E7685" s="636"/>
      <c r="F7685" s="636"/>
      <c r="G7685" s="636"/>
      <c r="H7685" s="636"/>
      <c r="I7685" s="636"/>
      <c r="J7685" s="636" t="s">
        <v>13675</v>
      </c>
      <c r="K7685" s="636"/>
      <c r="L7685" s="636" t="s">
        <v>14626</v>
      </c>
    </row>
    <row r="7686" spans="1:12" ht="17.100000000000001" customHeight="1">
      <c r="A7686" s="802" t="s">
        <v>12722</v>
      </c>
      <c r="B7686" s="802"/>
      <c r="C7686" s="802"/>
      <c r="D7686" s="802"/>
      <c r="E7686" s="802"/>
      <c r="F7686" s="802"/>
      <c r="G7686" s="802"/>
      <c r="H7686" s="802"/>
      <c r="I7686" s="612"/>
      <c r="J7686" s="612"/>
      <c r="K7686" s="612"/>
      <c r="L7686" s="612"/>
    </row>
    <row r="7687" spans="1:12" ht="17.100000000000001" customHeight="1">
      <c r="A7687" s="612" t="s">
        <v>13679</v>
      </c>
      <c r="B7687" s="636" t="s">
        <v>12698</v>
      </c>
      <c r="C7687" s="612" t="s">
        <v>12699</v>
      </c>
      <c r="D7687" s="612" t="s">
        <v>12700</v>
      </c>
      <c r="E7687" s="637" t="s">
        <v>12702</v>
      </c>
      <c r="F7687" s="801" t="s">
        <v>12704</v>
      </c>
      <c r="G7687" s="801"/>
      <c r="H7687" s="801" t="s">
        <v>13678</v>
      </c>
      <c r="I7687" s="801"/>
      <c r="J7687" s="801" t="s">
        <v>12705</v>
      </c>
      <c r="K7687" s="801"/>
      <c r="L7687" s="801"/>
    </row>
    <row r="7688" spans="1:12" ht="17.100000000000001" customHeight="1">
      <c r="A7688" s="626" t="s">
        <v>12709</v>
      </c>
      <c r="B7688" s="627" t="s">
        <v>12998</v>
      </c>
      <c r="C7688" s="626" t="s">
        <v>8</v>
      </c>
      <c r="D7688" s="626" t="s">
        <v>11861</v>
      </c>
      <c r="E7688" s="628" t="s">
        <v>23</v>
      </c>
      <c r="F7688" s="816" t="s">
        <v>13683</v>
      </c>
      <c r="G7688" s="816"/>
      <c r="H7688" s="816">
        <v>0.58607350000000002</v>
      </c>
      <c r="I7688" s="816"/>
      <c r="J7688" s="817">
        <v>0.41610000000000003</v>
      </c>
      <c r="K7688" s="817"/>
      <c r="L7688" s="817"/>
    </row>
    <row r="7689" spans="1:12" ht="17.100000000000001" customHeight="1">
      <c r="A7689" s="636"/>
      <c r="B7689" s="636"/>
      <c r="C7689" s="636"/>
      <c r="D7689" s="636"/>
      <c r="E7689" s="636"/>
      <c r="F7689" s="636"/>
      <c r="G7689" s="636"/>
      <c r="H7689" s="636"/>
      <c r="I7689" s="636"/>
      <c r="J7689" s="636" t="s">
        <v>13675</v>
      </c>
      <c r="K7689" s="636"/>
      <c r="L7689" s="636" t="s">
        <v>13837</v>
      </c>
    </row>
    <row r="7690" spans="1:12" ht="30" customHeight="1">
      <c r="A7690" s="802" t="s">
        <v>12713</v>
      </c>
      <c r="B7690" s="802"/>
      <c r="C7690" s="802"/>
      <c r="D7690" s="802"/>
      <c r="E7690" s="802"/>
      <c r="F7690" s="802"/>
      <c r="G7690" s="802"/>
      <c r="H7690" s="802"/>
      <c r="I7690" s="612"/>
      <c r="J7690" s="612"/>
      <c r="K7690" s="612"/>
      <c r="L7690" s="612"/>
    </row>
    <row r="7691" spans="1:12" ht="24" customHeight="1">
      <c r="A7691" s="612" t="s">
        <v>13679</v>
      </c>
      <c r="B7691" s="636" t="s">
        <v>12698</v>
      </c>
      <c r="C7691" s="612" t="s">
        <v>12699</v>
      </c>
      <c r="D7691" s="612" t="s">
        <v>12700</v>
      </c>
      <c r="E7691" s="637" t="s">
        <v>12702</v>
      </c>
      <c r="F7691" s="801" t="s">
        <v>12704</v>
      </c>
      <c r="G7691" s="801"/>
      <c r="H7691" s="801" t="s">
        <v>13678</v>
      </c>
      <c r="I7691" s="801"/>
      <c r="J7691" s="801" t="s">
        <v>12705</v>
      </c>
      <c r="K7691" s="801"/>
      <c r="L7691" s="801"/>
    </row>
    <row r="7692" spans="1:12" ht="14.25" customHeight="1">
      <c r="A7692" s="626" t="s">
        <v>12709</v>
      </c>
      <c r="B7692" s="627" t="s">
        <v>12999</v>
      </c>
      <c r="C7692" s="626" t="s">
        <v>8</v>
      </c>
      <c r="D7692" s="626" t="s">
        <v>11251</v>
      </c>
      <c r="E7692" s="628" t="s">
        <v>23</v>
      </c>
      <c r="F7692" s="816" t="s">
        <v>13681</v>
      </c>
      <c r="G7692" s="816"/>
      <c r="H7692" s="816">
        <v>0.58607350000000002</v>
      </c>
      <c r="I7692" s="816"/>
      <c r="J7692" s="817">
        <v>4.1000000000000002E-2</v>
      </c>
      <c r="K7692" s="817"/>
      <c r="L7692" s="817"/>
    </row>
    <row r="7693" spans="1:12" ht="17.100000000000001" customHeight="1">
      <c r="A7693" s="636"/>
      <c r="B7693" s="636"/>
      <c r="C7693" s="636"/>
      <c r="D7693" s="636"/>
      <c r="E7693" s="636"/>
      <c r="F7693" s="636"/>
      <c r="G7693" s="636"/>
      <c r="H7693" s="636"/>
      <c r="I7693" s="636"/>
      <c r="J7693" s="636" t="s">
        <v>13675</v>
      </c>
      <c r="K7693" s="636"/>
      <c r="L7693" s="636" t="s">
        <v>13716</v>
      </c>
    </row>
    <row r="7694" spans="1:12" ht="24" customHeight="1">
      <c r="A7694" s="802" t="s">
        <v>12712</v>
      </c>
      <c r="B7694" s="802"/>
      <c r="C7694" s="802"/>
      <c r="D7694" s="802"/>
      <c r="E7694" s="802"/>
      <c r="F7694" s="802"/>
      <c r="G7694" s="802"/>
      <c r="H7694" s="802"/>
      <c r="I7694" s="612"/>
      <c r="J7694" s="612"/>
      <c r="K7694" s="612"/>
      <c r="L7694" s="612"/>
    </row>
    <row r="7695" spans="1:12" ht="24" customHeight="1">
      <c r="A7695" s="612" t="s">
        <v>13679</v>
      </c>
      <c r="B7695" s="636" t="s">
        <v>12698</v>
      </c>
      <c r="C7695" s="612" t="s">
        <v>12699</v>
      </c>
      <c r="D7695" s="612" t="s">
        <v>12700</v>
      </c>
      <c r="E7695" s="637" t="s">
        <v>12702</v>
      </c>
      <c r="F7695" s="801" t="s">
        <v>12704</v>
      </c>
      <c r="G7695" s="801"/>
      <c r="H7695" s="801" t="s">
        <v>13678</v>
      </c>
      <c r="I7695" s="801"/>
      <c r="J7695" s="801" t="s">
        <v>12705</v>
      </c>
      <c r="K7695" s="801"/>
      <c r="L7695" s="801"/>
    </row>
    <row r="7696" spans="1:12" ht="24" customHeight="1">
      <c r="A7696" s="626" t="s">
        <v>12709</v>
      </c>
      <c r="B7696" s="627" t="s">
        <v>13002</v>
      </c>
      <c r="C7696" s="626" t="s">
        <v>8</v>
      </c>
      <c r="D7696" s="626" t="s">
        <v>9306</v>
      </c>
      <c r="E7696" s="628" t="s">
        <v>23</v>
      </c>
      <c r="F7696" s="816" t="s">
        <v>13677</v>
      </c>
      <c r="G7696" s="816"/>
      <c r="H7696" s="816">
        <v>0.58607350000000002</v>
      </c>
      <c r="I7696" s="816"/>
      <c r="J7696" s="817">
        <v>0.2051</v>
      </c>
      <c r="K7696" s="817"/>
      <c r="L7696" s="817"/>
    </row>
    <row r="7697" spans="1:12" ht="24" customHeight="1">
      <c r="A7697" s="626" t="s">
        <v>12709</v>
      </c>
      <c r="B7697" s="627" t="s">
        <v>13004</v>
      </c>
      <c r="C7697" s="626" t="s">
        <v>8</v>
      </c>
      <c r="D7697" s="626" t="s">
        <v>7388</v>
      </c>
      <c r="E7697" s="628" t="s">
        <v>23</v>
      </c>
      <c r="F7697" s="816" t="s">
        <v>13676</v>
      </c>
      <c r="G7697" s="816"/>
      <c r="H7697" s="816">
        <v>0.58607350000000002</v>
      </c>
      <c r="I7697" s="816"/>
      <c r="J7697" s="817">
        <v>1.2894000000000001</v>
      </c>
      <c r="K7697" s="817"/>
      <c r="L7697" s="817"/>
    </row>
    <row r="7698" spans="1:12" ht="24" customHeight="1">
      <c r="A7698" s="636"/>
      <c r="B7698" s="636"/>
      <c r="C7698" s="636"/>
      <c r="D7698" s="636"/>
      <c r="E7698" s="636"/>
      <c r="F7698" s="636"/>
      <c r="G7698" s="636"/>
      <c r="H7698" s="636"/>
      <c r="I7698" s="636"/>
      <c r="J7698" s="636" t="s">
        <v>13675</v>
      </c>
      <c r="K7698" s="636"/>
      <c r="L7698" s="636" t="s">
        <v>13983</v>
      </c>
    </row>
    <row r="7699" spans="1:12" ht="24" customHeight="1">
      <c r="A7699" s="612" t="s">
        <v>13673</v>
      </c>
      <c r="B7699" s="612"/>
      <c r="C7699" s="612"/>
      <c r="D7699" s="612"/>
      <c r="E7699" s="612"/>
      <c r="F7699" s="612"/>
      <c r="G7699" s="612"/>
      <c r="H7699" s="612"/>
      <c r="I7699" s="612"/>
      <c r="J7699" s="612"/>
      <c r="K7699" s="612"/>
      <c r="L7699" s="612"/>
    </row>
    <row r="7700" spans="1:12" ht="24" customHeight="1">
      <c r="A7700" s="636"/>
      <c r="B7700" s="636"/>
      <c r="C7700" s="636"/>
      <c r="D7700" s="636"/>
      <c r="E7700" s="636"/>
      <c r="F7700" s="636"/>
      <c r="G7700" s="636"/>
      <c r="H7700" s="636"/>
      <c r="I7700" s="636"/>
      <c r="J7700" s="636" t="s">
        <v>13672</v>
      </c>
      <c r="K7700" s="636"/>
      <c r="L7700" s="636" t="s">
        <v>15465</v>
      </c>
    </row>
    <row r="7701" spans="1:12" ht="17.100000000000001" customHeight="1">
      <c r="A7701" s="636"/>
      <c r="B7701" s="636"/>
      <c r="C7701" s="636"/>
      <c r="D7701" s="636"/>
      <c r="E7701" s="636"/>
      <c r="F7701" s="636"/>
      <c r="G7701" s="636"/>
      <c r="H7701" s="636"/>
      <c r="I7701" s="636"/>
      <c r="J7701" s="636" t="s">
        <v>13671</v>
      </c>
      <c r="K7701" s="636" t="s">
        <v>14461</v>
      </c>
      <c r="L7701" s="636" t="s">
        <v>15466</v>
      </c>
    </row>
    <row r="7702" spans="1:12" ht="14.25" customHeight="1">
      <c r="A7702" s="636"/>
      <c r="B7702" s="636"/>
      <c r="C7702" s="636"/>
      <c r="D7702" s="636"/>
      <c r="E7702" s="636"/>
      <c r="F7702" s="636"/>
      <c r="G7702" s="636"/>
      <c r="H7702" s="636"/>
      <c r="I7702" s="636"/>
      <c r="J7702" s="636" t="s">
        <v>13670</v>
      </c>
      <c r="K7702" s="636"/>
      <c r="L7702" s="636" t="s">
        <v>15467</v>
      </c>
    </row>
    <row r="7703" spans="1:12" ht="17.100000000000001" customHeight="1">
      <c r="A7703" s="636"/>
      <c r="B7703" s="636"/>
      <c r="C7703" s="636"/>
      <c r="D7703" s="636"/>
      <c r="E7703" s="636"/>
      <c r="F7703" s="636"/>
      <c r="G7703" s="636"/>
      <c r="H7703" s="636"/>
      <c r="I7703" s="636"/>
      <c r="J7703" s="636" t="s">
        <v>13669</v>
      </c>
      <c r="K7703" s="636" t="s">
        <v>13667</v>
      </c>
      <c r="L7703" s="636" t="s">
        <v>15468</v>
      </c>
    </row>
    <row r="7704" spans="1:12" ht="24" customHeight="1">
      <c r="A7704" s="636"/>
      <c r="B7704" s="636"/>
      <c r="C7704" s="636"/>
      <c r="D7704" s="636"/>
      <c r="E7704" s="636"/>
      <c r="F7704" s="636"/>
      <c r="G7704" s="636"/>
      <c r="H7704" s="636"/>
      <c r="I7704" s="636"/>
      <c r="J7704" s="636" t="s">
        <v>13668</v>
      </c>
      <c r="K7704" s="636"/>
      <c r="L7704" s="636" t="s">
        <v>15469</v>
      </c>
    </row>
    <row r="7705" spans="1:12" ht="24" customHeight="1">
      <c r="A7705" s="637"/>
      <c r="B7705" s="637"/>
      <c r="C7705" s="637"/>
      <c r="D7705" s="637"/>
      <c r="E7705" s="637"/>
      <c r="F7705" s="637"/>
      <c r="G7705" s="637"/>
      <c r="H7705" s="637"/>
      <c r="I7705" s="637"/>
      <c r="J7705" s="637"/>
      <c r="K7705" s="637"/>
      <c r="L7705" s="637"/>
    </row>
    <row r="7706" spans="1:12" ht="24" customHeight="1">
      <c r="A7706" s="616" t="s">
        <v>15470</v>
      </c>
      <c r="B7706" s="617" t="s">
        <v>13456</v>
      </c>
      <c r="C7706" s="616" t="s">
        <v>8</v>
      </c>
      <c r="D7706" s="616" t="s">
        <v>6914</v>
      </c>
      <c r="E7706" s="618" t="s">
        <v>35</v>
      </c>
      <c r="F7706" s="617"/>
      <c r="G7706" s="617"/>
      <c r="H7706" s="617"/>
      <c r="I7706" s="617"/>
      <c r="J7706" s="617"/>
      <c r="K7706" s="617"/>
      <c r="L7706" s="617"/>
    </row>
    <row r="7707" spans="1:12" ht="17.100000000000001" customHeight="1">
      <c r="A7707" s="802" t="s">
        <v>12711</v>
      </c>
      <c r="B7707" s="802"/>
      <c r="C7707" s="802"/>
      <c r="D7707" s="802"/>
      <c r="E7707" s="802"/>
      <c r="F7707" s="802"/>
      <c r="G7707" s="802"/>
      <c r="H7707" s="802"/>
      <c r="I7707" s="612"/>
      <c r="J7707" s="612"/>
      <c r="K7707" s="612"/>
      <c r="L7707" s="612"/>
    </row>
    <row r="7708" spans="1:12">
      <c r="A7708" s="612" t="s">
        <v>13679</v>
      </c>
      <c r="B7708" s="636" t="s">
        <v>12698</v>
      </c>
      <c r="C7708" s="612" t="s">
        <v>12699</v>
      </c>
      <c r="D7708" s="612" t="s">
        <v>12700</v>
      </c>
      <c r="E7708" s="637" t="s">
        <v>12702</v>
      </c>
      <c r="F7708" s="801" t="s">
        <v>12704</v>
      </c>
      <c r="G7708" s="801"/>
      <c r="H7708" s="801" t="s">
        <v>13678</v>
      </c>
      <c r="I7708" s="801"/>
      <c r="J7708" s="801" t="s">
        <v>12705</v>
      </c>
      <c r="K7708" s="801"/>
      <c r="L7708" s="801"/>
    </row>
    <row r="7709" spans="1:12" ht="17.100000000000001" customHeight="1">
      <c r="A7709" s="626" t="s">
        <v>12709</v>
      </c>
      <c r="B7709" s="627" t="s">
        <v>13201</v>
      </c>
      <c r="C7709" s="626" t="s">
        <v>8</v>
      </c>
      <c r="D7709" s="626" t="s">
        <v>9221</v>
      </c>
      <c r="E7709" s="628" t="s">
        <v>23</v>
      </c>
      <c r="F7709" s="816" t="s">
        <v>13705</v>
      </c>
      <c r="G7709" s="816"/>
      <c r="H7709" s="816">
        <v>2.1288798999999998</v>
      </c>
      <c r="I7709" s="816"/>
      <c r="J7709" s="817">
        <v>1.7669999999999999</v>
      </c>
      <c r="K7709" s="817"/>
      <c r="L7709" s="817"/>
    </row>
    <row r="7710" spans="1:12" ht="24" customHeight="1">
      <c r="A7710" s="626" t="s">
        <v>12709</v>
      </c>
      <c r="B7710" s="627" t="s">
        <v>13200</v>
      </c>
      <c r="C7710" s="626" t="s">
        <v>8</v>
      </c>
      <c r="D7710" s="626" t="s">
        <v>9368</v>
      </c>
      <c r="E7710" s="628" t="s">
        <v>23</v>
      </c>
      <c r="F7710" s="816" t="s">
        <v>13704</v>
      </c>
      <c r="G7710" s="816"/>
      <c r="H7710" s="816">
        <v>2.1288798999999998</v>
      </c>
      <c r="I7710" s="816"/>
      <c r="J7710" s="817">
        <v>0.51090000000000002</v>
      </c>
      <c r="K7710" s="817"/>
      <c r="L7710" s="817"/>
    </row>
    <row r="7711" spans="1:12" ht="17.100000000000001" customHeight="1">
      <c r="A7711" s="626" t="s">
        <v>12709</v>
      </c>
      <c r="B7711" s="627" t="s">
        <v>13048</v>
      </c>
      <c r="C7711" s="626" t="s">
        <v>8</v>
      </c>
      <c r="D7711" s="626" t="s">
        <v>9233</v>
      </c>
      <c r="E7711" s="628" t="s">
        <v>23</v>
      </c>
      <c r="F7711" s="816" t="s">
        <v>13690</v>
      </c>
      <c r="G7711" s="816"/>
      <c r="H7711" s="816">
        <v>0.82451470000000004</v>
      </c>
      <c r="I7711" s="816"/>
      <c r="J7711" s="817">
        <v>0.84099999999999997</v>
      </c>
      <c r="K7711" s="817"/>
      <c r="L7711" s="817"/>
    </row>
    <row r="7712" spans="1:12" ht="25.5">
      <c r="A7712" s="626" t="s">
        <v>12709</v>
      </c>
      <c r="B7712" s="627" t="s">
        <v>13047</v>
      </c>
      <c r="C7712" s="626" t="s">
        <v>8</v>
      </c>
      <c r="D7712" s="626" t="s">
        <v>9380</v>
      </c>
      <c r="E7712" s="628" t="s">
        <v>23</v>
      </c>
      <c r="F7712" s="816" t="s">
        <v>13689</v>
      </c>
      <c r="G7712" s="816"/>
      <c r="H7712" s="816">
        <v>0.82451470000000004</v>
      </c>
      <c r="I7712" s="816"/>
      <c r="J7712" s="817">
        <v>0.31330000000000002</v>
      </c>
      <c r="K7712" s="817"/>
      <c r="L7712" s="817"/>
    </row>
    <row r="7713" spans="1:12" ht="17.100000000000001" customHeight="1">
      <c r="A7713" s="636"/>
      <c r="B7713" s="636"/>
      <c r="C7713" s="636"/>
      <c r="D7713" s="636"/>
      <c r="E7713" s="636"/>
      <c r="F7713" s="636"/>
      <c r="G7713" s="636"/>
      <c r="H7713" s="636"/>
      <c r="I7713" s="636"/>
      <c r="J7713" s="636" t="s">
        <v>13675</v>
      </c>
      <c r="K7713" s="636"/>
      <c r="L7713" s="636" t="s">
        <v>13981</v>
      </c>
    </row>
    <row r="7714" spans="1:12" ht="24" customHeight="1">
      <c r="A7714" s="802" t="s">
        <v>12710</v>
      </c>
      <c r="B7714" s="802"/>
      <c r="C7714" s="802"/>
      <c r="D7714" s="802"/>
      <c r="E7714" s="802"/>
      <c r="F7714" s="802"/>
      <c r="G7714" s="802"/>
      <c r="H7714" s="802"/>
      <c r="I7714" s="612"/>
      <c r="J7714" s="612"/>
      <c r="K7714" s="612"/>
      <c r="L7714" s="612"/>
    </row>
    <row r="7715" spans="1:12" ht="17.100000000000001" customHeight="1">
      <c r="A7715" s="612" t="s">
        <v>13679</v>
      </c>
      <c r="B7715" s="636" t="s">
        <v>12698</v>
      </c>
      <c r="C7715" s="612" t="s">
        <v>12699</v>
      </c>
      <c r="D7715" s="612" t="s">
        <v>12700</v>
      </c>
      <c r="E7715" s="637" t="s">
        <v>12702</v>
      </c>
      <c r="F7715" s="801" t="s">
        <v>12704</v>
      </c>
      <c r="G7715" s="801"/>
      <c r="H7715" s="801" t="s">
        <v>13678</v>
      </c>
      <c r="I7715" s="801"/>
      <c r="J7715" s="801" t="s">
        <v>12705</v>
      </c>
      <c r="K7715" s="801"/>
      <c r="L7715" s="801"/>
    </row>
    <row r="7716" spans="1:12" ht="25.5">
      <c r="A7716" s="626" t="s">
        <v>12709</v>
      </c>
      <c r="B7716" s="627" t="s">
        <v>13202</v>
      </c>
      <c r="C7716" s="626" t="s">
        <v>8</v>
      </c>
      <c r="D7716" s="626" t="s">
        <v>9187</v>
      </c>
      <c r="E7716" s="628" t="s">
        <v>23</v>
      </c>
      <c r="F7716" s="816" t="s">
        <v>14479</v>
      </c>
      <c r="G7716" s="816"/>
      <c r="H7716" s="816">
        <v>2.1529265999999998</v>
      </c>
      <c r="I7716" s="816"/>
      <c r="J7716" s="817">
        <v>15.3934</v>
      </c>
      <c r="K7716" s="817"/>
      <c r="L7716" s="817"/>
    </row>
    <row r="7717" spans="1:12" ht="17.100000000000001" customHeight="1">
      <c r="A7717" s="626" t="s">
        <v>12709</v>
      </c>
      <c r="B7717" s="627" t="s">
        <v>13046</v>
      </c>
      <c r="C7717" s="626" t="s">
        <v>8</v>
      </c>
      <c r="D7717" s="626" t="s">
        <v>11281</v>
      </c>
      <c r="E7717" s="628" t="s">
        <v>23</v>
      </c>
      <c r="F7717" s="816" t="s">
        <v>13731</v>
      </c>
      <c r="G7717" s="816"/>
      <c r="H7717" s="816">
        <v>0.8356401</v>
      </c>
      <c r="I7717" s="816"/>
      <c r="J7717" s="817">
        <v>4.2952000000000004</v>
      </c>
      <c r="K7717" s="817"/>
      <c r="L7717" s="817"/>
    </row>
    <row r="7718" spans="1:12" ht="24" customHeight="1">
      <c r="A7718" s="636"/>
      <c r="B7718" s="636"/>
      <c r="C7718" s="636"/>
      <c r="D7718" s="636"/>
      <c r="E7718" s="636"/>
      <c r="F7718" s="636"/>
      <c r="G7718" s="636"/>
      <c r="H7718" s="636"/>
      <c r="I7718" s="636"/>
      <c r="J7718" s="636" t="s">
        <v>13675</v>
      </c>
      <c r="K7718" s="636"/>
      <c r="L7718" s="636" t="s">
        <v>14625</v>
      </c>
    </row>
    <row r="7719" spans="1:12" ht="17.100000000000001" customHeight="1">
      <c r="A7719" s="802" t="s">
        <v>12720</v>
      </c>
      <c r="B7719" s="802"/>
      <c r="C7719" s="802"/>
      <c r="D7719" s="802"/>
      <c r="E7719" s="802"/>
      <c r="F7719" s="802"/>
      <c r="G7719" s="802"/>
      <c r="H7719" s="802"/>
      <c r="I7719" s="612"/>
      <c r="J7719" s="612"/>
      <c r="K7719" s="612"/>
      <c r="L7719" s="612"/>
    </row>
    <row r="7720" spans="1:12">
      <c r="A7720" s="612" t="s">
        <v>13679</v>
      </c>
      <c r="B7720" s="636" t="s">
        <v>12698</v>
      </c>
      <c r="C7720" s="612" t="s">
        <v>12699</v>
      </c>
      <c r="D7720" s="612" t="s">
        <v>12700</v>
      </c>
      <c r="E7720" s="637" t="s">
        <v>12702</v>
      </c>
      <c r="F7720" s="801" t="s">
        <v>12704</v>
      </c>
      <c r="G7720" s="801"/>
      <c r="H7720" s="801" t="s">
        <v>13678</v>
      </c>
      <c r="I7720" s="801"/>
      <c r="J7720" s="801" t="s">
        <v>12705</v>
      </c>
      <c r="K7720" s="801"/>
      <c r="L7720" s="801"/>
    </row>
    <row r="7721" spans="1:12" ht="17.100000000000001" customHeight="1">
      <c r="A7721" s="626" t="s">
        <v>12709</v>
      </c>
      <c r="B7721" s="627" t="s">
        <v>13037</v>
      </c>
      <c r="C7721" s="626" t="s">
        <v>8</v>
      </c>
      <c r="D7721" s="626" t="s">
        <v>10652</v>
      </c>
      <c r="E7721" s="628" t="s">
        <v>35</v>
      </c>
      <c r="F7721" s="816" t="s">
        <v>13973</v>
      </c>
      <c r="G7721" s="816"/>
      <c r="H7721" s="816">
        <v>5.9993796000000001</v>
      </c>
      <c r="I7721" s="816"/>
      <c r="J7721" s="817">
        <v>69.2928</v>
      </c>
      <c r="K7721" s="817"/>
      <c r="L7721" s="817"/>
    </row>
    <row r="7722" spans="1:12" ht="24" customHeight="1">
      <c r="A7722" s="626" t="s">
        <v>12709</v>
      </c>
      <c r="B7722" s="627" t="s">
        <v>13036</v>
      </c>
      <c r="C7722" s="626" t="s">
        <v>8</v>
      </c>
      <c r="D7722" s="626" t="s">
        <v>11174</v>
      </c>
      <c r="E7722" s="628" t="s">
        <v>20</v>
      </c>
      <c r="F7722" s="816" t="s">
        <v>14618</v>
      </c>
      <c r="G7722" s="816"/>
      <c r="H7722" s="816">
        <v>7.0192699999999997E-2</v>
      </c>
      <c r="I7722" s="816"/>
      <c r="J7722" s="817">
        <v>4.0423999999999998</v>
      </c>
      <c r="K7722" s="817"/>
      <c r="L7722" s="817"/>
    </row>
    <row r="7723" spans="1:12" ht="24" customHeight="1">
      <c r="A7723" s="626" t="s">
        <v>12709</v>
      </c>
      <c r="B7723" s="627" t="s">
        <v>13035</v>
      </c>
      <c r="C7723" s="626" t="s">
        <v>8</v>
      </c>
      <c r="D7723" s="626" t="s">
        <v>11418</v>
      </c>
      <c r="E7723" s="628" t="s">
        <v>35</v>
      </c>
      <c r="F7723" s="816" t="s">
        <v>14624</v>
      </c>
      <c r="G7723" s="816"/>
      <c r="H7723" s="816">
        <v>0.99989660000000002</v>
      </c>
      <c r="I7723" s="816"/>
      <c r="J7723" s="817">
        <v>460.58240000000001</v>
      </c>
      <c r="K7723" s="817"/>
      <c r="L7723" s="817"/>
    </row>
    <row r="7724" spans="1:12" ht="17.100000000000001" customHeight="1">
      <c r="A7724" s="626" t="s">
        <v>12709</v>
      </c>
      <c r="B7724" s="627" t="s">
        <v>12980</v>
      </c>
      <c r="C7724" s="626" t="s">
        <v>8</v>
      </c>
      <c r="D7724" s="626" t="s">
        <v>9425</v>
      </c>
      <c r="E7724" s="628" t="s">
        <v>35</v>
      </c>
      <c r="F7724" s="816" t="s">
        <v>14614</v>
      </c>
      <c r="G7724" s="816"/>
      <c r="H7724" s="816">
        <v>0.10288940000000001</v>
      </c>
      <c r="I7724" s="816"/>
      <c r="J7724" s="817">
        <v>0.41770000000000002</v>
      </c>
      <c r="K7724" s="817"/>
      <c r="L7724" s="817"/>
    </row>
    <row r="7725" spans="1:12" ht="17.100000000000001" customHeight="1">
      <c r="A7725" s="626" t="s">
        <v>12709</v>
      </c>
      <c r="B7725" s="627" t="s">
        <v>12979</v>
      </c>
      <c r="C7725" s="626" t="s">
        <v>8</v>
      </c>
      <c r="D7725" s="626" t="s">
        <v>12315</v>
      </c>
      <c r="E7725" s="628" t="s">
        <v>35</v>
      </c>
      <c r="F7725" s="816" t="s">
        <v>13980</v>
      </c>
      <c r="G7725" s="816"/>
      <c r="H7725" s="816">
        <v>0.99989660000000002</v>
      </c>
      <c r="I7725" s="816"/>
      <c r="J7725" s="817">
        <v>2.8797000000000001</v>
      </c>
      <c r="K7725" s="817"/>
      <c r="L7725" s="817"/>
    </row>
    <row r="7726" spans="1:12" ht="17.100000000000001" customHeight="1">
      <c r="A7726" s="626" t="s">
        <v>12709</v>
      </c>
      <c r="B7726" s="627" t="s">
        <v>13044</v>
      </c>
      <c r="C7726" s="626" t="s">
        <v>8</v>
      </c>
      <c r="D7726" s="626" t="s">
        <v>11289</v>
      </c>
      <c r="E7726" s="628" t="s">
        <v>35</v>
      </c>
      <c r="F7726" s="816" t="s">
        <v>13964</v>
      </c>
      <c r="G7726" s="816"/>
      <c r="H7726" s="816">
        <v>0.99989660000000002</v>
      </c>
      <c r="I7726" s="816"/>
      <c r="J7726" s="817">
        <v>7.9992000000000001</v>
      </c>
      <c r="K7726" s="817"/>
      <c r="L7726" s="817"/>
    </row>
    <row r="7727" spans="1:12" ht="17.100000000000001" customHeight="1">
      <c r="A7727" s="626" t="s">
        <v>12709</v>
      </c>
      <c r="B7727" s="627" t="s">
        <v>13015</v>
      </c>
      <c r="C7727" s="626" t="s">
        <v>8</v>
      </c>
      <c r="D7727" s="626" t="s">
        <v>11848</v>
      </c>
      <c r="E7727" s="628" t="s">
        <v>35</v>
      </c>
      <c r="F7727" s="816" t="s">
        <v>13979</v>
      </c>
      <c r="G7727" s="816"/>
      <c r="H7727" s="816">
        <v>0.99989660000000002</v>
      </c>
      <c r="I7727" s="816"/>
      <c r="J7727" s="817">
        <v>26.6372</v>
      </c>
      <c r="K7727" s="817"/>
      <c r="L7727" s="817"/>
    </row>
    <row r="7728" spans="1:12" ht="17.100000000000001" customHeight="1">
      <c r="A7728" s="636"/>
      <c r="B7728" s="636"/>
      <c r="C7728" s="636"/>
      <c r="D7728" s="636"/>
      <c r="E7728" s="636"/>
      <c r="F7728" s="636"/>
      <c r="G7728" s="636"/>
      <c r="H7728" s="636"/>
      <c r="I7728" s="636"/>
      <c r="J7728" s="636" t="s">
        <v>13675</v>
      </c>
      <c r="K7728" s="636"/>
      <c r="L7728" s="636" t="s">
        <v>14623</v>
      </c>
    </row>
    <row r="7729" spans="1:12" ht="17.100000000000001" customHeight="1">
      <c r="A7729" s="802" t="s">
        <v>12722</v>
      </c>
      <c r="B7729" s="802"/>
      <c r="C7729" s="802"/>
      <c r="D7729" s="802"/>
      <c r="E7729" s="802"/>
      <c r="F7729" s="802"/>
      <c r="G7729" s="802"/>
      <c r="H7729" s="802"/>
      <c r="I7729" s="612"/>
      <c r="J7729" s="612"/>
      <c r="K7729" s="612"/>
      <c r="L7729" s="612"/>
    </row>
    <row r="7730" spans="1:12" ht="17.100000000000001" customHeight="1">
      <c r="A7730" s="612" t="s">
        <v>13679</v>
      </c>
      <c r="B7730" s="636" t="s">
        <v>12698</v>
      </c>
      <c r="C7730" s="612" t="s">
        <v>12699</v>
      </c>
      <c r="D7730" s="612" t="s">
        <v>12700</v>
      </c>
      <c r="E7730" s="637" t="s">
        <v>12702</v>
      </c>
      <c r="F7730" s="801" t="s">
        <v>12704</v>
      </c>
      <c r="G7730" s="801"/>
      <c r="H7730" s="801" t="s">
        <v>13678</v>
      </c>
      <c r="I7730" s="801"/>
      <c r="J7730" s="801" t="s">
        <v>12705</v>
      </c>
      <c r="K7730" s="801"/>
      <c r="L7730" s="801"/>
    </row>
    <row r="7731" spans="1:12" ht="30" customHeight="1">
      <c r="A7731" s="626" t="s">
        <v>12709</v>
      </c>
      <c r="B7731" s="627" t="s">
        <v>12998</v>
      </c>
      <c r="C7731" s="626" t="s">
        <v>8</v>
      </c>
      <c r="D7731" s="626" t="s">
        <v>11861</v>
      </c>
      <c r="E7731" s="628" t="s">
        <v>23</v>
      </c>
      <c r="F7731" s="816" t="s">
        <v>13683</v>
      </c>
      <c r="G7731" s="816"/>
      <c r="H7731" s="816">
        <v>2.9533946000000002</v>
      </c>
      <c r="I7731" s="816"/>
      <c r="J7731" s="817">
        <v>2.0969000000000002</v>
      </c>
      <c r="K7731" s="817"/>
      <c r="L7731" s="817"/>
    </row>
    <row r="7732" spans="1:12" ht="36" customHeight="1">
      <c r="A7732" s="636"/>
      <c r="B7732" s="636"/>
      <c r="C7732" s="636"/>
      <c r="D7732" s="636"/>
      <c r="E7732" s="636"/>
      <c r="F7732" s="636"/>
      <c r="G7732" s="636"/>
      <c r="H7732" s="636"/>
      <c r="I7732" s="636"/>
      <c r="J7732" s="636" t="s">
        <v>13675</v>
      </c>
      <c r="K7732" s="636"/>
      <c r="L7732" s="636" t="s">
        <v>13978</v>
      </c>
    </row>
    <row r="7733" spans="1:12" ht="14.25" customHeight="1">
      <c r="A7733" s="802" t="s">
        <v>12713</v>
      </c>
      <c r="B7733" s="802"/>
      <c r="C7733" s="802"/>
      <c r="D7733" s="802"/>
      <c r="E7733" s="802"/>
      <c r="F7733" s="802"/>
      <c r="G7733" s="802"/>
      <c r="H7733" s="802"/>
      <c r="I7733" s="612"/>
      <c r="J7733" s="612"/>
      <c r="K7733" s="612"/>
      <c r="L7733" s="612"/>
    </row>
    <row r="7734" spans="1:12" ht="17.100000000000001" customHeight="1">
      <c r="A7734" s="612" t="s">
        <v>13679</v>
      </c>
      <c r="B7734" s="636" t="s">
        <v>12698</v>
      </c>
      <c r="C7734" s="612" t="s">
        <v>12699</v>
      </c>
      <c r="D7734" s="612" t="s">
        <v>12700</v>
      </c>
      <c r="E7734" s="637" t="s">
        <v>12702</v>
      </c>
      <c r="F7734" s="801" t="s">
        <v>12704</v>
      </c>
      <c r="G7734" s="801"/>
      <c r="H7734" s="801" t="s">
        <v>13678</v>
      </c>
      <c r="I7734" s="801"/>
      <c r="J7734" s="801" t="s">
        <v>12705</v>
      </c>
      <c r="K7734" s="801"/>
      <c r="L7734" s="801"/>
    </row>
    <row r="7735" spans="1:12" ht="24" customHeight="1">
      <c r="A7735" s="626" t="s">
        <v>12709</v>
      </c>
      <c r="B7735" s="627" t="s">
        <v>12999</v>
      </c>
      <c r="C7735" s="626" t="s">
        <v>8</v>
      </c>
      <c r="D7735" s="626" t="s">
        <v>11251</v>
      </c>
      <c r="E7735" s="628" t="s">
        <v>23</v>
      </c>
      <c r="F7735" s="816" t="s">
        <v>13681</v>
      </c>
      <c r="G7735" s="816"/>
      <c r="H7735" s="816">
        <v>2.9533946000000002</v>
      </c>
      <c r="I7735" s="816"/>
      <c r="J7735" s="817">
        <v>0.20669999999999999</v>
      </c>
      <c r="K7735" s="817"/>
      <c r="L7735" s="817"/>
    </row>
    <row r="7736" spans="1:12" ht="24" customHeight="1">
      <c r="A7736" s="636"/>
      <c r="B7736" s="636"/>
      <c r="C7736" s="636"/>
      <c r="D7736" s="636"/>
      <c r="E7736" s="636"/>
      <c r="F7736" s="636"/>
      <c r="G7736" s="636"/>
      <c r="H7736" s="636"/>
      <c r="I7736" s="636"/>
      <c r="J7736" s="636" t="s">
        <v>13675</v>
      </c>
      <c r="K7736" s="636"/>
      <c r="L7736" s="636" t="s">
        <v>13775</v>
      </c>
    </row>
    <row r="7737" spans="1:12" ht="17.100000000000001" customHeight="1">
      <c r="A7737" s="802" t="s">
        <v>12712</v>
      </c>
      <c r="B7737" s="802"/>
      <c r="C7737" s="802"/>
      <c r="D7737" s="802"/>
      <c r="E7737" s="802"/>
      <c r="F7737" s="802"/>
      <c r="G7737" s="802"/>
      <c r="H7737" s="802"/>
      <c r="I7737" s="612"/>
      <c r="J7737" s="612"/>
      <c r="K7737" s="612"/>
      <c r="L7737" s="612"/>
    </row>
    <row r="7738" spans="1:12" ht="14.25" customHeight="1">
      <c r="A7738" s="612" t="s">
        <v>13679</v>
      </c>
      <c r="B7738" s="636" t="s">
        <v>12698</v>
      </c>
      <c r="C7738" s="612" t="s">
        <v>12699</v>
      </c>
      <c r="D7738" s="612" t="s">
        <v>12700</v>
      </c>
      <c r="E7738" s="637" t="s">
        <v>12702</v>
      </c>
      <c r="F7738" s="801" t="s">
        <v>12704</v>
      </c>
      <c r="G7738" s="801"/>
      <c r="H7738" s="801" t="s">
        <v>13678</v>
      </c>
      <c r="I7738" s="801"/>
      <c r="J7738" s="801" t="s">
        <v>12705</v>
      </c>
      <c r="K7738" s="801"/>
      <c r="L7738" s="801"/>
    </row>
    <row r="7739" spans="1:12" ht="17.100000000000001" customHeight="1">
      <c r="A7739" s="626" t="s">
        <v>12709</v>
      </c>
      <c r="B7739" s="627" t="s">
        <v>13002</v>
      </c>
      <c r="C7739" s="626" t="s">
        <v>8</v>
      </c>
      <c r="D7739" s="626" t="s">
        <v>9306</v>
      </c>
      <c r="E7739" s="628" t="s">
        <v>23</v>
      </c>
      <c r="F7739" s="816" t="s">
        <v>13677</v>
      </c>
      <c r="G7739" s="816"/>
      <c r="H7739" s="816">
        <v>2.9533946000000002</v>
      </c>
      <c r="I7739" s="816"/>
      <c r="J7739" s="817">
        <v>1.0337000000000001</v>
      </c>
      <c r="K7739" s="817"/>
      <c r="L7739" s="817"/>
    </row>
    <row r="7740" spans="1:12" ht="24" customHeight="1">
      <c r="A7740" s="626" t="s">
        <v>12709</v>
      </c>
      <c r="B7740" s="627" t="s">
        <v>13004</v>
      </c>
      <c r="C7740" s="626" t="s">
        <v>8</v>
      </c>
      <c r="D7740" s="626" t="s">
        <v>7388</v>
      </c>
      <c r="E7740" s="628" t="s">
        <v>23</v>
      </c>
      <c r="F7740" s="816" t="s">
        <v>13676</v>
      </c>
      <c r="G7740" s="816"/>
      <c r="H7740" s="816">
        <v>2.9533946000000002</v>
      </c>
      <c r="I7740" s="816"/>
      <c r="J7740" s="817">
        <v>6.4974999999999996</v>
      </c>
      <c r="K7740" s="817"/>
      <c r="L7740" s="817"/>
    </row>
    <row r="7741" spans="1:12" ht="24" customHeight="1">
      <c r="A7741" s="636"/>
      <c r="B7741" s="636"/>
      <c r="C7741" s="636"/>
      <c r="D7741" s="636"/>
      <c r="E7741" s="636"/>
      <c r="F7741" s="636"/>
      <c r="G7741" s="636"/>
      <c r="H7741" s="636"/>
      <c r="I7741" s="636"/>
      <c r="J7741" s="636" t="s">
        <v>13675</v>
      </c>
      <c r="K7741" s="636"/>
      <c r="L7741" s="636" t="s">
        <v>13977</v>
      </c>
    </row>
    <row r="7742" spans="1:12" ht="17.100000000000001" customHeight="1">
      <c r="A7742" s="612" t="s">
        <v>13673</v>
      </c>
      <c r="B7742" s="612"/>
      <c r="C7742" s="612"/>
      <c r="D7742" s="612"/>
      <c r="E7742" s="612"/>
      <c r="F7742" s="612"/>
      <c r="G7742" s="612"/>
      <c r="H7742" s="612"/>
      <c r="I7742" s="612"/>
      <c r="J7742" s="612"/>
      <c r="K7742" s="612"/>
      <c r="L7742" s="612"/>
    </row>
    <row r="7743" spans="1:12">
      <c r="A7743" s="636"/>
      <c r="B7743" s="636"/>
      <c r="C7743" s="636"/>
      <c r="D7743" s="636"/>
      <c r="E7743" s="636"/>
      <c r="F7743" s="636"/>
      <c r="G7743" s="636"/>
      <c r="H7743" s="636"/>
      <c r="I7743" s="636"/>
      <c r="J7743" s="636" t="s">
        <v>13672</v>
      </c>
      <c r="K7743" s="636"/>
      <c r="L7743" s="636" t="s">
        <v>15471</v>
      </c>
    </row>
    <row r="7744" spans="1:12" ht="17.100000000000001" customHeight="1">
      <c r="A7744" s="636"/>
      <c r="B7744" s="636"/>
      <c r="C7744" s="636"/>
      <c r="D7744" s="636"/>
      <c r="E7744" s="636"/>
      <c r="F7744" s="636"/>
      <c r="G7744" s="636"/>
      <c r="H7744" s="636"/>
      <c r="I7744" s="636"/>
      <c r="J7744" s="636" t="s">
        <v>13671</v>
      </c>
      <c r="K7744" s="636" t="s">
        <v>14461</v>
      </c>
      <c r="L7744" s="636" t="s">
        <v>15401</v>
      </c>
    </row>
    <row r="7745" spans="1:12" ht="24" customHeight="1">
      <c r="A7745" s="636"/>
      <c r="B7745" s="636"/>
      <c r="C7745" s="636"/>
      <c r="D7745" s="636"/>
      <c r="E7745" s="636"/>
      <c r="F7745" s="636"/>
      <c r="G7745" s="636"/>
      <c r="H7745" s="636"/>
      <c r="I7745" s="636"/>
      <c r="J7745" s="636" t="s">
        <v>13670</v>
      </c>
      <c r="K7745" s="636"/>
      <c r="L7745" s="636" t="s">
        <v>15472</v>
      </c>
    </row>
    <row r="7746" spans="1:12" ht="24" customHeight="1">
      <c r="A7746" s="636"/>
      <c r="B7746" s="636"/>
      <c r="C7746" s="636"/>
      <c r="D7746" s="636"/>
      <c r="E7746" s="636"/>
      <c r="F7746" s="636"/>
      <c r="G7746" s="636"/>
      <c r="H7746" s="636"/>
      <c r="I7746" s="636"/>
      <c r="J7746" s="636" t="s">
        <v>13669</v>
      </c>
      <c r="K7746" s="636" t="s">
        <v>13667</v>
      </c>
      <c r="L7746" s="636" t="s">
        <v>15473</v>
      </c>
    </row>
    <row r="7747" spans="1:12" ht="24" customHeight="1">
      <c r="A7747" s="636"/>
      <c r="B7747" s="636"/>
      <c r="C7747" s="636"/>
      <c r="D7747" s="636"/>
      <c r="E7747" s="636"/>
      <c r="F7747" s="636"/>
      <c r="G7747" s="636"/>
      <c r="H7747" s="636"/>
      <c r="I7747" s="636"/>
      <c r="J7747" s="636" t="s">
        <v>13668</v>
      </c>
      <c r="K7747" s="636"/>
      <c r="L7747" s="636" t="s">
        <v>15474</v>
      </c>
    </row>
    <row r="7748" spans="1:12" ht="17.100000000000001" customHeight="1">
      <c r="A7748" s="637"/>
      <c r="B7748" s="637"/>
      <c r="C7748" s="637"/>
      <c r="D7748" s="637"/>
      <c r="E7748" s="637"/>
      <c r="F7748" s="637"/>
      <c r="G7748" s="637"/>
      <c r="H7748" s="637"/>
      <c r="I7748" s="637"/>
      <c r="J7748" s="637"/>
      <c r="K7748" s="637"/>
      <c r="L7748" s="637"/>
    </row>
    <row r="7749" spans="1:12" ht="63.75">
      <c r="A7749" s="616" t="s">
        <v>13976</v>
      </c>
      <c r="B7749" s="617" t="s">
        <v>13460</v>
      </c>
      <c r="C7749" s="616" t="s">
        <v>8</v>
      </c>
      <c r="D7749" s="616" t="s">
        <v>6934</v>
      </c>
      <c r="E7749" s="618" t="s">
        <v>35</v>
      </c>
      <c r="F7749" s="617"/>
      <c r="G7749" s="617"/>
      <c r="H7749" s="617"/>
      <c r="I7749" s="617"/>
      <c r="J7749" s="617"/>
      <c r="K7749" s="617"/>
      <c r="L7749" s="617"/>
    </row>
    <row r="7750" spans="1:12" ht="17.100000000000001" customHeight="1">
      <c r="A7750" s="802" t="s">
        <v>12711</v>
      </c>
      <c r="B7750" s="802"/>
      <c r="C7750" s="802"/>
      <c r="D7750" s="802"/>
      <c r="E7750" s="802"/>
      <c r="F7750" s="802"/>
      <c r="G7750" s="802"/>
      <c r="H7750" s="802"/>
      <c r="I7750" s="612"/>
      <c r="J7750" s="612"/>
      <c r="K7750" s="612"/>
      <c r="L7750" s="612"/>
    </row>
    <row r="7751" spans="1:12" ht="24" customHeight="1">
      <c r="A7751" s="612" t="s">
        <v>13679</v>
      </c>
      <c r="B7751" s="636" t="s">
        <v>12698</v>
      </c>
      <c r="C7751" s="612" t="s">
        <v>12699</v>
      </c>
      <c r="D7751" s="612" t="s">
        <v>12700</v>
      </c>
      <c r="E7751" s="637" t="s">
        <v>12702</v>
      </c>
      <c r="F7751" s="801" t="s">
        <v>12704</v>
      </c>
      <c r="G7751" s="801"/>
      <c r="H7751" s="801" t="s">
        <v>13678</v>
      </c>
      <c r="I7751" s="801"/>
      <c r="J7751" s="801" t="s">
        <v>12705</v>
      </c>
      <c r="K7751" s="801"/>
      <c r="L7751" s="801"/>
    </row>
    <row r="7752" spans="1:12" ht="17.100000000000001" customHeight="1">
      <c r="A7752" s="626" t="s">
        <v>12709</v>
      </c>
      <c r="B7752" s="627" t="s">
        <v>13201</v>
      </c>
      <c r="C7752" s="626" t="s">
        <v>8</v>
      </c>
      <c r="D7752" s="626" t="s">
        <v>9221</v>
      </c>
      <c r="E7752" s="628" t="s">
        <v>23</v>
      </c>
      <c r="F7752" s="816" t="s">
        <v>13705</v>
      </c>
      <c r="G7752" s="816"/>
      <c r="H7752" s="816">
        <v>2.1622728000000002</v>
      </c>
      <c r="I7752" s="816"/>
      <c r="J7752" s="817">
        <v>1.7947</v>
      </c>
      <c r="K7752" s="817"/>
      <c r="L7752" s="817"/>
    </row>
    <row r="7753" spans="1:12" ht="25.5">
      <c r="A7753" s="626" t="s">
        <v>12709</v>
      </c>
      <c r="B7753" s="627" t="s">
        <v>13200</v>
      </c>
      <c r="C7753" s="626" t="s">
        <v>8</v>
      </c>
      <c r="D7753" s="626" t="s">
        <v>9368</v>
      </c>
      <c r="E7753" s="628" t="s">
        <v>23</v>
      </c>
      <c r="F7753" s="816" t="s">
        <v>13704</v>
      </c>
      <c r="G7753" s="816"/>
      <c r="H7753" s="816">
        <v>2.1622728000000002</v>
      </c>
      <c r="I7753" s="816"/>
      <c r="J7753" s="817">
        <v>0.51890000000000003</v>
      </c>
      <c r="K7753" s="817"/>
      <c r="L7753" s="817"/>
    </row>
    <row r="7754" spans="1:12" ht="17.100000000000001" customHeight="1">
      <c r="A7754" s="626" t="s">
        <v>12709</v>
      </c>
      <c r="B7754" s="627" t="s">
        <v>13048</v>
      </c>
      <c r="C7754" s="626" t="s">
        <v>8</v>
      </c>
      <c r="D7754" s="626" t="s">
        <v>9233</v>
      </c>
      <c r="E7754" s="628" t="s">
        <v>23</v>
      </c>
      <c r="F7754" s="816" t="s">
        <v>13690</v>
      </c>
      <c r="G7754" s="816"/>
      <c r="H7754" s="816">
        <v>0.87096819999999997</v>
      </c>
      <c r="I7754" s="816"/>
      <c r="J7754" s="817">
        <v>0.88839999999999997</v>
      </c>
      <c r="K7754" s="817"/>
      <c r="L7754" s="817"/>
    </row>
    <row r="7755" spans="1:12" ht="24" customHeight="1">
      <c r="A7755" s="626" t="s">
        <v>12709</v>
      </c>
      <c r="B7755" s="627" t="s">
        <v>13047</v>
      </c>
      <c r="C7755" s="626" t="s">
        <v>8</v>
      </c>
      <c r="D7755" s="626" t="s">
        <v>9380</v>
      </c>
      <c r="E7755" s="628" t="s">
        <v>23</v>
      </c>
      <c r="F7755" s="816" t="s">
        <v>13689</v>
      </c>
      <c r="G7755" s="816"/>
      <c r="H7755" s="816">
        <v>0.87096819999999997</v>
      </c>
      <c r="I7755" s="816"/>
      <c r="J7755" s="817">
        <v>0.33100000000000002</v>
      </c>
      <c r="K7755" s="817"/>
      <c r="L7755" s="817"/>
    </row>
    <row r="7756" spans="1:12" ht="17.100000000000001" customHeight="1">
      <c r="A7756" s="636"/>
      <c r="B7756" s="636"/>
      <c r="C7756" s="636"/>
      <c r="D7756" s="636"/>
      <c r="E7756" s="636"/>
      <c r="F7756" s="636"/>
      <c r="G7756" s="636"/>
      <c r="H7756" s="636"/>
      <c r="I7756" s="636"/>
      <c r="J7756" s="636" t="s">
        <v>13675</v>
      </c>
      <c r="K7756" s="636"/>
      <c r="L7756" s="636" t="s">
        <v>13975</v>
      </c>
    </row>
    <row r="7757" spans="1:12">
      <c r="A7757" s="802" t="s">
        <v>12710</v>
      </c>
      <c r="B7757" s="802"/>
      <c r="C7757" s="802"/>
      <c r="D7757" s="802"/>
      <c r="E7757" s="802"/>
      <c r="F7757" s="802"/>
      <c r="G7757" s="802"/>
      <c r="H7757" s="802"/>
      <c r="I7757" s="612"/>
      <c r="J7757" s="612"/>
      <c r="K7757" s="612"/>
      <c r="L7757" s="612"/>
    </row>
    <row r="7758" spans="1:12" ht="17.100000000000001" customHeight="1">
      <c r="A7758" s="612" t="s">
        <v>13679</v>
      </c>
      <c r="B7758" s="636" t="s">
        <v>12698</v>
      </c>
      <c r="C7758" s="612" t="s">
        <v>12699</v>
      </c>
      <c r="D7758" s="612" t="s">
        <v>12700</v>
      </c>
      <c r="E7758" s="637" t="s">
        <v>12702</v>
      </c>
      <c r="F7758" s="801" t="s">
        <v>12704</v>
      </c>
      <c r="G7758" s="801"/>
      <c r="H7758" s="801" t="s">
        <v>13678</v>
      </c>
      <c r="I7758" s="801"/>
      <c r="J7758" s="801" t="s">
        <v>12705</v>
      </c>
      <c r="K7758" s="801"/>
      <c r="L7758" s="801"/>
    </row>
    <row r="7759" spans="1:12" ht="24" customHeight="1">
      <c r="A7759" s="626" t="s">
        <v>12709</v>
      </c>
      <c r="B7759" s="627" t="s">
        <v>13202</v>
      </c>
      <c r="C7759" s="626" t="s">
        <v>8</v>
      </c>
      <c r="D7759" s="626" t="s">
        <v>9187</v>
      </c>
      <c r="E7759" s="628" t="s">
        <v>23</v>
      </c>
      <c r="F7759" s="816" t="s">
        <v>14479</v>
      </c>
      <c r="G7759" s="816"/>
      <c r="H7759" s="816">
        <v>2.1864457000000002</v>
      </c>
      <c r="I7759" s="816"/>
      <c r="J7759" s="817">
        <v>15.633100000000001</v>
      </c>
      <c r="K7759" s="817"/>
      <c r="L7759" s="817"/>
    </row>
    <row r="7760" spans="1:12" ht="24" customHeight="1">
      <c r="A7760" s="626" t="s">
        <v>12709</v>
      </c>
      <c r="B7760" s="627" t="s">
        <v>13046</v>
      </c>
      <c r="C7760" s="626" t="s">
        <v>8</v>
      </c>
      <c r="D7760" s="626" t="s">
        <v>11281</v>
      </c>
      <c r="E7760" s="628" t="s">
        <v>23</v>
      </c>
      <c r="F7760" s="816" t="s">
        <v>13731</v>
      </c>
      <c r="G7760" s="816"/>
      <c r="H7760" s="816">
        <v>0.88261889999999998</v>
      </c>
      <c r="I7760" s="816"/>
      <c r="J7760" s="817">
        <v>4.5366999999999997</v>
      </c>
      <c r="K7760" s="817"/>
      <c r="L7760" s="817"/>
    </row>
    <row r="7761" spans="1:12" ht="17.100000000000001" customHeight="1">
      <c r="A7761" s="636"/>
      <c r="B7761" s="636"/>
      <c r="C7761" s="636"/>
      <c r="D7761" s="636"/>
      <c r="E7761" s="636"/>
      <c r="F7761" s="636"/>
      <c r="G7761" s="636"/>
      <c r="H7761" s="636"/>
      <c r="I7761" s="636"/>
      <c r="J7761" s="636" t="s">
        <v>13675</v>
      </c>
      <c r="K7761" s="636"/>
      <c r="L7761" s="636" t="s">
        <v>14622</v>
      </c>
    </row>
    <row r="7762" spans="1:12" ht="17.100000000000001" customHeight="1">
      <c r="A7762" s="802" t="s">
        <v>12720</v>
      </c>
      <c r="B7762" s="802"/>
      <c r="C7762" s="802"/>
      <c r="D7762" s="802"/>
      <c r="E7762" s="802"/>
      <c r="F7762" s="802"/>
      <c r="G7762" s="802"/>
      <c r="H7762" s="802"/>
      <c r="I7762" s="612"/>
      <c r="J7762" s="612"/>
      <c r="K7762" s="612"/>
      <c r="L7762" s="612"/>
    </row>
    <row r="7763" spans="1:12" ht="17.100000000000001" customHeight="1">
      <c r="A7763" s="612" t="s">
        <v>13679</v>
      </c>
      <c r="B7763" s="636" t="s">
        <v>12698</v>
      </c>
      <c r="C7763" s="612" t="s">
        <v>12699</v>
      </c>
      <c r="D7763" s="612" t="s">
        <v>12700</v>
      </c>
      <c r="E7763" s="637" t="s">
        <v>12702</v>
      </c>
      <c r="F7763" s="801" t="s">
        <v>12704</v>
      </c>
      <c r="G7763" s="801"/>
      <c r="H7763" s="801" t="s">
        <v>13678</v>
      </c>
      <c r="I7763" s="801"/>
      <c r="J7763" s="801" t="s">
        <v>12705</v>
      </c>
      <c r="K7763" s="801"/>
      <c r="L7763" s="801"/>
    </row>
    <row r="7764" spans="1:12" ht="17.100000000000001" customHeight="1">
      <c r="A7764" s="626" t="s">
        <v>12709</v>
      </c>
      <c r="B7764" s="627" t="s">
        <v>12980</v>
      </c>
      <c r="C7764" s="626" t="s">
        <v>8</v>
      </c>
      <c r="D7764" s="626" t="s">
        <v>9425</v>
      </c>
      <c r="E7764" s="628" t="s">
        <v>35</v>
      </c>
      <c r="F7764" s="816" t="s">
        <v>14614</v>
      </c>
      <c r="G7764" s="816"/>
      <c r="H7764" s="816">
        <v>0.1231814</v>
      </c>
      <c r="I7764" s="816"/>
      <c r="J7764" s="817">
        <v>0.50009999999999999</v>
      </c>
      <c r="K7764" s="817"/>
      <c r="L7764" s="817"/>
    </row>
    <row r="7765" spans="1:12" ht="17.100000000000001" customHeight="1">
      <c r="A7765" s="626" t="s">
        <v>12709</v>
      </c>
      <c r="B7765" s="627" t="s">
        <v>12985</v>
      </c>
      <c r="C7765" s="626" t="s">
        <v>8</v>
      </c>
      <c r="D7765" s="626" t="s">
        <v>12312</v>
      </c>
      <c r="E7765" s="628" t="s">
        <v>35</v>
      </c>
      <c r="F7765" s="816" t="s">
        <v>13974</v>
      </c>
      <c r="G7765" s="816"/>
      <c r="H7765" s="816">
        <v>0.99984870000000003</v>
      </c>
      <c r="I7765" s="816"/>
      <c r="J7765" s="817">
        <v>21.456800000000001</v>
      </c>
      <c r="K7765" s="817"/>
      <c r="L7765" s="817"/>
    </row>
    <row r="7766" spans="1:12" ht="17.100000000000001" customHeight="1">
      <c r="A7766" s="626" t="s">
        <v>12709</v>
      </c>
      <c r="B7766" s="627" t="s">
        <v>13042</v>
      </c>
      <c r="C7766" s="626" t="s">
        <v>8</v>
      </c>
      <c r="D7766" s="626" t="s">
        <v>11286</v>
      </c>
      <c r="E7766" s="628" t="s">
        <v>35</v>
      </c>
      <c r="F7766" s="816" t="s">
        <v>14621</v>
      </c>
      <c r="G7766" s="816"/>
      <c r="H7766" s="816">
        <v>0.99984870000000003</v>
      </c>
      <c r="I7766" s="816"/>
      <c r="J7766" s="817">
        <v>149.35740000000001</v>
      </c>
      <c r="K7766" s="817"/>
      <c r="L7766" s="817"/>
    </row>
    <row r="7767" spans="1:12" ht="17.100000000000001" customHeight="1">
      <c r="A7767" s="626" t="s">
        <v>12709</v>
      </c>
      <c r="B7767" s="627" t="s">
        <v>13198</v>
      </c>
      <c r="C7767" s="626" t="s">
        <v>8</v>
      </c>
      <c r="D7767" s="626" t="s">
        <v>9195</v>
      </c>
      <c r="E7767" s="628" t="s">
        <v>35</v>
      </c>
      <c r="F7767" s="816" t="s">
        <v>14620</v>
      </c>
      <c r="G7767" s="816"/>
      <c r="H7767" s="816">
        <v>0.99984870000000003</v>
      </c>
      <c r="I7767" s="816"/>
      <c r="J7767" s="817">
        <v>37.484299999999998</v>
      </c>
      <c r="K7767" s="817"/>
      <c r="L7767" s="817"/>
    </row>
    <row r="7768" spans="1:12" ht="30" customHeight="1">
      <c r="A7768" s="626" t="s">
        <v>12709</v>
      </c>
      <c r="B7768" s="627" t="s">
        <v>13151</v>
      </c>
      <c r="C7768" s="626" t="s">
        <v>8</v>
      </c>
      <c r="D7768" s="626" t="s">
        <v>9968</v>
      </c>
      <c r="E7768" s="628" t="s">
        <v>35</v>
      </c>
      <c r="F7768" s="816" t="s">
        <v>14619</v>
      </c>
      <c r="G7768" s="816"/>
      <c r="H7768" s="816">
        <v>0.99984870000000003</v>
      </c>
      <c r="I7768" s="816"/>
      <c r="J7768" s="817">
        <v>156.09639999999999</v>
      </c>
      <c r="K7768" s="817"/>
      <c r="L7768" s="817"/>
    </row>
    <row r="7769" spans="1:12" ht="36" customHeight="1">
      <c r="A7769" s="626" t="s">
        <v>12709</v>
      </c>
      <c r="B7769" s="627" t="s">
        <v>13037</v>
      </c>
      <c r="C7769" s="626" t="s">
        <v>8</v>
      </c>
      <c r="D7769" s="626" t="s">
        <v>10652</v>
      </c>
      <c r="E7769" s="628" t="s">
        <v>35</v>
      </c>
      <c r="F7769" s="816" t="s">
        <v>13973</v>
      </c>
      <c r="G7769" s="816"/>
      <c r="H7769" s="816">
        <v>5.9990921999999998</v>
      </c>
      <c r="I7769" s="816"/>
      <c r="J7769" s="817">
        <v>69.289500000000004</v>
      </c>
      <c r="K7769" s="817"/>
      <c r="L7769" s="817"/>
    </row>
    <row r="7770" spans="1:12" ht="14.25" customHeight="1">
      <c r="A7770" s="626" t="s">
        <v>12709</v>
      </c>
      <c r="B7770" s="627" t="s">
        <v>13036</v>
      </c>
      <c r="C7770" s="626" t="s">
        <v>8</v>
      </c>
      <c r="D7770" s="626" t="s">
        <v>11174</v>
      </c>
      <c r="E7770" s="628" t="s">
        <v>20</v>
      </c>
      <c r="F7770" s="816" t="s">
        <v>14618</v>
      </c>
      <c r="G7770" s="816"/>
      <c r="H7770" s="816">
        <v>8.6586899999999994E-2</v>
      </c>
      <c r="I7770" s="816"/>
      <c r="J7770" s="817">
        <v>4.9865000000000004</v>
      </c>
      <c r="K7770" s="817"/>
      <c r="L7770" s="817"/>
    </row>
    <row r="7771" spans="1:12" ht="17.100000000000001" customHeight="1">
      <c r="A7771" s="626" t="s">
        <v>12709</v>
      </c>
      <c r="B7771" s="627" t="s">
        <v>13019</v>
      </c>
      <c r="C7771" s="626" t="s">
        <v>8</v>
      </c>
      <c r="D7771" s="626" t="s">
        <v>11822</v>
      </c>
      <c r="E7771" s="628" t="s">
        <v>35</v>
      </c>
      <c r="F7771" s="816" t="s">
        <v>13972</v>
      </c>
      <c r="G7771" s="816"/>
      <c r="H7771" s="816">
        <v>0.99984870000000003</v>
      </c>
      <c r="I7771" s="816"/>
      <c r="J7771" s="817">
        <v>81.687600000000003</v>
      </c>
      <c r="K7771" s="817"/>
      <c r="L7771" s="817"/>
    </row>
    <row r="7772" spans="1:12" ht="24" customHeight="1">
      <c r="A7772" s="636"/>
      <c r="B7772" s="636"/>
      <c r="C7772" s="636"/>
      <c r="D7772" s="636"/>
      <c r="E7772" s="636"/>
      <c r="F7772" s="636"/>
      <c r="G7772" s="636"/>
      <c r="H7772" s="636"/>
      <c r="I7772" s="636"/>
      <c r="J7772" s="636" t="s">
        <v>13675</v>
      </c>
      <c r="K7772" s="636"/>
      <c r="L7772" s="636" t="s">
        <v>14617</v>
      </c>
    </row>
    <row r="7773" spans="1:12" ht="24" customHeight="1">
      <c r="A7773" s="802" t="s">
        <v>12722</v>
      </c>
      <c r="B7773" s="802"/>
      <c r="C7773" s="802"/>
      <c r="D7773" s="802"/>
      <c r="E7773" s="802"/>
      <c r="F7773" s="802"/>
      <c r="G7773" s="802"/>
      <c r="H7773" s="802"/>
      <c r="I7773" s="612"/>
      <c r="J7773" s="612"/>
      <c r="K7773" s="612"/>
      <c r="L7773" s="612"/>
    </row>
    <row r="7774" spans="1:12" ht="17.100000000000001" customHeight="1">
      <c r="A7774" s="612" t="s">
        <v>13679</v>
      </c>
      <c r="B7774" s="636" t="s">
        <v>12698</v>
      </c>
      <c r="C7774" s="612" t="s">
        <v>12699</v>
      </c>
      <c r="D7774" s="612" t="s">
        <v>12700</v>
      </c>
      <c r="E7774" s="637" t="s">
        <v>12702</v>
      </c>
      <c r="F7774" s="801" t="s">
        <v>12704</v>
      </c>
      <c r="G7774" s="801"/>
      <c r="H7774" s="801" t="s">
        <v>13678</v>
      </c>
      <c r="I7774" s="801"/>
      <c r="J7774" s="801" t="s">
        <v>12705</v>
      </c>
      <c r="K7774" s="801"/>
      <c r="L7774" s="801"/>
    </row>
    <row r="7775" spans="1:12" ht="14.25" customHeight="1">
      <c r="A7775" s="626" t="s">
        <v>12709</v>
      </c>
      <c r="B7775" s="627" t="s">
        <v>12998</v>
      </c>
      <c r="C7775" s="626" t="s">
        <v>8</v>
      </c>
      <c r="D7775" s="626" t="s">
        <v>11861</v>
      </c>
      <c r="E7775" s="628" t="s">
        <v>23</v>
      </c>
      <c r="F7775" s="816" t="s">
        <v>13683</v>
      </c>
      <c r="G7775" s="816"/>
      <c r="H7775" s="816">
        <v>3.0332409999999999</v>
      </c>
      <c r="I7775" s="816"/>
      <c r="J7775" s="817">
        <v>2.1536</v>
      </c>
      <c r="K7775" s="817"/>
      <c r="L7775" s="817"/>
    </row>
    <row r="7776" spans="1:12" ht="17.100000000000001" customHeight="1">
      <c r="A7776" s="636"/>
      <c r="B7776" s="636"/>
      <c r="C7776" s="636"/>
      <c r="D7776" s="636"/>
      <c r="E7776" s="636"/>
      <c r="F7776" s="636"/>
      <c r="G7776" s="636"/>
      <c r="H7776" s="636"/>
      <c r="I7776" s="636"/>
      <c r="J7776" s="636" t="s">
        <v>13675</v>
      </c>
      <c r="K7776" s="636"/>
      <c r="L7776" s="636" t="s">
        <v>13971</v>
      </c>
    </row>
    <row r="7777" spans="1:12" ht="24" customHeight="1">
      <c r="A7777" s="802" t="s">
        <v>12713</v>
      </c>
      <c r="B7777" s="802"/>
      <c r="C7777" s="802"/>
      <c r="D7777" s="802"/>
      <c r="E7777" s="802"/>
      <c r="F7777" s="802"/>
      <c r="G7777" s="802"/>
      <c r="H7777" s="802"/>
      <c r="I7777" s="612"/>
      <c r="J7777" s="612"/>
      <c r="K7777" s="612"/>
      <c r="L7777" s="612"/>
    </row>
    <row r="7778" spans="1:12" ht="24" customHeight="1">
      <c r="A7778" s="612" t="s">
        <v>13679</v>
      </c>
      <c r="B7778" s="636" t="s">
        <v>12698</v>
      </c>
      <c r="C7778" s="612" t="s">
        <v>12699</v>
      </c>
      <c r="D7778" s="612" t="s">
        <v>12700</v>
      </c>
      <c r="E7778" s="637" t="s">
        <v>12702</v>
      </c>
      <c r="F7778" s="801" t="s">
        <v>12704</v>
      </c>
      <c r="G7778" s="801"/>
      <c r="H7778" s="801" t="s">
        <v>13678</v>
      </c>
      <c r="I7778" s="801"/>
      <c r="J7778" s="801" t="s">
        <v>12705</v>
      </c>
      <c r="K7778" s="801"/>
      <c r="L7778" s="801"/>
    </row>
    <row r="7779" spans="1:12" ht="17.100000000000001" customHeight="1">
      <c r="A7779" s="626" t="s">
        <v>12709</v>
      </c>
      <c r="B7779" s="627" t="s">
        <v>12999</v>
      </c>
      <c r="C7779" s="626" t="s">
        <v>8</v>
      </c>
      <c r="D7779" s="626" t="s">
        <v>11251</v>
      </c>
      <c r="E7779" s="628" t="s">
        <v>23</v>
      </c>
      <c r="F7779" s="816" t="s">
        <v>13681</v>
      </c>
      <c r="G7779" s="816"/>
      <c r="H7779" s="816">
        <v>3.0332409999999999</v>
      </c>
      <c r="I7779" s="816"/>
      <c r="J7779" s="817">
        <v>0.21229999999999999</v>
      </c>
      <c r="K7779" s="817"/>
      <c r="L7779" s="817"/>
    </row>
    <row r="7780" spans="1:12">
      <c r="A7780" s="636"/>
      <c r="B7780" s="636"/>
      <c r="C7780" s="636"/>
      <c r="D7780" s="636"/>
      <c r="E7780" s="636"/>
      <c r="F7780" s="636"/>
      <c r="G7780" s="636"/>
      <c r="H7780" s="636"/>
      <c r="I7780" s="636"/>
      <c r="J7780" s="636" t="s">
        <v>13675</v>
      </c>
      <c r="K7780" s="636"/>
      <c r="L7780" s="636" t="s">
        <v>13775</v>
      </c>
    </row>
    <row r="7781" spans="1:12" ht="17.100000000000001" customHeight="1">
      <c r="A7781" s="802" t="s">
        <v>12712</v>
      </c>
      <c r="B7781" s="802"/>
      <c r="C7781" s="802"/>
      <c r="D7781" s="802"/>
      <c r="E7781" s="802"/>
      <c r="F7781" s="802"/>
      <c r="G7781" s="802"/>
      <c r="H7781" s="802"/>
      <c r="I7781" s="612"/>
      <c r="J7781" s="612"/>
      <c r="K7781" s="612"/>
      <c r="L7781" s="612"/>
    </row>
    <row r="7782" spans="1:12" ht="24" customHeight="1">
      <c r="A7782" s="612" t="s">
        <v>13679</v>
      </c>
      <c r="B7782" s="636" t="s">
        <v>12698</v>
      </c>
      <c r="C7782" s="612" t="s">
        <v>12699</v>
      </c>
      <c r="D7782" s="612" t="s">
        <v>12700</v>
      </c>
      <c r="E7782" s="637" t="s">
        <v>12702</v>
      </c>
      <c r="F7782" s="801" t="s">
        <v>12704</v>
      </c>
      <c r="G7782" s="801"/>
      <c r="H7782" s="801" t="s">
        <v>13678</v>
      </c>
      <c r="I7782" s="801"/>
      <c r="J7782" s="801" t="s">
        <v>12705</v>
      </c>
      <c r="K7782" s="801"/>
      <c r="L7782" s="801"/>
    </row>
    <row r="7783" spans="1:12" ht="24" customHeight="1">
      <c r="A7783" s="626" t="s">
        <v>12709</v>
      </c>
      <c r="B7783" s="627" t="s">
        <v>13002</v>
      </c>
      <c r="C7783" s="626" t="s">
        <v>8</v>
      </c>
      <c r="D7783" s="626" t="s">
        <v>9306</v>
      </c>
      <c r="E7783" s="628" t="s">
        <v>23</v>
      </c>
      <c r="F7783" s="816" t="s">
        <v>13677</v>
      </c>
      <c r="G7783" s="816"/>
      <c r="H7783" s="816">
        <v>3.0332409999999999</v>
      </c>
      <c r="I7783" s="816"/>
      <c r="J7783" s="817">
        <v>1.0616000000000001</v>
      </c>
      <c r="K7783" s="817"/>
      <c r="L7783" s="817"/>
    </row>
    <row r="7784" spans="1:12" ht="24" customHeight="1">
      <c r="A7784" s="626" t="s">
        <v>12709</v>
      </c>
      <c r="B7784" s="627" t="s">
        <v>13004</v>
      </c>
      <c r="C7784" s="626" t="s">
        <v>8</v>
      </c>
      <c r="D7784" s="626" t="s">
        <v>7388</v>
      </c>
      <c r="E7784" s="628" t="s">
        <v>23</v>
      </c>
      <c r="F7784" s="816" t="s">
        <v>13676</v>
      </c>
      <c r="G7784" s="816"/>
      <c r="H7784" s="816">
        <v>3.0332409999999999</v>
      </c>
      <c r="I7784" s="816"/>
      <c r="J7784" s="817">
        <v>6.6730999999999998</v>
      </c>
      <c r="K7784" s="817"/>
      <c r="L7784" s="817"/>
    </row>
    <row r="7785" spans="1:12" ht="17.100000000000001" customHeight="1">
      <c r="A7785" s="636"/>
      <c r="B7785" s="636"/>
      <c r="C7785" s="636"/>
      <c r="D7785" s="636"/>
      <c r="E7785" s="636"/>
      <c r="F7785" s="636"/>
      <c r="G7785" s="636"/>
      <c r="H7785" s="636"/>
      <c r="I7785" s="636"/>
      <c r="J7785" s="636" t="s">
        <v>13675</v>
      </c>
      <c r="K7785" s="636"/>
      <c r="L7785" s="636" t="s">
        <v>13970</v>
      </c>
    </row>
    <row r="7786" spans="1:12">
      <c r="A7786" s="612" t="s">
        <v>13673</v>
      </c>
      <c r="B7786" s="612"/>
      <c r="C7786" s="612"/>
      <c r="D7786" s="612"/>
      <c r="E7786" s="612"/>
      <c r="F7786" s="612"/>
      <c r="G7786" s="612"/>
      <c r="H7786" s="612"/>
      <c r="I7786" s="612"/>
      <c r="J7786" s="612"/>
      <c r="K7786" s="612"/>
      <c r="L7786" s="612"/>
    </row>
    <row r="7787" spans="1:12" ht="17.100000000000001" customHeight="1">
      <c r="A7787" s="636"/>
      <c r="B7787" s="636"/>
      <c r="C7787" s="636"/>
      <c r="D7787" s="636"/>
      <c r="E7787" s="636"/>
      <c r="F7787" s="636"/>
      <c r="G7787" s="636"/>
      <c r="H7787" s="636"/>
      <c r="I7787" s="636"/>
      <c r="J7787" s="636" t="s">
        <v>13672</v>
      </c>
      <c r="K7787" s="636"/>
      <c r="L7787" s="636" t="s">
        <v>15455</v>
      </c>
    </row>
    <row r="7788" spans="1:12" ht="24" customHeight="1">
      <c r="A7788" s="636"/>
      <c r="B7788" s="636"/>
      <c r="C7788" s="636"/>
      <c r="D7788" s="636"/>
      <c r="E7788" s="636"/>
      <c r="F7788" s="636"/>
      <c r="G7788" s="636"/>
      <c r="H7788" s="636"/>
      <c r="I7788" s="636"/>
      <c r="J7788" s="636" t="s">
        <v>13671</v>
      </c>
      <c r="K7788" s="636" t="s">
        <v>14461</v>
      </c>
      <c r="L7788" s="636" t="s">
        <v>15456</v>
      </c>
    </row>
    <row r="7789" spans="1:12" ht="17.100000000000001" customHeight="1">
      <c r="A7789" s="636"/>
      <c r="B7789" s="636"/>
      <c r="C7789" s="636"/>
      <c r="D7789" s="636"/>
      <c r="E7789" s="636"/>
      <c r="F7789" s="636"/>
      <c r="G7789" s="636"/>
      <c r="H7789" s="636"/>
      <c r="I7789" s="636"/>
      <c r="J7789" s="636" t="s">
        <v>13670</v>
      </c>
      <c r="K7789" s="636"/>
      <c r="L7789" s="636" t="s">
        <v>15457</v>
      </c>
    </row>
    <row r="7790" spans="1:12">
      <c r="A7790" s="636"/>
      <c r="B7790" s="636"/>
      <c r="C7790" s="636"/>
      <c r="D7790" s="636"/>
      <c r="E7790" s="636"/>
      <c r="F7790" s="636"/>
      <c r="G7790" s="636"/>
      <c r="H7790" s="636"/>
      <c r="I7790" s="636"/>
      <c r="J7790" s="636" t="s">
        <v>13669</v>
      </c>
      <c r="K7790" s="636" t="s">
        <v>13667</v>
      </c>
      <c r="L7790" s="636" t="s">
        <v>15458</v>
      </c>
    </row>
    <row r="7791" spans="1:12" ht="17.100000000000001" customHeight="1">
      <c r="A7791" s="636"/>
      <c r="B7791" s="636"/>
      <c r="C7791" s="636"/>
      <c r="D7791" s="636"/>
      <c r="E7791" s="636"/>
      <c r="F7791" s="636"/>
      <c r="G7791" s="636"/>
      <c r="H7791" s="636"/>
      <c r="I7791" s="636"/>
      <c r="J7791" s="636" t="s">
        <v>13668</v>
      </c>
      <c r="K7791" s="636"/>
      <c r="L7791" s="636" t="s">
        <v>15459</v>
      </c>
    </row>
    <row r="7792" spans="1:12" ht="24" customHeight="1">
      <c r="A7792" s="637"/>
      <c r="B7792" s="637"/>
      <c r="C7792" s="637"/>
      <c r="D7792" s="637"/>
      <c r="E7792" s="637"/>
      <c r="F7792" s="637"/>
      <c r="G7792" s="637"/>
      <c r="H7792" s="637"/>
      <c r="I7792" s="637"/>
      <c r="J7792" s="637"/>
      <c r="K7792" s="637"/>
      <c r="L7792" s="637"/>
    </row>
    <row r="7793" spans="1:12" ht="17.100000000000001" customHeight="1">
      <c r="A7793" s="616" t="s">
        <v>13969</v>
      </c>
      <c r="B7793" s="617" t="s">
        <v>13455</v>
      </c>
      <c r="C7793" s="616" t="s">
        <v>8</v>
      </c>
      <c r="D7793" s="616" t="s">
        <v>6906</v>
      </c>
      <c r="E7793" s="618" t="s">
        <v>35</v>
      </c>
      <c r="F7793" s="617"/>
      <c r="G7793" s="617"/>
      <c r="H7793" s="617"/>
      <c r="I7793" s="617"/>
      <c r="J7793" s="617"/>
      <c r="K7793" s="617"/>
      <c r="L7793" s="617"/>
    </row>
    <row r="7794" spans="1:12">
      <c r="A7794" s="802" t="s">
        <v>12711</v>
      </c>
      <c r="B7794" s="802"/>
      <c r="C7794" s="802"/>
      <c r="D7794" s="802"/>
      <c r="E7794" s="802"/>
      <c r="F7794" s="802"/>
      <c r="G7794" s="802"/>
      <c r="H7794" s="802"/>
      <c r="I7794" s="612"/>
      <c r="J7794" s="612"/>
      <c r="K7794" s="612"/>
      <c r="L7794" s="612"/>
    </row>
    <row r="7795" spans="1:12" ht="17.100000000000001" customHeight="1">
      <c r="A7795" s="612" t="s">
        <v>13679</v>
      </c>
      <c r="B7795" s="636" t="s">
        <v>12698</v>
      </c>
      <c r="C7795" s="612" t="s">
        <v>12699</v>
      </c>
      <c r="D7795" s="612" t="s">
        <v>12700</v>
      </c>
      <c r="E7795" s="637" t="s">
        <v>12702</v>
      </c>
      <c r="F7795" s="801" t="s">
        <v>12704</v>
      </c>
      <c r="G7795" s="801"/>
      <c r="H7795" s="801" t="s">
        <v>13678</v>
      </c>
      <c r="I7795" s="801"/>
      <c r="J7795" s="801" t="s">
        <v>12705</v>
      </c>
      <c r="K7795" s="801"/>
      <c r="L7795" s="801"/>
    </row>
    <row r="7796" spans="1:12" ht="24" customHeight="1">
      <c r="A7796" s="626" t="s">
        <v>12709</v>
      </c>
      <c r="B7796" s="627" t="s">
        <v>13201</v>
      </c>
      <c r="C7796" s="626" t="s">
        <v>8</v>
      </c>
      <c r="D7796" s="626" t="s">
        <v>9221</v>
      </c>
      <c r="E7796" s="628" t="s">
        <v>23</v>
      </c>
      <c r="F7796" s="816" t="s">
        <v>13705</v>
      </c>
      <c r="G7796" s="816"/>
      <c r="H7796" s="816">
        <v>0.11547590000000001</v>
      </c>
      <c r="I7796" s="816"/>
      <c r="J7796" s="817">
        <v>9.5799999999999996E-2</v>
      </c>
      <c r="K7796" s="817"/>
      <c r="L7796" s="817"/>
    </row>
    <row r="7797" spans="1:12" ht="24" customHeight="1">
      <c r="A7797" s="626" t="s">
        <v>12709</v>
      </c>
      <c r="B7797" s="627" t="s">
        <v>13200</v>
      </c>
      <c r="C7797" s="626" t="s">
        <v>8</v>
      </c>
      <c r="D7797" s="626" t="s">
        <v>9368</v>
      </c>
      <c r="E7797" s="628" t="s">
        <v>23</v>
      </c>
      <c r="F7797" s="816" t="s">
        <v>13704</v>
      </c>
      <c r="G7797" s="816"/>
      <c r="H7797" s="816">
        <v>0.11547590000000001</v>
      </c>
      <c r="I7797" s="816"/>
      <c r="J7797" s="817">
        <v>2.7699999999999999E-2</v>
      </c>
      <c r="K7797" s="817"/>
      <c r="L7797" s="817"/>
    </row>
    <row r="7798" spans="1:12" ht="17.100000000000001" customHeight="1">
      <c r="A7798" s="626" t="s">
        <v>12709</v>
      </c>
      <c r="B7798" s="627" t="s">
        <v>13048</v>
      </c>
      <c r="C7798" s="626" t="s">
        <v>8</v>
      </c>
      <c r="D7798" s="626" t="s">
        <v>9233</v>
      </c>
      <c r="E7798" s="628" t="s">
        <v>23</v>
      </c>
      <c r="F7798" s="816" t="s">
        <v>13690</v>
      </c>
      <c r="G7798" s="816"/>
      <c r="H7798" s="816">
        <v>3.6408599999999999E-2</v>
      </c>
      <c r="I7798" s="816"/>
      <c r="J7798" s="817">
        <v>3.7100000000000001E-2</v>
      </c>
      <c r="K7798" s="817"/>
      <c r="L7798" s="817"/>
    </row>
    <row r="7799" spans="1:12" ht="17.100000000000001" customHeight="1">
      <c r="A7799" s="626" t="s">
        <v>12709</v>
      </c>
      <c r="B7799" s="627" t="s">
        <v>13047</v>
      </c>
      <c r="C7799" s="626" t="s">
        <v>8</v>
      </c>
      <c r="D7799" s="626" t="s">
        <v>9380</v>
      </c>
      <c r="E7799" s="628" t="s">
        <v>23</v>
      </c>
      <c r="F7799" s="816" t="s">
        <v>13689</v>
      </c>
      <c r="G7799" s="816"/>
      <c r="H7799" s="816">
        <v>3.6408599999999999E-2</v>
      </c>
      <c r="I7799" s="816"/>
      <c r="J7799" s="817">
        <v>1.38E-2</v>
      </c>
      <c r="K7799" s="817"/>
      <c r="L7799" s="817"/>
    </row>
    <row r="7800" spans="1:12" ht="17.100000000000001" customHeight="1">
      <c r="A7800" s="636"/>
      <c r="B7800" s="636"/>
      <c r="C7800" s="636"/>
      <c r="D7800" s="636"/>
      <c r="E7800" s="636"/>
      <c r="F7800" s="636"/>
      <c r="G7800" s="636"/>
      <c r="H7800" s="636"/>
      <c r="I7800" s="636"/>
      <c r="J7800" s="636" t="s">
        <v>13675</v>
      </c>
      <c r="K7800" s="636"/>
      <c r="L7800" s="636" t="s">
        <v>13832</v>
      </c>
    </row>
    <row r="7801" spans="1:12" ht="17.100000000000001" customHeight="1">
      <c r="A7801" s="802" t="s">
        <v>12710</v>
      </c>
      <c r="B7801" s="802"/>
      <c r="C7801" s="802"/>
      <c r="D7801" s="802"/>
      <c r="E7801" s="802"/>
      <c r="F7801" s="802"/>
      <c r="G7801" s="802"/>
      <c r="H7801" s="802"/>
      <c r="I7801" s="612"/>
      <c r="J7801" s="612"/>
      <c r="K7801" s="612"/>
      <c r="L7801" s="612"/>
    </row>
    <row r="7802" spans="1:12" ht="17.100000000000001" customHeight="1">
      <c r="A7802" s="612" t="s">
        <v>13679</v>
      </c>
      <c r="B7802" s="636" t="s">
        <v>12698</v>
      </c>
      <c r="C7802" s="612" t="s">
        <v>12699</v>
      </c>
      <c r="D7802" s="612" t="s">
        <v>12700</v>
      </c>
      <c r="E7802" s="637" t="s">
        <v>12702</v>
      </c>
      <c r="F7802" s="801" t="s">
        <v>12704</v>
      </c>
      <c r="G7802" s="801"/>
      <c r="H7802" s="801" t="s">
        <v>13678</v>
      </c>
      <c r="I7802" s="801"/>
      <c r="J7802" s="801" t="s">
        <v>12705</v>
      </c>
      <c r="K7802" s="801"/>
      <c r="L7802" s="801"/>
    </row>
    <row r="7803" spans="1:12" ht="17.100000000000001" customHeight="1">
      <c r="A7803" s="626" t="s">
        <v>12709</v>
      </c>
      <c r="B7803" s="627" t="s">
        <v>13202</v>
      </c>
      <c r="C7803" s="626" t="s">
        <v>8</v>
      </c>
      <c r="D7803" s="626" t="s">
        <v>9187</v>
      </c>
      <c r="E7803" s="628" t="s">
        <v>23</v>
      </c>
      <c r="F7803" s="816" t="s">
        <v>14479</v>
      </c>
      <c r="G7803" s="816"/>
      <c r="H7803" s="816">
        <v>0.1170645</v>
      </c>
      <c r="I7803" s="816"/>
      <c r="J7803" s="817">
        <v>0.83699999999999997</v>
      </c>
      <c r="K7803" s="817"/>
      <c r="L7803" s="817"/>
    </row>
    <row r="7804" spans="1:12" ht="17.100000000000001" customHeight="1">
      <c r="A7804" s="626" t="s">
        <v>12709</v>
      </c>
      <c r="B7804" s="627" t="s">
        <v>13046</v>
      </c>
      <c r="C7804" s="626" t="s">
        <v>8</v>
      </c>
      <c r="D7804" s="626" t="s">
        <v>11281</v>
      </c>
      <c r="E7804" s="628" t="s">
        <v>23</v>
      </c>
      <c r="F7804" s="816" t="s">
        <v>13731</v>
      </c>
      <c r="G7804" s="816"/>
      <c r="H7804" s="816">
        <v>3.69897E-2</v>
      </c>
      <c r="I7804" s="816"/>
      <c r="J7804" s="817">
        <v>0.19009999999999999</v>
      </c>
      <c r="K7804" s="817"/>
      <c r="L7804" s="817"/>
    </row>
    <row r="7805" spans="1:12" ht="30" customHeight="1">
      <c r="A7805" s="636"/>
      <c r="B7805" s="636"/>
      <c r="C7805" s="636"/>
      <c r="D7805" s="636"/>
      <c r="E7805" s="636"/>
      <c r="F7805" s="636"/>
      <c r="G7805" s="636"/>
      <c r="H7805" s="636"/>
      <c r="I7805" s="636"/>
      <c r="J7805" s="636" t="s">
        <v>13675</v>
      </c>
      <c r="K7805" s="636"/>
      <c r="L7805" s="636" t="s">
        <v>14170</v>
      </c>
    </row>
    <row r="7806" spans="1:12" ht="36" customHeight="1">
      <c r="A7806" s="802" t="s">
        <v>12720</v>
      </c>
      <c r="B7806" s="802"/>
      <c r="C7806" s="802"/>
      <c r="D7806" s="802"/>
      <c r="E7806" s="802"/>
      <c r="F7806" s="802"/>
      <c r="G7806" s="802"/>
      <c r="H7806" s="802"/>
      <c r="I7806" s="612"/>
      <c r="J7806" s="612"/>
      <c r="K7806" s="612"/>
      <c r="L7806" s="612"/>
    </row>
    <row r="7807" spans="1:12" ht="14.25" customHeight="1">
      <c r="A7807" s="612" t="s">
        <v>13679</v>
      </c>
      <c r="B7807" s="636" t="s">
        <v>12698</v>
      </c>
      <c r="C7807" s="612" t="s">
        <v>12699</v>
      </c>
      <c r="D7807" s="612" t="s">
        <v>12700</v>
      </c>
      <c r="E7807" s="637" t="s">
        <v>12702</v>
      </c>
      <c r="F7807" s="801" t="s">
        <v>12704</v>
      </c>
      <c r="G7807" s="801"/>
      <c r="H7807" s="801" t="s">
        <v>13678</v>
      </c>
      <c r="I7807" s="801"/>
      <c r="J7807" s="801" t="s">
        <v>12705</v>
      </c>
      <c r="K7807" s="801"/>
      <c r="L7807" s="801"/>
    </row>
    <row r="7808" spans="1:12" ht="17.100000000000001" customHeight="1">
      <c r="A7808" s="626" t="s">
        <v>12709</v>
      </c>
      <c r="B7808" s="627" t="s">
        <v>12980</v>
      </c>
      <c r="C7808" s="626" t="s">
        <v>8</v>
      </c>
      <c r="D7808" s="626" t="s">
        <v>9425</v>
      </c>
      <c r="E7808" s="628" t="s">
        <v>35</v>
      </c>
      <c r="F7808" s="816" t="s">
        <v>14614</v>
      </c>
      <c r="G7808" s="816"/>
      <c r="H7808" s="816">
        <v>2.1000000000000001E-2</v>
      </c>
      <c r="I7808" s="816"/>
      <c r="J7808" s="817">
        <v>0.08</v>
      </c>
      <c r="K7808" s="817"/>
      <c r="L7808" s="817"/>
    </row>
    <row r="7809" spans="1:12" ht="24" customHeight="1">
      <c r="A7809" s="626" t="s">
        <v>12709</v>
      </c>
      <c r="B7809" s="627" t="s">
        <v>13454</v>
      </c>
      <c r="C7809" s="626" t="s">
        <v>8</v>
      </c>
      <c r="D7809" s="626" t="s">
        <v>11825</v>
      </c>
      <c r="E7809" s="628" t="s">
        <v>35</v>
      </c>
      <c r="F7809" s="816" t="s">
        <v>13968</v>
      </c>
      <c r="G7809" s="816"/>
      <c r="H7809" s="816">
        <v>1</v>
      </c>
      <c r="I7809" s="816"/>
      <c r="J7809" s="817">
        <v>91.41</v>
      </c>
      <c r="K7809" s="817"/>
      <c r="L7809" s="817"/>
    </row>
    <row r="7810" spans="1:12" ht="24" customHeight="1">
      <c r="A7810" s="636"/>
      <c r="B7810" s="636"/>
      <c r="C7810" s="636"/>
      <c r="D7810" s="636"/>
      <c r="E7810" s="636"/>
      <c r="F7810" s="636"/>
      <c r="G7810" s="636"/>
      <c r="H7810" s="636"/>
      <c r="I7810" s="636"/>
      <c r="J7810" s="636" t="s">
        <v>13675</v>
      </c>
      <c r="K7810" s="636"/>
      <c r="L7810" s="636" t="s">
        <v>14616</v>
      </c>
    </row>
    <row r="7811" spans="1:12" ht="17.100000000000001" customHeight="1">
      <c r="A7811" s="802" t="s">
        <v>12722</v>
      </c>
      <c r="B7811" s="802"/>
      <c r="C7811" s="802"/>
      <c r="D7811" s="802"/>
      <c r="E7811" s="802"/>
      <c r="F7811" s="802"/>
      <c r="G7811" s="802"/>
      <c r="H7811" s="802"/>
      <c r="I7811" s="612"/>
      <c r="J7811" s="612"/>
      <c r="K7811" s="612"/>
      <c r="L7811" s="612"/>
    </row>
    <row r="7812" spans="1:12" ht="14.25" customHeight="1">
      <c r="A7812" s="612" t="s">
        <v>13679</v>
      </c>
      <c r="B7812" s="636" t="s">
        <v>12698</v>
      </c>
      <c r="C7812" s="612" t="s">
        <v>12699</v>
      </c>
      <c r="D7812" s="612" t="s">
        <v>12700</v>
      </c>
      <c r="E7812" s="637" t="s">
        <v>12702</v>
      </c>
      <c r="F7812" s="801" t="s">
        <v>12704</v>
      </c>
      <c r="G7812" s="801"/>
      <c r="H7812" s="801" t="s">
        <v>13678</v>
      </c>
      <c r="I7812" s="801"/>
      <c r="J7812" s="801" t="s">
        <v>12705</v>
      </c>
      <c r="K7812" s="801"/>
      <c r="L7812" s="801"/>
    </row>
    <row r="7813" spans="1:12" ht="17.100000000000001" customHeight="1">
      <c r="A7813" s="626" t="s">
        <v>12709</v>
      </c>
      <c r="B7813" s="627" t="s">
        <v>12998</v>
      </c>
      <c r="C7813" s="626" t="s">
        <v>8</v>
      </c>
      <c r="D7813" s="626" t="s">
        <v>11861</v>
      </c>
      <c r="E7813" s="628" t="s">
        <v>23</v>
      </c>
      <c r="F7813" s="816" t="s">
        <v>13683</v>
      </c>
      <c r="G7813" s="816"/>
      <c r="H7813" s="816">
        <v>0.15188450000000001</v>
      </c>
      <c r="I7813" s="816"/>
      <c r="J7813" s="817">
        <v>0.10780000000000001</v>
      </c>
      <c r="K7813" s="817"/>
      <c r="L7813" s="817"/>
    </row>
    <row r="7814" spans="1:12" ht="24" customHeight="1">
      <c r="A7814" s="636"/>
      <c r="B7814" s="636"/>
      <c r="C7814" s="636"/>
      <c r="D7814" s="636"/>
      <c r="E7814" s="636"/>
      <c r="F7814" s="636"/>
      <c r="G7814" s="636"/>
      <c r="H7814" s="636"/>
      <c r="I7814" s="636"/>
      <c r="J7814" s="636" t="s">
        <v>13675</v>
      </c>
      <c r="K7814" s="636"/>
      <c r="L7814" s="636" t="s">
        <v>13785</v>
      </c>
    </row>
    <row r="7815" spans="1:12" ht="24" customHeight="1">
      <c r="A7815" s="802" t="s">
        <v>12713</v>
      </c>
      <c r="B7815" s="802"/>
      <c r="C7815" s="802"/>
      <c r="D7815" s="802"/>
      <c r="E7815" s="802"/>
      <c r="F7815" s="802"/>
      <c r="G7815" s="802"/>
      <c r="H7815" s="802"/>
      <c r="I7815" s="612"/>
      <c r="J7815" s="612"/>
      <c r="K7815" s="612"/>
      <c r="L7815" s="612"/>
    </row>
    <row r="7816" spans="1:12" ht="17.100000000000001" customHeight="1">
      <c r="A7816" s="612" t="s">
        <v>13679</v>
      </c>
      <c r="B7816" s="636" t="s">
        <v>12698</v>
      </c>
      <c r="C7816" s="612" t="s">
        <v>12699</v>
      </c>
      <c r="D7816" s="612" t="s">
        <v>12700</v>
      </c>
      <c r="E7816" s="637" t="s">
        <v>12702</v>
      </c>
      <c r="F7816" s="801" t="s">
        <v>12704</v>
      </c>
      <c r="G7816" s="801"/>
      <c r="H7816" s="801" t="s">
        <v>13678</v>
      </c>
      <c r="I7816" s="801"/>
      <c r="J7816" s="801" t="s">
        <v>12705</v>
      </c>
      <c r="K7816" s="801"/>
      <c r="L7816" s="801"/>
    </row>
    <row r="7817" spans="1:12" ht="25.5">
      <c r="A7817" s="626" t="s">
        <v>12709</v>
      </c>
      <c r="B7817" s="627" t="s">
        <v>12999</v>
      </c>
      <c r="C7817" s="626" t="s">
        <v>8</v>
      </c>
      <c r="D7817" s="626" t="s">
        <v>11251</v>
      </c>
      <c r="E7817" s="628" t="s">
        <v>23</v>
      </c>
      <c r="F7817" s="816" t="s">
        <v>13681</v>
      </c>
      <c r="G7817" s="816"/>
      <c r="H7817" s="816">
        <v>0.15188450000000001</v>
      </c>
      <c r="I7817" s="816"/>
      <c r="J7817" s="817">
        <v>1.06E-2</v>
      </c>
      <c r="K7817" s="817"/>
      <c r="L7817" s="817"/>
    </row>
    <row r="7818" spans="1:12" ht="17.100000000000001" customHeight="1">
      <c r="A7818" s="636"/>
      <c r="B7818" s="636"/>
      <c r="C7818" s="636"/>
      <c r="D7818" s="636"/>
      <c r="E7818" s="636"/>
      <c r="F7818" s="636"/>
      <c r="G7818" s="636"/>
      <c r="H7818" s="636"/>
      <c r="I7818" s="636"/>
      <c r="J7818" s="636" t="s">
        <v>13675</v>
      </c>
      <c r="K7818" s="636"/>
      <c r="L7818" s="636" t="s">
        <v>13728</v>
      </c>
    </row>
    <row r="7819" spans="1:12" ht="24" customHeight="1">
      <c r="A7819" s="802" t="s">
        <v>12712</v>
      </c>
      <c r="B7819" s="802"/>
      <c r="C7819" s="802"/>
      <c r="D7819" s="802"/>
      <c r="E7819" s="802"/>
      <c r="F7819" s="802"/>
      <c r="G7819" s="802"/>
      <c r="H7819" s="802"/>
      <c r="I7819" s="612"/>
      <c r="J7819" s="612"/>
      <c r="K7819" s="612"/>
      <c r="L7819" s="612"/>
    </row>
    <row r="7820" spans="1:12" ht="24" customHeight="1">
      <c r="A7820" s="612" t="s">
        <v>13679</v>
      </c>
      <c r="B7820" s="636" t="s">
        <v>12698</v>
      </c>
      <c r="C7820" s="612" t="s">
        <v>12699</v>
      </c>
      <c r="D7820" s="612" t="s">
        <v>12700</v>
      </c>
      <c r="E7820" s="637" t="s">
        <v>12702</v>
      </c>
      <c r="F7820" s="801" t="s">
        <v>12704</v>
      </c>
      <c r="G7820" s="801"/>
      <c r="H7820" s="801" t="s">
        <v>13678</v>
      </c>
      <c r="I7820" s="801"/>
      <c r="J7820" s="801" t="s">
        <v>12705</v>
      </c>
      <c r="K7820" s="801"/>
      <c r="L7820" s="801"/>
    </row>
    <row r="7821" spans="1:12" ht="24" customHeight="1">
      <c r="A7821" s="626" t="s">
        <v>12709</v>
      </c>
      <c r="B7821" s="627" t="s">
        <v>13002</v>
      </c>
      <c r="C7821" s="626" t="s">
        <v>8</v>
      </c>
      <c r="D7821" s="626" t="s">
        <v>9306</v>
      </c>
      <c r="E7821" s="628" t="s">
        <v>23</v>
      </c>
      <c r="F7821" s="816" t="s">
        <v>13677</v>
      </c>
      <c r="G7821" s="816"/>
      <c r="H7821" s="816">
        <v>0.15188450000000001</v>
      </c>
      <c r="I7821" s="816"/>
      <c r="J7821" s="817">
        <v>5.3199999999999997E-2</v>
      </c>
      <c r="K7821" s="817"/>
      <c r="L7821" s="817"/>
    </row>
    <row r="7822" spans="1:12" ht="17.100000000000001" customHeight="1">
      <c r="A7822" s="626" t="s">
        <v>12709</v>
      </c>
      <c r="B7822" s="627" t="s">
        <v>13004</v>
      </c>
      <c r="C7822" s="626" t="s">
        <v>8</v>
      </c>
      <c r="D7822" s="626" t="s">
        <v>7388</v>
      </c>
      <c r="E7822" s="628" t="s">
        <v>23</v>
      </c>
      <c r="F7822" s="816" t="s">
        <v>13676</v>
      </c>
      <c r="G7822" s="816"/>
      <c r="H7822" s="816">
        <v>0.15188450000000001</v>
      </c>
      <c r="I7822" s="816"/>
      <c r="J7822" s="817">
        <v>0.33410000000000001</v>
      </c>
      <c r="K7822" s="817"/>
      <c r="L7822" s="817"/>
    </row>
    <row r="7823" spans="1:12">
      <c r="A7823" s="636"/>
      <c r="B7823" s="636"/>
      <c r="C7823" s="636"/>
      <c r="D7823" s="636"/>
      <c r="E7823" s="636"/>
      <c r="F7823" s="636"/>
      <c r="G7823" s="636"/>
      <c r="H7823" s="636"/>
      <c r="I7823" s="636"/>
      <c r="J7823" s="636" t="s">
        <v>13675</v>
      </c>
      <c r="K7823" s="636"/>
      <c r="L7823" s="636" t="s">
        <v>13784</v>
      </c>
    </row>
    <row r="7824" spans="1:12" ht="17.100000000000001" customHeight="1">
      <c r="A7824" s="612" t="s">
        <v>13673</v>
      </c>
      <c r="B7824" s="612"/>
      <c r="C7824" s="612"/>
      <c r="D7824" s="612"/>
      <c r="E7824" s="612"/>
      <c r="F7824" s="612"/>
      <c r="G7824" s="612"/>
      <c r="H7824" s="612"/>
      <c r="I7824" s="612"/>
      <c r="J7824" s="612"/>
      <c r="K7824" s="612"/>
      <c r="L7824" s="612"/>
    </row>
    <row r="7825" spans="1:12" ht="24" customHeight="1">
      <c r="A7825" s="636"/>
      <c r="B7825" s="636"/>
      <c r="C7825" s="636"/>
      <c r="D7825" s="636"/>
      <c r="E7825" s="636"/>
      <c r="F7825" s="636"/>
      <c r="G7825" s="636"/>
      <c r="H7825" s="636"/>
      <c r="I7825" s="636"/>
      <c r="J7825" s="636" t="s">
        <v>13672</v>
      </c>
      <c r="K7825" s="636"/>
      <c r="L7825" s="636" t="s">
        <v>15475</v>
      </c>
    </row>
    <row r="7826" spans="1:12" ht="17.100000000000001" customHeight="1">
      <c r="A7826" s="636"/>
      <c r="B7826" s="636"/>
      <c r="C7826" s="636"/>
      <c r="D7826" s="636"/>
      <c r="E7826" s="636"/>
      <c r="F7826" s="636"/>
      <c r="G7826" s="636"/>
      <c r="H7826" s="636"/>
      <c r="I7826" s="636"/>
      <c r="J7826" s="636" t="s">
        <v>13671</v>
      </c>
      <c r="K7826" s="636" t="s">
        <v>14461</v>
      </c>
      <c r="L7826" s="636" t="s">
        <v>15476</v>
      </c>
    </row>
    <row r="7827" spans="1:12">
      <c r="A7827" s="636"/>
      <c r="B7827" s="636"/>
      <c r="C7827" s="636"/>
      <c r="D7827" s="636"/>
      <c r="E7827" s="636"/>
      <c r="F7827" s="636"/>
      <c r="G7827" s="636"/>
      <c r="H7827" s="636"/>
      <c r="I7827" s="636"/>
      <c r="J7827" s="636" t="s">
        <v>13670</v>
      </c>
      <c r="K7827" s="636"/>
      <c r="L7827" s="636" t="s">
        <v>15477</v>
      </c>
    </row>
    <row r="7828" spans="1:12" ht="17.100000000000001" customHeight="1">
      <c r="A7828" s="636"/>
      <c r="B7828" s="636"/>
      <c r="C7828" s="636"/>
      <c r="D7828" s="636"/>
      <c r="E7828" s="636"/>
      <c r="F7828" s="636"/>
      <c r="G7828" s="636"/>
      <c r="H7828" s="636"/>
      <c r="I7828" s="636"/>
      <c r="J7828" s="636" t="s">
        <v>13669</v>
      </c>
      <c r="K7828" s="636" t="s">
        <v>13667</v>
      </c>
      <c r="L7828" s="636" t="s">
        <v>15478</v>
      </c>
    </row>
    <row r="7829" spans="1:12" ht="24" customHeight="1">
      <c r="A7829" s="636"/>
      <c r="B7829" s="636"/>
      <c r="C7829" s="636"/>
      <c r="D7829" s="636"/>
      <c r="E7829" s="636"/>
      <c r="F7829" s="636"/>
      <c r="G7829" s="636"/>
      <c r="H7829" s="636"/>
      <c r="I7829" s="636"/>
      <c r="J7829" s="636" t="s">
        <v>13668</v>
      </c>
      <c r="K7829" s="636"/>
      <c r="L7829" s="636" t="s">
        <v>15479</v>
      </c>
    </row>
    <row r="7830" spans="1:12" ht="17.100000000000001" customHeight="1">
      <c r="A7830" s="637"/>
      <c r="B7830" s="637"/>
      <c r="C7830" s="637"/>
      <c r="D7830" s="637"/>
      <c r="E7830" s="637"/>
      <c r="F7830" s="637"/>
      <c r="G7830" s="637"/>
      <c r="H7830" s="637"/>
      <c r="I7830" s="637"/>
      <c r="J7830" s="637"/>
      <c r="K7830" s="637"/>
      <c r="L7830" s="637"/>
    </row>
    <row r="7831" spans="1:12" ht="38.25">
      <c r="A7831" s="616" t="s">
        <v>13967</v>
      </c>
      <c r="B7831" s="617" t="s">
        <v>13453</v>
      </c>
      <c r="C7831" s="616" t="s">
        <v>8</v>
      </c>
      <c r="D7831" s="616" t="s">
        <v>6928</v>
      </c>
      <c r="E7831" s="618" t="s">
        <v>35</v>
      </c>
      <c r="F7831" s="617"/>
      <c r="G7831" s="617"/>
      <c r="H7831" s="617"/>
      <c r="I7831" s="617"/>
      <c r="J7831" s="617"/>
      <c r="K7831" s="617"/>
      <c r="L7831" s="617"/>
    </row>
    <row r="7832" spans="1:12" ht="17.100000000000001" customHeight="1">
      <c r="A7832" s="802" t="s">
        <v>12711</v>
      </c>
      <c r="B7832" s="802"/>
      <c r="C7832" s="802"/>
      <c r="D7832" s="802"/>
      <c r="E7832" s="802"/>
      <c r="F7832" s="802"/>
      <c r="G7832" s="802"/>
      <c r="H7832" s="802"/>
      <c r="I7832" s="612"/>
      <c r="J7832" s="612"/>
      <c r="K7832" s="612"/>
      <c r="L7832" s="612"/>
    </row>
    <row r="7833" spans="1:12" ht="24" customHeight="1">
      <c r="A7833" s="612" t="s">
        <v>13679</v>
      </c>
      <c r="B7833" s="636" t="s">
        <v>12698</v>
      </c>
      <c r="C7833" s="612" t="s">
        <v>12699</v>
      </c>
      <c r="D7833" s="612" t="s">
        <v>12700</v>
      </c>
      <c r="E7833" s="637" t="s">
        <v>12702</v>
      </c>
      <c r="F7833" s="801" t="s">
        <v>12704</v>
      </c>
      <c r="G7833" s="801"/>
      <c r="H7833" s="801" t="s">
        <v>13678</v>
      </c>
      <c r="I7833" s="801"/>
      <c r="J7833" s="801" t="s">
        <v>12705</v>
      </c>
      <c r="K7833" s="801"/>
      <c r="L7833" s="801"/>
    </row>
    <row r="7834" spans="1:12" ht="24" customHeight="1">
      <c r="A7834" s="626" t="s">
        <v>12709</v>
      </c>
      <c r="B7834" s="627" t="s">
        <v>13201</v>
      </c>
      <c r="C7834" s="626" t="s">
        <v>8</v>
      </c>
      <c r="D7834" s="626" t="s">
        <v>9221</v>
      </c>
      <c r="E7834" s="628" t="s">
        <v>23</v>
      </c>
      <c r="F7834" s="816" t="s">
        <v>13705</v>
      </c>
      <c r="G7834" s="816"/>
      <c r="H7834" s="816">
        <v>0.25844879999999998</v>
      </c>
      <c r="I7834" s="816"/>
      <c r="J7834" s="817">
        <v>0.2145</v>
      </c>
      <c r="K7834" s="817"/>
      <c r="L7834" s="817"/>
    </row>
    <row r="7835" spans="1:12" ht="17.100000000000001" customHeight="1">
      <c r="A7835" s="626" t="s">
        <v>12709</v>
      </c>
      <c r="B7835" s="627" t="s">
        <v>13200</v>
      </c>
      <c r="C7835" s="626" t="s">
        <v>8</v>
      </c>
      <c r="D7835" s="626" t="s">
        <v>9368</v>
      </c>
      <c r="E7835" s="628" t="s">
        <v>23</v>
      </c>
      <c r="F7835" s="816" t="s">
        <v>13704</v>
      </c>
      <c r="G7835" s="816"/>
      <c r="H7835" s="816">
        <v>0.25844879999999998</v>
      </c>
      <c r="I7835" s="816"/>
      <c r="J7835" s="817">
        <v>6.2E-2</v>
      </c>
      <c r="K7835" s="817"/>
      <c r="L7835" s="817"/>
    </row>
    <row r="7836" spans="1:12" ht="17.100000000000001" customHeight="1">
      <c r="A7836" s="626" t="s">
        <v>12709</v>
      </c>
      <c r="B7836" s="627" t="s">
        <v>13048</v>
      </c>
      <c r="C7836" s="626" t="s">
        <v>8</v>
      </c>
      <c r="D7836" s="626" t="s">
        <v>9233</v>
      </c>
      <c r="E7836" s="628" t="s">
        <v>23</v>
      </c>
      <c r="F7836" s="816" t="s">
        <v>13690</v>
      </c>
      <c r="G7836" s="816"/>
      <c r="H7836" s="816">
        <v>0.23175409999999999</v>
      </c>
      <c r="I7836" s="816"/>
      <c r="J7836" s="817">
        <v>0.2364</v>
      </c>
      <c r="K7836" s="817"/>
      <c r="L7836" s="817"/>
    </row>
    <row r="7837" spans="1:12" ht="17.100000000000001" customHeight="1">
      <c r="A7837" s="626" t="s">
        <v>12709</v>
      </c>
      <c r="B7837" s="627" t="s">
        <v>13047</v>
      </c>
      <c r="C7837" s="626" t="s">
        <v>8</v>
      </c>
      <c r="D7837" s="626" t="s">
        <v>9380</v>
      </c>
      <c r="E7837" s="628" t="s">
        <v>23</v>
      </c>
      <c r="F7837" s="816" t="s">
        <v>13689</v>
      </c>
      <c r="G7837" s="816"/>
      <c r="H7837" s="816">
        <v>0.23175409999999999</v>
      </c>
      <c r="I7837" s="816"/>
      <c r="J7837" s="817">
        <v>8.8099999999999998E-2</v>
      </c>
      <c r="K7837" s="817"/>
      <c r="L7837" s="817"/>
    </row>
    <row r="7838" spans="1:12" ht="17.100000000000001" customHeight="1">
      <c r="A7838" s="626" t="s">
        <v>12709</v>
      </c>
      <c r="B7838" s="627" t="s">
        <v>13052</v>
      </c>
      <c r="C7838" s="626" t="s">
        <v>8</v>
      </c>
      <c r="D7838" s="626" t="s">
        <v>9229</v>
      </c>
      <c r="E7838" s="628" t="s">
        <v>23</v>
      </c>
      <c r="F7838" s="816" t="s">
        <v>13692</v>
      </c>
      <c r="G7838" s="816"/>
      <c r="H7838" s="816">
        <v>0.47730549999999999</v>
      </c>
      <c r="I7838" s="816"/>
      <c r="J7838" s="817">
        <v>0.4582</v>
      </c>
      <c r="K7838" s="817"/>
      <c r="L7838" s="817"/>
    </row>
    <row r="7839" spans="1:12" ht="17.100000000000001" customHeight="1">
      <c r="A7839" s="626" t="s">
        <v>12709</v>
      </c>
      <c r="B7839" s="627" t="s">
        <v>13051</v>
      </c>
      <c r="C7839" s="626" t="s">
        <v>8</v>
      </c>
      <c r="D7839" s="626" t="s">
        <v>9376</v>
      </c>
      <c r="E7839" s="628" t="s">
        <v>23</v>
      </c>
      <c r="F7839" s="816" t="s">
        <v>13691</v>
      </c>
      <c r="G7839" s="816"/>
      <c r="H7839" s="816">
        <v>0.47730549999999999</v>
      </c>
      <c r="I7839" s="816"/>
      <c r="J7839" s="817">
        <v>0.2387</v>
      </c>
      <c r="K7839" s="817"/>
      <c r="L7839" s="817"/>
    </row>
    <row r="7840" spans="1:12" ht="17.100000000000001" customHeight="1">
      <c r="A7840" s="636"/>
      <c r="B7840" s="636"/>
      <c r="C7840" s="636"/>
      <c r="D7840" s="636"/>
      <c r="E7840" s="636"/>
      <c r="F7840" s="636"/>
      <c r="G7840" s="636"/>
      <c r="H7840" s="636"/>
      <c r="I7840" s="636"/>
      <c r="J7840" s="636" t="s">
        <v>13675</v>
      </c>
      <c r="K7840" s="636"/>
      <c r="L7840" s="636" t="s">
        <v>13966</v>
      </c>
    </row>
    <row r="7841" spans="1:12" ht="17.100000000000001" customHeight="1">
      <c r="A7841" s="802" t="s">
        <v>12710</v>
      </c>
      <c r="B7841" s="802"/>
      <c r="C7841" s="802"/>
      <c r="D7841" s="802"/>
      <c r="E7841" s="802"/>
      <c r="F7841" s="802"/>
      <c r="G7841" s="802"/>
      <c r="H7841" s="802"/>
      <c r="I7841" s="612"/>
      <c r="J7841" s="612"/>
      <c r="K7841" s="612"/>
      <c r="L7841" s="612"/>
    </row>
    <row r="7842" spans="1:12" ht="30" customHeight="1">
      <c r="A7842" s="612" t="s">
        <v>13679</v>
      </c>
      <c r="B7842" s="636" t="s">
        <v>12698</v>
      </c>
      <c r="C7842" s="612" t="s">
        <v>12699</v>
      </c>
      <c r="D7842" s="612" t="s">
        <v>12700</v>
      </c>
      <c r="E7842" s="637" t="s">
        <v>12702</v>
      </c>
      <c r="F7842" s="801" t="s">
        <v>12704</v>
      </c>
      <c r="G7842" s="801"/>
      <c r="H7842" s="801" t="s">
        <v>13678</v>
      </c>
      <c r="I7842" s="801"/>
      <c r="J7842" s="801" t="s">
        <v>12705</v>
      </c>
      <c r="K7842" s="801"/>
      <c r="L7842" s="801"/>
    </row>
    <row r="7843" spans="1:12" ht="48" customHeight="1">
      <c r="A7843" s="626" t="s">
        <v>12709</v>
      </c>
      <c r="B7843" s="627" t="s">
        <v>13202</v>
      </c>
      <c r="C7843" s="626" t="s">
        <v>8</v>
      </c>
      <c r="D7843" s="626" t="s">
        <v>9187</v>
      </c>
      <c r="E7843" s="628" t="s">
        <v>23</v>
      </c>
      <c r="F7843" s="816" t="s">
        <v>14479</v>
      </c>
      <c r="G7843" s="816"/>
      <c r="H7843" s="816">
        <v>0.26070840000000001</v>
      </c>
      <c r="I7843" s="816"/>
      <c r="J7843" s="817">
        <v>1.8641000000000001</v>
      </c>
      <c r="K7843" s="817"/>
      <c r="L7843" s="817"/>
    </row>
    <row r="7844" spans="1:12" ht="14.25" customHeight="1">
      <c r="A7844" s="626" t="s">
        <v>12709</v>
      </c>
      <c r="B7844" s="627" t="s">
        <v>13046</v>
      </c>
      <c r="C7844" s="626" t="s">
        <v>8</v>
      </c>
      <c r="D7844" s="626" t="s">
        <v>11281</v>
      </c>
      <c r="E7844" s="628" t="s">
        <v>23</v>
      </c>
      <c r="F7844" s="816" t="s">
        <v>13731</v>
      </c>
      <c r="G7844" s="816"/>
      <c r="H7844" s="816">
        <v>0.2342883</v>
      </c>
      <c r="I7844" s="816"/>
      <c r="J7844" s="817">
        <v>1.2041999999999999</v>
      </c>
      <c r="K7844" s="817"/>
      <c r="L7844" s="817"/>
    </row>
    <row r="7845" spans="1:12" ht="17.100000000000001" customHeight="1">
      <c r="A7845" s="626" t="s">
        <v>12709</v>
      </c>
      <c r="B7845" s="627" t="s">
        <v>13146</v>
      </c>
      <c r="C7845" s="626" t="s">
        <v>8</v>
      </c>
      <c r="D7845" s="626" t="s">
        <v>10362</v>
      </c>
      <c r="E7845" s="628" t="s">
        <v>23</v>
      </c>
      <c r="F7845" s="816" t="s">
        <v>14615</v>
      </c>
      <c r="G7845" s="816"/>
      <c r="H7845" s="816">
        <v>0.48043219999999998</v>
      </c>
      <c r="I7845" s="816"/>
      <c r="J7845" s="817">
        <v>3.3919000000000001</v>
      </c>
      <c r="K7845" s="817"/>
      <c r="L7845" s="817"/>
    </row>
    <row r="7846" spans="1:12" ht="24" customHeight="1">
      <c r="A7846" s="636"/>
      <c r="B7846" s="636"/>
      <c r="C7846" s="636"/>
      <c r="D7846" s="636"/>
      <c r="E7846" s="636"/>
      <c r="F7846" s="636"/>
      <c r="G7846" s="636"/>
      <c r="H7846" s="636"/>
      <c r="I7846" s="636"/>
      <c r="J7846" s="636" t="s">
        <v>13675</v>
      </c>
      <c r="K7846" s="636"/>
      <c r="L7846" s="636" t="s">
        <v>13927</v>
      </c>
    </row>
    <row r="7847" spans="1:12" ht="24" customHeight="1">
      <c r="A7847" s="802" t="s">
        <v>12720</v>
      </c>
      <c r="B7847" s="802"/>
      <c r="C7847" s="802"/>
      <c r="D7847" s="802"/>
      <c r="E7847" s="802"/>
      <c r="F7847" s="802"/>
      <c r="G7847" s="802"/>
      <c r="H7847" s="802"/>
      <c r="I7847" s="612"/>
      <c r="J7847" s="612"/>
      <c r="K7847" s="612"/>
      <c r="L7847" s="612"/>
    </row>
    <row r="7848" spans="1:12" ht="17.100000000000001" customHeight="1">
      <c r="A7848" s="612" t="s">
        <v>13679</v>
      </c>
      <c r="B7848" s="636" t="s">
        <v>12698</v>
      </c>
      <c r="C7848" s="612" t="s">
        <v>12699</v>
      </c>
      <c r="D7848" s="612" t="s">
        <v>12700</v>
      </c>
      <c r="E7848" s="637" t="s">
        <v>12702</v>
      </c>
      <c r="F7848" s="801" t="s">
        <v>12704</v>
      </c>
      <c r="G7848" s="801"/>
      <c r="H7848" s="801" t="s">
        <v>13678</v>
      </c>
      <c r="I7848" s="801"/>
      <c r="J7848" s="801" t="s">
        <v>12705</v>
      </c>
      <c r="K7848" s="801"/>
      <c r="L7848" s="801"/>
    </row>
    <row r="7849" spans="1:12" ht="14.25" customHeight="1">
      <c r="A7849" s="626" t="s">
        <v>12709</v>
      </c>
      <c r="B7849" s="627" t="s">
        <v>12980</v>
      </c>
      <c r="C7849" s="626" t="s">
        <v>8</v>
      </c>
      <c r="D7849" s="626" t="s">
        <v>9425</v>
      </c>
      <c r="E7849" s="628" t="s">
        <v>35</v>
      </c>
      <c r="F7849" s="816" t="s">
        <v>14614</v>
      </c>
      <c r="G7849" s="816"/>
      <c r="H7849" s="816">
        <v>8.1183900000000003E-2</v>
      </c>
      <c r="I7849" s="816"/>
      <c r="J7849" s="817">
        <v>0.3296</v>
      </c>
      <c r="K7849" s="817"/>
      <c r="L7849" s="817"/>
    </row>
    <row r="7850" spans="1:12" ht="17.100000000000001" customHeight="1">
      <c r="A7850" s="626" t="s">
        <v>12709</v>
      </c>
      <c r="B7850" s="627" t="s">
        <v>12983</v>
      </c>
      <c r="C7850" s="626" t="s">
        <v>8</v>
      </c>
      <c r="D7850" s="626" t="s">
        <v>12311</v>
      </c>
      <c r="E7850" s="628" t="s">
        <v>35</v>
      </c>
      <c r="F7850" s="816" t="s">
        <v>14613</v>
      </c>
      <c r="G7850" s="816"/>
      <c r="H7850" s="816">
        <v>0.99980210000000003</v>
      </c>
      <c r="I7850" s="816"/>
      <c r="J7850" s="817">
        <v>50.999899999999997</v>
      </c>
      <c r="K7850" s="817"/>
      <c r="L7850" s="817"/>
    </row>
    <row r="7851" spans="1:12" ht="24" customHeight="1">
      <c r="A7851" s="626" t="s">
        <v>12709</v>
      </c>
      <c r="B7851" s="627" t="s">
        <v>13044</v>
      </c>
      <c r="C7851" s="626" t="s">
        <v>8</v>
      </c>
      <c r="D7851" s="626" t="s">
        <v>11289</v>
      </c>
      <c r="E7851" s="628" t="s">
        <v>35</v>
      </c>
      <c r="F7851" s="816" t="s">
        <v>13964</v>
      </c>
      <c r="G7851" s="816"/>
      <c r="H7851" s="816">
        <v>0.99980210000000003</v>
      </c>
      <c r="I7851" s="816"/>
      <c r="J7851" s="817">
        <v>7.9984000000000002</v>
      </c>
      <c r="K7851" s="817"/>
      <c r="L7851" s="817"/>
    </row>
    <row r="7852" spans="1:12" ht="24" customHeight="1">
      <c r="A7852" s="626" t="s">
        <v>12709</v>
      </c>
      <c r="B7852" s="627" t="s">
        <v>13233</v>
      </c>
      <c r="C7852" s="626" t="s">
        <v>8</v>
      </c>
      <c r="D7852" s="626" t="s">
        <v>8761</v>
      </c>
      <c r="E7852" s="628" t="s">
        <v>35</v>
      </c>
      <c r="F7852" s="816" t="s">
        <v>14612</v>
      </c>
      <c r="G7852" s="816"/>
      <c r="H7852" s="816">
        <v>0.99980210000000003</v>
      </c>
      <c r="I7852" s="816"/>
      <c r="J7852" s="817">
        <v>132.74369999999999</v>
      </c>
      <c r="K7852" s="817"/>
      <c r="L7852" s="817"/>
    </row>
    <row r="7853" spans="1:12" ht="17.100000000000001" customHeight="1">
      <c r="A7853" s="626" t="s">
        <v>12709</v>
      </c>
      <c r="B7853" s="627" t="s">
        <v>13232</v>
      </c>
      <c r="C7853" s="626" t="s">
        <v>8</v>
      </c>
      <c r="D7853" s="626" t="s">
        <v>10381</v>
      </c>
      <c r="E7853" s="628" t="s">
        <v>20</v>
      </c>
      <c r="F7853" s="816" t="s">
        <v>14611</v>
      </c>
      <c r="G7853" s="816"/>
      <c r="H7853" s="816">
        <v>0.29734110000000002</v>
      </c>
      <c r="I7853" s="816"/>
      <c r="J7853" s="817">
        <v>10.5943</v>
      </c>
      <c r="K7853" s="817"/>
      <c r="L7853" s="817"/>
    </row>
    <row r="7854" spans="1:12">
      <c r="A7854" s="636"/>
      <c r="B7854" s="636"/>
      <c r="C7854" s="636"/>
      <c r="D7854" s="636"/>
      <c r="E7854" s="636"/>
      <c r="F7854" s="636"/>
      <c r="G7854" s="636"/>
      <c r="H7854" s="636"/>
      <c r="I7854" s="636"/>
      <c r="J7854" s="636" t="s">
        <v>13675</v>
      </c>
      <c r="K7854" s="636"/>
      <c r="L7854" s="636" t="s">
        <v>14610</v>
      </c>
    </row>
    <row r="7855" spans="1:12" ht="17.100000000000001" customHeight="1">
      <c r="A7855" s="802" t="s">
        <v>12722</v>
      </c>
      <c r="B7855" s="802"/>
      <c r="C7855" s="802"/>
      <c r="D7855" s="802"/>
      <c r="E7855" s="802"/>
      <c r="F7855" s="802"/>
      <c r="G7855" s="802"/>
      <c r="H7855" s="802"/>
      <c r="I7855" s="612"/>
      <c r="J7855" s="612"/>
      <c r="K7855" s="612"/>
      <c r="L7855" s="612"/>
    </row>
    <row r="7856" spans="1:12" ht="24" customHeight="1">
      <c r="A7856" s="612" t="s">
        <v>13679</v>
      </c>
      <c r="B7856" s="636" t="s">
        <v>12698</v>
      </c>
      <c r="C7856" s="612" t="s">
        <v>12699</v>
      </c>
      <c r="D7856" s="612" t="s">
        <v>12700</v>
      </c>
      <c r="E7856" s="637" t="s">
        <v>12702</v>
      </c>
      <c r="F7856" s="801" t="s">
        <v>12704</v>
      </c>
      <c r="G7856" s="801"/>
      <c r="H7856" s="801" t="s">
        <v>13678</v>
      </c>
      <c r="I7856" s="801"/>
      <c r="J7856" s="801" t="s">
        <v>12705</v>
      </c>
      <c r="K7856" s="801"/>
      <c r="L7856" s="801"/>
    </row>
    <row r="7857" spans="1:12" ht="24" customHeight="1">
      <c r="A7857" s="626" t="s">
        <v>12709</v>
      </c>
      <c r="B7857" s="627" t="s">
        <v>12998</v>
      </c>
      <c r="C7857" s="626" t="s">
        <v>8</v>
      </c>
      <c r="D7857" s="626" t="s">
        <v>11861</v>
      </c>
      <c r="E7857" s="628" t="s">
        <v>23</v>
      </c>
      <c r="F7857" s="816" t="s">
        <v>13683</v>
      </c>
      <c r="G7857" s="816"/>
      <c r="H7857" s="816">
        <v>0.96750849999999999</v>
      </c>
      <c r="I7857" s="816"/>
      <c r="J7857" s="817">
        <v>0.68689999999999996</v>
      </c>
      <c r="K7857" s="817"/>
      <c r="L7857" s="817"/>
    </row>
    <row r="7858" spans="1:12" ht="24" customHeight="1">
      <c r="A7858" s="636"/>
      <c r="B7858" s="636"/>
      <c r="C7858" s="636"/>
      <c r="D7858" s="636"/>
      <c r="E7858" s="636"/>
      <c r="F7858" s="636"/>
      <c r="G7858" s="636"/>
      <c r="H7858" s="636"/>
      <c r="I7858" s="636"/>
      <c r="J7858" s="636" t="s">
        <v>13675</v>
      </c>
      <c r="K7858" s="636"/>
      <c r="L7858" s="636" t="s">
        <v>13963</v>
      </c>
    </row>
    <row r="7859" spans="1:12" ht="17.100000000000001" customHeight="1">
      <c r="A7859" s="802" t="s">
        <v>12713</v>
      </c>
      <c r="B7859" s="802"/>
      <c r="C7859" s="802"/>
      <c r="D7859" s="802"/>
      <c r="E7859" s="802"/>
      <c r="F7859" s="802"/>
      <c r="G7859" s="802"/>
      <c r="H7859" s="802"/>
      <c r="I7859" s="612"/>
      <c r="J7859" s="612"/>
      <c r="K7859" s="612"/>
      <c r="L7859" s="612"/>
    </row>
    <row r="7860" spans="1:12">
      <c r="A7860" s="612" t="s">
        <v>13679</v>
      </c>
      <c r="B7860" s="636" t="s">
        <v>12698</v>
      </c>
      <c r="C7860" s="612" t="s">
        <v>12699</v>
      </c>
      <c r="D7860" s="612" t="s">
        <v>12700</v>
      </c>
      <c r="E7860" s="637" t="s">
        <v>12702</v>
      </c>
      <c r="F7860" s="801" t="s">
        <v>12704</v>
      </c>
      <c r="G7860" s="801"/>
      <c r="H7860" s="801" t="s">
        <v>13678</v>
      </c>
      <c r="I7860" s="801"/>
      <c r="J7860" s="801" t="s">
        <v>12705</v>
      </c>
      <c r="K7860" s="801"/>
      <c r="L7860" s="801"/>
    </row>
    <row r="7861" spans="1:12" ht="17.100000000000001" customHeight="1">
      <c r="A7861" s="626" t="s">
        <v>12709</v>
      </c>
      <c r="B7861" s="627" t="s">
        <v>12999</v>
      </c>
      <c r="C7861" s="626" t="s">
        <v>8</v>
      </c>
      <c r="D7861" s="626" t="s">
        <v>11251</v>
      </c>
      <c r="E7861" s="628" t="s">
        <v>23</v>
      </c>
      <c r="F7861" s="816" t="s">
        <v>13681</v>
      </c>
      <c r="G7861" s="816"/>
      <c r="H7861" s="816">
        <v>0.96750849999999999</v>
      </c>
      <c r="I7861" s="816"/>
      <c r="J7861" s="817">
        <v>6.7699999999999996E-2</v>
      </c>
      <c r="K7861" s="817"/>
      <c r="L7861" s="817"/>
    </row>
    <row r="7862" spans="1:12" ht="24" customHeight="1">
      <c r="A7862" s="636"/>
      <c r="B7862" s="636"/>
      <c r="C7862" s="636"/>
      <c r="D7862" s="636"/>
      <c r="E7862" s="636"/>
      <c r="F7862" s="636"/>
      <c r="G7862" s="636"/>
      <c r="H7862" s="636"/>
      <c r="I7862" s="636"/>
      <c r="J7862" s="636" t="s">
        <v>13675</v>
      </c>
      <c r="K7862" s="636"/>
      <c r="L7862" s="636" t="s">
        <v>13681</v>
      </c>
    </row>
    <row r="7863" spans="1:12" ht="17.100000000000001" customHeight="1">
      <c r="A7863" s="802" t="s">
        <v>12712</v>
      </c>
      <c r="B7863" s="802"/>
      <c r="C7863" s="802"/>
      <c r="D7863" s="802"/>
      <c r="E7863" s="802"/>
      <c r="F7863" s="802"/>
      <c r="G7863" s="802"/>
      <c r="H7863" s="802"/>
      <c r="I7863" s="612"/>
      <c r="J7863" s="612"/>
      <c r="K7863" s="612"/>
      <c r="L7863" s="612"/>
    </row>
    <row r="7864" spans="1:12">
      <c r="A7864" s="612" t="s">
        <v>13679</v>
      </c>
      <c r="B7864" s="636" t="s">
        <v>12698</v>
      </c>
      <c r="C7864" s="612" t="s">
        <v>12699</v>
      </c>
      <c r="D7864" s="612" t="s">
        <v>12700</v>
      </c>
      <c r="E7864" s="637" t="s">
        <v>12702</v>
      </c>
      <c r="F7864" s="801" t="s">
        <v>12704</v>
      </c>
      <c r="G7864" s="801"/>
      <c r="H7864" s="801" t="s">
        <v>13678</v>
      </c>
      <c r="I7864" s="801"/>
      <c r="J7864" s="801" t="s">
        <v>12705</v>
      </c>
      <c r="K7864" s="801"/>
      <c r="L7864" s="801"/>
    </row>
    <row r="7865" spans="1:12" ht="17.100000000000001" customHeight="1">
      <c r="A7865" s="626" t="s">
        <v>12709</v>
      </c>
      <c r="B7865" s="627" t="s">
        <v>13002</v>
      </c>
      <c r="C7865" s="626" t="s">
        <v>8</v>
      </c>
      <c r="D7865" s="626" t="s">
        <v>9306</v>
      </c>
      <c r="E7865" s="628" t="s">
        <v>23</v>
      </c>
      <c r="F7865" s="816" t="s">
        <v>13677</v>
      </c>
      <c r="G7865" s="816"/>
      <c r="H7865" s="816">
        <v>0.96750849999999999</v>
      </c>
      <c r="I7865" s="816"/>
      <c r="J7865" s="817">
        <v>0.33860000000000001</v>
      </c>
      <c r="K7865" s="817"/>
      <c r="L7865" s="817"/>
    </row>
    <row r="7866" spans="1:12" ht="24" customHeight="1">
      <c r="A7866" s="626" t="s">
        <v>12709</v>
      </c>
      <c r="B7866" s="627" t="s">
        <v>13004</v>
      </c>
      <c r="C7866" s="626" t="s">
        <v>8</v>
      </c>
      <c r="D7866" s="626" t="s">
        <v>7388</v>
      </c>
      <c r="E7866" s="628" t="s">
        <v>23</v>
      </c>
      <c r="F7866" s="816" t="s">
        <v>13676</v>
      </c>
      <c r="G7866" s="816"/>
      <c r="H7866" s="816">
        <v>0.96750849999999999</v>
      </c>
      <c r="I7866" s="816"/>
      <c r="J7866" s="817">
        <v>2.1284999999999998</v>
      </c>
      <c r="K7866" s="817"/>
      <c r="L7866" s="817"/>
    </row>
    <row r="7867" spans="1:12" ht="17.100000000000001" customHeight="1">
      <c r="A7867" s="636"/>
      <c r="B7867" s="636"/>
      <c r="C7867" s="636"/>
      <c r="D7867" s="636"/>
      <c r="E7867" s="636"/>
      <c r="F7867" s="636"/>
      <c r="G7867" s="636"/>
      <c r="H7867" s="636"/>
      <c r="I7867" s="636"/>
      <c r="J7867" s="636" t="s">
        <v>13675</v>
      </c>
      <c r="K7867" s="636"/>
      <c r="L7867" s="636" t="s">
        <v>13962</v>
      </c>
    </row>
    <row r="7868" spans="1:12">
      <c r="A7868" s="612" t="s">
        <v>13673</v>
      </c>
      <c r="B7868" s="612"/>
      <c r="C7868" s="612"/>
      <c r="D7868" s="612"/>
      <c r="E7868" s="612"/>
      <c r="F7868" s="612"/>
      <c r="G7868" s="612"/>
      <c r="H7868" s="612"/>
      <c r="I7868" s="612"/>
      <c r="J7868" s="612"/>
      <c r="K7868" s="612"/>
      <c r="L7868" s="612"/>
    </row>
    <row r="7869" spans="1:12" ht="17.100000000000001" customHeight="1">
      <c r="A7869" s="636"/>
      <c r="B7869" s="636"/>
      <c r="C7869" s="636"/>
      <c r="D7869" s="636"/>
      <c r="E7869" s="636"/>
      <c r="F7869" s="636"/>
      <c r="G7869" s="636"/>
      <c r="H7869" s="636"/>
      <c r="I7869" s="636"/>
      <c r="J7869" s="636" t="s">
        <v>13672</v>
      </c>
      <c r="K7869" s="636"/>
      <c r="L7869" s="636" t="s">
        <v>15480</v>
      </c>
    </row>
    <row r="7870" spans="1:12" ht="24" customHeight="1">
      <c r="A7870" s="636"/>
      <c r="B7870" s="636"/>
      <c r="C7870" s="636"/>
      <c r="D7870" s="636"/>
      <c r="E7870" s="636"/>
      <c r="F7870" s="636"/>
      <c r="G7870" s="636"/>
      <c r="H7870" s="636"/>
      <c r="I7870" s="636"/>
      <c r="J7870" s="636" t="s">
        <v>13671</v>
      </c>
      <c r="K7870" s="636" t="s">
        <v>14461</v>
      </c>
      <c r="L7870" s="636" t="s">
        <v>15481</v>
      </c>
    </row>
    <row r="7871" spans="1:12" ht="24" customHeight="1">
      <c r="A7871" s="636"/>
      <c r="B7871" s="636"/>
      <c r="C7871" s="636"/>
      <c r="D7871" s="636"/>
      <c r="E7871" s="636"/>
      <c r="F7871" s="636"/>
      <c r="G7871" s="636"/>
      <c r="H7871" s="636"/>
      <c r="I7871" s="636"/>
      <c r="J7871" s="636" t="s">
        <v>13670</v>
      </c>
      <c r="K7871" s="636"/>
      <c r="L7871" s="636" t="s">
        <v>15482</v>
      </c>
    </row>
    <row r="7872" spans="1:12" ht="17.100000000000001" customHeight="1">
      <c r="A7872" s="636"/>
      <c r="B7872" s="636"/>
      <c r="C7872" s="636"/>
      <c r="D7872" s="636"/>
      <c r="E7872" s="636"/>
      <c r="F7872" s="636"/>
      <c r="G7872" s="636"/>
      <c r="H7872" s="636"/>
      <c r="I7872" s="636"/>
      <c r="J7872" s="636" t="s">
        <v>13669</v>
      </c>
      <c r="K7872" s="636" t="s">
        <v>13667</v>
      </c>
      <c r="L7872" s="636" t="s">
        <v>15483</v>
      </c>
    </row>
    <row r="7873" spans="1:12" ht="17.100000000000001" customHeight="1">
      <c r="A7873" s="636"/>
      <c r="B7873" s="636"/>
      <c r="C7873" s="636"/>
      <c r="D7873" s="636"/>
      <c r="E7873" s="636"/>
      <c r="F7873" s="636"/>
      <c r="G7873" s="636"/>
      <c r="H7873" s="636"/>
      <c r="I7873" s="636"/>
      <c r="J7873" s="636" t="s">
        <v>13668</v>
      </c>
      <c r="K7873" s="636"/>
      <c r="L7873" s="636" t="s">
        <v>15484</v>
      </c>
    </row>
    <row r="7874" spans="1:12" ht="17.100000000000001" customHeight="1">
      <c r="A7874" s="637"/>
      <c r="B7874" s="637"/>
      <c r="C7874" s="637"/>
      <c r="D7874" s="637"/>
      <c r="E7874" s="637"/>
      <c r="F7874" s="637"/>
      <c r="G7874" s="637"/>
      <c r="H7874" s="637"/>
      <c r="I7874" s="637"/>
      <c r="J7874" s="637"/>
      <c r="K7874" s="637"/>
      <c r="L7874" s="637"/>
    </row>
    <row r="7875" spans="1:12" ht="17.100000000000001" customHeight="1">
      <c r="A7875" s="616" t="s">
        <v>13961</v>
      </c>
      <c r="B7875" s="617" t="s">
        <v>13452</v>
      </c>
      <c r="C7875" s="616" t="s">
        <v>8</v>
      </c>
      <c r="D7875" s="616" t="s">
        <v>650</v>
      </c>
      <c r="E7875" s="618" t="s">
        <v>17</v>
      </c>
      <c r="F7875" s="617"/>
      <c r="G7875" s="617"/>
      <c r="H7875" s="617"/>
      <c r="I7875" s="617"/>
      <c r="J7875" s="617"/>
      <c r="K7875" s="617"/>
      <c r="L7875" s="617"/>
    </row>
    <row r="7876" spans="1:12" ht="17.100000000000001" customHeight="1">
      <c r="A7876" s="802" t="s">
        <v>12711</v>
      </c>
      <c r="B7876" s="802"/>
      <c r="C7876" s="802"/>
      <c r="D7876" s="802"/>
      <c r="E7876" s="802"/>
      <c r="F7876" s="802"/>
      <c r="G7876" s="802"/>
      <c r="H7876" s="802"/>
      <c r="I7876" s="612"/>
      <c r="J7876" s="612"/>
      <c r="K7876" s="612"/>
      <c r="L7876" s="612"/>
    </row>
    <row r="7877" spans="1:12" ht="17.100000000000001" customHeight="1">
      <c r="A7877" s="612" t="s">
        <v>13679</v>
      </c>
      <c r="B7877" s="636" t="s">
        <v>12698</v>
      </c>
      <c r="C7877" s="612" t="s">
        <v>12699</v>
      </c>
      <c r="D7877" s="612" t="s">
        <v>12700</v>
      </c>
      <c r="E7877" s="637" t="s">
        <v>12702</v>
      </c>
      <c r="F7877" s="801" t="s">
        <v>12704</v>
      </c>
      <c r="G7877" s="801"/>
      <c r="H7877" s="801" t="s">
        <v>13678</v>
      </c>
      <c r="I7877" s="801"/>
      <c r="J7877" s="801" t="s">
        <v>12705</v>
      </c>
      <c r="K7877" s="801"/>
      <c r="L7877" s="801"/>
    </row>
    <row r="7878" spans="1:12" ht="17.100000000000001" customHeight="1">
      <c r="A7878" s="626" t="s">
        <v>12709</v>
      </c>
      <c r="B7878" s="627" t="s">
        <v>13201</v>
      </c>
      <c r="C7878" s="626" t="s">
        <v>8</v>
      </c>
      <c r="D7878" s="626" t="s">
        <v>9221</v>
      </c>
      <c r="E7878" s="628" t="s">
        <v>23</v>
      </c>
      <c r="F7878" s="816" t="s">
        <v>13705</v>
      </c>
      <c r="G7878" s="816"/>
      <c r="H7878" s="816">
        <v>0.59232249999999997</v>
      </c>
      <c r="I7878" s="816"/>
      <c r="J7878" s="817">
        <v>0.49159999999999998</v>
      </c>
      <c r="K7878" s="817"/>
      <c r="L7878" s="817"/>
    </row>
    <row r="7879" spans="1:12" ht="30" customHeight="1">
      <c r="A7879" s="626" t="s">
        <v>12709</v>
      </c>
      <c r="B7879" s="627" t="s">
        <v>13200</v>
      </c>
      <c r="C7879" s="626" t="s">
        <v>8</v>
      </c>
      <c r="D7879" s="626" t="s">
        <v>9368</v>
      </c>
      <c r="E7879" s="628" t="s">
        <v>23</v>
      </c>
      <c r="F7879" s="816" t="s">
        <v>13704</v>
      </c>
      <c r="G7879" s="816"/>
      <c r="H7879" s="816">
        <v>0.59232249999999997</v>
      </c>
      <c r="I7879" s="816"/>
      <c r="J7879" s="817">
        <v>0.14219999999999999</v>
      </c>
      <c r="K7879" s="817"/>
      <c r="L7879" s="817"/>
    </row>
    <row r="7880" spans="1:12" ht="48" customHeight="1">
      <c r="A7880" s="636"/>
      <c r="B7880" s="636"/>
      <c r="C7880" s="636"/>
      <c r="D7880" s="636"/>
      <c r="E7880" s="636"/>
      <c r="F7880" s="636"/>
      <c r="G7880" s="636"/>
      <c r="H7880" s="636"/>
      <c r="I7880" s="636"/>
      <c r="J7880" s="636" t="s">
        <v>13675</v>
      </c>
      <c r="K7880" s="636"/>
      <c r="L7880" s="636" t="s">
        <v>13674</v>
      </c>
    </row>
    <row r="7881" spans="1:12" ht="14.25" customHeight="1">
      <c r="A7881" s="802" t="s">
        <v>12710</v>
      </c>
      <c r="B7881" s="802"/>
      <c r="C7881" s="802"/>
      <c r="D7881" s="802"/>
      <c r="E7881" s="802"/>
      <c r="F7881" s="802"/>
      <c r="G7881" s="802"/>
      <c r="H7881" s="802"/>
      <c r="I7881" s="612"/>
      <c r="J7881" s="612"/>
      <c r="K7881" s="612"/>
      <c r="L7881" s="612"/>
    </row>
    <row r="7882" spans="1:12" ht="17.100000000000001" customHeight="1">
      <c r="A7882" s="612" t="s">
        <v>13679</v>
      </c>
      <c r="B7882" s="636" t="s">
        <v>12698</v>
      </c>
      <c r="C7882" s="612" t="s">
        <v>12699</v>
      </c>
      <c r="D7882" s="612" t="s">
        <v>12700</v>
      </c>
      <c r="E7882" s="637" t="s">
        <v>12702</v>
      </c>
      <c r="F7882" s="801" t="s">
        <v>12704</v>
      </c>
      <c r="G7882" s="801"/>
      <c r="H7882" s="801" t="s">
        <v>13678</v>
      </c>
      <c r="I7882" s="801"/>
      <c r="J7882" s="801" t="s">
        <v>12705</v>
      </c>
      <c r="K7882" s="801"/>
      <c r="L7882" s="801"/>
    </row>
    <row r="7883" spans="1:12" ht="24" customHeight="1">
      <c r="A7883" s="626" t="s">
        <v>12709</v>
      </c>
      <c r="B7883" s="627" t="s">
        <v>13220</v>
      </c>
      <c r="C7883" s="626" t="s">
        <v>8</v>
      </c>
      <c r="D7883" s="626" t="s">
        <v>7592</v>
      </c>
      <c r="E7883" s="628" t="s">
        <v>23</v>
      </c>
      <c r="F7883" s="816" t="s">
        <v>13890</v>
      </c>
      <c r="G7883" s="816"/>
      <c r="H7883" s="816">
        <v>0.30018519999999999</v>
      </c>
      <c r="I7883" s="816"/>
      <c r="J7883" s="817">
        <v>1.5188999999999999</v>
      </c>
      <c r="K7883" s="817"/>
      <c r="L7883" s="817"/>
    </row>
    <row r="7884" spans="1:12" ht="24" customHeight="1">
      <c r="A7884" s="626" t="s">
        <v>12709</v>
      </c>
      <c r="B7884" s="627" t="s">
        <v>13202</v>
      </c>
      <c r="C7884" s="626" t="s">
        <v>8</v>
      </c>
      <c r="D7884" s="626" t="s">
        <v>9187</v>
      </c>
      <c r="E7884" s="628" t="s">
        <v>23</v>
      </c>
      <c r="F7884" s="816" t="s">
        <v>14479</v>
      </c>
      <c r="G7884" s="816"/>
      <c r="H7884" s="816">
        <v>0.30018519999999999</v>
      </c>
      <c r="I7884" s="816"/>
      <c r="J7884" s="817">
        <v>2.1463000000000001</v>
      </c>
      <c r="K7884" s="817"/>
      <c r="L7884" s="817"/>
    </row>
    <row r="7885" spans="1:12" ht="17.100000000000001" customHeight="1">
      <c r="A7885" s="636"/>
      <c r="B7885" s="636"/>
      <c r="C7885" s="636"/>
      <c r="D7885" s="636"/>
      <c r="E7885" s="636"/>
      <c r="F7885" s="636"/>
      <c r="G7885" s="636"/>
      <c r="H7885" s="636"/>
      <c r="I7885" s="636"/>
      <c r="J7885" s="636" t="s">
        <v>13675</v>
      </c>
      <c r="K7885" s="636"/>
      <c r="L7885" s="636" t="s">
        <v>14114</v>
      </c>
    </row>
    <row r="7886" spans="1:12" ht="14.25" customHeight="1">
      <c r="A7886" s="802" t="s">
        <v>12720</v>
      </c>
      <c r="B7886" s="802"/>
      <c r="C7886" s="802"/>
      <c r="D7886" s="802"/>
      <c r="E7886" s="802"/>
      <c r="F7886" s="802"/>
      <c r="G7886" s="802"/>
      <c r="H7886" s="802"/>
      <c r="I7886" s="612"/>
      <c r="J7886" s="612"/>
      <c r="K7886" s="612"/>
      <c r="L7886" s="612"/>
    </row>
    <row r="7887" spans="1:12" ht="17.100000000000001" customHeight="1">
      <c r="A7887" s="612" t="s">
        <v>13679</v>
      </c>
      <c r="B7887" s="636" t="s">
        <v>12698</v>
      </c>
      <c r="C7887" s="612" t="s">
        <v>12699</v>
      </c>
      <c r="D7887" s="612" t="s">
        <v>12700</v>
      </c>
      <c r="E7887" s="637" t="s">
        <v>12702</v>
      </c>
      <c r="F7887" s="801" t="s">
        <v>12704</v>
      </c>
      <c r="G7887" s="801"/>
      <c r="H7887" s="801" t="s">
        <v>13678</v>
      </c>
      <c r="I7887" s="801"/>
      <c r="J7887" s="801" t="s">
        <v>12705</v>
      </c>
      <c r="K7887" s="801"/>
      <c r="L7887" s="801"/>
    </row>
    <row r="7888" spans="1:12" ht="24" customHeight="1">
      <c r="A7888" s="626" t="s">
        <v>12709</v>
      </c>
      <c r="B7888" s="627" t="s">
        <v>13451</v>
      </c>
      <c r="C7888" s="626" t="s">
        <v>8</v>
      </c>
      <c r="D7888" s="626" t="s">
        <v>11925</v>
      </c>
      <c r="E7888" s="628" t="s">
        <v>17</v>
      </c>
      <c r="F7888" s="816" t="s">
        <v>14609</v>
      </c>
      <c r="G7888" s="816"/>
      <c r="H7888" s="816">
        <v>1.0389999999999999</v>
      </c>
      <c r="I7888" s="816"/>
      <c r="J7888" s="817">
        <v>15.26</v>
      </c>
      <c r="K7888" s="817"/>
      <c r="L7888" s="817"/>
    </row>
    <row r="7889" spans="1:12" ht="24" customHeight="1">
      <c r="A7889" s="636"/>
      <c r="B7889" s="636"/>
      <c r="C7889" s="636"/>
      <c r="D7889" s="636"/>
      <c r="E7889" s="636"/>
      <c r="F7889" s="636"/>
      <c r="G7889" s="636"/>
      <c r="H7889" s="636"/>
      <c r="I7889" s="636"/>
      <c r="J7889" s="636" t="s">
        <v>13675</v>
      </c>
      <c r="K7889" s="636"/>
      <c r="L7889" s="636" t="s">
        <v>14608</v>
      </c>
    </row>
    <row r="7890" spans="1:12" ht="17.100000000000001" customHeight="1">
      <c r="A7890" s="802" t="s">
        <v>12722</v>
      </c>
      <c r="B7890" s="802"/>
      <c r="C7890" s="802"/>
      <c r="D7890" s="802"/>
      <c r="E7890" s="802"/>
      <c r="F7890" s="802"/>
      <c r="G7890" s="802"/>
      <c r="H7890" s="802"/>
      <c r="I7890" s="612"/>
      <c r="J7890" s="612"/>
      <c r="K7890" s="612"/>
      <c r="L7890" s="612"/>
    </row>
    <row r="7891" spans="1:12">
      <c r="A7891" s="612" t="s">
        <v>13679</v>
      </c>
      <c r="B7891" s="636" t="s">
        <v>12698</v>
      </c>
      <c r="C7891" s="612" t="s">
        <v>12699</v>
      </c>
      <c r="D7891" s="612" t="s">
        <v>12700</v>
      </c>
      <c r="E7891" s="637" t="s">
        <v>12702</v>
      </c>
      <c r="F7891" s="801" t="s">
        <v>12704</v>
      </c>
      <c r="G7891" s="801"/>
      <c r="H7891" s="801" t="s">
        <v>13678</v>
      </c>
      <c r="I7891" s="801"/>
      <c r="J7891" s="801" t="s">
        <v>12705</v>
      </c>
      <c r="K7891" s="801"/>
      <c r="L7891" s="801"/>
    </row>
    <row r="7892" spans="1:12" ht="17.100000000000001" customHeight="1">
      <c r="A7892" s="626" t="s">
        <v>12709</v>
      </c>
      <c r="B7892" s="627" t="s">
        <v>12998</v>
      </c>
      <c r="C7892" s="626" t="s">
        <v>8</v>
      </c>
      <c r="D7892" s="626" t="s">
        <v>11861</v>
      </c>
      <c r="E7892" s="628" t="s">
        <v>23</v>
      </c>
      <c r="F7892" s="816" t="s">
        <v>13683</v>
      </c>
      <c r="G7892" s="816"/>
      <c r="H7892" s="816">
        <v>0.59232249999999997</v>
      </c>
      <c r="I7892" s="816"/>
      <c r="J7892" s="817">
        <v>0.42049999999999998</v>
      </c>
      <c r="K7892" s="817"/>
      <c r="L7892" s="817"/>
    </row>
    <row r="7893" spans="1:12" ht="24" customHeight="1">
      <c r="A7893" s="636"/>
      <c r="B7893" s="636"/>
      <c r="C7893" s="636"/>
      <c r="D7893" s="636"/>
      <c r="E7893" s="636"/>
      <c r="F7893" s="636"/>
      <c r="G7893" s="636"/>
      <c r="H7893" s="636"/>
      <c r="I7893" s="636"/>
      <c r="J7893" s="636" t="s">
        <v>13675</v>
      </c>
      <c r="K7893" s="636"/>
      <c r="L7893" s="636" t="s">
        <v>13837</v>
      </c>
    </row>
    <row r="7894" spans="1:12" ht="24" customHeight="1">
      <c r="A7894" s="802" t="s">
        <v>12713</v>
      </c>
      <c r="B7894" s="802"/>
      <c r="C7894" s="802"/>
      <c r="D7894" s="802"/>
      <c r="E7894" s="802"/>
      <c r="F7894" s="802"/>
      <c r="G7894" s="802"/>
      <c r="H7894" s="802"/>
      <c r="I7894" s="612"/>
      <c r="J7894" s="612"/>
      <c r="K7894" s="612"/>
      <c r="L7894" s="612"/>
    </row>
    <row r="7895" spans="1:12" ht="24" customHeight="1">
      <c r="A7895" s="612" t="s">
        <v>13679</v>
      </c>
      <c r="B7895" s="636" t="s">
        <v>12698</v>
      </c>
      <c r="C7895" s="612" t="s">
        <v>12699</v>
      </c>
      <c r="D7895" s="612" t="s">
        <v>12700</v>
      </c>
      <c r="E7895" s="637" t="s">
        <v>12702</v>
      </c>
      <c r="F7895" s="801" t="s">
        <v>12704</v>
      </c>
      <c r="G7895" s="801"/>
      <c r="H7895" s="801" t="s">
        <v>13678</v>
      </c>
      <c r="I7895" s="801"/>
      <c r="J7895" s="801" t="s">
        <v>12705</v>
      </c>
      <c r="K7895" s="801"/>
      <c r="L7895" s="801"/>
    </row>
    <row r="7896" spans="1:12" ht="17.100000000000001" customHeight="1">
      <c r="A7896" s="626" t="s">
        <v>12709</v>
      </c>
      <c r="B7896" s="627" t="s">
        <v>12999</v>
      </c>
      <c r="C7896" s="626" t="s">
        <v>8</v>
      </c>
      <c r="D7896" s="626" t="s">
        <v>11251</v>
      </c>
      <c r="E7896" s="628" t="s">
        <v>23</v>
      </c>
      <c r="F7896" s="816" t="s">
        <v>13681</v>
      </c>
      <c r="G7896" s="816"/>
      <c r="H7896" s="816">
        <v>0.59232249999999997</v>
      </c>
      <c r="I7896" s="816"/>
      <c r="J7896" s="817">
        <v>4.1500000000000002E-2</v>
      </c>
      <c r="K7896" s="817"/>
      <c r="L7896" s="817"/>
    </row>
    <row r="7897" spans="1:12">
      <c r="A7897" s="636"/>
      <c r="B7897" s="636"/>
      <c r="C7897" s="636"/>
      <c r="D7897" s="636"/>
      <c r="E7897" s="636"/>
      <c r="F7897" s="636"/>
      <c r="G7897" s="636"/>
      <c r="H7897" s="636"/>
      <c r="I7897" s="636"/>
      <c r="J7897" s="636" t="s">
        <v>13675</v>
      </c>
      <c r="K7897" s="636"/>
      <c r="L7897" s="636" t="s">
        <v>13716</v>
      </c>
    </row>
    <row r="7898" spans="1:12" ht="17.100000000000001" customHeight="1">
      <c r="A7898" s="802" t="s">
        <v>12712</v>
      </c>
      <c r="B7898" s="802"/>
      <c r="C7898" s="802"/>
      <c r="D7898" s="802"/>
      <c r="E7898" s="802"/>
      <c r="F7898" s="802"/>
      <c r="G7898" s="802"/>
      <c r="H7898" s="802"/>
      <c r="I7898" s="612"/>
      <c r="J7898" s="612"/>
      <c r="K7898" s="612"/>
      <c r="L7898" s="612"/>
    </row>
    <row r="7899" spans="1:12" ht="24" customHeight="1">
      <c r="A7899" s="612" t="s">
        <v>13679</v>
      </c>
      <c r="B7899" s="636" t="s">
        <v>12698</v>
      </c>
      <c r="C7899" s="612" t="s">
        <v>12699</v>
      </c>
      <c r="D7899" s="612" t="s">
        <v>12700</v>
      </c>
      <c r="E7899" s="637" t="s">
        <v>12702</v>
      </c>
      <c r="F7899" s="801" t="s">
        <v>12704</v>
      </c>
      <c r="G7899" s="801"/>
      <c r="H7899" s="801" t="s">
        <v>13678</v>
      </c>
      <c r="I7899" s="801"/>
      <c r="J7899" s="801" t="s">
        <v>12705</v>
      </c>
      <c r="K7899" s="801"/>
      <c r="L7899" s="801"/>
    </row>
    <row r="7900" spans="1:12" ht="17.100000000000001" customHeight="1">
      <c r="A7900" s="626" t="s">
        <v>12709</v>
      </c>
      <c r="B7900" s="627" t="s">
        <v>13002</v>
      </c>
      <c r="C7900" s="626" t="s">
        <v>8</v>
      </c>
      <c r="D7900" s="626" t="s">
        <v>9306</v>
      </c>
      <c r="E7900" s="628" t="s">
        <v>23</v>
      </c>
      <c r="F7900" s="816" t="s">
        <v>13677</v>
      </c>
      <c r="G7900" s="816"/>
      <c r="H7900" s="816">
        <v>0.59232249999999997</v>
      </c>
      <c r="I7900" s="816"/>
      <c r="J7900" s="817">
        <v>0.20730000000000001</v>
      </c>
      <c r="K7900" s="817"/>
      <c r="L7900" s="817"/>
    </row>
    <row r="7901" spans="1:12" ht="25.5">
      <c r="A7901" s="626" t="s">
        <v>12709</v>
      </c>
      <c r="B7901" s="627" t="s">
        <v>13004</v>
      </c>
      <c r="C7901" s="626" t="s">
        <v>8</v>
      </c>
      <c r="D7901" s="626" t="s">
        <v>7388</v>
      </c>
      <c r="E7901" s="628" t="s">
        <v>23</v>
      </c>
      <c r="F7901" s="816" t="s">
        <v>13676</v>
      </c>
      <c r="G7901" s="816"/>
      <c r="H7901" s="816">
        <v>0.59232249999999997</v>
      </c>
      <c r="I7901" s="816"/>
      <c r="J7901" s="817">
        <v>1.3030999999999999</v>
      </c>
      <c r="K7901" s="817"/>
      <c r="L7901" s="817"/>
    </row>
    <row r="7902" spans="1:12" ht="17.100000000000001" customHeight="1">
      <c r="A7902" s="636"/>
      <c r="B7902" s="636"/>
      <c r="C7902" s="636"/>
      <c r="D7902" s="636"/>
      <c r="E7902" s="636"/>
      <c r="F7902" s="636"/>
      <c r="G7902" s="636"/>
      <c r="H7902" s="636"/>
      <c r="I7902" s="636"/>
      <c r="J7902" s="636" t="s">
        <v>13675</v>
      </c>
      <c r="K7902" s="636"/>
      <c r="L7902" s="636" t="s">
        <v>13948</v>
      </c>
    </row>
    <row r="7903" spans="1:12" ht="24" customHeight="1">
      <c r="A7903" s="612" t="s">
        <v>13673</v>
      </c>
      <c r="B7903" s="612"/>
      <c r="C7903" s="612"/>
      <c r="D7903" s="612"/>
      <c r="E7903" s="612"/>
      <c r="F7903" s="612"/>
      <c r="G7903" s="612"/>
      <c r="H7903" s="612"/>
      <c r="I7903" s="612"/>
      <c r="J7903" s="612"/>
      <c r="K7903" s="612"/>
      <c r="L7903" s="612"/>
    </row>
    <row r="7904" spans="1:12" ht="17.100000000000001" customHeight="1">
      <c r="A7904" s="636"/>
      <c r="B7904" s="636"/>
      <c r="C7904" s="636"/>
      <c r="D7904" s="636"/>
      <c r="E7904" s="636"/>
      <c r="F7904" s="636"/>
      <c r="G7904" s="636"/>
      <c r="H7904" s="636"/>
      <c r="I7904" s="636"/>
      <c r="J7904" s="636" t="s">
        <v>13672</v>
      </c>
      <c r="K7904" s="636"/>
      <c r="L7904" s="636" t="s">
        <v>15485</v>
      </c>
    </row>
    <row r="7905" spans="1:12">
      <c r="A7905" s="636"/>
      <c r="B7905" s="636"/>
      <c r="C7905" s="636"/>
      <c r="D7905" s="636"/>
      <c r="E7905" s="636"/>
      <c r="F7905" s="636"/>
      <c r="G7905" s="636"/>
      <c r="H7905" s="636"/>
      <c r="I7905" s="636"/>
      <c r="J7905" s="636" t="s">
        <v>13671</v>
      </c>
      <c r="K7905" s="636" t="s">
        <v>14461</v>
      </c>
      <c r="L7905" s="636" t="s">
        <v>15486</v>
      </c>
    </row>
    <row r="7906" spans="1:12" ht="17.100000000000001" customHeight="1">
      <c r="A7906" s="636"/>
      <c r="B7906" s="636"/>
      <c r="C7906" s="636"/>
      <c r="D7906" s="636"/>
      <c r="E7906" s="636"/>
      <c r="F7906" s="636"/>
      <c r="G7906" s="636"/>
      <c r="H7906" s="636"/>
      <c r="I7906" s="636"/>
      <c r="J7906" s="636" t="s">
        <v>13670</v>
      </c>
      <c r="K7906" s="636"/>
      <c r="L7906" s="636" t="s">
        <v>15487</v>
      </c>
    </row>
    <row r="7907" spans="1:12" ht="24" customHeight="1">
      <c r="A7907" s="636"/>
      <c r="B7907" s="636"/>
      <c r="C7907" s="636"/>
      <c r="D7907" s="636"/>
      <c r="E7907" s="636"/>
      <c r="F7907" s="636"/>
      <c r="G7907" s="636"/>
      <c r="H7907" s="636"/>
      <c r="I7907" s="636"/>
      <c r="J7907" s="636" t="s">
        <v>13669</v>
      </c>
      <c r="K7907" s="636" t="s">
        <v>13667</v>
      </c>
      <c r="L7907" s="636" t="s">
        <v>15488</v>
      </c>
    </row>
    <row r="7908" spans="1:12" ht="24" customHeight="1">
      <c r="A7908" s="636"/>
      <c r="B7908" s="636"/>
      <c r="C7908" s="636"/>
      <c r="D7908" s="636"/>
      <c r="E7908" s="636"/>
      <c r="F7908" s="636"/>
      <c r="G7908" s="636"/>
      <c r="H7908" s="636"/>
      <c r="I7908" s="636"/>
      <c r="J7908" s="636" t="s">
        <v>13668</v>
      </c>
      <c r="K7908" s="636"/>
      <c r="L7908" s="636" t="s">
        <v>15489</v>
      </c>
    </row>
    <row r="7909" spans="1:12" ht="17.100000000000001" customHeight="1">
      <c r="A7909" s="637"/>
      <c r="B7909" s="637"/>
      <c r="C7909" s="637"/>
      <c r="D7909" s="637"/>
      <c r="E7909" s="637"/>
      <c r="F7909" s="637"/>
      <c r="G7909" s="637"/>
      <c r="H7909" s="637"/>
      <c r="I7909" s="637"/>
      <c r="J7909" s="637"/>
      <c r="K7909" s="637"/>
      <c r="L7909" s="637"/>
    </row>
    <row r="7910" spans="1:12" ht="17.100000000000001" customHeight="1">
      <c r="A7910" s="616" t="s">
        <v>13959</v>
      </c>
      <c r="B7910" s="617" t="s">
        <v>13633</v>
      </c>
      <c r="C7910" s="616" t="s">
        <v>8</v>
      </c>
      <c r="D7910" s="616" t="s">
        <v>55</v>
      </c>
      <c r="E7910" s="618" t="s">
        <v>12730</v>
      </c>
      <c r="F7910" s="617"/>
      <c r="G7910" s="617"/>
      <c r="H7910" s="617"/>
      <c r="I7910" s="617"/>
      <c r="J7910" s="617"/>
      <c r="K7910" s="617"/>
      <c r="L7910" s="617"/>
    </row>
    <row r="7911" spans="1:12" ht="17.100000000000001" customHeight="1">
      <c r="A7911" s="802" t="s">
        <v>12711</v>
      </c>
      <c r="B7911" s="802"/>
      <c r="C7911" s="802"/>
      <c r="D7911" s="802"/>
      <c r="E7911" s="802"/>
      <c r="F7911" s="802"/>
      <c r="G7911" s="802"/>
      <c r="H7911" s="802"/>
      <c r="I7911" s="612"/>
      <c r="J7911" s="612"/>
      <c r="K7911" s="612"/>
      <c r="L7911" s="612"/>
    </row>
    <row r="7912" spans="1:12" ht="17.100000000000001" customHeight="1">
      <c r="A7912" s="612" t="s">
        <v>13679</v>
      </c>
      <c r="B7912" s="636" t="s">
        <v>12698</v>
      </c>
      <c r="C7912" s="612" t="s">
        <v>12699</v>
      </c>
      <c r="D7912" s="612" t="s">
        <v>12700</v>
      </c>
      <c r="E7912" s="637" t="s">
        <v>12702</v>
      </c>
      <c r="F7912" s="801" t="s">
        <v>12704</v>
      </c>
      <c r="G7912" s="801"/>
      <c r="H7912" s="801" t="s">
        <v>13678</v>
      </c>
      <c r="I7912" s="801"/>
      <c r="J7912" s="801" t="s">
        <v>12705</v>
      </c>
      <c r="K7912" s="801"/>
      <c r="L7912" s="801"/>
    </row>
    <row r="7913" spans="1:12" ht="17.100000000000001" customHeight="1">
      <c r="A7913" s="626" t="s">
        <v>12709</v>
      </c>
      <c r="B7913" s="627" t="s">
        <v>12989</v>
      </c>
      <c r="C7913" s="626" t="s">
        <v>8</v>
      </c>
      <c r="D7913" s="626" t="s">
        <v>12342</v>
      </c>
      <c r="E7913" s="628" t="s">
        <v>35</v>
      </c>
      <c r="F7913" s="816" t="s">
        <v>14494</v>
      </c>
      <c r="G7913" s="816"/>
      <c r="H7913" s="816">
        <v>3.3110000000000002E-4</v>
      </c>
      <c r="I7913" s="816"/>
      <c r="J7913" s="817">
        <v>0.80200000000000005</v>
      </c>
      <c r="K7913" s="817"/>
      <c r="L7913" s="817"/>
    </row>
    <row r="7914" spans="1:12" ht="17.100000000000001" customHeight="1">
      <c r="A7914" s="626" t="s">
        <v>12709</v>
      </c>
      <c r="B7914" s="627" t="s">
        <v>13032</v>
      </c>
      <c r="C7914" s="626" t="s">
        <v>8</v>
      </c>
      <c r="D7914" s="626" t="s">
        <v>9217</v>
      </c>
      <c r="E7914" s="628" t="s">
        <v>23</v>
      </c>
      <c r="F7914" s="816" t="s">
        <v>13741</v>
      </c>
      <c r="G7914" s="816"/>
      <c r="H7914" s="816">
        <v>1.8448028999999999</v>
      </c>
      <c r="I7914" s="816"/>
      <c r="J7914" s="817">
        <v>1.9923999999999999</v>
      </c>
      <c r="K7914" s="817"/>
      <c r="L7914" s="817"/>
    </row>
    <row r="7915" spans="1:12" ht="17.100000000000001" customHeight="1">
      <c r="A7915" s="626" t="s">
        <v>12709</v>
      </c>
      <c r="B7915" s="627" t="s">
        <v>13031</v>
      </c>
      <c r="C7915" s="626" t="s">
        <v>8</v>
      </c>
      <c r="D7915" s="626" t="s">
        <v>9364</v>
      </c>
      <c r="E7915" s="628" t="s">
        <v>23</v>
      </c>
      <c r="F7915" s="816" t="s">
        <v>13740</v>
      </c>
      <c r="G7915" s="816"/>
      <c r="H7915" s="816">
        <v>1.8448028999999999</v>
      </c>
      <c r="I7915" s="816"/>
      <c r="J7915" s="817">
        <v>0.62719999999999998</v>
      </c>
      <c r="K7915" s="817"/>
      <c r="L7915" s="817"/>
    </row>
    <row r="7916" spans="1:12" ht="30" customHeight="1">
      <c r="A7916" s="626" t="s">
        <v>12709</v>
      </c>
      <c r="B7916" s="627" t="s">
        <v>13052</v>
      </c>
      <c r="C7916" s="626" t="s">
        <v>8</v>
      </c>
      <c r="D7916" s="626" t="s">
        <v>9229</v>
      </c>
      <c r="E7916" s="628" t="s">
        <v>23</v>
      </c>
      <c r="F7916" s="816" t="s">
        <v>13692</v>
      </c>
      <c r="G7916" s="816"/>
      <c r="H7916" s="816">
        <v>1.8448028999999999</v>
      </c>
      <c r="I7916" s="816"/>
      <c r="J7916" s="817">
        <v>1.7709999999999999</v>
      </c>
      <c r="K7916" s="817"/>
      <c r="L7916" s="817"/>
    </row>
    <row r="7917" spans="1:12" ht="24" customHeight="1">
      <c r="A7917" s="626" t="s">
        <v>12709</v>
      </c>
      <c r="B7917" s="627" t="s">
        <v>13051</v>
      </c>
      <c r="C7917" s="626" t="s">
        <v>8</v>
      </c>
      <c r="D7917" s="626" t="s">
        <v>9376</v>
      </c>
      <c r="E7917" s="628" t="s">
        <v>23</v>
      </c>
      <c r="F7917" s="816" t="s">
        <v>13691</v>
      </c>
      <c r="G7917" s="816"/>
      <c r="H7917" s="816">
        <v>1.8448028999999999</v>
      </c>
      <c r="I7917" s="816"/>
      <c r="J7917" s="817">
        <v>0.9224</v>
      </c>
      <c r="K7917" s="817"/>
      <c r="L7917" s="817"/>
    </row>
    <row r="7918" spans="1:12" ht="14.25" customHeight="1">
      <c r="A7918" s="626" t="s">
        <v>12709</v>
      </c>
      <c r="B7918" s="627" t="s">
        <v>13048</v>
      </c>
      <c r="C7918" s="626" t="s">
        <v>8</v>
      </c>
      <c r="D7918" s="626" t="s">
        <v>9233</v>
      </c>
      <c r="E7918" s="628" t="s">
        <v>23</v>
      </c>
      <c r="F7918" s="816" t="s">
        <v>13690</v>
      </c>
      <c r="G7918" s="816"/>
      <c r="H7918" s="816">
        <v>5.5344085999999999</v>
      </c>
      <c r="I7918" s="816"/>
      <c r="J7918" s="817">
        <v>5.6451000000000002</v>
      </c>
      <c r="K7918" s="817"/>
      <c r="L7918" s="817"/>
    </row>
    <row r="7919" spans="1:12" ht="17.100000000000001" customHeight="1">
      <c r="A7919" s="626" t="s">
        <v>12709</v>
      </c>
      <c r="B7919" s="627" t="s">
        <v>13047</v>
      </c>
      <c r="C7919" s="626" t="s">
        <v>8</v>
      </c>
      <c r="D7919" s="626" t="s">
        <v>9380</v>
      </c>
      <c r="E7919" s="628" t="s">
        <v>23</v>
      </c>
      <c r="F7919" s="816" t="s">
        <v>13689</v>
      </c>
      <c r="G7919" s="816"/>
      <c r="H7919" s="816">
        <v>5.5344085999999999</v>
      </c>
      <c r="I7919" s="816"/>
      <c r="J7919" s="817">
        <v>2.1031</v>
      </c>
      <c r="K7919" s="817"/>
      <c r="L7919" s="817"/>
    </row>
    <row r="7920" spans="1:12" ht="24" customHeight="1">
      <c r="A7920" s="636"/>
      <c r="B7920" s="636"/>
      <c r="C7920" s="636"/>
      <c r="D7920" s="636"/>
      <c r="E7920" s="636"/>
      <c r="F7920" s="636"/>
      <c r="G7920" s="636"/>
      <c r="H7920" s="636"/>
      <c r="I7920" s="636"/>
      <c r="J7920" s="636" t="s">
        <v>13675</v>
      </c>
      <c r="K7920" s="636"/>
      <c r="L7920" s="636" t="s">
        <v>14493</v>
      </c>
    </row>
    <row r="7921" spans="1:12" ht="24" customHeight="1">
      <c r="A7921" s="802" t="s">
        <v>12710</v>
      </c>
      <c r="B7921" s="802"/>
      <c r="C7921" s="802"/>
      <c r="D7921" s="802"/>
      <c r="E7921" s="802"/>
      <c r="F7921" s="802"/>
      <c r="G7921" s="802"/>
      <c r="H7921" s="802"/>
      <c r="I7921" s="612"/>
      <c r="J7921" s="612"/>
      <c r="K7921" s="612"/>
      <c r="L7921" s="612"/>
    </row>
    <row r="7922" spans="1:12" ht="24" customHeight="1">
      <c r="A7922" s="612" t="s">
        <v>13679</v>
      </c>
      <c r="B7922" s="636" t="s">
        <v>12698</v>
      </c>
      <c r="C7922" s="612" t="s">
        <v>12699</v>
      </c>
      <c r="D7922" s="612" t="s">
        <v>12700</v>
      </c>
      <c r="E7922" s="637" t="s">
        <v>12702</v>
      </c>
      <c r="F7922" s="801" t="s">
        <v>12704</v>
      </c>
      <c r="G7922" s="801"/>
      <c r="H7922" s="801" t="s">
        <v>13678</v>
      </c>
      <c r="I7922" s="801"/>
      <c r="J7922" s="801" t="s">
        <v>12705</v>
      </c>
      <c r="K7922" s="801"/>
      <c r="L7922" s="801"/>
    </row>
    <row r="7923" spans="1:12" ht="24" customHeight="1">
      <c r="A7923" s="626" t="s">
        <v>12709</v>
      </c>
      <c r="B7923" s="627" t="s">
        <v>13212</v>
      </c>
      <c r="C7923" s="626" t="s">
        <v>8</v>
      </c>
      <c r="D7923" s="626" t="s">
        <v>8293</v>
      </c>
      <c r="E7923" s="628" t="s">
        <v>23</v>
      </c>
      <c r="F7923" s="816" t="s">
        <v>14470</v>
      </c>
      <c r="G7923" s="816"/>
      <c r="H7923" s="816">
        <v>1.8599138</v>
      </c>
      <c r="I7923" s="816"/>
      <c r="J7923" s="817">
        <v>12.852</v>
      </c>
      <c r="K7923" s="817"/>
      <c r="L7923" s="817"/>
    </row>
    <row r="7924" spans="1:12" ht="17.100000000000001" customHeight="1">
      <c r="A7924" s="626" t="s">
        <v>12709</v>
      </c>
      <c r="B7924" s="627" t="s">
        <v>13099</v>
      </c>
      <c r="C7924" s="626" t="s">
        <v>8</v>
      </c>
      <c r="D7924" s="626" t="s">
        <v>10726</v>
      </c>
      <c r="E7924" s="628" t="s">
        <v>23</v>
      </c>
      <c r="F7924" s="816" t="s">
        <v>14470</v>
      </c>
      <c r="G7924" s="816"/>
      <c r="H7924" s="816">
        <v>1.8722776000000001</v>
      </c>
      <c r="I7924" s="816"/>
      <c r="J7924" s="817">
        <v>12.9374</v>
      </c>
      <c r="K7924" s="817"/>
      <c r="L7924" s="817"/>
    </row>
    <row r="7925" spans="1:12" ht="14.25" customHeight="1">
      <c r="A7925" s="626" t="s">
        <v>12709</v>
      </c>
      <c r="B7925" s="627" t="s">
        <v>13046</v>
      </c>
      <c r="C7925" s="626" t="s">
        <v>8</v>
      </c>
      <c r="D7925" s="626" t="s">
        <v>11281</v>
      </c>
      <c r="E7925" s="628" t="s">
        <v>23</v>
      </c>
      <c r="F7925" s="816" t="s">
        <v>13731</v>
      </c>
      <c r="G7925" s="816"/>
      <c r="H7925" s="816">
        <v>5.6168328000000001</v>
      </c>
      <c r="I7925" s="816"/>
      <c r="J7925" s="817">
        <v>28.8705</v>
      </c>
      <c r="K7925" s="817"/>
      <c r="L7925" s="817"/>
    </row>
    <row r="7926" spans="1:12" ht="17.100000000000001" customHeight="1">
      <c r="A7926" s="636"/>
      <c r="B7926" s="636"/>
      <c r="C7926" s="636"/>
      <c r="D7926" s="636"/>
      <c r="E7926" s="636"/>
      <c r="F7926" s="636"/>
      <c r="G7926" s="636"/>
      <c r="H7926" s="636"/>
      <c r="I7926" s="636"/>
      <c r="J7926" s="636" t="s">
        <v>13675</v>
      </c>
      <c r="K7926" s="636"/>
      <c r="L7926" s="636" t="s">
        <v>14492</v>
      </c>
    </row>
    <row r="7927" spans="1:12" ht="24" customHeight="1">
      <c r="A7927" s="802" t="s">
        <v>12720</v>
      </c>
      <c r="B7927" s="802"/>
      <c r="C7927" s="802"/>
      <c r="D7927" s="802"/>
      <c r="E7927" s="802"/>
      <c r="F7927" s="802"/>
      <c r="G7927" s="802"/>
      <c r="H7927" s="802"/>
      <c r="I7927" s="612"/>
      <c r="J7927" s="612"/>
      <c r="K7927" s="612"/>
      <c r="L7927" s="612"/>
    </row>
    <row r="7928" spans="1:12" ht="24" customHeight="1">
      <c r="A7928" s="612" t="s">
        <v>13679</v>
      </c>
      <c r="B7928" s="636" t="s">
        <v>12698</v>
      </c>
      <c r="C7928" s="612" t="s">
        <v>12699</v>
      </c>
      <c r="D7928" s="612" t="s">
        <v>12700</v>
      </c>
      <c r="E7928" s="637" t="s">
        <v>12702</v>
      </c>
      <c r="F7928" s="801" t="s">
        <v>12704</v>
      </c>
      <c r="G7928" s="801"/>
      <c r="H7928" s="801" t="s">
        <v>13678</v>
      </c>
      <c r="I7928" s="801"/>
      <c r="J7928" s="801" t="s">
        <v>12705</v>
      </c>
      <c r="K7928" s="801"/>
      <c r="L7928" s="801"/>
    </row>
    <row r="7929" spans="1:12" ht="17.100000000000001" customHeight="1">
      <c r="A7929" s="626" t="s">
        <v>12709</v>
      </c>
      <c r="B7929" s="627" t="s">
        <v>12987</v>
      </c>
      <c r="C7929" s="626" t="s">
        <v>8</v>
      </c>
      <c r="D7929" s="626" t="s">
        <v>9192</v>
      </c>
      <c r="E7929" s="628" t="s">
        <v>12923</v>
      </c>
      <c r="F7929" s="816" t="s">
        <v>13999</v>
      </c>
      <c r="G7929" s="816"/>
      <c r="H7929" s="816">
        <v>0.83945530000000002</v>
      </c>
      <c r="I7929" s="816"/>
      <c r="J7929" s="817">
        <v>0.68</v>
      </c>
      <c r="K7929" s="817"/>
      <c r="L7929" s="817"/>
    </row>
    <row r="7930" spans="1:12">
      <c r="A7930" s="636"/>
      <c r="B7930" s="636"/>
      <c r="C7930" s="636"/>
      <c r="D7930" s="636"/>
      <c r="E7930" s="636"/>
      <c r="F7930" s="636"/>
      <c r="G7930" s="636"/>
      <c r="H7930" s="636"/>
      <c r="I7930" s="636"/>
      <c r="J7930" s="636" t="s">
        <v>13675</v>
      </c>
      <c r="K7930" s="636"/>
      <c r="L7930" s="636" t="s">
        <v>13827</v>
      </c>
    </row>
    <row r="7931" spans="1:12" ht="17.100000000000001" customHeight="1">
      <c r="A7931" s="802" t="s">
        <v>12722</v>
      </c>
      <c r="B7931" s="802"/>
      <c r="C7931" s="802"/>
      <c r="D7931" s="802"/>
      <c r="E7931" s="802"/>
      <c r="F7931" s="802"/>
      <c r="G7931" s="802"/>
      <c r="H7931" s="802"/>
      <c r="I7931" s="612"/>
      <c r="J7931" s="612"/>
      <c r="K7931" s="612"/>
      <c r="L7931" s="612"/>
    </row>
    <row r="7932" spans="1:12" ht="24" customHeight="1">
      <c r="A7932" s="612" t="s">
        <v>13679</v>
      </c>
      <c r="B7932" s="636" t="s">
        <v>12698</v>
      </c>
      <c r="C7932" s="612" t="s">
        <v>12699</v>
      </c>
      <c r="D7932" s="612" t="s">
        <v>12700</v>
      </c>
      <c r="E7932" s="637" t="s">
        <v>12702</v>
      </c>
      <c r="F7932" s="801" t="s">
        <v>12704</v>
      </c>
      <c r="G7932" s="801"/>
      <c r="H7932" s="801" t="s">
        <v>13678</v>
      </c>
      <c r="I7932" s="801"/>
      <c r="J7932" s="801" t="s">
        <v>12705</v>
      </c>
      <c r="K7932" s="801"/>
      <c r="L7932" s="801"/>
    </row>
    <row r="7933" spans="1:12" ht="17.100000000000001" customHeight="1">
      <c r="A7933" s="626" t="s">
        <v>12709</v>
      </c>
      <c r="B7933" s="627" t="s">
        <v>12998</v>
      </c>
      <c r="C7933" s="626" t="s">
        <v>8</v>
      </c>
      <c r="D7933" s="626" t="s">
        <v>11861</v>
      </c>
      <c r="E7933" s="628" t="s">
        <v>23</v>
      </c>
      <c r="F7933" s="816" t="s">
        <v>13683</v>
      </c>
      <c r="G7933" s="816"/>
      <c r="H7933" s="816">
        <v>9.2240143000000003</v>
      </c>
      <c r="I7933" s="816"/>
      <c r="J7933" s="817">
        <v>6.5491000000000001</v>
      </c>
      <c r="K7933" s="817"/>
      <c r="L7933" s="817"/>
    </row>
    <row r="7934" spans="1:12">
      <c r="A7934" s="636"/>
      <c r="B7934" s="636"/>
      <c r="C7934" s="636"/>
      <c r="D7934" s="636"/>
      <c r="E7934" s="636"/>
      <c r="F7934" s="636"/>
      <c r="G7934" s="636"/>
      <c r="H7934" s="636"/>
      <c r="I7934" s="636"/>
      <c r="J7934" s="636" t="s">
        <v>13675</v>
      </c>
      <c r="K7934" s="636"/>
      <c r="L7934" s="636" t="s">
        <v>13739</v>
      </c>
    </row>
    <row r="7935" spans="1:12" ht="17.100000000000001" customHeight="1">
      <c r="A7935" s="802" t="s">
        <v>12713</v>
      </c>
      <c r="B7935" s="802"/>
      <c r="C7935" s="802"/>
      <c r="D7935" s="802"/>
      <c r="E7935" s="802"/>
      <c r="F7935" s="802"/>
      <c r="G7935" s="802"/>
      <c r="H7935" s="802"/>
      <c r="I7935" s="612"/>
      <c r="J7935" s="612"/>
      <c r="K7935" s="612"/>
      <c r="L7935" s="612"/>
    </row>
    <row r="7936" spans="1:12" ht="24" customHeight="1">
      <c r="A7936" s="612" t="s">
        <v>13679</v>
      </c>
      <c r="B7936" s="636" t="s">
        <v>12698</v>
      </c>
      <c r="C7936" s="612" t="s">
        <v>12699</v>
      </c>
      <c r="D7936" s="612" t="s">
        <v>12700</v>
      </c>
      <c r="E7936" s="637" t="s">
        <v>12702</v>
      </c>
      <c r="F7936" s="801" t="s">
        <v>12704</v>
      </c>
      <c r="G7936" s="801"/>
      <c r="H7936" s="801" t="s">
        <v>13678</v>
      </c>
      <c r="I7936" s="801"/>
      <c r="J7936" s="801" t="s">
        <v>12705</v>
      </c>
      <c r="K7936" s="801"/>
      <c r="L7936" s="801"/>
    </row>
    <row r="7937" spans="1:12" ht="17.100000000000001" customHeight="1">
      <c r="A7937" s="626" t="s">
        <v>12709</v>
      </c>
      <c r="B7937" s="627" t="s">
        <v>12999</v>
      </c>
      <c r="C7937" s="626" t="s">
        <v>8</v>
      </c>
      <c r="D7937" s="626" t="s">
        <v>11251</v>
      </c>
      <c r="E7937" s="628" t="s">
        <v>23</v>
      </c>
      <c r="F7937" s="816" t="s">
        <v>13681</v>
      </c>
      <c r="G7937" s="816"/>
      <c r="H7937" s="816">
        <v>9.2240143000000003</v>
      </c>
      <c r="I7937" s="816"/>
      <c r="J7937" s="817">
        <v>0.64570000000000005</v>
      </c>
      <c r="K7937" s="817"/>
      <c r="L7937" s="817"/>
    </row>
    <row r="7938" spans="1:12">
      <c r="A7938" s="636"/>
      <c r="B7938" s="636"/>
      <c r="C7938" s="636"/>
      <c r="D7938" s="636"/>
      <c r="E7938" s="636"/>
      <c r="F7938" s="636"/>
      <c r="G7938" s="636"/>
      <c r="H7938" s="636"/>
      <c r="I7938" s="636"/>
      <c r="J7938" s="636" t="s">
        <v>13675</v>
      </c>
      <c r="K7938" s="636"/>
      <c r="L7938" s="636" t="s">
        <v>13738</v>
      </c>
    </row>
    <row r="7939" spans="1:12" ht="17.100000000000001" customHeight="1">
      <c r="A7939" s="802" t="s">
        <v>12712</v>
      </c>
      <c r="B7939" s="802"/>
      <c r="C7939" s="802"/>
      <c r="D7939" s="802"/>
      <c r="E7939" s="802"/>
      <c r="F7939" s="802"/>
      <c r="G7939" s="802"/>
      <c r="H7939" s="802"/>
      <c r="I7939" s="612"/>
      <c r="J7939" s="612"/>
      <c r="K7939" s="612"/>
      <c r="L7939" s="612"/>
    </row>
    <row r="7940" spans="1:12" ht="24" customHeight="1">
      <c r="A7940" s="612" t="s">
        <v>13679</v>
      </c>
      <c r="B7940" s="636" t="s">
        <v>12698</v>
      </c>
      <c r="C7940" s="612" t="s">
        <v>12699</v>
      </c>
      <c r="D7940" s="612" t="s">
        <v>12700</v>
      </c>
      <c r="E7940" s="637" t="s">
        <v>12702</v>
      </c>
      <c r="F7940" s="801" t="s">
        <v>12704</v>
      </c>
      <c r="G7940" s="801"/>
      <c r="H7940" s="801" t="s">
        <v>13678</v>
      </c>
      <c r="I7940" s="801"/>
      <c r="J7940" s="801" t="s">
        <v>12705</v>
      </c>
      <c r="K7940" s="801"/>
      <c r="L7940" s="801"/>
    </row>
    <row r="7941" spans="1:12" ht="24" customHeight="1">
      <c r="A7941" s="626" t="s">
        <v>12709</v>
      </c>
      <c r="B7941" s="627" t="s">
        <v>13002</v>
      </c>
      <c r="C7941" s="626" t="s">
        <v>8</v>
      </c>
      <c r="D7941" s="626" t="s">
        <v>9306</v>
      </c>
      <c r="E7941" s="628" t="s">
        <v>23</v>
      </c>
      <c r="F7941" s="816" t="s">
        <v>13677</v>
      </c>
      <c r="G7941" s="816"/>
      <c r="H7941" s="816">
        <v>9.2240143000000003</v>
      </c>
      <c r="I7941" s="816"/>
      <c r="J7941" s="817">
        <v>3.2284000000000002</v>
      </c>
      <c r="K7941" s="817"/>
      <c r="L7941" s="817"/>
    </row>
    <row r="7942" spans="1:12" ht="17.100000000000001" customHeight="1">
      <c r="A7942" s="626" t="s">
        <v>12709</v>
      </c>
      <c r="B7942" s="627" t="s">
        <v>13004</v>
      </c>
      <c r="C7942" s="626" t="s">
        <v>8</v>
      </c>
      <c r="D7942" s="626" t="s">
        <v>7388</v>
      </c>
      <c r="E7942" s="628" t="s">
        <v>23</v>
      </c>
      <c r="F7942" s="816" t="s">
        <v>13676</v>
      </c>
      <c r="G7942" s="816"/>
      <c r="H7942" s="816">
        <v>9.2240143000000003</v>
      </c>
      <c r="I7942" s="816"/>
      <c r="J7942" s="817">
        <v>20.2928</v>
      </c>
      <c r="K7942" s="817"/>
      <c r="L7942" s="817"/>
    </row>
    <row r="7943" spans="1:12" ht="17.100000000000001" customHeight="1">
      <c r="A7943" s="636"/>
      <c r="B7943" s="636"/>
      <c r="C7943" s="636"/>
      <c r="D7943" s="636"/>
      <c r="E7943" s="636"/>
      <c r="F7943" s="636"/>
      <c r="G7943" s="636"/>
      <c r="H7943" s="636"/>
      <c r="I7943" s="636"/>
      <c r="J7943" s="636" t="s">
        <v>13675</v>
      </c>
      <c r="K7943" s="636"/>
      <c r="L7943" s="636" t="s">
        <v>13737</v>
      </c>
    </row>
    <row r="7944" spans="1:12" ht="17.100000000000001" customHeight="1">
      <c r="A7944" s="612" t="s">
        <v>13673</v>
      </c>
      <c r="B7944" s="612"/>
      <c r="C7944" s="612"/>
      <c r="D7944" s="612"/>
      <c r="E7944" s="612"/>
      <c r="F7944" s="612"/>
      <c r="G7944" s="612"/>
      <c r="H7944" s="612"/>
      <c r="I7944" s="612"/>
      <c r="J7944" s="612"/>
      <c r="K7944" s="612"/>
      <c r="L7944" s="612"/>
    </row>
    <row r="7945" spans="1:12" ht="17.100000000000001" customHeight="1">
      <c r="A7945" s="636"/>
      <c r="B7945" s="636"/>
      <c r="C7945" s="636"/>
      <c r="D7945" s="636"/>
      <c r="E7945" s="636"/>
      <c r="F7945" s="636"/>
      <c r="G7945" s="636"/>
      <c r="H7945" s="636"/>
      <c r="I7945" s="636"/>
      <c r="J7945" s="636" t="s">
        <v>13672</v>
      </c>
      <c r="K7945" s="636"/>
      <c r="L7945" s="636" t="s">
        <v>14992</v>
      </c>
    </row>
    <row r="7946" spans="1:12" ht="17.100000000000001" customHeight="1">
      <c r="A7946" s="636"/>
      <c r="B7946" s="636"/>
      <c r="C7946" s="636"/>
      <c r="D7946" s="636"/>
      <c r="E7946" s="636"/>
      <c r="F7946" s="636"/>
      <c r="G7946" s="636"/>
      <c r="H7946" s="636"/>
      <c r="I7946" s="636"/>
      <c r="J7946" s="636" t="s">
        <v>13671</v>
      </c>
      <c r="K7946" s="636" t="s">
        <v>14461</v>
      </c>
      <c r="L7946" s="636" t="s">
        <v>14993</v>
      </c>
    </row>
    <row r="7947" spans="1:12" ht="17.100000000000001" customHeight="1">
      <c r="A7947" s="636"/>
      <c r="B7947" s="636"/>
      <c r="C7947" s="636"/>
      <c r="D7947" s="636"/>
      <c r="E7947" s="636"/>
      <c r="F7947" s="636"/>
      <c r="G7947" s="636"/>
      <c r="H7947" s="636"/>
      <c r="I7947" s="636"/>
      <c r="J7947" s="636" t="s">
        <v>13670</v>
      </c>
      <c r="K7947" s="636"/>
      <c r="L7947" s="636" t="s">
        <v>14994</v>
      </c>
    </row>
    <row r="7948" spans="1:12" ht="17.100000000000001" customHeight="1">
      <c r="A7948" s="636"/>
      <c r="B7948" s="636"/>
      <c r="C7948" s="636"/>
      <c r="D7948" s="636"/>
      <c r="E7948" s="636"/>
      <c r="F7948" s="636"/>
      <c r="G7948" s="636"/>
      <c r="H7948" s="636"/>
      <c r="I7948" s="636"/>
      <c r="J7948" s="636" t="s">
        <v>13669</v>
      </c>
      <c r="K7948" s="636" t="s">
        <v>13667</v>
      </c>
      <c r="L7948" s="636" t="s">
        <v>14995</v>
      </c>
    </row>
    <row r="7949" spans="1:12" ht="30" customHeight="1">
      <c r="A7949" s="636"/>
      <c r="B7949" s="636"/>
      <c r="C7949" s="636"/>
      <c r="D7949" s="636"/>
      <c r="E7949" s="636"/>
      <c r="F7949" s="636"/>
      <c r="G7949" s="636"/>
      <c r="H7949" s="636"/>
      <c r="I7949" s="636"/>
      <c r="J7949" s="636" t="s">
        <v>13668</v>
      </c>
      <c r="K7949" s="636"/>
      <c r="L7949" s="636" t="s">
        <v>14996</v>
      </c>
    </row>
    <row r="7950" spans="1:12" ht="24" customHeight="1">
      <c r="A7950" s="637"/>
      <c r="B7950" s="637"/>
      <c r="C7950" s="637"/>
      <c r="D7950" s="637"/>
      <c r="E7950" s="637"/>
      <c r="F7950" s="637"/>
      <c r="G7950" s="637"/>
      <c r="H7950" s="637"/>
      <c r="I7950" s="637"/>
      <c r="J7950" s="637"/>
      <c r="K7950" s="637"/>
      <c r="L7950" s="637"/>
    </row>
    <row r="7951" spans="1:12" ht="14.25" customHeight="1">
      <c r="A7951" s="616" t="s">
        <v>13958</v>
      </c>
      <c r="B7951" s="617" t="s">
        <v>13450</v>
      </c>
      <c r="C7951" s="616" t="s">
        <v>8</v>
      </c>
      <c r="D7951" s="616" t="s">
        <v>3078</v>
      </c>
      <c r="E7951" s="618" t="s">
        <v>35</v>
      </c>
      <c r="F7951" s="617"/>
      <c r="G7951" s="617"/>
      <c r="H7951" s="617"/>
      <c r="I7951" s="617"/>
      <c r="J7951" s="617"/>
      <c r="K7951" s="617"/>
      <c r="L7951" s="617"/>
    </row>
    <row r="7952" spans="1:12" ht="17.100000000000001" customHeight="1">
      <c r="A7952" s="802" t="s">
        <v>12711</v>
      </c>
      <c r="B7952" s="802"/>
      <c r="C7952" s="802"/>
      <c r="D7952" s="802"/>
      <c r="E7952" s="802"/>
      <c r="F7952" s="802"/>
      <c r="G7952" s="802"/>
      <c r="H7952" s="802"/>
      <c r="I7952" s="612"/>
      <c r="J7952" s="612"/>
      <c r="K7952" s="612"/>
      <c r="L7952" s="612"/>
    </row>
    <row r="7953" spans="1:12" ht="24" customHeight="1">
      <c r="A7953" s="612" t="s">
        <v>13679</v>
      </c>
      <c r="B7953" s="636" t="s">
        <v>12698</v>
      </c>
      <c r="C7953" s="612" t="s">
        <v>12699</v>
      </c>
      <c r="D7953" s="612" t="s">
        <v>12700</v>
      </c>
      <c r="E7953" s="637" t="s">
        <v>12702</v>
      </c>
      <c r="F7953" s="801" t="s">
        <v>12704</v>
      </c>
      <c r="G7953" s="801"/>
      <c r="H7953" s="801" t="s">
        <v>13678</v>
      </c>
      <c r="I7953" s="801"/>
      <c r="J7953" s="801" t="s">
        <v>12705</v>
      </c>
      <c r="K7953" s="801"/>
      <c r="L7953" s="801"/>
    </row>
    <row r="7954" spans="1:12" ht="24" customHeight="1">
      <c r="A7954" s="626" t="s">
        <v>12709</v>
      </c>
      <c r="B7954" s="627" t="s">
        <v>13201</v>
      </c>
      <c r="C7954" s="626" t="s">
        <v>8</v>
      </c>
      <c r="D7954" s="626" t="s">
        <v>9221</v>
      </c>
      <c r="E7954" s="628" t="s">
        <v>23</v>
      </c>
      <c r="F7954" s="816" t="s">
        <v>13705</v>
      </c>
      <c r="G7954" s="816"/>
      <c r="H7954" s="816">
        <v>0.5919586</v>
      </c>
      <c r="I7954" s="816"/>
      <c r="J7954" s="817">
        <v>0.49130000000000001</v>
      </c>
      <c r="K7954" s="817"/>
      <c r="L7954" s="817"/>
    </row>
    <row r="7955" spans="1:12" ht="17.100000000000001" customHeight="1">
      <c r="A7955" s="626" t="s">
        <v>12709</v>
      </c>
      <c r="B7955" s="627" t="s">
        <v>13200</v>
      </c>
      <c r="C7955" s="626" t="s">
        <v>8</v>
      </c>
      <c r="D7955" s="626" t="s">
        <v>9368</v>
      </c>
      <c r="E7955" s="628" t="s">
        <v>23</v>
      </c>
      <c r="F7955" s="816" t="s">
        <v>13704</v>
      </c>
      <c r="G7955" s="816"/>
      <c r="H7955" s="816">
        <v>0.5919586</v>
      </c>
      <c r="I7955" s="816"/>
      <c r="J7955" s="817">
        <v>0.1421</v>
      </c>
      <c r="K7955" s="817"/>
      <c r="L7955" s="817"/>
    </row>
    <row r="7956" spans="1:12" ht="14.25" customHeight="1">
      <c r="A7956" s="636"/>
      <c r="B7956" s="636"/>
      <c r="C7956" s="636"/>
      <c r="D7956" s="636"/>
      <c r="E7956" s="636"/>
      <c r="F7956" s="636"/>
      <c r="G7956" s="636"/>
      <c r="H7956" s="636"/>
      <c r="I7956" s="636"/>
      <c r="J7956" s="636" t="s">
        <v>13675</v>
      </c>
      <c r="K7956" s="636"/>
      <c r="L7956" s="636" t="s">
        <v>13674</v>
      </c>
    </row>
    <row r="7957" spans="1:12" ht="17.100000000000001" customHeight="1">
      <c r="A7957" s="802" t="s">
        <v>12710</v>
      </c>
      <c r="B7957" s="802"/>
      <c r="C7957" s="802"/>
      <c r="D7957" s="802"/>
      <c r="E7957" s="802"/>
      <c r="F7957" s="802"/>
      <c r="G7957" s="802"/>
      <c r="H7957" s="802"/>
      <c r="I7957" s="612"/>
      <c r="J7957" s="612"/>
      <c r="K7957" s="612"/>
      <c r="L7957" s="612"/>
    </row>
    <row r="7958" spans="1:12" ht="24" customHeight="1">
      <c r="A7958" s="612" t="s">
        <v>13679</v>
      </c>
      <c r="B7958" s="636" t="s">
        <v>12698</v>
      </c>
      <c r="C7958" s="612" t="s">
        <v>12699</v>
      </c>
      <c r="D7958" s="612" t="s">
        <v>12700</v>
      </c>
      <c r="E7958" s="637" t="s">
        <v>12702</v>
      </c>
      <c r="F7958" s="801" t="s">
        <v>12704</v>
      </c>
      <c r="G7958" s="801"/>
      <c r="H7958" s="801" t="s">
        <v>13678</v>
      </c>
      <c r="I7958" s="801"/>
      <c r="J7958" s="801" t="s">
        <v>12705</v>
      </c>
      <c r="K7958" s="801"/>
      <c r="L7958" s="801"/>
    </row>
    <row r="7959" spans="1:12" ht="17.100000000000001" customHeight="1">
      <c r="A7959" s="626" t="s">
        <v>12709</v>
      </c>
      <c r="B7959" s="627" t="s">
        <v>13220</v>
      </c>
      <c r="C7959" s="626" t="s">
        <v>8</v>
      </c>
      <c r="D7959" s="626" t="s">
        <v>7592</v>
      </c>
      <c r="E7959" s="628" t="s">
        <v>23</v>
      </c>
      <c r="F7959" s="816" t="s">
        <v>13890</v>
      </c>
      <c r="G7959" s="816"/>
      <c r="H7959" s="816">
        <v>0.30018519999999999</v>
      </c>
      <c r="I7959" s="816"/>
      <c r="J7959" s="817">
        <v>1.5188999999999999</v>
      </c>
      <c r="K7959" s="817"/>
      <c r="L7959" s="817"/>
    </row>
    <row r="7960" spans="1:12" ht="25.5">
      <c r="A7960" s="626" t="s">
        <v>12709</v>
      </c>
      <c r="B7960" s="627" t="s">
        <v>13202</v>
      </c>
      <c r="C7960" s="626" t="s">
        <v>8</v>
      </c>
      <c r="D7960" s="626" t="s">
        <v>9187</v>
      </c>
      <c r="E7960" s="628" t="s">
        <v>23</v>
      </c>
      <c r="F7960" s="816" t="s">
        <v>14479</v>
      </c>
      <c r="G7960" s="816"/>
      <c r="H7960" s="816">
        <v>0.30018519999999999</v>
      </c>
      <c r="I7960" s="816"/>
      <c r="J7960" s="817">
        <v>2.1463000000000001</v>
      </c>
      <c r="K7960" s="817"/>
      <c r="L7960" s="817"/>
    </row>
    <row r="7961" spans="1:12" ht="17.100000000000001" customHeight="1">
      <c r="A7961" s="636"/>
      <c r="B7961" s="636"/>
      <c r="C7961" s="636"/>
      <c r="D7961" s="636"/>
      <c r="E7961" s="636"/>
      <c r="F7961" s="636"/>
      <c r="G7961" s="636"/>
      <c r="H7961" s="636"/>
      <c r="I7961" s="636"/>
      <c r="J7961" s="636" t="s">
        <v>13675</v>
      </c>
      <c r="K7961" s="636"/>
      <c r="L7961" s="636" t="s">
        <v>14114</v>
      </c>
    </row>
    <row r="7962" spans="1:12" ht="24" customHeight="1">
      <c r="A7962" s="802" t="s">
        <v>12720</v>
      </c>
      <c r="B7962" s="802"/>
      <c r="C7962" s="802"/>
      <c r="D7962" s="802"/>
      <c r="E7962" s="802"/>
      <c r="F7962" s="802"/>
      <c r="G7962" s="802"/>
      <c r="H7962" s="802"/>
      <c r="I7962" s="612"/>
      <c r="J7962" s="612"/>
      <c r="K7962" s="612"/>
      <c r="L7962" s="612"/>
    </row>
    <row r="7963" spans="1:12" ht="24" customHeight="1">
      <c r="A7963" s="612" t="s">
        <v>13679</v>
      </c>
      <c r="B7963" s="636" t="s">
        <v>12698</v>
      </c>
      <c r="C7963" s="612" t="s">
        <v>12699</v>
      </c>
      <c r="D7963" s="612" t="s">
        <v>12700</v>
      </c>
      <c r="E7963" s="637" t="s">
        <v>12702</v>
      </c>
      <c r="F7963" s="801" t="s">
        <v>12704</v>
      </c>
      <c r="G7963" s="801"/>
      <c r="H7963" s="801" t="s">
        <v>13678</v>
      </c>
      <c r="I7963" s="801"/>
      <c r="J7963" s="801" t="s">
        <v>12705</v>
      </c>
      <c r="K7963" s="801"/>
      <c r="L7963" s="801"/>
    </row>
    <row r="7964" spans="1:12" ht="24" customHeight="1">
      <c r="A7964" s="626" t="s">
        <v>12709</v>
      </c>
      <c r="B7964" s="627" t="s">
        <v>13440</v>
      </c>
      <c r="C7964" s="626" t="s">
        <v>8</v>
      </c>
      <c r="D7964" s="626" t="s">
        <v>9427</v>
      </c>
      <c r="E7964" s="628" t="s">
        <v>35</v>
      </c>
      <c r="F7964" s="816" t="s">
        <v>14603</v>
      </c>
      <c r="G7964" s="816"/>
      <c r="H7964" s="816">
        <v>1.0999999999999999E-2</v>
      </c>
      <c r="I7964" s="816"/>
      <c r="J7964" s="817">
        <v>0.16</v>
      </c>
      <c r="K7964" s="817"/>
      <c r="L7964" s="817"/>
    </row>
    <row r="7965" spans="1:12" ht="17.100000000000001" customHeight="1">
      <c r="A7965" s="626" t="s">
        <v>12709</v>
      </c>
      <c r="B7965" s="627" t="s">
        <v>13439</v>
      </c>
      <c r="C7965" s="626" t="s">
        <v>8</v>
      </c>
      <c r="D7965" s="626" t="s">
        <v>9475</v>
      </c>
      <c r="E7965" s="628" t="s">
        <v>58</v>
      </c>
      <c r="F7965" s="816" t="s">
        <v>13946</v>
      </c>
      <c r="G7965" s="816"/>
      <c r="H7965" s="816">
        <v>3.0000000000000001E-3</v>
      </c>
      <c r="I7965" s="816"/>
      <c r="J7965" s="817">
        <v>7.0000000000000007E-2</v>
      </c>
      <c r="K7965" s="817"/>
      <c r="L7965" s="817"/>
    </row>
    <row r="7966" spans="1:12" ht="25.5">
      <c r="A7966" s="626" t="s">
        <v>12709</v>
      </c>
      <c r="B7966" s="627" t="s">
        <v>13449</v>
      </c>
      <c r="C7966" s="626" t="s">
        <v>8</v>
      </c>
      <c r="D7966" s="626" t="s">
        <v>12222</v>
      </c>
      <c r="E7966" s="628" t="s">
        <v>35</v>
      </c>
      <c r="F7966" s="816" t="s">
        <v>13957</v>
      </c>
      <c r="G7966" s="816"/>
      <c r="H7966" s="816">
        <v>1</v>
      </c>
      <c r="I7966" s="816"/>
      <c r="J7966" s="817">
        <v>16.13</v>
      </c>
      <c r="K7966" s="817"/>
      <c r="L7966" s="817"/>
    </row>
    <row r="7967" spans="1:12" ht="17.100000000000001" customHeight="1">
      <c r="A7967" s="636"/>
      <c r="B7967" s="636"/>
      <c r="C7967" s="636"/>
      <c r="D7967" s="636"/>
      <c r="E7967" s="636"/>
      <c r="F7967" s="636"/>
      <c r="G7967" s="636"/>
      <c r="H7967" s="636"/>
      <c r="I7967" s="636"/>
      <c r="J7967" s="636" t="s">
        <v>13675</v>
      </c>
      <c r="K7967" s="636"/>
      <c r="L7967" s="636" t="s">
        <v>14607</v>
      </c>
    </row>
    <row r="7968" spans="1:12" ht="24" customHeight="1">
      <c r="A7968" s="802" t="s">
        <v>12722</v>
      </c>
      <c r="B7968" s="802"/>
      <c r="C7968" s="802"/>
      <c r="D7968" s="802"/>
      <c r="E7968" s="802"/>
      <c r="F7968" s="802"/>
      <c r="G7968" s="802"/>
      <c r="H7968" s="802"/>
      <c r="I7968" s="612"/>
      <c r="J7968" s="612"/>
      <c r="K7968" s="612"/>
      <c r="L7968" s="612"/>
    </row>
    <row r="7969" spans="1:12" ht="17.100000000000001" customHeight="1">
      <c r="A7969" s="612" t="s">
        <v>13679</v>
      </c>
      <c r="B7969" s="636" t="s">
        <v>12698</v>
      </c>
      <c r="C7969" s="612" t="s">
        <v>12699</v>
      </c>
      <c r="D7969" s="612" t="s">
        <v>12700</v>
      </c>
      <c r="E7969" s="637" t="s">
        <v>12702</v>
      </c>
      <c r="F7969" s="801" t="s">
        <v>12704</v>
      </c>
      <c r="G7969" s="801"/>
      <c r="H7969" s="801" t="s">
        <v>13678</v>
      </c>
      <c r="I7969" s="801"/>
      <c r="J7969" s="801" t="s">
        <v>12705</v>
      </c>
      <c r="K7969" s="801"/>
      <c r="L7969" s="801"/>
    </row>
    <row r="7970" spans="1:12" ht="25.5">
      <c r="A7970" s="626" t="s">
        <v>12709</v>
      </c>
      <c r="B7970" s="627" t="s">
        <v>12998</v>
      </c>
      <c r="C7970" s="626" t="s">
        <v>8</v>
      </c>
      <c r="D7970" s="626" t="s">
        <v>11861</v>
      </c>
      <c r="E7970" s="628" t="s">
        <v>23</v>
      </c>
      <c r="F7970" s="816" t="s">
        <v>13683</v>
      </c>
      <c r="G7970" s="816"/>
      <c r="H7970" s="816">
        <v>0.5919586</v>
      </c>
      <c r="I7970" s="816"/>
      <c r="J7970" s="817">
        <v>0.42030000000000001</v>
      </c>
      <c r="K7970" s="817"/>
      <c r="L7970" s="817"/>
    </row>
    <row r="7971" spans="1:12" ht="17.100000000000001" customHeight="1">
      <c r="A7971" s="636"/>
      <c r="B7971" s="636"/>
      <c r="C7971" s="636"/>
      <c r="D7971" s="636"/>
      <c r="E7971" s="636"/>
      <c r="F7971" s="636"/>
      <c r="G7971" s="636"/>
      <c r="H7971" s="636"/>
      <c r="I7971" s="636"/>
      <c r="J7971" s="636" t="s">
        <v>13675</v>
      </c>
      <c r="K7971" s="636"/>
      <c r="L7971" s="636" t="s">
        <v>13837</v>
      </c>
    </row>
    <row r="7972" spans="1:12" ht="24" customHeight="1">
      <c r="A7972" s="802" t="s">
        <v>12713</v>
      </c>
      <c r="B7972" s="802"/>
      <c r="C7972" s="802"/>
      <c r="D7972" s="802"/>
      <c r="E7972" s="802"/>
      <c r="F7972" s="802"/>
      <c r="G7972" s="802"/>
      <c r="H7972" s="802"/>
      <c r="I7972" s="612"/>
      <c r="J7972" s="612"/>
      <c r="K7972" s="612"/>
      <c r="L7972" s="612"/>
    </row>
    <row r="7973" spans="1:12" ht="17.100000000000001" customHeight="1">
      <c r="A7973" s="612" t="s">
        <v>13679</v>
      </c>
      <c r="B7973" s="636" t="s">
        <v>12698</v>
      </c>
      <c r="C7973" s="612" t="s">
        <v>12699</v>
      </c>
      <c r="D7973" s="612" t="s">
        <v>12700</v>
      </c>
      <c r="E7973" s="637" t="s">
        <v>12702</v>
      </c>
      <c r="F7973" s="801" t="s">
        <v>12704</v>
      </c>
      <c r="G7973" s="801"/>
      <c r="H7973" s="801" t="s">
        <v>13678</v>
      </c>
      <c r="I7973" s="801"/>
      <c r="J7973" s="801" t="s">
        <v>12705</v>
      </c>
      <c r="K7973" s="801"/>
      <c r="L7973" s="801"/>
    </row>
    <row r="7974" spans="1:12" ht="25.5">
      <c r="A7974" s="626" t="s">
        <v>12709</v>
      </c>
      <c r="B7974" s="627" t="s">
        <v>12999</v>
      </c>
      <c r="C7974" s="626" t="s">
        <v>8</v>
      </c>
      <c r="D7974" s="626" t="s">
        <v>11251</v>
      </c>
      <c r="E7974" s="628" t="s">
        <v>23</v>
      </c>
      <c r="F7974" s="816" t="s">
        <v>13681</v>
      </c>
      <c r="G7974" s="816"/>
      <c r="H7974" s="816">
        <v>0.5919586</v>
      </c>
      <c r="I7974" s="816"/>
      <c r="J7974" s="817">
        <v>4.1399999999999999E-2</v>
      </c>
      <c r="K7974" s="817"/>
      <c r="L7974" s="817"/>
    </row>
    <row r="7975" spans="1:12" ht="17.100000000000001" customHeight="1">
      <c r="A7975" s="636"/>
      <c r="B7975" s="636"/>
      <c r="C7975" s="636"/>
      <c r="D7975" s="636"/>
      <c r="E7975" s="636"/>
      <c r="F7975" s="636"/>
      <c r="G7975" s="636"/>
      <c r="H7975" s="636"/>
      <c r="I7975" s="636"/>
      <c r="J7975" s="636" t="s">
        <v>13675</v>
      </c>
      <c r="K7975" s="636"/>
      <c r="L7975" s="636" t="s">
        <v>13716</v>
      </c>
    </row>
    <row r="7976" spans="1:12" ht="24" customHeight="1">
      <c r="A7976" s="802" t="s">
        <v>12712</v>
      </c>
      <c r="B7976" s="802"/>
      <c r="C7976" s="802"/>
      <c r="D7976" s="802"/>
      <c r="E7976" s="802"/>
      <c r="F7976" s="802"/>
      <c r="G7976" s="802"/>
      <c r="H7976" s="802"/>
      <c r="I7976" s="612"/>
      <c r="J7976" s="612"/>
      <c r="K7976" s="612"/>
      <c r="L7976" s="612"/>
    </row>
    <row r="7977" spans="1:12" ht="24" customHeight="1">
      <c r="A7977" s="612" t="s">
        <v>13679</v>
      </c>
      <c r="B7977" s="636" t="s">
        <v>12698</v>
      </c>
      <c r="C7977" s="612" t="s">
        <v>12699</v>
      </c>
      <c r="D7977" s="612" t="s">
        <v>12700</v>
      </c>
      <c r="E7977" s="637" t="s">
        <v>12702</v>
      </c>
      <c r="F7977" s="801" t="s">
        <v>12704</v>
      </c>
      <c r="G7977" s="801"/>
      <c r="H7977" s="801" t="s">
        <v>13678</v>
      </c>
      <c r="I7977" s="801"/>
      <c r="J7977" s="801" t="s">
        <v>12705</v>
      </c>
      <c r="K7977" s="801"/>
      <c r="L7977" s="801"/>
    </row>
    <row r="7978" spans="1:12" ht="17.100000000000001" customHeight="1">
      <c r="A7978" s="626" t="s">
        <v>12709</v>
      </c>
      <c r="B7978" s="627" t="s">
        <v>13002</v>
      </c>
      <c r="C7978" s="626" t="s">
        <v>8</v>
      </c>
      <c r="D7978" s="626" t="s">
        <v>9306</v>
      </c>
      <c r="E7978" s="628" t="s">
        <v>23</v>
      </c>
      <c r="F7978" s="816" t="s">
        <v>13677</v>
      </c>
      <c r="G7978" s="816"/>
      <c r="H7978" s="816">
        <v>0.5919586</v>
      </c>
      <c r="I7978" s="816"/>
      <c r="J7978" s="817">
        <v>0.2072</v>
      </c>
      <c r="K7978" s="817"/>
      <c r="L7978" s="817"/>
    </row>
    <row r="7979" spans="1:12" ht="17.100000000000001" customHeight="1">
      <c r="A7979" s="626" t="s">
        <v>12709</v>
      </c>
      <c r="B7979" s="627" t="s">
        <v>13004</v>
      </c>
      <c r="C7979" s="626" t="s">
        <v>8</v>
      </c>
      <c r="D7979" s="626" t="s">
        <v>7388</v>
      </c>
      <c r="E7979" s="628" t="s">
        <v>23</v>
      </c>
      <c r="F7979" s="816" t="s">
        <v>13676</v>
      </c>
      <c r="G7979" s="816"/>
      <c r="H7979" s="816">
        <v>0.5919586</v>
      </c>
      <c r="I7979" s="816"/>
      <c r="J7979" s="817">
        <v>1.3023</v>
      </c>
      <c r="K7979" s="817"/>
      <c r="L7979" s="817"/>
    </row>
    <row r="7980" spans="1:12" ht="17.100000000000001" customHeight="1">
      <c r="A7980" s="636"/>
      <c r="B7980" s="636"/>
      <c r="C7980" s="636"/>
      <c r="D7980" s="636"/>
      <c r="E7980" s="636"/>
      <c r="F7980" s="636"/>
      <c r="G7980" s="636"/>
      <c r="H7980" s="636"/>
      <c r="I7980" s="636"/>
      <c r="J7980" s="636" t="s">
        <v>13675</v>
      </c>
      <c r="K7980" s="636"/>
      <c r="L7980" s="636" t="s">
        <v>13948</v>
      </c>
    </row>
    <row r="7981" spans="1:12" ht="17.100000000000001" customHeight="1">
      <c r="A7981" s="612" t="s">
        <v>13673</v>
      </c>
      <c r="B7981" s="612"/>
      <c r="C7981" s="612"/>
      <c r="D7981" s="612"/>
      <c r="E7981" s="612"/>
      <c r="F7981" s="612"/>
      <c r="G7981" s="612"/>
      <c r="H7981" s="612"/>
      <c r="I7981" s="612"/>
      <c r="J7981" s="612"/>
      <c r="K7981" s="612"/>
      <c r="L7981" s="612"/>
    </row>
    <row r="7982" spans="1:12" ht="17.100000000000001" customHeight="1">
      <c r="A7982" s="636"/>
      <c r="B7982" s="636"/>
      <c r="C7982" s="636"/>
      <c r="D7982" s="636"/>
      <c r="E7982" s="636"/>
      <c r="F7982" s="636"/>
      <c r="G7982" s="636"/>
      <c r="H7982" s="636"/>
      <c r="I7982" s="636"/>
      <c r="J7982" s="636" t="s">
        <v>13672</v>
      </c>
      <c r="K7982" s="636"/>
      <c r="L7982" s="636" t="s">
        <v>15490</v>
      </c>
    </row>
    <row r="7983" spans="1:12" ht="17.100000000000001" customHeight="1">
      <c r="A7983" s="636"/>
      <c r="B7983" s="636"/>
      <c r="C7983" s="636"/>
      <c r="D7983" s="636"/>
      <c r="E7983" s="636"/>
      <c r="F7983" s="636"/>
      <c r="G7983" s="636"/>
      <c r="H7983" s="636"/>
      <c r="I7983" s="636"/>
      <c r="J7983" s="636" t="s">
        <v>13671</v>
      </c>
      <c r="K7983" s="636" t="s">
        <v>14461</v>
      </c>
      <c r="L7983" s="636" t="s">
        <v>15486</v>
      </c>
    </row>
    <row r="7984" spans="1:12" ht="17.100000000000001" customHeight="1">
      <c r="A7984" s="636"/>
      <c r="B7984" s="636"/>
      <c r="C7984" s="636"/>
      <c r="D7984" s="636"/>
      <c r="E7984" s="636"/>
      <c r="F7984" s="636"/>
      <c r="G7984" s="636"/>
      <c r="H7984" s="636"/>
      <c r="I7984" s="636"/>
      <c r="J7984" s="636" t="s">
        <v>13670</v>
      </c>
      <c r="K7984" s="636"/>
      <c r="L7984" s="636" t="s">
        <v>14944</v>
      </c>
    </row>
    <row r="7985" spans="1:12" ht="30" customHeight="1">
      <c r="A7985" s="636"/>
      <c r="B7985" s="636"/>
      <c r="C7985" s="636"/>
      <c r="D7985" s="636"/>
      <c r="E7985" s="636"/>
      <c r="F7985" s="636"/>
      <c r="G7985" s="636"/>
      <c r="H7985" s="636"/>
      <c r="I7985" s="636"/>
      <c r="J7985" s="636" t="s">
        <v>13669</v>
      </c>
      <c r="K7985" s="636" t="s">
        <v>13667</v>
      </c>
      <c r="L7985" s="636" t="s">
        <v>15491</v>
      </c>
    </row>
    <row r="7986" spans="1:12" ht="24" customHeight="1">
      <c r="A7986" s="636"/>
      <c r="B7986" s="636"/>
      <c r="C7986" s="636"/>
      <c r="D7986" s="636"/>
      <c r="E7986" s="636"/>
      <c r="F7986" s="636"/>
      <c r="G7986" s="636"/>
      <c r="H7986" s="636"/>
      <c r="I7986" s="636"/>
      <c r="J7986" s="636" t="s">
        <v>13668</v>
      </c>
      <c r="K7986" s="636"/>
      <c r="L7986" s="636" t="s">
        <v>15492</v>
      </c>
    </row>
    <row r="7987" spans="1:12" ht="14.25" customHeight="1">
      <c r="A7987" s="637"/>
      <c r="B7987" s="637"/>
      <c r="C7987" s="637"/>
      <c r="D7987" s="637"/>
      <c r="E7987" s="637"/>
      <c r="F7987" s="637"/>
      <c r="G7987" s="637"/>
      <c r="H7987" s="637"/>
      <c r="I7987" s="637"/>
      <c r="J7987" s="637"/>
      <c r="K7987" s="637"/>
      <c r="L7987" s="637"/>
    </row>
    <row r="7988" spans="1:12" ht="17.100000000000001" customHeight="1">
      <c r="A7988" s="616" t="s">
        <v>13956</v>
      </c>
      <c r="B7988" s="617" t="s">
        <v>13448</v>
      </c>
      <c r="C7988" s="616" t="s">
        <v>8</v>
      </c>
      <c r="D7988" s="616" t="s">
        <v>2903</v>
      </c>
      <c r="E7988" s="618" t="s">
        <v>35</v>
      </c>
      <c r="F7988" s="617"/>
      <c r="G7988" s="617"/>
      <c r="H7988" s="617"/>
      <c r="I7988" s="617"/>
      <c r="J7988" s="617"/>
      <c r="K7988" s="617"/>
      <c r="L7988" s="617"/>
    </row>
    <row r="7989" spans="1:12" ht="24" customHeight="1">
      <c r="A7989" s="802" t="s">
        <v>12711</v>
      </c>
      <c r="B7989" s="802"/>
      <c r="C7989" s="802"/>
      <c r="D7989" s="802"/>
      <c r="E7989" s="802"/>
      <c r="F7989" s="802"/>
      <c r="G7989" s="802"/>
      <c r="H7989" s="802"/>
      <c r="I7989" s="612"/>
      <c r="J7989" s="612"/>
      <c r="K7989" s="612"/>
      <c r="L7989" s="612"/>
    </row>
    <row r="7990" spans="1:12" ht="24" customHeight="1">
      <c r="A7990" s="612" t="s">
        <v>13679</v>
      </c>
      <c r="B7990" s="636" t="s">
        <v>12698</v>
      </c>
      <c r="C7990" s="612" t="s">
        <v>12699</v>
      </c>
      <c r="D7990" s="612" t="s">
        <v>12700</v>
      </c>
      <c r="E7990" s="637" t="s">
        <v>12702</v>
      </c>
      <c r="F7990" s="801" t="s">
        <v>12704</v>
      </c>
      <c r="G7990" s="801"/>
      <c r="H7990" s="801" t="s">
        <v>13678</v>
      </c>
      <c r="I7990" s="801"/>
      <c r="J7990" s="801" t="s">
        <v>12705</v>
      </c>
      <c r="K7990" s="801"/>
      <c r="L7990" s="801"/>
    </row>
    <row r="7991" spans="1:12" ht="17.100000000000001" customHeight="1">
      <c r="A7991" s="626" t="s">
        <v>12709</v>
      </c>
      <c r="B7991" s="627" t="s">
        <v>13201</v>
      </c>
      <c r="C7991" s="626" t="s">
        <v>8</v>
      </c>
      <c r="D7991" s="626" t="s">
        <v>9221</v>
      </c>
      <c r="E7991" s="628" t="s">
        <v>23</v>
      </c>
      <c r="F7991" s="816" t="s">
        <v>13705</v>
      </c>
      <c r="G7991" s="816"/>
      <c r="H7991" s="816">
        <v>0.5919586</v>
      </c>
      <c r="I7991" s="816"/>
      <c r="J7991" s="817">
        <v>0.49130000000000001</v>
      </c>
      <c r="K7991" s="817"/>
      <c r="L7991" s="817"/>
    </row>
    <row r="7992" spans="1:12" ht="14.25" customHeight="1">
      <c r="A7992" s="626" t="s">
        <v>12709</v>
      </c>
      <c r="B7992" s="627" t="s">
        <v>13200</v>
      </c>
      <c r="C7992" s="626" t="s">
        <v>8</v>
      </c>
      <c r="D7992" s="626" t="s">
        <v>9368</v>
      </c>
      <c r="E7992" s="628" t="s">
        <v>23</v>
      </c>
      <c r="F7992" s="816" t="s">
        <v>13704</v>
      </c>
      <c r="G7992" s="816"/>
      <c r="H7992" s="816">
        <v>0.5919586</v>
      </c>
      <c r="I7992" s="816"/>
      <c r="J7992" s="817">
        <v>0.1421</v>
      </c>
      <c r="K7992" s="817"/>
      <c r="L7992" s="817"/>
    </row>
    <row r="7993" spans="1:12" ht="17.100000000000001" customHeight="1">
      <c r="A7993" s="636"/>
      <c r="B7993" s="636"/>
      <c r="C7993" s="636"/>
      <c r="D7993" s="636"/>
      <c r="E7993" s="636"/>
      <c r="F7993" s="636"/>
      <c r="G7993" s="636"/>
      <c r="H7993" s="636"/>
      <c r="I7993" s="636"/>
      <c r="J7993" s="636" t="s">
        <v>13675</v>
      </c>
      <c r="K7993" s="636"/>
      <c r="L7993" s="636" t="s">
        <v>13674</v>
      </c>
    </row>
    <row r="7994" spans="1:12" ht="24" customHeight="1">
      <c r="A7994" s="802" t="s">
        <v>12710</v>
      </c>
      <c r="B7994" s="802"/>
      <c r="C7994" s="802"/>
      <c r="D7994" s="802"/>
      <c r="E7994" s="802"/>
      <c r="F7994" s="802"/>
      <c r="G7994" s="802"/>
      <c r="H7994" s="802"/>
      <c r="I7994" s="612"/>
      <c r="J7994" s="612"/>
      <c r="K7994" s="612"/>
      <c r="L7994" s="612"/>
    </row>
    <row r="7995" spans="1:12" ht="17.100000000000001" customHeight="1">
      <c r="A7995" s="612" t="s">
        <v>13679</v>
      </c>
      <c r="B7995" s="636" t="s">
        <v>12698</v>
      </c>
      <c r="C7995" s="612" t="s">
        <v>12699</v>
      </c>
      <c r="D7995" s="612" t="s">
        <v>12700</v>
      </c>
      <c r="E7995" s="637" t="s">
        <v>12702</v>
      </c>
      <c r="F7995" s="801" t="s">
        <v>12704</v>
      </c>
      <c r="G7995" s="801"/>
      <c r="H7995" s="801" t="s">
        <v>13678</v>
      </c>
      <c r="I7995" s="801"/>
      <c r="J7995" s="801" t="s">
        <v>12705</v>
      </c>
      <c r="K7995" s="801"/>
      <c r="L7995" s="801"/>
    </row>
    <row r="7996" spans="1:12" ht="25.5">
      <c r="A7996" s="626" t="s">
        <v>12709</v>
      </c>
      <c r="B7996" s="627" t="s">
        <v>13220</v>
      </c>
      <c r="C7996" s="626" t="s">
        <v>8</v>
      </c>
      <c r="D7996" s="626" t="s">
        <v>7592</v>
      </c>
      <c r="E7996" s="628" t="s">
        <v>23</v>
      </c>
      <c r="F7996" s="816" t="s">
        <v>13890</v>
      </c>
      <c r="G7996" s="816"/>
      <c r="H7996" s="816">
        <v>0.30018519999999999</v>
      </c>
      <c r="I7996" s="816"/>
      <c r="J7996" s="817">
        <v>1.5188999999999999</v>
      </c>
      <c r="K7996" s="817"/>
      <c r="L7996" s="817"/>
    </row>
    <row r="7997" spans="1:12" ht="17.100000000000001" customHeight="1">
      <c r="A7997" s="626" t="s">
        <v>12709</v>
      </c>
      <c r="B7997" s="627" t="s">
        <v>13202</v>
      </c>
      <c r="C7997" s="626" t="s">
        <v>8</v>
      </c>
      <c r="D7997" s="626" t="s">
        <v>9187</v>
      </c>
      <c r="E7997" s="628" t="s">
        <v>23</v>
      </c>
      <c r="F7997" s="816" t="s">
        <v>14479</v>
      </c>
      <c r="G7997" s="816"/>
      <c r="H7997" s="816">
        <v>0.30018519999999999</v>
      </c>
      <c r="I7997" s="816"/>
      <c r="J7997" s="817">
        <v>2.1463000000000001</v>
      </c>
      <c r="K7997" s="817"/>
      <c r="L7997" s="817"/>
    </row>
    <row r="7998" spans="1:12" ht="24" customHeight="1">
      <c r="A7998" s="636"/>
      <c r="B7998" s="636"/>
      <c r="C7998" s="636"/>
      <c r="D7998" s="636"/>
      <c r="E7998" s="636"/>
      <c r="F7998" s="636"/>
      <c r="G7998" s="636"/>
      <c r="H7998" s="636"/>
      <c r="I7998" s="636"/>
      <c r="J7998" s="636" t="s">
        <v>13675</v>
      </c>
      <c r="K7998" s="636"/>
      <c r="L7998" s="636" t="s">
        <v>14114</v>
      </c>
    </row>
    <row r="7999" spans="1:12" ht="17.100000000000001" customHeight="1">
      <c r="A7999" s="802" t="s">
        <v>12720</v>
      </c>
      <c r="B7999" s="802"/>
      <c r="C7999" s="802"/>
      <c r="D7999" s="802"/>
      <c r="E7999" s="802"/>
      <c r="F7999" s="802"/>
      <c r="G7999" s="802"/>
      <c r="H7999" s="802"/>
      <c r="I7999" s="612"/>
      <c r="J7999" s="612"/>
      <c r="K7999" s="612"/>
      <c r="L7999" s="612"/>
    </row>
    <row r="8000" spans="1:12">
      <c r="A8000" s="612" t="s">
        <v>13679</v>
      </c>
      <c r="B8000" s="636" t="s">
        <v>12698</v>
      </c>
      <c r="C8000" s="612" t="s">
        <v>12699</v>
      </c>
      <c r="D8000" s="612" t="s">
        <v>12700</v>
      </c>
      <c r="E8000" s="637" t="s">
        <v>12702</v>
      </c>
      <c r="F8000" s="801" t="s">
        <v>12704</v>
      </c>
      <c r="G8000" s="801"/>
      <c r="H8000" s="801" t="s">
        <v>13678</v>
      </c>
      <c r="I8000" s="801"/>
      <c r="J8000" s="801" t="s">
        <v>12705</v>
      </c>
      <c r="K8000" s="801"/>
      <c r="L8000" s="801"/>
    </row>
    <row r="8001" spans="1:12" ht="17.100000000000001" customHeight="1">
      <c r="A8001" s="626" t="s">
        <v>12709</v>
      </c>
      <c r="B8001" s="627" t="s">
        <v>13440</v>
      </c>
      <c r="C8001" s="626" t="s">
        <v>8</v>
      </c>
      <c r="D8001" s="626" t="s">
        <v>9427</v>
      </c>
      <c r="E8001" s="628" t="s">
        <v>35</v>
      </c>
      <c r="F8001" s="816" t="s">
        <v>14603</v>
      </c>
      <c r="G8001" s="816"/>
      <c r="H8001" s="816">
        <v>1.0999999999999999E-2</v>
      </c>
      <c r="I8001" s="816"/>
      <c r="J8001" s="817">
        <v>0.16</v>
      </c>
      <c r="K8001" s="817"/>
      <c r="L8001" s="817"/>
    </row>
    <row r="8002" spans="1:12" ht="24" customHeight="1">
      <c r="A8002" s="626" t="s">
        <v>12709</v>
      </c>
      <c r="B8002" s="627" t="s">
        <v>13439</v>
      </c>
      <c r="C8002" s="626" t="s">
        <v>8</v>
      </c>
      <c r="D8002" s="626" t="s">
        <v>9475</v>
      </c>
      <c r="E8002" s="628" t="s">
        <v>58</v>
      </c>
      <c r="F8002" s="816" t="s">
        <v>13946</v>
      </c>
      <c r="G8002" s="816"/>
      <c r="H8002" s="816">
        <v>3.0000000000000001E-3</v>
      </c>
      <c r="I8002" s="816"/>
      <c r="J8002" s="817">
        <v>7.0000000000000007E-2</v>
      </c>
      <c r="K8002" s="817"/>
      <c r="L8002" s="817"/>
    </row>
    <row r="8003" spans="1:12" ht="17.100000000000001" customHeight="1">
      <c r="A8003" s="626" t="s">
        <v>12709</v>
      </c>
      <c r="B8003" s="627" t="s">
        <v>13447</v>
      </c>
      <c r="C8003" s="626" t="s">
        <v>8</v>
      </c>
      <c r="D8003" s="626" t="s">
        <v>10509</v>
      </c>
      <c r="E8003" s="628" t="s">
        <v>35</v>
      </c>
      <c r="F8003" s="816" t="s">
        <v>13955</v>
      </c>
      <c r="G8003" s="816"/>
      <c r="H8003" s="816">
        <v>1</v>
      </c>
      <c r="I8003" s="816"/>
      <c r="J8003" s="817">
        <v>3.93</v>
      </c>
      <c r="K8003" s="817"/>
      <c r="L8003" s="817"/>
    </row>
    <row r="8004" spans="1:12">
      <c r="A8004" s="636"/>
      <c r="B8004" s="636"/>
      <c r="C8004" s="636"/>
      <c r="D8004" s="636"/>
      <c r="E8004" s="636"/>
      <c r="F8004" s="636"/>
      <c r="G8004" s="636"/>
      <c r="H8004" s="636"/>
      <c r="I8004" s="636"/>
      <c r="J8004" s="636" t="s">
        <v>13675</v>
      </c>
      <c r="K8004" s="636"/>
      <c r="L8004" s="636" t="s">
        <v>14606</v>
      </c>
    </row>
    <row r="8005" spans="1:12" ht="17.100000000000001" customHeight="1">
      <c r="A8005" s="802" t="s">
        <v>12722</v>
      </c>
      <c r="B8005" s="802"/>
      <c r="C8005" s="802"/>
      <c r="D8005" s="802"/>
      <c r="E8005" s="802"/>
      <c r="F8005" s="802"/>
      <c r="G8005" s="802"/>
      <c r="H8005" s="802"/>
      <c r="I8005" s="612"/>
      <c r="J8005" s="612"/>
      <c r="K8005" s="612"/>
      <c r="L8005" s="612"/>
    </row>
    <row r="8006" spans="1:12" ht="24" customHeight="1">
      <c r="A8006" s="612" t="s">
        <v>13679</v>
      </c>
      <c r="B8006" s="636" t="s">
        <v>12698</v>
      </c>
      <c r="C8006" s="612" t="s">
        <v>12699</v>
      </c>
      <c r="D8006" s="612" t="s">
        <v>12700</v>
      </c>
      <c r="E8006" s="637" t="s">
        <v>12702</v>
      </c>
      <c r="F8006" s="801" t="s">
        <v>12704</v>
      </c>
      <c r="G8006" s="801"/>
      <c r="H8006" s="801" t="s">
        <v>13678</v>
      </c>
      <c r="I8006" s="801"/>
      <c r="J8006" s="801" t="s">
        <v>12705</v>
      </c>
      <c r="K8006" s="801"/>
      <c r="L8006" s="801"/>
    </row>
    <row r="8007" spans="1:12" ht="24" customHeight="1">
      <c r="A8007" s="626" t="s">
        <v>12709</v>
      </c>
      <c r="B8007" s="627" t="s">
        <v>12998</v>
      </c>
      <c r="C8007" s="626" t="s">
        <v>8</v>
      </c>
      <c r="D8007" s="626" t="s">
        <v>11861</v>
      </c>
      <c r="E8007" s="628" t="s">
        <v>23</v>
      </c>
      <c r="F8007" s="816" t="s">
        <v>13683</v>
      </c>
      <c r="G8007" s="816"/>
      <c r="H8007" s="816">
        <v>0.5919586</v>
      </c>
      <c r="I8007" s="816"/>
      <c r="J8007" s="817">
        <v>0.42030000000000001</v>
      </c>
      <c r="K8007" s="817"/>
      <c r="L8007" s="817"/>
    </row>
    <row r="8008" spans="1:12" ht="17.100000000000001" customHeight="1">
      <c r="A8008" s="636"/>
      <c r="B8008" s="636"/>
      <c r="C8008" s="636"/>
      <c r="D8008" s="636"/>
      <c r="E8008" s="636"/>
      <c r="F8008" s="636"/>
      <c r="G8008" s="636"/>
      <c r="H8008" s="636"/>
      <c r="I8008" s="636"/>
      <c r="J8008" s="636" t="s">
        <v>13675</v>
      </c>
      <c r="K8008" s="636"/>
      <c r="L8008" s="636" t="s">
        <v>13837</v>
      </c>
    </row>
    <row r="8009" spans="1:12" ht="17.100000000000001" customHeight="1">
      <c r="A8009" s="802" t="s">
        <v>12713</v>
      </c>
      <c r="B8009" s="802"/>
      <c r="C8009" s="802"/>
      <c r="D8009" s="802"/>
      <c r="E8009" s="802"/>
      <c r="F8009" s="802"/>
      <c r="G8009" s="802"/>
      <c r="H8009" s="802"/>
      <c r="I8009" s="612"/>
      <c r="J8009" s="612"/>
      <c r="K8009" s="612"/>
      <c r="L8009" s="612"/>
    </row>
    <row r="8010" spans="1:12" ht="17.100000000000001" customHeight="1">
      <c r="A8010" s="612" t="s">
        <v>13679</v>
      </c>
      <c r="B8010" s="636" t="s">
        <v>12698</v>
      </c>
      <c r="C8010" s="612" t="s">
        <v>12699</v>
      </c>
      <c r="D8010" s="612" t="s">
        <v>12700</v>
      </c>
      <c r="E8010" s="637" t="s">
        <v>12702</v>
      </c>
      <c r="F8010" s="801" t="s">
        <v>12704</v>
      </c>
      <c r="G8010" s="801"/>
      <c r="H8010" s="801" t="s">
        <v>13678</v>
      </c>
      <c r="I8010" s="801"/>
      <c r="J8010" s="801" t="s">
        <v>12705</v>
      </c>
      <c r="K8010" s="801"/>
      <c r="L8010" s="801"/>
    </row>
    <row r="8011" spans="1:12" ht="17.100000000000001" customHeight="1">
      <c r="A8011" s="626" t="s">
        <v>12709</v>
      </c>
      <c r="B8011" s="627" t="s">
        <v>12999</v>
      </c>
      <c r="C8011" s="626" t="s">
        <v>8</v>
      </c>
      <c r="D8011" s="626" t="s">
        <v>11251</v>
      </c>
      <c r="E8011" s="628" t="s">
        <v>23</v>
      </c>
      <c r="F8011" s="816" t="s">
        <v>13681</v>
      </c>
      <c r="G8011" s="816"/>
      <c r="H8011" s="816">
        <v>0.5919586</v>
      </c>
      <c r="I8011" s="816"/>
      <c r="J8011" s="817">
        <v>4.1399999999999999E-2</v>
      </c>
      <c r="K8011" s="817"/>
      <c r="L8011" s="817"/>
    </row>
    <row r="8012" spans="1:12" ht="17.100000000000001" customHeight="1">
      <c r="A8012" s="636"/>
      <c r="B8012" s="636"/>
      <c r="C8012" s="636"/>
      <c r="D8012" s="636"/>
      <c r="E8012" s="636"/>
      <c r="F8012" s="636"/>
      <c r="G8012" s="636"/>
      <c r="H8012" s="636"/>
      <c r="I8012" s="636"/>
      <c r="J8012" s="636" t="s">
        <v>13675</v>
      </c>
      <c r="K8012" s="636"/>
      <c r="L8012" s="636" t="s">
        <v>13716</v>
      </c>
    </row>
    <row r="8013" spans="1:12" ht="17.100000000000001" customHeight="1">
      <c r="A8013" s="802" t="s">
        <v>12712</v>
      </c>
      <c r="B8013" s="802"/>
      <c r="C8013" s="802"/>
      <c r="D8013" s="802"/>
      <c r="E8013" s="802"/>
      <c r="F8013" s="802"/>
      <c r="G8013" s="802"/>
      <c r="H8013" s="802"/>
      <c r="I8013" s="612"/>
      <c r="J8013" s="612"/>
      <c r="K8013" s="612"/>
      <c r="L8013" s="612"/>
    </row>
    <row r="8014" spans="1:12" ht="17.100000000000001" customHeight="1">
      <c r="A8014" s="612" t="s">
        <v>13679</v>
      </c>
      <c r="B8014" s="636" t="s">
        <v>12698</v>
      </c>
      <c r="C8014" s="612" t="s">
        <v>12699</v>
      </c>
      <c r="D8014" s="612" t="s">
        <v>12700</v>
      </c>
      <c r="E8014" s="637" t="s">
        <v>12702</v>
      </c>
      <c r="F8014" s="801" t="s">
        <v>12704</v>
      </c>
      <c r="G8014" s="801"/>
      <c r="H8014" s="801" t="s">
        <v>13678</v>
      </c>
      <c r="I8014" s="801"/>
      <c r="J8014" s="801" t="s">
        <v>12705</v>
      </c>
      <c r="K8014" s="801"/>
      <c r="L8014" s="801"/>
    </row>
    <row r="8015" spans="1:12" ht="30" customHeight="1">
      <c r="A8015" s="626" t="s">
        <v>12709</v>
      </c>
      <c r="B8015" s="627" t="s">
        <v>13002</v>
      </c>
      <c r="C8015" s="626" t="s">
        <v>8</v>
      </c>
      <c r="D8015" s="626" t="s">
        <v>9306</v>
      </c>
      <c r="E8015" s="628" t="s">
        <v>23</v>
      </c>
      <c r="F8015" s="816" t="s">
        <v>13677</v>
      </c>
      <c r="G8015" s="816"/>
      <c r="H8015" s="816">
        <v>0.5919586</v>
      </c>
      <c r="I8015" s="816"/>
      <c r="J8015" s="817">
        <v>0.2072</v>
      </c>
      <c r="K8015" s="817"/>
      <c r="L8015" s="817"/>
    </row>
    <row r="8016" spans="1:12" ht="24" customHeight="1">
      <c r="A8016" s="626" t="s">
        <v>12709</v>
      </c>
      <c r="B8016" s="627" t="s">
        <v>13004</v>
      </c>
      <c r="C8016" s="626" t="s">
        <v>8</v>
      </c>
      <c r="D8016" s="626" t="s">
        <v>7388</v>
      </c>
      <c r="E8016" s="628" t="s">
        <v>23</v>
      </c>
      <c r="F8016" s="816" t="s">
        <v>13676</v>
      </c>
      <c r="G8016" s="816"/>
      <c r="H8016" s="816">
        <v>0.5919586</v>
      </c>
      <c r="I8016" s="816"/>
      <c r="J8016" s="817">
        <v>1.3023</v>
      </c>
      <c r="K8016" s="817"/>
      <c r="L8016" s="817"/>
    </row>
    <row r="8017" spans="1:12" ht="14.25" customHeight="1">
      <c r="A8017" s="636"/>
      <c r="B8017" s="636"/>
      <c r="C8017" s="636"/>
      <c r="D8017" s="636"/>
      <c r="E8017" s="636"/>
      <c r="F8017" s="636"/>
      <c r="G8017" s="636"/>
      <c r="H8017" s="636"/>
      <c r="I8017" s="636"/>
      <c r="J8017" s="636" t="s">
        <v>13675</v>
      </c>
      <c r="K8017" s="636"/>
      <c r="L8017" s="636" t="s">
        <v>13948</v>
      </c>
    </row>
    <row r="8018" spans="1:12" ht="17.100000000000001" customHeight="1">
      <c r="A8018" s="612" t="s">
        <v>13673</v>
      </c>
      <c r="B8018" s="612"/>
      <c r="C8018" s="612"/>
      <c r="D8018" s="612"/>
      <c r="E8018" s="612"/>
      <c r="F8018" s="612"/>
      <c r="G8018" s="612"/>
      <c r="H8018" s="612"/>
      <c r="I8018" s="612"/>
      <c r="J8018" s="612"/>
      <c r="K8018" s="612"/>
      <c r="L8018" s="612"/>
    </row>
    <row r="8019" spans="1:12" ht="24" customHeight="1">
      <c r="A8019" s="636"/>
      <c r="B8019" s="636"/>
      <c r="C8019" s="636"/>
      <c r="D8019" s="636"/>
      <c r="E8019" s="636"/>
      <c r="F8019" s="636"/>
      <c r="G8019" s="636"/>
      <c r="H8019" s="636"/>
      <c r="I8019" s="636"/>
      <c r="J8019" s="636" t="s">
        <v>13672</v>
      </c>
      <c r="K8019" s="636"/>
      <c r="L8019" s="636" t="s">
        <v>15493</v>
      </c>
    </row>
    <row r="8020" spans="1:12" ht="24" customHeight="1">
      <c r="A8020" s="636"/>
      <c r="B8020" s="636"/>
      <c r="C8020" s="636"/>
      <c r="D8020" s="636"/>
      <c r="E8020" s="636"/>
      <c r="F8020" s="636"/>
      <c r="G8020" s="636"/>
      <c r="H8020" s="636"/>
      <c r="I8020" s="636"/>
      <c r="J8020" s="636" t="s">
        <v>13671</v>
      </c>
      <c r="K8020" s="636" t="s">
        <v>14461</v>
      </c>
      <c r="L8020" s="636" t="s">
        <v>15486</v>
      </c>
    </row>
    <row r="8021" spans="1:12" ht="17.100000000000001" customHeight="1">
      <c r="A8021" s="636"/>
      <c r="B8021" s="636"/>
      <c r="C8021" s="636"/>
      <c r="D8021" s="636"/>
      <c r="E8021" s="636"/>
      <c r="F8021" s="636"/>
      <c r="G8021" s="636"/>
      <c r="H8021" s="636"/>
      <c r="I8021" s="636"/>
      <c r="J8021" s="636" t="s">
        <v>13670</v>
      </c>
      <c r="K8021" s="636"/>
      <c r="L8021" s="636" t="s">
        <v>15340</v>
      </c>
    </row>
    <row r="8022" spans="1:12" ht="14.25" customHeight="1">
      <c r="A8022" s="636"/>
      <c r="B8022" s="636"/>
      <c r="C8022" s="636"/>
      <c r="D8022" s="636"/>
      <c r="E8022" s="636"/>
      <c r="F8022" s="636"/>
      <c r="G8022" s="636"/>
      <c r="H8022" s="636"/>
      <c r="I8022" s="636"/>
      <c r="J8022" s="636" t="s">
        <v>13669</v>
      </c>
      <c r="K8022" s="636" t="s">
        <v>13667</v>
      </c>
      <c r="L8022" s="636" t="s">
        <v>15341</v>
      </c>
    </row>
    <row r="8023" spans="1:12" ht="17.100000000000001" customHeight="1">
      <c r="A8023" s="636"/>
      <c r="B8023" s="636"/>
      <c r="C8023" s="636"/>
      <c r="D8023" s="636"/>
      <c r="E8023" s="636"/>
      <c r="F8023" s="636"/>
      <c r="G8023" s="636"/>
      <c r="H8023" s="636"/>
      <c r="I8023" s="636"/>
      <c r="J8023" s="636" t="s">
        <v>13668</v>
      </c>
      <c r="K8023" s="636"/>
      <c r="L8023" s="636" t="s">
        <v>15342</v>
      </c>
    </row>
    <row r="8024" spans="1:12" ht="24" customHeight="1">
      <c r="A8024" s="637"/>
      <c r="B8024" s="637"/>
      <c r="C8024" s="637"/>
      <c r="D8024" s="637"/>
      <c r="E8024" s="637"/>
      <c r="F8024" s="637"/>
      <c r="G8024" s="637"/>
      <c r="H8024" s="637"/>
      <c r="I8024" s="637"/>
      <c r="J8024" s="637"/>
      <c r="K8024" s="637"/>
      <c r="L8024" s="637"/>
    </row>
    <row r="8025" spans="1:12" ht="17.100000000000001" customHeight="1">
      <c r="A8025" s="616" t="s">
        <v>13953</v>
      </c>
      <c r="B8025" s="617" t="s">
        <v>13446</v>
      </c>
      <c r="C8025" s="616" t="s">
        <v>8</v>
      </c>
      <c r="D8025" s="616" t="s">
        <v>2902</v>
      </c>
      <c r="E8025" s="618" t="s">
        <v>35</v>
      </c>
      <c r="F8025" s="617"/>
      <c r="G8025" s="617"/>
      <c r="H8025" s="617"/>
      <c r="I8025" s="617"/>
      <c r="J8025" s="617"/>
      <c r="K8025" s="617"/>
      <c r="L8025" s="617"/>
    </row>
    <row r="8026" spans="1:12">
      <c r="A8026" s="802" t="s">
        <v>12711</v>
      </c>
      <c r="B8026" s="802"/>
      <c r="C8026" s="802"/>
      <c r="D8026" s="802"/>
      <c r="E8026" s="802"/>
      <c r="F8026" s="802"/>
      <c r="G8026" s="802"/>
      <c r="H8026" s="802"/>
      <c r="I8026" s="612"/>
      <c r="J8026" s="612"/>
      <c r="K8026" s="612"/>
      <c r="L8026" s="612"/>
    </row>
    <row r="8027" spans="1:12" ht="17.100000000000001" customHeight="1">
      <c r="A8027" s="612" t="s">
        <v>13679</v>
      </c>
      <c r="B8027" s="636" t="s">
        <v>12698</v>
      </c>
      <c r="C8027" s="612" t="s">
        <v>12699</v>
      </c>
      <c r="D8027" s="612" t="s">
        <v>12700</v>
      </c>
      <c r="E8027" s="637" t="s">
        <v>12702</v>
      </c>
      <c r="F8027" s="801" t="s">
        <v>12704</v>
      </c>
      <c r="G8027" s="801"/>
      <c r="H8027" s="801" t="s">
        <v>13678</v>
      </c>
      <c r="I8027" s="801"/>
      <c r="J8027" s="801" t="s">
        <v>12705</v>
      </c>
      <c r="K8027" s="801"/>
      <c r="L8027" s="801"/>
    </row>
    <row r="8028" spans="1:12" ht="24" customHeight="1">
      <c r="A8028" s="626" t="s">
        <v>12709</v>
      </c>
      <c r="B8028" s="627" t="s">
        <v>13201</v>
      </c>
      <c r="C8028" s="626" t="s">
        <v>8</v>
      </c>
      <c r="D8028" s="626" t="s">
        <v>9221</v>
      </c>
      <c r="E8028" s="628" t="s">
        <v>23</v>
      </c>
      <c r="F8028" s="816" t="s">
        <v>13705</v>
      </c>
      <c r="G8028" s="816"/>
      <c r="H8028" s="816">
        <v>0.3425919</v>
      </c>
      <c r="I8028" s="816"/>
      <c r="J8028" s="817">
        <v>0.28439999999999999</v>
      </c>
      <c r="K8028" s="817"/>
      <c r="L8028" s="817"/>
    </row>
    <row r="8029" spans="1:12" ht="17.100000000000001" customHeight="1">
      <c r="A8029" s="626" t="s">
        <v>12709</v>
      </c>
      <c r="B8029" s="627" t="s">
        <v>13200</v>
      </c>
      <c r="C8029" s="626" t="s">
        <v>8</v>
      </c>
      <c r="D8029" s="626" t="s">
        <v>9368</v>
      </c>
      <c r="E8029" s="628" t="s">
        <v>23</v>
      </c>
      <c r="F8029" s="816" t="s">
        <v>13704</v>
      </c>
      <c r="G8029" s="816"/>
      <c r="H8029" s="816">
        <v>0.3425919</v>
      </c>
      <c r="I8029" s="816"/>
      <c r="J8029" s="817">
        <v>8.2199999999999995E-2</v>
      </c>
      <c r="K8029" s="817"/>
      <c r="L8029" s="817"/>
    </row>
    <row r="8030" spans="1:12">
      <c r="A8030" s="636"/>
      <c r="B8030" s="636"/>
      <c r="C8030" s="636"/>
      <c r="D8030" s="636"/>
      <c r="E8030" s="636"/>
      <c r="F8030" s="636"/>
      <c r="G8030" s="636"/>
      <c r="H8030" s="636"/>
      <c r="I8030" s="636"/>
      <c r="J8030" s="636" t="s">
        <v>13675</v>
      </c>
      <c r="K8030" s="636"/>
      <c r="L8030" s="636" t="s">
        <v>13798</v>
      </c>
    </row>
    <row r="8031" spans="1:12" ht="17.100000000000001" customHeight="1">
      <c r="A8031" s="802" t="s">
        <v>12710</v>
      </c>
      <c r="B8031" s="802"/>
      <c r="C8031" s="802"/>
      <c r="D8031" s="802"/>
      <c r="E8031" s="802"/>
      <c r="F8031" s="802"/>
      <c r="G8031" s="802"/>
      <c r="H8031" s="802"/>
      <c r="I8031" s="612"/>
      <c r="J8031" s="612"/>
      <c r="K8031" s="612"/>
      <c r="L8031" s="612"/>
    </row>
    <row r="8032" spans="1:12" ht="24" customHeight="1">
      <c r="A8032" s="612" t="s">
        <v>13679</v>
      </c>
      <c r="B8032" s="636" t="s">
        <v>12698</v>
      </c>
      <c r="C8032" s="612" t="s">
        <v>12699</v>
      </c>
      <c r="D8032" s="612" t="s">
        <v>12700</v>
      </c>
      <c r="E8032" s="637" t="s">
        <v>12702</v>
      </c>
      <c r="F8032" s="801" t="s">
        <v>12704</v>
      </c>
      <c r="G8032" s="801"/>
      <c r="H8032" s="801" t="s">
        <v>13678</v>
      </c>
      <c r="I8032" s="801"/>
      <c r="J8032" s="801" t="s">
        <v>12705</v>
      </c>
      <c r="K8032" s="801"/>
      <c r="L8032" s="801"/>
    </row>
    <row r="8033" spans="1:12" ht="17.100000000000001" customHeight="1">
      <c r="A8033" s="626" t="s">
        <v>12709</v>
      </c>
      <c r="B8033" s="627" t="s">
        <v>13220</v>
      </c>
      <c r="C8033" s="626" t="s">
        <v>8</v>
      </c>
      <c r="D8033" s="626" t="s">
        <v>7592</v>
      </c>
      <c r="E8033" s="628" t="s">
        <v>23</v>
      </c>
      <c r="F8033" s="816" t="s">
        <v>13890</v>
      </c>
      <c r="G8033" s="816"/>
      <c r="H8033" s="816">
        <v>0.17444390000000001</v>
      </c>
      <c r="I8033" s="816"/>
      <c r="J8033" s="817">
        <v>0.88270000000000004</v>
      </c>
      <c r="K8033" s="817"/>
      <c r="L8033" s="817"/>
    </row>
    <row r="8034" spans="1:12" ht="25.5">
      <c r="A8034" s="626" t="s">
        <v>12709</v>
      </c>
      <c r="B8034" s="627" t="s">
        <v>13202</v>
      </c>
      <c r="C8034" s="626" t="s">
        <v>8</v>
      </c>
      <c r="D8034" s="626" t="s">
        <v>9187</v>
      </c>
      <c r="E8034" s="628" t="s">
        <v>23</v>
      </c>
      <c r="F8034" s="816" t="s">
        <v>14479</v>
      </c>
      <c r="G8034" s="816"/>
      <c r="H8034" s="816">
        <v>0.17444390000000001</v>
      </c>
      <c r="I8034" s="816"/>
      <c r="J8034" s="817">
        <v>1.2473000000000001</v>
      </c>
      <c r="K8034" s="817"/>
      <c r="L8034" s="817"/>
    </row>
    <row r="8035" spans="1:12" ht="17.100000000000001" customHeight="1">
      <c r="A8035" s="636"/>
      <c r="B8035" s="636"/>
      <c r="C8035" s="636"/>
      <c r="D8035" s="636"/>
      <c r="E8035" s="636"/>
      <c r="F8035" s="636"/>
      <c r="G8035" s="636"/>
      <c r="H8035" s="636"/>
      <c r="I8035" s="636"/>
      <c r="J8035" s="636" t="s">
        <v>13675</v>
      </c>
      <c r="K8035" s="636"/>
      <c r="L8035" s="636" t="s">
        <v>13776</v>
      </c>
    </row>
    <row r="8036" spans="1:12" ht="24" customHeight="1">
      <c r="A8036" s="802" t="s">
        <v>12720</v>
      </c>
      <c r="B8036" s="802"/>
      <c r="C8036" s="802"/>
      <c r="D8036" s="802"/>
      <c r="E8036" s="802"/>
      <c r="F8036" s="802"/>
      <c r="G8036" s="802"/>
      <c r="H8036" s="802"/>
      <c r="I8036" s="612"/>
      <c r="J8036" s="612"/>
      <c r="K8036" s="612"/>
      <c r="L8036" s="612"/>
    </row>
    <row r="8037" spans="1:12" ht="24" customHeight="1">
      <c r="A8037" s="612" t="s">
        <v>13679</v>
      </c>
      <c r="B8037" s="636" t="s">
        <v>12698</v>
      </c>
      <c r="C8037" s="612" t="s">
        <v>12699</v>
      </c>
      <c r="D8037" s="612" t="s">
        <v>12700</v>
      </c>
      <c r="E8037" s="637" t="s">
        <v>12702</v>
      </c>
      <c r="F8037" s="801" t="s">
        <v>12704</v>
      </c>
      <c r="G8037" s="801"/>
      <c r="H8037" s="801" t="s">
        <v>13678</v>
      </c>
      <c r="I8037" s="801"/>
      <c r="J8037" s="801" t="s">
        <v>12705</v>
      </c>
      <c r="K8037" s="801"/>
      <c r="L8037" s="801"/>
    </row>
    <row r="8038" spans="1:12" ht="17.100000000000001" customHeight="1">
      <c r="A8038" s="626" t="s">
        <v>12709</v>
      </c>
      <c r="B8038" s="627" t="s">
        <v>13440</v>
      </c>
      <c r="C8038" s="626" t="s">
        <v>8</v>
      </c>
      <c r="D8038" s="626" t="s">
        <v>9427</v>
      </c>
      <c r="E8038" s="628" t="s">
        <v>35</v>
      </c>
      <c r="F8038" s="816" t="s">
        <v>14603</v>
      </c>
      <c r="G8038" s="816"/>
      <c r="H8038" s="816">
        <v>8.0000000000000002E-3</v>
      </c>
      <c r="I8038" s="816"/>
      <c r="J8038" s="817">
        <v>0.11</v>
      </c>
      <c r="K8038" s="817"/>
      <c r="L8038" s="817"/>
    </row>
    <row r="8039" spans="1:12" ht="17.100000000000001" customHeight="1">
      <c r="A8039" s="626" t="s">
        <v>12709</v>
      </c>
      <c r="B8039" s="627" t="s">
        <v>13439</v>
      </c>
      <c r="C8039" s="626" t="s">
        <v>8</v>
      </c>
      <c r="D8039" s="626" t="s">
        <v>9475</v>
      </c>
      <c r="E8039" s="628" t="s">
        <v>58</v>
      </c>
      <c r="F8039" s="816" t="s">
        <v>13946</v>
      </c>
      <c r="G8039" s="816"/>
      <c r="H8039" s="816">
        <v>2E-3</v>
      </c>
      <c r="I8039" s="816"/>
      <c r="J8039" s="817">
        <v>0.04</v>
      </c>
      <c r="K8039" s="817"/>
      <c r="L8039" s="817"/>
    </row>
    <row r="8040" spans="1:12" ht="17.100000000000001" customHeight="1">
      <c r="A8040" s="626" t="s">
        <v>12709</v>
      </c>
      <c r="B8040" s="627" t="s">
        <v>13445</v>
      </c>
      <c r="C8040" s="626" t="s">
        <v>8</v>
      </c>
      <c r="D8040" s="626" t="s">
        <v>10505</v>
      </c>
      <c r="E8040" s="628" t="s">
        <v>35</v>
      </c>
      <c r="F8040" s="816" t="s">
        <v>13952</v>
      </c>
      <c r="G8040" s="816"/>
      <c r="H8040" s="816">
        <v>1</v>
      </c>
      <c r="I8040" s="816"/>
      <c r="J8040" s="817">
        <v>2.83</v>
      </c>
      <c r="K8040" s="817"/>
      <c r="L8040" s="817"/>
    </row>
    <row r="8041" spans="1:12" ht="17.100000000000001" customHeight="1">
      <c r="A8041" s="636"/>
      <c r="B8041" s="636"/>
      <c r="C8041" s="636"/>
      <c r="D8041" s="636"/>
      <c r="E8041" s="636"/>
      <c r="F8041" s="636"/>
      <c r="G8041" s="636"/>
      <c r="H8041" s="636"/>
      <c r="I8041" s="636"/>
      <c r="J8041" s="636" t="s">
        <v>13675</v>
      </c>
      <c r="K8041" s="636"/>
      <c r="L8041" s="636" t="s">
        <v>14605</v>
      </c>
    </row>
    <row r="8042" spans="1:12" ht="17.100000000000001" customHeight="1">
      <c r="A8042" s="802" t="s">
        <v>12722</v>
      </c>
      <c r="B8042" s="802"/>
      <c r="C8042" s="802"/>
      <c r="D8042" s="802"/>
      <c r="E8042" s="802"/>
      <c r="F8042" s="802"/>
      <c r="G8042" s="802"/>
      <c r="H8042" s="802"/>
      <c r="I8042" s="612"/>
      <c r="J8042" s="612"/>
      <c r="K8042" s="612"/>
      <c r="L8042" s="612"/>
    </row>
    <row r="8043" spans="1:12" ht="17.100000000000001" customHeight="1">
      <c r="A8043" s="612" t="s">
        <v>13679</v>
      </c>
      <c r="B8043" s="636" t="s">
        <v>12698</v>
      </c>
      <c r="C8043" s="612" t="s">
        <v>12699</v>
      </c>
      <c r="D8043" s="612" t="s">
        <v>12700</v>
      </c>
      <c r="E8043" s="637" t="s">
        <v>12702</v>
      </c>
      <c r="F8043" s="801" t="s">
        <v>12704</v>
      </c>
      <c r="G8043" s="801"/>
      <c r="H8043" s="801" t="s">
        <v>13678</v>
      </c>
      <c r="I8043" s="801"/>
      <c r="J8043" s="801" t="s">
        <v>12705</v>
      </c>
      <c r="K8043" s="801"/>
      <c r="L8043" s="801"/>
    </row>
    <row r="8044" spans="1:12" ht="17.100000000000001" customHeight="1">
      <c r="A8044" s="626" t="s">
        <v>12709</v>
      </c>
      <c r="B8044" s="627" t="s">
        <v>12998</v>
      </c>
      <c r="C8044" s="626" t="s">
        <v>8</v>
      </c>
      <c r="D8044" s="626" t="s">
        <v>11861</v>
      </c>
      <c r="E8044" s="628" t="s">
        <v>23</v>
      </c>
      <c r="F8044" s="816" t="s">
        <v>13683</v>
      </c>
      <c r="G8044" s="816"/>
      <c r="H8044" s="816">
        <v>0.3425919</v>
      </c>
      <c r="I8044" s="816"/>
      <c r="J8044" s="817">
        <v>0.2432</v>
      </c>
      <c r="K8044" s="817"/>
      <c r="L8044" s="817"/>
    </row>
    <row r="8045" spans="1:12" ht="30" customHeight="1">
      <c r="A8045" s="636"/>
      <c r="B8045" s="636"/>
      <c r="C8045" s="636"/>
      <c r="D8045" s="636"/>
      <c r="E8045" s="636"/>
      <c r="F8045" s="636"/>
      <c r="G8045" s="636"/>
      <c r="H8045" s="636"/>
      <c r="I8045" s="636"/>
      <c r="J8045" s="636" t="s">
        <v>13675</v>
      </c>
      <c r="K8045" s="636"/>
      <c r="L8045" s="636" t="s">
        <v>13704</v>
      </c>
    </row>
    <row r="8046" spans="1:12" ht="24" customHeight="1">
      <c r="A8046" s="802" t="s">
        <v>12713</v>
      </c>
      <c r="B8046" s="802"/>
      <c r="C8046" s="802"/>
      <c r="D8046" s="802"/>
      <c r="E8046" s="802"/>
      <c r="F8046" s="802"/>
      <c r="G8046" s="802"/>
      <c r="H8046" s="802"/>
      <c r="I8046" s="612"/>
      <c r="J8046" s="612"/>
      <c r="K8046" s="612"/>
      <c r="L8046" s="612"/>
    </row>
    <row r="8047" spans="1:12" ht="14.25" customHeight="1">
      <c r="A8047" s="612" t="s">
        <v>13679</v>
      </c>
      <c r="B8047" s="636" t="s">
        <v>12698</v>
      </c>
      <c r="C8047" s="612" t="s">
        <v>12699</v>
      </c>
      <c r="D8047" s="612" t="s">
        <v>12700</v>
      </c>
      <c r="E8047" s="637" t="s">
        <v>12702</v>
      </c>
      <c r="F8047" s="801" t="s">
        <v>12704</v>
      </c>
      <c r="G8047" s="801"/>
      <c r="H8047" s="801" t="s">
        <v>13678</v>
      </c>
      <c r="I8047" s="801"/>
      <c r="J8047" s="801" t="s">
        <v>12705</v>
      </c>
      <c r="K8047" s="801"/>
      <c r="L8047" s="801"/>
    </row>
    <row r="8048" spans="1:12" ht="17.100000000000001" customHeight="1">
      <c r="A8048" s="626" t="s">
        <v>12709</v>
      </c>
      <c r="B8048" s="627" t="s">
        <v>12999</v>
      </c>
      <c r="C8048" s="626" t="s">
        <v>8</v>
      </c>
      <c r="D8048" s="626" t="s">
        <v>11251</v>
      </c>
      <c r="E8048" s="628" t="s">
        <v>23</v>
      </c>
      <c r="F8048" s="816" t="s">
        <v>13681</v>
      </c>
      <c r="G8048" s="816"/>
      <c r="H8048" s="816">
        <v>0.3425919</v>
      </c>
      <c r="I8048" s="816"/>
      <c r="J8048" s="817">
        <v>2.4E-2</v>
      </c>
      <c r="K8048" s="817"/>
      <c r="L8048" s="817"/>
    </row>
    <row r="8049" spans="1:12" ht="48" customHeight="1">
      <c r="A8049" s="636"/>
      <c r="B8049" s="636"/>
      <c r="C8049" s="636"/>
      <c r="D8049" s="636"/>
      <c r="E8049" s="636"/>
      <c r="F8049" s="636"/>
      <c r="G8049" s="636"/>
      <c r="H8049" s="636"/>
      <c r="I8049" s="636"/>
      <c r="J8049" s="636" t="s">
        <v>13675</v>
      </c>
      <c r="K8049" s="636"/>
      <c r="L8049" s="636" t="s">
        <v>13680</v>
      </c>
    </row>
    <row r="8050" spans="1:12" ht="24" customHeight="1">
      <c r="A8050" s="802" t="s">
        <v>12712</v>
      </c>
      <c r="B8050" s="802"/>
      <c r="C8050" s="802"/>
      <c r="D8050" s="802"/>
      <c r="E8050" s="802"/>
      <c r="F8050" s="802"/>
      <c r="G8050" s="802"/>
      <c r="H8050" s="802"/>
      <c r="I8050" s="612"/>
      <c r="J8050" s="612"/>
      <c r="K8050" s="612"/>
      <c r="L8050" s="612"/>
    </row>
    <row r="8051" spans="1:12" ht="24" customHeight="1">
      <c r="A8051" s="612" t="s">
        <v>13679</v>
      </c>
      <c r="B8051" s="636" t="s">
        <v>12698</v>
      </c>
      <c r="C8051" s="612" t="s">
        <v>12699</v>
      </c>
      <c r="D8051" s="612" t="s">
        <v>12700</v>
      </c>
      <c r="E8051" s="637" t="s">
        <v>12702</v>
      </c>
      <c r="F8051" s="801" t="s">
        <v>12704</v>
      </c>
      <c r="G8051" s="801"/>
      <c r="H8051" s="801" t="s">
        <v>13678</v>
      </c>
      <c r="I8051" s="801"/>
      <c r="J8051" s="801" t="s">
        <v>12705</v>
      </c>
      <c r="K8051" s="801"/>
      <c r="L8051" s="801"/>
    </row>
    <row r="8052" spans="1:12" ht="24" customHeight="1">
      <c r="A8052" s="626" t="s">
        <v>12709</v>
      </c>
      <c r="B8052" s="627" t="s">
        <v>13002</v>
      </c>
      <c r="C8052" s="626" t="s">
        <v>8</v>
      </c>
      <c r="D8052" s="626" t="s">
        <v>9306</v>
      </c>
      <c r="E8052" s="628" t="s">
        <v>23</v>
      </c>
      <c r="F8052" s="816" t="s">
        <v>13677</v>
      </c>
      <c r="G8052" s="816"/>
      <c r="H8052" s="816">
        <v>0.3425919</v>
      </c>
      <c r="I8052" s="816"/>
      <c r="J8052" s="817">
        <v>0.11990000000000001</v>
      </c>
      <c r="K8052" s="817"/>
      <c r="L8052" s="817"/>
    </row>
    <row r="8053" spans="1:12" ht="24" customHeight="1">
      <c r="A8053" s="626" t="s">
        <v>12709</v>
      </c>
      <c r="B8053" s="627" t="s">
        <v>13004</v>
      </c>
      <c r="C8053" s="626" t="s">
        <v>8</v>
      </c>
      <c r="D8053" s="626" t="s">
        <v>7388</v>
      </c>
      <c r="E8053" s="628" t="s">
        <v>23</v>
      </c>
      <c r="F8053" s="816" t="s">
        <v>13676</v>
      </c>
      <c r="G8053" s="816"/>
      <c r="H8053" s="816">
        <v>0.3425919</v>
      </c>
      <c r="I8053" s="816"/>
      <c r="J8053" s="817">
        <v>0.75370000000000004</v>
      </c>
      <c r="K8053" s="817"/>
      <c r="L8053" s="817"/>
    </row>
    <row r="8054" spans="1:12" ht="17.100000000000001" customHeight="1">
      <c r="A8054" s="636"/>
      <c r="B8054" s="636"/>
      <c r="C8054" s="636"/>
      <c r="D8054" s="636"/>
      <c r="E8054" s="636"/>
      <c r="F8054" s="636"/>
      <c r="G8054" s="636"/>
      <c r="H8054" s="636"/>
      <c r="I8054" s="636"/>
      <c r="J8054" s="636" t="s">
        <v>13675</v>
      </c>
      <c r="K8054" s="636"/>
      <c r="L8054" s="636" t="s">
        <v>13844</v>
      </c>
    </row>
    <row r="8055" spans="1:12" ht="14.25" customHeight="1">
      <c r="A8055" s="612" t="s">
        <v>13673</v>
      </c>
      <c r="B8055" s="612"/>
      <c r="C8055" s="612"/>
      <c r="D8055" s="612"/>
      <c r="E8055" s="612"/>
      <c r="F8055" s="612"/>
      <c r="G8055" s="612"/>
      <c r="H8055" s="612"/>
      <c r="I8055" s="612"/>
      <c r="J8055" s="612"/>
      <c r="K8055" s="612"/>
      <c r="L8055" s="612"/>
    </row>
    <row r="8056" spans="1:12" ht="17.100000000000001" customHeight="1">
      <c r="A8056" s="636"/>
      <c r="B8056" s="636"/>
      <c r="C8056" s="636"/>
      <c r="D8056" s="636"/>
      <c r="E8056" s="636"/>
      <c r="F8056" s="636"/>
      <c r="G8056" s="636"/>
      <c r="H8056" s="636"/>
      <c r="I8056" s="636"/>
      <c r="J8056" s="636" t="s">
        <v>13672</v>
      </c>
      <c r="K8056" s="636"/>
      <c r="L8056" s="636" t="s">
        <v>15191</v>
      </c>
    </row>
    <row r="8057" spans="1:12" ht="24" customHeight="1">
      <c r="A8057" s="636"/>
      <c r="B8057" s="636"/>
      <c r="C8057" s="636"/>
      <c r="D8057" s="636"/>
      <c r="E8057" s="636"/>
      <c r="F8057" s="636"/>
      <c r="G8057" s="636"/>
      <c r="H8057" s="636"/>
      <c r="I8057" s="636"/>
      <c r="J8057" s="636" t="s">
        <v>13671</v>
      </c>
      <c r="K8057" s="636" t="s">
        <v>14461</v>
      </c>
      <c r="L8057" s="636" t="s">
        <v>15330</v>
      </c>
    </row>
    <row r="8058" spans="1:12" ht="24" customHeight="1">
      <c r="A8058" s="636"/>
      <c r="B8058" s="636"/>
      <c r="C8058" s="636"/>
      <c r="D8058" s="636"/>
      <c r="E8058" s="636"/>
      <c r="F8058" s="636"/>
      <c r="G8058" s="636"/>
      <c r="H8058" s="636"/>
      <c r="I8058" s="636"/>
      <c r="J8058" s="636" t="s">
        <v>13670</v>
      </c>
      <c r="K8058" s="636"/>
      <c r="L8058" s="636" t="s">
        <v>15064</v>
      </c>
    </row>
    <row r="8059" spans="1:12" ht="17.100000000000001" customHeight="1">
      <c r="A8059" s="636"/>
      <c r="B8059" s="636"/>
      <c r="C8059" s="636"/>
      <c r="D8059" s="636"/>
      <c r="E8059" s="636"/>
      <c r="F8059" s="636"/>
      <c r="G8059" s="636"/>
      <c r="H8059" s="636"/>
      <c r="I8059" s="636"/>
      <c r="J8059" s="636" t="s">
        <v>13669</v>
      </c>
      <c r="K8059" s="636" t="s">
        <v>13667</v>
      </c>
      <c r="L8059" s="636" t="s">
        <v>15313</v>
      </c>
    </row>
    <row r="8060" spans="1:12">
      <c r="A8060" s="636"/>
      <c r="B8060" s="636"/>
      <c r="C8060" s="636"/>
      <c r="D8060" s="636"/>
      <c r="E8060" s="636"/>
      <c r="F8060" s="636"/>
      <c r="G8060" s="636"/>
      <c r="H8060" s="636"/>
      <c r="I8060" s="636"/>
      <c r="J8060" s="636" t="s">
        <v>13668</v>
      </c>
      <c r="K8060" s="636"/>
      <c r="L8060" s="636" t="s">
        <v>15494</v>
      </c>
    </row>
    <row r="8061" spans="1:12" ht="17.100000000000001" customHeight="1">
      <c r="A8061" s="637"/>
      <c r="B8061" s="637"/>
      <c r="C8061" s="637"/>
      <c r="D8061" s="637"/>
      <c r="E8061" s="637"/>
      <c r="F8061" s="637"/>
      <c r="G8061" s="637"/>
      <c r="H8061" s="637"/>
      <c r="I8061" s="637"/>
      <c r="J8061" s="637"/>
      <c r="K8061" s="637"/>
      <c r="L8061" s="637"/>
    </row>
    <row r="8062" spans="1:12" ht="24" customHeight="1">
      <c r="A8062" s="616" t="s">
        <v>13950</v>
      </c>
      <c r="B8062" s="617" t="s">
        <v>13444</v>
      </c>
      <c r="C8062" s="616" t="s">
        <v>8</v>
      </c>
      <c r="D8062" s="616" t="s">
        <v>662</v>
      </c>
      <c r="E8062" s="618" t="s">
        <v>35</v>
      </c>
      <c r="F8062" s="617"/>
      <c r="G8062" s="617"/>
      <c r="H8062" s="617"/>
      <c r="I8062" s="617"/>
      <c r="J8062" s="617"/>
      <c r="K8062" s="617"/>
      <c r="L8062" s="617"/>
    </row>
    <row r="8063" spans="1:12" ht="17.100000000000001" customHeight="1">
      <c r="A8063" s="802" t="s">
        <v>12711</v>
      </c>
      <c r="B8063" s="802"/>
      <c r="C8063" s="802"/>
      <c r="D8063" s="802"/>
      <c r="E8063" s="802"/>
      <c r="F8063" s="802"/>
      <c r="G8063" s="802"/>
      <c r="H8063" s="802"/>
      <c r="I8063" s="612"/>
      <c r="J8063" s="612"/>
      <c r="K8063" s="612"/>
      <c r="L8063" s="612"/>
    </row>
    <row r="8064" spans="1:12">
      <c r="A8064" s="612" t="s">
        <v>13679</v>
      </c>
      <c r="B8064" s="636" t="s">
        <v>12698</v>
      </c>
      <c r="C8064" s="612" t="s">
        <v>12699</v>
      </c>
      <c r="D8064" s="612" t="s">
        <v>12700</v>
      </c>
      <c r="E8064" s="637" t="s">
        <v>12702</v>
      </c>
      <c r="F8064" s="801" t="s">
        <v>12704</v>
      </c>
      <c r="G8064" s="801"/>
      <c r="H8064" s="801" t="s">
        <v>13678</v>
      </c>
      <c r="I8064" s="801"/>
      <c r="J8064" s="801" t="s">
        <v>12705</v>
      </c>
      <c r="K8064" s="801"/>
      <c r="L8064" s="801"/>
    </row>
    <row r="8065" spans="1:12" ht="17.100000000000001" customHeight="1">
      <c r="A8065" s="626" t="s">
        <v>12709</v>
      </c>
      <c r="B8065" s="627" t="s">
        <v>13201</v>
      </c>
      <c r="C8065" s="626" t="s">
        <v>8</v>
      </c>
      <c r="D8065" s="626" t="s">
        <v>9221</v>
      </c>
      <c r="E8065" s="628" t="s">
        <v>23</v>
      </c>
      <c r="F8065" s="816" t="s">
        <v>13705</v>
      </c>
      <c r="G8065" s="816"/>
      <c r="H8065" s="816">
        <v>0.5919586</v>
      </c>
      <c r="I8065" s="816"/>
      <c r="J8065" s="817">
        <v>0.49130000000000001</v>
      </c>
      <c r="K8065" s="817"/>
      <c r="L8065" s="817"/>
    </row>
    <row r="8066" spans="1:12" ht="24" customHeight="1">
      <c r="A8066" s="626" t="s">
        <v>12709</v>
      </c>
      <c r="B8066" s="627" t="s">
        <v>13200</v>
      </c>
      <c r="C8066" s="626" t="s">
        <v>8</v>
      </c>
      <c r="D8066" s="626" t="s">
        <v>9368</v>
      </c>
      <c r="E8066" s="628" t="s">
        <v>23</v>
      </c>
      <c r="F8066" s="816" t="s">
        <v>13704</v>
      </c>
      <c r="G8066" s="816"/>
      <c r="H8066" s="816">
        <v>0.5919586</v>
      </c>
      <c r="I8066" s="816"/>
      <c r="J8066" s="817">
        <v>0.1421</v>
      </c>
      <c r="K8066" s="817"/>
      <c r="L8066" s="817"/>
    </row>
    <row r="8067" spans="1:12" ht="17.100000000000001" customHeight="1">
      <c r="A8067" s="636"/>
      <c r="B8067" s="636"/>
      <c r="C8067" s="636"/>
      <c r="D8067" s="636"/>
      <c r="E8067" s="636"/>
      <c r="F8067" s="636"/>
      <c r="G8067" s="636"/>
      <c r="H8067" s="636"/>
      <c r="I8067" s="636"/>
      <c r="J8067" s="636" t="s">
        <v>13675</v>
      </c>
      <c r="K8067" s="636"/>
      <c r="L8067" s="636" t="s">
        <v>13674</v>
      </c>
    </row>
    <row r="8068" spans="1:12">
      <c r="A8068" s="802" t="s">
        <v>12710</v>
      </c>
      <c r="B8068" s="802"/>
      <c r="C8068" s="802"/>
      <c r="D8068" s="802"/>
      <c r="E8068" s="802"/>
      <c r="F8068" s="802"/>
      <c r="G8068" s="802"/>
      <c r="H8068" s="802"/>
      <c r="I8068" s="612"/>
      <c r="J8068" s="612"/>
      <c r="K8068" s="612"/>
      <c r="L8068" s="612"/>
    </row>
    <row r="8069" spans="1:12" ht="17.100000000000001" customHeight="1">
      <c r="A8069" s="612" t="s">
        <v>13679</v>
      </c>
      <c r="B8069" s="636" t="s">
        <v>12698</v>
      </c>
      <c r="C8069" s="612" t="s">
        <v>12699</v>
      </c>
      <c r="D8069" s="612" t="s">
        <v>12700</v>
      </c>
      <c r="E8069" s="637" t="s">
        <v>12702</v>
      </c>
      <c r="F8069" s="801" t="s">
        <v>12704</v>
      </c>
      <c r="G8069" s="801"/>
      <c r="H8069" s="801" t="s">
        <v>13678</v>
      </c>
      <c r="I8069" s="801"/>
      <c r="J8069" s="801" t="s">
        <v>12705</v>
      </c>
      <c r="K8069" s="801"/>
      <c r="L8069" s="801"/>
    </row>
    <row r="8070" spans="1:12" ht="24" customHeight="1">
      <c r="A8070" s="626" t="s">
        <v>12709</v>
      </c>
      <c r="B8070" s="627" t="s">
        <v>13220</v>
      </c>
      <c r="C8070" s="626" t="s">
        <v>8</v>
      </c>
      <c r="D8070" s="626" t="s">
        <v>7592</v>
      </c>
      <c r="E8070" s="628" t="s">
        <v>23</v>
      </c>
      <c r="F8070" s="816" t="s">
        <v>13890</v>
      </c>
      <c r="G8070" s="816"/>
      <c r="H8070" s="816">
        <v>0.30018519999999999</v>
      </c>
      <c r="I8070" s="816"/>
      <c r="J8070" s="817">
        <v>1.5188999999999999</v>
      </c>
      <c r="K8070" s="817"/>
      <c r="L8070" s="817"/>
    </row>
    <row r="8071" spans="1:12" ht="17.100000000000001" customHeight="1">
      <c r="A8071" s="626" t="s">
        <v>12709</v>
      </c>
      <c r="B8071" s="627" t="s">
        <v>13202</v>
      </c>
      <c r="C8071" s="626" t="s">
        <v>8</v>
      </c>
      <c r="D8071" s="626" t="s">
        <v>9187</v>
      </c>
      <c r="E8071" s="628" t="s">
        <v>23</v>
      </c>
      <c r="F8071" s="816" t="s">
        <v>14479</v>
      </c>
      <c r="G8071" s="816"/>
      <c r="H8071" s="816">
        <v>0.30018519999999999</v>
      </c>
      <c r="I8071" s="816"/>
      <c r="J8071" s="817">
        <v>2.1463000000000001</v>
      </c>
      <c r="K8071" s="817"/>
      <c r="L8071" s="817"/>
    </row>
    <row r="8072" spans="1:12">
      <c r="A8072" s="636"/>
      <c r="B8072" s="636"/>
      <c r="C8072" s="636"/>
      <c r="D8072" s="636"/>
      <c r="E8072" s="636"/>
      <c r="F8072" s="636"/>
      <c r="G8072" s="636"/>
      <c r="H8072" s="636"/>
      <c r="I8072" s="636"/>
      <c r="J8072" s="636" t="s">
        <v>13675</v>
      </c>
      <c r="K8072" s="636"/>
      <c r="L8072" s="636" t="s">
        <v>14114</v>
      </c>
    </row>
    <row r="8073" spans="1:12" ht="17.100000000000001" customHeight="1">
      <c r="A8073" s="802" t="s">
        <v>12720</v>
      </c>
      <c r="B8073" s="802"/>
      <c r="C8073" s="802"/>
      <c r="D8073" s="802"/>
      <c r="E8073" s="802"/>
      <c r="F8073" s="802"/>
      <c r="G8073" s="802"/>
      <c r="H8073" s="802"/>
      <c r="I8073" s="612"/>
      <c r="J8073" s="612"/>
      <c r="K8073" s="612"/>
      <c r="L8073" s="612"/>
    </row>
    <row r="8074" spans="1:12" ht="24" customHeight="1">
      <c r="A8074" s="612" t="s">
        <v>13679</v>
      </c>
      <c r="B8074" s="636" t="s">
        <v>12698</v>
      </c>
      <c r="C8074" s="612" t="s">
        <v>12699</v>
      </c>
      <c r="D8074" s="612" t="s">
        <v>12700</v>
      </c>
      <c r="E8074" s="637" t="s">
        <v>12702</v>
      </c>
      <c r="F8074" s="801" t="s">
        <v>12704</v>
      </c>
      <c r="G8074" s="801"/>
      <c r="H8074" s="801" t="s">
        <v>13678</v>
      </c>
      <c r="I8074" s="801"/>
      <c r="J8074" s="801" t="s">
        <v>12705</v>
      </c>
      <c r="K8074" s="801"/>
      <c r="L8074" s="801"/>
    </row>
    <row r="8075" spans="1:12" ht="24" customHeight="1">
      <c r="A8075" s="626" t="s">
        <v>12709</v>
      </c>
      <c r="B8075" s="627" t="s">
        <v>13440</v>
      </c>
      <c r="C8075" s="626" t="s">
        <v>8</v>
      </c>
      <c r="D8075" s="626" t="s">
        <v>9427</v>
      </c>
      <c r="E8075" s="628" t="s">
        <v>35</v>
      </c>
      <c r="F8075" s="816" t="s">
        <v>14603</v>
      </c>
      <c r="G8075" s="816"/>
      <c r="H8075" s="816">
        <v>1.0999999999999999E-2</v>
      </c>
      <c r="I8075" s="816"/>
      <c r="J8075" s="817">
        <v>0.16</v>
      </c>
      <c r="K8075" s="817"/>
      <c r="L8075" s="817"/>
    </row>
    <row r="8076" spans="1:12" ht="17.100000000000001" customHeight="1">
      <c r="A8076" s="626" t="s">
        <v>12709</v>
      </c>
      <c r="B8076" s="627" t="s">
        <v>13439</v>
      </c>
      <c r="C8076" s="626" t="s">
        <v>8</v>
      </c>
      <c r="D8076" s="626" t="s">
        <v>9475</v>
      </c>
      <c r="E8076" s="628" t="s">
        <v>58</v>
      </c>
      <c r="F8076" s="816" t="s">
        <v>13946</v>
      </c>
      <c r="G8076" s="816"/>
      <c r="H8076" s="816">
        <v>3.0000000000000001E-3</v>
      </c>
      <c r="I8076" s="816"/>
      <c r="J8076" s="817">
        <v>7.0000000000000007E-2</v>
      </c>
      <c r="K8076" s="817"/>
      <c r="L8076" s="817"/>
    </row>
    <row r="8077" spans="1:12" ht="17.100000000000001" customHeight="1">
      <c r="A8077" s="626" t="s">
        <v>12709</v>
      </c>
      <c r="B8077" s="627" t="s">
        <v>13443</v>
      </c>
      <c r="C8077" s="626" t="s">
        <v>8</v>
      </c>
      <c r="D8077" s="626" t="s">
        <v>10145</v>
      </c>
      <c r="E8077" s="628" t="s">
        <v>35</v>
      </c>
      <c r="F8077" s="816" t="s">
        <v>13949</v>
      </c>
      <c r="G8077" s="816"/>
      <c r="H8077" s="816">
        <v>1</v>
      </c>
      <c r="I8077" s="816"/>
      <c r="J8077" s="817">
        <v>4.8</v>
      </c>
      <c r="K8077" s="817"/>
      <c r="L8077" s="817"/>
    </row>
    <row r="8078" spans="1:12" ht="17.100000000000001" customHeight="1">
      <c r="A8078" s="636"/>
      <c r="B8078" s="636"/>
      <c r="C8078" s="636"/>
      <c r="D8078" s="636"/>
      <c r="E8078" s="636"/>
      <c r="F8078" s="636"/>
      <c r="G8078" s="636"/>
      <c r="H8078" s="636"/>
      <c r="I8078" s="636"/>
      <c r="J8078" s="636" t="s">
        <v>13675</v>
      </c>
      <c r="K8078" s="636"/>
      <c r="L8078" s="636" t="s">
        <v>14279</v>
      </c>
    </row>
    <row r="8079" spans="1:12" ht="17.100000000000001" customHeight="1">
      <c r="A8079" s="802" t="s">
        <v>12722</v>
      </c>
      <c r="B8079" s="802"/>
      <c r="C8079" s="802"/>
      <c r="D8079" s="802"/>
      <c r="E8079" s="802"/>
      <c r="F8079" s="802"/>
      <c r="G8079" s="802"/>
      <c r="H8079" s="802"/>
      <c r="I8079" s="612"/>
      <c r="J8079" s="612"/>
      <c r="K8079" s="612"/>
      <c r="L8079" s="612"/>
    </row>
    <row r="8080" spans="1:12" ht="17.100000000000001" customHeight="1">
      <c r="A8080" s="612" t="s">
        <v>13679</v>
      </c>
      <c r="B8080" s="636" t="s">
        <v>12698</v>
      </c>
      <c r="C8080" s="612" t="s">
        <v>12699</v>
      </c>
      <c r="D8080" s="612" t="s">
        <v>12700</v>
      </c>
      <c r="E8080" s="637" t="s">
        <v>12702</v>
      </c>
      <c r="F8080" s="801" t="s">
        <v>12704</v>
      </c>
      <c r="G8080" s="801"/>
      <c r="H8080" s="801" t="s">
        <v>13678</v>
      </c>
      <c r="I8080" s="801"/>
      <c r="J8080" s="801" t="s">
        <v>12705</v>
      </c>
      <c r="K8080" s="801"/>
      <c r="L8080" s="801"/>
    </row>
    <row r="8081" spans="1:12" ht="17.100000000000001" customHeight="1">
      <c r="A8081" s="626" t="s">
        <v>12709</v>
      </c>
      <c r="B8081" s="627" t="s">
        <v>12998</v>
      </c>
      <c r="C8081" s="626" t="s">
        <v>8</v>
      </c>
      <c r="D8081" s="626" t="s">
        <v>11861</v>
      </c>
      <c r="E8081" s="628" t="s">
        <v>23</v>
      </c>
      <c r="F8081" s="816" t="s">
        <v>13683</v>
      </c>
      <c r="G8081" s="816"/>
      <c r="H8081" s="816">
        <v>0.5919586</v>
      </c>
      <c r="I8081" s="816"/>
      <c r="J8081" s="817">
        <v>0.42030000000000001</v>
      </c>
      <c r="K8081" s="817"/>
      <c r="L8081" s="817"/>
    </row>
    <row r="8082" spans="1:12" ht="17.100000000000001" customHeight="1">
      <c r="A8082" s="636"/>
      <c r="B8082" s="636"/>
      <c r="C8082" s="636"/>
      <c r="D8082" s="636"/>
      <c r="E8082" s="636"/>
      <c r="F8082" s="636"/>
      <c r="G8082" s="636"/>
      <c r="H8082" s="636"/>
      <c r="I8082" s="636"/>
      <c r="J8082" s="636" t="s">
        <v>13675</v>
      </c>
      <c r="K8082" s="636"/>
      <c r="L8082" s="636" t="s">
        <v>13837</v>
      </c>
    </row>
    <row r="8083" spans="1:12" ht="30" customHeight="1">
      <c r="A8083" s="802" t="s">
        <v>12713</v>
      </c>
      <c r="B8083" s="802"/>
      <c r="C8083" s="802"/>
      <c r="D8083" s="802"/>
      <c r="E8083" s="802"/>
      <c r="F8083" s="802"/>
      <c r="G8083" s="802"/>
      <c r="H8083" s="802"/>
      <c r="I8083" s="612"/>
      <c r="J8083" s="612"/>
      <c r="K8083" s="612"/>
      <c r="L8083" s="612"/>
    </row>
    <row r="8084" spans="1:12" ht="36" customHeight="1">
      <c r="A8084" s="612" t="s">
        <v>13679</v>
      </c>
      <c r="B8084" s="636" t="s">
        <v>12698</v>
      </c>
      <c r="C8084" s="612" t="s">
        <v>12699</v>
      </c>
      <c r="D8084" s="612" t="s">
        <v>12700</v>
      </c>
      <c r="E8084" s="637" t="s">
        <v>12702</v>
      </c>
      <c r="F8084" s="801" t="s">
        <v>12704</v>
      </c>
      <c r="G8084" s="801"/>
      <c r="H8084" s="801" t="s">
        <v>13678</v>
      </c>
      <c r="I8084" s="801"/>
      <c r="J8084" s="801" t="s">
        <v>12705</v>
      </c>
      <c r="K8084" s="801"/>
      <c r="L8084" s="801"/>
    </row>
    <row r="8085" spans="1:12" ht="14.25" customHeight="1">
      <c r="A8085" s="626" t="s">
        <v>12709</v>
      </c>
      <c r="B8085" s="627" t="s">
        <v>12999</v>
      </c>
      <c r="C8085" s="626" t="s">
        <v>8</v>
      </c>
      <c r="D8085" s="626" t="s">
        <v>11251</v>
      </c>
      <c r="E8085" s="628" t="s">
        <v>23</v>
      </c>
      <c r="F8085" s="816" t="s">
        <v>13681</v>
      </c>
      <c r="G8085" s="816"/>
      <c r="H8085" s="816">
        <v>0.5919586</v>
      </c>
      <c r="I8085" s="816"/>
      <c r="J8085" s="817">
        <v>4.1399999999999999E-2</v>
      </c>
      <c r="K8085" s="817"/>
      <c r="L8085" s="817"/>
    </row>
    <row r="8086" spans="1:12" ht="17.100000000000001" customHeight="1">
      <c r="A8086" s="636"/>
      <c r="B8086" s="636"/>
      <c r="C8086" s="636"/>
      <c r="D8086" s="636"/>
      <c r="E8086" s="636"/>
      <c r="F8086" s="636"/>
      <c r="G8086" s="636"/>
      <c r="H8086" s="636"/>
      <c r="I8086" s="636"/>
      <c r="J8086" s="636" t="s">
        <v>13675</v>
      </c>
      <c r="K8086" s="636"/>
      <c r="L8086" s="636" t="s">
        <v>13716</v>
      </c>
    </row>
    <row r="8087" spans="1:12" ht="48" customHeight="1">
      <c r="A8087" s="802" t="s">
        <v>12712</v>
      </c>
      <c r="B8087" s="802"/>
      <c r="C8087" s="802"/>
      <c r="D8087" s="802"/>
      <c r="E8087" s="802"/>
      <c r="F8087" s="802"/>
      <c r="G8087" s="802"/>
      <c r="H8087" s="802"/>
      <c r="I8087" s="612"/>
      <c r="J8087" s="612"/>
      <c r="K8087" s="612"/>
      <c r="L8087" s="612"/>
    </row>
    <row r="8088" spans="1:12" ht="24" customHeight="1">
      <c r="A8088" s="612" t="s">
        <v>13679</v>
      </c>
      <c r="B8088" s="636" t="s">
        <v>12698</v>
      </c>
      <c r="C8088" s="612" t="s">
        <v>12699</v>
      </c>
      <c r="D8088" s="612" t="s">
        <v>12700</v>
      </c>
      <c r="E8088" s="637" t="s">
        <v>12702</v>
      </c>
      <c r="F8088" s="801" t="s">
        <v>12704</v>
      </c>
      <c r="G8088" s="801"/>
      <c r="H8088" s="801" t="s">
        <v>13678</v>
      </c>
      <c r="I8088" s="801"/>
      <c r="J8088" s="801" t="s">
        <v>12705</v>
      </c>
      <c r="K8088" s="801"/>
      <c r="L8088" s="801"/>
    </row>
    <row r="8089" spans="1:12" ht="24" customHeight="1">
      <c r="A8089" s="626" t="s">
        <v>12709</v>
      </c>
      <c r="B8089" s="627" t="s">
        <v>13002</v>
      </c>
      <c r="C8089" s="626" t="s">
        <v>8</v>
      </c>
      <c r="D8089" s="626" t="s">
        <v>9306</v>
      </c>
      <c r="E8089" s="628" t="s">
        <v>23</v>
      </c>
      <c r="F8089" s="816" t="s">
        <v>13677</v>
      </c>
      <c r="G8089" s="816"/>
      <c r="H8089" s="816">
        <v>0.5919586</v>
      </c>
      <c r="I8089" s="816"/>
      <c r="J8089" s="817">
        <v>0.2072</v>
      </c>
      <c r="K8089" s="817"/>
      <c r="L8089" s="817"/>
    </row>
    <row r="8090" spans="1:12" ht="17.100000000000001" customHeight="1">
      <c r="A8090" s="626" t="s">
        <v>12709</v>
      </c>
      <c r="B8090" s="627" t="s">
        <v>13004</v>
      </c>
      <c r="C8090" s="626" t="s">
        <v>8</v>
      </c>
      <c r="D8090" s="626" t="s">
        <v>7388</v>
      </c>
      <c r="E8090" s="628" t="s">
        <v>23</v>
      </c>
      <c r="F8090" s="816" t="s">
        <v>13676</v>
      </c>
      <c r="G8090" s="816"/>
      <c r="H8090" s="816">
        <v>0.5919586</v>
      </c>
      <c r="I8090" s="816"/>
      <c r="J8090" s="817">
        <v>1.3023</v>
      </c>
      <c r="K8090" s="817"/>
      <c r="L8090" s="817"/>
    </row>
    <row r="8091" spans="1:12" ht="14.25" customHeight="1">
      <c r="A8091" s="636"/>
      <c r="B8091" s="636"/>
      <c r="C8091" s="636"/>
      <c r="D8091" s="636"/>
      <c r="E8091" s="636"/>
      <c r="F8091" s="636"/>
      <c r="G8091" s="636"/>
      <c r="H8091" s="636"/>
      <c r="I8091" s="636"/>
      <c r="J8091" s="636" t="s">
        <v>13675</v>
      </c>
      <c r="K8091" s="636"/>
      <c r="L8091" s="636" t="s">
        <v>13948</v>
      </c>
    </row>
    <row r="8092" spans="1:12" ht="17.100000000000001" customHeight="1">
      <c r="A8092" s="612" t="s">
        <v>13673</v>
      </c>
      <c r="B8092" s="612"/>
      <c r="C8092" s="612"/>
      <c r="D8092" s="612"/>
      <c r="E8092" s="612"/>
      <c r="F8092" s="612"/>
      <c r="G8092" s="612"/>
      <c r="H8092" s="612"/>
      <c r="I8092" s="612"/>
      <c r="J8092" s="612"/>
      <c r="K8092" s="612"/>
      <c r="L8092" s="612"/>
    </row>
    <row r="8093" spans="1:12" ht="24" customHeight="1">
      <c r="A8093" s="636"/>
      <c r="B8093" s="636"/>
      <c r="C8093" s="636"/>
      <c r="D8093" s="636"/>
      <c r="E8093" s="636"/>
      <c r="F8093" s="636"/>
      <c r="G8093" s="636"/>
      <c r="H8093" s="636"/>
      <c r="I8093" s="636"/>
      <c r="J8093" s="636" t="s">
        <v>13672</v>
      </c>
      <c r="K8093" s="636"/>
      <c r="L8093" s="636" t="s">
        <v>15213</v>
      </c>
    </row>
    <row r="8094" spans="1:12" ht="17.100000000000001" customHeight="1">
      <c r="A8094" s="636"/>
      <c r="B8094" s="636"/>
      <c r="C8094" s="636"/>
      <c r="D8094" s="636"/>
      <c r="E8094" s="636"/>
      <c r="F8094" s="636"/>
      <c r="G8094" s="636"/>
      <c r="H8094" s="636"/>
      <c r="I8094" s="636"/>
      <c r="J8094" s="636" t="s">
        <v>13671</v>
      </c>
      <c r="K8094" s="636" t="s">
        <v>14461</v>
      </c>
      <c r="L8094" s="636" t="s">
        <v>15486</v>
      </c>
    </row>
    <row r="8095" spans="1:12">
      <c r="A8095" s="636"/>
      <c r="B8095" s="636"/>
      <c r="C8095" s="636"/>
      <c r="D8095" s="636"/>
      <c r="E8095" s="636"/>
      <c r="F8095" s="636"/>
      <c r="G8095" s="636"/>
      <c r="H8095" s="636"/>
      <c r="I8095" s="636"/>
      <c r="J8095" s="636" t="s">
        <v>13670</v>
      </c>
      <c r="K8095" s="636"/>
      <c r="L8095" s="636" t="s">
        <v>15495</v>
      </c>
    </row>
    <row r="8096" spans="1:12" ht="17.100000000000001" customHeight="1">
      <c r="A8096" s="636"/>
      <c r="B8096" s="636"/>
      <c r="C8096" s="636"/>
      <c r="D8096" s="636"/>
      <c r="E8096" s="636"/>
      <c r="F8096" s="636"/>
      <c r="G8096" s="636"/>
      <c r="H8096" s="636"/>
      <c r="I8096" s="636"/>
      <c r="J8096" s="636" t="s">
        <v>13669</v>
      </c>
      <c r="K8096" s="636" t="s">
        <v>13667</v>
      </c>
      <c r="L8096" s="636" t="s">
        <v>15496</v>
      </c>
    </row>
    <row r="8097" spans="1:12" ht="24" customHeight="1">
      <c r="A8097" s="636"/>
      <c r="B8097" s="636"/>
      <c r="C8097" s="636"/>
      <c r="D8097" s="636"/>
      <c r="E8097" s="636"/>
      <c r="F8097" s="636"/>
      <c r="G8097" s="636"/>
      <c r="H8097" s="636"/>
      <c r="I8097" s="636"/>
      <c r="J8097" s="636" t="s">
        <v>13668</v>
      </c>
      <c r="K8097" s="636"/>
      <c r="L8097" s="636" t="s">
        <v>15497</v>
      </c>
    </row>
    <row r="8098" spans="1:12" ht="24" customHeight="1">
      <c r="A8098" s="637"/>
      <c r="B8098" s="637"/>
      <c r="C8098" s="637"/>
      <c r="D8098" s="637"/>
      <c r="E8098" s="637"/>
      <c r="F8098" s="637"/>
      <c r="G8098" s="637"/>
      <c r="H8098" s="637"/>
      <c r="I8098" s="637"/>
      <c r="J8098" s="637"/>
      <c r="K8098" s="637"/>
      <c r="L8098" s="637"/>
    </row>
    <row r="8099" spans="1:12" ht="17.100000000000001" customHeight="1">
      <c r="A8099" s="616" t="s">
        <v>13947</v>
      </c>
      <c r="B8099" s="617" t="s">
        <v>13442</v>
      </c>
      <c r="C8099" s="616" t="s">
        <v>8</v>
      </c>
      <c r="D8099" s="616" t="s">
        <v>2908</v>
      </c>
      <c r="E8099" s="618" t="s">
        <v>35</v>
      </c>
      <c r="F8099" s="617"/>
      <c r="G8099" s="617"/>
      <c r="H8099" s="617"/>
      <c r="I8099" s="617"/>
      <c r="J8099" s="617"/>
      <c r="K8099" s="617"/>
      <c r="L8099" s="617"/>
    </row>
    <row r="8100" spans="1:12">
      <c r="A8100" s="802" t="s">
        <v>12711</v>
      </c>
      <c r="B8100" s="802"/>
      <c r="C8100" s="802"/>
      <c r="D8100" s="802"/>
      <c r="E8100" s="802"/>
      <c r="F8100" s="802"/>
      <c r="G8100" s="802"/>
      <c r="H8100" s="802"/>
      <c r="I8100" s="612"/>
      <c r="J8100" s="612"/>
      <c r="K8100" s="612"/>
      <c r="L8100" s="612"/>
    </row>
    <row r="8101" spans="1:12" ht="17.100000000000001" customHeight="1">
      <c r="A8101" s="612" t="s">
        <v>13679</v>
      </c>
      <c r="B8101" s="636" t="s">
        <v>12698</v>
      </c>
      <c r="C8101" s="612" t="s">
        <v>12699</v>
      </c>
      <c r="D8101" s="612" t="s">
        <v>12700</v>
      </c>
      <c r="E8101" s="637" t="s">
        <v>12702</v>
      </c>
      <c r="F8101" s="801" t="s">
        <v>12704</v>
      </c>
      <c r="G8101" s="801"/>
      <c r="H8101" s="801" t="s">
        <v>13678</v>
      </c>
      <c r="I8101" s="801"/>
      <c r="J8101" s="801" t="s">
        <v>12705</v>
      </c>
      <c r="K8101" s="801"/>
      <c r="L8101" s="801"/>
    </row>
    <row r="8102" spans="1:12" ht="24" customHeight="1">
      <c r="A8102" s="626" t="s">
        <v>12709</v>
      </c>
      <c r="B8102" s="627" t="s">
        <v>13201</v>
      </c>
      <c r="C8102" s="626" t="s">
        <v>8</v>
      </c>
      <c r="D8102" s="626" t="s">
        <v>9221</v>
      </c>
      <c r="E8102" s="628" t="s">
        <v>23</v>
      </c>
      <c r="F8102" s="816" t="s">
        <v>13705</v>
      </c>
      <c r="G8102" s="816"/>
      <c r="H8102" s="816">
        <v>0.88828119999999999</v>
      </c>
      <c r="I8102" s="816"/>
      <c r="J8102" s="817">
        <v>0.73729999999999996</v>
      </c>
      <c r="K8102" s="817"/>
      <c r="L8102" s="817"/>
    </row>
    <row r="8103" spans="1:12" ht="17.100000000000001" customHeight="1">
      <c r="A8103" s="626" t="s">
        <v>12709</v>
      </c>
      <c r="B8103" s="627" t="s">
        <v>13200</v>
      </c>
      <c r="C8103" s="626" t="s">
        <v>8</v>
      </c>
      <c r="D8103" s="626" t="s">
        <v>9368</v>
      </c>
      <c r="E8103" s="628" t="s">
        <v>23</v>
      </c>
      <c r="F8103" s="816" t="s">
        <v>13704</v>
      </c>
      <c r="G8103" s="816"/>
      <c r="H8103" s="816">
        <v>0.88828119999999999</v>
      </c>
      <c r="I8103" s="816"/>
      <c r="J8103" s="817">
        <v>0.2132</v>
      </c>
      <c r="K8103" s="817"/>
      <c r="L8103" s="817"/>
    </row>
    <row r="8104" spans="1:12">
      <c r="A8104" s="636"/>
      <c r="B8104" s="636"/>
      <c r="C8104" s="636"/>
      <c r="D8104" s="636"/>
      <c r="E8104" s="636"/>
      <c r="F8104" s="636"/>
      <c r="G8104" s="636"/>
      <c r="H8104" s="636"/>
      <c r="I8104" s="636"/>
      <c r="J8104" s="636" t="s">
        <v>13675</v>
      </c>
      <c r="K8104" s="636"/>
      <c r="L8104" s="636" t="s">
        <v>13787</v>
      </c>
    </row>
    <row r="8105" spans="1:12" ht="17.100000000000001" customHeight="1">
      <c r="A8105" s="802" t="s">
        <v>12710</v>
      </c>
      <c r="B8105" s="802"/>
      <c r="C8105" s="802"/>
      <c r="D8105" s="802"/>
      <c r="E8105" s="802"/>
      <c r="F8105" s="802"/>
      <c r="G8105" s="802"/>
      <c r="H8105" s="802"/>
      <c r="I8105" s="612"/>
      <c r="J8105" s="612"/>
      <c r="K8105" s="612"/>
      <c r="L8105" s="612"/>
    </row>
    <row r="8106" spans="1:12" ht="24" customHeight="1">
      <c r="A8106" s="612" t="s">
        <v>13679</v>
      </c>
      <c r="B8106" s="636" t="s">
        <v>12698</v>
      </c>
      <c r="C8106" s="612" t="s">
        <v>12699</v>
      </c>
      <c r="D8106" s="612" t="s">
        <v>12700</v>
      </c>
      <c r="E8106" s="637" t="s">
        <v>12702</v>
      </c>
      <c r="F8106" s="801" t="s">
        <v>12704</v>
      </c>
      <c r="G8106" s="801"/>
      <c r="H8106" s="801" t="s">
        <v>13678</v>
      </c>
      <c r="I8106" s="801"/>
      <c r="J8106" s="801" t="s">
        <v>12705</v>
      </c>
      <c r="K8106" s="801"/>
      <c r="L8106" s="801"/>
    </row>
    <row r="8107" spans="1:12" ht="17.100000000000001" customHeight="1">
      <c r="A8107" s="626" t="s">
        <v>12709</v>
      </c>
      <c r="B8107" s="627" t="s">
        <v>13220</v>
      </c>
      <c r="C8107" s="626" t="s">
        <v>8</v>
      </c>
      <c r="D8107" s="626" t="s">
        <v>7592</v>
      </c>
      <c r="E8107" s="628" t="s">
        <v>23</v>
      </c>
      <c r="F8107" s="816" t="s">
        <v>13890</v>
      </c>
      <c r="G8107" s="816"/>
      <c r="H8107" s="816">
        <v>0.44983499999999998</v>
      </c>
      <c r="I8107" s="816"/>
      <c r="J8107" s="817">
        <v>2.2761999999999998</v>
      </c>
      <c r="K8107" s="817"/>
      <c r="L8107" s="817"/>
    </row>
    <row r="8108" spans="1:12" ht="25.5">
      <c r="A8108" s="626" t="s">
        <v>12709</v>
      </c>
      <c r="B8108" s="627" t="s">
        <v>13202</v>
      </c>
      <c r="C8108" s="626" t="s">
        <v>8</v>
      </c>
      <c r="D8108" s="626" t="s">
        <v>9187</v>
      </c>
      <c r="E8108" s="628" t="s">
        <v>23</v>
      </c>
      <c r="F8108" s="816" t="s">
        <v>14479</v>
      </c>
      <c r="G8108" s="816"/>
      <c r="H8108" s="816">
        <v>0.44983499999999998</v>
      </c>
      <c r="I8108" s="816"/>
      <c r="J8108" s="817">
        <v>3.2162999999999999</v>
      </c>
      <c r="K8108" s="817"/>
      <c r="L8108" s="817"/>
    </row>
    <row r="8109" spans="1:12" ht="17.100000000000001" customHeight="1">
      <c r="A8109" s="636"/>
      <c r="B8109" s="636"/>
      <c r="C8109" s="636"/>
      <c r="D8109" s="636"/>
      <c r="E8109" s="636"/>
      <c r="F8109" s="636"/>
      <c r="G8109" s="636"/>
      <c r="H8109" s="636"/>
      <c r="I8109" s="636"/>
      <c r="J8109" s="636" t="s">
        <v>13675</v>
      </c>
      <c r="K8109" s="636"/>
      <c r="L8109" s="636" t="s">
        <v>14604</v>
      </c>
    </row>
    <row r="8110" spans="1:12" ht="24" customHeight="1">
      <c r="A8110" s="802" t="s">
        <v>12720</v>
      </c>
      <c r="B8110" s="802"/>
      <c r="C8110" s="802"/>
      <c r="D8110" s="802"/>
      <c r="E8110" s="802"/>
      <c r="F8110" s="802"/>
      <c r="G8110" s="802"/>
      <c r="H8110" s="802"/>
      <c r="I8110" s="612"/>
      <c r="J8110" s="612"/>
      <c r="K8110" s="612"/>
      <c r="L8110" s="612"/>
    </row>
    <row r="8111" spans="1:12" ht="24" customHeight="1">
      <c r="A8111" s="612" t="s">
        <v>13679</v>
      </c>
      <c r="B8111" s="636" t="s">
        <v>12698</v>
      </c>
      <c r="C8111" s="612" t="s">
        <v>12699</v>
      </c>
      <c r="D8111" s="612" t="s">
        <v>12700</v>
      </c>
      <c r="E8111" s="637" t="s">
        <v>12702</v>
      </c>
      <c r="F8111" s="801" t="s">
        <v>12704</v>
      </c>
      <c r="G8111" s="801"/>
      <c r="H8111" s="801" t="s">
        <v>13678</v>
      </c>
      <c r="I8111" s="801"/>
      <c r="J8111" s="801" t="s">
        <v>12705</v>
      </c>
      <c r="K8111" s="801"/>
      <c r="L8111" s="801"/>
    </row>
    <row r="8112" spans="1:12" ht="17.100000000000001" customHeight="1">
      <c r="A8112" s="626" t="s">
        <v>12709</v>
      </c>
      <c r="B8112" s="627" t="s">
        <v>13440</v>
      </c>
      <c r="C8112" s="626" t="s">
        <v>8</v>
      </c>
      <c r="D8112" s="626" t="s">
        <v>9427</v>
      </c>
      <c r="E8112" s="628" t="s">
        <v>35</v>
      </c>
      <c r="F8112" s="816" t="s">
        <v>14603</v>
      </c>
      <c r="G8112" s="816"/>
      <c r="H8112" s="816">
        <v>1.0999999999999999E-2</v>
      </c>
      <c r="I8112" s="816"/>
      <c r="J8112" s="817">
        <v>0.16</v>
      </c>
      <c r="K8112" s="817"/>
      <c r="L8112" s="817"/>
    </row>
    <row r="8113" spans="1:12" ht="17.100000000000001" customHeight="1">
      <c r="A8113" s="626" t="s">
        <v>12709</v>
      </c>
      <c r="B8113" s="627" t="s">
        <v>13439</v>
      </c>
      <c r="C8113" s="626" t="s">
        <v>8</v>
      </c>
      <c r="D8113" s="626" t="s">
        <v>9475</v>
      </c>
      <c r="E8113" s="628" t="s">
        <v>58</v>
      </c>
      <c r="F8113" s="816" t="s">
        <v>13946</v>
      </c>
      <c r="G8113" s="816"/>
      <c r="H8113" s="816">
        <v>3.0000000000000001E-3</v>
      </c>
      <c r="I8113" s="816"/>
      <c r="J8113" s="817">
        <v>7.0000000000000007E-2</v>
      </c>
      <c r="K8113" s="817"/>
      <c r="L8113" s="817"/>
    </row>
    <row r="8114" spans="1:12" ht="17.100000000000001" customHeight="1">
      <c r="A8114" s="626" t="s">
        <v>12709</v>
      </c>
      <c r="B8114" s="627" t="s">
        <v>13441</v>
      </c>
      <c r="C8114" s="626" t="s">
        <v>8</v>
      </c>
      <c r="D8114" s="626" t="s">
        <v>8734</v>
      </c>
      <c r="E8114" s="628" t="s">
        <v>35</v>
      </c>
      <c r="F8114" s="816" t="s">
        <v>13945</v>
      </c>
      <c r="G8114" s="816"/>
      <c r="H8114" s="816">
        <v>1</v>
      </c>
      <c r="I8114" s="816"/>
      <c r="J8114" s="817">
        <v>5.2</v>
      </c>
      <c r="K8114" s="817"/>
      <c r="L8114" s="817"/>
    </row>
    <row r="8115" spans="1:12" ht="17.100000000000001" customHeight="1">
      <c r="A8115" s="636"/>
      <c r="B8115" s="636"/>
      <c r="C8115" s="636"/>
      <c r="D8115" s="636"/>
      <c r="E8115" s="636"/>
      <c r="F8115" s="636"/>
      <c r="G8115" s="636"/>
      <c r="H8115" s="636"/>
      <c r="I8115" s="636"/>
      <c r="J8115" s="636" t="s">
        <v>13675</v>
      </c>
      <c r="K8115" s="636"/>
      <c r="L8115" s="636" t="s">
        <v>14602</v>
      </c>
    </row>
    <row r="8116" spans="1:12" ht="17.100000000000001" customHeight="1">
      <c r="A8116" s="802" t="s">
        <v>12722</v>
      </c>
      <c r="B8116" s="802"/>
      <c r="C8116" s="802"/>
      <c r="D8116" s="802"/>
      <c r="E8116" s="802"/>
      <c r="F8116" s="802"/>
      <c r="G8116" s="802"/>
      <c r="H8116" s="802"/>
      <c r="I8116" s="612"/>
      <c r="J8116" s="612"/>
      <c r="K8116" s="612"/>
      <c r="L8116" s="612"/>
    </row>
    <row r="8117" spans="1:12" ht="17.100000000000001" customHeight="1">
      <c r="A8117" s="612" t="s">
        <v>13679</v>
      </c>
      <c r="B8117" s="636" t="s">
        <v>12698</v>
      </c>
      <c r="C8117" s="612" t="s">
        <v>12699</v>
      </c>
      <c r="D8117" s="612" t="s">
        <v>12700</v>
      </c>
      <c r="E8117" s="637" t="s">
        <v>12702</v>
      </c>
      <c r="F8117" s="801" t="s">
        <v>12704</v>
      </c>
      <c r="G8117" s="801"/>
      <c r="H8117" s="801" t="s">
        <v>13678</v>
      </c>
      <c r="I8117" s="801"/>
      <c r="J8117" s="801" t="s">
        <v>12705</v>
      </c>
      <c r="K8117" s="801"/>
      <c r="L8117" s="801"/>
    </row>
    <row r="8118" spans="1:12" ht="17.100000000000001" customHeight="1">
      <c r="A8118" s="626" t="s">
        <v>12709</v>
      </c>
      <c r="B8118" s="627" t="s">
        <v>12998</v>
      </c>
      <c r="C8118" s="626" t="s">
        <v>8</v>
      </c>
      <c r="D8118" s="626" t="s">
        <v>11861</v>
      </c>
      <c r="E8118" s="628" t="s">
        <v>23</v>
      </c>
      <c r="F8118" s="816" t="s">
        <v>13683</v>
      </c>
      <c r="G8118" s="816"/>
      <c r="H8118" s="816">
        <v>0.88828119999999999</v>
      </c>
      <c r="I8118" s="816"/>
      <c r="J8118" s="817">
        <v>0.63070000000000004</v>
      </c>
      <c r="K8118" s="817"/>
      <c r="L8118" s="817"/>
    </row>
    <row r="8119" spans="1:12" ht="30" customHeight="1">
      <c r="A8119" s="636"/>
      <c r="B8119" s="636"/>
      <c r="C8119" s="636"/>
      <c r="D8119" s="636"/>
      <c r="E8119" s="636"/>
      <c r="F8119" s="636"/>
      <c r="G8119" s="636"/>
      <c r="H8119" s="636"/>
      <c r="I8119" s="636"/>
      <c r="J8119" s="636" t="s">
        <v>13675</v>
      </c>
      <c r="K8119" s="636"/>
      <c r="L8119" s="636" t="s">
        <v>13674</v>
      </c>
    </row>
    <row r="8120" spans="1:12" ht="36" customHeight="1">
      <c r="A8120" s="802" t="s">
        <v>12713</v>
      </c>
      <c r="B8120" s="802"/>
      <c r="C8120" s="802"/>
      <c r="D8120" s="802"/>
      <c r="E8120" s="802"/>
      <c r="F8120" s="802"/>
      <c r="G8120" s="802"/>
      <c r="H8120" s="802"/>
      <c r="I8120" s="612"/>
      <c r="J8120" s="612"/>
      <c r="K8120" s="612"/>
      <c r="L8120" s="612"/>
    </row>
    <row r="8121" spans="1:12" ht="14.25" customHeight="1">
      <c r="A8121" s="612" t="s">
        <v>13679</v>
      </c>
      <c r="B8121" s="636" t="s">
        <v>12698</v>
      </c>
      <c r="C8121" s="612" t="s">
        <v>12699</v>
      </c>
      <c r="D8121" s="612" t="s">
        <v>12700</v>
      </c>
      <c r="E8121" s="637" t="s">
        <v>12702</v>
      </c>
      <c r="F8121" s="801" t="s">
        <v>12704</v>
      </c>
      <c r="G8121" s="801"/>
      <c r="H8121" s="801" t="s">
        <v>13678</v>
      </c>
      <c r="I8121" s="801"/>
      <c r="J8121" s="801" t="s">
        <v>12705</v>
      </c>
      <c r="K8121" s="801"/>
      <c r="L8121" s="801"/>
    </row>
    <row r="8122" spans="1:12" ht="17.100000000000001" customHeight="1">
      <c r="A8122" s="626" t="s">
        <v>12709</v>
      </c>
      <c r="B8122" s="627" t="s">
        <v>12999</v>
      </c>
      <c r="C8122" s="626" t="s">
        <v>8</v>
      </c>
      <c r="D8122" s="626" t="s">
        <v>11251</v>
      </c>
      <c r="E8122" s="628" t="s">
        <v>23</v>
      </c>
      <c r="F8122" s="816" t="s">
        <v>13681</v>
      </c>
      <c r="G8122" s="816"/>
      <c r="H8122" s="816">
        <v>0.88828119999999999</v>
      </c>
      <c r="I8122" s="816"/>
      <c r="J8122" s="817">
        <v>6.2199999999999998E-2</v>
      </c>
      <c r="K8122" s="817"/>
      <c r="L8122" s="817"/>
    </row>
    <row r="8123" spans="1:12" ht="24" customHeight="1">
      <c r="A8123" s="636"/>
      <c r="B8123" s="636"/>
      <c r="C8123" s="636"/>
      <c r="D8123" s="636"/>
      <c r="E8123" s="636"/>
      <c r="F8123" s="636"/>
      <c r="G8123" s="636"/>
      <c r="H8123" s="636"/>
      <c r="I8123" s="636"/>
      <c r="J8123" s="636" t="s">
        <v>13675</v>
      </c>
      <c r="K8123" s="636"/>
      <c r="L8123" s="636" t="s">
        <v>13708</v>
      </c>
    </row>
    <row r="8124" spans="1:12" ht="24" customHeight="1">
      <c r="A8124" s="802" t="s">
        <v>12712</v>
      </c>
      <c r="B8124" s="802"/>
      <c r="C8124" s="802"/>
      <c r="D8124" s="802"/>
      <c r="E8124" s="802"/>
      <c r="F8124" s="802"/>
      <c r="G8124" s="802"/>
      <c r="H8124" s="802"/>
      <c r="I8124" s="612"/>
      <c r="J8124" s="612"/>
      <c r="K8124" s="612"/>
      <c r="L8124" s="612"/>
    </row>
    <row r="8125" spans="1:12" ht="24" customHeight="1">
      <c r="A8125" s="612" t="s">
        <v>13679</v>
      </c>
      <c r="B8125" s="636" t="s">
        <v>12698</v>
      </c>
      <c r="C8125" s="612" t="s">
        <v>12699</v>
      </c>
      <c r="D8125" s="612" t="s">
        <v>12700</v>
      </c>
      <c r="E8125" s="637" t="s">
        <v>12702</v>
      </c>
      <c r="F8125" s="801" t="s">
        <v>12704</v>
      </c>
      <c r="G8125" s="801"/>
      <c r="H8125" s="801" t="s">
        <v>13678</v>
      </c>
      <c r="I8125" s="801"/>
      <c r="J8125" s="801" t="s">
        <v>12705</v>
      </c>
      <c r="K8125" s="801"/>
      <c r="L8125" s="801"/>
    </row>
    <row r="8126" spans="1:12" ht="24" customHeight="1">
      <c r="A8126" s="626" t="s">
        <v>12709</v>
      </c>
      <c r="B8126" s="627" t="s">
        <v>13002</v>
      </c>
      <c r="C8126" s="626" t="s">
        <v>8</v>
      </c>
      <c r="D8126" s="626" t="s">
        <v>9306</v>
      </c>
      <c r="E8126" s="628" t="s">
        <v>23</v>
      </c>
      <c r="F8126" s="816" t="s">
        <v>13677</v>
      </c>
      <c r="G8126" s="816"/>
      <c r="H8126" s="816">
        <v>0.88828119999999999</v>
      </c>
      <c r="I8126" s="816"/>
      <c r="J8126" s="817">
        <v>0.31090000000000001</v>
      </c>
      <c r="K8126" s="817"/>
      <c r="L8126" s="817"/>
    </row>
    <row r="8127" spans="1:12" ht="17.100000000000001" customHeight="1">
      <c r="A8127" s="626" t="s">
        <v>12709</v>
      </c>
      <c r="B8127" s="627" t="s">
        <v>13004</v>
      </c>
      <c r="C8127" s="626" t="s">
        <v>8</v>
      </c>
      <c r="D8127" s="626" t="s">
        <v>7388</v>
      </c>
      <c r="E8127" s="628" t="s">
        <v>23</v>
      </c>
      <c r="F8127" s="816" t="s">
        <v>13676</v>
      </c>
      <c r="G8127" s="816"/>
      <c r="H8127" s="816">
        <v>0.88828119999999999</v>
      </c>
      <c r="I8127" s="816"/>
      <c r="J8127" s="817">
        <v>1.9541999999999999</v>
      </c>
      <c r="K8127" s="817"/>
      <c r="L8127" s="817"/>
    </row>
    <row r="8128" spans="1:12" ht="14.25" customHeight="1">
      <c r="A8128" s="636"/>
      <c r="B8128" s="636"/>
      <c r="C8128" s="636"/>
      <c r="D8128" s="636"/>
      <c r="E8128" s="636"/>
      <c r="F8128" s="636"/>
      <c r="G8128" s="636"/>
      <c r="H8128" s="636"/>
      <c r="I8128" s="636"/>
      <c r="J8128" s="636" t="s">
        <v>13675</v>
      </c>
      <c r="K8128" s="636"/>
      <c r="L8128" s="636" t="s">
        <v>13944</v>
      </c>
    </row>
    <row r="8129" spans="1:12" ht="17.100000000000001" customHeight="1">
      <c r="A8129" s="612" t="s">
        <v>13673</v>
      </c>
      <c r="B8129" s="612"/>
      <c r="C8129" s="612"/>
      <c r="D8129" s="612"/>
      <c r="E8129" s="612"/>
      <c r="F8129" s="612"/>
      <c r="G8129" s="612"/>
      <c r="H8129" s="612"/>
      <c r="I8129" s="612"/>
      <c r="J8129" s="612"/>
      <c r="K8129" s="612"/>
      <c r="L8129" s="612"/>
    </row>
    <row r="8130" spans="1:12" ht="24" customHeight="1">
      <c r="A8130" s="636"/>
      <c r="B8130" s="636"/>
      <c r="C8130" s="636"/>
      <c r="D8130" s="636"/>
      <c r="E8130" s="636"/>
      <c r="F8130" s="636"/>
      <c r="G8130" s="636"/>
      <c r="H8130" s="636"/>
      <c r="I8130" s="636"/>
      <c r="J8130" s="636" t="s">
        <v>13672</v>
      </c>
      <c r="K8130" s="636"/>
      <c r="L8130" s="636" t="s">
        <v>15498</v>
      </c>
    </row>
    <row r="8131" spans="1:12" ht="24" customHeight="1">
      <c r="A8131" s="636"/>
      <c r="B8131" s="636"/>
      <c r="C8131" s="636"/>
      <c r="D8131" s="636"/>
      <c r="E8131" s="636"/>
      <c r="F8131" s="636"/>
      <c r="G8131" s="636"/>
      <c r="H8131" s="636"/>
      <c r="I8131" s="636"/>
      <c r="J8131" s="636" t="s">
        <v>13671</v>
      </c>
      <c r="K8131" s="636" t="s">
        <v>14461</v>
      </c>
      <c r="L8131" s="636" t="s">
        <v>15499</v>
      </c>
    </row>
    <row r="8132" spans="1:12" ht="24" customHeight="1">
      <c r="A8132" s="636"/>
      <c r="B8132" s="636"/>
      <c r="C8132" s="636"/>
      <c r="D8132" s="636"/>
      <c r="E8132" s="636"/>
      <c r="F8132" s="636"/>
      <c r="G8132" s="636"/>
      <c r="H8132" s="636"/>
      <c r="I8132" s="636"/>
      <c r="J8132" s="636" t="s">
        <v>13670</v>
      </c>
      <c r="K8132" s="636"/>
      <c r="L8132" s="636" t="s">
        <v>15500</v>
      </c>
    </row>
    <row r="8133" spans="1:12" ht="17.100000000000001" customHeight="1">
      <c r="A8133" s="636"/>
      <c r="B8133" s="636"/>
      <c r="C8133" s="636"/>
      <c r="D8133" s="636"/>
      <c r="E8133" s="636"/>
      <c r="F8133" s="636"/>
      <c r="G8133" s="636"/>
      <c r="H8133" s="636"/>
      <c r="I8133" s="636"/>
      <c r="J8133" s="636" t="s">
        <v>13669</v>
      </c>
      <c r="K8133" s="636" t="s">
        <v>13667</v>
      </c>
      <c r="L8133" s="636" t="s">
        <v>15501</v>
      </c>
    </row>
    <row r="8134" spans="1:12">
      <c r="A8134" s="636"/>
      <c r="B8134" s="636"/>
      <c r="C8134" s="636"/>
      <c r="D8134" s="636"/>
      <c r="E8134" s="636"/>
      <c r="F8134" s="636"/>
      <c r="G8134" s="636"/>
      <c r="H8134" s="636"/>
      <c r="I8134" s="636"/>
      <c r="J8134" s="636" t="s">
        <v>13668</v>
      </c>
      <c r="K8134" s="636"/>
      <c r="L8134" s="636" t="s">
        <v>15502</v>
      </c>
    </row>
    <row r="8135" spans="1:12" ht="17.100000000000001" customHeight="1">
      <c r="A8135" s="637"/>
      <c r="B8135" s="637"/>
      <c r="C8135" s="637"/>
      <c r="D8135" s="637"/>
      <c r="E8135" s="637"/>
      <c r="F8135" s="637"/>
      <c r="G8135" s="637"/>
      <c r="H8135" s="637"/>
      <c r="I8135" s="637"/>
      <c r="J8135" s="637"/>
      <c r="K8135" s="637"/>
      <c r="L8135" s="637"/>
    </row>
    <row r="8136" spans="1:12" ht="24" customHeight="1">
      <c r="A8136" s="616" t="s">
        <v>13943</v>
      </c>
      <c r="B8136" s="617" t="s">
        <v>13640</v>
      </c>
      <c r="C8136" s="616" t="s">
        <v>8</v>
      </c>
      <c r="D8136" s="616" t="s">
        <v>4619</v>
      </c>
      <c r="E8136" s="618" t="s">
        <v>12730</v>
      </c>
      <c r="F8136" s="617"/>
      <c r="G8136" s="617"/>
      <c r="H8136" s="617"/>
      <c r="I8136" s="617"/>
      <c r="J8136" s="617"/>
      <c r="K8136" s="617"/>
      <c r="L8136" s="617"/>
    </row>
    <row r="8137" spans="1:12" ht="24" customHeight="1">
      <c r="A8137" s="802" t="s">
        <v>12711</v>
      </c>
      <c r="B8137" s="802"/>
      <c r="C8137" s="802"/>
      <c r="D8137" s="802"/>
      <c r="E8137" s="802"/>
      <c r="F8137" s="802"/>
      <c r="G8137" s="802"/>
      <c r="H8137" s="802"/>
      <c r="I8137" s="612"/>
      <c r="J8137" s="612"/>
      <c r="K8137" s="612"/>
      <c r="L8137" s="612"/>
    </row>
    <row r="8138" spans="1:12" ht="24" customHeight="1">
      <c r="A8138" s="612" t="s">
        <v>13679</v>
      </c>
      <c r="B8138" s="636" t="s">
        <v>12698</v>
      </c>
      <c r="C8138" s="612" t="s">
        <v>12699</v>
      </c>
      <c r="D8138" s="612" t="s">
        <v>12700</v>
      </c>
      <c r="E8138" s="637" t="s">
        <v>12702</v>
      </c>
      <c r="F8138" s="801" t="s">
        <v>12704</v>
      </c>
      <c r="G8138" s="801"/>
      <c r="H8138" s="801" t="s">
        <v>13678</v>
      </c>
      <c r="I8138" s="801"/>
      <c r="J8138" s="801" t="s">
        <v>12705</v>
      </c>
      <c r="K8138" s="801"/>
      <c r="L8138" s="801"/>
    </row>
    <row r="8139" spans="1:12" ht="17.100000000000001" customHeight="1">
      <c r="A8139" s="626" t="s">
        <v>12709</v>
      </c>
      <c r="B8139" s="627" t="s">
        <v>13052</v>
      </c>
      <c r="C8139" s="626" t="s">
        <v>8</v>
      </c>
      <c r="D8139" s="626" t="s">
        <v>9229</v>
      </c>
      <c r="E8139" s="628" t="s">
        <v>23</v>
      </c>
      <c r="F8139" s="816" t="s">
        <v>13692</v>
      </c>
      <c r="G8139" s="816"/>
      <c r="H8139" s="816">
        <v>0.224748</v>
      </c>
      <c r="I8139" s="816"/>
      <c r="J8139" s="817">
        <v>0.21579999999999999</v>
      </c>
      <c r="K8139" s="817"/>
      <c r="L8139" s="817"/>
    </row>
    <row r="8140" spans="1:12" ht="25.5">
      <c r="A8140" s="626" t="s">
        <v>12709</v>
      </c>
      <c r="B8140" s="627" t="s">
        <v>13051</v>
      </c>
      <c r="C8140" s="626" t="s">
        <v>8</v>
      </c>
      <c r="D8140" s="626" t="s">
        <v>9376</v>
      </c>
      <c r="E8140" s="628" t="s">
        <v>23</v>
      </c>
      <c r="F8140" s="816" t="s">
        <v>13691</v>
      </c>
      <c r="G8140" s="816"/>
      <c r="H8140" s="816">
        <v>0.224748</v>
      </c>
      <c r="I8140" s="816"/>
      <c r="J8140" s="817">
        <v>0.1124</v>
      </c>
      <c r="K8140" s="817"/>
      <c r="L8140" s="817"/>
    </row>
    <row r="8141" spans="1:12" ht="17.100000000000001" customHeight="1">
      <c r="A8141" s="626" t="s">
        <v>12709</v>
      </c>
      <c r="B8141" s="627" t="s">
        <v>13048</v>
      </c>
      <c r="C8141" s="626" t="s">
        <v>8</v>
      </c>
      <c r="D8141" s="626" t="s">
        <v>9233</v>
      </c>
      <c r="E8141" s="628" t="s">
        <v>23</v>
      </c>
      <c r="F8141" s="816" t="s">
        <v>13690</v>
      </c>
      <c r="G8141" s="816"/>
      <c r="H8141" s="816">
        <v>2.3221957999999998</v>
      </c>
      <c r="I8141" s="816"/>
      <c r="J8141" s="817">
        <v>2.3685999999999998</v>
      </c>
      <c r="K8141" s="817"/>
      <c r="L8141" s="817"/>
    </row>
    <row r="8142" spans="1:12" ht="24" customHeight="1">
      <c r="A8142" s="626" t="s">
        <v>12709</v>
      </c>
      <c r="B8142" s="627" t="s">
        <v>13047</v>
      </c>
      <c r="C8142" s="626" t="s">
        <v>8</v>
      </c>
      <c r="D8142" s="626" t="s">
        <v>9380</v>
      </c>
      <c r="E8142" s="628" t="s">
        <v>23</v>
      </c>
      <c r="F8142" s="816" t="s">
        <v>13689</v>
      </c>
      <c r="G8142" s="816"/>
      <c r="H8142" s="816">
        <v>2.3221957999999998</v>
      </c>
      <c r="I8142" s="816"/>
      <c r="J8142" s="817">
        <v>0.88239999999999996</v>
      </c>
      <c r="K8142" s="817"/>
      <c r="L8142" s="817"/>
    </row>
    <row r="8143" spans="1:12" ht="17.100000000000001" customHeight="1">
      <c r="A8143" s="636"/>
      <c r="B8143" s="636"/>
      <c r="C8143" s="636"/>
      <c r="D8143" s="636"/>
      <c r="E8143" s="636"/>
      <c r="F8143" s="636"/>
      <c r="G8143" s="636"/>
      <c r="H8143" s="636"/>
      <c r="I8143" s="636"/>
      <c r="J8143" s="636" t="s">
        <v>13675</v>
      </c>
      <c r="K8143" s="636"/>
      <c r="L8143" s="636" t="s">
        <v>13942</v>
      </c>
    </row>
    <row r="8144" spans="1:12">
      <c r="A8144" s="802" t="s">
        <v>12710</v>
      </c>
      <c r="B8144" s="802"/>
      <c r="C8144" s="802"/>
      <c r="D8144" s="802"/>
      <c r="E8144" s="802"/>
      <c r="F8144" s="802"/>
      <c r="G8144" s="802"/>
      <c r="H8144" s="802"/>
      <c r="I8144" s="612"/>
      <c r="J8144" s="612"/>
      <c r="K8144" s="612"/>
      <c r="L8144" s="612"/>
    </row>
    <row r="8145" spans="1:12" ht="17.100000000000001" customHeight="1">
      <c r="A8145" s="612" t="s">
        <v>13679</v>
      </c>
      <c r="B8145" s="636" t="s">
        <v>12698</v>
      </c>
      <c r="C8145" s="612" t="s">
        <v>12699</v>
      </c>
      <c r="D8145" s="612" t="s">
        <v>12700</v>
      </c>
      <c r="E8145" s="637" t="s">
        <v>12702</v>
      </c>
      <c r="F8145" s="801" t="s">
        <v>12704</v>
      </c>
      <c r="G8145" s="801"/>
      <c r="H8145" s="801" t="s">
        <v>13678</v>
      </c>
      <c r="I8145" s="801"/>
      <c r="J8145" s="801" t="s">
        <v>12705</v>
      </c>
      <c r="K8145" s="801"/>
      <c r="L8145" s="801"/>
    </row>
    <row r="8146" spans="1:12" ht="24" customHeight="1">
      <c r="A8146" s="626" t="s">
        <v>12709</v>
      </c>
      <c r="B8146" s="627" t="s">
        <v>13099</v>
      </c>
      <c r="C8146" s="626" t="s">
        <v>8</v>
      </c>
      <c r="D8146" s="626" t="s">
        <v>10726</v>
      </c>
      <c r="E8146" s="628" t="s">
        <v>23</v>
      </c>
      <c r="F8146" s="816" t="s">
        <v>14470</v>
      </c>
      <c r="G8146" s="816"/>
      <c r="H8146" s="816">
        <v>0.2280614</v>
      </c>
      <c r="I8146" s="816"/>
      <c r="J8146" s="817">
        <v>1.5759000000000001</v>
      </c>
      <c r="K8146" s="817"/>
      <c r="L8146" s="817"/>
    </row>
    <row r="8147" spans="1:12" ht="17.100000000000001" customHeight="1">
      <c r="A8147" s="626" t="s">
        <v>12709</v>
      </c>
      <c r="B8147" s="627" t="s">
        <v>13046</v>
      </c>
      <c r="C8147" s="626" t="s">
        <v>8</v>
      </c>
      <c r="D8147" s="626" t="s">
        <v>11281</v>
      </c>
      <c r="E8147" s="628" t="s">
        <v>23</v>
      </c>
      <c r="F8147" s="816" t="s">
        <v>13731</v>
      </c>
      <c r="G8147" s="816"/>
      <c r="H8147" s="816">
        <v>2.3564322</v>
      </c>
      <c r="I8147" s="816"/>
      <c r="J8147" s="817">
        <v>12.1121</v>
      </c>
      <c r="K8147" s="817"/>
      <c r="L8147" s="817"/>
    </row>
    <row r="8148" spans="1:12">
      <c r="A8148" s="636"/>
      <c r="B8148" s="636"/>
      <c r="C8148" s="636"/>
      <c r="D8148" s="636"/>
      <c r="E8148" s="636"/>
      <c r="F8148" s="636"/>
      <c r="G8148" s="636"/>
      <c r="H8148" s="636"/>
      <c r="I8148" s="636"/>
      <c r="J8148" s="636" t="s">
        <v>13675</v>
      </c>
      <c r="K8148" s="636"/>
      <c r="L8148" s="636" t="s">
        <v>14601</v>
      </c>
    </row>
    <row r="8149" spans="1:12" ht="17.100000000000001" customHeight="1">
      <c r="A8149" s="802" t="s">
        <v>12722</v>
      </c>
      <c r="B8149" s="802"/>
      <c r="C8149" s="802"/>
      <c r="D8149" s="802"/>
      <c r="E8149" s="802"/>
      <c r="F8149" s="802"/>
      <c r="G8149" s="802"/>
      <c r="H8149" s="802"/>
      <c r="I8149" s="612"/>
      <c r="J8149" s="612"/>
      <c r="K8149" s="612"/>
      <c r="L8149" s="612"/>
    </row>
    <row r="8150" spans="1:12" ht="24" customHeight="1">
      <c r="A8150" s="612" t="s">
        <v>13679</v>
      </c>
      <c r="B8150" s="636" t="s">
        <v>12698</v>
      </c>
      <c r="C8150" s="612" t="s">
        <v>12699</v>
      </c>
      <c r="D8150" s="612" t="s">
        <v>12700</v>
      </c>
      <c r="E8150" s="637" t="s">
        <v>12702</v>
      </c>
      <c r="F8150" s="801" t="s">
        <v>12704</v>
      </c>
      <c r="G8150" s="801"/>
      <c r="H8150" s="801" t="s">
        <v>13678</v>
      </c>
      <c r="I8150" s="801"/>
      <c r="J8150" s="801" t="s">
        <v>12705</v>
      </c>
      <c r="K8150" s="801"/>
      <c r="L8150" s="801"/>
    </row>
    <row r="8151" spans="1:12" ht="24" customHeight="1">
      <c r="A8151" s="626" t="s">
        <v>12709</v>
      </c>
      <c r="B8151" s="627" t="s">
        <v>12998</v>
      </c>
      <c r="C8151" s="626" t="s">
        <v>8</v>
      </c>
      <c r="D8151" s="626" t="s">
        <v>11861</v>
      </c>
      <c r="E8151" s="628" t="s">
        <v>23</v>
      </c>
      <c r="F8151" s="816" t="s">
        <v>13683</v>
      </c>
      <c r="G8151" s="816"/>
      <c r="H8151" s="816">
        <v>2.5469436999999999</v>
      </c>
      <c r="I8151" s="816"/>
      <c r="J8151" s="817">
        <v>1.8083</v>
      </c>
      <c r="K8151" s="817"/>
      <c r="L8151" s="817"/>
    </row>
    <row r="8152" spans="1:12" ht="17.100000000000001" customHeight="1">
      <c r="A8152" s="636"/>
      <c r="B8152" s="636"/>
      <c r="C8152" s="636"/>
      <c r="D8152" s="636"/>
      <c r="E8152" s="636"/>
      <c r="F8152" s="636"/>
      <c r="G8152" s="636"/>
      <c r="H8152" s="636"/>
      <c r="I8152" s="636"/>
      <c r="J8152" s="636" t="s">
        <v>13675</v>
      </c>
      <c r="K8152" s="636"/>
      <c r="L8152" s="636" t="s">
        <v>13940</v>
      </c>
    </row>
    <row r="8153" spans="1:12" ht="17.100000000000001" customHeight="1">
      <c r="A8153" s="802" t="s">
        <v>12713</v>
      </c>
      <c r="B8153" s="802"/>
      <c r="C8153" s="802"/>
      <c r="D8153" s="802"/>
      <c r="E8153" s="802"/>
      <c r="F8153" s="802"/>
      <c r="G8153" s="802"/>
      <c r="H8153" s="802"/>
      <c r="I8153" s="612"/>
      <c r="J8153" s="612"/>
      <c r="K8153" s="612"/>
      <c r="L8153" s="612"/>
    </row>
    <row r="8154" spans="1:12" ht="17.100000000000001" customHeight="1">
      <c r="A8154" s="612" t="s">
        <v>13679</v>
      </c>
      <c r="B8154" s="636" t="s">
        <v>12698</v>
      </c>
      <c r="C8154" s="612" t="s">
        <v>12699</v>
      </c>
      <c r="D8154" s="612" t="s">
        <v>12700</v>
      </c>
      <c r="E8154" s="637" t="s">
        <v>12702</v>
      </c>
      <c r="F8154" s="801" t="s">
        <v>12704</v>
      </c>
      <c r="G8154" s="801"/>
      <c r="H8154" s="801" t="s">
        <v>13678</v>
      </c>
      <c r="I8154" s="801"/>
      <c r="J8154" s="801" t="s">
        <v>12705</v>
      </c>
      <c r="K8154" s="801"/>
      <c r="L8154" s="801"/>
    </row>
    <row r="8155" spans="1:12" ht="17.100000000000001" customHeight="1">
      <c r="A8155" s="626" t="s">
        <v>12709</v>
      </c>
      <c r="B8155" s="627" t="s">
        <v>12999</v>
      </c>
      <c r="C8155" s="626" t="s">
        <v>8</v>
      </c>
      <c r="D8155" s="626" t="s">
        <v>11251</v>
      </c>
      <c r="E8155" s="628" t="s">
        <v>23</v>
      </c>
      <c r="F8155" s="816" t="s">
        <v>13681</v>
      </c>
      <c r="G8155" s="816"/>
      <c r="H8155" s="816">
        <v>2.5469436999999999</v>
      </c>
      <c r="I8155" s="816"/>
      <c r="J8155" s="817">
        <v>0.17829999999999999</v>
      </c>
      <c r="K8155" s="817"/>
      <c r="L8155" s="817"/>
    </row>
    <row r="8156" spans="1:12" ht="17.100000000000001" customHeight="1">
      <c r="A8156" s="636"/>
      <c r="B8156" s="636"/>
      <c r="C8156" s="636"/>
      <c r="D8156" s="636"/>
      <c r="E8156" s="636"/>
      <c r="F8156" s="636"/>
      <c r="G8156" s="636"/>
      <c r="H8156" s="636"/>
      <c r="I8156" s="636"/>
      <c r="J8156" s="636" t="s">
        <v>13675</v>
      </c>
      <c r="K8156" s="636"/>
      <c r="L8156" s="636" t="s">
        <v>13682</v>
      </c>
    </row>
    <row r="8157" spans="1:12" ht="17.100000000000001" customHeight="1">
      <c r="A8157" s="802" t="s">
        <v>12712</v>
      </c>
      <c r="B8157" s="802"/>
      <c r="C8157" s="802"/>
      <c r="D8157" s="802"/>
      <c r="E8157" s="802"/>
      <c r="F8157" s="802"/>
      <c r="G8157" s="802"/>
      <c r="H8157" s="802"/>
      <c r="I8157" s="612"/>
      <c r="J8157" s="612"/>
      <c r="K8157" s="612"/>
      <c r="L8157" s="612"/>
    </row>
    <row r="8158" spans="1:12" ht="17.100000000000001" customHeight="1">
      <c r="A8158" s="612" t="s">
        <v>13679</v>
      </c>
      <c r="B8158" s="636" t="s">
        <v>12698</v>
      </c>
      <c r="C8158" s="612" t="s">
        <v>12699</v>
      </c>
      <c r="D8158" s="612" t="s">
        <v>12700</v>
      </c>
      <c r="E8158" s="637" t="s">
        <v>12702</v>
      </c>
      <c r="F8158" s="801" t="s">
        <v>12704</v>
      </c>
      <c r="G8158" s="801"/>
      <c r="H8158" s="801" t="s">
        <v>13678</v>
      </c>
      <c r="I8158" s="801"/>
      <c r="J8158" s="801" t="s">
        <v>12705</v>
      </c>
      <c r="K8158" s="801"/>
      <c r="L8158" s="801"/>
    </row>
    <row r="8159" spans="1:12" ht="30" customHeight="1">
      <c r="A8159" s="626" t="s">
        <v>12709</v>
      </c>
      <c r="B8159" s="627" t="s">
        <v>13002</v>
      </c>
      <c r="C8159" s="626" t="s">
        <v>8</v>
      </c>
      <c r="D8159" s="626" t="s">
        <v>9306</v>
      </c>
      <c r="E8159" s="628" t="s">
        <v>23</v>
      </c>
      <c r="F8159" s="816" t="s">
        <v>13677</v>
      </c>
      <c r="G8159" s="816"/>
      <c r="H8159" s="816">
        <v>2.5469436999999999</v>
      </c>
      <c r="I8159" s="816"/>
      <c r="J8159" s="817">
        <v>0.89139999999999997</v>
      </c>
      <c r="K8159" s="817"/>
      <c r="L8159" s="817"/>
    </row>
    <row r="8160" spans="1:12" ht="36" customHeight="1">
      <c r="A8160" s="626" t="s">
        <v>12709</v>
      </c>
      <c r="B8160" s="627" t="s">
        <v>13004</v>
      </c>
      <c r="C8160" s="626" t="s">
        <v>8</v>
      </c>
      <c r="D8160" s="626" t="s">
        <v>7388</v>
      </c>
      <c r="E8160" s="628" t="s">
        <v>23</v>
      </c>
      <c r="F8160" s="816" t="s">
        <v>13676</v>
      </c>
      <c r="G8160" s="816"/>
      <c r="H8160" s="816">
        <v>2.5469436999999999</v>
      </c>
      <c r="I8160" s="816"/>
      <c r="J8160" s="817">
        <v>5.6032999999999999</v>
      </c>
      <c r="K8160" s="817"/>
      <c r="L8160" s="817"/>
    </row>
    <row r="8161" spans="1:12" ht="14.25" customHeight="1">
      <c r="A8161" s="636"/>
      <c r="B8161" s="636"/>
      <c r="C8161" s="636"/>
      <c r="D8161" s="636"/>
      <c r="E8161" s="636"/>
      <c r="F8161" s="636"/>
      <c r="G8161" s="636"/>
      <c r="H8161" s="636"/>
      <c r="I8161" s="636"/>
      <c r="J8161" s="636" t="s">
        <v>13675</v>
      </c>
      <c r="K8161" s="636"/>
      <c r="L8161" s="636" t="s">
        <v>14600</v>
      </c>
    </row>
    <row r="8162" spans="1:12" ht="17.100000000000001" customHeight="1">
      <c r="A8162" s="612" t="s">
        <v>13673</v>
      </c>
      <c r="B8162" s="612"/>
      <c r="C8162" s="612"/>
      <c r="D8162" s="612"/>
      <c r="E8162" s="612"/>
      <c r="F8162" s="612"/>
      <c r="G8162" s="612"/>
      <c r="H8162" s="612"/>
      <c r="I8162" s="612"/>
      <c r="J8162" s="612"/>
      <c r="K8162" s="612"/>
      <c r="L8162" s="612"/>
    </row>
    <row r="8163" spans="1:12" ht="24" customHeight="1">
      <c r="A8163" s="636"/>
      <c r="B8163" s="636"/>
      <c r="C8163" s="636"/>
      <c r="D8163" s="636"/>
      <c r="E8163" s="636"/>
      <c r="F8163" s="636"/>
      <c r="G8163" s="636"/>
      <c r="H8163" s="636"/>
      <c r="I8163" s="636"/>
      <c r="J8163" s="636" t="s">
        <v>13672</v>
      </c>
      <c r="K8163" s="636"/>
      <c r="L8163" s="636" t="s">
        <v>14944</v>
      </c>
    </row>
    <row r="8164" spans="1:12" ht="24" customHeight="1">
      <c r="A8164" s="636"/>
      <c r="B8164" s="636"/>
      <c r="C8164" s="636"/>
      <c r="D8164" s="636"/>
      <c r="E8164" s="636"/>
      <c r="F8164" s="636"/>
      <c r="G8164" s="636"/>
      <c r="H8164" s="636"/>
      <c r="I8164" s="636"/>
      <c r="J8164" s="636" t="s">
        <v>13671</v>
      </c>
      <c r="K8164" s="636" t="s">
        <v>14461</v>
      </c>
      <c r="L8164" s="636" t="s">
        <v>14945</v>
      </c>
    </row>
    <row r="8165" spans="1:12" ht="24" customHeight="1">
      <c r="A8165" s="636"/>
      <c r="B8165" s="636"/>
      <c r="C8165" s="636"/>
      <c r="D8165" s="636"/>
      <c r="E8165" s="636"/>
      <c r="F8165" s="636"/>
      <c r="G8165" s="636"/>
      <c r="H8165" s="636"/>
      <c r="I8165" s="636"/>
      <c r="J8165" s="636" t="s">
        <v>13670</v>
      </c>
      <c r="K8165" s="636"/>
      <c r="L8165" s="636" t="s">
        <v>14946</v>
      </c>
    </row>
    <row r="8166" spans="1:12" ht="24" customHeight="1">
      <c r="A8166" s="636"/>
      <c r="B8166" s="636"/>
      <c r="C8166" s="636"/>
      <c r="D8166" s="636"/>
      <c r="E8166" s="636"/>
      <c r="F8166" s="636"/>
      <c r="G8166" s="636"/>
      <c r="H8166" s="636"/>
      <c r="I8166" s="636"/>
      <c r="J8166" s="636" t="s">
        <v>13669</v>
      </c>
      <c r="K8166" s="636" t="s">
        <v>13667</v>
      </c>
      <c r="L8166" s="636" t="s">
        <v>14947</v>
      </c>
    </row>
    <row r="8167" spans="1:12" ht="17.100000000000001" customHeight="1">
      <c r="A8167" s="636"/>
      <c r="B8167" s="636"/>
      <c r="C8167" s="636"/>
      <c r="D8167" s="636"/>
      <c r="E8167" s="636"/>
      <c r="F8167" s="636"/>
      <c r="G8167" s="636"/>
      <c r="H8167" s="636"/>
      <c r="I8167" s="636"/>
      <c r="J8167" s="636" t="s">
        <v>13668</v>
      </c>
      <c r="K8167" s="636"/>
      <c r="L8167" s="636" t="s">
        <v>14948</v>
      </c>
    </row>
    <row r="8168" spans="1:12" ht="14.25" customHeight="1">
      <c r="A8168" s="637"/>
      <c r="B8168" s="637"/>
      <c r="C8168" s="637"/>
      <c r="D8168" s="637"/>
      <c r="E8168" s="637"/>
      <c r="F8168" s="637"/>
      <c r="G8168" s="637"/>
      <c r="H8168" s="637"/>
      <c r="I8168" s="637"/>
      <c r="J8168" s="637"/>
      <c r="K8168" s="637"/>
      <c r="L8168" s="637"/>
    </row>
    <row r="8169" spans="1:12" ht="17.100000000000001" customHeight="1">
      <c r="A8169" s="616" t="s">
        <v>13938</v>
      </c>
      <c r="B8169" s="617" t="s">
        <v>13549</v>
      </c>
      <c r="C8169" s="616" t="s">
        <v>8</v>
      </c>
      <c r="D8169" s="616" t="s">
        <v>3552</v>
      </c>
      <c r="E8169" s="618" t="s">
        <v>12730</v>
      </c>
      <c r="F8169" s="617"/>
      <c r="G8169" s="617"/>
      <c r="H8169" s="617"/>
      <c r="I8169" s="617"/>
      <c r="J8169" s="617"/>
      <c r="K8169" s="617"/>
      <c r="L8169" s="617"/>
    </row>
    <row r="8170" spans="1:12" ht="24" customHeight="1">
      <c r="A8170" s="802" t="s">
        <v>12711</v>
      </c>
      <c r="B8170" s="802"/>
      <c r="C8170" s="802"/>
      <c r="D8170" s="802"/>
      <c r="E8170" s="802"/>
      <c r="F8170" s="802"/>
      <c r="G8170" s="802"/>
      <c r="H8170" s="802"/>
      <c r="I8170" s="612"/>
      <c r="J8170" s="612"/>
      <c r="K8170" s="612"/>
      <c r="L8170" s="612"/>
    </row>
    <row r="8171" spans="1:12" ht="24" customHeight="1">
      <c r="A8171" s="612" t="s">
        <v>13679</v>
      </c>
      <c r="B8171" s="636" t="s">
        <v>12698</v>
      </c>
      <c r="C8171" s="612" t="s">
        <v>12699</v>
      </c>
      <c r="D8171" s="612" t="s">
        <v>12700</v>
      </c>
      <c r="E8171" s="637" t="s">
        <v>12702</v>
      </c>
      <c r="F8171" s="801" t="s">
        <v>12704</v>
      </c>
      <c r="G8171" s="801"/>
      <c r="H8171" s="801" t="s">
        <v>13678</v>
      </c>
      <c r="I8171" s="801"/>
      <c r="J8171" s="801" t="s">
        <v>12705</v>
      </c>
      <c r="K8171" s="801"/>
      <c r="L8171" s="801"/>
    </row>
    <row r="8172" spans="1:12" ht="24" customHeight="1">
      <c r="A8172" s="626" t="s">
        <v>12709</v>
      </c>
      <c r="B8172" s="627" t="s">
        <v>13048</v>
      </c>
      <c r="C8172" s="626" t="s">
        <v>8</v>
      </c>
      <c r="D8172" s="626" t="s">
        <v>9233</v>
      </c>
      <c r="E8172" s="628" t="s">
        <v>23</v>
      </c>
      <c r="F8172" s="816" t="s">
        <v>13690</v>
      </c>
      <c r="G8172" s="816"/>
      <c r="H8172" s="816">
        <v>10.0116323</v>
      </c>
      <c r="I8172" s="816"/>
      <c r="J8172" s="817">
        <v>10.2119</v>
      </c>
      <c r="K8172" s="817"/>
      <c r="L8172" s="817"/>
    </row>
    <row r="8173" spans="1:12" ht="17.100000000000001" customHeight="1">
      <c r="A8173" s="626" t="s">
        <v>12709</v>
      </c>
      <c r="B8173" s="627" t="s">
        <v>13047</v>
      </c>
      <c r="C8173" s="626" t="s">
        <v>8</v>
      </c>
      <c r="D8173" s="626" t="s">
        <v>9380</v>
      </c>
      <c r="E8173" s="628" t="s">
        <v>23</v>
      </c>
      <c r="F8173" s="816" t="s">
        <v>13689</v>
      </c>
      <c r="G8173" s="816"/>
      <c r="H8173" s="816">
        <v>10.0116323</v>
      </c>
      <c r="I8173" s="816"/>
      <c r="J8173" s="817">
        <v>3.8043999999999998</v>
      </c>
      <c r="K8173" s="817"/>
      <c r="L8173" s="817"/>
    </row>
    <row r="8174" spans="1:12">
      <c r="A8174" s="636"/>
      <c r="B8174" s="636"/>
      <c r="C8174" s="636"/>
      <c r="D8174" s="636"/>
      <c r="E8174" s="636"/>
      <c r="F8174" s="636"/>
      <c r="G8174" s="636"/>
      <c r="H8174" s="636"/>
      <c r="I8174" s="636"/>
      <c r="J8174" s="636" t="s">
        <v>13675</v>
      </c>
      <c r="K8174" s="636"/>
      <c r="L8174" s="636" t="s">
        <v>13748</v>
      </c>
    </row>
    <row r="8175" spans="1:12" ht="17.100000000000001" customHeight="1">
      <c r="A8175" s="802" t="s">
        <v>12710</v>
      </c>
      <c r="B8175" s="802"/>
      <c r="C8175" s="802"/>
      <c r="D8175" s="802"/>
      <c r="E8175" s="802"/>
      <c r="F8175" s="802"/>
      <c r="G8175" s="802"/>
      <c r="H8175" s="802"/>
      <c r="I8175" s="612"/>
      <c r="J8175" s="612"/>
      <c r="K8175" s="612"/>
      <c r="L8175" s="612"/>
    </row>
    <row r="8176" spans="1:12" ht="24" customHeight="1">
      <c r="A8176" s="612" t="s">
        <v>13679</v>
      </c>
      <c r="B8176" s="636" t="s">
        <v>12698</v>
      </c>
      <c r="C8176" s="612" t="s">
        <v>12699</v>
      </c>
      <c r="D8176" s="612" t="s">
        <v>12700</v>
      </c>
      <c r="E8176" s="637" t="s">
        <v>12702</v>
      </c>
      <c r="F8176" s="801" t="s">
        <v>12704</v>
      </c>
      <c r="G8176" s="801"/>
      <c r="H8176" s="801" t="s">
        <v>13678</v>
      </c>
      <c r="I8176" s="801"/>
      <c r="J8176" s="801" t="s">
        <v>12705</v>
      </c>
      <c r="K8176" s="801"/>
      <c r="L8176" s="801"/>
    </row>
    <row r="8177" spans="1:12" ht="24" customHeight="1">
      <c r="A8177" s="626" t="s">
        <v>12709</v>
      </c>
      <c r="B8177" s="627" t="s">
        <v>13046</v>
      </c>
      <c r="C8177" s="626" t="s">
        <v>8</v>
      </c>
      <c r="D8177" s="626" t="s">
        <v>11281</v>
      </c>
      <c r="E8177" s="628" t="s">
        <v>23</v>
      </c>
      <c r="F8177" s="816" t="s">
        <v>13731</v>
      </c>
      <c r="G8177" s="816"/>
      <c r="H8177" s="816">
        <v>10.1588435</v>
      </c>
      <c r="I8177" s="816"/>
      <c r="J8177" s="817">
        <v>52.216500000000003</v>
      </c>
      <c r="K8177" s="817"/>
      <c r="L8177" s="817"/>
    </row>
    <row r="8178" spans="1:12" ht="24" customHeight="1">
      <c r="A8178" s="636"/>
      <c r="B8178" s="636"/>
      <c r="C8178" s="636"/>
      <c r="D8178" s="636"/>
      <c r="E8178" s="636"/>
      <c r="F8178" s="636"/>
      <c r="G8178" s="636"/>
      <c r="H8178" s="636"/>
      <c r="I8178" s="636"/>
      <c r="J8178" s="636" t="s">
        <v>13675</v>
      </c>
      <c r="K8178" s="636"/>
      <c r="L8178" s="636" t="s">
        <v>14496</v>
      </c>
    </row>
    <row r="8179" spans="1:12" ht="17.100000000000001" customHeight="1">
      <c r="A8179" s="802" t="s">
        <v>12720</v>
      </c>
      <c r="B8179" s="802"/>
      <c r="C8179" s="802"/>
      <c r="D8179" s="802"/>
      <c r="E8179" s="802"/>
      <c r="F8179" s="802"/>
      <c r="G8179" s="802"/>
      <c r="H8179" s="802"/>
      <c r="I8179" s="612"/>
      <c r="J8179" s="612"/>
      <c r="K8179" s="612"/>
      <c r="L8179" s="612"/>
    </row>
    <row r="8180" spans="1:12">
      <c r="A8180" s="612" t="s">
        <v>13679</v>
      </c>
      <c r="B8180" s="636" t="s">
        <v>12698</v>
      </c>
      <c r="C8180" s="612" t="s">
        <v>12699</v>
      </c>
      <c r="D8180" s="612" t="s">
        <v>12700</v>
      </c>
      <c r="E8180" s="637" t="s">
        <v>12702</v>
      </c>
      <c r="F8180" s="801" t="s">
        <v>12704</v>
      </c>
      <c r="G8180" s="801"/>
      <c r="H8180" s="801" t="s">
        <v>13678</v>
      </c>
      <c r="I8180" s="801"/>
      <c r="J8180" s="801" t="s">
        <v>12705</v>
      </c>
      <c r="K8180" s="801"/>
      <c r="L8180" s="801"/>
    </row>
    <row r="8181" spans="1:12" ht="17.100000000000001" customHeight="1">
      <c r="A8181" s="626" t="s">
        <v>12709</v>
      </c>
      <c r="B8181" s="627" t="s">
        <v>13250</v>
      </c>
      <c r="C8181" s="626" t="s">
        <v>8</v>
      </c>
      <c r="D8181" s="626" t="s">
        <v>7526</v>
      </c>
      <c r="E8181" s="628" t="s">
        <v>12730</v>
      </c>
      <c r="F8181" s="816" t="s">
        <v>13747</v>
      </c>
      <c r="G8181" s="816"/>
      <c r="H8181" s="816">
        <v>0.81799999999999995</v>
      </c>
      <c r="I8181" s="816"/>
      <c r="J8181" s="817">
        <v>51.12</v>
      </c>
      <c r="K8181" s="817"/>
      <c r="L8181" s="817"/>
    </row>
    <row r="8182" spans="1:12" ht="24" customHeight="1">
      <c r="A8182" s="626" t="s">
        <v>12709</v>
      </c>
      <c r="B8182" s="627" t="s">
        <v>13249</v>
      </c>
      <c r="C8182" s="626" t="s">
        <v>8</v>
      </c>
      <c r="D8182" s="626" t="s">
        <v>8420</v>
      </c>
      <c r="E8182" s="628" t="s">
        <v>20</v>
      </c>
      <c r="F8182" s="816" t="s">
        <v>13700</v>
      </c>
      <c r="G8182" s="816"/>
      <c r="H8182" s="816">
        <v>277.72000000000003</v>
      </c>
      <c r="I8182" s="816"/>
      <c r="J8182" s="817">
        <v>136.08000000000001</v>
      </c>
      <c r="K8182" s="817"/>
      <c r="L8182" s="817"/>
    </row>
    <row r="8183" spans="1:12" ht="17.100000000000001" customHeight="1">
      <c r="A8183" s="626" t="s">
        <v>12709</v>
      </c>
      <c r="B8183" s="627" t="s">
        <v>13248</v>
      </c>
      <c r="C8183" s="626" t="s">
        <v>8</v>
      </c>
      <c r="D8183" s="626" t="s">
        <v>10712</v>
      </c>
      <c r="E8183" s="628" t="s">
        <v>12730</v>
      </c>
      <c r="F8183" s="816" t="s">
        <v>13745</v>
      </c>
      <c r="G8183" s="816"/>
      <c r="H8183" s="816">
        <v>0.58899999999999997</v>
      </c>
      <c r="I8183" s="816"/>
      <c r="J8183" s="817">
        <v>47.12</v>
      </c>
      <c r="K8183" s="817"/>
      <c r="L8183" s="817"/>
    </row>
    <row r="8184" spans="1:12">
      <c r="A8184" s="636"/>
      <c r="B8184" s="636"/>
      <c r="C8184" s="636"/>
      <c r="D8184" s="636"/>
      <c r="E8184" s="636"/>
      <c r="F8184" s="636"/>
      <c r="G8184" s="636"/>
      <c r="H8184" s="636"/>
      <c r="I8184" s="636"/>
      <c r="J8184" s="636" t="s">
        <v>13675</v>
      </c>
      <c r="K8184" s="636"/>
      <c r="L8184" s="636" t="s">
        <v>14495</v>
      </c>
    </row>
    <row r="8185" spans="1:12" ht="17.100000000000001" customHeight="1">
      <c r="A8185" s="802" t="s">
        <v>12722</v>
      </c>
      <c r="B8185" s="802"/>
      <c r="C8185" s="802"/>
      <c r="D8185" s="802"/>
      <c r="E8185" s="802"/>
      <c r="F8185" s="802"/>
      <c r="G8185" s="802"/>
      <c r="H8185" s="802"/>
      <c r="I8185" s="612"/>
      <c r="J8185" s="612"/>
      <c r="K8185" s="612"/>
      <c r="L8185" s="612"/>
    </row>
    <row r="8186" spans="1:12" ht="24" customHeight="1">
      <c r="A8186" s="612" t="s">
        <v>13679</v>
      </c>
      <c r="B8186" s="636" t="s">
        <v>12698</v>
      </c>
      <c r="C8186" s="612" t="s">
        <v>12699</v>
      </c>
      <c r="D8186" s="612" t="s">
        <v>12700</v>
      </c>
      <c r="E8186" s="637" t="s">
        <v>12702</v>
      </c>
      <c r="F8186" s="801" t="s">
        <v>12704</v>
      </c>
      <c r="G8186" s="801"/>
      <c r="H8186" s="801" t="s">
        <v>13678</v>
      </c>
      <c r="I8186" s="801"/>
      <c r="J8186" s="801" t="s">
        <v>12705</v>
      </c>
      <c r="K8186" s="801"/>
      <c r="L8186" s="801"/>
    </row>
    <row r="8187" spans="1:12" ht="17.100000000000001" customHeight="1">
      <c r="A8187" s="626" t="s">
        <v>12709</v>
      </c>
      <c r="B8187" s="627" t="s">
        <v>12998</v>
      </c>
      <c r="C8187" s="626" t="s">
        <v>8</v>
      </c>
      <c r="D8187" s="626" t="s">
        <v>11861</v>
      </c>
      <c r="E8187" s="628" t="s">
        <v>23</v>
      </c>
      <c r="F8187" s="816" t="s">
        <v>13683</v>
      </c>
      <c r="G8187" s="816"/>
      <c r="H8187" s="816">
        <v>10.0116323</v>
      </c>
      <c r="I8187" s="816"/>
      <c r="J8187" s="817">
        <v>7.1082999999999998</v>
      </c>
      <c r="K8187" s="817"/>
      <c r="L8187" s="817"/>
    </row>
    <row r="8188" spans="1:12">
      <c r="A8188" s="636"/>
      <c r="B8188" s="636"/>
      <c r="C8188" s="636"/>
      <c r="D8188" s="636"/>
      <c r="E8188" s="636"/>
      <c r="F8188" s="636"/>
      <c r="G8188" s="636"/>
      <c r="H8188" s="636"/>
      <c r="I8188" s="636"/>
      <c r="J8188" s="636" t="s">
        <v>13675</v>
      </c>
      <c r="K8188" s="636"/>
      <c r="L8188" s="636" t="s">
        <v>13744</v>
      </c>
    </row>
    <row r="8189" spans="1:12" ht="17.100000000000001" customHeight="1">
      <c r="A8189" s="802" t="s">
        <v>12713</v>
      </c>
      <c r="B8189" s="802"/>
      <c r="C8189" s="802"/>
      <c r="D8189" s="802"/>
      <c r="E8189" s="802"/>
      <c r="F8189" s="802"/>
      <c r="G8189" s="802"/>
      <c r="H8189" s="802"/>
      <c r="I8189" s="612"/>
      <c r="J8189" s="612"/>
      <c r="K8189" s="612"/>
      <c r="L8189" s="612"/>
    </row>
    <row r="8190" spans="1:12" ht="24" customHeight="1">
      <c r="A8190" s="612" t="s">
        <v>13679</v>
      </c>
      <c r="B8190" s="636" t="s">
        <v>12698</v>
      </c>
      <c r="C8190" s="612" t="s">
        <v>12699</v>
      </c>
      <c r="D8190" s="612" t="s">
        <v>12700</v>
      </c>
      <c r="E8190" s="637" t="s">
        <v>12702</v>
      </c>
      <c r="F8190" s="801" t="s">
        <v>12704</v>
      </c>
      <c r="G8190" s="801"/>
      <c r="H8190" s="801" t="s">
        <v>13678</v>
      </c>
      <c r="I8190" s="801"/>
      <c r="J8190" s="801" t="s">
        <v>12705</v>
      </c>
      <c r="K8190" s="801"/>
      <c r="L8190" s="801"/>
    </row>
    <row r="8191" spans="1:12" ht="24" customHeight="1">
      <c r="A8191" s="626" t="s">
        <v>12709</v>
      </c>
      <c r="B8191" s="627" t="s">
        <v>12999</v>
      </c>
      <c r="C8191" s="626" t="s">
        <v>8</v>
      </c>
      <c r="D8191" s="626" t="s">
        <v>11251</v>
      </c>
      <c r="E8191" s="628" t="s">
        <v>23</v>
      </c>
      <c r="F8191" s="816" t="s">
        <v>13681</v>
      </c>
      <c r="G8191" s="816"/>
      <c r="H8191" s="816">
        <v>10.0116323</v>
      </c>
      <c r="I8191" s="816"/>
      <c r="J8191" s="817">
        <v>0.70079999999999998</v>
      </c>
      <c r="K8191" s="817"/>
      <c r="L8191" s="817"/>
    </row>
    <row r="8192" spans="1:12" ht="17.100000000000001" customHeight="1">
      <c r="A8192" s="636"/>
      <c r="B8192" s="636"/>
      <c r="C8192" s="636"/>
      <c r="D8192" s="636"/>
      <c r="E8192" s="636"/>
      <c r="F8192" s="636"/>
      <c r="G8192" s="636"/>
      <c r="H8192" s="636"/>
      <c r="I8192" s="636"/>
      <c r="J8192" s="636" t="s">
        <v>13675</v>
      </c>
      <c r="K8192" s="636"/>
      <c r="L8192" s="636" t="s">
        <v>13694</v>
      </c>
    </row>
    <row r="8193" spans="1:12" ht="17.100000000000001" customHeight="1">
      <c r="A8193" s="802" t="s">
        <v>12712</v>
      </c>
      <c r="B8193" s="802"/>
      <c r="C8193" s="802"/>
      <c r="D8193" s="802"/>
      <c r="E8193" s="802"/>
      <c r="F8193" s="802"/>
      <c r="G8193" s="802"/>
      <c r="H8193" s="802"/>
      <c r="I8193" s="612"/>
      <c r="J8193" s="612"/>
      <c r="K8193" s="612"/>
      <c r="L8193" s="612"/>
    </row>
    <row r="8194" spans="1:12" ht="17.100000000000001" customHeight="1">
      <c r="A8194" s="612" t="s">
        <v>13679</v>
      </c>
      <c r="B8194" s="636" t="s">
        <v>12698</v>
      </c>
      <c r="C8194" s="612" t="s">
        <v>12699</v>
      </c>
      <c r="D8194" s="612" t="s">
        <v>12700</v>
      </c>
      <c r="E8194" s="637" t="s">
        <v>12702</v>
      </c>
      <c r="F8194" s="801" t="s">
        <v>12704</v>
      </c>
      <c r="G8194" s="801"/>
      <c r="H8194" s="801" t="s">
        <v>13678</v>
      </c>
      <c r="I8194" s="801"/>
      <c r="J8194" s="801" t="s">
        <v>12705</v>
      </c>
      <c r="K8194" s="801"/>
      <c r="L8194" s="801"/>
    </row>
    <row r="8195" spans="1:12" ht="17.100000000000001" customHeight="1">
      <c r="A8195" s="626" t="s">
        <v>12709</v>
      </c>
      <c r="B8195" s="627" t="s">
        <v>13002</v>
      </c>
      <c r="C8195" s="626" t="s">
        <v>8</v>
      </c>
      <c r="D8195" s="626" t="s">
        <v>9306</v>
      </c>
      <c r="E8195" s="628" t="s">
        <v>23</v>
      </c>
      <c r="F8195" s="816" t="s">
        <v>13677</v>
      </c>
      <c r="G8195" s="816"/>
      <c r="H8195" s="816">
        <v>10.0116323</v>
      </c>
      <c r="I8195" s="816"/>
      <c r="J8195" s="817">
        <v>3.5041000000000002</v>
      </c>
      <c r="K8195" s="817"/>
      <c r="L8195" s="817"/>
    </row>
    <row r="8196" spans="1:12" ht="17.100000000000001" customHeight="1">
      <c r="A8196" s="626" t="s">
        <v>12709</v>
      </c>
      <c r="B8196" s="627" t="s">
        <v>13004</v>
      </c>
      <c r="C8196" s="626" t="s">
        <v>8</v>
      </c>
      <c r="D8196" s="626" t="s">
        <v>7388</v>
      </c>
      <c r="E8196" s="628" t="s">
        <v>23</v>
      </c>
      <c r="F8196" s="816" t="s">
        <v>13676</v>
      </c>
      <c r="G8196" s="816"/>
      <c r="H8196" s="816">
        <v>10.0116323</v>
      </c>
      <c r="I8196" s="816"/>
      <c r="J8196" s="817">
        <v>22.025600000000001</v>
      </c>
      <c r="K8196" s="817"/>
      <c r="L8196" s="817"/>
    </row>
    <row r="8197" spans="1:12" ht="17.100000000000001" customHeight="1">
      <c r="A8197" s="636"/>
      <c r="B8197" s="636"/>
      <c r="C8197" s="636"/>
      <c r="D8197" s="636"/>
      <c r="E8197" s="636"/>
      <c r="F8197" s="636"/>
      <c r="G8197" s="636"/>
      <c r="H8197" s="636"/>
      <c r="I8197" s="636"/>
      <c r="J8197" s="636" t="s">
        <v>13675</v>
      </c>
      <c r="K8197" s="636"/>
      <c r="L8197" s="636" t="s">
        <v>13743</v>
      </c>
    </row>
    <row r="8198" spans="1:12" ht="17.100000000000001" customHeight="1">
      <c r="A8198" s="612" t="s">
        <v>13673</v>
      </c>
      <c r="B8198" s="612"/>
      <c r="C8198" s="612"/>
      <c r="D8198" s="612"/>
      <c r="E8198" s="612"/>
      <c r="F8198" s="612"/>
      <c r="G8198" s="612"/>
      <c r="H8198" s="612"/>
      <c r="I8198" s="612"/>
      <c r="J8198" s="612"/>
      <c r="K8198" s="612"/>
      <c r="L8198" s="612"/>
    </row>
    <row r="8199" spans="1:12" ht="30" customHeight="1">
      <c r="A8199" s="636"/>
      <c r="B8199" s="636"/>
      <c r="C8199" s="636"/>
      <c r="D8199" s="636"/>
      <c r="E8199" s="636"/>
      <c r="F8199" s="636"/>
      <c r="G8199" s="636"/>
      <c r="H8199" s="636"/>
      <c r="I8199" s="636"/>
      <c r="J8199" s="636" t="s">
        <v>13672</v>
      </c>
      <c r="K8199" s="636"/>
      <c r="L8199" s="636" t="s">
        <v>15226</v>
      </c>
    </row>
    <row r="8200" spans="1:12" ht="36" customHeight="1">
      <c r="A8200" s="636"/>
      <c r="B8200" s="636"/>
      <c r="C8200" s="636"/>
      <c r="D8200" s="636"/>
      <c r="E8200" s="636"/>
      <c r="F8200" s="636"/>
      <c r="G8200" s="636"/>
      <c r="H8200" s="636"/>
      <c r="I8200" s="636"/>
      <c r="J8200" s="636" t="s">
        <v>13671</v>
      </c>
      <c r="K8200" s="636" t="s">
        <v>14461</v>
      </c>
      <c r="L8200" s="636" t="s">
        <v>14978</v>
      </c>
    </row>
    <row r="8201" spans="1:12" ht="14.25" customHeight="1">
      <c r="A8201" s="636"/>
      <c r="B8201" s="636"/>
      <c r="C8201" s="636"/>
      <c r="D8201" s="636"/>
      <c r="E8201" s="636"/>
      <c r="F8201" s="636"/>
      <c r="G8201" s="636"/>
      <c r="H8201" s="636"/>
      <c r="I8201" s="636"/>
      <c r="J8201" s="636" t="s">
        <v>13670</v>
      </c>
      <c r="K8201" s="636"/>
      <c r="L8201" s="636" t="s">
        <v>15227</v>
      </c>
    </row>
    <row r="8202" spans="1:12" ht="17.100000000000001" customHeight="1">
      <c r="A8202" s="636"/>
      <c r="B8202" s="636"/>
      <c r="C8202" s="636"/>
      <c r="D8202" s="636"/>
      <c r="E8202" s="636"/>
      <c r="F8202" s="636"/>
      <c r="G8202" s="636"/>
      <c r="H8202" s="636"/>
      <c r="I8202" s="636"/>
      <c r="J8202" s="636" t="s">
        <v>13669</v>
      </c>
      <c r="K8202" s="636" t="s">
        <v>13667</v>
      </c>
      <c r="L8202" s="636" t="s">
        <v>15228</v>
      </c>
    </row>
    <row r="8203" spans="1:12" ht="24" customHeight="1">
      <c r="A8203" s="636"/>
      <c r="B8203" s="636"/>
      <c r="C8203" s="636"/>
      <c r="D8203" s="636"/>
      <c r="E8203" s="636"/>
      <c r="F8203" s="636"/>
      <c r="G8203" s="636"/>
      <c r="H8203" s="636"/>
      <c r="I8203" s="636"/>
      <c r="J8203" s="636" t="s">
        <v>13668</v>
      </c>
      <c r="K8203" s="636"/>
      <c r="L8203" s="636" t="s">
        <v>15229</v>
      </c>
    </row>
    <row r="8204" spans="1:12" ht="24" customHeight="1">
      <c r="A8204" s="637"/>
      <c r="B8204" s="637"/>
      <c r="C8204" s="637"/>
      <c r="D8204" s="637"/>
      <c r="E8204" s="637"/>
      <c r="F8204" s="637"/>
      <c r="G8204" s="637"/>
      <c r="H8204" s="637"/>
      <c r="I8204" s="637"/>
      <c r="J8204" s="637"/>
      <c r="K8204" s="637"/>
      <c r="L8204" s="637"/>
    </row>
    <row r="8205" spans="1:12" ht="24" customHeight="1">
      <c r="A8205" s="616" t="s">
        <v>13937</v>
      </c>
      <c r="B8205" s="617" t="s">
        <v>13494</v>
      </c>
      <c r="C8205" s="616" t="s">
        <v>8</v>
      </c>
      <c r="D8205" s="616" t="s">
        <v>4716</v>
      </c>
      <c r="E8205" s="618" t="s">
        <v>12730</v>
      </c>
      <c r="F8205" s="617"/>
      <c r="G8205" s="617"/>
      <c r="H8205" s="617"/>
      <c r="I8205" s="617"/>
      <c r="J8205" s="617"/>
      <c r="K8205" s="617"/>
      <c r="L8205" s="617"/>
    </row>
    <row r="8206" spans="1:12" ht="24" customHeight="1">
      <c r="A8206" s="802" t="s">
        <v>12711</v>
      </c>
      <c r="B8206" s="802"/>
      <c r="C8206" s="802"/>
      <c r="D8206" s="802"/>
      <c r="E8206" s="802"/>
      <c r="F8206" s="802"/>
      <c r="G8206" s="802"/>
      <c r="H8206" s="802"/>
      <c r="I8206" s="612"/>
      <c r="J8206" s="612"/>
      <c r="K8206" s="612"/>
      <c r="L8206" s="612"/>
    </row>
    <row r="8207" spans="1:12" ht="17.100000000000001" customHeight="1">
      <c r="A8207" s="612" t="s">
        <v>13679</v>
      </c>
      <c r="B8207" s="636" t="s">
        <v>12698</v>
      </c>
      <c r="C8207" s="612" t="s">
        <v>12699</v>
      </c>
      <c r="D8207" s="612" t="s">
        <v>12700</v>
      </c>
      <c r="E8207" s="637" t="s">
        <v>12702</v>
      </c>
      <c r="F8207" s="801" t="s">
        <v>12704</v>
      </c>
      <c r="G8207" s="801"/>
      <c r="H8207" s="801" t="s">
        <v>13678</v>
      </c>
      <c r="I8207" s="801"/>
      <c r="J8207" s="801" t="s">
        <v>12705</v>
      </c>
      <c r="K8207" s="801"/>
      <c r="L8207" s="801"/>
    </row>
    <row r="8208" spans="1:12" ht="14.25" customHeight="1">
      <c r="A8208" s="626" t="s">
        <v>12709</v>
      </c>
      <c r="B8208" s="627" t="s">
        <v>13048</v>
      </c>
      <c r="C8208" s="626" t="s">
        <v>8</v>
      </c>
      <c r="D8208" s="626" t="s">
        <v>9233</v>
      </c>
      <c r="E8208" s="628" t="s">
        <v>23</v>
      </c>
      <c r="F8208" s="816" t="s">
        <v>13690</v>
      </c>
      <c r="G8208" s="816"/>
      <c r="H8208" s="816">
        <v>3.9525234999999999</v>
      </c>
      <c r="I8208" s="816"/>
      <c r="J8208" s="817">
        <v>4.0316000000000001</v>
      </c>
      <c r="K8208" s="817"/>
      <c r="L8208" s="817"/>
    </row>
    <row r="8209" spans="1:12" ht="17.100000000000001" customHeight="1">
      <c r="A8209" s="626" t="s">
        <v>12709</v>
      </c>
      <c r="B8209" s="627" t="s">
        <v>13047</v>
      </c>
      <c r="C8209" s="626" t="s">
        <v>8</v>
      </c>
      <c r="D8209" s="626" t="s">
        <v>9380</v>
      </c>
      <c r="E8209" s="628" t="s">
        <v>23</v>
      </c>
      <c r="F8209" s="816" t="s">
        <v>13689</v>
      </c>
      <c r="G8209" s="816"/>
      <c r="H8209" s="816">
        <v>3.9525234999999999</v>
      </c>
      <c r="I8209" s="816"/>
      <c r="J8209" s="817">
        <v>1.502</v>
      </c>
      <c r="K8209" s="817"/>
      <c r="L8209" s="817"/>
    </row>
    <row r="8210" spans="1:12" ht="24" customHeight="1">
      <c r="A8210" s="636"/>
      <c r="B8210" s="636"/>
      <c r="C8210" s="636"/>
      <c r="D8210" s="636"/>
      <c r="E8210" s="636"/>
      <c r="F8210" s="636"/>
      <c r="G8210" s="636"/>
      <c r="H8210" s="636"/>
      <c r="I8210" s="636"/>
      <c r="J8210" s="636" t="s">
        <v>13675</v>
      </c>
      <c r="K8210" s="636"/>
      <c r="L8210" s="636" t="s">
        <v>13764</v>
      </c>
    </row>
    <row r="8211" spans="1:12" ht="24" customHeight="1">
      <c r="A8211" s="802" t="s">
        <v>12710</v>
      </c>
      <c r="B8211" s="802"/>
      <c r="C8211" s="802"/>
      <c r="D8211" s="802"/>
      <c r="E8211" s="802"/>
      <c r="F8211" s="802"/>
      <c r="G8211" s="802"/>
      <c r="H8211" s="802"/>
      <c r="I8211" s="612"/>
      <c r="J8211" s="612"/>
      <c r="K8211" s="612"/>
      <c r="L8211" s="612"/>
    </row>
    <row r="8212" spans="1:12" ht="24" customHeight="1">
      <c r="A8212" s="612" t="s">
        <v>13679</v>
      </c>
      <c r="B8212" s="636" t="s">
        <v>12698</v>
      </c>
      <c r="C8212" s="612" t="s">
        <v>12699</v>
      </c>
      <c r="D8212" s="612" t="s">
        <v>12700</v>
      </c>
      <c r="E8212" s="637" t="s">
        <v>12702</v>
      </c>
      <c r="F8212" s="801" t="s">
        <v>12704</v>
      </c>
      <c r="G8212" s="801"/>
      <c r="H8212" s="801" t="s">
        <v>13678</v>
      </c>
      <c r="I8212" s="801"/>
      <c r="J8212" s="801" t="s">
        <v>12705</v>
      </c>
      <c r="K8212" s="801"/>
      <c r="L8212" s="801"/>
    </row>
    <row r="8213" spans="1:12" ht="17.100000000000001" customHeight="1">
      <c r="A8213" s="626" t="s">
        <v>12709</v>
      </c>
      <c r="B8213" s="627" t="s">
        <v>13046</v>
      </c>
      <c r="C8213" s="626" t="s">
        <v>8</v>
      </c>
      <c r="D8213" s="626" t="s">
        <v>11281</v>
      </c>
      <c r="E8213" s="628" t="s">
        <v>23</v>
      </c>
      <c r="F8213" s="816" t="s">
        <v>13731</v>
      </c>
      <c r="G8213" s="816"/>
      <c r="H8213" s="816">
        <v>4.0103188999999997</v>
      </c>
      <c r="I8213" s="816"/>
      <c r="J8213" s="817">
        <v>20.613</v>
      </c>
      <c r="K8213" s="817"/>
      <c r="L8213" s="817"/>
    </row>
    <row r="8214" spans="1:12">
      <c r="A8214" s="636"/>
      <c r="B8214" s="636"/>
      <c r="C8214" s="636"/>
      <c r="D8214" s="636"/>
      <c r="E8214" s="636"/>
      <c r="F8214" s="636"/>
      <c r="G8214" s="636"/>
      <c r="H8214" s="636"/>
      <c r="I8214" s="636"/>
      <c r="J8214" s="636" t="s">
        <v>13675</v>
      </c>
      <c r="K8214" s="636"/>
      <c r="L8214" s="636" t="s">
        <v>14507</v>
      </c>
    </row>
    <row r="8215" spans="1:12" ht="17.100000000000001" customHeight="1">
      <c r="A8215" s="802" t="s">
        <v>12722</v>
      </c>
      <c r="B8215" s="802"/>
      <c r="C8215" s="802"/>
      <c r="D8215" s="802"/>
      <c r="E8215" s="802"/>
      <c r="F8215" s="802"/>
      <c r="G8215" s="802"/>
      <c r="H8215" s="802"/>
      <c r="I8215" s="612"/>
      <c r="J8215" s="612"/>
      <c r="K8215" s="612"/>
      <c r="L8215" s="612"/>
    </row>
    <row r="8216" spans="1:12" ht="24" customHeight="1">
      <c r="A8216" s="612" t="s">
        <v>13679</v>
      </c>
      <c r="B8216" s="636" t="s">
        <v>12698</v>
      </c>
      <c r="C8216" s="612" t="s">
        <v>12699</v>
      </c>
      <c r="D8216" s="612" t="s">
        <v>12700</v>
      </c>
      <c r="E8216" s="637" t="s">
        <v>12702</v>
      </c>
      <c r="F8216" s="801" t="s">
        <v>12704</v>
      </c>
      <c r="G8216" s="801"/>
      <c r="H8216" s="801" t="s">
        <v>13678</v>
      </c>
      <c r="I8216" s="801"/>
      <c r="J8216" s="801" t="s">
        <v>12705</v>
      </c>
      <c r="K8216" s="801"/>
      <c r="L8216" s="801"/>
    </row>
    <row r="8217" spans="1:12" ht="24" customHeight="1">
      <c r="A8217" s="626" t="s">
        <v>12709</v>
      </c>
      <c r="B8217" s="627" t="s">
        <v>12998</v>
      </c>
      <c r="C8217" s="626" t="s">
        <v>8</v>
      </c>
      <c r="D8217" s="626" t="s">
        <v>11861</v>
      </c>
      <c r="E8217" s="628" t="s">
        <v>23</v>
      </c>
      <c r="F8217" s="816" t="s">
        <v>13683</v>
      </c>
      <c r="G8217" s="816"/>
      <c r="H8217" s="816">
        <v>3.9525234999999999</v>
      </c>
      <c r="I8217" s="816"/>
      <c r="J8217" s="817">
        <v>2.8062999999999998</v>
      </c>
      <c r="K8217" s="817"/>
      <c r="L8217" s="817"/>
    </row>
    <row r="8218" spans="1:12" ht="24" customHeight="1">
      <c r="A8218" s="636"/>
      <c r="B8218" s="636"/>
      <c r="C8218" s="636"/>
      <c r="D8218" s="636"/>
      <c r="E8218" s="636"/>
      <c r="F8218" s="636"/>
      <c r="G8218" s="636"/>
      <c r="H8218" s="636"/>
      <c r="I8218" s="636"/>
      <c r="J8218" s="636" t="s">
        <v>13675</v>
      </c>
      <c r="K8218" s="636"/>
      <c r="L8218" s="636" t="s">
        <v>13763</v>
      </c>
    </row>
    <row r="8219" spans="1:12" ht="17.100000000000001" customHeight="1">
      <c r="A8219" s="802" t="s">
        <v>12713</v>
      </c>
      <c r="B8219" s="802"/>
      <c r="C8219" s="802"/>
      <c r="D8219" s="802"/>
      <c r="E8219" s="802"/>
      <c r="F8219" s="802"/>
      <c r="G8219" s="802"/>
      <c r="H8219" s="802"/>
      <c r="I8219" s="612"/>
      <c r="J8219" s="612"/>
      <c r="K8219" s="612"/>
      <c r="L8219" s="612"/>
    </row>
    <row r="8220" spans="1:12">
      <c r="A8220" s="612" t="s">
        <v>13679</v>
      </c>
      <c r="B8220" s="636" t="s">
        <v>12698</v>
      </c>
      <c r="C8220" s="612" t="s">
        <v>12699</v>
      </c>
      <c r="D8220" s="612" t="s">
        <v>12700</v>
      </c>
      <c r="E8220" s="637" t="s">
        <v>12702</v>
      </c>
      <c r="F8220" s="801" t="s">
        <v>12704</v>
      </c>
      <c r="G8220" s="801"/>
      <c r="H8220" s="801" t="s">
        <v>13678</v>
      </c>
      <c r="I8220" s="801"/>
      <c r="J8220" s="801" t="s">
        <v>12705</v>
      </c>
      <c r="K8220" s="801"/>
      <c r="L8220" s="801"/>
    </row>
    <row r="8221" spans="1:12" ht="17.100000000000001" customHeight="1">
      <c r="A8221" s="626" t="s">
        <v>12709</v>
      </c>
      <c r="B8221" s="627" t="s">
        <v>12999</v>
      </c>
      <c r="C8221" s="626" t="s">
        <v>8</v>
      </c>
      <c r="D8221" s="626" t="s">
        <v>11251</v>
      </c>
      <c r="E8221" s="628" t="s">
        <v>23</v>
      </c>
      <c r="F8221" s="816" t="s">
        <v>13681</v>
      </c>
      <c r="G8221" s="816"/>
      <c r="H8221" s="816">
        <v>3.9525234999999999</v>
      </c>
      <c r="I8221" s="816"/>
      <c r="J8221" s="817">
        <v>0.2767</v>
      </c>
      <c r="K8221" s="817"/>
      <c r="L8221" s="817"/>
    </row>
    <row r="8222" spans="1:12" ht="24" customHeight="1">
      <c r="A8222" s="636"/>
      <c r="B8222" s="636"/>
      <c r="C8222" s="636"/>
      <c r="D8222" s="636"/>
      <c r="E8222" s="636"/>
      <c r="F8222" s="636"/>
      <c r="G8222" s="636"/>
      <c r="H8222" s="636"/>
      <c r="I8222" s="636"/>
      <c r="J8222" s="636" t="s">
        <v>13675</v>
      </c>
      <c r="K8222" s="636"/>
      <c r="L8222" s="636" t="s">
        <v>13762</v>
      </c>
    </row>
    <row r="8223" spans="1:12" ht="17.100000000000001" customHeight="1">
      <c r="A8223" s="802" t="s">
        <v>12712</v>
      </c>
      <c r="B8223" s="802"/>
      <c r="C8223" s="802"/>
      <c r="D8223" s="802"/>
      <c r="E8223" s="802"/>
      <c r="F8223" s="802"/>
      <c r="G8223" s="802"/>
      <c r="H8223" s="802"/>
      <c r="I8223" s="612"/>
      <c r="J8223" s="612"/>
      <c r="K8223" s="612"/>
      <c r="L8223" s="612"/>
    </row>
    <row r="8224" spans="1:12">
      <c r="A8224" s="612" t="s">
        <v>13679</v>
      </c>
      <c r="B8224" s="636" t="s">
        <v>12698</v>
      </c>
      <c r="C8224" s="612" t="s">
        <v>12699</v>
      </c>
      <c r="D8224" s="612" t="s">
        <v>12700</v>
      </c>
      <c r="E8224" s="637" t="s">
        <v>12702</v>
      </c>
      <c r="F8224" s="801" t="s">
        <v>12704</v>
      </c>
      <c r="G8224" s="801"/>
      <c r="H8224" s="801" t="s">
        <v>13678</v>
      </c>
      <c r="I8224" s="801"/>
      <c r="J8224" s="801" t="s">
        <v>12705</v>
      </c>
      <c r="K8224" s="801"/>
      <c r="L8224" s="801"/>
    </row>
    <row r="8225" spans="1:12" ht="17.100000000000001" customHeight="1">
      <c r="A8225" s="626" t="s">
        <v>12709</v>
      </c>
      <c r="B8225" s="627" t="s">
        <v>13002</v>
      </c>
      <c r="C8225" s="626" t="s">
        <v>8</v>
      </c>
      <c r="D8225" s="626" t="s">
        <v>9306</v>
      </c>
      <c r="E8225" s="628" t="s">
        <v>23</v>
      </c>
      <c r="F8225" s="816" t="s">
        <v>13677</v>
      </c>
      <c r="G8225" s="816"/>
      <c r="H8225" s="816">
        <v>3.9525234999999999</v>
      </c>
      <c r="I8225" s="816"/>
      <c r="J8225" s="817">
        <v>1.3834</v>
      </c>
      <c r="K8225" s="817"/>
      <c r="L8225" s="817"/>
    </row>
    <row r="8226" spans="1:12" ht="24" customHeight="1">
      <c r="A8226" s="626" t="s">
        <v>12709</v>
      </c>
      <c r="B8226" s="627" t="s">
        <v>13004</v>
      </c>
      <c r="C8226" s="626" t="s">
        <v>8</v>
      </c>
      <c r="D8226" s="626" t="s">
        <v>7388</v>
      </c>
      <c r="E8226" s="628" t="s">
        <v>23</v>
      </c>
      <c r="F8226" s="816" t="s">
        <v>13676</v>
      </c>
      <c r="G8226" s="816"/>
      <c r="H8226" s="816">
        <v>3.9525234999999999</v>
      </c>
      <c r="I8226" s="816"/>
      <c r="J8226" s="817">
        <v>8.6956000000000007</v>
      </c>
      <c r="K8226" s="817"/>
      <c r="L8226" s="817"/>
    </row>
    <row r="8227" spans="1:12" ht="17.100000000000001" customHeight="1">
      <c r="A8227" s="636"/>
      <c r="B8227" s="636"/>
      <c r="C8227" s="636"/>
      <c r="D8227" s="636"/>
      <c r="E8227" s="636"/>
      <c r="F8227" s="636"/>
      <c r="G8227" s="636"/>
      <c r="H8227" s="636"/>
      <c r="I8227" s="636"/>
      <c r="J8227" s="636" t="s">
        <v>13675</v>
      </c>
      <c r="K8227" s="636"/>
      <c r="L8227" s="636" t="s">
        <v>13761</v>
      </c>
    </row>
    <row r="8228" spans="1:12">
      <c r="A8228" s="612" t="s">
        <v>13673</v>
      </c>
      <c r="B8228" s="612"/>
      <c r="C8228" s="612"/>
      <c r="D8228" s="612"/>
      <c r="E8228" s="612"/>
      <c r="F8228" s="612"/>
      <c r="G8228" s="612"/>
      <c r="H8228" s="612"/>
      <c r="I8228" s="612"/>
      <c r="J8228" s="612"/>
      <c r="K8228" s="612"/>
      <c r="L8228" s="612"/>
    </row>
    <row r="8229" spans="1:12" ht="17.100000000000001" customHeight="1">
      <c r="A8229" s="636"/>
      <c r="B8229" s="636"/>
      <c r="C8229" s="636"/>
      <c r="D8229" s="636"/>
      <c r="E8229" s="636"/>
      <c r="F8229" s="636"/>
      <c r="G8229" s="636"/>
      <c r="H8229" s="636"/>
      <c r="I8229" s="636"/>
      <c r="J8229" s="636" t="s">
        <v>13672</v>
      </c>
      <c r="K8229" s="636"/>
      <c r="L8229" s="636" t="s">
        <v>15347</v>
      </c>
    </row>
    <row r="8230" spans="1:12" ht="24" customHeight="1">
      <c r="A8230" s="636"/>
      <c r="B8230" s="636"/>
      <c r="C8230" s="636"/>
      <c r="D8230" s="636"/>
      <c r="E8230" s="636"/>
      <c r="F8230" s="636"/>
      <c r="G8230" s="636"/>
      <c r="H8230" s="636"/>
      <c r="I8230" s="636"/>
      <c r="J8230" s="636" t="s">
        <v>13671</v>
      </c>
      <c r="K8230" s="636" t="s">
        <v>14461</v>
      </c>
      <c r="L8230" s="636" t="s">
        <v>15348</v>
      </c>
    </row>
    <row r="8231" spans="1:12" ht="24" customHeight="1">
      <c r="A8231" s="636"/>
      <c r="B8231" s="636"/>
      <c r="C8231" s="636"/>
      <c r="D8231" s="636"/>
      <c r="E8231" s="636"/>
      <c r="F8231" s="636"/>
      <c r="G8231" s="636"/>
      <c r="H8231" s="636"/>
      <c r="I8231" s="636"/>
      <c r="J8231" s="636" t="s">
        <v>13670</v>
      </c>
      <c r="K8231" s="636"/>
      <c r="L8231" s="636" t="s">
        <v>15349</v>
      </c>
    </row>
    <row r="8232" spans="1:12" ht="17.100000000000001" customHeight="1">
      <c r="A8232" s="636"/>
      <c r="B8232" s="636"/>
      <c r="C8232" s="636"/>
      <c r="D8232" s="636"/>
      <c r="E8232" s="636"/>
      <c r="F8232" s="636"/>
      <c r="G8232" s="636"/>
      <c r="H8232" s="636"/>
      <c r="I8232" s="636"/>
      <c r="J8232" s="636" t="s">
        <v>13669</v>
      </c>
      <c r="K8232" s="636" t="s">
        <v>13667</v>
      </c>
      <c r="L8232" s="636" t="s">
        <v>15225</v>
      </c>
    </row>
    <row r="8233" spans="1:12" ht="17.100000000000001" customHeight="1">
      <c r="A8233" s="636"/>
      <c r="B8233" s="636"/>
      <c r="C8233" s="636"/>
      <c r="D8233" s="636"/>
      <c r="E8233" s="636"/>
      <c r="F8233" s="636"/>
      <c r="G8233" s="636"/>
      <c r="H8233" s="636"/>
      <c r="I8233" s="636"/>
      <c r="J8233" s="636" t="s">
        <v>13668</v>
      </c>
      <c r="K8233" s="636"/>
      <c r="L8233" s="636" t="s">
        <v>15350</v>
      </c>
    </row>
    <row r="8234" spans="1:12" ht="17.100000000000001" customHeight="1">
      <c r="A8234" s="637"/>
      <c r="B8234" s="637"/>
      <c r="C8234" s="637"/>
      <c r="D8234" s="637"/>
      <c r="E8234" s="637"/>
      <c r="F8234" s="637"/>
      <c r="G8234" s="637"/>
      <c r="H8234" s="637"/>
      <c r="I8234" s="637"/>
      <c r="J8234" s="637"/>
      <c r="K8234" s="637"/>
      <c r="L8234" s="637"/>
    </row>
    <row r="8235" spans="1:12" ht="17.100000000000001" customHeight="1">
      <c r="A8235" s="616" t="s">
        <v>13936</v>
      </c>
      <c r="B8235" s="617" t="s">
        <v>13493</v>
      </c>
      <c r="C8235" s="616" t="s">
        <v>8</v>
      </c>
      <c r="D8235" s="616" t="s">
        <v>4493</v>
      </c>
      <c r="E8235" s="618" t="s">
        <v>12730</v>
      </c>
      <c r="F8235" s="617"/>
      <c r="G8235" s="617"/>
      <c r="H8235" s="617"/>
      <c r="I8235" s="617"/>
      <c r="J8235" s="617"/>
      <c r="K8235" s="617"/>
      <c r="L8235" s="617"/>
    </row>
    <row r="8236" spans="1:12" ht="17.100000000000001" customHeight="1">
      <c r="A8236" s="802" t="s">
        <v>12711</v>
      </c>
      <c r="B8236" s="802"/>
      <c r="C8236" s="802"/>
      <c r="D8236" s="802"/>
      <c r="E8236" s="802"/>
      <c r="F8236" s="802"/>
      <c r="G8236" s="802"/>
      <c r="H8236" s="802"/>
      <c r="I8236" s="612"/>
      <c r="J8236" s="612"/>
      <c r="K8236" s="612"/>
      <c r="L8236" s="612"/>
    </row>
    <row r="8237" spans="1:12" ht="17.100000000000001" customHeight="1">
      <c r="A8237" s="612" t="s">
        <v>13679</v>
      </c>
      <c r="B8237" s="636" t="s">
        <v>12698</v>
      </c>
      <c r="C8237" s="612" t="s">
        <v>12699</v>
      </c>
      <c r="D8237" s="612" t="s">
        <v>12700</v>
      </c>
      <c r="E8237" s="637" t="s">
        <v>12702</v>
      </c>
      <c r="F8237" s="801" t="s">
        <v>12704</v>
      </c>
      <c r="G8237" s="801"/>
      <c r="H8237" s="801" t="s">
        <v>13678</v>
      </c>
      <c r="I8237" s="801"/>
      <c r="J8237" s="801" t="s">
        <v>12705</v>
      </c>
      <c r="K8237" s="801"/>
      <c r="L8237" s="801"/>
    </row>
    <row r="8238" spans="1:12" ht="17.100000000000001" customHeight="1">
      <c r="A8238" s="626" t="s">
        <v>12709</v>
      </c>
      <c r="B8238" s="627" t="s">
        <v>13048</v>
      </c>
      <c r="C8238" s="626" t="s">
        <v>8</v>
      </c>
      <c r="D8238" s="626" t="s">
        <v>9233</v>
      </c>
      <c r="E8238" s="628" t="s">
        <v>23</v>
      </c>
      <c r="F8238" s="816" t="s">
        <v>13690</v>
      </c>
      <c r="G8238" s="816"/>
      <c r="H8238" s="816">
        <v>2.3961701999999998</v>
      </c>
      <c r="I8238" s="816"/>
      <c r="J8238" s="817">
        <v>2.4441000000000002</v>
      </c>
      <c r="K8238" s="817"/>
      <c r="L8238" s="817"/>
    </row>
    <row r="8239" spans="1:12" ht="30" customHeight="1">
      <c r="A8239" s="626" t="s">
        <v>12709</v>
      </c>
      <c r="B8239" s="627" t="s">
        <v>13047</v>
      </c>
      <c r="C8239" s="626" t="s">
        <v>8</v>
      </c>
      <c r="D8239" s="626" t="s">
        <v>9380</v>
      </c>
      <c r="E8239" s="628" t="s">
        <v>23</v>
      </c>
      <c r="F8239" s="816" t="s">
        <v>13689</v>
      </c>
      <c r="G8239" s="816"/>
      <c r="H8239" s="816">
        <v>2.3961701999999998</v>
      </c>
      <c r="I8239" s="816"/>
      <c r="J8239" s="817">
        <v>0.91049999999999998</v>
      </c>
      <c r="K8239" s="817"/>
      <c r="L8239" s="817"/>
    </row>
    <row r="8240" spans="1:12" ht="24" customHeight="1">
      <c r="A8240" s="636"/>
      <c r="B8240" s="636"/>
      <c r="C8240" s="636"/>
      <c r="D8240" s="636"/>
      <c r="E8240" s="636"/>
      <c r="F8240" s="636"/>
      <c r="G8240" s="636"/>
      <c r="H8240" s="636"/>
      <c r="I8240" s="636"/>
      <c r="J8240" s="636" t="s">
        <v>13675</v>
      </c>
      <c r="K8240" s="636"/>
      <c r="L8240" s="636" t="s">
        <v>14541</v>
      </c>
    </row>
    <row r="8241" spans="1:12" ht="14.25" customHeight="1">
      <c r="A8241" s="802" t="s">
        <v>12710</v>
      </c>
      <c r="B8241" s="802"/>
      <c r="C8241" s="802"/>
      <c r="D8241" s="802"/>
      <c r="E8241" s="802"/>
      <c r="F8241" s="802"/>
      <c r="G8241" s="802"/>
      <c r="H8241" s="802"/>
      <c r="I8241" s="612"/>
      <c r="J8241" s="612"/>
      <c r="K8241" s="612"/>
      <c r="L8241" s="612"/>
    </row>
    <row r="8242" spans="1:12" ht="17.100000000000001" customHeight="1">
      <c r="A8242" s="612" t="s">
        <v>13679</v>
      </c>
      <c r="B8242" s="636" t="s">
        <v>12698</v>
      </c>
      <c r="C8242" s="612" t="s">
        <v>12699</v>
      </c>
      <c r="D8242" s="612" t="s">
        <v>12700</v>
      </c>
      <c r="E8242" s="637" t="s">
        <v>12702</v>
      </c>
      <c r="F8242" s="801" t="s">
        <v>12704</v>
      </c>
      <c r="G8242" s="801"/>
      <c r="H8242" s="801" t="s">
        <v>13678</v>
      </c>
      <c r="I8242" s="801"/>
      <c r="J8242" s="801" t="s">
        <v>12705</v>
      </c>
      <c r="K8242" s="801"/>
      <c r="L8242" s="801"/>
    </row>
    <row r="8243" spans="1:12" ht="24" customHeight="1">
      <c r="A8243" s="626" t="s">
        <v>12709</v>
      </c>
      <c r="B8243" s="627" t="s">
        <v>13046</v>
      </c>
      <c r="C8243" s="626" t="s">
        <v>8</v>
      </c>
      <c r="D8243" s="626" t="s">
        <v>11281</v>
      </c>
      <c r="E8243" s="628" t="s">
        <v>23</v>
      </c>
      <c r="F8243" s="816" t="s">
        <v>13731</v>
      </c>
      <c r="G8243" s="816"/>
      <c r="H8243" s="816">
        <v>2.4316437</v>
      </c>
      <c r="I8243" s="816"/>
      <c r="J8243" s="817">
        <v>12.4986</v>
      </c>
      <c r="K8243" s="817"/>
      <c r="L8243" s="817"/>
    </row>
    <row r="8244" spans="1:12" ht="24" customHeight="1">
      <c r="A8244" s="636"/>
      <c r="B8244" s="636"/>
      <c r="C8244" s="636"/>
      <c r="D8244" s="636"/>
      <c r="E8244" s="636"/>
      <c r="F8244" s="636"/>
      <c r="G8244" s="636"/>
      <c r="H8244" s="636"/>
      <c r="I8244" s="636"/>
      <c r="J8244" s="636" t="s">
        <v>13675</v>
      </c>
      <c r="K8244" s="636"/>
      <c r="L8244" s="636" t="s">
        <v>14540</v>
      </c>
    </row>
    <row r="8245" spans="1:12" ht="17.100000000000001" customHeight="1">
      <c r="A8245" s="802" t="s">
        <v>12722</v>
      </c>
      <c r="B8245" s="802"/>
      <c r="C8245" s="802"/>
      <c r="D8245" s="802"/>
      <c r="E8245" s="802"/>
      <c r="F8245" s="802"/>
      <c r="G8245" s="802"/>
      <c r="H8245" s="802"/>
      <c r="I8245" s="612"/>
      <c r="J8245" s="612"/>
      <c r="K8245" s="612"/>
      <c r="L8245" s="612"/>
    </row>
    <row r="8246" spans="1:12" ht="14.25" customHeight="1">
      <c r="A8246" s="612" t="s">
        <v>13679</v>
      </c>
      <c r="B8246" s="636" t="s">
        <v>12698</v>
      </c>
      <c r="C8246" s="612" t="s">
        <v>12699</v>
      </c>
      <c r="D8246" s="612" t="s">
        <v>12700</v>
      </c>
      <c r="E8246" s="637" t="s">
        <v>12702</v>
      </c>
      <c r="F8246" s="801" t="s">
        <v>12704</v>
      </c>
      <c r="G8246" s="801"/>
      <c r="H8246" s="801" t="s">
        <v>13678</v>
      </c>
      <c r="I8246" s="801"/>
      <c r="J8246" s="801" t="s">
        <v>12705</v>
      </c>
      <c r="K8246" s="801"/>
      <c r="L8246" s="801"/>
    </row>
    <row r="8247" spans="1:12" ht="17.100000000000001" customHeight="1">
      <c r="A8247" s="626" t="s">
        <v>12709</v>
      </c>
      <c r="B8247" s="627" t="s">
        <v>12998</v>
      </c>
      <c r="C8247" s="626" t="s">
        <v>8</v>
      </c>
      <c r="D8247" s="626" t="s">
        <v>11861</v>
      </c>
      <c r="E8247" s="628" t="s">
        <v>23</v>
      </c>
      <c r="F8247" s="816" t="s">
        <v>13683</v>
      </c>
      <c r="G8247" s="816"/>
      <c r="H8247" s="816">
        <v>2.3961701999999998</v>
      </c>
      <c r="I8247" s="816"/>
      <c r="J8247" s="817">
        <v>1.7013</v>
      </c>
      <c r="K8247" s="817"/>
      <c r="L8247" s="817"/>
    </row>
    <row r="8248" spans="1:12" ht="24" customHeight="1">
      <c r="A8248" s="636"/>
      <c r="B8248" s="636"/>
      <c r="C8248" s="636"/>
      <c r="D8248" s="636"/>
      <c r="E8248" s="636"/>
      <c r="F8248" s="636"/>
      <c r="G8248" s="636"/>
      <c r="H8248" s="636"/>
      <c r="I8248" s="636"/>
      <c r="J8248" s="636" t="s">
        <v>13675</v>
      </c>
      <c r="K8248" s="636"/>
      <c r="L8248" s="636" t="s">
        <v>13833</v>
      </c>
    </row>
    <row r="8249" spans="1:12" ht="24" customHeight="1">
      <c r="A8249" s="802" t="s">
        <v>12713</v>
      </c>
      <c r="B8249" s="802"/>
      <c r="C8249" s="802"/>
      <c r="D8249" s="802"/>
      <c r="E8249" s="802"/>
      <c r="F8249" s="802"/>
      <c r="G8249" s="802"/>
      <c r="H8249" s="802"/>
      <c r="I8249" s="612"/>
      <c r="J8249" s="612"/>
      <c r="K8249" s="612"/>
      <c r="L8249" s="612"/>
    </row>
    <row r="8250" spans="1:12" ht="17.100000000000001" customHeight="1">
      <c r="A8250" s="612" t="s">
        <v>13679</v>
      </c>
      <c r="B8250" s="636" t="s">
        <v>12698</v>
      </c>
      <c r="C8250" s="612" t="s">
        <v>12699</v>
      </c>
      <c r="D8250" s="612" t="s">
        <v>12700</v>
      </c>
      <c r="E8250" s="637" t="s">
        <v>12702</v>
      </c>
      <c r="F8250" s="801" t="s">
        <v>12704</v>
      </c>
      <c r="G8250" s="801"/>
      <c r="H8250" s="801" t="s">
        <v>13678</v>
      </c>
      <c r="I8250" s="801"/>
      <c r="J8250" s="801" t="s">
        <v>12705</v>
      </c>
      <c r="K8250" s="801"/>
      <c r="L8250" s="801"/>
    </row>
    <row r="8251" spans="1:12" ht="25.5">
      <c r="A8251" s="626" t="s">
        <v>12709</v>
      </c>
      <c r="B8251" s="627" t="s">
        <v>12999</v>
      </c>
      <c r="C8251" s="626" t="s">
        <v>8</v>
      </c>
      <c r="D8251" s="626" t="s">
        <v>11251</v>
      </c>
      <c r="E8251" s="628" t="s">
        <v>23</v>
      </c>
      <c r="F8251" s="816" t="s">
        <v>13681</v>
      </c>
      <c r="G8251" s="816"/>
      <c r="H8251" s="816">
        <v>2.3961701999999998</v>
      </c>
      <c r="I8251" s="816"/>
      <c r="J8251" s="817">
        <v>0.16769999999999999</v>
      </c>
      <c r="K8251" s="817"/>
      <c r="L8251" s="817"/>
    </row>
    <row r="8252" spans="1:12" ht="17.100000000000001" customHeight="1">
      <c r="A8252" s="636"/>
      <c r="B8252" s="636"/>
      <c r="C8252" s="636"/>
      <c r="D8252" s="636"/>
      <c r="E8252" s="636"/>
      <c r="F8252" s="636"/>
      <c r="G8252" s="636"/>
      <c r="H8252" s="636"/>
      <c r="I8252" s="636"/>
      <c r="J8252" s="636" t="s">
        <v>13675</v>
      </c>
      <c r="K8252" s="636"/>
      <c r="L8252" s="636" t="s">
        <v>13832</v>
      </c>
    </row>
    <row r="8253" spans="1:12" ht="24" customHeight="1">
      <c r="A8253" s="802" t="s">
        <v>12712</v>
      </c>
      <c r="B8253" s="802"/>
      <c r="C8253" s="802"/>
      <c r="D8253" s="802"/>
      <c r="E8253" s="802"/>
      <c r="F8253" s="802"/>
      <c r="G8253" s="802"/>
      <c r="H8253" s="802"/>
      <c r="I8253" s="612"/>
      <c r="J8253" s="612"/>
      <c r="K8253" s="612"/>
      <c r="L8253" s="612"/>
    </row>
    <row r="8254" spans="1:12" ht="17.100000000000001" customHeight="1">
      <c r="A8254" s="612" t="s">
        <v>13679</v>
      </c>
      <c r="B8254" s="636" t="s">
        <v>12698</v>
      </c>
      <c r="C8254" s="612" t="s">
        <v>12699</v>
      </c>
      <c r="D8254" s="612" t="s">
        <v>12700</v>
      </c>
      <c r="E8254" s="637" t="s">
        <v>12702</v>
      </c>
      <c r="F8254" s="801" t="s">
        <v>12704</v>
      </c>
      <c r="G8254" s="801"/>
      <c r="H8254" s="801" t="s">
        <v>13678</v>
      </c>
      <c r="I8254" s="801"/>
      <c r="J8254" s="801" t="s">
        <v>12705</v>
      </c>
      <c r="K8254" s="801"/>
      <c r="L8254" s="801"/>
    </row>
    <row r="8255" spans="1:12" ht="25.5">
      <c r="A8255" s="626" t="s">
        <v>12709</v>
      </c>
      <c r="B8255" s="627" t="s">
        <v>13002</v>
      </c>
      <c r="C8255" s="626" t="s">
        <v>8</v>
      </c>
      <c r="D8255" s="626" t="s">
        <v>9306</v>
      </c>
      <c r="E8255" s="628" t="s">
        <v>23</v>
      </c>
      <c r="F8255" s="816" t="s">
        <v>13677</v>
      </c>
      <c r="G8255" s="816"/>
      <c r="H8255" s="816">
        <v>2.3961701999999998</v>
      </c>
      <c r="I8255" s="816"/>
      <c r="J8255" s="817">
        <v>0.8387</v>
      </c>
      <c r="K8255" s="817"/>
      <c r="L8255" s="817"/>
    </row>
    <row r="8256" spans="1:12" ht="17.100000000000001" customHeight="1">
      <c r="A8256" s="626" t="s">
        <v>12709</v>
      </c>
      <c r="B8256" s="627" t="s">
        <v>13004</v>
      </c>
      <c r="C8256" s="626" t="s">
        <v>8</v>
      </c>
      <c r="D8256" s="626" t="s">
        <v>7388</v>
      </c>
      <c r="E8256" s="628" t="s">
        <v>23</v>
      </c>
      <c r="F8256" s="816" t="s">
        <v>13676</v>
      </c>
      <c r="G8256" s="816"/>
      <c r="H8256" s="816">
        <v>2.3961701999999998</v>
      </c>
      <c r="I8256" s="816"/>
      <c r="J8256" s="817">
        <v>5.2716000000000003</v>
      </c>
      <c r="K8256" s="817"/>
      <c r="L8256" s="817"/>
    </row>
    <row r="8257" spans="1:12" ht="24" customHeight="1">
      <c r="A8257" s="636"/>
      <c r="B8257" s="636"/>
      <c r="C8257" s="636"/>
      <c r="D8257" s="636"/>
      <c r="E8257" s="636"/>
      <c r="F8257" s="636"/>
      <c r="G8257" s="636"/>
      <c r="H8257" s="636"/>
      <c r="I8257" s="636"/>
      <c r="J8257" s="636" t="s">
        <v>13675</v>
      </c>
      <c r="K8257" s="636"/>
      <c r="L8257" s="636" t="s">
        <v>13831</v>
      </c>
    </row>
    <row r="8258" spans="1:12" ht="17.100000000000001" customHeight="1">
      <c r="A8258" s="612" t="s">
        <v>13673</v>
      </c>
      <c r="B8258" s="612"/>
      <c r="C8258" s="612"/>
      <c r="D8258" s="612"/>
      <c r="E8258" s="612"/>
      <c r="F8258" s="612"/>
      <c r="G8258" s="612"/>
      <c r="H8258" s="612"/>
      <c r="I8258" s="612"/>
      <c r="J8258" s="612"/>
      <c r="K8258" s="612"/>
      <c r="L8258" s="612"/>
    </row>
    <row r="8259" spans="1:12">
      <c r="A8259" s="636"/>
      <c r="B8259" s="636"/>
      <c r="C8259" s="636"/>
      <c r="D8259" s="636"/>
      <c r="E8259" s="636"/>
      <c r="F8259" s="636"/>
      <c r="G8259" s="636"/>
      <c r="H8259" s="636"/>
      <c r="I8259" s="636"/>
      <c r="J8259" s="636" t="s">
        <v>13672</v>
      </c>
      <c r="K8259" s="636"/>
      <c r="L8259" s="636" t="s">
        <v>15351</v>
      </c>
    </row>
    <row r="8260" spans="1:12" ht="17.100000000000001" customHeight="1">
      <c r="A8260" s="636"/>
      <c r="B8260" s="636"/>
      <c r="C8260" s="636"/>
      <c r="D8260" s="636"/>
      <c r="E8260" s="636"/>
      <c r="F8260" s="636"/>
      <c r="G8260" s="636"/>
      <c r="H8260" s="636"/>
      <c r="I8260" s="636"/>
      <c r="J8260" s="636" t="s">
        <v>13671</v>
      </c>
      <c r="K8260" s="636" t="s">
        <v>14461</v>
      </c>
      <c r="L8260" s="636" t="s">
        <v>15352</v>
      </c>
    </row>
    <row r="8261" spans="1:12" ht="24" customHeight="1">
      <c r="A8261" s="636"/>
      <c r="B8261" s="636"/>
      <c r="C8261" s="636"/>
      <c r="D8261" s="636"/>
      <c r="E8261" s="636"/>
      <c r="F8261" s="636"/>
      <c r="G8261" s="636"/>
      <c r="H8261" s="636"/>
      <c r="I8261" s="636"/>
      <c r="J8261" s="636" t="s">
        <v>13670</v>
      </c>
      <c r="K8261" s="636"/>
      <c r="L8261" s="636" t="s">
        <v>15353</v>
      </c>
    </row>
    <row r="8262" spans="1:12" ht="17.100000000000001" customHeight="1">
      <c r="A8262" s="636"/>
      <c r="B8262" s="636"/>
      <c r="C8262" s="636"/>
      <c r="D8262" s="636"/>
      <c r="E8262" s="636"/>
      <c r="F8262" s="636"/>
      <c r="G8262" s="636"/>
      <c r="H8262" s="636"/>
      <c r="I8262" s="636"/>
      <c r="J8262" s="636" t="s">
        <v>13669</v>
      </c>
      <c r="K8262" s="636" t="s">
        <v>13667</v>
      </c>
      <c r="L8262" s="636" t="s">
        <v>15354</v>
      </c>
    </row>
    <row r="8263" spans="1:12">
      <c r="A8263" s="636"/>
      <c r="B8263" s="636"/>
      <c r="C8263" s="636"/>
      <c r="D8263" s="636"/>
      <c r="E8263" s="636"/>
      <c r="F8263" s="636"/>
      <c r="G8263" s="636"/>
      <c r="H8263" s="636"/>
      <c r="I8263" s="636"/>
      <c r="J8263" s="636" t="s">
        <v>13668</v>
      </c>
      <c r="K8263" s="636"/>
      <c r="L8263" s="636" t="s">
        <v>15355</v>
      </c>
    </row>
    <row r="8264" spans="1:12" ht="17.100000000000001" customHeight="1">
      <c r="A8264" s="637"/>
      <c r="B8264" s="637"/>
      <c r="C8264" s="637"/>
      <c r="D8264" s="637"/>
      <c r="E8264" s="637"/>
      <c r="F8264" s="637"/>
      <c r="G8264" s="637"/>
      <c r="H8264" s="637"/>
      <c r="I8264" s="637"/>
      <c r="J8264" s="637"/>
      <c r="K8264" s="637"/>
      <c r="L8264" s="637"/>
    </row>
    <row r="8265" spans="1:12" ht="24" customHeight="1">
      <c r="A8265" s="616" t="s">
        <v>13935</v>
      </c>
      <c r="B8265" s="617" t="s">
        <v>13637</v>
      </c>
      <c r="C8265" s="616" t="s">
        <v>8</v>
      </c>
      <c r="D8265" s="616" t="s">
        <v>38</v>
      </c>
      <c r="E8265" s="618" t="s">
        <v>12730</v>
      </c>
      <c r="F8265" s="617"/>
      <c r="G8265" s="617"/>
      <c r="H8265" s="617"/>
      <c r="I8265" s="617"/>
      <c r="J8265" s="617"/>
      <c r="K8265" s="617"/>
      <c r="L8265" s="617"/>
    </row>
    <row r="8266" spans="1:12" ht="24" customHeight="1">
      <c r="A8266" s="802" t="s">
        <v>12711</v>
      </c>
      <c r="B8266" s="802"/>
      <c r="C8266" s="802"/>
      <c r="D8266" s="802"/>
      <c r="E8266" s="802"/>
      <c r="F8266" s="802"/>
      <c r="G8266" s="802"/>
      <c r="H8266" s="802"/>
      <c r="I8266" s="612"/>
      <c r="J8266" s="612"/>
      <c r="K8266" s="612"/>
      <c r="L8266" s="612"/>
    </row>
    <row r="8267" spans="1:12" ht="17.100000000000001" customHeight="1">
      <c r="A8267" s="612" t="s">
        <v>13679</v>
      </c>
      <c r="B8267" s="636" t="s">
        <v>12698</v>
      </c>
      <c r="C8267" s="612" t="s">
        <v>12699</v>
      </c>
      <c r="D8267" s="612" t="s">
        <v>12700</v>
      </c>
      <c r="E8267" s="637" t="s">
        <v>12702</v>
      </c>
      <c r="F8267" s="801" t="s">
        <v>12704</v>
      </c>
      <c r="G8267" s="801"/>
      <c r="H8267" s="801" t="s">
        <v>13678</v>
      </c>
      <c r="I8267" s="801"/>
      <c r="J8267" s="801" t="s">
        <v>12705</v>
      </c>
      <c r="K8267" s="801"/>
      <c r="L8267" s="801"/>
    </row>
    <row r="8268" spans="1:12" ht="17.100000000000001" customHeight="1">
      <c r="A8268" s="626" t="s">
        <v>12709</v>
      </c>
      <c r="B8268" s="627" t="s">
        <v>13280</v>
      </c>
      <c r="C8268" s="626" t="s">
        <v>8</v>
      </c>
      <c r="D8268" s="626" t="s">
        <v>8193</v>
      </c>
      <c r="E8268" s="628" t="s">
        <v>35</v>
      </c>
      <c r="F8268" s="816" t="s">
        <v>14491</v>
      </c>
      <c r="G8268" s="816"/>
      <c r="H8268" s="816">
        <v>1.26E-5</v>
      </c>
      <c r="I8268" s="816"/>
      <c r="J8268" s="817">
        <v>3.6513</v>
      </c>
      <c r="K8268" s="817"/>
      <c r="L8268" s="817"/>
    </row>
    <row r="8269" spans="1:12" ht="17.100000000000001" customHeight="1">
      <c r="A8269" s="626" t="s">
        <v>12709</v>
      </c>
      <c r="B8269" s="627" t="s">
        <v>13003</v>
      </c>
      <c r="C8269" s="626" t="s">
        <v>8</v>
      </c>
      <c r="D8269" s="626" t="s">
        <v>9227</v>
      </c>
      <c r="E8269" s="628" t="s">
        <v>23</v>
      </c>
      <c r="F8269" s="816" t="s">
        <v>13732</v>
      </c>
      <c r="G8269" s="816"/>
      <c r="H8269" s="816">
        <v>0.2493167</v>
      </c>
      <c r="I8269" s="816"/>
      <c r="J8269" s="817">
        <v>0.16450000000000001</v>
      </c>
      <c r="K8269" s="817"/>
      <c r="L8269" s="817"/>
    </row>
    <row r="8270" spans="1:12" ht="17.100000000000001" customHeight="1">
      <c r="A8270" s="626" t="s">
        <v>12709</v>
      </c>
      <c r="B8270" s="627" t="s">
        <v>13001</v>
      </c>
      <c r="C8270" s="626" t="s">
        <v>8</v>
      </c>
      <c r="D8270" s="626" t="s">
        <v>9374</v>
      </c>
      <c r="E8270" s="628" t="s">
        <v>23</v>
      </c>
      <c r="F8270" s="816" t="s">
        <v>13728</v>
      </c>
      <c r="G8270" s="816"/>
      <c r="H8270" s="816">
        <v>0.2493167</v>
      </c>
      <c r="I8270" s="816"/>
      <c r="J8270" s="817">
        <v>2.5000000000000001E-3</v>
      </c>
      <c r="K8270" s="817"/>
      <c r="L8270" s="817"/>
    </row>
    <row r="8271" spans="1:12" ht="17.100000000000001" customHeight="1">
      <c r="A8271" s="626" t="s">
        <v>12709</v>
      </c>
      <c r="B8271" s="627" t="s">
        <v>13048</v>
      </c>
      <c r="C8271" s="626" t="s">
        <v>8</v>
      </c>
      <c r="D8271" s="626" t="s">
        <v>9233</v>
      </c>
      <c r="E8271" s="628" t="s">
        <v>23</v>
      </c>
      <c r="F8271" s="816" t="s">
        <v>13690</v>
      </c>
      <c r="G8271" s="816"/>
      <c r="H8271" s="816">
        <v>0.69808680000000001</v>
      </c>
      <c r="I8271" s="816"/>
      <c r="J8271" s="817">
        <v>0.71199999999999997</v>
      </c>
      <c r="K8271" s="817"/>
      <c r="L8271" s="817"/>
    </row>
    <row r="8272" spans="1:12" ht="17.100000000000001" customHeight="1">
      <c r="A8272" s="626" t="s">
        <v>12709</v>
      </c>
      <c r="B8272" s="627" t="s">
        <v>13047</v>
      </c>
      <c r="C8272" s="626" t="s">
        <v>8</v>
      </c>
      <c r="D8272" s="626" t="s">
        <v>9380</v>
      </c>
      <c r="E8272" s="628" t="s">
        <v>23</v>
      </c>
      <c r="F8272" s="816" t="s">
        <v>13689</v>
      </c>
      <c r="G8272" s="816"/>
      <c r="H8272" s="816">
        <v>0.69808680000000001</v>
      </c>
      <c r="I8272" s="816"/>
      <c r="J8272" s="817">
        <v>0.26529999999999998</v>
      </c>
      <c r="K8272" s="817"/>
      <c r="L8272" s="817"/>
    </row>
    <row r="8273" spans="1:12" ht="17.100000000000001" customHeight="1">
      <c r="A8273" s="636"/>
      <c r="B8273" s="636"/>
      <c r="C8273" s="636"/>
      <c r="D8273" s="636"/>
      <c r="E8273" s="636"/>
      <c r="F8273" s="636"/>
      <c r="G8273" s="636"/>
      <c r="H8273" s="636"/>
      <c r="I8273" s="636"/>
      <c r="J8273" s="636" t="s">
        <v>13675</v>
      </c>
      <c r="K8273" s="636"/>
      <c r="L8273" s="636" t="s">
        <v>13949</v>
      </c>
    </row>
    <row r="8274" spans="1:12" ht="30" customHeight="1">
      <c r="A8274" s="802" t="s">
        <v>12710</v>
      </c>
      <c r="B8274" s="802"/>
      <c r="C8274" s="802"/>
      <c r="D8274" s="802"/>
      <c r="E8274" s="802"/>
      <c r="F8274" s="802"/>
      <c r="G8274" s="802"/>
      <c r="H8274" s="802"/>
      <c r="I8274" s="612"/>
      <c r="J8274" s="612"/>
      <c r="K8274" s="612"/>
      <c r="L8274" s="612"/>
    </row>
    <row r="8275" spans="1:12" ht="36" customHeight="1">
      <c r="A8275" s="612" t="s">
        <v>13679</v>
      </c>
      <c r="B8275" s="636" t="s">
        <v>12698</v>
      </c>
      <c r="C8275" s="612" t="s">
        <v>12699</v>
      </c>
      <c r="D8275" s="612" t="s">
        <v>12700</v>
      </c>
      <c r="E8275" s="637" t="s">
        <v>12702</v>
      </c>
      <c r="F8275" s="801" t="s">
        <v>12704</v>
      </c>
      <c r="G8275" s="801"/>
      <c r="H8275" s="801" t="s">
        <v>13678</v>
      </c>
      <c r="I8275" s="801"/>
      <c r="J8275" s="801" t="s">
        <v>12705</v>
      </c>
      <c r="K8275" s="801"/>
      <c r="L8275" s="801"/>
    </row>
    <row r="8276" spans="1:12" ht="14.25" customHeight="1">
      <c r="A8276" s="626" t="s">
        <v>12709</v>
      </c>
      <c r="B8276" s="627" t="s">
        <v>13129</v>
      </c>
      <c r="C8276" s="626" t="s">
        <v>8</v>
      </c>
      <c r="D8276" s="626" t="s">
        <v>10467</v>
      </c>
      <c r="E8276" s="628" t="s">
        <v>23</v>
      </c>
      <c r="F8276" s="816" t="s">
        <v>14252</v>
      </c>
      <c r="G8276" s="816"/>
      <c r="H8276" s="816">
        <v>0.25041940000000001</v>
      </c>
      <c r="I8276" s="816"/>
      <c r="J8276" s="817">
        <v>1.2971999999999999</v>
      </c>
      <c r="K8276" s="817"/>
      <c r="L8276" s="817"/>
    </row>
    <row r="8277" spans="1:12" ht="17.100000000000001" customHeight="1">
      <c r="A8277" s="626" t="s">
        <v>12709</v>
      </c>
      <c r="B8277" s="627" t="s">
        <v>13046</v>
      </c>
      <c r="C8277" s="626" t="s">
        <v>8</v>
      </c>
      <c r="D8277" s="626" t="s">
        <v>11281</v>
      </c>
      <c r="E8277" s="628" t="s">
        <v>23</v>
      </c>
      <c r="F8277" s="816" t="s">
        <v>13731</v>
      </c>
      <c r="G8277" s="816"/>
      <c r="H8277" s="816">
        <v>0.70893030000000001</v>
      </c>
      <c r="I8277" s="816"/>
      <c r="J8277" s="817">
        <v>3.6438999999999999</v>
      </c>
      <c r="K8277" s="817"/>
      <c r="L8277" s="817"/>
    </row>
    <row r="8278" spans="1:12" ht="60" customHeight="1">
      <c r="A8278" s="636"/>
      <c r="B8278" s="636"/>
      <c r="C8278" s="636"/>
      <c r="D8278" s="636"/>
      <c r="E8278" s="636"/>
      <c r="F8278" s="636"/>
      <c r="G8278" s="636"/>
      <c r="H8278" s="636"/>
      <c r="I8278" s="636"/>
      <c r="J8278" s="636" t="s">
        <v>13675</v>
      </c>
      <c r="K8278" s="636"/>
      <c r="L8278" s="636" t="s">
        <v>14490</v>
      </c>
    </row>
    <row r="8279" spans="1:12" ht="24" customHeight="1">
      <c r="A8279" s="802" t="s">
        <v>12720</v>
      </c>
      <c r="B8279" s="802"/>
      <c r="C8279" s="802"/>
      <c r="D8279" s="802"/>
      <c r="E8279" s="802"/>
      <c r="F8279" s="802"/>
      <c r="G8279" s="802"/>
      <c r="H8279" s="802"/>
      <c r="I8279" s="612"/>
      <c r="J8279" s="612"/>
      <c r="K8279" s="612"/>
      <c r="L8279" s="612"/>
    </row>
    <row r="8280" spans="1:12" ht="24" customHeight="1">
      <c r="A8280" s="612" t="s">
        <v>13679</v>
      </c>
      <c r="B8280" s="636" t="s">
        <v>12698</v>
      </c>
      <c r="C8280" s="612" t="s">
        <v>12699</v>
      </c>
      <c r="D8280" s="612" t="s">
        <v>12700</v>
      </c>
      <c r="E8280" s="637" t="s">
        <v>12702</v>
      </c>
      <c r="F8280" s="801" t="s">
        <v>12704</v>
      </c>
      <c r="G8280" s="801"/>
      <c r="H8280" s="801" t="s">
        <v>13678</v>
      </c>
      <c r="I8280" s="801"/>
      <c r="J8280" s="801" t="s">
        <v>12705</v>
      </c>
      <c r="K8280" s="801"/>
      <c r="L8280" s="801"/>
    </row>
    <row r="8281" spans="1:12" ht="24" customHeight="1">
      <c r="A8281" s="626" t="s">
        <v>12709</v>
      </c>
      <c r="B8281" s="627" t="s">
        <v>13281</v>
      </c>
      <c r="C8281" s="626" t="s">
        <v>8</v>
      </c>
      <c r="D8281" s="626" t="s">
        <v>8070</v>
      </c>
      <c r="E8281" s="628" t="s">
        <v>35</v>
      </c>
      <c r="F8281" s="816" t="s">
        <v>13730</v>
      </c>
      <c r="G8281" s="816"/>
      <c r="H8281" s="816">
        <v>1.26E-5</v>
      </c>
      <c r="I8281" s="816"/>
      <c r="J8281" s="817">
        <v>0.42749999999999999</v>
      </c>
      <c r="K8281" s="817"/>
      <c r="L8281" s="817"/>
    </row>
    <row r="8282" spans="1:12" ht="24" customHeight="1">
      <c r="A8282" s="636"/>
      <c r="B8282" s="636"/>
      <c r="C8282" s="636"/>
      <c r="D8282" s="636"/>
      <c r="E8282" s="636"/>
      <c r="F8282" s="636"/>
      <c r="G8282" s="636"/>
      <c r="H8282" s="636"/>
      <c r="I8282" s="636"/>
      <c r="J8282" s="636" t="s">
        <v>13675</v>
      </c>
      <c r="K8282" s="636"/>
      <c r="L8282" s="636" t="s">
        <v>13717</v>
      </c>
    </row>
    <row r="8283" spans="1:12" ht="24" customHeight="1">
      <c r="A8283" s="802" t="s">
        <v>12722</v>
      </c>
      <c r="B8283" s="802"/>
      <c r="C8283" s="802"/>
      <c r="D8283" s="802"/>
      <c r="E8283" s="802"/>
      <c r="F8283" s="802"/>
      <c r="G8283" s="802"/>
      <c r="H8283" s="802"/>
      <c r="I8283" s="612"/>
      <c r="J8283" s="612"/>
      <c r="K8283" s="612"/>
      <c r="L8283" s="612"/>
    </row>
    <row r="8284" spans="1:12" ht="36" customHeight="1">
      <c r="A8284" s="612" t="s">
        <v>13679</v>
      </c>
      <c r="B8284" s="636" t="s">
        <v>12698</v>
      </c>
      <c r="C8284" s="612" t="s">
        <v>12699</v>
      </c>
      <c r="D8284" s="612" t="s">
        <v>12700</v>
      </c>
      <c r="E8284" s="637" t="s">
        <v>12702</v>
      </c>
      <c r="F8284" s="801" t="s">
        <v>12704</v>
      </c>
      <c r="G8284" s="801"/>
      <c r="H8284" s="801" t="s">
        <v>13678</v>
      </c>
      <c r="I8284" s="801"/>
      <c r="J8284" s="801" t="s">
        <v>12705</v>
      </c>
      <c r="K8284" s="801"/>
      <c r="L8284" s="801"/>
    </row>
    <row r="8285" spans="1:12" ht="24" customHeight="1">
      <c r="A8285" s="626" t="s">
        <v>12709</v>
      </c>
      <c r="B8285" s="627" t="s">
        <v>12998</v>
      </c>
      <c r="C8285" s="626" t="s">
        <v>8</v>
      </c>
      <c r="D8285" s="626" t="s">
        <v>11861</v>
      </c>
      <c r="E8285" s="628" t="s">
        <v>23</v>
      </c>
      <c r="F8285" s="816" t="s">
        <v>13683</v>
      </c>
      <c r="G8285" s="816"/>
      <c r="H8285" s="816">
        <v>0.94740360000000001</v>
      </c>
      <c r="I8285" s="816"/>
      <c r="J8285" s="817">
        <v>0.67269999999999996</v>
      </c>
      <c r="K8285" s="817"/>
      <c r="L8285" s="817"/>
    </row>
    <row r="8286" spans="1:12" ht="24" customHeight="1">
      <c r="A8286" s="636"/>
      <c r="B8286" s="636"/>
      <c r="C8286" s="636"/>
      <c r="D8286" s="636"/>
      <c r="E8286" s="636"/>
      <c r="F8286" s="636"/>
      <c r="G8286" s="636"/>
      <c r="H8286" s="636"/>
      <c r="I8286" s="636"/>
      <c r="J8286" s="636" t="s">
        <v>13675</v>
      </c>
      <c r="K8286" s="636"/>
      <c r="L8286" s="636" t="s">
        <v>13735</v>
      </c>
    </row>
    <row r="8287" spans="1:12" ht="24" customHeight="1">
      <c r="A8287" s="802" t="s">
        <v>12713</v>
      </c>
      <c r="B8287" s="802"/>
      <c r="C8287" s="802"/>
      <c r="D8287" s="802"/>
      <c r="E8287" s="802"/>
      <c r="F8287" s="802"/>
      <c r="G8287" s="802"/>
      <c r="H8287" s="802"/>
      <c r="I8287" s="612"/>
      <c r="J8287" s="612"/>
      <c r="K8287" s="612"/>
      <c r="L8287" s="612"/>
    </row>
    <row r="8288" spans="1:12" ht="24" customHeight="1">
      <c r="A8288" s="612" t="s">
        <v>13679</v>
      </c>
      <c r="B8288" s="636" t="s">
        <v>12698</v>
      </c>
      <c r="C8288" s="612" t="s">
        <v>12699</v>
      </c>
      <c r="D8288" s="612" t="s">
        <v>12700</v>
      </c>
      <c r="E8288" s="637" t="s">
        <v>12702</v>
      </c>
      <c r="F8288" s="801" t="s">
        <v>12704</v>
      </c>
      <c r="G8288" s="801"/>
      <c r="H8288" s="801" t="s">
        <v>13678</v>
      </c>
      <c r="I8288" s="801"/>
      <c r="J8288" s="801" t="s">
        <v>12705</v>
      </c>
      <c r="K8288" s="801"/>
      <c r="L8288" s="801"/>
    </row>
    <row r="8289" spans="1:12" ht="24" customHeight="1">
      <c r="A8289" s="626" t="s">
        <v>12709</v>
      </c>
      <c r="B8289" s="627" t="s">
        <v>12999</v>
      </c>
      <c r="C8289" s="626" t="s">
        <v>8</v>
      </c>
      <c r="D8289" s="626" t="s">
        <v>11251</v>
      </c>
      <c r="E8289" s="628" t="s">
        <v>23</v>
      </c>
      <c r="F8289" s="816" t="s">
        <v>13681</v>
      </c>
      <c r="G8289" s="816"/>
      <c r="H8289" s="816">
        <v>0.94740360000000001</v>
      </c>
      <c r="I8289" s="816"/>
      <c r="J8289" s="817">
        <v>6.6299999999999998E-2</v>
      </c>
      <c r="K8289" s="817"/>
      <c r="L8289" s="817"/>
    </row>
    <row r="8290" spans="1:12" ht="36" customHeight="1">
      <c r="A8290" s="636"/>
      <c r="B8290" s="636"/>
      <c r="C8290" s="636"/>
      <c r="D8290" s="636"/>
      <c r="E8290" s="636"/>
      <c r="F8290" s="636"/>
      <c r="G8290" s="636"/>
      <c r="H8290" s="636"/>
      <c r="I8290" s="636"/>
      <c r="J8290" s="636" t="s">
        <v>13675</v>
      </c>
      <c r="K8290" s="636"/>
      <c r="L8290" s="636" t="s">
        <v>13681</v>
      </c>
    </row>
    <row r="8291" spans="1:12" ht="17.100000000000001" customHeight="1">
      <c r="A8291" s="802" t="s">
        <v>12712</v>
      </c>
      <c r="B8291" s="802"/>
      <c r="C8291" s="802"/>
      <c r="D8291" s="802"/>
      <c r="E8291" s="802"/>
      <c r="F8291" s="802"/>
      <c r="G8291" s="802"/>
      <c r="H8291" s="802"/>
      <c r="I8291" s="612"/>
      <c r="J8291" s="612"/>
      <c r="K8291" s="612"/>
      <c r="L8291" s="612"/>
    </row>
    <row r="8292" spans="1:12" ht="14.25" customHeight="1">
      <c r="A8292" s="612" t="s">
        <v>13679</v>
      </c>
      <c r="B8292" s="636" t="s">
        <v>12698</v>
      </c>
      <c r="C8292" s="612" t="s">
        <v>12699</v>
      </c>
      <c r="D8292" s="612" t="s">
        <v>12700</v>
      </c>
      <c r="E8292" s="637" t="s">
        <v>12702</v>
      </c>
      <c r="F8292" s="801" t="s">
        <v>12704</v>
      </c>
      <c r="G8292" s="801"/>
      <c r="H8292" s="801" t="s">
        <v>13678</v>
      </c>
      <c r="I8292" s="801"/>
      <c r="J8292" s="801" t="s">
        <v>12705</v>
      </c>
      <c r="K8292" s="801"/>
      <c r="L8292" s="801"/>
    </row>
    <row r="8293" spans="1:12" ht="17.100000000000001" customHeight="1">
      <c r="A8293" s="626" t="s">
        <v>12709</v>
      </c>
      <c r="B8293" s="627" t="s">
        <v>13002</v>
      </c>
      <c r="C8293" s="626" t="s">
        <v>8</v>
      </c>
      <c r="D8293" s="626" t="s">
        <v>9306</v>
      </c>
      <c r="E8293" s="628" t="s">
        <v>23</v>
      </c>
      <c r="F8293" s="816" t="s">
        <v>13677</v>
      </c>
      <c r="G8293" s="816"/>
      <c r="H8293" s="816">
        <v>0.94740360000000001</v>
      </c>
      <c r="I8293" s="816"/>
      <c r="J8293" s="817">
        <v>0.33160000000000001</v>
      </c>
      <c r="K8293" s="817"/>
      <c r="L8293" s="817"/>
    </row>
    <row r="8294" spans="1:12" ht="24" customHeight="1">
      <c r="A8294" s="626" t="s">
        <v>12709</v>
      </c>
      <c r="B8294" s="627" t="s">
        <v>13004</v>
      </c>
      <c r="C8294" s="626" t="s">
        <v>8</v>
      </c>
      <c r="D8294" s="626" t="s">
        <v>7388</v>
      </c>
      <c r="E8294" s="628" t="s">
        <v>23</v>
      </c>
      <c r="F8294" s="816" t="s">
        <v>13676</v>
      </c>
      <c r="G8294" s="816"/>
      <c r="H8294" s="816">
        <v>0.94740360000000001</v>
      </c>
      <c r="I8294" s="816"/>
      <c r="J8294" s="817">
        <v>2.0842999999999998</v>
      </c>
      <c r="K8294" s="817"/>
      <c r="L8294" s="817"/>
    </row>
    <row r="8295" spans="1:12" ht="24" customHeight="1">
      <c r="A8295" s="636"/>
      <c r="B8295" s="636"/>
      <c r="C8295" s="636"/>
      <c r="D8295" s="636"/>
      <c r="E8295" s="636"/>
      <c r="F8295" s="636"/>
      <c r="G8295" s="636"/>
      <c r="H8295" s="636"/>
      <c r="I8295" s="636"/>
      <c r="J8295" s="636" t="s">
        <v>13675</v>
      </c>
      <c r="K8295" s="636"/>
      <c r="L8295" s="636" t="s">
        <v>13734</v>
      </c>
    </row>
    <row r="8296" spans="1:12" ht="24" customHeight="1">
      <c r="A8296" s="612" t="s">
        <v>13673</v>
      </c>
      <c r="B8296" s="612"/>
      <c r="C8296" s="612"/>
      <c r="D8296" s="612"/>
      <c r="E8296" s="612"/>
      <c r="F8296" s="612"/>
      <c r="G8296" s="612"/>
      <c r="H8296" s="612"/>
      <c r="I8296" s="612"/>
      <c r="J8296" s="612"/>
      <c r="K8296" s="612"/>
      <c r="L8296" s="612"/>
    </row>
    <row r="8297" spans="1:12" ht="24" customHeight="1">
      <c r="A8297" s="636"/>
      <c r="B8297" s="636"/>
      <c r="C8297" s="636"/>
      <c r="D8297" s="636"/>
      <c r="E8297" s="636"/>
      <c r="F8297" s="636"/>
      <c r="G8297" s="636"/>
      <c r="H8297" s="636"/>
      <c r="I8297" s="636"/>
      <c r="J8297" s="636" t="s">
        <v>13672</v>
      </c>
      <c r="K8297" s="636"/>
      <c r="L8297" s="636" t="s">
        <v>14959</v>
      </c>
    </row>
    <row r="8298" spans="1:12" ht="24" customHeight="1">
      <c r="A8298" s="636"/>
      <c r="B8298" s="636"/>
      <c r="C8298" s="636"/>
      <c r="D8298" s="636"/>
      <c r="E8298" s="636"/>
      <c r="F8298" s="636"/>
      <c r="G8298" s="636"/>
      <c r="H8298" s="636"/>
      <c r="I8298" s="636"/>
      <c r="J8298" s="636" t="s">
        <v>13671</v>
      </c>
      <c r="K8298" s="636" t="s">
        <v>14461</v>
      </c>
      <c r="L8298" s="636" t="s">
        <v>14960</v>
      </c>
    </row>
    <row r="8299" spans="1:12" ht="24" customHeight="1">
      <c r="A8299" s="636"/>
      <c r="B8299" s="636"/>
      <c r="C8299" s="636"/>
      <c r="D8299" s="636"/>
      <c r="E8299" s="636"/>
      <c r="F8299" s="636"/>
      <c r="G8299" s="636"/>
      <c r="H8299" s="636"/>
      <c r="I8299" s="636"/>
      <c r="J8299" s="636" t="s">
        <v>13670</v>
      </c>
      <c r="K8299" s="636"/>
      <c r="L8299" s="636" t="s">
        <v>14961</v>
      </c>
    </row>
    <row r="8300" spans="1:12" ht="24" customHeight="1">
      <c r="A8300" s="636"/>
      <c r="B8300" s="636"/>
      <c r="C8300" s="636"/>
      <c r="D8300" s="636"/>
      <c r="E8300" s="636"/>
      <c r="F8300" s="636"/>
      <c r="G8300" s="636"/>
      <c r="H8300" s="636"/>
      <c r="I8300" s="636"/>
      <c r="J8300" s="636" t="s">
        <v>13669</v>
      </c>
      <c r="K8300" s="636" t="s">
        <v>13667</v>
      </c>
      <c r="L8300" s="636" t="s">
        <v>14962</v>
      </c>
    </row>
    <row r="8301" spans="1:12" ht="24" customHeight="1">
      <c r="A8301" s="636"/>
      <c r="B8301" s="636"/>
      <c r="C8301" s="636"/>
      <c r="D8301" s="636"/>
      <c r="E8301" s="636"/>
      <c r="F8301" s="636"/>
      <c r="G8301" s="636"/>
      <c r="H8301" s="636"/>
      <c r="I8301" s="636"/>
      <c r="J8301" s="636" t="s">
        <v>13668</v>
      </c>
      <c r="K8301" s="636"/>
      <c r="L8301" s="636" t="s">
        <v>14963</v>
      </c>
    </row>
    <row r="8302" spans="1:12" ht="24" customHeight="1">
      <c r="A8302" s="637"/>
      <c r="B8302" s="637"/>
      <c r="C8302" s="637"/>
      <c r="D8302" s="637"/>
      <c r="E8302" s="637"/>
      <c r="F8302" s="637"/>
      <c r="G8302" s="637"/>
      <c r="H8302" s="637"/>
      <c r="I8302" s="637"/>
      <c r="J8302" s="637"/>
      <c r="K8302" s="637"/>
      <c r="L8302" s="637"/>
    </row>
    <row r="8303" spans="1:12" ht="17.100000000000001" customHeight="1">
      <c r="A8303" s="616" t="s">
        <v>13934</v>
      </c>
      <c r="B8303" s="617" t="s">
        <v>13655</v>
      </c>
      <c r="C8303" s="616" t="s">
        <v>8</v>
      </c>
      <c r="D8303" s="616" t="s">
        <v>4680</v>
      </c>
      <c r="E8303" s="618" t="s">
        <v>144</v>
      </c>
      <c r="F8303" s="617"/>
      <c r="G8303" s="617"/>
      <c r="H8303" s="617"/>
      <c r="I8303" s="617"/>
      <c r="J8303" s="617"/>
      <c r="K8303" s="617"/>
      <c r="L8303" s="617"/>
    </row>
    <row r="8304" spans="1:12">
      <c r="A8304" s="802" t="s">
        <v>12711</v>
      </c>
      <c r="B8304" s="802"/>
      <c r="C8304" s="802"/>
      <c r="D8304" s="802"/>
      <c r="E8304" s="802"/>
      <c r="F8304" s="802"/>
      <c r="G8304" s="802"/>
      <c r="H8304" s="802"/>
      <c r="I8304" s="612"/>
      <c r="J8304" s="612"/>
      <c r="K8304" s="612"/>
      <c r="L8304" s="612"/>
    </row>
    <row r="8305" spans="1:12" ht="17.100000000000001" customHeight="1">
      <c r="A8305" s="612" t="s">
        <v>13679</v>
      </c>
      <c r="B8305" s="636" t="s">
        <v>12698</v>
      </c>
      <c r="C8305" s="612" t="s">
        <v>12699</v>
      </c>
      <c r="D8305" s="612" t="s">
        <v>12700</v>
      </c>
      <c r="E8305" s="637" t="s">
        <v>12702</v>
      </c>
      <c r="F8305" s="801" t="s">
        <v>12704</v>
      </c>
      <c r="G8305" s="801"/>
      <c r="H8305" s="801" t="s">
        <v>13678</v>
      </c>
      <c r="I8305" s="801"/>
      <c r="J8305" s="801" t="s">
        <v>12705</v>
      </c>
      <c r="K8305" s="801"/>
      <c r="L8305" s="801"/>
    </row>
    <row r="8306" spans="1:12" ht="24" customHeight="1">
      <c r="A8306" s="626" t="s">
        <v>12709</v>
      </c>
      <c r="B8306" s="627" t="s">
        <v>13289</v>
      </c>
      <c r="C8306" s="626" t="s">
        <v>8</v>
      </c>
      <c r="D8306" s="626" t="s">
        <v>8192</v>
      </c>
      <c r="E8306" s="628" t="s">
        <v>35</v>
      </c>
      <c r="F8306" s="816" t="s">
        <v>14489</v>
      </c>
      <c r="G8306" s="816"/>
      <c r="H8306" s="816">
        <v>1.3999999999999999E-6</v>
      </c>
      <c r="I8306" s="816"/>
      <c r="J8306" s="817">
        <v>0.38529999999999998</v>
      </c>
      <c r="K8306" s="817"/>
      <c r="L8306" s="817"/>
    </row>
    <row r="8307" spans="1:12" ht="24" customHeight="1">
      <c r="A8307" s="626" t="s">
        <v>12709</v>
      </c>
      <c r="B8307" s="627" t="s">
        <v>13003</v>
      </c>
      <c r="C8307" s="626" t="s">
        <v>8</v>
      </c>
      <c r="D8307" s="626" t="s">
        <v>9227</v>
      </c>
      <c r="E8307" s="628" t="s">
        <v>23</v>
      </c>
      <c r="F8307" s="816" t="s">
        <v>13732</v>
      </c>
      <c r="G8307" s="816"/>
      <c r="H8307" s="816">
        <v>1.3021899999999999E-2</v>
      </c>
      <c r="I8307" s="816"/>
      <c r="J8307" s="817">
        <v>8.6E-3</v>
      </c>
      <c r="K8307" s="817"/>
      <c r="L8307" s="817"/>
    </row>
    <row r="8308" spans="1:12" ht="24" customHeight="1">
      <c r="A8308" s="626" t="s">
        <v>12709</v>
      </c>
      <c r="B8308" s="627" t="s">
        <v>13001</v>
      </c>
      <c r="C8308" s="626" t="s">
        <v>8</v>
      </c>
      <c r="D8308" s="626" t="s">
        <v>9374</v>
      </c>
      <c r="E8308" s="628" t="s">
        <v>23</v>
      </c>
      <c r="F8308" s="816" t="s">
        <v>13728</v>
      </c>
      <c r="G8308" s="816"/>
      <c r="H8308" s="816">
        <v>1.3021899999999999E-2</v>
      </c>
      <c r="I8308" s="816"/>
      <c r="J8308" s="817">
        <v>1E-4</v>
      </c>
      <c r="K8308" s="817"/>
      <c r="L8308" s="817"/>
    </row>
    <row r="8309" spans="1:12" ht="24" customHeight="1">
      <c r="A8309" s="636"/>
      <c r="B8309" s="636"/>
      <c r="C8309" s="636"/>
      <c r="D8309" s="636"/>
      <c r="E8309" s="636"/>
      <c r="F8309" s="636"/>
      <c r="G8309" s="636"/>
      <c r="H8309" s="636"/>
      <c r="I8309" s="636"/>
      <c r="J8309" s="636" t="s">
        <v>13675</v>
      </c>
      <c r="K8309" s="636"/>
      <c r="L8309" s="636" t="s">
        <v>13784</v>
      </c>
    </row>
    <row r="8310" spans="1:12" ht="24" customHeight="1">
      <c r="A8310" s="802" t="s">
        <v>12710</v>
      </c>
      <c r="B8310" s="802"/>
      <c r="C8310" s="802"/>
      <c r="D8310" s="802"/>
      <c r="E8310" s="802"/>
      <c r="F8310" s="802"/>
      <c r="G8310" s="802"/>
      <c r="H8310" s="802"/>
      <c r="I8310" s="612"/>
      <c r="J8310" s="612"/>
      <c r="K8310" s="612"/>
      <c r="L8310" s="612"/>
    </row>
    <row r="8311" spans="1:12" ht="24" customHeight="1">
      <c r="A8311" s="612" t="s">
        <v>13679</v>
      </c>
      <c r="B8311" s="636" t="s">
        <v>12698</v>
      </c>
      <c r="C8311" s="612" t="s">
        <v>12699</v>
      </c>
      <c r="D8311" s="612" t="s">
        <v>12700</v>
      </c>
      <c r="E8311" s="637" t="s">
        <v>12702</v>
      </c>
      <c r="F8311" s="801" t="s">
        <v>12704</v>
      </c>
      <c r="G8311" s="801"/>
      <c r="H8311" s="801" t="s">
        <v>13678</v>
      </c>
      <c r="I8311" s="801"/>
      <c r="J8311" s="801" t="s">
        <v>12705</v>
      </c>
      <c r="K8311" s="801"/>
      <c r="L8311" s="801"/>
    </row>
    <row r="8312" spans="1:12" ht="24" customHeight="1">
      <c r="A8312" s="626" t="s">
        <v>12709</v>
      </c>
      <c r="B8312" s="627" t="s">
        <v>13129</v>
      </c>
      <c r="C8312" s="626" t="s">
        <v>8</v>
      </c>
      <c r="D8312" s="626" t="s">
        <v>10467</v>
      </c>
      <c r="E8312" s="628" t="s">
        <v>23</v>
      </c>
      <c r="F8312" s="816" t="s">
        <v>14252</v>
      </c>
      <c r="G8312" s="816"/>
      <c r="H8312" s="816">
        <v>1.25235E-2</v>
      </c>
      <c r="I8312" s="816"/>
      <c r="J8312" s="817">
        <v>6.4899999999999999E-2</v>
      </c>
      <c r="K8312" s="817"/>
      <c r="L8312" s="817"/>
    </row>
    <row r="8313" spans="1:12" ht="36" customHeight="1">
      <c r="A8313" s="636"/>
      <c r="B8313" s="636"/>
      <c r="C8313" s="636"/>
      <c r="D8313" s="636"/>
      <c r="E8313" s="636"/>
      <c r="F8313" s="636"/>
      <c r="G8313" s="636"/>
      <c r="H8313" s="636"/>
      <c r="I8313" s="636"/>
      <c r="J8313" s="636" t="s">
        <v>13675</v>
      </c>
      <c r="K8313" s="636"/>
      <c r="L8313" s="636" t="s">
        <v>13708</v>
      </c>
    </row>
    <row r="8314" spans="1:12" ht="24" customHeight="1">
      <c r="A8314" s="802" t="s">
        <v>12720</v>
      </c>
      <c r="B8314" s="802"/>
      <c r="C8314" s="802"/>
      <c r="D8314" s="802"/>
      <c r="E8314" s="802"/>
      <c r="F8314" s="802"/>
      <c r="G8314" s="802"/>
      <c r="H8314" s="802"/>
      <c r="I8314" s="612"/>
      <c r="J8314" s="612"/>
      <c r="K8314" s="612"/>
      <c r="L8314" s="612"/>
    </row>
    <row r="8315" spans="1:12" ht="36" customHeight="1">
      <c r="A8315" s="612" t="s">
        <v>13679</v>
      </c>
      <c r="B8315" s="636" t="s">
        <v>12698</v>
      </c>
      <c r="C8315" s="612" t="s">
        <v>12699</v>
      </c>
      <c r="D8315" s="612" t="s">
        <v>12700</v>
      </c>
      <c r="E8315" s="637" t="s">
        <v>12702</v>
      </c>
      <c r="F8315" s="801" t="s">
        <v>12704</v>
      </c>
      <c r="G8315" s="801"/>
      <c r="H8315" s="801" t="s">
        <v>13678</v>
      </c>
      <c r="I8315" s="801"/>
      <c r="J8315" s="801" t="s">
        <v>12705</v>
      </c>
      <c r="K8315" s="801"/>
      <c r="L8315" s="801"/>
    </row>
    <row r="8316" spans="1:12" ht="24" customHeight="1">
      <c r="A8316" s="626" t="s">
        <v>12709</v>
      </c>
      <c r="B8316" s="627" t="s">
        <v>13281</v>
      </c>
      <c r="C8316" s="626" t="s">
        <v>8</v>
      </c>
      <c r="D8316" s="626" t="s">
        <v>8070</v>
      </c>
      <c r="E8316" s="628" t="s">
        <v>35</v>
      </c>
      <c r="F8316" s="816" t="s">
        <v>13730</v>
      </c>
      <c r="G8316" s="816"/>
      <c r="H8316" s="816">
        <v>1.3999999999999999E-6</v>
      </c>
      <c r="I8316" s="816"/>
      <c r="J8316" s="817">
        <v>4.7500000000000001E-2</v>
      </c>
      <c r="K8316" s="817"/>
      <c r="L8316" s="817"/>
    </row>
    <row r="8317" spans="1:12" ht="24" customHeight="1">
      <c r="A8317" s="626" t="s">
        <v>12709</v>
      </c>
      <c r="B8317" s="627" t="s">
        <v>13007</v>
      </c>
      <c r="C8317" s="626" t="s">
        <v>8</v>
      </c>
      <c r="D8317" s="626" t="s">
        <v>10549</v>
      </c>
      <c r="E8317" s="628" t="s">
        <v>58</v>
      </c>
      <c r="F8317" s="816" t="s">
        <v>14172</v>
      </c>
      <c r="G8317" s="816"/>
      <c r="H8317" s="816">
        <v>0.14194129999999999</v>
      </c>
      <c r="I8317" s="816"/>
      <c r="J8317" s="817">
        <v>0.45989999999999998</v>
      </c>
      <c r="K8317" s="817"/>
      <c r="L8317" s="817"/>
    </row>
    <row r="8318" spans="1:12" ht="24" customHeight="1">
      <c r="A8318" s="636"/>
      <c r="B8318" s="636"/>
      <c r="C8318" s="636"/>
      <c r="D8318" s="636"/>
      <c r="E8318" s="636"/>
      <c r="F8318" s="636"/>
      <c r="G8318" s="636"/>
      <c r="H8318" s="636"/>
      <c r="I8318" s="636"/>
      <c r="J8318" s="636" t="s">
        <v>13675</v>
      </c>
      <c r="K8318" s="636"/>
      <c r="L8318" s="636" t="s">
        <v>13746</v>
      </c>
    </row>
    <row r="8319" spans="1:12" ht="24" customHeight="1">
      <c r="A8319" s="802" t="s">
        <v>12722</v>
      </c>
      <c r="B8319" s="802"/>
      <c r="C8319" s="802"/>
      <c r="D8319" s="802"/>
      <c r="E8319" s="802"/>
      <c r="F8319" s="802"/>
      <c r="G8319" s="802"/>
      <c r="H8319" s="802"/>
      <c r="I8319" s="612"/>
      <c r="J8319" s="612"/>
      <c r="K8319" s="612"/>
      <c r="L8319" s="612"/>
    </row>
    <row r="8320" spans="1:12" ht="24" customHeight="1">
      <c r="A8320" s="612" t="s">
        <v>13679</v>
      </c>
      <c r="B8320" s="636" t="s">
        <v>12698</v>
      </c>
      <c r="C8320" s="612" t="s">
        <v>12699</v>
      </c>
      <c r="D8320" s="612" t="s">
        <v>12700</v>
      </c>
      <c r="E8320" s="637" t="s">
        <v>12702</v>
      </c>
      <c r="F8320" s="801" t="s">
        <v>12704</v>
      </c>
      <c r="G8320" s="801"/>
      <c r="H8320" s="801" t="s">
        <v>13678</v>
      </c>
      <c r="I8320" s="801"/>
      <c r="J8320" s="801" t="s">
        <v>12705</v>
      </c>
      <c r="K8320" s="801"/>
      <c r="L8320" s="801"/>
    </row>
    <row r="8321" spans="1:12" ht="24" customHeight="1">
      <c r="A8321" s="626" t="s">
        <v>12709</v>
      </c>
      <c r="B8321" s="627" t="s">
        <v>12998</v>
      </c>
      <c r="C8321" s="626" t="s">
        <v>8</v>
      </c>
      <c r="D8321" s="626" t="s">
        <v>11861</v>
      </c>
      <c r="E8321" s="628" t="s">
        <v>23</v>
      </c>
      <c r="F8321" s="816" t="s">
        <v>13683</v>
      </c>
      <c r="G8321" s="816"/>
      <c r="H8321" s="816">
        <v>1.3021899999999999E-2</v>
      </c>
      <c r="I8321" s="816"/>
      <c r="J8321" s="817">
        <v>9.1999999999999998E-3</v>
      </c>
      <c r="K8321" s="817"/>
      <c r="L8321" s="817"/>
    </row>
    <row r="8322" spans="1:12" ht="24" customHeight="1">
      <c r="A8322" s="636"/>
      <c r="B8322" s="636"/>
      <c r="C8322" s="636"/>
      <c r="D8322" s="636"/>
      <c r="E8322" s="636"/>
      <c r="F8322" s="636"/>
      <c r="G8322" s="636"/>
      <c r="H8322" s="636"/>
      <c r="I8322" s="636"/>
      <c r="J8322" s="636" t="s">
        <v>13675</v>
      </c>
      <c r="K8322" s="636"/>
      <c r="L8322" s="636" t="s">
        <v>13728</v>
      </c>
    </row>
    <row r="8323" spans="1:12" ht="17.100000000000001" customHeight="1">
      <c r="A8323" s="802" t="s">
        <v>12713</v>
      </c>
      <c r="B8323" s="802"/>
      <c r="C8323" s="802"/>
      <c r="D8323" s="802"/>
      <c r="E8323" s="802"/>
      <c r="F8323" s="802"/>
      <c r="G8323" s="802"/>
      <c r="H8323" s="802"/>
      <c r="I8323" s="612"/>
      <c r="J8323" s="612"/>
      <c r="K8323" s="612"/>
      <c r="L8323" s="612"/>
    </row>
    <row r="8324" spans="1:12">
      <c r="A8324" s="612" t="s">
        <v>13679</v>
      </c>
      <c r="B8324" s="636" t="s">
        <v>12698</v>
      </c>
      <c r="C8324" s="612" t="s">
        <v>12699</v>
      </c>
      <c r="D8324" s="612" t="s">
        <v>12700</v>
      </c>
      <c r="E8324" s="637" t="s">
        <v>12702</v>
      </c>
      <c r="F8324" s="801" t="s">
        <v>12704</v>
      </c>
      <c r="G8324" s="801"/>
      <c r="H8324" s="801" t="s">
        <v>13678</v>
      </c>
      <c r="I8324" s="801"/>
      <c r="J8324" s="801" t="s">
        <v>12705</v>
      </c>
      <c r="K8324" s="801"/>
      <c r="L8324" s="801"/>
    </row>
    <row r="8325" spans="1:12" ht="17.100000000000001" customHeight="1">
      <c r="A8325" s="626" t="s">
        <v>12709</v>
      </c>
      <c r="B8325" s="627" t="s">
        <v>12999</v>
      </c>
      <c r="C8325" s="626" t="s">
        <v>8</v>
      </c>
      <c r="D8325" s="626" t="s">
        <v>11251</v>
      </c>
      <c r="E8325" s="628" t="s">
        <v>23</v>
      </c>
      <c r="F8325" s="816" t="s">
        <v>13681</v>
      </c>
      <c r="G8325" s="816"/>
      <c r="H8325" s="816">
        <v>1.3021899999999999E-2</v>
      </c>
      <c r="I8325" s="816"/>
      <c r="J8325" s="817">
        <v>8.9999999999999998E-4</v>
      </c>
      <c r="K8325" s="817"/>
      <c r="L8325" s="817"/>
    </row>
    <row r="8326" spans="1:12" ht="24" customHeight="1">
      <c r="A8326" s="636"/>
      <c r="B8326" s="636"/>
      <c r="C8326" s="636"/>
      <c r="D8326" s="636"/>
      <c r="E8326" s="636"/>
      <c r="F8326" s="636"/>
      <c r="G8326" s="636"/>
      <c r="H8326" s="636"/>
      <c r="I8326" s="636"/>
      <c r="J8326" s="636" t="s">
        <v>13675</v>
      </c>
      <c r="K8326" s="636"/>
      <c r="L8326" s="636" t="s">
        <v>13727</v>
      </c>
    </row>
    <row r="8327" spans="1:12" ht="17.100000000000001" customHeight="1">
      <c r="A8327" s="802" t="s">
        <v>12712</v>
      </c>
      <c r="B8327" s="802"/>
      <c r="C8327" s="802"/>
      <c r="D8327" s="802"/>
      <c r="E8327" s="802"/>
      <c r="F8327" s="802"/>
      <c r="G8327" s="802"/>
      <c r="H8327" s="802"/>
      <c r="I8327" s="612"/>
      <c r="J8327" s="612"/>
      <c r="K8327" s="612"/>
      <c r="L8327" s="612"/>
    </row>
    <row r="8328" spans="1:12">
      <c r="A8328" s="612" t="s">
        <v>13679</v>
      </c>
      <c r="B8328" s="636" t="s">
        <v>12698</v>
      </c>
      <c r="C8328" s="612" t="s">
        <v>12699</v>
      </c>
      <c r="D8328" s="612" t="s">
        <v>12700</v>
      </c>
      <c r="E8328" s="637" t="s">
        <v>12702</v>
      </c>
      <c r="F8328" s="801" t="s">
        <v>12704</v>
      </c>
      <c r="G8328" s="801"/>
      <c r="H8328" s="801" t="s">
        <v>13678</v>
      </c>
      <c r="I8328" s="801"/>
      <c r="J8328" s="801" t="s">
        <v>12705</v>
      </c>
      <c r="K8328" s="801"/>
      <c r="L8328" s="801"/>
    </row>
    <row r="8329" spans="1:12" ht="17.100000000000001" customHeight="1">
      <c r="A8329" s="626" t="s">
        <v>12709</v>
      </c>
      <c r="B8329" s="627" t="s">
        <v>13002</v>
      </c>
      <c r="C8329" s="626" t="s">
        <v>8</v>
      </c>
      <c r="D8329" s="626" t="s">
        <v>9306</v>
      </c>
      <c r="E8329" s="628" t="s">
        <v>23</v>
      </c>
      <c r="F8329" s="816" t="s">
        <v>13677</v>
      </c>
      <c r="G8329" s="816"/>
      <c r="H8329" s="816">
        <v>1.3021899999999999E-2</v>
      </c>
      <c r="I8329" s="816"/>
      <c r="J8329" s="817">
        <v>4.5999999999999999E-3</v>
      </c>
      <c r="K8329" s="817"/>
      <c r="L8329" s="817"/>
    </row>
    <row r="8330" spans="1:12" ht="24" customHeight="1">
      <c r="A8330" s="626" t="s">
        <v>12709</v>
      </c>
      <c r="B8330" s="627" t="s">
        <v>13004</v>
      </c>
      <c r="C8330" s="626" t="s">
        <v>8</v>
      </c>
      <c r="D8330" s="626" t="s">
        <v>7388</v>
      </c>
      <c r="E8330" s="628" t="s">
        <v>23</v>
      </c>
      <c r="F8330" s="816" t="s">
        <v>13676</v>
      </c>
      <c r="G8330" s="816"/>
      <c r="H8330" s="816">
        <v>1.3021899999999999E-2</v>
      </c>
      <c r="I8330" s="816"/>
      <c r="J8330" s="817">
        <v>2.86E-2</v>
      </c>
      <c r="K8330" s="817"/>
      <c r="L8330" s="817"/>
    </row>
    <row r="8331" spans="1:12" ht="17.100000000000001" customHeight="1">
      <c r="A8331" s="636"/>
      <c r="B8331" s="636"/>
      <c r="C8331" s="636"/>
      <c r="D8331" s="636"/>
      <c r="E8331" s="636"/>
      <c r="F8331" s="636"/>
      <c r="G8331" s="636"/>
      <c r="H8331" s="636"/>
      <c r="I8331" s="636"/>
      <c r="J8331" s="636" t="s">
        <v>13675</v>
      </c>
      <c r="K8331" s="636"/>
      <c r="L8331" s="636" t="s">
        <v>13726</v>
      </c>
    </row>
    <row r="8332" spans="1:12">
      <c r="A8332" s="612" t="s">
        <v>13673</v>
      </c>
      <c r="B8332" s="612"/>
      <c r="C8332" s="612"/>
      <c r="D8332" s="612"/>
      <c r="E8332" s="612"/>
      <c r="F8332" s="612"/>
      <c r="G8332" s="612"/>
      <c r="H8332" s="612"/>
      <c r="I8332" s="612"/>
      <c r="J8332" s="612"/>
      <c r="K8332" s="612"/>
      <c r="L8332" s="612"/>
    </row>
    <row r="8333" spans="1:12" ht="17.100000000000001" customHeight="1">
      <c r="A8333" s="636"/>
      <c r="B8333" s="636"/>
      <c r="C8333" s="636"/>
      <c r="D8333" s="636"/>
      <c r="E8333" s="636"/>
      <c r="F8333" s="636"/>
      <c r="G8333" s="636"/>
      <c r="H8333" s="636"/>
      <c r="I8333" s="636"/>
      <c r="J8333" s="636" t="s">
        <v>13672</v>
      </c>
      <c r="K8333" s="636"/>
      <c r="L8333" s="636" t="s">
        <v>14886</v>
      </c>
    </row>
    <row r="8334" spans="1:12" ht="24" customHeight="1">
      <c r="A8334" s="636"/>
      <c r="B8334" s="636"/>
      <c r="C8334" s="636"/>
      <c r="D8334" s="636"/>
      <c r="E8334" s="636"/>
      <c r="F8334" s="636"/>
      <c r="G8334" s="636"/>
      <c r="H8334" s="636"/>
      <c r="I8334" s="636"/>
      <c r="J8334" s="636" t="s">
        <v>13671</v>
      </c>
      <c r="K8334" s="636" t="s">
        <v>14461</v>
      </c>
      <c r="L8334" s="636" t="s">
        <v>14879</v>
      </c>
    </row>
    <row r="8335" spans="1:12" ht="24" customHeight="1">
      <c r="A8335" s="636"/>
      <c r="B8335" s="636"/>
      <c r="C8335" s="636"/>
      <c r="D8335" s="636"/>
      <c r="E8335" s="636"/>
      <c r="F8335" s="636"/>
      <c r="G8335" s="636"/>
      <c r="H8335" s="636"/>
      <c r="I8335" s="636"/>
      <c r="J8335" s="636" t="s">
        <v>13670</v>
      </c>
      <c r="K8335" s="636"/>
      <c r="L8335" s="636" t="s">
        <v>14887</v>
      </c>
    </row>
    <row r="8336" spans="1:12" ht="17.100000000000001" customHeight="1">
      <c r="A8336" s="636"/>
      <c r="B8336" s="636"/>
      <c r="C8336" s="636"/>
      <c r="D8336" s="636"/>
      <c r="E8336" s="636"/>
      <c r="F8336" s="636"/>
      <c r="G8336" s="636"/>
      <c r="H8336" s="636"/>
      <c r="I8336" s="636"/>
      <c r="J8336" s="636" t="s">
        <v>13669</v>
      </c>
      <c r="K8336" s="636" t="s">
        <v>13667</v>
      </c>
      <c r="L8336" s="636" t="s">
        <v>14888</v>
      </c>
    </row>
    <row r="8337" spans="1:12" ht="17.100000000000001" customHeight="1">
      <c r="A8337" s="636"/>
      <c r="B8337" s="636"/>
      <c r="C8337" s="636"/>
      <c r="D8337" s="636"/>
      <c r="E8337" s="636"/>
      <c r="F8337" s="636"/>
      <c r="G8337" s="636"/>
      <c r="H8337" s="636"/>
      <c r="I8337" s="636"/>
      <c r="J8337" s="636" t="s">
        <v>13668</v>
      </c>
      <c r="K8337" s="636"/>
      <c r="L8337" s="636" t="s">
        <v>14889</v>
      </c>
    </row>
    <row r="8338" spans="1:12" ht="17.100000000000001" customHeight="1">
      <c r="A8338" s="637"/>
      <c r="B8338" s="637"/>
      <c r="C8338" s="637"/>
      <c r="D8338" s="637"/>
      <c r="E8338" s="637"/>
      <c r="F8338" s="637"/>
      <c r="G8338" s="637"/>
      <c r="H8338" s="637"/>
      <c r="I8338" s="637"/>
      <c r="J8338" s="637"/>
      <c r="K8338" s="637"/>
      <c r="L8338" s="637"/>
    </row>
    <row r="8339" spans="1:12" ht="17.100000000000001" customHeight="1">
      <c r="A8339" s="616" t="s">
        <v>13933</v>
      </c>
      <c r="B8339" s="617" t="s">
        <v>13438</v>
      </c>
      <c r="C8339" s="616" t="s">
        <v>8</v>
      </c>
      <c r="D8339" s="616" t="s">
        <v>2544</v>
      </c>
      <c r="E8339" s="618" t="s">
        <v>35</v>
      </c>
      <c r="F8339" s="617"/>
      <c r="G8339" s="617"/>
      <c r="H8339" s="617"/>
      <c r="I8339" s="617"/>
      <c r="J8339" s="617"/>
      <c r="K8339" s="617"/>
      <c r="L8339" s="617"/>
    </row>
    <row r="8340" spans="1:12" ht="17.100000000000001" customHeight="1">
      <c r="A8340" s="802" t="s">
        <v>12711</v>
      </c>
      <c r="B8340" s="802"/>
      <c r="C8340" s="802"/>
      <c r="D8340" s="802"/>
      <c r="E8340" s="802"/>
      <c r="F8340" s="802"/>
      <c r="G8340" s="802"/>
      <c r="H8340" s="802"/>
      <c r="I8340" s="612"/>
      <c r="J8340" s="612"/>
      <c r="K8340" s="612"/>
      <c r="L8340" s="612"/>
    </row>
    <row r="8341" spans="1:12" ht="17.100000000000001" customHeight="1">
      <c r="A8341" s="612" t="s">
        <v>13679</v>
      </c>
      <c r="B8341" s="636" t="s">
        <v>12698</v>
      </c>
      <c r="C8341" s="612" t="s">
        <v>12699</v>
      </c>
      <c r="D8341" s="612" t="s">
        <v>12700</v>
      </c>
      <c r="E8341" s="637" t="s">
        <v>12702</v>
      </c>
      <c r="F8341" s="801" t="s">
        <v>12704</v>
      </c>
      <c r="G8341" s="801"/>
      <c r="H8341" s="801" t="s">
        <v>13678</v>
      </c>
      <c r="I8341" s="801"/>
      <c r="J8341" s="801" t="s">
        <v>12705</v>
      </c>
      <c r="K8341" s="801"/>
      <c r="L8341" s="801"/>
    </row>
    <row r="8342" spans="1:12" ht="17.100000000000001" customHeight="1">
      <c r="A8342" s="626" t="s">
        <v>12709</v>
      </c>
      <c r="B8342" s="627" t="s">
        <v>13048</v>
      </c>
      <c r="C8342" s="626" t="s">
        <v>8</v>
      </c>
      <c r="D8342" s="626" t="s">
        <v>9233</v>
      </c>
      <c r="E8342" s="628" t="s">
        <v>23</v>
      </c>
      <c r="F8342" s="816" t="s">
        <v>13690</v>
      </c>
      <c r="G8342" s="816"/>
      <c r="H8342" s="816">
        <v>7.6759000000000003E-3</v>
      </c>
      <c r="I8342" s="816"/>
      <c r="J8342" s="817">
        <v>7.7999999999999996E-3</v>
      </c>
      <c r="K8342" s="817"/>
      <c r="L8342" s="817"/>
    </row>
    <row r="8343" spans="1:12" ht="30" customHeight="1">
      <c r="A8343" s="626" t="s">
        <v>12709</v>
      </c>
      <c r="B8343" s="627" t="s">
        <v>13047</v>
      </c>
      <c r="C8343" s="626" t="s">
        <v>8</v>
      </c>
      <c r="D8343" s="626" t="s">
        <v>9380</v>
      </c>
      <c r="E8343" s="628" t="s">
        <v>23</v>
      </c>
      <c r="F8343" s="816" t="s">
        <v>13689</v>
      </c>
      <c r="G8343" s="816"/>
      <c r="H8343" s="816">
        <v>7.6759000000000003E-3</v>
      </c>
      <c r="I8343" s="816"/>
      <c r="J8343" s="817">
        <v>2.8999999999999998E-3</v>
      </c>
      <c r="K8343" s="817"/>
      <c r="L8343" s="817"/>
    </row>
    <row r="8344" spans="1:12" ht="36" customHeight="1">
      <c r="A8344" s="626" t="s">
        <v>12709</v>
      </c>
      <c r="B8344" s="627" t="s">
        <v>13134</v>
      </c>
      <c r="C8344" s="626" t="s">
        <v>8</v>
      </c>
      <c r="D8344" s="626" t="s">
        <v>9219</v>
      </c>
      <c r="E8344" s="628" t="s">
        <v>23</v>
      </c>
      <c r="F8344" s="816" t="s">
        <v>13782</v>
      </c>
      <c r="G8344" s="816"/>
      <c r="H8344" s="816">
        <v>0.28860479999999999</v>
      </c>
      <c r="I8344" s="816"/>
      <c r="J8344" s="817">
        <v>0.26840000000000003</v>
      </c>
      <c r="K8344" s="817"/>
      <c r="L8344" s="817"/>
    </row>
    <row r="8345" spans="1:12" ht="14.25" customHeight="1">
      <c r="A8345" s="626" t="s">
        <v>12709</v>
      </c>
      <c r="B8345" s="627" t="s">
        <v>13133</v>
      </c>
      <c r="C8345" s="626" t="s">
        <v>8</v>
      </c>
      <c r="D8345" s="626" t="s">
        <v>9366</v>
      </c>
      <c r="E8345" s="628" t="s">
        <v>23</v>
      </c>
      <c r="F8345" s="816" t="s">
        <v>13781</v>
      </c>
      <c r="G8345" s="816"/>
      <c r="H8345" s="816">
        <v>0.28860479999999999</v>
      </c>
      <c r="I8345" s="816"/>
      <c r="J8345" s="817">
        <v>0.15870000000000001</v>
      </c>
      <c r="K8345" s="817"/>
      <c r="L8345" s="817"/>
    </row>
    <row r="8346" spans="1:12" ht="17.100000000000001" customHeight="1">
      <c r="A8346" s="636"/>
      <c r="B8346" s="636"/>
      <c r="C8346" s="636"/>
      <c r="D8346" s="636"/>
      <c r="E8346" s="636"/>
      <c r="F8346" s="636"/>
      <c r="G8346" s="636"/>
      <c r="H8346" s="636"/>
      <c r="I8346" s="636"/>
      <c r="J8346" s="636" t="s">
        <v>13675</v>
      </c>
      <c r="K8346" s="636"/>
      <c r="L8346" s="636" t="s">
        <v>13718</v>
      </c>
    </row>
    <row r="8347" spans="1:12" ht="24" customHeight="1">
      <c r="A8347" s="802" t="s">
        <v>12710</v>
      </c>
      <c r="B8347" s="802"/>
      <c r="C8347" s="802"/>
      <c r="D8347" s="802"/>
      <c r="E8347" s="802"/>
      <c r="F8347" s="802"/>
      <c r="G8347" s="802"/>
      <c r="H8347" s="802"/>
      <c r="I8347" s="612"/>
      <c r="J8347" s="612"/>
      <c r="K8347" s="612"/>
      <c r="L8347" s="612"/>
    </row>
    <row r="8348" spans="1:12" ht="24" customHeight="1">
      <c r="A8348" s="612" t="s">
        <v>13679</v>
      </c>
      <c r="B8348" s="636" t="s">
        <v>12698</v>
      </c>
      <c r="C8348" s="612" t="s">
        <v>12699</v>
      </c>
      <c r="D8348" s="612" t="s">
        <v>12700</v>
      </c>
      <c r="E8348" s="637" t="s">
        <v>12702</v>
      </c>
      <c r="F8348" s="801" t="s">
        <v>12704</v>
      </c>
      <c r="G8348" s="801"/>
      <c r="H8348" s="801" t="s">
        <v>13678</v>
      </c>
      <c r="I8348" s="801"/>
      <c r="J8348" s="801" t="s">
        <v>12705</v>
      </c>
      <c r="K8348" s="801"/>
      <c r="L8348" s="801"/>
    </row>
    <row r="8349" spans="1:12" ht="17.100000000000001" customHeight="1">
      <c r="A8349" s="626" t="s">
        <v>12709</v>
      </c>
      <c r="B8349" s="627" t="s">
        <v>13046</v>
      </c>
      <c r="C8349" s="626" t="s">
        <v>8</v>
      </c>
      <c r="D8349" s="626" t="s">
        <v>11281</v>
      </c>
      <c r="E8349" s="628" t="s">
        <v>23</v>
      </c>
      <c r="F8349" s="816" t="s">
        <v>13731</v>
      </c>
      <c r="G8349" s="816"/>
      <c r="H8349" s="816">
        <v>7.7968999999999998E-3</v>
      </c>
      <c r="I8349" s="816"/>
      <c r="J8349" s="817">
        <v>4.0099999999999997E-2</v>
      </c>
      <c r="K8349" s="817"/>
      <c r="L8349" s="817"/>
    </row>
    <row r="8350" spans="1:12" ht="14.25" customHeight="1">
      <c r="A8350" s="626" t="s">
        <v>12709</v>
      </c>
      <c r="B8350" s="627" t="s">
        <v>13222</v>
      </c>
      <c r="C8350" s="626" t="s">
        <v>8</v>
      </c>
      <c r="D8350" s="626" t="s">
        <v>7364</v>
      </c>
      <c r="E8350" s="628" t="s">
        <v>23</v>
      </c>
      <c r="F8350" s="816" t="s">
        <v>13808</v>
      </c>
      <c r="G8350" s="816"/>
      <c r="H8350" s="816">
        <v>0.14818129999999999</v>
      </c>
      <c r="I8350" s="816"/>
      <c r="J8350" s="817">
        <v>0.74390000000000001</v>
      </c>
      <c r="K8350" s="817"/>
      <c r="L8350" s="817"/>
    </row>
    <row r="8351" spans="1:12" ht="17.100000000000001" customHeight="1">
      <c r="A8351" s="626" t="s">
        <v>12709</v>
      </c>
      <c r="B8351" s="627" t="s">
        <v>13204</v>
      </c>
      <c r="C8351" s="626" t="s">
        <v>8</v>
      </c>
      <c r="D8351" s="626" t="s">
        <v>9112</v>
      </c>
      <c r="E8351" s="628" t="s">
        <v>23</v>
      </c>
      <c r="F8351" s="816" t="s">
        <v>14479</v>
      </c>
      <c r="G8351" s="816"/>
      <c r="H8351" s="816">
        <v>0.14818129999999999</v>
      </c>
      <c r="I8351" s="816"/>
      <c r="J8351" s="817">
        <v>1.0595000000000001</v>
      </c>
      <c r="K8351" s="817"/>
      <c r="L8351" s="817"/>
    </row>
    <row r="8352" spans="1:12" ht="24" customHeight="1">
      <c r="A8352" s="636"/>
      <c r="B8352" s="636"/>
      <c r="C8352" s="636"/>
      <c r="D8352" s="636"/>
      <c r="E8352" s="636"/>
      <c r="F8352" s="636"/>
      <c r="G8352" s="636"/>
      <c r="H8352" s="636"/>
      <c r="I8352" s="636"/>
      <c r="J8352" s="636" t="s">
        <v>13675</v>
      </c>
      <c r="K8352" s="636"/>
      <c r="L8352" s="636" t="s">
        <v>14599</v>
      </c>
    </row>
    <row r="8353" spans="1:12" ht="24" customHeight="1">
      <c r="A8353" s="802" t="s">
        <v>12720</v>
      </c>
      <c r="B8353" s="802"/>
      <c r="C8353" s="802"/>
      <c r="D8353" s="802"/>
      <c r="E8353" s="802"/>
      <c r="F8353" s="802"/>
      <c r="G8353" s="802"/>
      <c r="H8353" s="802"/>
      <c r="I8353" s="612"/>
      <c r="J8353" s="612"/>
      <c r="K8353" s="612"/>
      <c r="L8353" s="612"/>
    </row>
    <row r="8354" spans="1:12" ht="17.100000000000001" customHeight="1">
      <c r="A8354" s="612" t="s">
        <v>13679</v>
      </c>
      <c r="B8354" s="636" t="s">
        <v>12698</v>
      </c>
      <c r="C8354" s="612" t="s">
        <v>12699</v>
      </c>
      <c r="D8354" s="612" t="s">
        <v>12700</v>
      </c>
      <c r="E8354" s="637" t="s">
        <v>12702</v>
      </c>
      <c r="F8354" s="801" t="s">
        <v>12704</v>
      </c>
      <c r="G8354" s="801"/>
      <c r="H8354" s="801" t="s">
        <v>13678</v>
      </c>
      <c r="I8354" s="801"/>
      <c r="J8354" s="801" t="s">
        <v>12705</v>
      </c>
      <c r="K8354" s="801"/>
      <c r="L8354" s="801"/>
    </row>
    <row r="8355" spans="1:12" ht="25.5">
      <c r="A8355" s="626" t="s">
        <v>12709</v>
      </c>
      <c r="B8355" s="627" t="s">
        <v>13436</v>
      </c>
      <c r="C8355" s="626" t="s">
        <v>8</v>
      </c>
      <c r="D8355" s="626" t="s">
        <v>8131</v>
      </c>
      <c r="E8355" s="628" t="s">
        <v>35</v>
      </c>
      <c r="F8355" s="816" t="s">
        <v>14597</v>
      </c>
      <c r="G8355" s="816"/>
      <c r="H8355" s="816">
        <v>1</v>
      </c>
      <c r="I8355" s="816"/>
      <c r="J8355" s="817">
        <v>1.68</v>
      </c>
      <c r="K8355" s="817"/>
      <c r="L8355" s="817"/>
    </row>
    <row r="8356" spans="1:12" ht="17.100000000000001" customHeight="1">
      <c r="A8356" s="626" t="s">
        <v>12709</v>
      </c>
      <c r="B8356" s="627" t="s">
        <v>13250</v>
      </c>
      <c r="C8356" s="626" t="s">
        <v>8</v>
      </c>
      <c r="D8356" s="626" t="s">
        <v>7526</v>
      </c>
      <c r="E8356" s="628" t="s">
        <v>12730</v>
      </c>
      <c r="F8356" s="816" t="s">
        <v>13747</v>
      </c>
      <c r="G8356" s="816"/>
      <c r="H8356" s="816">
        <v>9.5839999999999999E-4</v>
      </c>
      <c r="I8356" s="816"/>
      <c r="J8356" s="817">
        <v>5.9900000000000002E-2</v>
      </c>
      <c r="K8356" s="817"/>
      <c r="L8356" s="817"/>
    </row>
    <row r="8357" spans="1:12" ht="48" customHeight="1">
      <c r="A8357" s="626" t="s">
        <v>12709</v>
      </c>
      <c r="B8357" s="627" t="s">
        <v>13249</v>
      </c>
      <c r="C8357" s="626" t="s">
        <v>8</v>
      </c>
      <c r="D8357" s="626" t="s">
        <v>8420</v>
      </c>
      <c r="E8357" s="628" t="s">
        <v>20</v>
      </c>
      <c r="F8357" s="816" t="s">
        <v>13700</v>
      </c>
      <c r="G8357" s="816"/>
      <c r="H8357" s="816">
        <v>0.43257289999999998</v>
      </c>
      <c r="I8357" s="816"/>
      <c r="J8357" s="817">
        <v>0.21199999999999999</v>
      </c>
      <c r="K8357" s="817"/>
      <c r="L8357" s="817"/>
    </row>
    <row r="8358" spans="1:12" ht="24" customHeight="1">
      <c r="A8358" s="636"/>
      <c r="B8358" s="636"/>
      <c r="C8358" s="636"/>
      <c r="D8358" s="636"/>
      <c r="E8358" s="636"/>
      <c r="F8358" s="636"/>
      <c r="G8358" s="636"/>
      <c r="H8358" s="636"/>
      <c r="I8358" s="636"/>
      <c r="J8358" s="636" t="s">
        <v>13675</v>
      </c>
      <c r="K8358" s="636"/>
      <c r="L8358" s="636" t="s">
        <v>14099</v>
      </c>
    </row>
    <row r="8359" spans="1:12" ht="17.100000000000001" customHeight="1">
      <c r="A8359" s="802" t="s">
        <v>12722</v>
      </c>
      <c r="B8359" s="802"/>
      <c r="C8359" s="802"/>
      <c r="D8359" s="802"/>
      <c r="E8359" s="802"/>
      <c r="F8359" s="802"/>
      <c r="G8359" s="802"/>
      <c r="H8359" s="802"/>
      <c r="I8359" s="612"/>
      <c r="J8359" s="612"/>
      <c r="K8359" s="612"/>
      <c r="L8359" s="612"/>
    </row>
    <row r="8360" spans="1:12">
      <c r="A8360" s="612" t="s">
        <v>13679</v>
      </c>
      <c r="B8360" s="636" t="s">
        <v>12698</v>
      </c>
      <c r="C8360" s="612" t="s">
        <v>12699</v>
      </c>
      <c r="D8360" s="612" t="s">
        <v>12700</v>
      </c>
      <c r="E8360" s="637" t="s">
        <v>12702</v>
      </c>
      <c r="F8360" s="801" t="s">
        <v>12704</v>
      </c>
      <c r="G8360" s="801"/>
      <c r="H8360" s="801" t="s">
        <v>13678</v>
      </c>
      <c r="I8360" s="801"/>
      <c r="J8360" s="801" t="s">
        <v>12705</v>
      </c>
      <c r="K8360" s="801"/>
      <c r="L8360" s="801"/>
    </row>
    <row r="8361" spans="1:12" ht="17.100000000000001" customHeight="1">
      <c r="A8361" s="626" t="s">
        <v>12709</v>
      </c>
      <c r="B8361" s="627" t="s">
        <v>12998</v>
      </c>
      <c r="C8361" s="626" t="s">
        <v>8</v>
      </c>
      <c r="D8361" s="626" t="s">
        <v>11861</v>
      </c>
      <c r="E8361" s="628" t="s">
        <v>23</v>
      </c>
      <c r="F8361" s="816" t="s">
        <v>13683</v>
      </c>
      <c r="G8361" s="816"/>
      <c r="H8361" s="816">
        <v>0.29628070000000001</v>
      </c>
      <c r="I8361" s="816"/>
      <c r="J8361" s="817">
        <v>0.2104</v>
      </c>
      <c r="K8361" s="817"/>
      <c r="L8361" s="817"/>
    </row>
    <row r="8362" spans="1:12" ht="24" customHeight="1">
      <c r="A8362" s="636"/>
      <c r="B8362" s="636"/>
      <c r="C8362" s="636"/>
      <c r="D8362" s="636"/>
      <c r="E8362" s="636"/>
      <c r="F8362" s="636"/>
      <c r="G8362" s="636"/>
      <c r="H8362" s="636"/>
      <c r="I8362" s="636"/>
      <c r="J8362" s="636" t="s">
        <v>13675</v>
      </c>
      <c r="K8362" s="636"/>
      <c r="L8362" s="636" t="s">
        <v>13775</v>
      </c>
    </row>
    <row r="8363" spans="1:12" ht="17.100000000000001" customHeight="1">
      <c r="A8363" s="802" t="s">
        <v>12713</v>
      </c>
      <c r="B8363" s="802"/>
      <c r="C8363" s="802"/>
      <c r="D8363" s="802"/>
      <c r="E8363" s="802"/>
      <c r="F8363" s="802"/>
      <c r="G8363" s="802"/>
      <c r="H8363" s="802"/>
      <c r="I8363" s="612"/>
      <c r="J8363" s="612"/>
      <c r="K8363" s="612"/>
      <c r="L8363" s="612"/>
    </row>
    <row r="8364" spans="1:12">
      <c r="A8364" s="612" t="s">
        <v>13679</v>
      </c>
      <c r="B8364" s="636" t="s">
        <v>12698</v>
      </c>
      <c r="C8364" s="612" t="s">
        <v>12699</v>
      </c>
      <c r="D8364" s="612" t="s">
        <v>12700</v>
      </c>
      <c r="E8364" s="637" t="s">
        <v>12702</v>
      </c>
      <c r="F8364" s="801" t="s">
        <v>12704</v>
      </c>
      <c r="G8364" s="801"/>
      <c r="H8364" s="801" t="s">
        <v>13678</v>
      </c>
      <c r="I8364" s="801"/>
      <c r="J8364" s="801" t="s">
        <v>12705</v>
      </c>
      <c r="K8364" s="801"/>
      <c r="L8364" s="801"/>
    </row>
    <row r="8365" spans="1:12" ht="17.100000000000001" customHeight="1">
      <c r="A8365" s="626" t="s">
        <v>12709</v>
      </c>
      <c r="B8365" s="627" t="s">
        <v>12999</v>
      </c>
      <c r="C8365" s="626" t="s">
        <v>8</v>
      </c>
      <c r="D8365" s="626" t="s">
        <v>11251</v>
      </c>
      <c r="E8365" s="628" t="s">
        <v>23</v>
      </c>
      <c r="F8365" s="816" t="s">
        <v>13681</v>
      </c>
      <c r="G8365" s="816"/>
      <c r="H8365" s="816">
        <v>0.29628070000000001</v>
      </c>
      <c r="I8365" s="816"/>
      <c r="J8365" s="817">
        <v>2.07E-2</v>
      </c>
      <c r="K8365" s="817"/>
      <c r="L8365" s="817"/>
    </row>
    <row r="8366" spans="1:12" ht="24" customHeight="1">
      <c r="A8366" s="636"/>
      <c r="B8366" s="636"/>
      <c r="C8366" s="636"/>
      <c r="D8366" s="636"/>
      <c r="E8366" s="636"/>
      <c r="F8366" s="636"/>
      <c r="G8366" s="636"/>
      <c r="H8366" s="636"/>
      <c r="I8366" s="636"/>
      <c r="J8366" s="636" t="s">
        <v>13675</v>
      </c>
      <c r="K8366" s="636"/>
      <c r="L8366" s="636" t="s">
        <v>13680</v>
      </c>
    </row>
    <row r="8367" spans="1:12" ht="17.100000000000001" customHeight="1">
      <c r="A8367" s="802" t="s">
        <v>12712</v>
      </c>
      <c r="B8367" s="802"/>
      <c r="C8367" s="802"/>
      <c r="D8367" s="802"/>
      <c r="E8367" s="802"/>
      <c r="F8367" s="802"/>
      <c r="G8367" s="802"/>
      <c r="H8367" s="802"/>
      <c r="I8367" s="612"/>
      <c r="J8367" s="612"/>
      <c r="K8367" s="612"/>
      <c r="L8367" s="612"/>
    </row>
    <row r="8368" spans="1:12">
      <c r="A8368" s="612" t="s">
        <v>13679</v>
      </c>
      <c r="B8368" s="636" t="s">
        <v>12698</v>
      </c>
      <c r="C8368" s="612" t="s">
        <v>12699</v>
      </c>
      <c r="D8368" s="612" t="s">
        <v>12700</v>
      </c>
      <c r="E8368" s="637" t="s">
        <v>12702</v>
      </c>
      <c r="F8368" s="801" t="s">
        <v>12704</v>
      </c>
      <c r="G8368" s="801"/>
      <c r="H8368" s="801" t="s">
        <v>13678</v>
      </c>
      <c r="I8368" s="801"/>
      <c r="J8368" s="801" t="s">
        <v>12705</v>
      </c>
      <c r="K8368" s="801"/>
      <c r="L8368" s="801"/>
    </row>
    <row r="8369" spans="1:12" ht="17.100000000000001" customHeight="1">
      <c r="A8369" s="626" t="s">
        <v>12709</v>
      </c>
      <c r="B8369" s="627" t="s">
        <v>13002</v>
      </c>
      <c r="C8369" s="626" t="s">
        <v>8</v>
      </c>
      <c r="D8369" s="626" t="s">
        <v>9306</v>
      </c>
      <c r="E8369" s="628" t="s">
        <v>23</v>
      </c>
      <c r="F8369" s="816" t="s">
        <v>13677</v>
      </c>
      <c r="G8369" s="816"/>
      <c r="H8369" s="816">
        <v>0.29628070000000001</v>
      </c>
      <c r="I8369" s="816"/>
      <c r="J8369" s="817">
        <v>0.1037</v>
      </c>
      <c r="K8369" s="817"/>
      <c r="L8369" s="817"/>
    </row>
    <row r="8370" spans="1:12" ht="24" customHeight="1">
      <c r="A8370" s="626" t="s">
        <v>12709</v>
      </c>
      <c r="B8370" s="627" t="s">
        <v>13004</v>
      </c>
      <c r="C8370" s="626" t="s">
        <v>8</v>
      </c>
      <c r="D8370" s="626" t="s">
        <v>7388</v>
      </c>
      <c r="E8370" s="628" t="s">
        <v>23</v>
      </c>
      <c r="F8370" s="816" t="s">
        <v>13676</v>
      </c>
      <c r="G8370" s="816"/>
      <c r="H8370" s="816">
        <v>0.29628070000000001</v>
      </c>
      <c r="I8370" s="816"/>
      <c r="J8370" s="817">
        <v>0.65180000000000005</v>
      </c>
      <c r="K8370" s="817"/>
      <c r="L8370" s="817"/>
    </row>
    <row r="8371" spans="1:12" ht="24" customHeight="1">
      <c r="A8371" s="636"/>
      <c r="B8371" s="636"/>
      <c r="C8371" s="636"/>
      <c r="D8371" s="636"/>
      <c r="E8371" s="636"/>
      <c r="F8371" s="636"/>
      <c r="G8371" s="636"/>
      <c r="H8371" s="636"/>
      <c r="I8371" s="636"/>
      <c r="J8371" s="636" t="s">
        <v>13675</v>
      </c>
      <c r="K8371" s="636"/>
      <c r="L8371" s="636" t="s">
        <v>13932</v>
      </c>
    </row>
    <row r="8372" spans="1:12" ht="17.100000000000001" customHeight="1">
      <c r="A8372" s="612" t="s">
        <v>13673</v>
      </c>
      <c r="B8372" s="612"/>
      <c r="C8372" s="612"/>
      <c r="D8372" s="612"/>
      <c r="E8372" s="612"/>
      <c r="F8372" s="612"/>
      <c r="G8372" s="612"/>
      <c r="H8372" s="612"/>
      <c r="I8372" s="612"/>
      <c r="J8372" s="612"/>
      <c r="K8372" s="612"/>
      <c r="L8372" s="612"/>
    </row>
    <row r="8373" spans="1:12" ht="17.100000000000001" customHeight="1">
      <c r="A8373" s="636"/>
      <c r="B8373" s="636"/>
      <c r="C8373" s="636"/>
      <c r="D8373" s="636"/>
      <c r="E8373" s="636"/>
      <c r="F8373" s="636"/>
      <c r="G8373" s="636"/>
      <c r="H8373" s="636"/>
      <c r="I8373" s="636"/>
      <c r="J8373" s="636" t="s">
        <v>13672</v>
      </c>
      <c r="K8373" s="636"/>
      <c r="L8373" s="636" t="s">
        <v>15503</v>
      </c>
    </row>
    <row r="8374" spans="1:12" ht="17.100000000000001" customHeight="1">
      <c r="A8374" s="636"/>
      <c r="B8374" s="636"/>
      <c r="C8374" s="636"/>
      <c r="D8374" s="636"/>
      <c r="E8374" s="636"/>
      <c r="F8374" s="636"/>
      <c r="G8374" s="636"/>
      <c r="H8374" s="636"/>
      <c r="I8374" s="636"/>
      <c r="J8374" s="636" t="s">
        <v>13671</v>
      </c>
      <c r="K8374" s="636" t="s">
        <v>14461</v>
      </c>
      <c r="L8374" s="636" t="s">
        <v>15209</v>
      </c>
    </row>
    <row r="8375" spans="1:12" ht="17.100000000000001" customHeight="1">
      <c r="A8375" s="636"/>
      <c r="B8375" s="636"/>
      <c r="C8375" s="636"/>
      <c r="D8375" s="636"/>
      <c r="E8375" s="636"/>
      <c r="F8375" s="636"/>
      <c r="G8375" s="636"/>
      <c r="H8375" s="636"/>
      <c r="I8375" s="636"/>
      <c r="J8375" s="636" t="s">
        <v>13670</v>
      </c>
      <c r="K8375" s="636"/>
      <c r="L8375" s="636" t="s">
        <v>15504</v>
      </c>
    </row>
    <row r="8376" spans="1:12" ht="17.100000000000001" customHeight="1">
      <c r="A8376" s="636"/>
      <c r="B8376" s="636"/>
      <c r="C8376" s="636"/>
      <c r="D8376" s="636"/>
      <c r="E8376" s="636"/>
      <c r="F8376" s="636"/>
      <c r="G8376" s="636"/>
      <c r="H8376" s="636"/>
      <c r="I8376" s="636"/>
      <c r="J8376" s="636" t="s">
        <v>13669</v>
      </c>
      <c r="K8376" s="636" t="s">
        <v>13667</v>
      </c>
      <c r="L8376" s="636" t="s">
        <v>15505</v>
      </c>
    </row>
    <row r="8377" spans="1:12" ht="17.100000000000001" customHeight="1">
      <c r="A8377" s="636"/>
      <c r="B8377" s="636"/>
      <c r="C8377" s="636"/>
      <c r="D8377" s="636"/>
      <c r="E8377" s="636"/>
      <c r="F8377" s="636"/>
      <c r="G8377" s="636"/>
      <c r="H8377" s="636"/>
      <c r="I8377" s="636"/>
      <c r="J8377" s="636" t="s">
        <v>13668</v>
      </c>
      <c r="K8377" s="636"/>
      <c r="L8377" s="636" t="s">
        <v>15272</v>
      </c>
    </row>
    <row r="8378" spans="1:12" ht="17.100000000000001" customHeight="1">
      <c r="A8378" s="637"/>
      <c r="B8378" s="637"/>
      <c r="C8378" s="637"/>
      <c r="D8378" s="637"/>
      <c r="E8378" s="637"/>
      <c r="F8378" s="637"/>
      <c r="G8378" s="637"/>
      <c r="H8378" s="637"/>
      <c r="I8378" s="637"/>
      <c r="J8378" s="637"/>
      <c r="K8378" s="637"/>
      <c r="L8378" s="637"/>
    </row>
    <row r="8379" spans="1:12" ht="30" customHeight="1">
      <c r="A8379" s="616" t="s">
        <v>13931</v>
      </c>
      <c r="B8379" s="617" t="s">
        <v>13437</v>
      </c>
      <c r="C8379" s="616" t="s">
        <v>8</v>
      </c>
      <c r="D8379" s="616" t="s">
        <v>2543</v>
      </c>
      <c r="E8379" s="618" t="s">
        <v>35</v>
      </c>
      <c r="F8379" s="617"/>
      <c r="G8379" s="617"/>
      <c r="H8379" s="617"/>
      <c r="I8379" s="617"/>
      <c r="J8379" s="617"/>
      <c r="K8379" s="617"/>
      <c r="L8379" s="617"/>
    </row>
    <row r="8380" spans="1:12" ht="36" customHeight="1">
      <c r="A8380" s="802" t="s">
        <v>12711</v>
      </c>
      <c r="B8380" s="802"/>
      <c r="C8380" s="802"/>
      <c r="D8380" s="802"/>
      <c r="E8380" s="802"/>
      <c r="F8380" s="802"/>
      <c r="G8380" s="802"/>
      <c r="H8380" s="802"/>
      <c r="I8380" s="612"/>
      <c r="J8380" s="612"/>
      <c r="K8380" s="612"/>
      <c r="L8380" s="612"/>
    </row>
    <row r="8381" spans="1:12" ht="14.25" customHeight="1">
      <c r="A8381" s="612" t="s">
        <v>13679</v>
      </c>
      <c r="B8381" s="636" t="s">
        <v>12698</v>
      </c>
      <c r="C8381" s="612" t="s">
        <v>12699</v>
      </c>
      <c r="D8381" s="612" t="s">
        <v>12700</v>
      </c>
      <c r="E8381" s="637" t="s">
        <v>12702</v>
      </c>
      <c r="F8381" s="801" t="s">
        <v>12704</v>
      </c>
      <c r="G8381" s="801"/>
      <c r="H8381" s="801" t="s">
        <v>13678</v>
      </c>
      <c r="I8381" s="801"/>
      <c r="J8381" s="801" t="s">
        <v>12705</v>
      </c>
      <c r="K8381" s="801"/>
      <c r="L8381" s="801"/>
    </row>
    <row r="8382" spans="1:12" ht="17.100000000000001" customHeight="1">
      <c r="A8382" s="626" t="s">
        <v>12709</v>
      </c>
      <c r="B8382" s="627" t="s">
        <v>13048</v>
      </c>
      <c r="C8382" s="626" t="s">
        <v>8</v>
      </c>
      <c r="D8382" s="626" t="s">
        <v>9233</v>
      </c>
      <c r="E8382" s="628" t="s">
        <v>23</v>
      </c>
      <c r="F8382" s="816" t="s">
        <v>13690</v>
      </c>
      <c r="G8382" s="816"/>
      <c r="H8382" s="816">
        <v>7.6816999999999996E-3</v>
      </c>
      <c r="I8382" s="816"/>
      <c r="J8382" s="817">
        <v>7.7999999999999996E-3</v>
      </c>
      <c r="K8382" s="817"/>
      <c r="L8382" s="817"/>
    </row>
    <row r="8383" spans="1:12" ht="24" customHeight="1">
      <c r="A8383" s="626" t="s">
        <v>12709</v>
      </c>
      <c r="B8383" s="627" t="s">
        <v>13047</v>
      </c>
      <c r="C8383" s="626" t="s">
        <v>8</v>
      </c>
      <c r="D8383" s="626" t="s">
        <v>9380</v>
      </c>
      <c r="E8383" s="628" t="s">
        <v>23</v>
      </c>
      <c r="F8383" s="816" t="s">
        <v>13689</v>
      </c>
      <c r="G8383" s="816"/>
      <c r="H8383" s="816">
        <v>7.6816999999999996E-3</v>
      </c>
      <c r="I8383" s="816"/>
      <c r="J8383" s="817">
        <v>2.8999999999999998E-3</v>
      </c>
      <c r="K8383" s="817"/>
      <c r="L8383" s="817"/>
    </row>
    <row r="8384" spans="1:12" ht="24" customHeight="1">
      <c r="A8384" s="626" t="s">
        <v>12709</v>
      </c>
      <c r="B8384" s="627" t="s">
        <v>13134</v>
      </c>
      <c r="C8384" s="626" t="s">
        <v>8</v>
      </c>
      <c r="D8384" s="626" t="s">
        <v>9219</v>
      </c>
      <c r="E8384" s="628" t="s">
        <v>23</v>
      </c>
      <c r="F8384" s="816" t="s">
        <v>13782</v>
      </c>
      <c r="G8384" s="816"/>
      <c r="H8384" s="816">
        <v>0.4919944</v>
      </c>
      <c r="I8384" s="816"/>
      <c r="J8384" s="817">
        <v>0.45760000000000001</v>
      </c>
      <c r="K8384" s="817"/>
      <c r="L8384" s="817"/>
    </row>
    <row r="8385" spans="1:12" ht="17.100000000000001" customHeight="1">
      <c r="A8385" s="626" t="s">
        <v>12709</v>
      </c>
      <c r="B8385" s="627" t="s">
        <v>13133</v>
      </c>
      <c r="C8385" s="626" t="s">
        <v>8</v>
      </c>
      <c r="D8385" s="626" t="s">
        <v>9366</v>
      </c>
      <c r="E8385" s="628" t="s">
        <v>23</v>
      </c>
      <c r="F8385" s="816" t="s">
        <v>13781</v>
      </c>
      <c r="G8385" s="816"/>
      <c r="H8385" s="816">
        <v>0.4919944</v>
      </c>
      <c r="I8385" s="816"/>
      <c r="J8385" s="817">
        <v>0.27060000000000001</v>
      </c>
      <c r="K8385" s="817"/>
      <c r="L8385" s="817"/>
    </row>
    <row r="8386" spans="1:12" ht="14.25" customHeight="1">
      <c r="A8386" s="636"/>
      <c r="B8386" s="636"/>
      <c r="C8386" s="636"/>
      <c r="D8386" s="636"/>
      <c r="E8386" s="636"/>
      <c r="F8386" s="636"/>
      <c r="G8386" s="636"/>
      <c r="H8386" s="636"/>
      <c r="I8386" s="636"/>
      <c r="J8386" s="636" t="s">
        <v>13675</v>
      </c>
      <c r="K8386" s="636"/>
      <c r="L8386" s="636" t="s">
        <v>13720</v>
      </c>
    </row>
    <row r="8387" spans="1:12" ht="17.100000000000001" customHeight="1">
      <c r="A8387" s="802" t="s">
        <v>12710</v>
      </c>
      <c r="B8387" s="802"/>
      <c r="C8387" s="802"/>
      <c r="D8387" s="802"/>
      <c r="E8387" s="802"/>
      <c r="F8387" s="802"/>
      <c r="G8387" s="802"/>
      <c r="H8387" s="802"/>
      <c r="I8387" s="612"/>
      <c r="J8387" s="612"/>
      <c r="K8387" s="612"/>
      <c r="L8387" s="612"/>
    </row>
    <row r="8388" spans="1:12" ht="24" customHeight="1">
      <c r="A8388" s="612" t="s">
        <v>13679</v>
      </c>
      <c r="B8388" s="636" t="s">
        <v>12698</v>
      </c>
      <c r="C8388" s="612" t="s">
        <v>12699</v>
      </c>
      <c r="D8388" s="612" t="s">
        <v>12700</v>
      </c>
      <c r="E8388" s="637" t="s">
        <v>12702</v>
      </c>
      <c r="F8388" s="801" t="s">
        <v>12704</v>
      </c>
      <c r="G8388" s="801"/>
      <c r="H8388" s="801" t="s">
        <v>13678</v>
      </c>
      <c r="I8388" s="801"/>
      <c r="J8388" s="801" t="s">
        <v>12705</v>
      </c>
      <c r="K8388" s="801"/>
      <c r="L8388" s="801"/>
    </row>
    <row r="8389" spans="1:12" ht="24" customHeight="1">
      <c r="A8389" s="626" t="s">
        <v>12709</v>
      </c>
      <c r="B8389" s="627" t="s">
        <v>13046</v>
      </c>
      <c r="C8389" s="626" t="s">
        <v>8</v>
      </c>
      <c r="D8389" s="626" t="s">
        <v>11281</v>
      </c>
      <c r="E8389" s="628" t="s">
        <v>23</v>
      </c>
      <c r="F8389" s="816" t="s">
        <v>13731</v>
      </c>
      <c r="G8389" s="816"/>
      <c r="H8389" s="816">
        <v>7.8150000000000008E-3</v>
      </c>
      <c r="I8389" s="816"/>
      <c r="J8389" s="817">
        <v>4.02E-2</v>
      </c>
      <c r="K8389" s="817"/>
      <c r="L8389" s="817"/>
    </row>
    <row r="8390" spans="1:12" ht="17.100000000000001" customHeight="1">
      <c r="A8390" s="626" t="s">
        <v>12709</v>
      </c>
      <c r="B8390" s="627" t="s">
        <v>13222</v>
      </c>
      <c r="C8390" s="626" t="s">
        <v>8</v>
      </c>
      <c r="D8390" s="626" t="s">
        <v>7364</v>
      </c>
      <c r="E8390" s="628" t="s">
        <v>23</v>
      </c>
      <c r="F8390" s="816" t="s">
        <v>13808</v>
      </c>
      <c r="G8390" s="816"/>
      <c r="H8390" s="816">
        <v>0.25300630000000002</v>
      </c>
      <c r="I8390" s="816"/>
      <c r="J8390" s="817">
        <v>1.2701</v>
      </c>
      <c r="K8390" s="817"/>
      <c r="L8390" s="817"/>
    </row>
    <row r="8391" spans="1:12" ht="25.5">
      <c r="A8391" s="626" t="s">
        <v>12709</v>
      </c>
      <c r="B8391" s="627" t="s">
        <v>13204</v>
      </c>
      <c r="C8391" s="626" t="s">
        <v>8</v>
      </c>
      <c r="D8391" s="626" t="s">
        <v>9112</v>
      </c>
      <c r="E8391" s="628" t="s">
        <v>23</v>
      </c>
      <c r="F8391" s="816" t="s">
        <v>14479</v>
      </c>
      <c r="G8391" s="816"/>
      <c r="H8391" s="816">
        <v>0.25300630000000002</v>
      </c>
      <c r="I8391" s="816"/>
      <c r="J8391" s="817">
        <v>1.8089999999999999</v>
      </c>
      <c r="K8391" s="817"/>
      <c r="L8391" s="817"/>
    </row>
    <row r="8392" spans="1:12" ht="17.100000000000001" customHeight="1">
      <c r="A8392" s="636"/>
      <c r="B8392" s="636"/>
      <c r="C8392" s="636"/>
      <c r="D8392" s="636"/>
      <c r="E8392" s="636"/>
      <c r="F8392" s="636"/>
      <c r="G8392" s="636"/>
      <c r="H8392" s="636"/>
      <c r="I8392" s="636"/>
      <c r="J8392" s="636" t="s">
        <v>13675</v>
      </c>
      <c r="K8392" s="636"/>
      <c r="L8392" s="636" t="s">
        <v>14598</v>
      </c>
    </row>
    <row r="8393" spans="1:12" ht="24" customHeight="1">
      <c r="A8393" s="802" t="s">
        <v>12720</v>
      </c>
      <c r="B8393" s="802"/>
      <c r="C8393" s="802"/>
      <c r="D8393" s="802"/>
      <c r="E8393" s="802"/>
      <c r="F8393" s="802"/>
      <c r="G8393" s="802"/>
      <c r="H8393" s="802"/>
      <c r="I8393" s="612"/>
      <c r="J8393" s="612"/>
      <c r="K8393" s="612"/>
      <c r="L8393" s="612"/>
    </row>
    <row r="8394" spans="1:12" ht="48" customHeight="1">
      <c r="A8394" s="612" t="s">
        <v>13679</v>
      </c>
      <c r="B8394" s="636" t="s">
        <v>12698</v>
      </c>
      <c r="C8394" s="612" t="s">
        <v>12699</v>
      </c>
      <c r="D8394" s="612" t="s">
        <v>12700</v>
      </c>
      <c r="E8394" s="637" t="s">
        <v>12702</v>
      </c>
      <c r="F8394" s="801" t="s">
        <v>12704</v>
      </c>
      <c r="G8394" s="801"/>
      <c r="H8394" s="801" t="s">
        <v>13678</v>
      </c>
      <c r="I8394" s="801"/>
      <c r="J8394" s="801" t="s">
        <v>12705</v>
      </c>
      <c r="K8394" s="801"/>
      <c r="L8394" s="801"/>
    </row>
    <row r="8395" spans="1:12" ht="17.100000000000001" customHeight="1">
      <c r="A8395" s="626" t="s">
        <v>12709</v>
      </c>
      <c r="B8395" s="627" t="s">
        <v>13436</v>
      </c>
      <c r="C8395" s="626" t="s">
        <v>8</v>
      </c>
      <c r="D8395" s="626" t="s">
        <v>8131</v>
      </c>
      <c r="E8395" s="628" t="s">
        <v>35</v>
      </c>
      <c r="F8395" s="816" t="s">
        <v>14597</v>
      </c>
      <c r="G8395" s="816"/>
      <c r="H8395" s="816">
        <v>1</v>
      </c>
      <c r="I8395" s="816"/>
      <c r="J8395" s="817">
        <v>1.68</v>
      </c>
      <c r="K8395" s="817"/>
      <c r="L8395" s="817"/>
    </row>
    <row r="8396" spans="1:12" ht="25.5">
      <c r="A8396" s="626" t="s">
        <v>12709</v>
      </c>
      <c r="B8396" s="627" t="s">
        <v>13250</v>
      </c>
      <c r="C8396" s="626" t="s">
        <v>8</v>
      </c>
      <c r="D8396" s="626" t="s">
        <v>7526</v>
      </c>
      <c r="E8396" s="628" t="s">
        <v>12730</v>
      </c>
      <c r="F8396" s="816" t="s">
        <v>13747</v>
      </c>
      <c r="G8396" s="816"/>
      <c r="H8396" s="816">
        <v>9.5909999999999995E-4</v>
      </c>
      <c r="I8396" s="816"/>
      <c r="J8396" s="817">
        <v>5.9900000000000002E-2</v>
      </c>
      <c r="K8396" s="817"/>
      <c r="L8396" s="817"/>
    </row>
    <row r="8397" spans="1:12" ht="17.100000000000001" customHeight="1">
      <c r="A8397" s="626" t="s">
        <v>12709</v>
      </c>
      <c r="B8397" s="627" t="s">
        <v>13249</v>
      </c>
      <c r="C8397" s="626" t="s">
        <v>8</v>
      </c>
      <c r="D8397" s="626" t="s">
        <v>8420</v>
      </c>
      <c r="E8397" s="628" t="s">
        <v>20</v>
      </c>
      <c r="F8397" s="816" t="s">
        <v>13700</v>
      </c>
      <c r="G8397" s="816"/>
      <c r="H8397" s="816">
        <v>0.43289929999999999</v>
      </c>
      <c r="I8397" s="816"/>
      <c r="J8397" s="817">
        <v>0.21210000000000001</v>
      </c>
      <c r="K8397" s="817"/>
      <c r="L8397" s="817"/>
    </row>
    <row r="8398" spans="1:12" ht="24" customHeight="1">
      <c r="A8398" s="636"/>
      <c r="B8398" s="636"/>
      <c r="C8398" s="636"/>
      <c r="D8398" s="636"/>
      <c r="E8398" s="636"/>
      <c r="F8398" s="636"/>
      <c r="G8398" s="636"/>
      <c r="H8398" s="636"/>
      <c r="I8398" s="636"/>
      <c r="J8398" s="636" t="s">
        <v>13675</v>
      </c>
      <c r="K8398" s="636"/>
      <c r="L8398" s="636" t="s">
        <v>14099</v>
      </c>
    </row>
    <row r="8399" spans="1:12" ht="17.100000000000001" customHeight="1">
      <c r="A8399" s="802" t="s">
        <v>12722</v>
      </c>
      <c r="B8399" s="802"/>
      <c r="C8399" s="802"/>
      <c r="D8399" s="802"/>
      <c r="E8399" s="802"/>
      <c r="F8399" s="802"/>
      <c r="G8399" s="802"/>
      <c r="H8399" s="802"/>
      <c r="I8399" s="612"/>
      <c r="J8399" s="612"/>
      <c r="K8399" s="612"/>
      <c r="L8399" s="612"/>
    </row>
    <row r="8400" spans="1:12">
      <c r="A8400" s="612" t="s">
        <v>13679</v>
      </c>
      <c r="B8400" s="636" t="s">
        <v>12698</v>
      </c>
      <c r="C8400" s="612" t="s">
        <v>12699</v>
      </c>
      <c r="D8400" s="612" t="s">
        <v>12700</v>
      </c>
      <c r="E8400" s="637" t="s">
        <v>12702</v>
      </c>
      <c r="F8400" s="801" t="s">
        <v>12704</v>
      </c>
      <c r="G8400" s="801"/>
      <c r="H8400" s="801" t="s">
        <v>13678</v>
      </c>
      <c r="I8400" s="801"/>
      <c r="J8400" s="801" t="s">
        <v>12705</v>
      </c>
      <c r="K8400" s="801"/>
      <c r="L8400" s="801"/>
    </row>
    <row r="8401" spans="1:12" ht="17.100000000000001" customHeight="1">
      <c r="A8401" s="626" t="s">
        <v>12709</v>
      </c>
      <c r="B8401" s="627" t="s">
        <v>12998</v>
      </c>
      <c r="C8401" s="626" t="s">
        <v>8</v>
      </c>
      <c r="D8401" s="626" t="s">
        <v>11861</v>
      </c>
      <c r="E8401" s="628" t="s">
        <v>23</v>
      </c>
      <c r="F8401" s="816" t="s">
        <v>13683</v>
      </c>
      <c r="G8401" s="816"/>
      <c r="H8401" s="816">
        <v>0.49967600000000001</v>
      </c>
      <c r="I8401" s="816"/>
      <c r="J8401" s="817">
        <v>0.3548</v>
      </c>
      <c r="K8401" s="817"/>
      <c r="L8401" s="817"/>
    </row>
    <row r="8402" spans="1:12" ht="24" customHeight="1">
      <c r="A8402" s="636"/>
      <c r="B8402" s="636"/>
      <c r="C8402" s="636"/>
      <c r="D8402" s="636"/>
      <c r="E8402" s="636"/>
      <c r="F8402" s="636"/>
      <c r="G8402" s="636"/>
      <c r="H8402" s="636"/>
      <c r="I8402" s="636"/>
      <c r="J8402" s="636" t="s">
        <v>13675</v>
      </c>
      <c r="K8402" s="636"/>
      <c r="L8402" s="636" t="s">
        <v>13677</v>
      </c>
    </row>
    <row r="8403" spans="1:12" ht="17.100000000000001" customHeight="1">
      <c r="A8403" s="802" t="s">
        <v>12713</v>
      </c>
      <c r="B8403" s="802"/>
      <c r="C8403" s="802"/>
      <c r="D8403" s="802"/>
      <c r="E8403" s="802"/>
      <c r="F8403" s="802"/>
      <c r="G8403" s="802"/>
      <c r="H8403" s="802"/>
      <c r="I8403" s="612"/>
      <c r="J8403" s="612"/>
      <c r="K8403" s="612"/>
      <c r="L8403" s="612"/>
    </row>
    <row r="8404" spans="1:12">
      <c r="A8404" s="612" t="s">
        <v>13679</v>
      </c>
      <c r="B8404" s="636" t="s">
        <v>12698</v>
      </c>
      <c r="C8404" s="612" t="s">
        <v>12699</v>
      </c>
      <c r="D8404" s="612" t="s">
        <v>12700</v>
      </c>
      <c r="E8404" s="637" t="s">
        <v>12702</v>
      </c>
      <c r="F8404" s="801" t="s">
        <v>12704</v>
      </c>
      <c r="G8404" s="801"/>
      <c r="H8404" s="801" t="s">
        <v>13678</v>
      </c>
      <c r="I8404" s="801"/>
      <c r="J8404" s="801" t="s">
        <v>12705</v>
      </c>
      <c r="K8404" s="801"/>
      <c r="L8404" s="801"/>
    </row>
    <row r="8405" spans="1:12" ht="17.100000000000001" customHeight="1">
      <c r="A8405" s="626" t="s">
        <v>12709</v>
      </c>
      <c r="B8405" s="627" t="s">
        <v>12999</v>
      </c>
      <c r="C8405" s="626" t="s">
        <v>8</v>
      </c>
      <c r="D8405" s="626" t="s">
        <v>11251</v>
      </c>
      <c r="E8405" s="628" t="s">
        <v>23</v>
      </c>
      <c r="F8405" s="816" t="s">
        <v>13681</v>
      </c>
      <c r="G8405" s="816"/>
      <c r="H8405" s="816">
        <v>0.49967600000000001</v>
      </c>
      <c r="I8405" s="816"/>
      <c r="J8405" s="817">
        <v>3.5000000000000003E-2</v>
      </c>
      <c r="K8405" s="817"/>
      <c r="L8405" s="817"/>
    </row>
    <row r="8406" spans="1:12" ht="24" customHeight="1">
      <c r="A8406" s="636"/>
      <c r="B8406" s="636"/>
      <c r="C8406" s="636"/>
      <c r="D8406" s="636"/>
      <c r="E8406" s="636"/>
      <c r="F8406" s="636"/>
      <c r="G8406" s="636"/>
      <c r="H8406" s="636"/>
      <c r="I8406" s="636"/>
      <c r="J8406" s="636" t="s">
        <v>13675</v>
      </c>
      <c r="K8406" s="636"/>
      <c r="L8406" s="636" t="s">
        <v>13726</v>
      </c>
    </row>
    <row r="8407" spans="1:12" ht="24" customHeight="1">
      <c r="A8407" s="802" t="s">
        <v>12712</v>
      </c>
      <c r="B8407" s="802"/>
      <c r="C8407" s="802"/>
      <c r="D8407" s="802"/>
      <c r="E8407" s="802"/>
      <c r="F8407" s="802"/>
      <c r="G8407" s="802"/>
      <c r="H8407" s="802"/>
      <c r="I8407" s="612"/>
      <c r="J8407" s="612"/>
      <c r="K8407" s="612"/>
      <c r="L8407" s="612"/>
    </row>
    <row r="8408" spans="1:12" ht="17.100000000000001" customHeight="1">
      <c r="A8408" s="612" t="s">
        <v>13679</v>
      </c>
      <c r="B8408" s="636" t="s">
        <v>12698</v>
      </c>
      <c r="C8408" s="612" t="s">
        <v>12699</v>
      </c>
      <c r="D8408" s="612" t="s">
        <v>12700</v>
      </c>
      <c r="E8408" s="637" t="s">
        <v>12702</v>
      </c>
      <c r="F8408" s="801" t="s">
        <v>12704</v>
      </c>
      <c r="G8408" s="801"/>
      <c r="H8408" s="801" t="s">
        <v>13678</v>
      </c>
      <c r="I8408" s="801"/>
      <c r="J8408" s="801" t="s">
        <v>12705</v>
      </c>
      <c r="K8408" s="801"/>
      <c r="L8408" s="801"/>
    </row>
    <row r="8409" spans="1:12" ht="17.100000000000001" customHeight="1">
      <c r="A8409" s="626" t="s">
        <v>12709</v>
      </c>
      <c r="B8409" s="627" t="s">
        <v>13002</v>
      </c>
      <c r="C8409" s="626" t="s">
        <v>8</v>
      </c>
      <c r="D8409" s="626" t="s">
        <v>9306</v>
      </c>
      <c r="E8409" s="628" t="s">
        <v>23</v>
      </c>
      <c r="F8409" s="816" t="s">
        <v>13677</v>
      </c>
      <c r="G8409" s="816"/>
      <c r="H8409" s="816">
        <v>0.49967600000000001</v>
      </c>
      <c r="I8409" s="816"/>
      <c r="J8409" s="817">
        <v>0.1749</v>
      </c>
      <c r="K8409" s="817"/>
      <c r="L8409" s="817"/>
    </row>
    <row r="8410" spans="1:12" ht="17.100000000000001" customHeight="1">
      <c r="A8410" s="626" t="s">
        <v>12709</v>
      </c>
      <c r="B8410" s="627" t="s">
        <v>13004</v>
      </c>
      <c r="C8410" s="626" t="s">
        <v>8</v>
      </c>
      <c r="D8410" s="626" t="s">
        <v>7388</v>
      </c>
      <c r="E8410" s="628" t="s">
        <v>23</v>
      </c>
      <c r="F8410" s="816" t="s">
        <v>13676</v>
      </c>
      <c r="G8410" s="816"/>
      <c r="H8410" s="816">
        <v>0.49967600000000001</v>
      </c>
      <c r="I8410" s="816"/>
      <c r="J8410" s="817">
        <v>1.0992999999999999</v>
      </c>
      <c r="K8410" s="817"/>
      <c r="L8410" s="817"/>
    </row>
    <row r="8411" spans="1:12" ht="17.100000000000001" customHeight="1">
      <c r="A8411" s="636"/>
      <c r="B8411" s="636"/>
      <c r="C8411" s="636"/>
      <c r="D8411" s="636"/>
      <c r="E8411" s="636"/>
      <c r="F8411" s="636"/>
      <c r="G8411" s="636"/>
      <c r="H8411" s="636"/>
      <c r="I8411" s="636"/>
      <c r="J8411" s="636" t="s">
        <v>13675</v>
      </c>
      <c r="K8411" s="636"/>
      <c r="L8411" s="636" t="s">
        <v>13929</v>
      </c>
    </row>
    <row r="8412" spans="1:12" ht="17.100000000000001" customHeight="1">
      <c r="A8412" s="612" t="s">
        <v>13673</v>
      </c>
      <c r="B8412" s="612"/>
      <c r="C8412" s="612"/>
      <c r="D8412" s="612"/>
      <c r="E8412" s="612"/>
      <c r="F8412" s="612"/>
      <c r="G8412" s="612"/>
      <c r="H8412" s="612"/>
      <c r="I8412" s="612"/>
      <c r="J8412" s="612"/>
      <c r="K8412" s="612"/>
      <c r="L8412" s="612"/>
    </row>
    <row r="8413" spans="1:12" ht="17.100000000000001" customHeight="1">
      <c r="A8413" s="636"/>
      <c r="B8413" s="636"/>
      <c r="C8413" s="636"/>
      <c r="D8413" s="636"/>
      <c r="E8413" s="636"/>
      <c r="F8413" s="636"/>
      <c r="G8413" s="636"/>
      <c r="H8413" s="636"/>
      <c r="I8413" s="636"/>
      <c r="J8413" s="636" t="s">
        <v>13672</v>
      </c>
      <c r="K8413" s="636"/>
      <c r="L8413" s="636" t="s">
        <v>15506</v>
      </c>
    </row>
    <row r="8414" spans="1:12" ht="17.100000000000001" customHeight="1">
      <c r="A8414" s="636"/>
      <c r="B8414" s="636"/>
      <c r="C8414" s="636"/>
      <c r="D8414" s="636"/>
      <c r="E8414" s="636"/>
      <c r="F8414" s="636"/>
      <c r="G8414" s="636"/>
      <c r="H8414" s="636"/>
      <c r="I8414" s="636"/>
      <c r="J8414" s="636" t="s">
        <v>13671</v>
      </c>
      <c r="K8414" s="636" t="s">
        <v>14461</v>
      </c>
      <c r="L8414" s="636" t="s">
        <v>15507</v>
      </c>
    </row>
    <row r="8415" spans="1:12" ht="30" customHeight="1">
      <c r="A8415" s="636"/>
      <c r="B8415" s="636"/>
      <c r="C8415" s="636"/>
      <c r="D8415" s="636"/>
      <c r="E8415" s="636"/>
      <c r="F8415" s="636"/>
      <c r="G8415" s="636"/>
      <c r="H8415" s="636"/>
      <c r="I8415" s="636"/>
      <c r="J8415" s="636" t="s">
        <v>13670</v>
      </c>
      <c r="K8415" s="636"/>
      <c r="L8415" s="636" t="s">
        <v>15508</v>
      </c>
    </row>
    <row r="8416" spans="1:12" ht="36" customHeight="1">
      <c r="A8416" s="636"/>
      <c r="B8416" s="636"/>
      <c r="C8416" s="636"/>
      <c r="D8416" s="636"/>
      <c r="E8416" s="636"/>
      <c r="F8416" s="636"/>
      <c r="G8416" s="636"/>
      <c r="H8416" s="636"/>
      <c r="I8416" s="636"/>
      <c r="J8416" s="636" t="s">
        <v>13669</v>
      </c>
      <c r="K8416" s="636" t="s">
        <v>13667</v>
      </c>
      <c r="L8416" s="636" t="s">
        <v>15509</v>
      </c>
    </row>
    <row r="8417" spans="1:12" ht="14.25" customHeight="1">
      <c r="A8417" s="636"/>
      <c r="B8417" s="636"/>
      <c r="C8417" s="636"/>
      <c r="D8417" s="636"/>
      <c r="E8417" s="636"/>
      <c r="F8417" s="636"/>
      <c r="G8417" s="636"/>
      <c r="H8417" s="636"/>
      <c r="I8417" s="636"/>
      <c r="J8417" s="636" t="s">
        <v>13668</v>
      </c>
      <c r="K8417" s="636"/>
      <c r="L8417" s="636" t="s">
        <v>15510</v>
      </c>
    </row>
    <row r="8418" spans="1:12" ht="17.100000000000001" customHeight="1">
      <c r="A8418" s="637"/>
      <c r="B8418" s="637"/>
      <c r="C8418" s="637"/>
      <c r="D8418" s="637"/>
      <c r="E8418" s="637"/>
      <c r="F8418" s="637"/>
      <c r="G8418" s="637"/>
      <c r="H8418" s="637"/>
      <c r="I8418" s="637"/>
      <c r="J8418" s="637"/>
      <c r="K8418" s="637"/>
      <c r="L8418" s="637"/>
    </row>
    <row r="8419" spans="1:12" ht="24" customHeight="1">
      <c r="A8419" s="616" t="s">
        <v>13928</v>
      </c>
      <c r="B8419" s="617" t="s">
        <v>13435</v>
      </c>
      <c r="C8419" s="616" t="s">
        <v>8</v>
      </c>
      <c r="D8419" s="616" t="s">
        <v>657</v>
      </c>
      <c r="E8419" s="618" t="s">
        <v>35</v>
      </c>
      <c r="F8419" s="617"/>
      <c r="G8419" s="617"/>
      <c r="H8419" s="617"/>
      <c r="I8419" s="617"/>
      <c r="J8419" s="617"/>
      <c r="K8419" s="617"/>
      <c r="L8419" s="617"/>
    </row>
    <row r="8420" spans="1:12" ht="24" customHeight="1">
      <c r="A8420" s="802" t="s">
        <v>12711</v>
      </c>
      <c r="B8420" s="802"/>
      <c r="C8420" s="802"/>
      <c r="D8420" s="802"/>
      <c r="E8420" s="802"/>
      <c r="F8420" s="802"/>
      <c r="G8420" s="802"/>
      <c r="H8420" s="802"/>
      <c r="I8420" s="612"/>
      <c r="J8420" s="612"/>
      <c r="K8420" s="612"/>
      <c r="L8420" s="612"/>
    </row>
    <row r="8421" spans="1:12" ht="17.100000000000001" customHeight="1">
      <c r="A8421" s="612" t="s">
        <v>13679</v>
      </c>
      <c r="B8421" s="636" t="s">
        <v>12698</v>
      </c>
      <c r="C8421" s="612" t="s">
        <v>12699</v>
      </c>
      <c r="D8421" s="612" t="s">
        <v>12700</v>
      </c>
      <c r="E8421" s="637" t="s">
        <v>12702</v>
      </c>
      <c r="F8421" s="801" t="s">
        <v>12704</v>
      </c>
      <c r="G8421" s="801"/>
      <c r="H8421" s="801" t="s">
        <v>13678</v>
      </c>
      <c r="I8421" s="801"/>
      <c r="J8421" s="801" t="s">
        <v>12705</v>
      </c>
      <c r="K8421" s="801"/>
      <c r="L8421" s="801"/>
    </row>
    <row r="8422" spans="1:12" ht="14.25" customHeight="1">
      <c r="A8422" s="626" t="s">
        <v>12709</v>
      </c>
      <c r="B8422" s="627" t="s">
        <v>13048</v>
      </c>
      <c r="C8422" s="626" t="s">
        <v>8</v>
      </c>
      <c r="D8422" s="626" t="s">
        <v>9233</v>
      </c>
      <c r="E8422" s="628" t="s">
        <v>23</v>
      </c>
      <c r="F8422" s="816" t="s">
        <v>13690</v>
      </c>
      <c r="G8422" s="816"/>
      <c r="H8422" s="816">
        <v>7.6994000000000003E-3</v>
      </c>
      <c r="I8422" s="816"/>
      <c r="J8422" s="817">
        <v>7.9000000000000008E-3</v>
      </c>
      <c r="K8422" s="817"/>
      <c r="L8422" s="817"/>
    </row>
    <row r="8423" spans="1:12" ht="17.100000000000001" customHeight="1">
      <c r="A8423" s="626" t="s">
        <v>12709</v>
      </c>
      <c r="B8423" s="627" t="s">
        <v>13047</v>
      </c>
      <c r="C8423" s="626" t="s">
        <v>8</v>
      </c>
      <c r="D8423" s="626" t="s">
        <v>9380</v>
      </c>
      <c r="E8423" s="628" t="s">
        <v>23</v>
      </c>
      <c r="F8423" s="816" t="s">
        <v>13689</v>
      </c>
      <c r="G8423" s="816"/>
      <c r="H8423" s="816">
        <v>7.6994000000000003E-3</v>
      </c>
      <c r="I8423" s="816"/>
      <c r="J8423" s="817">
        <v>2.8999999999999998E-3</v>
      </c>
      <c r="K8423" s="817"/>
      <c r="L8423" s="817"/>
    </row>
    <row r="8424" spans="1:12" ht="24" customHeight="1">
      <c r="A8424" s="626" t="s">
        <v>12709</v>
      </c>
      <c r="B8424" s="627" t="s">
        <v>13134</v>
      </c>
      <c r="C8424" s="626" t="s">
        <v>8</v>
      </c>
      <c r="D8424" s="626" t="s">
        <v>9219</v>
      </c>
      <c r="E8424" s="628" t="s">
        <v>23</v>
      </c>
      <c r="F8424" s="816" t="s">
        <v>13782</v>
      </c>
      <c r="G8424" s="816"/>
      <c r="H8424" s="816">
        <v>1.0361669</v>
      </c>
      <c r="I8424" s="816"/>
      <c r="J8424" s="817">
        <v>0.96360000000000001</v>
      </c>
      <c r="K8424" s="817"/>
      <c r="L8424" s="817"/>
    </row>
    <row r="8425" spans="1:12" ht="24" customHeight="1">
      <c r="A8425" s="626" t="s">
        <v>12709</v>
      </c>
      <c r="B8425" s="627" t="s">
        <v>13133</v>
      </c>
      <c r="C8425" s="626" t="s">
        <v>8</v>
      </c>
      <c r="D8425" s="626" t="s">
        <v>9366</v>
      </c>
      <c r="E8425" s="628" t="s">
        <v>23</v>
      </c>
      <c r="F8425" s="816" t="s">
        <v>13781</v>
      </c>
      <c r="G8425" s="816"/>
      <c r="H8425" s="816">
        <v>1.0361669</v>
      </c>
      <c r="I8425" s="816"/>
      <c r="J8425" s="817">
        <v>0.56989999999999996</v>
      </c>
      <c r="K8425" s="817"/>
      <c r="L8425" s="817"/>
    </row>
    <row r="8426" spans="1:12" ht="17.100000000000001" customHeight="1">
      <c r="A8426" s="636"/>
      <c r="B8426" s="636"/>
      <c r="C8426" s="636"/>
      <c r="D8426" s="636"/>
      <c r="E8426" s="636"/>
      <c r="F8426" s="636"/>
      <c r="G8426" s="636"/>
      <c r="H8426" s="636"/>
      <c r="I8426" s="636"/>
      <c r="J8426" s="636" t="s">
        <v>13675</v>
      </c>
      <c r="K8426" s="636"/>
      <c r="L8426" s="636" t="s">
        <v>13925</v>
      </c>
    </row>
    <row r="8427" spans="1:12">
      <c r="A8427" s="802" t="s">
        <v>12710</v>
      </c>
      <c r="B8427" s="802"/>
      <c r="C8427" s="802"/>
      <c r="D8427" s="802"/>
      <c r="E8427" s="802"/>
      <c r="F8427" s="802"/>
      <c r="G8427" s="802"/>
      <c r="H8427" s="802"/>
      <c r="I8427" s="612"/>
      <c r="J8427" s="612"/>
      <c r="K8427" s="612"/>
      <c r="L8427" s="612"/>
    </row>
    <row r="8428" spans="1:12" ht="17.100000000000001" customHeight="1">
      <c r="A8428" s="612" t="s">
        <v>13679</v>
      </c>
      <c r="B8428" s="636" t="s">
        <v>12698</v>
      </c>
      <c r="C8428" s="612" t="s">
        <v>12699</v>
      </c>
      <c r="D8428" s="612" t="s">
        <v>12700</v>
      </c>
      <c r="E8428" s="637" t="s">
        <v>12702</v>
      </c>
      <c r="F8428" s="801" t="s">
        <v>12704</v>
      </c>
      <c r="G8428" s="801"/>
      <c r="H8428" s="801" t="s">
        <v>13678</v>
      </c>
      <c r="I8428" s="801"/>
      <c r="J8428" s="801" t="s">
        <v>12705</v>
      </c>
      <c r="K8428" s="801"/>
      <c r="L8428" s="801"/>
    </row>
    <row r="8429" spans="1:12" ht="24" customHeight="1">
      <c r="A8429" s="626" t="s">
        <v>12709</v>
      </c>
      <c r="B8429" s="627" t="s">
        <v>13046</v>
      </c>
      <c r="C8429" s="626" t="s">
        <v>8</v>
      </c>
      <c r="D8429" s="626" t="s">
        <v>11281</v>
      </c>
      <c r="E8429" s="628" t="s">
        <v>23</v>
      </c>
      <c r="F8429" s="816" t="s">
        <v>13731</v>
      </c>
      <c r="G8429" s="816"/>
      <c r="H8429" s="816">
        <v>7.8201E-3</v>
      </c>
      <c r="I8429" s="816"/>
      <c r="J8429" s="817">
        <v>4.02E-2</v>
      </c>
      <c r="K8429" s="817"/>
      <c r="L8429" s="817"/>
    </row>
    <row r="8430" spans="1:12" ht="48" customHeight="1">
      <c r="A8430" s="626" t="s">
        <v>12709</v>
      </c>
      <c r="B8430" s="627" t="s">
        <v>13222</v>
      </c>
      <c r="C8430" s="626" t="s">
        <v>8</v>
      </c>
      <c r="D8430" s="626" t="s">
        <v>7364</v>
      </c>
      <c r="E8430" s="628" t="s">
        <v>23</v>
      </c>
      <c r="F8430" s="816" t="s">
        <v>13808</v>
      </c>
      <c r="G8430" s="816"/>
      <c r="H8430" s="816">
        <v>0.53196569999999999</v>
      </c>
      <c r="I8430" s="816"/>
      <c r="J8430" s="817">
        <v>2.6705000000000001</v>
      </c>
      <c r="K8430" s="817"/>
      <c r="L8430" s="817"/>
    </row>
    <row r="8431" spans="1:12" ht="17.100000000000001" customHeight="1">
      <c r="A8431" s="626" t="s">
        <v>12709</v>
      </c>
      <c r="B8431" s="627" t="s">
        <v>13204</v>
      </c>
      <c r="C8431" s="626" t="s">
        <v>8</v>
      </c>
      <c r="D8431" s="626" t="s">
        <v>9112</v>
      </c>
      <c r="E8431" s="628" t="s">
        <v>23</v>
      </c>
      <c r="F8431" s="816" t="s">
        <v>14479</v>
      </c>
      <c r="G8431" s="816"/>
      <c r="H8431" s="816">
        <v>0.53196569999999999</v>
      </c>
      <c r="I8431" s="816"/>
      <c r="J8431" s="817">
        <v>3.8035999999999999</v>
      </c>
      <c r="K8431" s="817"/>
      <c r="L8431" s="817"/>
    </row>
    <row r="8432" spans="1:12">
      <c r="A8432" s="636"/>
      <c r="B8432" s="636"/>
      <c r="C8432" s="636"/>
      <c r="D8432" s="636"/>
      <c r="E8432" s="636"/>
      <c r="F8432" s="636"/>
      <c r="G8432" s="636"/>
      <c r="H8432" s="636"/>
      <c r="I8432" s="636"/>
      <c r="J8432" s="636" t="s">
        <v>13675</v>
      </c>
      <c r="K8432" s="636"/>
      <c r="L8432" s="636" t="s">
        <v>14596</v>
      </c>
    </row>
    <row r="8433" spans="1:12" ht="17.100000000000001" customHeight="1">
      <c r="A8433" s="802" t="s">
        <v>12720</v>
      </c>
      <c r="B8433" s="802"/>
      <c r="C8433" s="802"/>
      <c r="D8433" s="802"/>
      <c r="E8433" s="802"/>
      <c r="F8433" s="802"/>
      <c r="G8433" s="802"/>
      <c r="H8433" s="802"/>
      <c r="I8433" s="612"/>
      <c r="J8433" s="612"/>
      <c r="K8433" s="612"/>
      <c r="L8433" s="612"/>
    </row>
    <row r="8434" spans="1:12" ht="24" customHeight="1">
      <c r="A8434" s="612" t="s">
        <v>13679</v>
      </c>
      <c r="B8434" s="636" t="s">
        <v>12698</v>
      </c>
      <c r="C8434" s="612" t="s">
        <v>12699</v>
      </c>
      <c r="D8434" s="612" t="s">
        <v>12700</v>
      </c>
      <c r="E8434" s="637" t="s">
        <v>12702</v>
      </c>
      <c r="F8434" s="801" t="s">
        <v>12704</v>
      </c>
      <c r="G8434" s="801"/>
      <c r="H8434" s="801" t="s">
        <v>13678</v>
      </c>
      <c r="I8434" s="801"/>
      <c r="J8434" s="801" t="s">
        <v>12705</v>
      </c>
      <c r="K8434" s="801"/>
      <c r="L8434" s="801"/>
    </row>
    <row r="8435" spans="1:12" ht="17.100000000000001" customHeight="1">
      <c r="A8435" s="626" t="s">
        <v>12709</v>
      </c>
      <c r="B8435" s="627" t="s">
        <v>13434</v>
      </c>
      <c r="C8435" s="626" t="s">
        <v>8</v>
      </c>
      <c r="D8435" s="626" t="s">
        <v>8102</v>
      </c>
      <c r="E8435" s="628" t="s">
        <v>35</v>
      </c>
      <c r="F8435" s="816" t="s">
        <v>14595</v>
      </c>
      <c r="G8435" s="816"/>
      <c r="H8435" s="816">
        <v>1</v>
      </c>
      <c r="I8435" s="816"/>
      <c r="J8435" s="817">
        <v>1.28</v>
      </c>
      <c r="K8435" s="817"/>
      <c r="L8435" s="817"/>
    </row>
    <row r="8436" spans="1:12" ht="25.5">
      <c r="A8436" s="626" t="s">
        <v>12709</v>
      </c>
      <c r="B8436" s="627" t="s">
        <v>13250</v>
      </c>
      <c r="C8436" s="626" t="s">
        <v>8</v>
      </c>
      <c r="D8436" s="626" t="s">
        <v>7526</v>
      </c>
      <c r="E8436" s="628" t="s">
        <v>12730</v>
      </c>
      <c r="F8436" s="816" t="s">
        <v>13747</v>
      </c>
      <c r="G8436" s="816"/>
      <c r="H8436" s="816">
        <v>9.613E-4</v>
      </c>
      <c r="I8436" s="816"/>
      <c r="J8436" s="817">
        <v>6.0100000000000001E-2</v>
      </c>
      <c r="K8436" s="817"/>
      <c r="L8436" s="817"/>
    </row>
    <row r="8437" spans="1:12" ht="17.100000000000001" customHeight="1">
      <c r="A8437" s="626" t="s">
        <v>12709</v>
      </c>
      <c r="B8437" s="627" t="s">
        <v>13249</v>
      </c>
      <c r="C8437" s="626" t="s">
        <v>8</v>
      </c>
      <c r="D8437" s="626" t="s">
        <v>8420</v>
      </c>
      <c r="E8437" s="628" t="s">
        <v>20</v>
      </c>
      <c r="F8437" s="816" t="s">
        <v>13700</v>
      </c>
      <c r="G8437" s="816"/>
      <c r="H8437" s="816">
        <v>0.43389640000000002</v>
      </c>
      <c r="I8437" s="816"/>
      <c r="J8437" s="817">
        <v>0.21260000000000001</v>
      </c>
      <c r="K8437" s="817"/>
      <c r="L8437" s="817"/>
    </row>
    <row r="8438" spans="1:12" ht="24" customHeight="1">
      <c r="A8438" s="636"/>
      <c r="B8438" s="636"/>
      <c r="C8438" s="636"/>
      <c r="D8438" s="636"/>
      <c r="E8438" s="636"/>
      <c r="F8438" s="636"/>
      <c r="G8438" s="636"/>
      <c r="H8438" s="636"/>
      <c r="I8438" s="636"/>
      <c r="J8438" s="636" t="s">
        <v>13675</v>
      </c>
      <c r="K8438" s="636"/>
      <c r="L8438" s="636" t="s">
        <v>14594</v>
      </c>
    </row>
    <row r="8439" spans="1:12" ht="17.100000000000001" customHeight="1">
      <c r="A8439" s="802" t="s">
        <v>12722</v>
      </c>
      <c r="B8439" s="802"/>
      <c r="C8439" s="802"/>
      <c r="D8439" s="802"/>
      <c r="E8439" s="802"/>
      <c r="F8439" s="802"/>
      <c r="G8439" s="802"/>
      <c r="H8439" s="802"/>
      <c r="I8439" s="612"/>
      <c r="J8439" s="612"/>
      <c r="K8439" s="612"/>
      <c r="L8439" s="612"/>
    </row>
    <row r="8440" spans="1:12">
      <c r="A8440" s="612" t="s">
        <v>13679</v>
      </c>
      <c r="B8440" s="636" t="s">
        <v>12698</v>
      </c>
      <c r="C8440" s="612" t="s">
        <v>12699</v>
      </c>
      <c r="D8440" s="612" t="s">
        <v>12700</v>
      </c>
      <c r="E8440" s="637" t="s">
        <v>12702</v>
      </c>
      <c r="F8440" s="801" t="s">
        <v>12704</v>
      </c>
      <c r="G8440" s="801"/>
      <c r="H8440" s="801" t="s">
        <v>13678</v>
      </c>
      <c r="I8440" s="801"/>
      <c r="J8440" s="801" t="s">
        <v>12705</v>
      </c>
      <c r="K8440" s="801"/>
      <c r="L8440" s="801"/>
    </row>
    <row r="8441" spans="1:12" ht="17.100000000000001" customHeight="1">
      <c r="A8441" s="626" t="s">
        <v>12709</v>
      </c>
      <c r="B8441" s="627" t="s">
        <v>12998</v>
      </c>
      <c r="C8441" s="626" t="s">
        <v>8</v>
      </c>
      <c r="D8441" s="626" t="s">
        <v>11861</v>
      </c>
      <c r="E8441" s="628" t="s">
        <v>23</v>
      </c>
      <c r="F8441" s="816" t="s">
        <v>13683</v>
      </c>
      <c r="G8441" s="816"/>
      <c r="H8441" s="816">
        <v>1.0438662999999999</v>
      </c>
      <c r="I8441" s="816"/>
      <c r="J8441" s="817">
        <v>0.74109999999999998</v>
      </c>
      <c r="K8441" s="817"/>
      <c r="L8441" s="817"/>
    </row>
    <row r="8442" spans="1:12" ht="24" customHeight="1">
      <c r="A8442" s="636"/>
      <c r="B8442" s="636"/>
      <c r="C8442" s="636"/>
      <c r="D8442" s="636"/>
      <c r="E8442" s="636"/>
      <c r="F8442" s="636"/>
      <c r="G8442" s="636"/>
      <c r="H8442" s="636"/>
      <c r="I8442" s="636"/>
      <c r="J8442" s="636" t="s">
        <v>13675</v>
      </c>
      <c r="K8442" s="636"/>
      <c r="L8442" s="636" t="s">
        <v>13720</v>
      </c>
    </row>
    <row r="8443" spans="1:12" ht="24" customHeight="1">
      <c r="A8443" s="802" t="s">
        <v>12713</v>
      </c>
      <c r="B8443" s="802"/>
      <c r="C8443" s="802"/>
      <c r="D8443" s="802"/>
      <c r="E8443" s="802"/>
      <c r="F8443" s="802"/>
      <c r="G8443" s="802"/>
      <c r="H8443" s="802"/>
      <c r="I8443" s="612"/>
      <c r="J8443" s="612"/>
      <c r="K8443" s="612"/>
      <c r="L8443" s="612"/>
    </row>
    <row r="8444" spans="1:12" ht="17.100000000000001" customHeight="1">
      <c r="A8444" s="612" t="s">
        <v>13679</v>
      </c>
      <c r="B8444" s="636" t="s">
        <v>12698</v>
      </c>
      <c r="C8444" s="612" t="s">
        <v>12699</v>
      </c>
      <c r="D8444" s="612" t="s">
        <v>12700</v>
      </c>
      <c r="E8444" s="637" t="s">
        <v>12702</v>
      </c>
      <c r="F8444" s="801" t="s">
        <v>12704</v>
      </c>
      <c r="G8444" s="801"/>
      <c r="H8444" s="801" t="s">
        <v>13678</v>
      </c>
      <c r="I8444" s="801"/>
      <c r="J8444" s="801" t="s">
        <v>12705</v>
      </c>
      <c r="K8444" s="801"/>
      <c r="L8444" s="801"/>
    </row>
    <row r="8445" spans="1:12" ht="17.100000000000001" customHeight="1">
      <c r="A8445" s="626" t="s">
        <v>12709</v>
      </c>
      <c r="B8445" s="627" t="s">
        <v>12999</v>
      </c>
      <c r="C8445" s="626" t="s">
        <v>8</v>
      </c>
      <c r="D8445" s="626" t="s">
        <v>11251</v>
      </c>
      <c r="E8445" s="628" t="s">
        <v>23</v>
      </c>
      <c r="F8445" s="816" t="s">
        <v>13681</v>
      </c>
      <c r="G8445" s="816"/>
      <c r="H8445" s="816">
        <v>1.0438662999999999</v>
      </c>
      <c r="I8445" s="816"/>
      <c r="J8445" s="817">
        <v>7.3099999999999998E-2</v>
      </c>
      <c r="K8445" s="817"/>
      <c r="L8445" s="817"/>
    </row>
    <row r="8446" spans="1:12" ht="17.100000000000001" customHeight="1">
      <c r="A8446" s="636"/>
      <c r="B8446" s="636"/>
      <c r="C8446" s="636"/>
      <c r="D8446" s="636"/>
      <c r="E8446" s="636"/>
      <c r="F8446" s="636"/>
      <c r="G8446" s="636"/>
      <c r="H8446" s="636"/>
      <c r="I8446" s="636"/>
      <c r="J8446" s="636" t="s">
        <v>13675</v>
      </c>
      <c r="K8446" s="636"/>
      <c r="L8446" s="636" t="s">
        <v>13681</v>
      </c>
    </row>
    <row r="8447" spans="1:12" ht="17.100000000000001" customHeight="1">
      <c r="A8447" s="802" t="s">
        <v>12712</v>
      </c>
      <c r="B8447" s="802"/>
      <c r="C8447" s="802"/>
      <c r="D8447" s="802"/>
      <c r="E8447" s="802"/>
      <c r="F8447" s="802"/>
      <c r="G8447" s="802"/>
      <c r="H8447" s="802"/>
      <c r="I8447" s="612"/>
      <c r="J8447" s="612"/>
      <c r="K8447" s="612"/>
      <c r="L8447" s="612"/>
    </row>
    <row r="8448" spans="1:12" ht="17.100000000000001" customHeight="1">
      <c r="A8448" s="612" t="s">
        <v>13679</v>
      </c>
      <c r="B8448" s="636" t="s">
        <v>12698</v>
      </c>
      <c r="C8448" s="612" t="s">
        <v>12699</v>
      </c>
      <c r="D8448" s="612" t="s">
        <v>12700</v>
      </c>
      <c r="E8448" s="637" t="s">
        <v>12702</v>
      </c>
      <c r="F8448" s="801" t="s">
        <v>12704</v>
      </c>
      <c r="G8448" s="801"/>
      <c r="H8448" s="801" t="s">
        <v>13678</v>
      </c>
      <c r="I8448" s="801"/>
      <c r="J8448" s="801" t="s">
        <v>12705</v>
      </c>
      <c r="K8448" s="801"/>
      <c r="L8448" s="801"/>
    </row>
    <row r="8449" spans="1:12" ht="17.100000000000001" customHeight="1">
      <c r="A8449" s="626" t="s">
        <v>12709</v>
      </c>
      <c r="B8449" s="627" t="s">
        <v>13002</v>
      </c>
      <c r="C8449" s="626" t="s">
        <v>8</v>
      </c>
      <c r="D8449" s="626" t="s">
        <v>9306</v>
      </c>
      <c r="E8449" s="628" t="s">
        <v>23</v>
      </c>
      <c r="F8449" s="816" t="s">
        <v>13677</v>
      </c>
      <c r="G8449" s="816"/>
      <c r="H8449" s="816">
        <v>1.0438662999999999</v>
      </c>
      <c r="I8449" s="816"/>
      <c r="J8449" s="817">
        <v>0.3654</v>
      </c>
      <c r="K8449" s="817"/>
      <c r="L8449" s="817"/>
    </row>
    <row r="8450" spans="1:12" ht="17.100000000000001" customHeight="1">
      <c r="A8450" s="626" t="s">
        <v>12709</v>
      </c>
      <c r="B8450" s="627" t="s">
        <v>13004</v>
      </c>
      <c r="C8450" s="626" t="s">
        <v>8</v>
      </c>
      <c r="D8450" s="626" t="s">
        <v>7388</v>
      </c>
      <c r="E8450" s="628" t="s">
        <v>23</v>
      </c>
      <c r="F8450" s="816" t="s">
        <v>13676</v>
      </c>
      <c r="G8450" s="816"/>
      <c r="H8450" s="816">
        <v>1.0438662999999999</v>
      </c>
      <c r="I8450" s="816"/>
      <c r="J8450" s="817">
        <v>2.2965</v>
      </c>
      <c r="K8450" s="817"/>
      <c r="L8450" s="817"/>
    </row>
    <row r="8451" spans="1:12" ht="30" customHeight="1">
      <c r="A8451" s="636"/>
      <c r="B8451" s="636"/>
      <c r="C8451" s="636"/>
      <c r="D8451" s="636"/>
      <c r="E8451" s="636"/>
      <c r="F8451" s="636"/>
      <c r="G8451" s="636"/>
      <c r="H8451" s="636"/>
      <c r="I8451" s="636"/>
      <c r="J8451" s="636" t="s">
        <v>13675</v>
      </c>
      <c r="K8451" s="636"/>
      <c r="L8451" s="636" t="s">
        <v>13924</v>
      </c>
    </row>
    <row r="8452" spans="1:12" ht="36" customHeight="1">
      <c r="A8452" s="612" t="s">
        <v>13673</v>
      </c>
      <c r="B8452" s="612"/>
      <c r="C8452" s="612"/>
      <c r="D8452" s="612"/>
      <c r="E8452" s="612"/>
      <c r="F8452" s="612"/>
      <c r="G8452" s="612"/>
      <c r="H8452" s="612"/>
      <c r="I8452" s="612"/>
      <c r="J8452" s="612"/>
      <c r="K8452" s="612"/>
      <c r="L8452" s="612"/>
    </row>
    <row r="8453" spans="1:12" ht="14.25" customHeight="1">
      <c r="A8453" s="636"/>
      <c r="B8453" s="636"/>
      <c r="C8453" s="636"/>
      <c r="D8453" s="636"/>
      <c r="E8453" s="636"/>
      <c r="F8453" s="636"/>
      <c r="G8453" s="636"/>
      <c r="H8453" s="636"/>
      <c r="I8453" s="636"/>
      <c r="J8453" s="636" t="s">
        <v>13672</v>
      </c>
      <c r="K8453" s="636"/>
      <c r="L8453" s="636" t="s">
        <v>15511</v>
      </c>
    </row>
    <row r="8454" spans="1:12" ht="17.100000000000001" customHeight="1">
      <c r="A8454" s="636"/>
      <c r="B8454" s="636"/>
      <c r="C8454" s="636"/>
      <c r="D8454" s="636"/>
      <c r="E8454" s="636"/>
      <c r="F8454" s="636"/>
      <c r="G8454" s="636"/>
      <c r="H8454" s="636"/>
      <c r="I8454" s="636"/>
      <c r="J8454" s="636" t="s">
        <v>13671</v>
      </c>
      <c r="K8454" s="636" t="s">
        <v>14461</v>
      </c>
      <c r="L8454" s="636" t="s">
        <v>15512</v>
      </c>
    </row>
    <row r="8455" spans="1:12" ht="24" customHeight="1">
      <c r="A8455" s="636"/>
      <c r="B8455" s="636"/>
      <c r="C8455" s="636"/>
      <c r="D8455" s="636"/>
      <c r="E8455" s="636"/>
      <c r="F8455" s="636"/>
      <c r="G8455" s="636"/>
      <c r="H8455" s="636"/>
      <c r="I8455" s="636"/>
      <c r="J8455" s="636" t="s">
        <v>13670</v>
      </c>
      <c r="K8455" s="636"/>
      <c r="L8455" s="636" t="s">
        <v>15513</v>
      </c>
    </row>
    <row r="8456" spans="1:12" ht="24" customHeight="1">
      <c r="A8456" s="636"/>
      <c r="B8456" s="636"/>
      <c r="C8456" s="636"/>
      <c r="D8456" s="636"/>
      <c r="E8456" s="636"/>
      <c r="F8456" s="636"/>
      <c r="G8456" s="636"/>
      <c r="H8456" s="636"/>
      <c r="I8456" s="636"/>
      <c r="J8456" s="636" t="s">
        <v>13669</v>
      </c>
      <c r="K8456" s="636" t="s">
        <v>13667</v>
      </c>
      <c r="L8456" s="636" t="s">
        <v>15514</v>
      </c>
    </row>
    <row r="8457" spans="1:12" ht="17.100000000000001" customHeight="1">
      <c r="A8457" s="636"/>
      <c r="B8457" s="636"/>
      <c r="C8457" s="636"/>
      <c r="D8457" s="636"/>
      <c r="E8457" s="636"/>
      <c r="F8457" s="636"/>
      <c r="G8457" s="636"/>
      <c r="H8457" s="636"/>
      <c r="I8457" s="636"/>
      <c r="J8457" s="636" t="s">
        <v>13668</v>
      </c>
      <c r="K8457" s="636"/>
      <c r="L8457" s="636" t="s">
        <v>15515</v>
      </c>
    </row>
    <row r="8458" spans="1:12" ht="14.25" customHeight="1">
      <c r="A8458" s="637"/>
      <c r="B8458" s="637"/>
      <c r="C8458" s="637"/>
      <c r="D8458" s="637"/>
      <c r="E8458" s="637"/>
      <c r="F8458" s="637"/>
      <c r="G8458" s="637"/>
      <c r="H8458" s="637"/>
      <c r="I8458" s="637"/>
      <c r="J8458" s="637"/>
      <c r="K8458" s="637"/>
      <c r="L8458" s="637"/>
    </row>
    <row r="8459" spans="1:12" ht="17.100000000000001" customHeight="1">
      <c r="A8459" s="616" t="s">
        <v>13923</v>
      </c>
      <c r="B8459" s="617" t="s">
        <v>13433</v>
      </c>
      <c r="C8459" s="616" t="s">
        <v>8</v>
      </c>
      <c r="D8459" s="616" t="s">
        <v>2541</v>
      </c>
      <c r="E8459" s="618" t="s">
        <v>35</v>
      </c>
      <c r="F8459" s="617"/>
      <c r="G8459" s="617"/>
      <c r="H8459" s="617"/>
      <c r="I8459" s="617"/>
      <c r="J8459" s="617"/>
      <c r="K8459" s="617"/>
      <c r="L8459" s="617"/>
    </row>
    <row r="8460" spans="1:12" ht="24" customHeight="1">
      <c r="A8460" s="802" t="s">
        <v>12711</v>
      </c>
      <c r="B8460" s="802"/>
      <c r="C8460" s="802"/>
      <c r="D8460" s="802"/>
      <c r="E8460" s="802"/>
      <c r="F8460" s="802"/>
      <c r="G8460" s="802"/>
      <c r="H8460" s="802"/>
      <c r="I8460" s="612"/>
      <c r="J8460" s="612"/>
      <c r="K8460" s="612"/>
      <c r="L8460" s="612"/>
    </row>
    <row r="8461" spans="1:12" ht="24" customHeight="1">
      <c r="A8461" s="612" t="s">
        <v>13679</v>
      </c>
      <c r="B8461" s="636" t="s">
        <v>12698</v>
      </c>
      <c r="C8461" s="612" t="s">
        <v>12699</v>
      </c>
      <c r="D8461" s="612" t="s">
        <v>12700</v>
      </c>
      <c r="E8461" s="637" t="s">
        <v>12702</v>
      </c>
      <c r="F8461" s="801" t="s">
        <v>12704</v>
      </c>
      <c r="G8461" s="801"/>
      <c r="H8461" s="801" t="s">
        <v>13678</v>
      </c>
      <c r="I8461" s="801"/>
      <c r="J8461" s="801" t="s">
        <v>12705</v>
      </c>
      <c r="K8461" s="801"/>
      <c r="L8461" s="801"/>
    </row>
    <row r="8462" spans="1:12" ht="17.100000000000001" customHeight="1">
      <c r="A8462" s="626" t="s">
        <v>12709</v>
      </c>
      <c r="B8462" s="627" t="s">
        <v>13134</v>
      </c>
      <c r="C8462" s="626" t="s">
        <v>8</v>
      </c>
      <c r="D8462" s="626" t="s">
        <v>9219</v>
      </c>
      <c r="E8462" s="628" t="s">
        <v>23</v>
      </c>
      <c r="F8462" s="816" t="s">
        <v>13782</v>
      </c>
      <c r="G8462" s="816"/>
      <c r="H8462" s="816">
        <v>0.28440569999999998</v>
      </c>
      <c r="I8462" s="816"/>
      <c r="J8462" s="817">
        <v>0.26450000000000001</v>
      </c>
      <c r="K8462" s="817"/>
      <c r="L8462" s="817"/>
    </row>
    <row r="8463" spans="1:12" ht="25.5">
      <c r="A8463" s="626" t="s">
        <v>12709</v>
      </c>
      <c r="B8463" s="627" t="s">
        <v>13133</v>
      </c>
      <c r="C8463" s="626" t="s">
        <v>8</v>
      </c>
      <c r="D8463" s="626" t="s">
        <v>9366</v>
      </c>
      <c r="E8463" s="628" t="s">
        <v>23</v>
      </c>
      <c r="F8463" s="816" t="s">
        <v>13781</v>
      </c>
      <c r="G8463" s="816"/>
      <c r="H8463" s="816">
        <v>0.28440569999999998</v>
      </c>
      <c r="I8463" s="816"/>
      <c r="J8463" s="817">
        <v>0.15640000000000001</v>
      </c>
      <c r="K8463" s="817"/>
      <c r="L8463" s="817"/>
    </row>
    <row r="8464" spans="1:12" ht="17.100000000000001" customHeight="1">
      <c r="A8464" s="636"/>
      <c r="B8464" s="636"/>
      <c r="C8464" s="636"/>
      <c r="D8464" s="636"/>
      <c r="E8464" s="636"/>
      <c r="F8464" s="636"/>
      <c r="G8464" s="636"/>
      <c r="H8464" s="636"/>
      <c r="I8464" s="636"/>
      <c r="J8464" s="636" t="s">
        <v>13675</v>
      </c>
      <c r="K8464" s="636"/>
      <c r="L8464" s="636" t="s">
        <v>13837</v>
      </c>
    </row>
    <row r="8465" spans="1:12" ht="24" customHeight="1">
      <c r="A8465" s="802" t="s">
        <v>12710</v>
      </c>
      <c r="B8465" s="802"/>
      <c r="C8465" s="802"/>
      <c r="D8465" s="802"/>
      <c r="E8465" s="802"/>
      <c r="F8465" s="802"/>
      <c r="G8465" s="802"/>
      <c r="H8465" s="802"/>
      <c r="I8465" s="612"/>
      <c r="J8465" s="612"/>
      <c r="K8465" s="612"/>
      <c r="L8465" s="612"/>
    </row>
    <row r="8466" spans="1:12" ht="48" customHeight="1">
      <c r="A8466" s="612" t="s">
        <v>13679</v>
      </c>
      <c r="B8466" s="636" t="s">
        <v>12698</v>
      </c>
      <c r="C8466" s="612" t="s">
        <v>12699</v>
      </c>
      <c r="D8466" s="612" t="s">
        <v>12700</v>
      </c>
      <c r="E8466" s="637" t="s">
        <v>12702</v>
      </c>
      <c r="F8466" s="801" t="s">
        <v>12704</v>
      </c>
      <c r="G8466" s="801"/>
      <c r="H8466" s="801" t="s">
        <v>13678</v>
      </c>
      <c r="I8466" s="801"/>
      <c r="J8466" s="801" t="s">
        <v>12705</v>
      </c>
      <c r="K8466" s="801"/>
      <c r="L8466" s="801"/>
    </row>
    <row r="8467" spans="1:12" ht="17.100000000000001" customHeight="1">
      <c r="A8467" s="626" t="s">
        <v>12709</v>
      </c>
      <c r="B8467" s="627" t="s">
        <v>13222</v>
      </c>
      <c r="C8467" s="626" t="s">
        <v>8</v>
      </c>
      <c r="D8467" s="626" t="s">
        <v>7364</v>
      </c>
      <c r="E8467" s="628" t="s">
        <v>23</v>
      </c>
      <c r="F8467" s="816" t="s">
        <v>13808</v>
      </c>
      <c r="G8467" s="816"/>
      <c r="H8467" s="816">
        <v>0.1465881</v>
      </c>
      <c r="I8467" s="816"/>
      <c r="J8467" s="817">
        <v>0.7359</v>
      </c>
      <c r="K8467" s="817"/>
      <c r="L8467" s="817"/>
    </row>
    <row r="8468" spans="1:12" ht="25.5">
      <c r="A8468" s="626" t="s">
        <v>12709</v>
      </c>
      <c r="B8468" s="627" t="s">
        <v>13204</v>
      </c>
      <c r="C8468" s="626" t="s">
        <v>8</v>
      </c>
      <c r="D8468" s="626" t="s">
        <v>9112</v>
      </c>
      <c r="E8468" s="628" t="s">
        <v>23</v>
      </c>
      <c r="F8468" s="816" t="s">
        <v>14479</v>
      </c>
      <c r="G8468" s="816"/>
      <c r="H8468" s="816">
        <v>0.1465881</v>
      </c>
      <c r="I8468" s="816"/>
      <c r="J8468" s="817">
        <v>1.0481</v>
      </c>
      <c r="K8468" s="817"/>
      <c r="L8468" s="817"/>
    </row>
    <row r="8469" spans="1:12" ht="17.100000000000001" customHeight="1">
      <c r="A8469" s="636"/>
      <c r="B8469" s="636"/>
      <c r="C8469" s="636"/>
      <c r="D8469" s="636"/>
      <c r="E8469" s="636"/>
      <c r="F8469" s="636"/>
      <c r="G8469" s="636"/>
      <c r="H8469" s="636"/>
      <c r="I8469" s="636"/>
      <c r="J8469" s="636" t="s">
        <v>13675</v>
      </c>
      <c r="K8469" s="636"/>
      <c r="L8469" s="636" t="s">
        <v>13857</v>
      </c>
    </row>
    <row r="8470" spans="1:12" ht="24" customHeight="1">
      <c r="A8470" s="802" t="s">
        <v>12720</v>
      </c>
      <c r="B8470" s="802"/>
      <c r="C8470" s="802"/>
      <c r="D8470" s="802"/>
      <c r="E8470" s="802"/>
      <c r="F8470" s="802"/>
      <c r="G8470" s="802"/>
      <c r="H8470" s="802"/>
      <c r="I8470" s="612"/>
      <c r="J8470" s="612"/>
      <c r="K8470" s="612"/>
      <c r="L8470" s="612"/>
    </row>
    <row r="8471" spans="1:12" ht="17.100000000000001" customHeight="1">
      <c r="A8471" s="612" t="s">
        <v>13679</v>
      </c>
      <c r="B8471" s="636" t="s">
        <v>12698</v>
      </c>
      <c r="C8471" s="612" t="s">
        <v>12699</v>
      </c>
      <c r="D8471" s="612" t="s">
        <v>12700</v>
      </c>
      <c r="E8471" s="637" t="s">
        <v>12702</v>
      </c>
      <c r="F8471" s="801" t="s">
        <v>12704</v>
      </c>
      <c r="G8471" s="801"/>
      <c r="H8471" s="801" t="s">
        <v>13678</v>
      </c>
      <c r="I8471" s="801"/>
      <c r="J8471" s="801" t="s">
        <v>12705</v>
      </c>
      <c r="K8471" s="801"/>
      <c r="L8471" s="801"/>
    </row>
    <row r="8472" spans="1:12" ht="25.5">
      <c r="A8472" s="626" t="s">
        <v>12709</v>
      </c>
      <c r="B8472" s="627" t="s">
        <v>13432</v>
      </c>
      <c r="C8472" s="626" t="s">
        <v>8</v>
      </c>
      <c r="D8472" s="626" t="s">
        <v>8144</v>
      </c>
      <c r="E8472" s="628" t="s">
        <v>35</v>
      </c>
      <c r="F8472" s="816" t="s">
        <v>13951</v>
      </c>
      <c r="G8472" s="816"/>
      <c r="H8472" s="816">
        <v>1</v>
      </c>
      <c r="I8472" s="816"/>
      <c r="J8472" s="817">
        <v>3</v>
      </c>
      <c r="K8472" s="817"/>
      <c r="L8472" s="817"/>
    </row>
    <row r="8473" spans="1:12" ht="17.100000000000001" customHeight="1">
      <c r="A8473" s="636"/>
      <c r="B8473" s="636"/>
      <c r="C8473" s="636"/>
      <c r="D8473" s="636"/>
      <c r="E8473" s="636"/>
      <c r="F8473" s="636"/>
      <c r="G8473" s="636"/>
      <c r="H8473" s="636"/>
      <c r="I8473" s="636"/>
      <c r="J8473" s="636" t="s">
        <v>13675</v>
      </c>
      <c r="K8473" s="636"/>
      <c r="L8473" s="636" t="s">
        <v>13951</v>
      </c>
    </row>
    <row r="8474" spans="1:12" ht="24" customHeight="1">
      <c r="A8474" s="802" t="s">
        <v>12722</v>
      </c>
      <c r="B8474" s="802"/>
      <c r="C8474" s="802"/>
      <c r="D8474" s="802"/>
      <c r="E8474" s="802"/>
      <c r="F8474" s="802"/>
      <c r="G8474" s="802"/>
      <c r="H8474" s="802"/>
      <c r="I8474" s="612"/>
      <c r="J8474" s="612"/>
      <c r="K8474" s="612"/>
      <c r="L8474" s="612"/>
    </row>
    <row r="8475" spans="1:12" ht="17.100000000000001" customHeight="1">
      <c r="A8475" s="612" t="s">
        <v>13679</v>
      </c>
      <c r="B8475" s="636" t="s">
        <v>12698</v>
      </c>
      <c r="C8475" s="612" t="s">
        <v>12699</v>
      </c>
      <c r="D8475" s="612" t="s">
        <v>12700</v>
      </c>
      <c r="E8475" s="637" t="s">
        <v>12702</v>
      </c>
      <c r="F8475" s="801" t="s">
        <v>12704</v>
      </c>
      <c r="G8475" s="801"/>
      <c r="H8475" s="801" t="s">
        <v>13678</v>
      </c>
      <c r="I8475" s="801"/>
      <c r="J8475" s="801" t="s">
        <v>12705</v>
      </c>
      <c r="K8475" s="801"/>
      <c r="L8475" s="801"/>
    </row>
    <row r="8476" spans="1:12" ht="25.5">
      <c r="A8476" s="626" t="s">
        <v>12709</v>
      </c>
      <c r="B8476" s="627" t="s">
        <v>12998</v>
      </c>
      <c r="C8476" s="626" t="s">
        <v>8</v>
      </c>
      <c r="D8476" s="626" t="s">
        <v>11861</v>
      </c>
      <c r="E8476" s="628" t="s">
        <v>23</v>
      </c>
      <c r="F8476" s="816" t="s">
        <v>13683</v>
      </c>
      <c r="G8476" s="816"/>
      <c r="H8476" s="816">
        <v>0.28440569999999998</v>
      </c>
      <c r="I8476" s="816"/>
      <c r="J8476" s="817">
        <v>0.2019</v>
      </c>
      <c r="K8476" s="817"/>
      <c r="L8476" s="817"/>
    </row>
    <row r="8477" spans="1:12" ht="17.100000000000001" customHeight="1">
      <c r="A8477" s="636"/>
      <c r="B8477" s="636"/>
      <c r="C8477" s="636"/>
      <c r="D8477" s="636"/>
      <c r="E8477" s="636"/>
      <c r="F8477" s="636"/>
      <c r="G8477" s="636"/>
      <c r="H8477" s="636"/>
      <c r="I8477" s="636"/>
      <c r="J8477" s="636" t="s">
        <v>13675</v>
      </c>
      <c r="K8477" s="636"/>
      <c r="L8477" s="636" t="s">
        <v>13855</v>
      </c>
    </row>
    <row r="8478" spans="1:12" ht="24" customHeight="1">
      <c r="A8478" s="802" t="s">
        <v>12713</v>
      </c>
      <c r="B8478" s="802"/>
      <c r="C8478" s="802"/>
      <c r="D8478" s="802"/>
      <c r="E8478" s="802"/>
      <c r="F8478" s="802"/>
      <c r="G8478" s="802"/>
      <c r="H8478" s="802"/>
      <c r="I8478" s="612"/>
      <c r="J8478" s="612"/>
      <c r="K8478" s="612"/>
      <c r="L8478" s="612"/>
    </row>
    <row r="8479" spans="1:12" ht="24" customHeight="1">
      <c r="A8479" s="612" t="s">
        <v>13679</v>
      </c>
      <c r="B8479" s="636" t="s">
        <v>12698</v>
      </c>
      <c r="C8479" s="612" t="s">
        <v>12699</v>
      </c>
      <c r="D8479" s="612" t="s">
        <v>12700</v>
      </c>
      <c r="E8479" s="637" t="s">
        <v>12702</v>
      </c>
      <c r="F8479" s="801" t="s">
        <v>12704</v>
      </c>
      <c r="G8479" s="801"/>
      <c r="H8479" s="801" t="s">
        <v>13678</v>
      </c>
      <c r="I8479" s="801"/>
      <c r="J8479" s="801" t="s">
        <v>12705</v>
      </c>
      <c r="K8479" s="801"/>
      <c r="L8479" s="801"/>
    </row>
    <row r="8480" spans="1:12" ht="17.100000000000001" customHeight="1">
      <c r="A8480" s="626" t="s">
        <v>12709</v>
      </c>
      <c r="B8480" s="627" t="s">
        <v>12999</v>
      </c>
      <c r="C8480" s="626" t="s">
        <v>8</v>
      </c>
      <c r="D8480" s="626" t="s">
        <v>11251</v>
      </c>
      <c r="E8480" s="628" t="s">
        <v>23</v>
      </c>
      <c r="F8480" s="816" t="s">
        <v>13681</v>
      </c>
      <c r="G8480" s="816"/>
      <c r="H8480" s="816">
        <v>0.28440569999999998</v>
      </c>
      <c r="I8480" s="816"/>
      <c r="J8480" s="817">
        <v>1.9900000000000001E-2</v>
      </c>
      <c r="K8480" s="817"/>
      <c r="L8480" s="817"/>
    </row>
    <row r="8481" spans="1:12" ht="17.100000000000001" customHeight="1">
      <c r="A8481" s="636"/>
      <c r="B8481" s="636"/>
      <c r="C8481" s="636"/>
      <c r="D8481" s="636"/>
      <c r="E8481" s="636"/>
      <c r="F8481" s="636"/>
      <c r="G8481" s="636"/>
      <c r="H8481" s="636"/>
      <c r="I8481" s="636"/>
      <c r="J8481" s="636" t="s">
        <v>13675</v>
      </c>
      <c r="K8481" s="636"/>
      <c r="L8481" s="636" t="s">
        <v>13680</v>
      </c>
    </row>
    <row r="8482" spans="1:12" ht="17.100000000000001" customHeight="1">
      <c r="A8482" s="802" t="s">
        <v>12712</v>
      </c>
      <c r="B8482" s="802"/>
      <c r="C8482" s="802"/>
      <c r="D8482" s="802"/>
      <c r="E8482" s="802"/>
      <c r="F8482" s="802"/>
      <c r="G8482" s="802"/>
      <c r="H8482" s="802"/>
      <c r="I8482" s="612"/>
      <c r="J8482" s="612"/>
      <c r="K8482" s="612"/>
      <c r="L8482" s="612"/>
    </row>
    <row r="8483" spans="1:12" ht="17.100000000000001" customHeight="1">
      <c r="A8483" s="612" t="s">
        <v>13679</v>
      </c>
      <c r="B8483" s="636" t="s">
        <v>12698</v>
      </c>
      <c r="C8483" s="612" t="s">
        <v>12699</v>
      </c>
      <c r="D8483" s="612" t="s">
        <v>12700</v>
      </c>
      <c r="E8483" s="637" t="s">
        <v>12702</v>
      </c>
      <c r="F8483" s="801" t="s">
        <v>12704</v>
      </c>
      <c r="G8483" s="801"/>
      <c r="H8483" s="801" t="s">
        <v>13678</v>
      </c>
      <c r="I8483" s="801"/>
      <c r="J8483" s="801" t="s">
        <v>12705</v>
      </c>
      <c r="K8483" s="801"/>
      <c r="L8483" s="801"/>
    </row>
    <row r="8484" spans="1:12" ht="17.100000000000001" customHeight="1">
      <c r="A8484" s="626" t="s">
        <v>12709</v>
      </c>
      <c r="B8484" s="627" t="s">
        <v>13002</v>
      </c>
      <c r="C8484" s="626" t="s">
        <v>8</v>
      </c>
      <c r="D8484" s="626" t="s">
        <v>9306</v>
      </c>
      <c r="E8484" s="628" t="s">
        <v>23</v>
      </c>
      <c r="F8484" s="816" t="s">
        <v>13677</v>
      </c>
      <c r="G8484" s="816"/>
      <c r="H8484" s="816">
        <v>0.28440569999999998</v>
      </c>
      <c r="I8484" s="816"/>
      <c r="J8484" s="817">
        <v>9.9500000000000005E-2</v>
      </c>
      <c r="K8484" s="817"/>
      <c r="L8484" s="817"/>
    </row>
    <row r="8485" spans="1:12" ht="17.100000000000001" customHeight="1">
      <c r="A8485" s="626" t="s">
        <v>12709</v>
      </c>
      <c r="B8485" s="627" t="s">
        <v>13004</v>
      </c>
      <c r="C8485" s="626" t="s">
        <v>8</v>
      </c>
      <c r="D8485" s="626" t="s">
        <v>7388</v>
      </c>
      <c r="E8485" s="628" t="s">
        <v>23</v>
      </c>
      <c r="F8485" s="816" t="s">
        <v>13676</v>
      </c>
      <c r="G8485" s="816"/>
      <c r="H8485" s="816">
        <v>0.28440569999999998</v>
      </c>
      <c r="I8485" s="816"/>
      <c r="J8485" s="817">
        <v>0.62570000000000003</v>
      </c>
      <c r="K8485" s="817"/>
      <c r="L8485" s="817"/>
    </row>
    <row r="8486" spans="1:12" ht="17.100000000000001" customHeight="1">
      <c r="A8486" s="636"/>
      <c r="B8486" s="636"/>
      <c r="C8486" s="636"/>
      <c r="D8486" s="636"/>
      <c r="E8486" s="636"/>
      <c r="F8486" s="636"/>
      <c r="G8486" s="636"/>
      <c r="H8486" s="636"/>
      <c r="I8486" s="636"/>
      <c r="J8486" s="636" t="s">
        <v>13675</v>
      </c>
      <c r="K8486" s="636"/>
      <c r="L8486" s="636" t="s">
        <v>13820</v>
      </c>
    </row>
    <row r="8487" spans="1:12" ht="30" customHeight="1">
      <c r="A8487" s="612" t="s">
        <v>13673</v>
      </c>
      <c r="B8487" s="612"/>
      <c r="C8487" s="612"/>
      <c r="D8487" s="612"/>
      <c r="E8487" s="612"/>
      <c r="F8487" s="612"/>
      <c r="G8487" s="612"/>
      <c r="H8487" s="612"/>
      <c r="I8487" s="612"/>
      <c r="J8487" s="612"/>
      <c r="K8487" s="612"/>
      <c r="L8487" s="612"/>
    </row>
    <row r="8488" spans="1:12" ht="36" customHeight="1">
      <c r="A8488" s="636"/>
      <c r="B8488" s="636"/>
      <c r="C8488" s="636"/>
      <c r="D8488" s="636"/>
      <c r="E8488" s="636"/>
      <c r="F8488" s="636"/>
      <c r="G8488" s="636"/>
      <c r="H8488" s="636"/>
      <c r="I8488" s="636"/>
      <c r="J8488" s="636" t="s">
        <v>13672</v>
      </c>
      <c r="K8488" s="636"/>
      <c r="L8488" s="636" t="s">
        <v>15516</v>
      </c>
    </row>
    <row r="8489" spans="1:12" ht="14.25" customHeight="1">
      <c r="A8489" s="636"/>
      <c r="B8489" s="636"/>
      <c r="C8489" s="636"/>
      <c r="D8489" s="636"/>
      <c r="E8489" s="636"/>
      <c r="F8489" s="636"/>
      <c r="G8489" s="636"/>
      <c r="H8489" s="636"/>
      <c r="I8489" s="636"/>
      <c r="J8489" s="636" t="s">
        <v>13671</v>
      </c>
      <c r="K8489" s="636" t="s">
        <v>14461</v>
      </c>
      <c r="L8489" s="636" t="s">
        <v>15517</v>
      </c>
    </row>
    <row r="8490" spans="1:12" ht="17.100000000000001" customHeight="1">
      <c r="A8490" s="636"/>
      <c r="B8490" s="636"/>
      <c r="C8490" s="636"/>
      <c r="D8490" s="636"/>
      <c r="E8490" s="636"/>
      <c r="F8490" s="636"/>
      <c r="G8490" s="636"/>
      <c r="H8490" s="636"/>
      <c r="I8490" s="636"/>
      <c r="J8490" s="636" t="s">
        <v>13670</v>
      </c>
      <c r="K8490" s="636"/>
      <c r="L8490" s="636" t="s">
        <v>15518</v>
      </c>
    </row>
    <row r="8491" spans="1:12" ht="24" customHeight="1">
      <c r="A8491" s="636"/>
      <c r="B8491" s="636"/>
      <c r="C8491" s="636"/>
      <c r="D8491" s="636"/>
      <c r="E8491" s="636"/>
      <c r="F8491" s="636"/>
      <c r="G8491" s="636"/>
      <c r="H8491" s="636"/>
      <c r="I8491" s="636"/>
      <c r="J8491" s="636" t="s">
        <v>13669</v>
      </c>
      <c r="K8491" s="636" t="s">
        <v>13667</v>
      </c>
      <c r="L8491" s="636" t="s">
        <v>15519</v>
      </c>
    </row>
    <row r="8492" spans="1:12" ht="24" customHeight="1">
      <c r="A8492" s="636"/>
      <c r="B8492" s="636"/>
      <c r="C8492" s="636"/>
      <c r="D8492" s="636"/>
      <c r="E8492" s="636"/>
      <c r="F8492" s="636"/>
      <c r="G8492" s="636"/>
      <c r="H8492" s="636"/>
      <c r="I8492" s="636"/>
      <c r="J8492" s="636" t="s">
        <v>13668</v>
      </c>
      <c r="K8492" s="636"/>
      <c r="L8492" s="636" t="s">
        <v>15520</v>
      </c>
    </row>
    <row r="8493" spans="1:12" ht="17.100000000000001" customHeight="1">
      <c r="A8493" s="637"/>
      <c r="B8493" s="637"/>
      <c r="C8493" s="637"/>
      <c r="D8493" s="637"/>
      <c r="E8493" s="637"/>
      <c r="F8493" s="637"/>
      <c r="G8493" s="637"/>
      <c r="H8493" s="637"/>
      <c r="I8493" s="637"/>
      <c r="J8493" s="637"/>
      <c r="K8493" s="637"/>
      <c r="L8493" s="637"/>
    </row>
    <row r="8494" spans="1:12" ht="14.25" customHeight="1">
      <c r="A8494" s="616" t="s">
        <v>13922</v>
      </c>
      <c r="B8494" s="617" t="s">
        <v>13431</v>
      </c>
      <c r="C8494" s="616" t="s">
        <v>8</v>
      </c>
      <c r="D8494" s="616" t="s">
        <v>4892</v>
      </c>
      <c r="E8494" s="618" t="s">
        <v>35</v>
      </c>
      <c r="F8494" s="617"/>
      <c r="G8494" s="617"/>
      <c r="H8494" s="617"/>
      <c r="I8494" s="617"/>
      <c r="J8494" s="617"/>
      <c r="K8494" s="617"/>
      <c r="L8494" s="617"/>
    </row>
    <row r="8495" spans="1:12" ht="17.100000000000001" customHeight="1">
      <c r="A8495" s="802" t="s">
        <v>12711</v>
      </c>
      <c r="B8495" s="802"/>
      <c r="C8495" s="802"/>
      <c r="D8495" s="802"/>
      <c r="E8495" s="802"/>
      <c r="F8495" s="802"/>
      <c r="G8495" s="802"/>
      <c r="H8495" s="802"/>
      <c r="I8495" s="612"/>
      <c r="J8495" s="612"/>
      <c r="K8495" s="612"/>
      <c r="L8495" s="612"/>
    </row>
    <row r="8496" spans="1:12" ht="24" customHeight="1">
      <c r="A8496" s="612" t="s">
        <v>13679</v>
      </c>
      <c r="B8496" s="636" t="s">
        <v>12698</v>
      </c>
      <c r="C8496" s="612" t="s">
        <v>12699</v>
      </c>
      <c r="D8496" s="612" t="s">
        <v>12700</v>
      </c>
      <c r="E8496" s="637" t="s">
        <v>12702</v>
      </c>
      <c r="F8496" s="801" t="s">
        <v>12704</v>
      </c>
      <c r="G8496" s="801"/>
      <c r="H8496" s="801" t="s">
        <v>13678</v>
      </c>
      <c r="I8496" s="801"/>
      <c r="J8496" s="801" t="s">
        <v>12705</v>
      </c>
      <c r="K8496" s="801"/>
      <c r="L8496" s="801"/>
    </row>
    <row r="8497" spans="1:12" ht="24" customHeight="1">
      <c r="A8497" s="626" t="s">
        <v>12709</v>
      </c>
      <c r="B8497" s="627" t="s">
        <v>13064</v>
      </c>
      <c r="C8497" s="626" t="s">
        <v>8</v>
      </c>
      <c r="D8497" s="626" t="s">
        <v>11184</v>
      </c>
      <c r="E8497" s="628" t="s">
        <v>35</v>
      </c>
      <c r="F8497" s="816" t="s">
        <v>13801</v>
      </c>
      <c r="G8497" s="816"/>
      <c r="H8497" s="816">
        <v>7.7999999999999999E-6</v>
      </c>
      <c r="I8497" s="816"/>
      <c r="J8497" s="817">
        <v>1.9202999999999999</v>
      </c>
      <c r="K8497" s="817"/>
      <c r="L8497" s="817"/>
    </row>
    <row r="8498" spans="1:12" ht="17.100000000000001" customHeight="1">
      <c r="A8498" s="626" t="s">
        <v>12709</v>
      </c>
      <c r="B8498" s="627" t="s">
        <v>13003</v>
      </c>
      <c r="C8498" s="626" t="s">
        <v>8</v>
      </c>
      <c r="D8498" s="626" t="s">
        <v>9227</v>
      </c>
      <c r="E8498" s="628" t="s">
        <v>23</v>
      </c>
      <c r="F8498" s="816" t="s">
        <v>13732</v>
      </c>
      <c r="G8498" s="816"/>
      <c r="H8498" s="816">
        <v>0.41492180000000001</v>
      </c>
      <c r="I8498" s="816"/>
      <c r="J8498" s="817">
        <v>0.27379999999999999</v>
      </c>
      <c r="K8498" s="817"/>
      <c r="L8498" s="817"/>
    </row>
    <row r="8499" spans="1:12" ht="25.5">
      <c r="A8499" s="626" t="s">
        <v>12709</v>
      </c>
      <c r="B8499" s="627" t="s">
        <v>13001</v>
      </c>
      <c r="C8499" s="626" t="s">
        <v>8</v>
      </c>
      <c r="D8499" s="626" t="s">
        <v>9374</v>
      </c>
      <c r="E8499" s="628" t="s">
        <v>23</v>
      </c>
      <c r="F8499" s="816" t="s">
        <v>13728</v>
      </c>
      <c r="G8499" s="816"/>
      <c r="H8499" s="816">
        <v>0.41492180000000001</v>
      </c>
      <c r="I8499" s="816"/>
      <c r="J8499" s="817">
        <v>4.1000000000000003E-3</v>
      </c>
      <c r="K8499" s="817"/>
      <c r="L8499" s="817"/>
    </row>
    <row r="8500" spans="1:12" ht="17.100000000000001" customHeight="1">
      <c r="A8500" s="626" t="s">
        <v>12709</v>
      </c>
      <c r="B8500" s="627" t="s">
        <v>12989</v>
      </c>
      <c r="C8500" s="626" t="s">
        <v>8</v>
      </c>
      <c r="D8500" s="626" t="s">
        <v>12342</v>
      </c>
      <c r="E8500" s="628" t="s">
        <v>35</v>
      </c>
      <c r="F8500" s="816" t="s">
        <v>14494</v>
      </c>
      <c r="G8500" s="816"/>
      <c r="H8500" s="816">
        <v>1.3549999999999999E-4</v>
      </c>
      <c r="I8500" s="816"/>
      <c r="J8500" s="817">
        <v>0.32819999999999999</v>
      </c>
      <c r="K8500" s="817"/>
      <c r="L8500" s="817"/>
    </row>
    <row r="8501" spans="1:12" ht="24" customHeight="1">
      <c r="A8501" s="626" t="s">
        <v>12709</v>
      </c>
      <c r="B8501" s="627" t="s">
        <v>13052</v>
      </c>
      <c r="C8501" s="626" t="s">
        <v>8</v>
      </c>
      <c r="D8501" s="626" t="s">
        <v>9229</v>
      </c>
      <c r="E8501" s="628" t="s">
        <v>23</v>
      </c>
      <c r="F8501" s="816" t="s">
        <v>13692</v>
      </c>
      <c r="G8501" s="816"/>
      <c r="H8501" s="816">
        <v>5.0538734999999999</v>
      </c>
      <c r="I8501" s="816"/>
      <c r="J8501" s="817">
        <v>4.8517000000000001</v>
      </c>
      <c r="K8501" s="817"/>
      <c r="L8501" s="817"/>
    </row>
    <row r="8502" spans="1:12" ht="48" customHeight="1">
      <c r="A8502" s="626" t="s">
        <v>12709</v>
      </c>
      <c r="B8502" s="627" t="s">
        <v>13051</v>
      </c>
      <c r="C8502" s="626" t="s">
        <v>8</v>
      </c>
      <c r="D8502" s="626" t="s">
        <v>9376</v>
      </c>
      <c r="E8502" s="628" t="s">
        <v>23</v>
      </c>
      <c r="F8502" s="816" t="s">
        <v>13691</v>
      </c>
      <c r="G8502" s="816"/>
      <c r="H8502" s="816">
        <v>5.0538734999999999</v>
      </c>
      <c r="I8502" s="816"/>
      <c r="J8502" s="817">
        <v>2.5268999999999999</v>
      </c>
      <c r="K8502" s="817"/>
      <c r="L8502" s="817"/>
    </row>
    <row r="8503" spans="1:12" ht="17.100000000000001" customHeight="1">
      <c r="A8503" s="626" t="s">
        <v>12709</v>
      </c>
      <c r="B8503" s="627" t="s">
        <v>13297</v>
      </c>
      <c r="C8503" s="626" t="s">
        <v>8</v>
      </c>
      <c r="D8503" s="626" t="s">
        <v>7681</v>
      </c>
      <c r="E8503" s="628" t="s">
        <v>35</v>
      </c>
      <c r="F8503" s="816" t="s">
        <v>14527</v>
      </c>
      <c r="G8503" s="816"/>
      <c r="H8503" s="816">
        <v>6.9E-6</v>
      </c>
      <c r="I8503" s="816"/>
      <c r="J8503" s="817">
        <v>0.1017</v>
      </c>
      <c r="K8503" s="817"/>
      <c r="L8503" s="817"/>
    </row>
    <row r="8504" spans="1:12" ht="25.5">
      <c r="A8504" s="626" t="s">
        <v>12709</v>
      </c>
      <c r="B8504" s="627" t="s">
        <v>13048</v>
      </c>
      <c r="C8504" s="626" t="s">
        <v>8</v>
      </c>
      <c r="D8504" s="626" t="s">
        <v>9233</v>
      </c>
      <c r="E8504" s="628" t="s">
        <v>23</v>
      </c>
      <c r="F8504" s="816" t="s">
        <v>13690</v>
      </c>
      <c r="G8504" s="816"/>
      <c r="H8504" s="816">
        <v>4.7735468000000001</v>
      </c>
      <c r="I8504" s="816"/>
      <c r="J8504" s="817">
        <v>4.8689999999999998</v>
      </c>
      <c r="K8504" s="817"/>
      <c r="L8504" s="817"/>
    </row>
    <row r="8505" spans="1:12" ht="17.100000000000001" customHeight="1">
      <c r="A8505" s="626" t="s">
        <v>12709</v>
      </c>
      <c r="B8505" s="627" t="s">
        <v>13047</v>
      </c>
      <c r="C8505" s="626" t="s">
        <v>8</v>
      </c>
      <c r="D8505" s="626" t="s">
        <v>9380</v>
      </c>
      <c r="E8505" s="628" t="s">
        <v>23</v>
      </c>
      <c r="F8505" s="816" t="s">
        <v>13689</v>
      </c>
      <c r="G8505" s="816"/>
      <c r="H8505" s="816">
        <v>4.7735468000000001</v>
      </c>
      <c r="I8505" s="816"/>
      <c r="J8505" s="817">
        <v>1.8139000000000001</v>
      </c>
      <c r="K8505" s="817"/>
      <c r="L8505" s="817"/>
    </row>
    <row r="8506" spans="1:12" ht="24" customHeight="1">
      <c r="A8506" s="626" t="s">
        <v>12709</v>
      </c>
      <c r="B8506" s="627" t="s">
        <v>13032</v>
      </c>
      <c r="C8506" s="626" t="s">
        <v>8</v>
      </c>
      <c r="D8506" s="626" t="s">
        <v>9217</v>
      </c>
      <c r="E8506" s="628" t="s">
        <v>23</v>
      </c>
      <c r="F8506" s="816" t="s">
        <v>13741</v>
      </c>
      <c r="G8506" s="816"/>
      <c r="H8506" s="816">
        <v>0.1976252</v>
      </c>
      <c r="I8506" s="816"/>
      <c r="J8506" s="817">
        <v>0.21340000000000001</v>
      </c>
      <c r="K8506" s="817"/>
      <c r="L8506" s="817"/>
    </row>
    <row r="8507" spans="1:12" ht="17.100000000000001" customHeight="1">
      <c r="A8507" s="626" t="s">
        <v>12709</v>
      </c>
      <c r="B8507" s="627" t="s">
        <v>13031</v>
      </c>
      <c r="C8507" s="626" t="s">
        <v>8</v>
      </c>
      <c r="D8507" s="626" t="s">
        <v>9364</v>
      </c>
      <c r="E8507" s="628" t="s">
        <v>23</v>
      </c>
      <c r="F8507" s="816" t="s">
        <v>13740</v>
      </c>
      <c r="G8507" s="816"/>
      <c r="H8507" s="816">
        <v>0.1976252</v>
      </c>
      <c r="I8507" s="816"/>
      <c r="J8507" s="817">
        <v>6.7199999999999996E-2</v>
      </c>
      <c r="K8507" s="817"/>
      <c r="L8507" s="817"/>
    </row>
    <row r="8508" spans="1:12" ht="25.5">
      <c r="A8508" s="626" t="s">
        <v>12709</v>
      </c>
      <c r="B8508" s="627" t="s">
        <v>13268</v>
      </c>
      <c r="C8508" s="626" t="s">
        <v>8</v>
      </c>
      <c r="D8508" s="626" t="s">
        <v>8451</v>
      </c>
      <c r="E8508" s="628" t="s">
        <v>35</v>
      </c>
      <c r="F8508" s="816" t="s">
        <v>14506</v>
      </c>
      <c r="G8508" s="816"/>
      <c r="H8508" s="816">
        <v>9.9999999999999995E-7</v>
      </c>
      <c r="I8508" s="816"/>
      <c r="J8508" s="817">
        <v>1.09E-2</v>
      </c>
      <c r="K8508" s="817"/>
      <c r="L8508" s="817"/>
    </row>
    <row r="8509" spans="1:12" ht="17.100000000000001" customHeight="1">
      <c r="A8509" s="626" t="s">
        <v>12709</v>
      </c>
      <c r="B8509" s="627" t="s">
        <v>13302</v>
      </c>
      <c r="C8509" s="626" t="s">
        <v>8</v>
      </c>
      <c r="D8509" s="626" t="s">
        <v>7676</v>
      </c>
      <c r="E8509" s="628" t="s">
        <v>35</v>
      </c>
      <c r="F8509" s="816" t="s">
        <v>14526</v>
      </c>
      <c r="G8509" s="816"/>
      <c r="H8509" s="816">
        <v>1.7200000000000001E-5</v>
      </c>
      <c r="I8509" s="816"/>
      <c r="J8509" s="817">
        <v>6.2300000000000001E-2</v>
      </c>
      <c r="K8509" s="817"/>
      <c r="L8509" s="817"/>
    </row>
    <row r="8510" spans="1:12" ht="24" customHeight="1">
      <c r="A8510" s="636"/>
      <c r="B8510" s="636"/>
      <c r="C8510" s="636"/>
      <c r="D8510" s="636"/>
      <c r="E8510" s="636"/>
      <c r="F8510" s="636"/>
      <c r="G8510" s="636"/>
      <c r="H8510" s="636"/>
      <c r="I8510" s="636"/>
      <c r="J8510" s="636" t="s">
        <v>13675</v>
      </c>
      <c r="K8510" s="636"/>
      <c r="L8510" s="636" t="s">
        <v>14538</v>
      </c>
    </row>
    <row r="8511" spans="1:12" ht="17.100000000000001" customHeight="1">
      <c r="A8511" s="802" t="s">
        <v>12710</v>
      </c>
      <c r="B8511" s="802"/>
      <c r="C8511" s="802"/>
      <c r="D8511" s="802"/>
      <c r="E8511" s="802"/>
      <c r="F8511" s="802"/>
      <c r="G8511" s="802"/>
      <c r="H8511" s="802"/>
      <c r="I8511" s="612"/>
      <c r="J8511" s="612"/>
      <c r="K8511" s="612"/>
      <c r="L8511" s="612"/>
    </row>
    <row r="8512" spans="1:12">
      <c r="A8512" s="612" t="s">
        <v>13679</v>
      </c>
      <c r="B8512" s="636" t="s">
        <v>12698</v>
      </c>
      <c r="C8512" s="612" t="s">
        <v>12699</v>
      </c>
      <c r="D8512" s="612" t="s">
        <v>12700</v>
      </c>
      <c r="E8512" s="637" t="s">
        <v>12702</v>
      </c>
      <c r="F8512" s="801" t="s">
        <v>12704</v>
      </c>
      <c r="G8512" s="801"/>
      <c r="H8512" s="801" t="s">
        <v>13678</v>
      </c>
      <c r="I8512" s="801"/>
      <c r="J8512" s="801" t="s">
        <v>12705</v>
      </c>
      <c r="K8512" s="801"/>
      <c r="L8512" s="801"/>
    </row>
    <row r="8513" spans="1:12" ht="17.100000000000001" customHeight="1">
      <c r="A8513" s="626" t="s">
        <v>12709</v>
      </c>
      <c r="B8513" s="627" t="s">
        <v>13114</v>
      </c>
      <c r="C8513" s="626" t="s">
        <v>8</v>
      </c>
      <c r="D8513" s="626" t="s">
        <v>10562</v>
      </c>
      <c r="E8513" s="628" t="s">
        <v>23</v>
      </c>
      <c r="F8513" s="816" t="s">
        <v>14524</v>
      </c>
      <c r="G8513" s="816"/>
      <c r="H8513" s="816">
        <v>0.1023186</v>
      </c>
      <c r="I8513" s="816"/>
      <c r="J8513" s="817">
        <v>0.6835</v>
      </c>
      <c r="K8513" s="817"/>
      <c r="L8513" s="817"/>
    </row>
    <row r="8514" spans="1:12" ht="24" customHeight="1">
      <c r="A8514" s="626" t="s">
        <v>12709</v>
      </c>
      <c r="B8514" s="627" t="s">
        <v>13103</v>
      </c>
      <c r="C8514" s="626" t="s">
        <v>8</v>
      </c>
      <c r="D8514" s="626" t="s">
        <v>10570</v>
      </c>
      <c r="E8514" s="628" t="s">
        <v>23</v>
      </c>
      <c r="F8514" s="816" t="s">
        <v>14289</v>
      </c>
      <c r="G8514" s="816"/>
      <c r="H8514" s="816">
        <v>4.4035600000000001E-2</v>
      </c>
      <c r="I8514" s="816"/>
      <c r="J8514" s="817">
        <v>0.22409999999999999</v>
      </c>
      <c r="K8514" s="817"/>
      <c r="L8514" s="817"/>
    </row>
    <row r="8515" spans="1:12" ht="24" customHeight="1">
      <c r="A8515" s="626" t="s">
        <v>12709</v>
      </c>
      <c r="B8515" s="627" t="s">
        <v>13230</v>
      </c>
      <c r="C8515" s="626" t="s">
        <v>8</v>
      </c>
      <c r="D8515" s="626" t="s">
        <v>7362</v>
      </c>
      <c r="E8515" s="628" t="s">
        <v>23</v>
      </c>
      <c r="F8515" s="816" t="s">
        <v>14514</v>
      </c>
      <c r="G8515" s="816"/>
      <c r="H8515" s="816">
        <v>5.7572199999999997E-2</v>
      </c>
      <c r="I8515" s="816"/>
      <c r="J8515" s="817">
        <v>0.27689999999999998</v>
      </c>
      <c r="K8515" s="817"/>
      <c r="L8515" s="817"/>
    </row>
    <row r="8516" spans="1:12" ht="17.100000000000001" customHeight="1">
      <c r="A8516" s="626" t="s">
        <v>12709</v>
      </c>
      <c r="B8516" s="627" t="s">
        <v>13224</v>
      </c>
      <c r="C8516" s="626" t="s">
        <v>8</v>
      </c>
      <c r="D8516" s="626" t="s">
        <v>7556</v>
      </c>
      <c r="E8516" s="628" t="s">
        <v>23</v>
      </c>
      <c r="F8516" s="816" t="s">
        <v>14470</v>
      </c>
      <c r="G8516" s="816"/>
      <c r="H8516" s="816">
        <v>0.36932320000000002</v>
      </c>
      <c r="I8516" s="816"/>
      <c r="J8516" s="817">
        <v>2.552</v>
      </c>
      <c r="K8516" s="817"/>
      <c r="L8516" s="817"/>
    </row>
    <row r="8517" spans="1:12" ht="17.100000000000001" customHeight="1">
      <c r="A8517" s="626" t="s">
        <v>12709</v>
      </c>
      <c r="B8517" s="627" t="s">
        <v>13046</v>
      </c>
      <c r="C8517" s="626" t="s">
        <v>8</v>
      </c>
      <c r="D8517" s="626" t="s">
        <v>11281</v>
      </c>
      <c r="E8517" s="628" t="s">
        <v>23</v>
      </c>
      <c r="F8517" s="816" t="s">
        <v>13731</v>
      </c>
      <c r="G8517" s="816"/>
      <c r="H8517" s="816">
        <v>4.8416218999999998</v>
      </c>
      <c r="I8517" s="816"/>
      <c r="J8517" s="817">
        <v>24.885899999999999</v>
      </c>
      <c r="K8517" s="817"/>
      <c r="L8517" s="817"/>
    </row>
    <row r="8518" spans="1:12" ht="17.100000000000001" customHeight="1">
      <c r="A8518" s="626" t="s">
        <v>12709</v>
      </c>
      <c r="B8518" s="627" t="s">
        <v>13116</v>
      </c>
      <c r="C8518" s="626" t="s">
        <v>8</v>
      </c>
      <c r="D8518" s="626" t="s">
        <v>10556</v>
      </c>
      <c r="E8518" s="628" t="s">
        <v>23</v>
      </c>
      <c r="F8518" s="816" t="s">
        <v>13770</v>
      </c>
      <c r="G8518" s="816"/>
      <c r="H8518" s="816">
        <v>0.27111279999999999</v>
      </c>
      <c r="I8518" s="816"/>
      <c r="J8518" s="817">
        <v>1.2931999999999999</v>
      </c>
      <c r="K8518" s="817"/>
      <c r="L8518" s="817"/>
    </row>
    <row r="8519" spans="1:12" ht="17.100000000000001" customHeight="1">
      <c r="A8519" s="626" t="s">
        <v>12709</v>
      </c>
      <c r="B8519" s="627" t="s">
        <v>13228</v>
      </c>
      <c r="C8519" s="626" t="s">
        <v>8</v>
      </c>
      <c r="D8519" s="626" t="s">
        <v>8289</v>
      </c>
      <c r="E8519" s="628" t="s">
        <v>23</v>
      </c>
      <c r="F8519" s="816" t="s">
        <v>14199</v>
      </c>
      <c r="G8519" s="816"/>
      <c r="H8519" s="816">
        <v>3.3262399999999998E-2</v>
      </c>
      <c r="I8519" s="816"/>
      <c r="J8519" s="817">
        <v>0.18090000000000001</v>
      </c>
      <c r="K8519" s="817"/>
      <c r="L8519" s="817"/>
    </row>
    <row r="8520" spans="1:12" ht="17.100000000000001" customHeight="1">
      <c r="A8520" s="626" t="s">
        <v>12709</v>
      </c>
      <c r="B8520" s="627" t="s">
        <v>13214</v>
      </c>
      <c r="C8520" s="626" t="s">
        <v>8</v>
      </c>
      <c r="D8520" s="626" t="s">
        <v>8291</v>
      </c>
      <c r="E8520" s="628" t="s">
        <v>23</v>
      </c>
      <c r="F8520" s="816" t="s">
        <v>14513</v>
      </c>
      <c r="G8520" s="816"/>
      <c r="H8520" s="816">
        <v>0.16631190000000001</v>
      </c>
      <c r="I8520" s="816"/>
      <c r="J8520" s="817">
        <v>1.254</v>
      </c>
      <c r="K8520" s="817"/>
      <c r="L8520" s="817"/>
    </row>
    <row r="8521" spans="1:12" ht="17.100000000000001" customHeight="1">
      <c r="A8521" s="626" t="s">
        <v>12709</v>
      </c>
      <c r="B8521" s="627" t="s">
        <v>13099</v>
      </c>
      <c r="C8521" s="626" t="s">
        <v>8</v>
      </c>
      <c r="D8521" s="626" t="s">
        <v>10726</v>
      </c>
      <c r="E8521" s="628" t="s">
        <v>23</v>
      </c>
      <c r="F8521" s="816" t="s">
        <v>14470</v>
      </c>
      <c r="G8521" s="816"/>
      <c r="H8521" s="816">
        <v>4.6962133000000001</v>
      </c>
      <c r="I8521" s="816"/>
      <c r="J8521" s="817">
        <v>32.450800000000001</v>
      </c>
      <c r="K8521" s="817"/>
      <c r="L8521" s="817"/>
    </row>
    <row r="8522" spans="1:12" ht="17.100000000000001" customHeight="1">
      <c r="A8522" s="636"/>
      <c r="B8522" s="636"/>
      <c r="C8522" s="636"/>
      <c r="D8522" s="636"/>
      <c r="E8522" s="636"/>
      <c r="F8522" s="636"/>
      <c r="G8522" s="636"/>
      <c r="H8522" s="636"/>
      <c r="I8522" s="636"/>
      <c r="J8522" s="636" t="s">
        <v>13675</v>
      </c>
      <c r="K8522" s="636"/>
      <c r="L8522" s="636" t="s">
        <v>14537</v>
      </c>
    </row>
    <row r="8523" spans="1:12" ht="30" customHeight="1">
      <c r="A8523" s="802" t="s">
        <v>12720</v>
      </c>
      <c r="B8523" s="802"/>
      <c r="C8523" s="802"/>
      <c r="D8523" s="802"/>
      <c r="E8523" s="802"/>
      <c r="F8523" s="802"/>
      <c r="G8523" s="802"/>
      <c r="H8523" s="802"/>
      <c r="I8523" s="612"/>
      <c r="J8523" s="612"/>
      <c r="K8523" s="612"/>
      <c r="L8523" s="612"/>
    </row>
    <row r="8524" spans="1:12" ht="36" customHeight="1">
      <c r="A8524" s="612" t="s">
        <v>13679</v>
      </c>
      <c r="B8524" s="636" t="s">
        <v>12698</v>
      </c>
      <c r="C8524" s="612" t="s">
        <v>12699</v>
      </c>
      <c r="D8524" s="612" t="s">
        <v>12700</v>
      </c>
      <c r="E8524" s="637" t="s">
        <v>12702</v>
      </c>
      <c r="F8524" s="801" t="s">
        <v>12704</v>
      </c>
      <c r="G8524" s="801"/>
      <c r="H8524" s="801" t="s">
        <v>13678</v>
      </c>
      <c r="I8524" s="801"/>
      <c r="J8524" s="801" t="s">
        <v>12705</v>
      </c>
      <c r="K8524" s="801"/>
      <c r="L8524" s="801"/>
    </row>
    <row r="8525" spans="1:12" ht="14.25" customHeight="1">
      <c r="A8525" s="626" t="s">
        <v>12709</v>
      </c>
      <c r="B8525" s="627" t="s">
        <v>13430</v>
      </c>
      <c r="C8525" s="626" t="s">
        <v>8</v>
      </c>
      <c r="D8525" s="626" t="s">
        <v>7741</v>
      </c>
      <c r="E8525" s="628" t="s">
        <v>35</v>
      </c>
      <c r="F8525" s="816" t="s">
        <v>14536</v>
      </c>
      <c r="G8525" s="816"/>
      <c r="H8525" s="816">
        <v>22.915299999999998</v>
      </c>
      <c r="I8525" s="816"/>
      <c r="J8525" s="817">
        <v>45.37</v>
      </c>
      <c r="K8525" s="817"/>
      <c r="L8525" s="817"/>
    </row>
    <row r="8526" spans="1:12" ht="17.100000000000001" customHeight="1">
      <c r="A8526" s="626" t="s">
        <v>12709</v>
      </c>
      <c r="B8526" s="627" t="s">
        <v>13007</v>
      </c>
      <c r="C8526" s="626" t="s">
        <v>8</v>
      </c>
      <c r="D8526" s="626" t="s">
        <v>10549</v>
      </c>
      <c r="E8526" s="628" t="s">
        <v>58</v>
      </c>
      <c r="F8526" s="816" t="s">
        <v>14172</v>
      </c>
      <c r="G8526" s="816"/>
      <c r="H8526" s="816">
        <v>0.17216339999999999</v>
      </c>
      <c r="I8526" s="816"/>
      <c r="J8526" s="817">
        <v>0.55779999999999996</v>
      </c>
      <c r="K8526" s="817"/>
      <c r="L8526" s="817"/>
    </row>
    <row r="8527" spans="1:12" ht="24" customHeight="1">
      <c r="A8527" s="626" t="s">
        <v>12709</v>
      </c>
      <c r="B8527" s="627" t="s">
        <v>13093</v>
      </c>
      <c r="C8527" s="626" t="s">
        <v>8</v>
      </c>
      <c r="D8527" s="626" t="s">
        <v>8980</v>
      </c>
      <c r="E8527" s="628" t="s">
        <v>58</v>
      </c>
      <c r="F8527" s="816" t="s">
        <v>14502</v>
      </c>
      <c r="G8527" s="816"/>
      <c r="H8527" s="816">
        <v>2.5389000000000002E-3</v>
      </c>
      <c r="I8527" s="816"/>
      <c r="J8527" s="817">
        <v>1.23E-2</v>
      </c>
      <c r="K8527" s="817"/>
      <c r="L8527" s="817"/>
    </row>
    <row r="8528" spans="1:12" ht="24" customHeight="1">
      <c r="A8528" s="626" t="s">
        <v>12709</v>
      </c>
      <c r="B8528" s="627" t="s">
        <v>13091</v>
      </c>
      <c r="C8528" s="626" t="s">
        <v>8</v>
      </c>
      <c r="D8528" s="626" t="s">
        <v>11248</v>
      </c>
      <c r="E8528" s="628" t="s">
        <v>17</v>
      </c>
      <c r="F8528" s="816" t="s">
        <v>14501</v>
      </c>
      <c r="G8528" s="816"/>
      <c r="H8528" s="816">
        <v>0.200464</v>
      </c>
      <c r="I8528" s="816"/>
      <c r="J8528" s="817">
        <v>0.40089999999999998</v>
      </c>
      <c r="K8528" s="817"/>
      <c r="L8528" s="817"/>
    </row>
    <row r="8529" spans="1:12" ht="17.100000000000001" customHeight="1">
      <c r="A8529" s="626" t="s">
        <v>12709</v>
      </c>
      <c r="B8529" s="627" t="s">
        <v>13094</v>
      </c>
      <c r="C8529" s="626" t="s">
        <v>8</v>
      </c>
      <c r="D8529" s="626" t="s">
        <v>8374</v>
      </c>
      <c r="E8529" s="628" t="s">
        <v>12725</v>
      </c>
      <c r="F8529" s="816" t="s">
        <v>14522</v>
      </c>
      <c r="G8529" s="816"/>
      <c r="H8529" s="816">
        <v>5.8710900000000003E-2</v>
      </c>
      <c r="I8529" s="816"/>
      <c r="J8529" s="817">
        <v>1.5746</v>
      </c>
      <c r="K8529" s="817"/>
      <c r="L8529" s="817"/>
    </row>
    <row r="8530" spans="1:12" ht="14.25" customHeight="1">
      <c r="A8530" s="626" t="s">
        <v>12709</v>
      </c>
      <c r="B8530" s="627" t="s">
        <v>13092</v>
      </c>
      <c r="C8530" s="626" t="s">
        <v>8</v>
      </c>
      <c r="D8530" s="626" t="s">
        <v>11005</v>
      </c>
      <c r="E8530" s="628" t="s">
        <v>20</v>
      </c>
      <c r="F8530" s="816" t="s">
        <v>13797</v>
      </c>
      <c r="G8530" s="816"/>
      <c r="H8530" s="816">
        <v>1.17269E-2</v>
      </c>
      <c r="I8530" s="816"/>
      <c r="J8530" s="817">
        <v>0.1452</v>
      </c>
      <c r="K8530" s="817"/>
      <c r="L8530" s="817"/>
    </row>
    <row r="8531" spans="1:12" ht="17.100000000000001" customHeight="1">
      <c r="A8531" s="626" t="s">
        <v>12709</v>
      </c>
      <c r="B8531" s="627" t="s">
        <v>12987</v>
      </c>
      <c r="C8531" s="626" t="s">
        <v>8</v>
      </c>
      <c r="D8531" s="626" t="s">
        <v>9192</v>
      </c>
      <c r="E8531" s="628" t="s">
        <v>12923</v>
      </c>
      <c r="F8531" s="816" t="s">
        <v>13999</v>
      </c>
      <c r="G8531" s="816"/>
      <c r="H8531" s="816">
        <v>0.45580169999999998</v>
      </c>
      <c r="I8531" s="816"/>
      <c r="J8531" s="817">
        <v>0.36919999999999997</v>
      </c>
      <c r="K8531" s="817"/>
      <c r="L8531" s="817"/>
    </row>
    <row r="8532" spans="1:12" ht="24" customHeight="1">
      <c r="A8532" s="626" t="s">
        <v>12709</v>
      </c>
      <c r="B8532" s="627" t="s">
        <v>13056</v>
      </c>
      <c r="C8532" s="626" t="s">
        <v>8</v>
      </c>
      <c r="D8532" s="626" t="s">
        <v>11277</v>
      </c>
      <c r="E8532" s="628" t="s">
        <v>35</v>
      </c>
      <c r="F8532" s="816" t="s">
        <v>14498</v>
      </c>
      <c r="G8532" s="816"/>
      <c r="H8532" s="816">
        <v>3.5999999999999998E-6</v>
      </c>
      <c r="I8532" s="816"/>
      <c r="J8532" s="817">
        <v>4.4999999999999997E-3</v>
      </c>
      <c r="K8532" s="817"/>
      <c r="L8532" s="817"/>
    </row>
    <row r="8533" spans="1:12" ht="24" customHeight="1">
      <c r="A8533" s="626" t="s">
        <v>12709</v>
      </c>
      <c r="B8533" s="627" t="s">
        <v>13311</v>
      </c>
      <c r="C8533" s="626" t="s">
        <v>8</v>
      </c>
      <c r="D8533" s="626" t="s">
        <v>7522</v>
      </c>
      <c r="E8533" s="628" t="s">
        <v>20</v>
      </c>
      <c r="F8533" s="816" t="s">
        <v>14521</v>
      </c>
      <c r="G8533" s="816"/>
      <c r="H8533" s="816">
        <v>3.2392200000000003E-2</v>
      </c>
      <c r="I8533" s="816"/>
      <c r="J8533" s="817">
        <v>0.4405</v>
      </c>
      <c r="K8533" s="817"/>
      <c r="L8533" s="817"/>
    </row>
    <row r="8534" spans="1:12" ht="17.100000000000001" customHeight="1">
      <c r="A8534" s="626" t="s">
        <v>12709</v>
      </c>
      <c r="B8534" s="627" t="s">
        <v>13310</v>
      </c>
      <c r="C8534" s="626" t="s">
        <v>8</v>
      </c>
      <c r="D8534" s="626" t="s">
        <v>9265</v>
      </c>
      <c r="E8534" s="628" t="s">
        <v>35</v>
      </c>
      <c r="F8534" s="816" t="s">
        <v>13875</v>
      </c>
      <c r="G8534" s="816"/>
      <c r="H8534" s="816">
        <v>3.6486649</v>
      </c>
      <c r="I8534" s="816"/>
      <c r="J8534" s="817">
        <v>0.4743</v>
      </c>
      <c r="K8534" s="817"/>
      <c r="L8534" s="817"/>
    </row>
    <row r="8535" spans="1:12" ht="25.5">
      <c r="A8535" s="626" t="s">
        <v>12709</v>
      </c>
      <c r="B8535" s="627" t="s">
        <v>13235</v>
      </c>
      <c r="C8535" s="626" t="s">
        <v>8</v>
      </c>
      <c r="D8535" s="626" t="s">
        <v>7268</v>
      </c>
      <c r="E8535" s="628" t="s">
        <v>20</v>
      </c>
      <c r="F8535" s="816" t="s">
        <v>14520</v>
      </c>
      <c r="G8535" s="816"/>
      <c r="H8535" s="816">
        <v>1.3863890000000001</v>
      </c>
      <c r="I8535" s="816"/>
      <c r="J8535" s="817">
        <v>6.7516999999999996</v>
      </c>
      <c r="K8535" s="817"/>
      <c r="L8535" s="817"/>
    </row>
    <row r="8536" spans="1:12" ht="17.100000000000001" customHeight="1">
      <c r="A8536" s="626" t="s">
        <v>12709</v>
      </c>
      <c r="B8536" s="627" t="s">
        <v>13250</v>
      </c>
      <c r="C8536" s="626" t="s">
        <v>8</v>
      </c>
      <c r="D8536" s="626" t="s">
        <v>7526</v>
      </c>
      <c r="E8536" s="628" t="s">
        <v>12730</v>
      </c>
      <c r="F8536" s="816" t="s">
        <v>13747</v>
      </c>
      <c r="G8536" s="816"/>
      <c r="H8536" s="816">
        <v>9.9749599999999994E-2</v>
      </c>
      <c r="I8536" s="816"/>
      <c r="J8536" s="817">
        <v>6.2343000000000002</v>
      </c>
      <c r="K8536" s="817"/>
      <c r="L8536" s="817"/>
    </row>
    <row r="8537" spans="1:12" ht="24" customHeight="1">
      <c r="A8537" s="626" t="s">
        <v>12709</v>
      </c>
      <c r="B8537" s="627" t="s">
        <v>13249</v>
      </c>
      <c r="C8537" s="626" t="s">
        <v>8</v>
      </c>
      <c r="D8537" s="626" t="s">
        <v>8420</v>
      </c>
      <c r="E8537" s="628" t="s">
        <v>20</v>
      </c>
      <c r="F8537" s="816" t="s">
        <v>13700</v>
      </c>
      <c r="G8537" s="816"/>
      <c r="H8537" s="816">
        <v>49.2970136</v>
      </c>
      <c r="I8537" s="816"/>
      <c r="J8537" s="817">
        <v>24.1555</v>
      </c>
      <c r="K8537" s="817"/>
      <c r="L8537" s="817"/>
    </row>
    <row r="8538" spans="1:12" ht="48" customHeight="1">
      <c r="A8538" s="626" t="s">
        <v>12709</v>
      </c>
      <c r="B8538" s="627" t="s">
        <v>13248</v>
      </c>
      <c r="C8538" s="626" t="s">
        <v>8</v>
      </c>
      <c r="D8538" s="626" t="s">
        <v>10712</v>
      </c>
      <c r="E8538" s="628" t="s">
        <v>12730</v>
      </c>
      <c r="F8538" s="816" t="s">
        <v>13745</v>
      </c>
      <c r="G8538" s="816"/>
      <c r="H8538" s="816">
        <v>3.1846800000000001E-2</v>
      </c>
      <c r="I8538" s="816"/>
      <c r="J8538" s="817">
        <v>2.5476999999999999</v>
      </c>
      <c r="K8538" s="817"/>
      <c r="L8538" s="817"/>
    </row>
    <row r="8539" spans="1:12" ht="17.100000000000001" customHeight="1">
      <c r="A8539" s="626" t="s">
        <v>12709</v>
      </c>
      <c r="B8539" s="627" t="s">
        <v>13153</v>
      </c>
      <c r="C8539" s="626" t="s">
        <v>8</v>
      </c>
      <c r="D8539" s="626" t="s">
        <v>10711</v>
      </c>
      <c r="E8539" s="628" t="s">
        <v>12730</v>
      </c>
      <c r="F8539" s="816" t="s">
        <v>13793</v>
      </c>
      <c r="G8539" s="816"/>
      <c r="H8539" s="816">
        <v>8.9053099999999996E-2</v>
      </c>
      <c r="I8539" s="816"/>
      <c r="J8539" s="817">
        <v>9.0968</v>
      </c>
      <c r="K8539" s="817"/>
      <c r="L8539" s="817"/>
    </row>
    <row r="8540" spans="1:12" ht="25.5">
      <c r="A8540" s="626" t="s">
        <v>12709</v>
      </c>
      <c r="B8540" s="627" t="s">
        <v>13266</v>
      </c>
      <c r="C8540" s="626" t="s">
        <v>8</v>
      </c>
      <c r="D8540" s="626" t="s">
        <v>9514</v>
      </c>
      <c r="E8540" s="628" t="s">
        <v>58</v>
      </c>
      <c r="F8540" s="816" t="s">
        <v>14009</v>
      </c>
      <c r="G8540" s="816"/>
      <c r="H8540" s="816">
        <v>5.7536999999999996E-3</v>
      </c>
      <c r="I8540" s="816"/>
      <c r="J8540" s="817">
        <v>2.1600000000000001E-2</v>
      </c>
      <c r="K8540" s="817"/>
      <c r="L8540" s="817"/>
    </row>
    <row r="8541" spans="1:12" ht="17.100000000000001" customHeight="1">
      <c r="A8541" s="626" t="s">
        <v>12709</v>
      </c>
      <c r="B8541" s="627" t="s">
        <v>13315</v>
      </c>
      <c r="C8541" s="626" t="s">
        <v>8</v>
      </c>
      <c r="D8541" s="626" t="s">
        <v>7525</v>
      </c>
      <c r="E8541" s="628" t="s">
        <v>12730</v>
      </c>
      <c r="F8541" s="816" t="s">
        <v>14519</v>
      </c>
      <c r="G8541" s="816"/>
      <c r="H8541" s="816">
        <v>1.4272E-3</v>
      </c>
      <c r="I8541" s="816"/>
      <c r="J8541" s="817">
        <v>9.4899999999999998E-2</v>
      </c>
      <c r="K8541" s="817"/>
      <c r="L8541" s="817"/>
    </row>
    <row r="8542" spans="1:12" ht="24" customHeight="1">
      <c r="A8542" s="636"/>
      <c r="B8542" s="636"/>
      <c r="C8542" s="636"/>
      <c r="D8542" s="636"/>
      <c r="E8542" s="636"/>
      <c r="F8542" s="636"/>
      <c r="G8542" s="636"/>
      <c r="H8542" s="636"/>
      <c r="I8542" s="636"/>
      <c r="J8542" s="636" t="s">
        <v>13675</v>
      </c>
      <c r="K8542" s="636"/>
      <c r="L8542" s="636" t="s">
        <v>14535</v>
      </c>
    </row>
    <row r="8543" spans="1:12" ht="17.100000000000001" customHeight="1">
      <c r="A8543" s="802" t="s">
        <v>12722</v>
      </c>
      <c r="B8543" s="802"/>
      <c r="C8543" s="802"/>
      <c r="D8543" s="802"/>
      <c r="E8543" s="802"/>
      <c r="F8543" s="802"/>
      <c r="G8543" s="802"/>
      <c r="H8543" s="802"/>
      <c r="I8543" s="612"/>
      <c r="J8543" s="612"/>
      <c r="K8543" s="612"/>
      <c r="L8543" s="612"/>
    </row>
    <row r="8544" spans="1:12">
      <c r="A8544" s="612" t="s">
        <v>13679</v>
      </c>
      <c r="B8544" s="636" t="s">
        <v>12698</v>
      </c>
      <c r="C8544" s="612" t="s">
        <v>12699</v>
      </c>
      <c r="D8544" s="612" t="s">
        <v>12700</v>
      </c>
      <c r="E8544" s="637" t="s">
        <v>12702</v>
      </c>
      <c r="F8544" s="801" t="s">
        <v>12704</v>
      </c>
      <c r="G8544" s="801"/>
      <c r="H8544" s="801" t="s">
        <v>13678</v>
      </c>
      <c r="I8544" s="801"/>
      <c r="J8544" s="801" t="s">
        <v>12705</v>
      </c>
      <c r="K8544" s="801"/>
      <c r="L8544" s="801"/>
    </row>
    <row r="8545" spans="1:12" ht="17.100000000000001" customHeight="1">
      <c r="A8545" s="626" t="s">
        <v>12709</v>
      </c>
      <c r="B8545" s="627" t="s">
        <v>12998</v>
      </c>
      <c r="C8545" s="626" t="s">
        <v>8</v>
      </c>
      <c r="D8545" s="626" t="s">
        <v>11861</v>
      </c>
      <c r="E8545" s="628" t="s">
        <v>23</v>
      </c>
      <c r="F8545" s="816" t="s">
        <v>13683</v>
      </c>
      <c r="G8545" s="816"/>
      <c r="H8545" s="816">
        <v>10.439967299999999</v>
      </c>
      <c r="I8545" s="816"/>
      <c r="J8545" s="817">
        <v>7.4123999999999999</v>
      </c>
      <c r="K8545" s="817"/>
      <c r="L8545" s="817"/>
    </row>
    <row r="8546" spans="1:12" ht="24" customHeight="1">
      <c r="A8546" s="636"/>
      <c r="B8546" s="636"/>
      <c r="C8546" s="636"/>
      <c r="D8546" s="636"/>
      <c r="E8546" s="636"/>
      <c r="F8546" s="636"/>
      <c r="G8546" s="636"/>
      <c r="H8546" s="636"/>
      <c r="I8546" s="636"/>
      <c r="J8546" s="636" t="s">
        <v>13675</v>
      </c>
      <c r="K8546" s="636"/>
      <c r="L8546" s="636" t="s">
        <v>13821</v>
      </c>
    </row>
    <row r="8547" spans="1:12" ht="17.100000000000001" customHeight="1">
      <c r="A8547" s="802" t="s">
        <v>12713</v>
      </c>
      <c r="B8547" s="802"/>
      <c r="C8547" s="802"/>
      <c r="D8547" s="802"/>
      <c r="E8547" s="802"/>
      <c r="F8547" s="802"/>
      <c r="G8547" s="802"/>
      <c r="H8547" s="802"/>
      <c r="I8547" s="612"/>
      <c r="J8547" s="612"/>
      <c r="K8547" s="612"/>
      <c r="L8547" s="612"/>
    </row>
    <row r="8548" spans="1:12">
      <c r="A8548" s="612" t="s">
        <v>13679</v>
      </c>
      <c r="B8548" s="636" t="s">
        <v>12698</v>
      </c>
      <c r="C8548" s="612" t="s">
        <v>12699</v>
      </c>
      <c r="D8548" s="612" t="s">
        <v>12700</v>
      </c>
      <c r="E8548" s="637" t="s">
        <v>12702</v>
      </c>
      <c r="F8548" s="801" t="s">
        <v>12704</v>
      </c>
      <c r="G8548" s="801"/>
      <c r="H8548" s="801" t="s">
        <v>13678</v>
      </c>
      <c r="I8548" s="801"/>
      <c r="J8548" s="801" t="s">
        <v>12705</v>
      </c>
      <c r="K8548" s="801"/>
      <c r="L8548" s="801"/>
    </row>
    <row r="8549" spans="1:12" ht="17.100000000000001" customHeight="1">
      <c r="A8549" s="626" t="s">
        <v>12709</v>
      </c>
      <c r="B8549" s="627" t="s">
        <v>12999</v>
      </c>
      <c r="C8549" s="626" t="s">
        <v>8</v>
      </c>
      <c r="D8549" s="626" t="s">
        <v>11251</v>
      </c>
      <c r="E8549" s="628" t="s">
        <v>23</v>
      </c>
      <c r="F8549" s="816" t="s">
        <v>13681</v>
      </c>
      <c r="G8549" s="816"/>
      <c r="H8549" s="816">
        <v>10.439967299999999</v>
      </c>
      <c r="I8549" s="816"/>
      <c r="J8549" s="817">
        <v>0.73080000000000001</v>
      </c>
      <c r="K8549" s="817"/>
      <c r="L8549" s="817"/>
    </row>
    <row r="8550" spans="1:12" ht="24" customHeight="1">
      <c r="A8550" s="636"/>
      <c r="B8550" s="636"/>
      <c r="C8550" s="636"/>
      <c r="D8550" s="636"/>
      <c r="E8550" s="636"/>
      <c r="F8550" s="636"/>
      <c r="G8550" s="636"/>
      <c r="H8550" s="636"/>
      <c r="I8550" s="636"/>
      <c r="J8550" s="636" t="s">
        <v>13675</v>
      </c>
      <c r="K8550" s="636"/>
      <c r="L8550" s="636" t="s">
        <v>13820</v>
      </c>
    </row>
    <row r="8551" spans="1:12" ht="24" customHeight="1">
      <c r="A8551" s="802" t="s">
        <v>12712</v>
      </c>
      <c r="B8551" s="802"/>
      <c r="C8551" s="802"/>
      <c r="D8551" s="802"/>
      <c r="E8551" s="802"/>
      <c r="F8551" s="802"/>
      <c r="G8551" s="802"/>
      <c r="H8551" s="802"/>
      <c r="I8551" s="612"/>
      <c r="J8551" s="612"/>
      <c r="K8551" s="612"/>
      <c r="L8551" s="612"/>
    </row>
    <row r="8552" spans="1:12" ht="17.100000000000001" customHeight="1">
      <c r="A8552" s="612" t="s">
        <v>13679</v>
      </c>
      <c r="B8552" s="636" t="s">
        <v>12698</v>
      </c>
      <c r="C8552" s="612" t="s">
        <v>12699</v>
      </c>
      <c r="D8552" s="612" t="s">
        <v>12700</v>
      </c>
      <c r="E8552" s="637" t="s">
        <v>12702</v>
      </c>
      <c r="F8552" s="801" t="s">
        <v>12704</v>
      </c>
      <c r="G8552" s="801"/>
      <c r="H8552" s="801" t="s">
        <v>13678</v>
      </c>
      <c r="I8552" s="801"/>
      <c r="J8552" s="801" t="s">
        <v>12705</v>
      </c>
      <c r="K8552" s="801"/>
      <c r="L8552" s="801"/>
    </row>
    <row r="8553" spans="1:12" ht="17.100000000000001" customHeight="1">
      <c r="A8553" s="626" t="s">
        <v>12709</v>
      </c>
      <c r="B8553" s="627" t="s">
        <v>13002</v>
      </c>
      <c r="C8553" s="626" t="s">
        <v>8</v>
      </c>
      <c r="D8553" s="626" t="s">
        <v>9306</v>
      </c>
      <c r="E8553" s="628" t="s">
        <v>23</v>
      </c>
      <c r="F8553" s="816" t="s">
        <v>13677</v>
      </c>
      <c r="G8553" s="816"/>
      <c r="H8553" s="816">
        <v>10.439967299999999</v>
      </c>
      <c r="I8553" s="816"/>
      <c r="J8553" s="817">
        <v>3.6539999999999999</v>
      </c>
      <c r="K8553" s="817"/>
      <c r="L8553" s="817"/>
    </row>
    <row r="8554" spans="1:12" ht="17.100000000000001" customHeight="1">
      <c r="A8554" s="626" t="s">
        <v>12709</v>
      </c>
      <c r="B8554" s="627" t="s">
        <v>13004</v>
      </c>
      <c r="C8554" s="626" t="s">
        <v>8</v>
      </c>
      <c r="D8554" s="626" t="s">
        <v>7388</v>
      </c>
      <c r="E8554" s="628" t="s">
        <v>23</v>
      </c>
      <c r="F8554" s="816" t="s">
        <v>13676</v>
      </c>
      <c r="G8554" s="816"/>
      <c r="H8554" s="816">
        <v>10.439967299999999</v>
      </c>
      <c r="I8554" s="816"/>
      <c r="J8554" s="817">
        <v>22.9679</v>
      </c>
      <c r="K8554" s="817"/>
      <c r="L8554" s="817"/>
    </row>
    <row r="8555" spans="1:12" ht="17.100000000000001" customHeight="1">
      <c r="A8555" s="636"/>
      <c r="B8555" s="636"/>
      <c r="C8555" s="636"/>
      <c r="D8555" s="636"/>
      <c r="E8555" s="636"/>
      <c r="F8555" s="636"/>
      <c r="G8555" s="636"/>
      <c r="H8555" s="636"/>
      <c r="I8555" s="636"/>
      <c r="J8555" s="636" t="s">
        <v>13675</v>
      </c>
      <c r="K8555" s="636"/>
      <c r="L8555" s="636" t="s">
        <v>13819</v>
      </c>
    </row>
    <row r="8556" spans="1:12" ht="17.100000000000001" customHeight="1">
      <c r="A8556" s="612" t="s">
        <v>13673</v>
      </c>
      <c r="B8556" s="612"/>
      <c r="C8556" s="612"/>
      <c r="D8556" s="612"/>
      <c r="E8556" s="612"/>
      <c r="F8556" s="612"/>
      <c r="G8556" s="612"/>
      <c r="H8556" s="612"/>
      <c r="I8556" s="612"/>
      <c r="J8556" s="612"/>
      <c r="K8556" s="612"/>
      <c r="L8556" s="612"/>
    </row>
    <row r="8557" spans="1:12" ht="17.100000000000001" customHeight="1">
      <c r="A8557" s="636"/>
      <c r="B8557" s="636"/>
      <c r="C8557" s="636"/>
      <c r="D8557" s="636"/>
      <c r="E8557" s="636"/>
      <c r="F8557" s="636"/>
      <c r="G8557" s="636"/>
      <c r="H8557" s="636"/>
      <c r="I8557" s="636"/>
      <c r="J8557" s="636" t="s">
        <v>13672</v>
      </c>
      <c r="K8557" s="636"/>
      <c r="L8557" s="636" t="s">
        <v>15521</v>
      </c>
    </row>
    <row r="8558" spans="1:12" ht="17.100000000000001" customHeight="1">
      <c r="A8558" s="636"/>
      <c r="B8558" s="636"/>
      <c r="C8558" s="636"/>
      <c r="D8558" s="636"/>
      <c r="E8558" s="636"/>
      <c r="F8558" s="636"/>
      <c r="G8558" s="636"/>
      <c r="H8558" s="636"/>
      <c r="I8558" s="636"/>
      <c r="J8558" s="636" t="s">
        <v>13671</v>
      </c>
      <c r="K8558" s="636" t="s">
        <v>14461</v>
      </c>
      <c r="L8558" s="636" t="s">
        <v>15522</v>
      </c>
    </row>
    <row r="8559" spans="1:12" ht="30" customHeight="1">
      <c r="A8559" s="636"/>
      <c r="B8559" s="636"/>
      <c r="C8559" s="636"/>
      <c r="D8559" s="636"/>
      <c r="E8559" s="636"/>
      <c r="F8559" s="636"/>
      <c r="G8559" s="636"/>
      <c r="H8559" s="636"/>
      <c r="I8559" s="636"/>
      <c r="J8559" s="636" t="s">
        <v>13670</v>
      </c>
      <c r="K8559" s="636"/>
      <c r="L8559" s="636" t="s">
        <v>15523</v>
      </c>
    </row>
    <row r="8560" spans="1:12" ht="36" customHeight="1">
      <c r="A8560" s="636"/>
      <c r="B8560" s="636"/>
      <c r="C8560" s="636"/>
      <c r="D8560" s="636"/>
      <c r="E8560" s="636"/>
      <c r="F8560" s="636"/>
      <c r="G8560" s="636"/>
      <c r="H8560" s="636"/>
      <c r="I8560" s="636"/>
      <c r="J8560" s="636" t="s">
        <v>13669</v>
      </c>
      <c r="K8560" s="636" t="s">
        <v>13667</v>
      </c>
      <c r="L8560" s="636" t="s">
        <v>15524</v>
      </c>
    </row>
    <row r="8561" spans="1:12" ht="14.25" customHeight="1">
      <c r="A8561" s="636"/>
      <c r="B8561" s="636"/>
      <c r="C8561" s="636"/>
      <c r="D8561" s="636"/>
      <c r="E8561" s="636"/>
      <c r="F8561" s="636"/>
      <c r="G8561" s="636"/>
      <c r="H8561" s="636"/>
      <c r="I8561" s="636"/>
      <c r="J8561" s="636" t="s">
        <v>13668</v>
      </c>
      <c r="K8561" s="636"/>
      <c r="L8561" s="636" t="s">
        <v>15525</v>
      </c>
    </row>
    <row r="8562" spans="1:12" ht="17.100000000000001" customHeight="1">
      <c r="A8562" s="637"/>
      <c r="B8562" s="637"/>
      <c r="C8562" s="637"/>
      <c r="D8562" s="637"/>
      <c r="E8562" s="637"/>
      <c r="F8562" s="637"/>
      <c r="G8562" s="637"/>
      <c r="H8562" s="637"/>
      <c r="I8562" s="637"/>
      <c r="J8562" s="637"/>
      <c r="K8562" s="637"/>
      <c r="L8562" s="637"/>
    </row>
    <row r="8563" spans="1:12" ht="24" customHeight="1">
      <c r="A8563" s="616" t="s">
        <v>13921</v>
      </c>
      <c r="B8563" s="617" t="s">
        <v>13429</v>
      </c>
      <c r="C8563" s="616" t="s">
        <v>8</v>
      </c>
      <c r="D8563" s="616" t="s">
        <v>2537</v>
      </c>
      <c r="E8563" s="618" t="s">
        <v>17</v>
      </c>
      <c r="F8563" s="617"/>
      <c r="G8563" s="617"/>
      <c r="H8563" s="617"/>
      <c r="I8563" s="617"/>
      <c r="J8563" s="617"/>
      <c r="K8563" s="617"/>
      <c r="L8563" s="617"/>
    </row>
    <row r="8564" spans="1:12" ht="24" customHeight="1">
      <c r="A8564" s="802" t="s">
        <v>12711</v>
      </c>
      <c r="B8564" s="802"/>
      <c r="C8564" s="802"/>
      <c r="D8564" s="802"/>
      <c r="E8564" s="802"/>
      <c r="F8564" s="802"/>
      <c r="G8564" s="802"/>
      <c r="H8564" s="802"/>
      <c r="I8564" s="612"/>
      <c r="J8564" s="612"/>
      <c r="K8564" s="612"/>
      <c r="L8564" s="612"/>
    </row>
    <row r="8565" spans="1:12" ht="17.100000000000001" customHeight="1">
      <c r="A8565" s="612" t="s">
        <v>13679</v>
      </c>
      <c r="B8565" s="636" t="s">
        <v>12698</v>
      </c>
      <c r="C8565" s="612" t="s">
        <v>12699</v>
      </c>
      <c r="D8565" s="612" t="s">
        <v>12700</v>
      </c>
      <c r="E8565" s="637" t="s">
        <v>12702</v>
      </c>
      <c r="F8565" s="801" t="s">
        <v>12704</v>
      </c>
      <c r="G8565" s="801"/>
      <c r="H8565" s="801" t="s">
        <v>13678</v>
      </c>
      <c r="I8565" s="801"/>
      <c r="J8565" s="801" t="s">
        <v>12705</v>
      </c>
      <c r="K8565" s="801"/>
      <c r="L8565" s="801"/>
    </row>
    <row r="8566" spans="1:12" ht="14.25" customHeight="1">
      <c r="A8566" s="626" t="s">
        <v>12709</v>
      </c>
      <c r="B8566" s="627" t="s">
        <v>13134</v>
      </c>
      <c r="C8566" s="626" t="s">
        <v>8</v>
      </c>
      <c r="D8566" s="626" t="s">
        <v>9219</v>
      </c>
      <c r="E8566" s="628" t="s">
        <v>23</v>
      </c>
      <c r="F8566" s="816" t="s">
        <v>13782</v>
      </c>
      <c r="G8566" s="816"/>
      <c r="H8566" s="816">
        <v>0.15286179999999999</v>
      </c>
      <c r="I8566" s="816"/>
      <c r="J8566" s="817">
        <v>0.14219999999999999</v>
      </c>
      <c r="K8566" s="817"/>
      <c r="L8566" s="817"/>
    </row>
    <row r="8567" spans="1:12" ht="17.100000000000001" customHeight="1">
      <c r="A8567" s="626" t="s">
        <v>12709</v>
      </c>
      <c r="B8567" s="627" t="s">
        <v>13133</v>
      </c>
      <c r="C8567" s="626" t="s">
        <v>8</v>
      </c>
      <c r="D8567" s="626" t="s">
        <v>9366</v>
      </c>
      <c r="E8567" s="628" t="s">
        <v>23</v>
      </c>
      <c r="F8567" s="816" t="s">
        <v>13781</v>
      </c>
      <c r="G8567" s="816"/>
      <c r="H8567" s="816">
        <v>0.15286179999999999</v>
      </c>
      <c r="I8567" s="816"/>
      <c r="J8567" s="817">
        <v>8.4099999999999994E-2</v>
      </c>
      <c r="K8567" s="817"/>
      <c r="L8567" s="817"/>
    </row>
    <row r="8568" spans="1:12" ht="24" customHeight="1">
      <c r="A8568" s="636"/>
      <c r="B8568" s="636"/>
      <c r="C8568" s="636"/>
      <c r="D8568" s="636"/>
      <c r="E8568" s="636"/>
      <c r="F8568" s="636"/>
      <c r="G8568" s="636"/>
      <c r="H8568" s="636"/>
      <c r="I8568" s="636"/>
      <c r="J8568" s="636" t="s">
        <v>13675</v>
      </c>
      <c r="K8568" s="636"/>
      <c r="L8568" s="636" t="s">
        <v>13788</v>
      </c>
    </row>
    <row r="8569" spans="1:12" ht="24" customHeight="1">
      <c r="A8569" s="802" t="s">
        <v>12710</v>
      </c>
      <c r="B8569" s="802"/>
      <c r="C8569" s="802"/>
      <c r="D8569" s="802"/>
      <c r="E8569" s="802"/>
      <c r="F8569" s="802"/>
      <c r="G8569" s="802"/>
      <c r="H8569" s="802"/>
      <c r="I8569" s="612"/>
      <c r="J8569" s="612"/>
      <c r="K8569" s="612"/>
      <c r="L8569" s="612"/>
    </row>
    <row r="8570" spans="1:12" ht="17.100000000000001" customHeight="1">
      <c r="A8570" s="612" t="s">
        <v>13679</v>
      </c>
      <c r="B8570" s="636" t="s">
        <v>12698</v>
      </c>
      <c r="C8570" s="612" t="s">
        <v>12699</v>
      </c>
      <c r="D8570" s="612" t="s">
        <v>12700</v>
      </c>
      <c r="E8570" s="637" t="s">
        <v>12702</v>
      </c>
      <c r="F8570" s="801" t="s">
        <v>12704</v>
      </c>
      <c r="G8570" s="801"/>
      <c r="H8570" s="801" t="s">
        <v>13678</v>
      </c>
      <c r="I8570" s="801"/>
      <c r="J8570" s="801" t="s">
        <v>12705</v>
      </c>
      <c r="K8570" s="801"/>
      <c r="L8570" s="801"/>
    </row>
    <row r="8571" spans="1:12" ht="25.5">
      <c r="A8571" s="626" t="s">
        <v>12709</v>
      </c>
      <c r="B8571" s="627" t="s">
        <v>13222</v>
      </c>
      <c r="C8571" s="626" t="s">
        <v>8</v>
      </c>
      <c r="D8571" s="626" t="s">
        <v>7364</v>
      </c>
      <c r="E8571" s="628" t="s">
        <v>23</v>
      </c>
      <c r="F8571" s="816" t="s">
        <v>13808</v>
      </c>
      <c r="G8571" s="816"/>
      <c r="H8571" s="816">
        <v>7.86245E-2</v>
      </c>
      <c r="I8571" s="816"/>
      <c r="J8571" s="817">
        <v>0.3947</v>
      </c>
      <c r="K8571" s="817"/>
      <c r="L8571" s="817"/>
    </row>
    <row r="8572" spans="1:12" ht="17.100000000000001" customHeight="1">
      <c r="A8572" s="626" t="s">
        <v>12709</v>
      </c>
      <c r="B8572" s="627" t="s">
        <v>13204</v>
      </c>
      <c r="C8572" s="626" t="s">
        <v>8</v>
      </c>
      <c r="D8572" s="626" t="s">
        <v>9112</v>
      </c>
      <c r="E8572" s="628" t="s">
        <v>23</v>
      </c>
      <c r="F8572" s="816" t="s">
        <v>14479</v>
      </c>
      <c r="G8572" s="816"/>
      <c r="H8572" s="816">
        <v>7.86245E-2</v>
      </c>
      <c r="I8572" s="816"/>
      <c r="J8572" s="817">
        <v>0.56220000000000003</v>
      </c>
      <c r="K8572" s="817"/>
      <c r="L8572" s="817"/>
    </row>
    <row r="8573" spans="1:12" ht="24" customHeight="1">
      <c r="A8573" s="636"/>
      <c r="B8573" s="636"/>
      <c r="C8573" s="636"/>
      <c r="D8573" s="636"/>
      <c r="E8573" s="636"/>
      <c r="F8573" s="636"/>
      <c r="G8573" s="636"/>
      <c r="H8573" s="636"/>
      <c r="I8573" s="636"/>
      <c r="J8573" s="636" t="s">
        <v>13675</v>
      </c>
      <c r="K8573" s="636"/>
      <c r="L8573" s="636" t="s">
        <v>13692</v>
      </c>
    </row>
    <row r="8574" spans="1:12" ht="36" customHeight="1">
      <c r="A8574" s="802" t="s">
        <v>12720</v>
      </c>
      <c r="B8574" s="802"/>
      <c r="C8574" s="802"/>
      <c r="D8574" s="802"/>
      <c r="E8574" s="802"/>
      <c r="F8574" s="802"/>
      <c r="G8574" s="802"/>
      <c r="H8574" s="802"/>
      <c r="I8574" s="612"/>
      <c r="J8574" s="612"/>
      <c r="K8574" s="612"/>
      <c r="L8574" s="612"/>
    </row>
    <row r="8575" spans="1:12" ht="17.100000000000001" customHeight="1">
      <c r="A8575" s="612" t="s">
        <v>13679</v>
      </c>
      <c r="B8575" s="636" t="s">
        <v>12698</v>
      </c>
      <c r="C8575" s="612" t="s">
        <v>12699</v>
      </c>
      <c r="D8575" s="612" t="s">
        <v>12700</v>
      </c>
      <c r="E8575" s="637" t="s">
        <v>12702</v>
      </c>
      <c r="F8575" s="801" t="s">
        <v>12704</v>
      </c>
      <c r="G8575" s="801"/>
      <c r="H8575" s="801" t="s">
        <v>13678</v>
      </c>
      <c r="I8575" s="801"/>
      <c r="J8575" s="801" t="s">
        <v>12705</v>
      </c>
      <c r="K8575" s="801"/>
      <c r="L8575" s="801"/>
    </row>
    <row r="8576" spans="1:12" ht="38.25">
      <c r="A8576" s="626" t="s">
        <v>12709</v>
      </c>
      <c r="B8576" s="627" t="s">
        <v>13428</v>
      </c>
      <c r="C8576" s="626" t="s">
        <v>8</v>
      </c>
      <c r="D8576" s="626" t="s">
        <v>7964</v>
      </c>
      <c r="E8576" s="628" t="s">
        <v>17</v>
      </c>
      <c r="F8576" s="816" t="s">
        <v>14517</v>
      </c>
      <c r="G8576" s="816"/>
      <c r="H8576" s="816">
        <v>1.19</v>
      </c>
      <c r="I8576" s="816"/>
      <c r="J8576" s="817">
        <v>7.83</v>
      </c>
      <c r="K8576" s="817"/>
      <c r="L8576" s="817"/>
    </row>
    <row r="8577" spans="1:12" ht="17.100000000000001" customHeight="1">
      <c r="A8577" s="626" t="s">
        <v>12709</v>
      </c>
      <c r="B8577" s="627" t="s">
        <v>13370</v>
      </c>
      <c r="C8577" s="626" t="s">
        <v>8</v>
      </c>
      <c r="D8577" s="626" t="s">
        <v>9418</v>
      </c>
      <c r="E8577" s="628" t="s">
        <v>35</v>
      </c>
      <c r="F8577" s="816" t="s">
        <v>13786</v>
      </c>
      <c r="G8577" s="816"/>
      <c r="H8577" s="816">
        <v>8.9999999999999993E-3</v>
      </c>
      <c r="I8577" s="816"/>
      <c r="J8577" s="817">
        <v>0.03</v>
      </c>
      <c r="K8577" s="817"/>
      <c r="L8577" s="817"/>
    </row>
    <row r="8578" spans="1:12" ht="24" customHeight="1">
      <c r="A8578" s="636"/>
      <c r="B8578" s="636"/>
      <c r="C8578" s="636"/>
      <c r="D8578" s="636"/>
      <c r="E8578" s="636"/>
      <c r="F8578" s="636"/>
      <c r="G8578" s="636"/>
      <c r="H8578" s="636"/>
      <c r="I8578" s="636"/>
      <c r="J8578" s="636" t="s">
        <v>13675</v>
      </c>
      <c r="K8578" s="636"/>
      <c r="L8578" s="636" t="s">
        <v>14516</v>
      </c>
    </row>
    <row r="8579" spans="1:12" ht="17.100000000000001" customHeight="1">
      <c r="A8579" s="802" t="s">
        <v>12722</v>
      </c>
      <c r="B8579" s="802"/>
      <c r="C8579" s="802"/>
      <c r="D8579" s="802"/>
      <c r="E8579" s="802"/>
      <c r="F8579" s="802"/>
      <c r="G8579" s="802"/>
      <c r="H8579" s="802"/>
      <c r="I8579" s="612"/>
      <c r="J8579" s="612"/>
      <c r="K8579" s="612"/>
      <c r="L8579" s="612"/>
    </row>
    <row r="8580" spans="1:12">
      <c r="A8580" s="612" t="s">
        <v>13679</v>
      </c>
      <c r="B8580" s="636" t="s">
        <v>12698</v>
      </c>
      <c r="C8580" s="612" t="s">
        <v>12699</v>
      </c>
      <c r="D8580" s="612" t="s">
        <v>12700</v>
      </c>
      <c r="E8580" s="637" t="s">
        <v>12702</v>
      </c>
      <c r="F8580" s="801" t="s">
        <v>12704</v>
      </c>
      <c r="G8580" s="801"/>
      <c r="H8580" s="801" t="s">
        <v>13678</v>
      </c>
      <c r="I8580" s="801"/>
      <c r="J8580" s="801" t="s">
        <v>12705</v>
      </c>
      <c r="K8580" s="801"/>
      <c r="L8580" s="801"/>
    </row>
    <row r="8581" spans="1:12" ht="17.100000000000001" customHeight="1">
      <c r="A8581" s="626" t="s">
        <v>12709</v>
      </c>
      <c r="B8581" s="627" t="s">
        <v>12998</v>
      </c>
      <c r="C8581" s="626" t="s">
        <v>8</v>
      </c>
      <c r="D8581" s="626" t="s">
        <v>11861</v>
      </c>
      <c r="E8581" s="628" t="s">
        <v>23</v>
      </c>
      <c r="F8581" s="816" t="s">
        <v>13683</v>
      </c>
      <c r="G8581" s="816"/>
      <c r="H8581" s="816">
        <v>0.15286179999999999</v>
      </c>
      <c r="I8581" s="816"/>
      <c r="J8581" s="817">
        <v>0.1085</v>
      </c>
      <c r="K8581" s="817"/>
      <c r="L8581" s="817"/>
    </row>
    <row r="8582" spans="1:12" ht="24" customHeight="1">
      <c r="A8582" s="636"/>
      <c r="B8582" s="636"/>
      <c r="C8582" s="636"/>
      <c r="D8582" s="636"/>
      <c r="E8582" s="636"/>
      <c r="F8582" s="636"/>
      <c r="G8582" s="636"/>
      <c r="H8582" s="636"/>
      <c r="I8582" s="636"/>
      <c r="J8582" s="636" t="s">
        <v>13675</v>
      </c>
      <c r="K8582" s="636"/>
      <c r="L8582" s="636" t="s">
        <v>13785</v>
      </c>
    </row>
    <row r="8583" spans="1:12" ht="17.100000000000001" customHeight="1">
      <c r="A8583" s="802" t="s">
        <v>12713</v>
      </c>
      <c r="B8583" s="802"/>
      <c r="C8583" s="802"/>
      <c r="D8583" s="802"/>
      <c r="E8583" s="802"/>
      <c r="F8583" s="802"/>
      <c r="G8583" s="802"/>
      <c r="H8583" s="802"/>
      <c r="I8583" s="612"/>
      <c r="J8583" s="612"/>
      <c r="K8583" s="612"/>
      <c r="L8583" s="612"/>
    </row>
    <row r="8584" spans="1:12">
      <c r="A8584" s="612" t="s">
        <v>13679</v>
      </c>
      <c r="B8584" s="636" t="s">
        <v>12698</v>
      </c>
      <c r="C8584" s="612" t="s">
        <v>12699</v>
      </c>
      <c r="D8584" s="612" t="s">
        <v>12700</v>
      </c>
      <c r="E8584" s="637" t="s">
        <v>12702</v>
      </c>
      <c r="F8584" s="801" t="s">
        <v>12704</v>
      </c>
      <c r="G8584" s="801"/>
      <c r="H8584" s="801" t="s">
        <v>13678</v>
      </c>
      <c r="I8584" s="801"/>
      <c r="J8584" s="801" t="s">
        <v>12705</v>
      </c>
      <c r="K8584" s="801"/>
      <c r="L8584" s="801"/>
    </row>
    <row r="8585" spans="1:12" ht="17.100000000000001" customHeight="1">
      <c r="A8585" s="626" t="s">
        <v>12709</v>
      </c>
      <c r="B8585" s="627" t="s">
        <v>12999</v>
      </c>
      <c r="C8585" s="626" t="s">
        <v>8</v>
      </c>
      <c r="D8585" s="626" t="s">
        <v>11251</v>
      </c>
      <c r="E8585" s="628" t="s">
        <v>23</v>
      </c>
      <c r="F8585" s="816" t="s">
        <v>13681</v>
      </c>
      <c r="G8585" s="816"/>
      <c r="H8585" s="816">
        <v>0.15286179999999999</v>
      </c>
      <c r="I8585" s="816"/>
      <c r="J8585" s="817">
        <v>1.0699999999999999E-2</v>
      </c>
      <c r="K8585" s="817"/>
      <c r="L8585" s="817"/>
    </row>
    <row r="8586" spans="1:12" ht="24" customHeight="1">
      <c r="A8586" s="636"/>
      <c r="B8586" s="636"/>
      <c r="C8586" s="636"/>
      <c r="D8586" s="636"/>
      <c r="E8586" s="636"/>
      <c r="F8586" s="636"/>
      <c r="G8586" s="636"/>
      <c r="H8586" s="636"/>
      <c r="I8586" s="636"/>
      <c r="J8586" s="636" t="s">
        <v>13675</v>
      </c>
      <c r="K8586" s="636"/>
      <c r="L8586" s="636" t="s">
        <v>13728</v>
      </c>
    </row>
    <row r="8587" spans="1:12" ht="24" customHeight="1">
      <c r="A8587" s="802" t="s">
        <v>12712</v>
      </c>
      <c r="B8587" s="802"/>
      <c r="C8587" s="802"/>
      <c r="D8587" s="802"/>
      <c r="E8587" s="802"/>
      <c r="F8587" s="802"/>
      <c r="G8587" s="802"/>
      <c r="H8587" s="802"/>
      <c r="I8587" s="612"/>
      <c r="J8587" s="612"/>
      <c r="K8587" s="612"/>
      <c r="L8587" s="612"/>
    </row>
    <row r="8588" spans="1:12" ht="17.100000000000001" customHeight="1">
      <c r="A8588" s="612" t="s">
        <v>13679</v>
      </c>
      <c r="B8588" s="636" t="s">
        <v>12698</v>
      </c>
      <c r="C8588" s="612" t="s">
        <v>12699</v>
      </c>
      <c r="D8588" s="612" t="s">
        <v>12700</v>
      </c>
      <c r="E8588" s="637" t="s">
        <v>12702</v>
      </c>
      <c r="F8588" s="801" t="s">
        <v>12704</v>
      </c>
      <c r="G8588" s="801"/>
      <c r="H8588" s="801" t="s">
        <v>13678</v>
      </c>
      <c r="I8588" s="801"/>
      <c r="J8588" s="801" t="s">
        <v>12705</v>
      </c>
      <c r="K8588" s="801"/>
      <c r="L8588" s="801"/>
    </row>
    <row r="8589" spans="1:12" ht="17.100000000000001" customHeight="1">
      <c r="A8589" s="626" t="s">
        <v>12709</v>
      </c>
      <c r="B8589" s="627" t="s">
        <v>13002</v>
      </c>
      <c r="C8589" s="626" t="s">
        <v>8</v>
      </c>
      <c r="D8589" s="626" t="s">
        <v>9306</v>
      </c>
      <c r="E8589" s="628" t="s">
        <v>23</v>
      </c>
      <c r="F8589" s="816" t="s">
        <v>13677</v>
      </c>
      <c r="G8589" s="816"/>
      <c r="H8589" s="816">
        <v>0.15286179999999999</v>
      </c>
      <c r="I8589" s="816"/>
      <c r="J8589" s="817">
        <v>5.3499999999999999E-2</v>
      </c>
      <c r="K8589" s="817"/>
      <c r="L8589" s="817"/>
    </row>
    <row r="8590" spans="1:12" ht="17.100000000000001" customHeight="1">
      <c r="A8590" s="626" t="s">
        <v>12709</v>
      </c>
      <c r="B8590" s="627" t="s">
        <v>13004</v>
      </c>
      <c r="C8590" s="626" t="s">
        <v>8</v>
      </c>
      <c r="D8590" s="626" t="s">
        <v>7388</v>
      </c>
      <c r="E8590" s="628" t="s">
        <v>23</v>
      </c>
      <c r="F8590" s="816" t="s">
        <v>13676</v>
      </c>
      <c r="G8590" s="816"/>
      <c r="H8590" s="816">
        <v>0.15286179999999999</v>
      </c>
      <c r="I8590" s="816"/>
      <c r="J8590" s="817">
        <v>0.33629999999999999</v>
      </c>
      <c r="K8590" s="817"/>
      <c r="L8590" s="817"/>
    </row>
    <row r="8591" spans="1:12" ht="17.100000000000001" customHeight="1">
      <c r="A8591" s="636"/>
      <c r="B8591" s="636"/>
      <c r="C8591" s="636"/>
      <c r="D8591" s="636"/>
      <c r="E8591" s="636"/>
      <c r="F8591" s="636"/>
      <c r="G8591" s="636"/>
      <c r="H8591" s="636"/>
      <c r="I8591" s="636"/>
      <c r="J8591" s="636" t="s">
        <v>13675</v>
      </c>
      <c r="K8591" s="636"/>
      <c r="L8591" s="636" t="s">
        <v>13784</v>
      </c>
    </row>
    <row r="8592" spans="1:12" ht="17.100000000000001" customHeight="1">
      <c r="A8592" s="612" t="s">
        <v>13673</v>
      </c>
      <c r="B8592" s="612"/>
      <c r="C8592" s="612"/>
      <c r="D8592" s="612"/>
      <c r="E8592" s="612"/>
      <c r="F8592" s="612"/>
      <c r="G8592" s="612"/>
      <c r="H8592" s="612"/>
      <c r="I8592" s="612"/>
      <c r="J8592" s="612"/>
      <c r="K8592" s="612"/>
      <c r="L8592" s="612"/>
    </row>
    <row r="8593" spans="1:12" ht="17.100000000000001" customHeight="1">
      <c r="A8593" s="636"/>
      <c r="B8593" s="636"/>
      <c r="C8593" s="636"/>
      <c r="D8593" s="636"/>
      <c r="E8593" s="636"/>
      <c r="F8593" s="636"/>
      <c r="G8593" s="636"/>
      <c r="H8593" s="636"/>
      <c r="I8593" s="636"/>
      <c r="J8593" s="636" t="s">
        <v>13672</v>
      </c>
      <c r="K8593" s="636"/>
      <c r="L8593" s="636" t="s">
        <v>15526</v>
      </c>
    </row>
    <row r="8594" spans="1:12" ht="17.100000000000001" customHeight="1">
      <c r="A8594" s="636"/>
      <c r="B8594" s="636"/>
      <c r="C8594" s="636"/>
      <c r="D8594" s="636"/>
      <c r="E8594" s="636"/>
      <c r="F8594" s="636"/>
      <c r="G8594" s="636"/>
      <c r="H8594" s="636"/>
      <c r="I8594" s="636"/>
      <c r="J8594" s="636" t="s">
        <v>13671</v>
      </c>
      <c r="K8594" s="636" t="s">
        <v>14461</v>
      </c>
      <c r="L8594" s="636" t="s">
        <v>15527</v>
      </c>
    </row>
    <row r="8595" spans="1:12" ht="30" customHeight="1">
      <c r="A8595" s="636"/>
      <c r="B8595" s="636"/>
      <c r="C8595" s="636"/>
      <c r="D8595" s="636"/>
      <c r="E8595" s="636"/>
      <c r="F8595" s="636"/>
      <c r="G8595" s="636"/>
      <c r="H8595" s="636"/>
      <c r="I8595" s="636"/>
      <c r="J8595" s="636" t="s">
        <v>13670</v>
      </c>
      <c r="K8595" s="636"/>
      <c r="L8595" s="636" t="s">
        <v>15528</v>
      </c>
    </row>
    <row r="8596" spans="1:12" ht="36" customHeight="1">
      <c r="A8596" s="636"/>
      <c r="B8596" s="636"/>
      <c r="C8596" s="636"/>
      <c r="D8596" s="636"/>
      <c r="E8596" s="636"/>
      <c r="F8596" s="636"/>
      <c r="G8596" s="636"/>
      <c r="H8596" s="636"/>
      <c r="I8596" s="636"/>
      <c r="J8596" s="636" t="s">
        <v>13669</v>
      </c>
      <c r="K8596" s="636" t="s">
        <v>13667</v>
      </c>
      <c r="L8596" s="636" t="s">
        <v>15529</v>
      </c>
    </row>
    <row r="8597" spans="1:12" ht="14.25" customHeight="1">
      <c r="A8597" s="636"/>
      <c r="B8597" s="636"/>
      <c r="C8597" s="636"/>
      <c r="D8597" s="636"/>
      <c r="E8597" s="636"/>
      <c r="F8597" s="636"/>
      <c r="G8597" s="636"/>
      <c r="H8597" s="636"/>
      <c r="I8597" s="636"/>
      <c r="J8597" s="636" t="s">
        <v>13668</v>
      </c>
      <c r="K8597" s="636"/>
      <c r="L8597" s="636" t="s">
        <v>15530</v>
      </c>
    </row>
    <row r="8598" spans="1:12" ht="17.100000000000001" customHeight="1">
      <c r="A8598" s="637"/>
      <c r="B8598" s="637"/>
      <c r="C8598" s="637"/>
      <c r="D8598" s="637"/>
      <c r="E8598" s="637"/>
      <c r="F8598" s="637"/>
      <c r="G8598" s="637"/>
      <c r="H8598" s="637"/>
      <c r="I8598" s="637"/>
      <c r="J8598" s="637"/>
      <c r="K8598" s="637"/>
      <c r="L8598" s="637"/>
    </row>
    <row r="8599" spans="1:12" ht="24" customHeight="1">
      <c r="A8599" s="616" t="s">
        <v>13920</v>
      </c>
      <c r="B8599" s="617" t="s">
        <v>13427</v>
      </c>
      <c r="C8599" s="616" t="s">
        <v>8</v>
      </c>
      <c r="D8599" s="616" t="s">
        <v>3106</v>
      </c>
      <c r="E8599" s="618" t="s">
        <v>17</v>
      </c>
      <c r="F8599" s="617"/>
      <c r="G8599" s="617"/>
      <c r="H8599" s="617"/>
      <c r="I8599" s="617"/>
      <c r="J8599" s="617"/>
      <c r="K8599" s="617"/>
      <c r="L8599" s="617"/>
    </row>
    <row r="8600" spans="1:12" ht="24" customHeight="1">
      <c r="A8600" s="802" t="s">
        <v>12711</v>
      </c>
      <c r="B8600" s="802"/>
      <c r="C8600" s="802"/>
      <c r="D8600" s="802"/>
      <c r="E8600" s="802"/>
      <c r="F8600" s="802"/>
      <c r="G8600" s="802"/>
      <c r="H8600" s="802"/>
      <c r="I8600" s="612"/>
      <c r="J8600" s="612"/>
      <c r="K8600" s="612"/>
      <c r="L8600" s="612"/>
    </row>
    <row r="8601" spans="1:12" ht="17.100000000000001" customHeight="1">
      <c r="A8601" s="612" t="s">
        <v>13679</v>
      </c>
      <c r="B8601" s="636" t="s">
        <v>12698</v>
      </c>
      <c r="C8601" s="612" t="s">
        <v>12699</v>
      </c>
      <c r="D8601" s="612" t="s">
        <v>12700</v>
      </c>
      <c r="E8601" s="637" t="s">
        <v>12702</v>
      </c>
      <c r="F8601" s="801" t="s">
        <v>12704</v>
      </c>
      <c r="G8601" s="801"/>
      <c r="H8601" s="801" t="s">
        <v>13678</v>
      </c>
      <c r="I8601" s="801"/>
      <c r="J8601" s="801" t="s">
        <v>12705</v>
      </c>
      <c r="K8601" s="801"/>
      <c r="L8601" s="801"/>
    </row>
    <row r="8602" spans="1:12" ht="14.25" customHeight="1">
      <c r="A8602" s="626" t="s">
        <v>12709</v>
      </c>
      <c r="B8602" s="627" t="s">
        <v>13134</v>
      </c>
      <c r="C8602" s="626" t="s">
        <v>8</v>
      </c>
      <c r="D8602" s="626" t="s">
        <v>9219</v>
      </c>
      <c r="E8602" s="628" t="s">
        <v>23</v>
      </c>
      <c r="F8602" s="816" t="s">
        <v>13782</v>
      </c>
      <c r="G8602" s="816"/>
      <c r="H8602" s="816">
        <v>2.3731700000000001E-2</v>
      </c>
      <c r="I8602" s="816"/>
      <c r="J8602" s="817">
        <v>2.2100000000000002E-2</v>
      </c>
      <c r="K8602" s="817"/>
      <c r="L8602" s="817"/>
    </row>
    <row r="8603" spans="1:12" ht="17.100000000000001" customHeight="1">
      <c r="A8603" s="626" t="s">
        <v>12709</v>
      </c>
      <c r="B8603" s="627" t="s">
        <v>13133</v>
      </c>
      <c r="C8603" s="626" t="s">
        <v>8</v>
      </c>
      <c r="D8603" s="626" t="s">
        <v>9366</v>
      </c>
      <c r="E8603" s="628" t="s">
        <v>23</v>
      </c>
      <c r="F8603" s="816" t="s">
        <v>13781</v>
      </c>
      <c r="G8603" s="816"/>
      <c r="H8603" s="816">
        <v>2.3731700000000001E-2</v>
      </c>
      <c r="I8603" s="816"/>
      <c r="J8603" s="817">
        <v>1.3100000000000001E-2</v>
      </c>
      <c r="K8603" s="817"/>
      <c r="L8603" s="817"/>
    </row>
    <row r="8604" spans="1:12" ht="24" customHeight="1">
      <c r="A8604" s="636"/>
      <c r="B8604" s="636"/>
      <c r="C8604" s="636"/>
      <c r="D8604" s="636"/>
      <c r="E8604" s="636"/>
      <c r="F8604" s="636"/>
      <c r="G8604" s="636"/>
      <c r="H8604" s="636"/>
      <c r="I8604" s="636"/>
      <c r="J8604" s="636" t="s">
        <v>13675</v>
      </c>
      <c r="K8604" s="636"/>
      <c r="L8604" s="636" t="s">
        <v>13716</v>
      </c>
    </row>
    <row r="8605" spans="1:12" ht="24" customHeight="1">
      <c r="A8605" s="802" t="s">
        <v>12710</v>
      </c>
      <c r="B8605" s="802"/>
      <c r="C8605" s="802"/>
      <c r="D8605" s="802"/>
      <c r="E8605" s="802"/>
      <c r="F8605" s="802"/>
      <c r="G8605" s="802"/>
      <c r="H8605" s="802"/>
      <c r="I8605" s="612"/>
      <c r="J8605" s="612"/>
      <c r="K8605" s="612"/>
      <c r="L8605" s="612"/>
    </row>
    <row r="8606" spans="1:12" ht="17.100000000000001" customHeight="1">
      <c r="A8606" s="612" t="s">
        <v>13679</v>
      </c>
      <c r="B8606" s="636" t="s">
        <v>12698</v>
      </c>
      <c r="C8606" s="612" t="s">
        <v>12699</v>
      </c>
      <c r="D8606" s="612" t="s">
        <v>12700</v>
      </c>
      <c r="E8606" s="637" t="s">
        <v>12702</v>
      </c>
      <c r="F8606" s="801" t="s">
        <v>12704</v>
      </c>
      <c r="G8606" s="801"/>
      <c r="H8606" s="801" t="s">
        <v>13678</v>
      </c>
      <c r="I8606" s="801"/>
      <c r="J8606" s="801" t="s">
        <v>12705</v>
      </c>
      <c r="K8606" s="801"/>
      <c r="L8606" s="801"/>
    </row>
    <row r="8607" spans="1:12" ht="25.5">
      <c r="A8607" s="626" t="s">
        <v>12709</v>
      </c>
      <c r="B8607" s="627" t="s">
        <v>13222</v>
      </c>
      <c r="C8607" s="626" t="s">
        <v>8</v>
      </c>
      <c r="D8607" s="626" t="s">
        <v>7364</v>
      </c>
      <c r="E8607" s="628" t="s">
        <v>23</v>
      </c>
      <c r="F8607" s="816" t="s">
        <v>13808</v>
      </c>
      <c r="G8607" s="816"/>
      <c r="H8607" s="816">
        <v>1.2881999999999999E-2</v>
      </c>
      <c r="I8607" s="816"/>
      <c r="J8607" s="817">
        <v>6.4699999999999994E-2</v>
      </c>
      <c r="K8607" s="817"/>
      <c r="L8607" s="817"/>
    </row>
    <row r="8608" spans="1:12" ht="17.100000000000001" customHeight="1">
      <c r="A8608" s="626" t="s">
        <v>12709</v>
      </c>
      <c r="B8608" s="627" t="s">
        <v>13204</v>
      </c>
      <c r="C8608" s="626" t="s">
        <v>8</v>
      </c>
      <c r="D8608" s="626" t="s">
        <v>9112</v>
      </c>
      <c r="E8608" s="628" t="s">
        <v>23</v>
      </c>
      <c r="F8608" s="816" t="s">
        <v>14479</v>
      </c>
      <c r="G8608" s="816"/>
      <c r="H8608" s="816">
        <v>1.2881999999999999E-2</v>
      </c>
      <c r="I8608" s="816"/>
      <c r="J8608" s="817">
        <v>9.2100000000000001E-2</v>
      </c>
      <c r="K8608" s="817"/>
      <c r="L8608" s="817"/>
    </row>
    <row r="8609" spans="1:12" ht="24" customHeight="1">
      <c r="A8609" s="636"/>
      <c r="B8609" s="636"/>
      <c r="C8609" s="636"/>
      <c r="D8609" s="636"/>
      <c r="E8609" s="636"/>
      <c r="F8609" s="636"/>
      <c r="G8609" s="636"/>
      <c r="H8609" s="636"/>
      <c r="I8609" s="636"/>
      <c r="J8609" s="636" t="s">
        <v>13675</v>
      </c>
      <c r="K8609" s="636"/>
      <c r="L8609" s="636" t="s">
        <v>13850</v>
      </c>
    </row>
    <row r="8610" spans="1:12" ht="36" customHeight="1">
      <c r="A8610" s="802" t="s">
        <v>12720</v>
      </c>
      <c r="B8610" s="802"/>
      <c r="C8610" s="802"/>
      <c r="D8610" s="802"/>
      <c r="E8610" s="802"/>
      <c r="F8610" s="802"/>
      <c r="G8610" s="802"/>
      <c r="H8610" s="802"/>
      <c r="I8610" s="612"/>
      <c r="J8610" s="612"/>
      <c r="K8610" s="612"/>
      <c r="L8610" s="612"/>
    </row>
    <row r="8611" spans="1:12" ht="17.100000000000001" customHeight="1">
      <c r="A8611" s="612" t="s">
        <v>13679</v>
      </c>
      <c r="B8611" s="636" t="s">
        <v>12698</v>
      </c>
      <c r="C8611" s="612" t="s">
        <v>12699</v>
      </c>
      <c r="D8611" s="612" t="s">
        <v>12700</v>
      </c>
      <c r="E8611" s="637" t="s">
        <v>12702</v>
      </c>
      <c r="F8611" s="801" t="s">
        <v>12704</v>
      </c>
      <c r="G8611" s="801"/>
      <c r="H8611" s="801" t="s">
        <v>13678</v>
      </c>
      <c r="I8611" s="801"/>
      <c r="J8611" s="801" t="s">
        <v>12705</v>
      </c>
      <c r="K8611" s="801"/>
      <c r="L8611" s="801"/>
    </row>
    <row r="8612" spans="1:12" ht="25.5">
      <c r="A8612" s="626" t="s">
        <v>12709</v>
      </c>
      <c r="B8612" s="627" t="s">
        <v>13370</v>
      </c>
      <c r="C8612" s="626" t="s">
        <v>8</v>
      </c>
      <c r="D8612" s="626" t="s">
        <v>9418</v>
      </c>
      <c r="E8612" s="628" t="s">
        <v>35</v>
      </c>
      <c r="F8612" s="816" t="s">
        <v>13786</v>
      </c>
      <c r="G8612" s="816"/>
      <c r="H8612" s="816">
        <v>0.01</v>
      </c>
      <c r="I8612" s="816"/>
      <c r="J8612" s="817">
        <v>0.03</v>
      </c>
      <c r="K8612" s="817"/>
      <c r="L8612" s="817"/>
    </row>
    <row r="8613" spans="1:12" ht="17.100000000000001" customHeight="1">
      <c r="A8613" s="626" t="s">
        <v>12709</v>
      </c>
      <c r="B8613" s="627" t="s">
        <v>13426</v>
      </c>
      <c r="C8613" s="626" t="s">
        <v>8</v>
      </c>
      <c r="D8613" s="626" t="s">
        <v>7967</v>
      </c>
      <c r="E8613" s="628" t="s">
        <v>17</v>
      </c>
      <c r="F8613" s="816" t="s">
        <v>14593</v>
      </c>
      <c r="G8613" s="816"/>
      <c r="H8613" s="816">
        <v>1.0269999999999999</v>
      </c>
      <c r="I8613" s="816"/>
      <c r="J8613" s="817">
        <v>10.36</v>
      </c>
      <c r="K8613" s="817"/>
      <c r="L8613" s="817"/>
    </row>
    <row r="8614" spans="1:12" ht="24" customHeight="1">
      <c r="A8614" s="636"/>
      <c r="B8614" s="636"/>
      <c r="C8614" s="636"/>
      <c r="D8614" s="636"/>
      <c r="E8614" s="636"/>
      <c r="F8614" s="636"/>
      <c r="G8614" s="636"/>
      <c r="H8614" s="636"/>
      <c r="I8614" s="636"/>
      <c r="J8614" s="636" t="s">
        <v>13675</v>
      </c>
      <c r="K8614" s="636"/>
      <c r="L8614" s="636" t="s">
        <v>14592</v>
      </c>
    </row>
    <row r="8615" spans="1:12" ht="17.100000000000001" customHeight="1">
      <c r="A8615" s="802" t="s">
        <v>12722</v>
      </c>
      <c r="B8615" s="802"/>
      <c r="C8615" s="802"/>
      <c r="D8615" s="802"/>
      <c r="E8615" s="802"/>
      <c r="F8615" s="802"/>
      <c r="G8615" s="802"/>
      <c r="H8615" s="802"/>
      <c r="I8615" s="612"/>
      <c r="J8615" s="612"/>
      <c r="K8615" s="612"/>
      <c r="L8615" s="612"/>
    </row>
    <row r="8616" spans="1:12">
      <c r="A8616" s="612" t="s">
        <v>13679</v>
      </c>
      <c r="B8616" s="636" t="s">
        <v>12698</v>
      </c>
      <c r="C8616" s="612" t="s">
        <v>12699</v>
      </c>
      <c r="D8616" s="612" t="s">
        <v>12700</v>
      </c>
      <c r="E8616" s="637" t="s">
        <v>12702</v>
      </c>
      <c r="F8616" s="801" t="s">
        <v>12704</v>
      </c>
      <c r="G8616" s="801"/>
      <c r="H8616" s="801" t="s">
        <v>13678</v>
      </c>
      <c r="I8616" s="801"/>
      <c r="J8616" s="801" t="s">
        <v>12705</v>
      </c>
      <c r="K8616" s="801"/>
      <c r="L8616" s="801"/>
    </row>
    <row r="8617" spans="1:12" ht="17.100000000000001" customHeight="1">
      <c r="A8617" s="626" t="s">
        <v>12709</v>
      </c>
      <c r="B8617" s="627" t="s">
        <v>12998</v>
      </c>
      <c r="C8617" s="626" t="s">
        <v>8</v>
      </c>
      <c r="D8617" s="626" t="s">
        <v>11861</v>
      </c>
      <c r="E8617" s="628" t="s">
        <v>23</v>
      </c>
      <c r="F8617" s="816" t="s">
        <v>13683</v>
      </c>
      <c r="G8617" s="816"/>
      <c r="H8617" s="816">
        <v>2.3731700000000001E-2</v>
      </c>
      <c r="I8617" s="816"/>
      <c r="J8617" s="817">
        <v>1.6799999999999999E-2</v>
      </c>
      <c r="K8617" s="817"/>
      <c r="L8617" s="817"/>
    </row>
    <row r="8618" spans="1:12" ht="24" customHeight="1">
      <c r="A8618" s="636"/>
      <c r="B8618" s="636"/>
      <c r="C8618" s="636"/>
      <c r="D8618" s="636"/>
      <c r="E8618" s="636"/>
      <c r="F8618" s="636"/>
      <c r="G8618" s="636"/>
      <c r="H8618" s="636"/>
      <c r="I8618" s="636"/>
      <c r="J8618" s="636" t="s">
        <v>13675</v>
      </c>
      <c r="K8618" s="636"/>
      <c r="L8618" s="636" t="s">
        <v>13680</v>
      </c>
    </row>
    <row r="8619" spans="1:12" ht="17.100000000000001" customHeight="1">
      <c r="A8619" s="802" t="s">
        <v>12713</v>
      </c>
      <c r="B8619" s="802"/>
      <c r="C8619" s="802"/>
      <c r="D8619" s="802"/>
      <c r="E8619" s="802"/>
      <c r="F8619" s="802"/>
      <c r="G8619" s="802"/>
      <c r="H8619" s="802"/>
      <c r="I8619" s="612"/>
      <c r="J8619" s="612"/>
      <c r="K8619" s="612"/>
      <c r="L8619" s="612"/>
    </row>
    <row r="8620" spans="1:12">
      <c r="A8620" s="612" t="s">
        <v>13679</v>
      </c>
      <c r="B8620" s="636" t="s">
        <v>12698</v>
      </c>
      <c r="C8620" s="612" t="s">
        <v>12699</v>
      </c>
      <c r="D8620" s="612" t="s">
        <v>12700</v>
      </c>
      <c r="E8620" s="637" t="s">
        <v>12702</v>
      </c>
      <c r="F8620" s="801" t="s">
        <v>12704</v>
      </c>
      <c r="G8620" s="801"/>
      <c r="H8620" s="801" t="s">
        <v>13678</v>
      </c>
      <c r="I8620" s="801"/>
      <c r="J8620" s="801" t="s">
        <v>12705</v>
      </c>
      <c r="K8620" s="801"/>
      <c r="L8620" s="801"/>
    </row>
    <row r="8621" spans="1:12" ht="17.100000000000001" customHeight="1">
      <c r="A8621" s="626" t="s">
        <v>12709</v>
      </c>
      <c r="B8621" s="627" t="s">
        <v>12999</v>
      </c>
      <c r="C8621" s="626" t="s">
        <v>8</v>
      </c>
      <c r="D8621" s="626" t="s">
        <v>11251</v>
      </c>
      <c r="E8621" s="628" t="s">
        <v>23</v>
      </c>
      <c r="F8621" s="816" t="s">
        <v>13681</v>
      </c>
      <c r="G8621" s="816"/>
      <c r="H8621" s="816">
        <v>2.3731700000000001E-2</v>
      </c>
      <c r="I8621" s="816"/>
      <c r="J8621" s="817">
        <v>1.6999999999999999E-3</v>
      </c>
      <c r="K8621" s="817"/>
      <c r="L8621" s="817"/>
    </row>
    <row r="8622" spans="1:12" ht="24" customHeight="1">
      <c r="A8622" s="636"/>
      <c r="B8622" s="636"/>
      <c r="C8622" s="636"/>
      <c r="D8622" s="636"/>
      <c r="E8622" s="636"/>
      <c r="F8622" s="636"/>
      <c r="G8622" s="636"/>
      <c r="H8622" s="636"/>
      <c r="I8622" s="636"/>
      <c r="J8622" s="636" t="s">
        <v>13675</v>
      </c>
      <c r="K8622" s="636"/>
      <c r="L8622" s="636" t="s">
        <v>13727</v>
      </c>
    </row>
    <row r="8623" spans="1:12" ht="24" customHeight="1">
      <c r="A8623" s="802" t="s">
        <v>12712</v>
      </c>
      <c r="B8623" s="802"/>
      <c r="C8623" s="802"/>
      <c r="D8623" s="802"/>
      <c r="E8623" s="802"/>
      <c r="F8623" s="802"/>
      <c r="G8623" s="802"/>
      <c r="H8623" s="802"/>
      <c r="I8623" s="612"/>
      <c r="J8623" s="612"/>
      <c r="K8623" s="612"/>
      <c r="L8623" s="612"/>
    </row>
    <row r="8624" spans="1:12" ht="17.100000000000001" customHeight="1">
      <c r="A8624" s="612" t="s">
        <v>13679</v>
      </c>
      <c r="B8624" s="636" t="s">
        <v>12698</v>
      </c>
      <c r="C8624" s="612" t="s">
        <v>12699</v>
      </c>
      <c r="D8624" s="612" t="s">
        <v>12700</v>
      </c>
      <c r="E8624" s="637" t="s">
        <v>12702</v>
      </c>
      <c r="F8624" s="801" t="s">
        <v>12704</v>
      </c>
      <c r="G8624" s="801"/>
      <c r="H8624" s="801" t="s">
        <v>13678</v>
      </c>
      <c r="I8624" s="801"/>
      <c r="J8624" s="801" t="s">
        <v>12705</v>
      </c>
      <c r="K8624" s="801"/>
      <c r="L8624" s="801"/>
    </row>
    <row r="8625" spans="1:12" ht="17.100000000000001" customHeight="1">
      <c r="A8625" s="626" t="s">
        <v>12709</v>
      </c>
      <c r="B8625" s="627" t="s">
        <v>13002</v>
      </c>
      <c r="C8625" s="626" t="s">
        <v>8</v>
      </c>
      <c r="D8625" s="626" t="s">
        <v>9306</v>
      </c>
      <c r="E8625" s="628" t="s">
        <v>23</v>
      </c>
      <c r="F8625" s="816" t="s">
        <v>13677</v>
      </c>
      <c r="G8625" s="816"/>
      <c r="H8625" s="816">
        <v>2.3731700000000001E-2</v>
      </c>
      <c r="I8625" s="816"/>
      <c r="J8625" s="817">
        <v>8.3000000000000001E-3</v>
      </c>
      <c r="K8625" s="817"/>
      <c r="L8625" s="817"/>
    </row>
    <row r="8626" spans="1:12" ht="17.100000000000001" customHeight="1">
      <c r="A8626" s="626" t="s">
        <v>12709</v>
      </c>
      <c r="B8626" s="627" t="s">
        <v>13004</v>
      </c>
      <c r="C8626" s="626" t="s">
        <v>8</v>
      </c>
      <c r="D8626" s="626" t="s">
        <v>7388</v>
      </c>
      <c r="E8626" s="628" t="s">
        <v>23</v>
      </c>
      <c r="F8626" s="816" t="s">
        <v>13676</v>
      </c>
      <c r="G8626" s="816"/>
      <c r="H8626" s="816">
        <v>2.3731700000000001E-2</v>
      </c>
      <c r="I8626" s="816"/>
      <c r="J8626" s="817">
        <v>5.2200000000000003E-2</v>
      </c>
      <c r="K8626" s="817"/>
      <c r="L8626" s="817"/>
    </row>
    <row r="8627" spans="1:12" ht="17.100000000000001" customHeight="1">
      <c r="A8627" s="636"/>
      <c r="B8627" s="636"/>
      <c r="C8627" s="636"/>
      <c r="D8627" s="636"/>
      <c r="E8627" s="636"/>
      <c r="F8627" s="636"/>
      <c r="G8627" s="636"/>
      <c r="H8627" s="636"/>
      <c r="I8627" s="636"/>
      <c r="J8627" s="636" t="s">
        <v>13675</v>
      </c>
      <c r="K8627" s="636"/>
      <c r="L8627" s="636" t="s">
        <v>13708</v>
      </c>
    </row>
    <row r="8628" spans="1:12" ht="17.100000000000001" customHeight="1">
      <c r="A8628" s="612" t="s">
        <v>13673</v>
      </c>
      <c r="B8628" s="612"/>
      <c r="C8628" s="612"/>
      <c r="D8628" s="612"/>
      <c r="E8628" s="612"/>
      <c r="F8628" s="612"/>
      <c r="G8628" s="612"/>
      <c r="H8628" s="612"/>
      <c r="I8628" s="612"/>
      <c r="J8628" s="612"/>
      <c r="K8628" s="612"/>
      <c r="L8628" s="612"/>
    </row>
    <row r="8629" spans="1:12" ht="17.100000000000001" customHeight="1">
      <c r="A8629" s="636"/>
      <c r="B8629" s="636"/>
      <c r="C8629" s="636"/>
      <c r="D8629" s="636"/>
      <c r="E8629" s="636"/>
      <c r="F8629" s="636"/>
      <c r="G8629" s="636"/>
      <c r="H8629" s="636"/>
      <c r="I8629" s="636"/>
      <c r="J8629" s="636" t="s">
        <v>13672</v>
      </c>
      <c r="K8629" s="636"/>
      <c r="L8629" s="636" t="s">
        <v>15277</v>
      </c>
    </row>
    <row r="8630" spans="1:12" ht="17.100000000000001" customHeight="1">
      <c r="A8630" s="636"/>
      <c r="B8630" s="636"/>
      <c r="C8630" s="636"/>
      <c r="D8630" s="636"/>
      <c r="E8630" s="636"/>
      <c r="F8630" s="636"/>
      <c r="G8630" s="636"/>
      <c r="H8630" s="636"/>
      <c r="I8630" s="636"/>
      <c r="J8630" s="636" t="s">
        <v>13671</v>
      </c>
      <c r="K8630" s="636" t="s">
        <v>14461</v>
      </c>
      <c r="L8630" s="636" t="s">
        <v>15531</v>
      </c>
    </row>
    <row r="8631" spans="1:12" ht="30" customHeight="1">
      <c r="A8631" s="636"/>
      <c r="B8631" s="636"/>
      <c r="C8631" s="636"/>
      <c r="D8631" s="636"/>
      <c r="E8631" s="636"/>
      <c r="F8631" s="636"/>
      <c r="G8631" s="636"/>
      <c r="H8631" s="636"/>
      <c r="I8631" s="636"/>
      <c r="J8631" s="636" t="s">
        <v>13670</v>
      </c>
      <c r="K8631" s="636"/>
      <c r="L8631" s="636" t="s">
        <v>15532</v>
      </c>
    </row>
    <row r="8632" spans="1:12" ht="36" customHeight="1">
      <c r="A8632" s="636"/>
      <c r="B8632" s="636"/>
      <c r="C8632" s="636"/>
      <c r="D8632" s="636"/>
      <c r="E8632" s="636"/>
      <c r="F8632" s="636"/>
      <c r="G8632" s="636"/>
      <c r="H8632" s="636"/>
      <c r="I8632" s="636"/>
      <c r="J8632" s="636" t="s">
        <v>13669</v>
      </c>
      <c r="K8632" s="636" t="s">
        <v>13667</v>
      </c>
      <c r="L8632" s="636" t="s">
        <v>15533</v>
      </c>
    </row>
    <row r="8633" spans="1:12" ht="14.25" customHeight="1">
      <c r="A8633" s="636"/>
      <c r="B8633" s="636"/>
      <c r="C8633" s="636"/>
      <c r="D8633" s="636"/>
      <c r="E8633" s="636"/>
      <c r="F8633" s="636"/>
      <c r="G8633" s="636"/>
      <c r="H8633" s="636"/>
      <c r="I8633" s="636"/>
      <c r="J8633" s="636" t="s">
        <v>13668</v>
      </c>
      <c r="K8633" s="636"/>
      <c r="L8633" s="636" t="s">
        <v>15534</v>
      </c>
    </row>
    <row r="8634" spans="1:12" ht="17.100000000000001" customHeight="1">
      <c r="A8634" s="637"/>
      <c r="B8634" s="637"/>
      <c r="C8634" s="637"/>
      <c r="D8634" s="637"/>
      <c r="E8634" s="637"/>
      <c r="F8634" s="637"/>
      <c r="G8634" s="637"/>
      <c r="H8634" s="637"/>
      <c r="I8634" s="637"/>
      <c r="J8634" s="637"/>
      <c r="K8634" s="637"/>
      <c r="L8634" s="637"/>
    </row>
    <row r="8635" spans="1:12" ht="24" customHeight="1">
      <c r="A8635" s="616" t="s">
        <v>13919</v>
      </c>
      <c r="B8635" s="617" t="s">
        <v>13425</v>
      </c>
      <c r="C8635" s="616" t="s">
        <v>8</v>
      </c>
      <c r="D8635" s="616" t="s">
        <v>3110</v>
      </c>
      <c r="E8635" s="618" t="s">
        <v>17</v>
      </c>
      <c r="F8635" s="617"/>
      <c r="G8635" s="617"/>
      <c r="H8635" s="617"/>
      <c r="I8635" s="617"/>
      <c r="J8635" s="617"/>
      <c r="K8635" s="617"/>
      <c r="L8635" s="617"/>
    </row>
    <row r="8636" spans="1:12" ht="24" customHeight="1">
      <c r="A8636" s="802" t="s">
        <v>12711</v>
      </c>
      <c r="B8636" s="802"/>
      <c r="C8636" s="802"/>
      <c r="D8636" s="802"/>
      <c r="E8636" s="802"/>
      <c r="F8636" s="802"/>
      <c r="G8636" s="802"/>
      <c r="H8636" s="802"/>
      <c r="I8636" s="612"/>
      <c r="J8636" s="612"/>
      <c r="K8636" s="612"/>
      <c r="L8636" s="612"/>
    </row>
    <row r="8637" spans="1:12" ht="17.100000000000001" customHeight="1">
      <c r="A8637" s="612" t="s">
        <v>13679</v>
      </c>
      <c r="B8637" s="636" t="s">
        <v>12698</v>
      </c>
      <c r="C8637" s="612" t="s">
        <v>12699</v>
      </c>
      <c r="D8637" s="612" t="s">
        <v>12700</v>
      </c>
      <c r="E8637" s="637" t="s">
        <v>12702</v>
      </c>
      <c r="F8637" s="801" t="s">
        <v>12704</v>
      </c>
      <c r="G8637" s="801"/>
      <c r="H8637" s="801" t="s">
        <v>13678</v>
      </c>
      <c r="I8637" s="801"/>
      <c r="J8637" s="801" t="s">
        <v>12705</v>
      </c>
      <c r="K8637" s="801"/>
      <c r="L8637" s="801"/>
    </row>
    <row r="8638" spans="1:12" ht="14.25" customHeight="1">
      <c r="A8638" s="626" t="s">
        <v>12709</v>
      </c>
      <c r="B8638" s="627" t="s">
        <v>13134</v>
      </c>
      <c r="C8638" s="626" t="s">
        <v>8</v>
      </c>
      <c r="D8638" s="626" t="s">
        <v>9219</v>
      </c>
      <c r="E8638" s="628" t="s">
        <v>23</v>
      </c>
      <c r="F8638" s="816" t="s">
        <v>13782</v>
      </c>
      <c r="G8638" s="816"/>
      <c r="H8638" s="816">
        <v>0.14425940000000001</v>
      </c>
      <c r="I8638" s="816"/>
      <c r="J8638" s="817">
        <v>0.13420000000000001</v>
      </c>
      <c r="K8638" s="817"/>
      <c r="L8638" s="817"/>
    </row>
    <row r="8639" spans="1:12" ht="17.100000000000001" customHeight="1">
      <c r="A8639" s="626" t="s">
        <v>12709</v>
      </c>
      <c r="B8639" s="627" t="s">
        <v>13133</v>
      </c>
      <c r="C8639" s="626" t="s">
        <v>8</v>
      </c>
      <c r="D8639" s="626" t="s">
        <v>9366</v>
      </c>
      <c r="E8639" s="628" t="s">
        <v>23</v>
      </c>
      <c r="F8639" s="816" t="s">
        <v>13781</v>
      </c>
      <c r="G8639" s="816"/>
      <c r="H8639" s="816">
        <v>0.14425940000000001</v>
      </c>
      <c r="I8639" s="816"/>
      <c r="J8639" s="817">
        <v>7.9299999999999995E-2</v>
      </c>
      <c r="K8639" s="817"/>
      <c r="L8639" s="817"/>
    </row>
    <row r="8640" spans="1:12" ht="24" customHeight="1">
      <c r="A8640" s="636"/>
      <c r="B8640" s="636"/>
      <c r="C8640" s="636"/>
      <c r="D8640" s="636"/>
      <c r="E8640" s="636"/>
      <c r="F8640" s="636"/>
      <c r="G8640" s="636"/>
      <c r="H8640" s="636"/>
      <c r="I8640" s="636"/>
      <c r="J8640" s="636" t="s">
        <v>13675</v>
      </c>
      <c r="K8640" s="636"/>
      <c r="L8640" s="636" t="s">
        <v>13775</v>
      </c>
    </row>
    <row r="8641" spans="1:12" ht="24" customHeight="1">
      <c r="A8641" s="802" t="s">
        <v>12710</v>
      </c>
      <c r="B8641" s="802"/>
      <c r="C8641" s="802"/>
      <c r="D8641" s="802"/>
      <c r="E8641" s="802"/>
      <c r="F8641" s="802"/>
      <c r="G8641" s="802"/>
      <c r="H8641" s="802"/>
      <c r="I8641" s="612"/>
      <c r="J8641" s="612"/>
      <c r="K8641" s="612"/>
      <c r="L8641" s="612"/>
    </row>
    <row r="8642" spans="1:12" ht="17.100000000000001" customHeight="1">
      <c r="A8642" s="612" t="s">
        <v>13679</v>
      </c>
      <c r="B8642" s="636" t="s">
        <v>12698</v>
      </c>
      <c r="C8642" s="612" t="s">
        <v>12699</v>
      </c>
      <c r="D8642" s="612" t="s">
        <v>12700</v>
      </c>
      <c r="E8642" s="637" t="s">
        <v>12702</v>
      </c>
      <c r="F8642" s="801" t="s">
        <v>12704</v>
      </c>
      <c r="G8642" s="801"/>
      <c r="H8642" s="801" t="s">
        <v>13678</v>
      </c>
      <c r="I8642" s="801"/>
      <c r="J8642" s="801" t="s">
        <v>12705</v>
      </c>
      <c r="K8642" s="801"/>
      <c r="L8642" s="801"/>
    </row>
    <row r="8643" spans="1:12" ht="25.5">
      <c r="A8643" s="626" t="s">
        <v>12709</v>
      </c>
      <c r="B8643" s="627" t="s">
        <v>13222</v>
      </c>
      <c r="C8643" s="626" t="s">
        <v>8</v>
      </c>
      <c r="D8643" s="626" t="s">
        <v>7364</v>
      </c>
      <c r="E8643" s="628" t="s">
        <v>23</v>
      </c>
      <c r="F8643" s="816" t="s">
        <v>13808</v>
      </c>
      <c r="G8643" s="816"/>
      <c r="H8643" s="816">
        <v>7.4626600000000001E-2</v>
      </c>
      <c r="I8643" s="816"/>
      <c r="J8643" s="817">
        <v>0.37459999999999999</v>
      </c>
      <c r="K8643" s="817"/>
      <c r="L8643" s="817"/>
    </row>
    <row r="8644" spans="1:12" ht="17.100000000000001" customHeight="1">
      <c r="A8644" s="626" t="s">
        <v>12709</v>
      </c>
      <c r="B8644" s="627" t="s">
        <v>13204</v>
      </c>
      <c r="C8644" s="626" t="s">
        <v>8</v>
      </c>
      <c r="D8644" s="626" t="s">
        <v>9112</v>
      </c>
      <c r="E8644" s="628" t="s">
        <v>23</v>
      </c>
      <c r="F8644" s="816" t="s">
        <v>14479</v>
      </c>
      <c r="G8644" s="816"/>
      <c r="H8644" s="816">
        <v>7.4626600000000001E-2</v>
      </c>
      <c r="I8644" s="816"/>
      <c r="J8644" s="817">
        <v>0.53359999999999996</v>
      </c>
      <c r="K8644" s="817"/>
      <c r="L8644" s="817"/>
    </row>
    <row r="8645" spans="1:12" ht="24" customHeight="1">
      <c r="A8645" s="636"/>
      <c r="B8645" s="636"/>
      <c r="C8645" s="636"/>
      <c r="D8645" s="636"/>
      <c r="E8645" s="636"/>
      <c r="F8645" s="636"/>
      <c r="G8645" s="636"/>
      <c r="H8645" s="636"/>
      <c r="I8645" s="636"/>
      <c r="J8645" s="636" t="s">
        <v>13675</v>
      </c>
      <c r="K8645" s="636"/>
      <c r="L8645" s="636" t="s">
        <v>14591</v>
      </c>
    </row>
    <row r="8646" spans="1:12" ht="36" customHeight="1">
      <c r="A8646" s="802" t="s">
        <v>12720</v>
      </c>
      <c r="B8646" s="802"/>
      <c r="C8646" s="802"/>
      <c r="D8646" s="802"/>
      <c r="E8646" s="802"/>
      <c r="F8646" s="802"/>
      <c r="G8646" s="802"/>
      <c r="H8646" s="802"/>
      <c r="I8646" s="612"/>
      <c r="J8646" s="612"/>
      <c r="K8646" s="612"/>
      <c r="L8646" s="612"/>
    </row>
    <row r="8647" spans="1:12" ht="17.100000000000001" customHeight="1">
      <c r="A8647" s="612" t="s">
        <v>13679</v>
      </c>
      <c r="B8647" s="636" t="s">
        <v>12698</v>
      </c>
      <c r="C8647" s="612" t="s">
        <v>12699</v>
      </c>
      <c r="D8647" s="612" t="s">
        <v>12700</v>
      </c>
      <c r="E8647" s="637" t="s">
        <v>12702</v>
      </c>
      <c r="F8647" s="801" t="s">
        <v>12704</v>
      </c>
      <c r="G8647" s="801"/>
      <c r="H8647" s="801" t="s">
        <v>13678</v>
      </c>
      <c r="I8647" s="801"/>
      <c r="J8647" s="801" t="s">
        <v>12705</v>
      </c>
      <c r="K8647" s="801"/>
      <c r="L8647" s="801"/>
    </row>
    <row r="8648" spans="1:12" ht="25.5">
      <c r="A8648" s="626" t="s">
        <v>12709</v>
      </c>
      <c r="B8648" s="627" t="s">
        <v>13370</v>
      </c>
      <c r="C8648" s="626" t="s">
        <v>8</v>
      </c>
      <c r="D8648" s="626" t="s">
        <v>9418</v>
      </c>
      <c r="E8648" s="628" t="s">
        <v>35</v>
      </c>
      <c r="F8648" s="816" t="s">
        <v>13786</v>
      </c>
      <c r="G8648" s="816"/>
      <c r="H8648" s="816">
        <v>8.9999999999999993E-3</v>
      </c>
      <c r="I8648" s="816"/>
      <c r="J8648" s="817">
        <v>0.03</v>
      </c>
      <c r="K8648" s="817"/>
      <c r="L8648" s="817"/>
    </row>
    <row r="8649" spans="1:12" ht="17.100000000000001" customHeight="1">
      <c r="A8649" s="626" t="s">
        <v>12709</v>
      </c>
      <c r="B8649" s="627" t="s">
        <v>13424</v>
      </c>
      <c r="C8649" s="626" t="s">
        <v>8</v>
      </c>
      <c r="D8649" s="626" t="s">
        <v>7973</v>
      </c>
      <c r="E8649" s="628" t="s">
        <v>17</v>
      </c>
      <c r="F8649" s="816" t="s">
        <v>14590</v>
      </c>
      <c r="G8649" s="816"/>
      <c r="H8649" s="816">
        <v>1.0149999999999999</v>
      </c>
      <c r="I8649" s="816"/>
      <c r="J8649" s="817">
        <v>21.49</v>
      </c>
      <c r="K8649" s="817"/>
      <c r="L8649" s="817"/>
    </row>
    <row r="8650" spans="1:12" ht="24" customHeight="1">
      <c r="A8650" s="636"/>
      <c r="B8650" s="636"/>
      <c r="C8650" s="636"/>
      <c r="D8650" s="636"/>
      <c r="E8650" s="636"/>
      <c r="F8650" s="636"/>
      <c r="G8650" s="636"/>
      <c r="H8650" s="636"/>
      <c r="I8650" s="636"/>
      <c r="J8650" s="636" t="s">
        <v>13675</v>
      </c>
      <c r="K8650" s="636"/>
      <c r="L8650" s="636" t="s">
        <v>14589</v>
      </c>
    </row>
    <row r="8651" spans="1:12" ht="17.100000000000001" customHeight="1">
      <c r="A8651" s="802" t="s">
        <v>12722</v>
      </c>
      <c r="B8651" s="802"/>
      <c r="C8651" s="802"/>
      <c r="D8651" s="802"/>
      <c r="E8651" s="802"/>
      <c r="F8651" s="802"/>
      <c r="G8651" s="802"/>
      <c r="H8651" s="802"/>
      <c r="I8651" s="612"/>
      <c r="J8651" s="612"/>
      <c r="K8651" s="612"/>
      <c r="L8651" s="612"/>
    </row>
    <row r="8652" spans="1:12">
      <c r="A8652" s="612" t="s">
        <v>13679</v>
      </c>
      <c r="B8652" s="636" t="s">
        <v>12698</v>
      </c>
      <c r="C8652" s="612" t="s">
        <v>12699</v>
      </c>
      <c r="D8652" s="612" t="s">
        <v>12700</v>
      </c>
      <c r="E8652" s="637" t="s">
        <v>12702</v>
      </c>
      <c r="F8652" s="801" t="s">
        <v>12704</v>
      </c>
      <c r="G8652" s="801"/>
      <c r="H8652" s="801" t="s">
        <v>13678</v>
      </c>
      <c r="I8652" s="801"/>
      <c r="J8652" s="801" t="s">
        <v>12705</v>
      </c>
      <c r="K8652" s="801"/>
      <c r="L8652" s="801"/>
    </row>
    <row r="8653" spans="1:12" ht="17.100000000000001" customHeight="1">
      <c r="A8653" s="626" t="s">
        <v>12709</v>
      </c>
      <c r="B8653" s="627" t="s">
        <v>12998</v>
      </c>
      <c r="C8653" s="626" t="s">
        <v>8</v>
      </c>
      <c r="D8653" s="626" t="s">
        <v>11861</v>
      </c>
      <c r="E8653" s="628" t="s">
        <v>23</v>
      </c>
      <c r="F8653" s="816" t="s">
        <v>13683</v>
      </c>
      <c r="G8653" s="816"/>
      <c r="H8653" s="816">
        <v>0.14425940000000001</v>
      </c>
      <c r="I8653" s="816"/>
      <c r="J8653" s="817">
        <v>0.1024</v>
      </c>
      <c r="K8653" s="817"/>
      <c r="L8653" s="817"/>
    </row>
    <row r="8654" spans="1:12" ht="24" customHeight="1">
      <c r="A8654" s="636"/>
      <c r="B8654" s="636"/>
      <c r="C8654" s="636"/>
      <c r="D8654" s="636"/>
      <c r="E8654" s="636"/>
      <c r="F8654" s="636"/>
      <c r="G8654" s="636"/>
      <c r="H8654" s="636"/>
      <c r="I8654" s="636"/>
      <c r="J8654" s="636" t="s">
        <v>13675</v>
      </c>
      <c r="K8654" s="636"/>
      <c r="L8654" s="636" t="s">
        <v>13882</v>
      </c>
    </row>
    <row r="8655" spans="1:12" ht="17.100000000000001" customHeight="1">
      <c r="A8655" s="802" t="s">
        <v>12713</v>
      </c>
      <c r="B8655" s="802"/>
      <c r="C8655" s="802"/>
      <c r="D8655" s="802"/>
      <c r="E8655" s="802"/>
      <c r="F8655" s="802"/>
      <c r="G8655" s="802"/>
      <c r="H8655" s="802"/>
      <c r="I8655" s="612"/>
      <c r="J8655" s="612"/>
      <c r="K8655" s="612"/>
      <c r="L8655" s="612"/>
    </row>
    <row r="8656" spans="1:12">
      <c r="A8656" s="612" t="s">
        <v>13679</v>
      </c>
      <c r="B8656" s="636" t="s">
        <v>12698</v>
      </c>
      <c r="C8656" s="612" t="s">
        <v>12699</v>
      </c>
      <c r="D8656" s="612" t="s">
        <v>12700</v>
      </c>
      <c r="E8656" s="637" t="s">
        <v>12702</v>
      </c>
      <c r="F8656" s="801" t="s">
        <v>12704</v>
      </c>
      <c r="G8656" s="801"/>
      <c r="H8656" s="801" t="s">
        <v>13678</v>
      </c>
      <c r="I8656" s="801"/>
      <c r="J8656" s="801" t="s">
        <v>12705</v>
      </c>
      <c r="K8656" s="801"/>
      <c r="L8656" s="801"/>
    </row>
    <row r="8657" spans="1:12" ht="17.100000000000001" customHeight="1">
      <c r="A8657" s="626" t="s">
        <v>12709</v>
      </c>
      <c r="B8657" s="627" t="s">
        <v>12999</v>
      </c>
      <c r="C8657" s="626" t="s">
        <v>8</v>
      </c>
      <c r="D8657" s="626" t="s">
        <v>11251</v>
      </c>
      <c r="E8657" s="628" t="s">
        <v>23</v>
      </c>
      <c r="F8657" s="816" t="s">
        <v>13681</v>
      </c>
      <c r="G8657" s="816"/>
      <c r="H8657" s="816">
        <v>0.14425940000000001</v>
      </c>
      <c r="I8657" s="816"/>
      <c r="J8657" s="817">
        <v>1.01E-2</v>
      </c>
      <c r="K8657" s="817"/>
      <c r="L8657" s="817"/>
    </row>
    <row r="8658" spans="1:12" ht="24" customHeight="1">
      <c r="A8658" s="636"/>
      <c r="B8658" s="636"/>
      <c r="C8658" s="636"/>
      <c r="D8658" s="636"/>
      <c r="E8658" s="636"/>
      <c r="F8658" s="636"/>
      <c r="G8658" s="636"/>
      <c r="H8658" s="636"/>
      <c r="I8658" s="636"/>
      <c r="J8658" s="636" t="s">
        <v>13675</v>
      </c>
      <c r="K8658" s="636"/>
      <c r="L8658" s="636" t="s">
        <v>13728</v>
      </c>
    </row>
    <row r="8659" spans="1:12" ht="24" customHeight="1">
      <c r="A8659" s="802" t="s">
        <v>12712</v>
      </c>
      <c r="B8659" s="802"/>
      <c r="C8659" s="802"/>
      <c r="D8659" s="802"/>
      <c r="E8659" s="802"/>
      <c r="F8659" s="802"/>
      <c r="G8659" s="802"/>
      <c r="H8659" s="802"/>
      <c r="I8659" s="612"/>
      <c r="J8659" s="612"/>
      <c r="K8659" s="612"/>
      <c r="L8659" s="612"/>
    </row>
    <row r="8660" spans="1:12" ht="17.100000000000001" customHeight="1">
      <c r="A8660" s="612" t="s">
        <v>13679</v>
      </c>
      <c r="B8660" s="636" t="s">
        <v>12698</v>
      </c>
      <c r="C8660" s="612" t="s">
        <v>12699</v>
      </c>
      <c r="D8660" s="612" t="s">
        <v>12700</v>
      </c>
      <c r="E8660" s="637" t="s">
        <v>12702</v>
      </c>
      <c r="F8660" s="801" t="s">
        <v>12704</v>
      </c>
      <c r="G8660" s="801"/>
      <c r="H8660" s="801" t="s">
        <v>13678</v>
      </c>
      <c r="I8660" s="801"/>
      <c r="J8660" s="801" t="s">
        <v>12705</v>
      </c>
      <c r="K8660" s="801"/>
      <c r="L8660" s="801"/>
    </row>
    <row r="8661" spans="1:12" ht="17.100000000000001" customHeight="1">
      <c r="A8661" s="626" t="s">
        <v>12709</v>
      </c>
      <c r="B8661" s="627" t="s">
        <v>13002</v>
      </c>
      <c r="C8661" s="626" t="s">
        <v>8</v>
      </c>
      <c r="D8661" s="626" t="s">
        <v>9306</v>
      </c>
      <c r="E8661" s="628" t="s">
        <v>23</v>
      </c>
      <c r="F8661" s="816" t="s">
        <v>13677</v>
      </c>
      <c r="G8661" s="816"/>
      <c r="H8661" s="816">
        <v>0.14425940000000001</v>
      </c>
      <c r="I8661" s="816"/>
      <c r="J8661" s="817">
        <v>5.0500000000000003E-2</v>
      </c>
      <c r="K8661" s="817"/>
      <c r="L8661" s="817"/>
    </row>
    <row r="8662" spans="1:12" ht="17.100000000000001" customHeight="1">
      <c r="A8662" s="626" t="s">
        <v>12709</v>
      </c>
      <c r="B8662" s="627" t="s">
        <v>13004</v>
      </c>
      <c r="C8662" s="626" t="s">
        <v>8</v>
      </c>
      <c r="D8662" s="626" t="s">
        <v>7388</v>
      </c>
      <c r="E8662" s="628" t="s">
        <v>23</v>
      </c>
      <c r="F8662" s="816" t="s">
        <v>13676</v>
      </c>
      <c r="G8662" s="816"/>
      <c r="H8662" s="816">
        <v>0.14425940000000001</v>
      </c>
      <c r="I8662" s="816"/>
      <c r="J8662" s="817">
        <v>0.31740000000000002</v>
      </c>
      <c r="K8662" s="817"/>
      <c r="L8662" s="817"/>
    </row>
    <row r="8663" spans="1:12" ht="17.100000000000001" customHeight="1">
      <c r="A8663" s="636"/>
      <c r="B8663" s="636"/>
      <c r="C8663" s="636"/>
      <c r="D8663" s="636"/>
      <c r="E8663" s="636"/>
      <c r="F8663" s="636"/>
      <c r="G8663" s="636"/>
      <c r="H8663" s="636"/>
      <c r="I8663" s="636"/>
      <c r="J8663" s="636" t="s">
        <v>13675</v>
      </c>
      <c r="K8663" s="636"/>
      <c r="L8663" s="636" t="s">
        <v>13798</v>
      </c>
    </row>
    <row r="8664" spans="1:12" ht="17.100000000000001" customHeight="1">
      <c r="A8664" s="612" t="s">
        <v>13673</v>
      </c>
      <c r="B8664" s="612"/>
      <c r="C8664" s="612"/>
      <c r="D8664" s="612"/>
      <c r="E8664" s="612"/>
      <c r="F8664" s="612"/>
      <c r="G8664" s="612"/>
      <c r="H8664" s="612"/>
      <c r="I8664" s="612"/>
      <c r="J8664" s="612"/>
      <c r="K8664" s="612"/>
      <c r="L8664" s="612"/>
    </row>
    <row r="8665" spans="1:12" ht="17.100000000000001" customHeight="1">
      <c r="A8665" s="636"/>
      <c r="B8665" s="636"/>
      <c r="C8665" s="636"/>
      <c r="D8665" s="636"/>
      <c r="E8665" s="636"/>
      <c r="F8665" s="636"/>
      <c r="G8665" s="636"/>
      <c r="H8665" s="636"/>
      <c r="I8665" s="636"/>
      <c r="J8665" s="636" t="s">
        <v>13672</v>
      </c>
      <c r="K8665" s="636"/>
      <c r="L8665" s="636" t="s">
        <v>15535</v>
      </c>
    </row>
    <row r="8666" spans="1:12" ht="17.100000000000001" customHeight="1">
      <c r="A8666" s="636"/>
      <c r="B8666" s="636"/>
      <c r="C8666" s="636"/>
      <c r="D8666" s="636"/>
      <c r="E8666" s="636"/>
      <c r="F8666" s="636"/>
      <c r="G8666" s="636"/>
      <c r="H8666" s="636"/>
      <c r="I8666" s="636"/>
      <c r="J8666" s="636" t="s">
        <v>13671</v>
      </c>
      <c r="K8666" s="636" t="s">
        <v>14461</v>
      </c>
      <c r="L8666" s="636" t="s">
        <v>15536</v>
      </c>
    </row>
    <row r="8667" spans="1:12" ht="30" customHeight="1">
      <c r="A8667" s="636"/>
      <c r="B8667" s="636"/>
      <c r="C8667" s="636"/>
      <c r="D8667" s="636"/>
      <c r="E8667" s="636"/>
      <c r="F8667" s="636"/>
      <c r="G8667" s="636"/>
      <c r="H8667" s="636"/>
      <c r="I8667" s="636"/>
      <c r="J8667" s="636" t="s">
        <v>13670</v>
      </c>
      <c r="K8667" s="636"/>
      <c r="L8667" s="636" t="s">
        <v>15537</v>
      </c>
    </row>
    <row r="8668" spans="1:12" ht="36" customHeight="1">
      <c r="A8668" s="636"/>
      <c r="B8668" s="636"/>
      <c r="C8668" s="636"/>
      <c r="D8668" s="636"/>
      <c r="E8668" s="636"/>
      <c r="F8668" s="636"/>
      <c r="G8668" s="636"/>
      <c r="H8668" s="636"/>
      <c r="I8668" s="636"/>
      <c r="J8668" s="636" t="s">
        <v>13669</v>
      </c>
      <c r="K8668" s="636" t="s">
        <v>13667</v>
      </c>
      <c r="L8668" s="636" t="s">
        <v>15538</v>
      </c>
    </row>
    <row r="8669" spans="1:12" ht="14.25" customHeight="1">
      <c r="A8669" s="636"/>
      <c r="B8669" s="636"/>
      <c r="C8669" s="636"/>
      <c r="D8669" s="636"/>
      <c r="E8669" s="636"/>
      <c r="F8669" s="636"/>
      <c r="G8669" s="636"/>
      <c r="H8669" s="636"/>
      <c r="I8669" s="636"/>
      <c r="J8669" s="636" t="s">
        <v>13668</v>
      </c>
      <c r="K8669" s="636"/>
      <c r="L8669" s="636" t="s">
        <v>15539</v>
      </c>
    </row>
    <row r="8670" spans="1:12" ht="17.100000000000001" customHeight="1">
      <c r="A8670" s="637"/>
      <c r="B8670" s="637"/>
      <c r="C8670" s="637"/>
      <c r="D8670" s="637"/>
      <c r="E8670" s="637"/>
      <c r="F8670" s="637"/>
      <c r="G8670" s="637"/>
      <c r="H8670" s="637"/>
      <c r="I8670" s="637"/>
      <c r="J8670" s="637"/>
      <c r="K8670" s="637"/>
      <c r="L8670" s="637"/>
    </row>
    <row r="8671" spans="1:12" ht="24" customHeight="1">
      <c r="A8671" s="616" t="s">
        <v>13917</v>
      </c>
      <c r="B8671" s="617" t="s">
        <v>13423</v>
      </c>
      <c r="C8671" s="616" t="s">
        <v>8</v>
      </c>
      <c r="D8671" s="616" t="s">
        <v>2533</v>
      </c>
      <c r="E8671" s="618" t="s">
        <v>17</v>
      </c>
      <c r="F8671" s="617"/>
      <c r="G8671" s="617"/>
      <c r="H8671" s="617"/>
      <c r="I8671" s="617"/>
      <c r="J8671" s="617"/>
      <c r="K8671" s="617"/>
      <c r="L8671" s="617"/>
    </row>
    <row r="8672" spans="1:12" ht="24" customHeight="1">
      <c r="A8672" s="802" t="s">
        <v>12711</v>
      </c>
      <c r="B8672" s="802"/>
      <c r="C8672" s="802"/>
      <c r="D8672" s="802"/>
      <c r="E8672" s="802"/>
      <c r="F8672" s="802"/>
      <c r="G8672" s="802"/>
      <c r="H8672" s="802"/>
      <c r="I8672" s="612"/>
      <c r="J8672" s="612"/>
      <c r="K8672" s="612"/>
      <c r="L8672" s="612"/>
    </row>
    <row r="8673" spans="1:12" ht="17.100000000000001" customHeight="1">
      <c r="A8673" s="612" t="s">
        <v>13679</v>
      </c>
      <c r="B8673" s="636" t="s">
        <v>12698</v>
      </c>
      <c r="C8673" s="612" t="s">
        <v>12699</v>
      </c>
      <c r="D8673" s="612" t="s">
        <v>12700</v>
      </c>
      <c r="E8673" s="637" t="s">
        <v>12702</v>
      </c>
      <c r="F8673" s="801" t="s">
        <v>12704</v>
      </c>
      <c r="G8673" s="801"/>
      <c r="H8673" s="801" t="s">
        <v>13678</v>
      </c>
      <c r="I8673" s="801"/>
      <c r="J8673" s="801" t="s">
        <v>12705</v>
      </c>
      <c r="K8673" s="801"/>
      <c r="L8673" s="801"/>
    </row>
    <row r="8674" spans="1:12" ht="14.25" customHeight="1">
      <c r="A8674" s="626" t="s">
        <v>12709</v>
      </c>
      <c r="B8674" s="627" t="s">
        <v>13134</v>
      </c>
      <c r="C8674" s="626" t="s">
        <v>8</v>
      </c>
      <c r="D8674" s="626" t="s">
        <v>9219</v>
      </c>
      <c r="E8674" s="628" t="s">
        <v>23</v>
      </c>
      <c r="F8674" s="816" t="s">
        <v>13782</v>
      </c>
      <c r="G8674" s="816"/>
      <c r="H8674" s="816">
        <v>7.8906500000000004E-2</v>
      </c>
      <c r="I8674" s="816"/>
      <c r="J8674" s="817">
        <v>7.3400000000000007E-2</v>
      </c>
      <c r="K8674" s="817"/>
      <c r="L8674" s="817"/>
    </row>
    <row r="8675" spans="1:12" ht="17.100000000000001" customHeight="1">
      <c r="A8675" s="626" t="s">
        <v>12709</v>
      </c>
      <c r="B8675" s="627" t="s">
        <v>13133</v>
      </c>
      <c r="C8675" s="626" t="s">
        <v>8</v>
      </c>
      <c r="D8675" s="626" t="s">
        <v>9366</v>
      </c>
      <c r="E8675" s="628" t="s">
        <v>23</v>
      </c>
      <c r="F8675" s="816" t="s">
        <v>13781</v>
      </c>
      <c r="G8675" s="816"/>
      <c r="H8675" s="816">
        <v>7.8906500000000004E-2</v>
      </c>
      <c r="I8675" s="816"/>
      <c r="J8675" s="817">
        <v>4.3400000000000001E-2</v>
      </c>
      <c r="K8675" s="817"/>
      <c r="L8675" s="817"/>
    </row>
    <row r="8676" spans="1:12" ht="24" customHeight="1">
      <c r="A8676" s="636"/>
      <c r="B8676" s="636"/>
      <c r="C8676" s="636"/>
      <c r="D8676" s="636"/>
      <c r="E8676" s="636"/>
      <c r="F8676" s="636"/>
      <c r="G8676" s="636"/>
      <c r="H8676" s="636"/>
      <c r="I8676" s="636"/>
      <c r="J8676" s="636" t="s">
        <v>13675</v>
      </c>
      <c r="K8676" s="636"/>
      <c r="L8676" s="636" t="s">
        <v>13751</v>
      </c>
    </row>
    <row r="8677" spans="1:12" ht="24" customHeight="1">
      <c r="A8677" s="802" t="s">
        <v>12710</v>
      </c>
      <c r="B8677" s="802"/>
      <c r="C8677" s="802"/>
      <c r="D8677" s="802"/>
      <c r="E8677" s="802"/>
      <c r="F8677" s="802"/>
      <c r="G8677" s="802"/>
      <c r="H8677" s="802"/>
      <c r="I8677" s="612"/>
      <c r="J8677" s="612"/>
      <c r="K8677" s="612"/>
      <c r="L8677" s="612"/>
    </row>
    <row r="8678" spans="1:12" ht="17.100000000000001" customHeight="1">
      <c r="A8678" s="612" t="s">
        <v>13679</v>
      </c>
      <c r="B8678" s="636" t="s">
        <v>12698</v>
      </c>
      <c r="C8678" s="612" t="s">
        <v>12699</v>
      </c>
      <c r="D8678" s="612" t="s">
        <v>12700</v>
      </c>
      <c r="E8678" s="637" t="s">
        <v>12702</v>
      </c>
      <c r="F8678" s="801" t="s">
        <v>12704</v>
      </c>
      <c r="G8678" s="801"/>
      <c r="H8678" s="801" t="s">
        <v>13678</v>
      </c>
      <c r="I8678" s="801"/>
      <c r="J8678" s="801" t="s">
        <v>12705</v>
      </c>
      <c r="K8678" s="801"/>
      <c r="L8678" s="801"/>
    </row>
    <row r="8679" spans="1:12" ht="25.5">
      <c r="A8679" s="626" t="s">
        <v>12709</v>
      </c>
      <c r="B8679" s="627" t="s">
        <v>13222</v>
      </c>
      <c r="C8679" s="626" t="s">
        <v>8</v>
      </c>
      <c r="D8679" s="626" t="s">
        <v>7364</v>
      </c>
      <c r="E8679" s="628" t="s">
        <v>23</v>
      </c>
      <c r="F8679" s="816" t="s">
        <v>13808</v>
      </c>
      <c r="G8679" s="816"/>
      <c r="H8679" s="816">
        <v>4.0867000000000001E-2</v>
      </c>
      <c r="I8679" s="816"/>
      <c r="J8679" s="817">
        <v>0.20519999999999999</v>
      </c>
      <c r="K8679" s="817"/>
      <c r="L8679" s="817"/>
    </row>
    <row r="8680" spans="1:12" ht="17.100000000000001" customHeight="1">
      <c r="A8680" s="626" t="s">
        <v>12709</v>
      </c>
      <c r="B8680" s="627" t="s">
        <v>13204</v>
      </c>
      <c r="C8680" s="626" t="s">
        <v>8</v>
      </c>
      <c r="D8680" s="626" t="s">
        <v>9112</v>
      </c>
      <c r="E8680" s="628" t="s">
        <v>23</v>
      </c>
      <c r="F8680" s="816" t="s">
        <v>14479</v>
      </c>
      <c r="G8680" s="816"/>
      <c r="H8680" s="816">
        <v>4.0867000000000001E-2</v>
      </c>
      <c r="I8680" s="816"/>
      <c r="J8680" s="817">
        <v>0.29220000000000002</v>
      </c>
      <c r="K8680" s="817"/>
      <c r="L8680" s="817"/>
    </row>
    <row r="8681" spans="1:12" ht="24" customHeight="1">
      <c r="A8681" s="636"/>
      <c r="B8681" s="636"/>
      <c r="C8681" s="636"/>
      <c r="D8681" s="636"/>
      <c r="E8681" s="636"/>
      <c r="F8681" s="636"/>
      <c r="G8681" s="636"/>
      <c r="H8681" s="636"/>
      <c r="I8681" s="636"/>
      <c r="J8681" s="636" t="s">
        <v>13675</v>
      </c>
      <c r="K8681" s="636"/>
      <c r="L8681" s="636" t="s">
        <v>13691</v>
      </c>
    </row>
    <row r="8682" spans="1:12" ht="36" customHeight="1">
      <c r="A8682" s="802" t="s">
        <v>12720</v>
      </c>
      <c r="B8682" s="802"/>
      <c r="C8682" s="802"/>
      <c r="D8682" s="802"/>
      <c r="E8682" s="802"/>
      <c r="F8682" s="802"/>
      <c r="G8682" s="802"/>
      <c r="H8682" s="802"/>
      <c r="I8682" s="612"/>
      <c r="J8682" s="612"/>
      <c r="K8682" s="612"/>
      <c r="L8682" s="612"/>
    </row>
    <row r="8683" spans="1:12" ht="24" customHeight="1">
      <c r="A8683" s="612" t="s">
        <v>13679</v>
      </c>
      <c r="B8683" s="636" t="s">
        <v>12698</v>
      </c>
      <c r="C8683" s="612" t="s">
        <v>12699</v>
      </c>
      <c r="D8683" s="612" t="s">
        <v>12700</v>
      </c>
      <c r="E8683" s="637" t="s">
        <v>12702</v>
      </c>
      <c r="F8683" s="801" t="s">
        <v>12704</v>
      </c>
      <c r="G8683" s="801"/>
      <c r="H8683" s="801" t="s">
        <v>13678</v>
      </c>
      <c r="I8683" s="801"/>
      <c r="J8683" s="801" t="s">
        <v>12705</v>
      </c>
      <c r="K8683" s="801"/>
      <c r="L8683" s="801"/>
    </row>
    <row r="8684" spans="1:12" ht="17.100000000000001" customHeight="1">
      <c r="A8684" s="626" t="s">
        <v>12709</v>
      </c>
      <c r="B8684" s="627" t="s">
        <v>13370</v>
      </c>
      <c r="C8684" s="626" t="s">
        <v>8</v>
      </c>
      <c r="D8684" s="626" t="s">
        <v>9418</v>
      </c>
      <c r="E8684" s="628" t="s">
        <v>35</v>
      </c>
      <c r="F8684" s="816" t="s">
        <v>13786</v>
      </c>
      <c r="G8684" s="816"/>
      <c r="H8684" s="816">
        <v>8.9999999999999993E-3</v>
      </c>
      <c r="I8684" s="816"/>
      <c r="J8684" s="817">
        <v>0.03</v>
      </c>
      <c r="K8684" s="817"/>
      <c r="L8684" s="817"/>
    </row>
    <row r="8685" spans="1:12" ht="38.25">
      <c r="A8685" s="626" t="s">
        <v>12709</v>
      </c>
      <c r="B8685" s="627" t="s">
        <v>13422</v>
      </c>
      <c r="C8685" s="626" t="s">
        <v>8</v>
      </c>
      <c r="D8685" s="626" t="s">
        <v>7974</v>
      </c>
      <c r="E8685" s="628" t="s">
        <v>17</v>
      </c>
      <c r="F8685" s="816" t="s">
        <v>13951</v>
      </c>
      <c r="G8685" s="816"/>
      <c r="H8685" s="816">
        <v>1.19</v>
      </c>
      <c r="I8685" s="816"/>
      <c r="J8685" s="817">
        <v>3.57</v>
      </c>
      <c r="K8685" s="817"/>
      <c r="L8685" s="817"/>
    </row>
    <row r="8686" spans="1:12" ht="17.100000000000001" customHeight="1">
      <c r="A8686" s="636"/>
      <c r="B8686" s="636"/>
      <c r="C8686" s="636"/>
      <c r="D8686" s="636"/>
      <c r="E8686" s="636"/>
      <c r="F8686" s="636"/>
      <c r="G8686" s="636"/>
      <c r="H8686" s="636"/>
      <c r="I8686" s="636"/>
      <c r="J8686" s="636" t="s">
        <v>13675</v>
      </c>
      <c r="K8686" s="636"/>
      <c r="L8686" s="636" t="s">
        <v>13986</v>
      </c>
    </row>
    <row r="8687" spans="1:12" ht="24" customHeight="1">
      <c r="A8687" s="802" t="s">
        <v>12722</v>
      </c>
      <c r="B8687" s="802"/>
      <c r="C8687" s="802"/>
      <c r="D8687" s="802"/>
      <c r="E8687" s="802"/>
      <c r="F8687" s="802"/>
      <c r="G8687" s="802"/>
      <c r="H8687" s="802"/>
      <c r="I8687" s="612"/>
      <c r="J8687" s="612"/>
      <c r="K8687" s="612"/>
      <c r="L8687" s="612"/>
    </row>
    <row r="8688" spans="1:12" ht="17.100000000000001" customHeight="1">
      <c r="A8688" s="612" t="s">
        <v>13679</v>
      </c>
      <c r="B8688" s="636" t="s">
        <v>12698</v>
      </c>
      <c r="C8688" s="612" t="s">
        <v>12699</v>
      </c>
      <c r="D8688" s="612" t="s">
        <v>12700</v>
      </c>
      <c r="E8688" s="637" t="s">
        <v>12702</v>
      </c>
      <c r="F8688" s="801" t="s">
        <v>12704</v>
      </c>
      <c r="G8688" s="801"/>
      <c r="H8688" s="801" t="s">
        <v>13678</v>
      </c>
      <c r="I8688" s="801"/>
      <c r="J8688" s="801" t="s">
        <v>12705</v>
      </c>
      <c r="K8688" s="801"/>
      <c r="L8688" s="801"/>
    </row>
    <row r="8689" spans="1:12" ht="25.5">
      <c r="A8689" s="626" t="s">
        <v>12709</v>
      </c>
      <c r="B8689" s="627" t="s">
        <v>12998</v>
      </c>
      <c r="C8689" s="626" t="s">
        <v>8</v>
      </c>
      <c r="D8689" s="626" t="s">
        <v>11861</v>
      </c>
      <c r="E8689" s="628" t="s">
        <v>23</v>
      </c>
      <c r="F8689" s="816" t="s">
        <v>13683</v>
      </c>
      <c r="G8689" s="816"/>
      <c r="H8689" s="816">
        <v>7.8906500000000004E-2</v>
      </c>
      <c r="I8689" s="816"/>
      <c r="J8689" s="817">
        <v>5.6000000000000001E-2</v>
      </c>
      <c r="K8689" s="817"/>
      <c r="L8689" s="817"/>
    </row>
    <row r="8690" spans="1:12" ht="17.100000000000001" customHeight="1">
      <c r="A8690" s="636"/>
      <c r="B8690" s="636"/>
      <c r="C8690" s="636"/>
      <c r="D8690" s="636"/>
      <c r="E8690" s="636"/>
      <c r="F8690" s="636"/>
      <c r="G8690" s="636"/>
      <c r="H8690" s="636"/>
      <c r="I8690" s="636"/>
      <c r="J8690" s="636" t="s">
        <v>13675</v>
      </c>
      <c r="K8690" s="636"/>
      <c r="L8690" s="636" t="s">
        <v>13708</v>
      </c>
    </row>
    <row r="8691" spans="1:12" ht="24" customHeight="1">
      <c r="A8691" s="802" t="s">
        <v>12713</v>
      </c>
      <c r="B8691" s="802"/>
      <c r="C8691" s="802"/>
      <c r="D8691" s="802"/>
      <c r="E8691" s="802"/>
      <c r="F8691" s="802"/>
      <c r="G8691" s="802"/>
      <c r="H8691" s="802"/>
      <c r="I8691" s="612"/>
      <c r="J8691" s="612"/>
      <c r="K8691" s="612"/>
      <c r="L8691" s="612"/>
    </row>
    <row r="8692" spans="1:12" ht="17.100000000000001" customHeight="1">
      <c r="A8692" s="612" t="s">
        <v>13679</v>
      </c>
      <c r="B8692" s="636" t="s">
        <v>12698</v>
      </c>
      <c r="C8692" s="612" t="s">
        <v>12699</v>
      </c>
      <c r="D8692" s="612" t="s">
        <v>12700</v>
      </c>
      <c r="E8692" s="637" t="s">
        <v>12702</v>
      </c>
      <c r="F8692" s="801" t="s">
        <v>12704</v>
      </c>
      <c r="G8692" s="801"/>
      <c r="H8692" s="801" t="s">
        <v>13678</v>
      </c>
      <c r="I8692" s="801"/>
      <c r="J8692" s="801" t="s">
        <v>12705</v>
      </c>
      <c r="K8692" s="801"/>
      <c r="L8692" s="801"/>
    </row>
    <row r="8693" spans="1:12" ht="25.5">
      <c r="A8693" s="626" t="s">
        <v>12709</v>
      </c>
      <c r="B8693" s="627" t="s">
        <v>12999</v>
      </c>
      <c r="C8693" s="626" t="s">
        <v>8</v>
      </c>
      <c r="D8693" s="626" t="s">
        <v>11251</v>
      </c>
      <c r="E8693" s="628" t="s">
        <v>23</v>
      </c>
      <c r="F8693" s="816" t="s">
        <v>13681</v>
      </c>
      <c r="G8693" s="816"/>
      <c r="H8693" s="816">
        <v>7.8906500000000004E-2</v>
      </c>
      <c r="I8693" s="816"/>
      <c r="J8693" s="817">
        <v>5.4999999999999997E-3</v>
      </c>
      <c r="K8693" s="817"/>
      <c r="L8693" s="817"/>
    </row>
    <row r="8694" spans="1:12" ht="17.100000000000001" customHeight="1">
      <c r="A8694" s="636"/>
      <c r="B8694" s="636"/>
      <c r="C8694" s="636"/>
      <c r="D8694" s="636"/>
      <c r="E8694" s="636"/>
      <c r="F8694" s="636"/>
      <c r="G8694" s="636"/>
      <c r="H8694" s="636"/>
      <c r="I8694" s="636"/>
      <c r="J8694" s="636" t="s">
        <v>13675</v>
      </c>
      <c r="K8694" s="636"/>
      <c r="L8694" s="636" t="s">
        <v>13728</v>
      </c>
    </row>
    <row r="8695" spans="1:12" ht="24" customHeight="1">
      <c r="A8695" s="802" t="s">
        <v>12712</v>
      </c>
      <c r="B8695" s="802"/>
      <c r="C8695" s="802"/>
      <c r="D8695" s="802"/>
      <c r="E8695" s="802"/>
      <c r="F8695" s="802"/>
      <c r="G8695" s="802"/>
      <c r="H8695" s="802"/>
      <c r="I8695" s="612"/>
      <c r="J8695" s="612"/>
      <c r="K8695" s="612"/>
      <c r="L8695" s="612"/>
    </row>
    <row r="8696" spans="1:12" ht="24" customHeight="1">
      <c r="A8696" s="612" t="s">
        <v>13679</v>
      </c>
      <c r="B8696" s="636" t="s">
        <v>12698</v>
      </c>
      <c r="C8696" s="612" t="s">
        <v>12699</v>
      </c>
      <c r="D8696" s="612" t="s">
        <v>12700</v>
      </c>
      <c r="E8696" s="637" t="s">
        <v>12702</v>
      </c>
      <c r="F8696" s="801" t="s">
        <v>12704</v>
      </c>
      <c r="G8696" s="801"/>
      <c r="H8696" s="801" t="s">
        <v>13678</v>
      </c>
      <c r="I8696" s="801"/>
      <c r="J8696" s="801" t="s">
        <v>12705</v>
      </c>
      <c r="K8696" s="801"/>
      <c r="L8696" s="801"/>
    </row>
    <row r="8697" spans="1:12" ht="17.100000000000001" customHeight="1">
      <c r="A8697" s="626" t="s">
        <v>12709</v>
      </c>
      <c r="B8697" s="627" t="s">
        <v>13002</v>
      </c>
      <c r="C8697" s="626" t="s">
        <v>8</v>
      </c>
      <c r="D8697" s="626" t="s">
        <v>9306</v>
      </c>
      <c r="E8697" s="628" t="s">
        <v>23</v>
      </c>
      <c r="F8697" s="816" t="s">
        <v>13677</v>
      </c>
      <c r="G8697" s="816"/>
      <c r="H8697" s="816">
        <v>7.8906500000000004E-2</v>
      </c>
      <c r="I8697" s="816"/>
      <c r="J8697" s="817">
        <v>2.76E-2</v>
      </c>
      <c r="K8697" s="817"/>
      <c r="L8697" s="817"/>
    </row>
    <row r="8698" spans="1:12" ht="17.100000000000001" customHeight="1">
      <c r="A8698" s="626" t="s">
        <v>12709</v>
      </c>
      <c r="B8698" s="627" t="s">
        <v>13004</v>
      </c>
      <c r="C8698" s="626" t="s">
        <v>8</v>
      </c>
      <c r="D8698" s="626" t="s">
        <v>7388</v>
      </c>
      <c r="E8698" s="628" t="s">
        <v>23</v>
      </c>
      <c r="F8698" s="816" t="s">
        <v>13676</v>
      </c>
      <c r="G8698" s="816"/>
      <c r="H8698" s="816">
        <v>7.8906500000000004E-2</v>
      </c>
      <c r="I8698" s="816"/>
      <c r="J8698" s="817">
        <v>0.1736</v>
      </c>
      <c r="K8698" s="817"/>
      <c r="L8698" s="817"/>
    </row>
    <row r="8699" spans="1:12" ht="17.100000000000001" customHeight="1">
      <c r="A8699" s="636"/>
      <c r="B8699" s="636"/>
      <c r="C8699" s="636"/>
      <c r="D8699" s="636"/>
      <c r="E8699" s="636"/>
      <c r="F8699" s="636"/>
      <c r="G8699" s="636"/>
      <c r="H8699" s="636"/>
      <c r="I8699" s="636"/>
      <c r="J8699" s="636" t="s">
        <v>13675</v>
      </c>
      <c r="K8699" s="636"/>
      <c r="L8699" s="636" t="s">
        <v>13855</v>
      </c>
    </row>
    <row r="8700" spans="1:12" ht="17.100000000000001" customHeight="1">
      <c r="A8700" s="612" t="s">
        <v>13673</v>
      </c>
      <c r="B8700" s="612"/>
      <c r="C8700" s="612"/>
      <c r="D8700" s="612"/>
      <c r="E8700" s="612"/>
      <c r="F8700" s="612"/>
      <c r="G8700" s="612"/>
      <c r="H8700" s="612"/>
      <c r="I8700" s="612"/>
      <c r="J8700" s="612"/>
      <c r="K8700" s="612"/>
      <c r="L8700" s="612"/>
    </row>
    <row r="8701" spans="1:12" ht="17.100000000000001" customHeight="1">
      <c r="A8701" s="636"/>
      <c r="B8701" s="636"/>
      <c r="C8701" s="636"/>
      <c r="D8701" s="636"/>
      <c r="E8701" s="636"/>
      <c r="F8701" s="636"/>
      <c r="G8701" s="636"/>
      <c r="H8701" s="636"/>
      <c r="I8701" s="636"/>
      <c r="J8701" s="636" t="s">
        <v>13672</v>
      </c>
      <c r="K8701" s="636"/>
      <c r="L8701" s="636" t="s">
        <v>15540</v>
      </c>
    </row>
    <row r="8702" spans="1:12" ht="17.100000000000001" customHeight="1">
      <c r="A8702" s="636"/>
      <c r="B8702" s="636"/>
      <c r="C8702" s="636"/>
      <c r="D8702" s="636"/>
      <c r="E8702" s="636"/>
      <c r="F8702" s="636"/>
      <c r="G8702" s="636"/>
      <c r="H8702" s="636"/>
      <c r="I8702" s="636"/>
      <c r="J8702" s="636" t="s">
        <v>13671</v>
      </c>
      <c r="K8702" s="636" t="s">
        <v>14461</v>
      </c>
      <c r="L8702" s="636" t="s">
        <v>15541</v>
      </c>
    </row>
    <row r="8703" spans="1:12" ht="17.100000000000001" customHeight="1">
      <c r="A8703" s="636"/>
      <c r="B8703" s="636"/>
      <c r="C8703" s="636"/>
      <c r="D8703" s="636"/>
      <c r="E8703" s="636"/>
      <c r="F8703" s="636"/>
      <c r="G8703" s="636"/>
      <c r="H8703" s="636"/>
      <c r="I8703" s="636"/>
      <c r="J8703" s="636" t="s">
        <v>13670</v>
      </c>
      <c r="K8703" s="636"/>
      <c r="L8703" s="636" t="s">
        <v>15542</v>
      </c>
    </row>
    <row r="8704" spans="1:12" ht="30" customHeight="1">
      <c r="A8704" s="636"/>
      <c r="B8704" s="636"/>
      <c r="C8704" s="636"/>
      <c r="D8704" s="636"/>
      <c r="E8704" s="636"/>
      <c r="F8704" s="636"/>
      <c r="G8704" s="636"/>
      <c r="H8704" s="636"/>
      <c r="I8704" s="636"/>
      <c r="J8704" s="636" t="s">
        <v>13669</v>
      </c>
      <c r="K8704" s="636" t="s">
        <v>13667</v>
      </c>
      <c r="L8704" s="636" t="s">
        <v>15543</v>
      </c>
    </row>
    <row r="8705" spans="1:12" ht="36" customHeight="1">
      <c r="A8705" s="636"/>
      <c r="B8705" s="636"/>
      <c r="C8705" s="636"/>
      <c r="D8705" s="636"/>
      <c r="E8705" s="636"/>
      <c r="F8705" s="636"/>
      <c r="G8705" s="636"/>
      <c r="H8705" s="636"/>
      <c r="I8705" s="636"/>
      <c r="J8705" s="636" t="s">
        <v>13668</v>
      </c>
      <c r="K8705" s="636"/>
      <c r="L8705" s="636" t="s">
        <v>15544</v>
      </c>
    </row>
    <row r="8706" spans="1:12" ht="14.25" customHeight="1">
      <c r="A8706" s="637"/>
      <c r="B8706" s="637"/>
      <c r="C8706" s="637"/>
      <c r="D8706" s="637"/>
      <c r="E8706" s="637"/>
      <c r="F8706" s="637"/>
      <c r="G8706" s="637"/>
      <c r="H8706" s="637"/>
      <c r="I8706" s="637"/>
      <c r="J8706" s="637"/>
      <c r="K8706" s="637"/>
      <c r="L8706" s="637"/>
    </row>
    <row r="8707" spans="1:12" ht="17.100000000000001" customHeight="1">
      <c r="A8707" s="616" t="s">
        <v>13916</v>
      </c>
      <c r="B8707" s="617" t="s">
        <v>13421</v>
      </c>
      <c r="C8707" s="616" t="s">
        <v>8</v>
      </c>
      <c r="D8707" s="616" t="s">
        <v>3112</v>
      </c>
      <c r="E8707" s="618" t="s">
        <v>17</v>
      </c>
      <c r="F8707" s="617"/>
      <c r="G8707" s="617"/>
      <c r="H8707" s="617"/>
      <c r="I8707" s="617"/>
      <c r="J8707" s="617"/>
      <c r="K8707" s="617"/>
      <c r="L8707" s="617"/>
    </row>
    <row r="8708" spans="1:12" ht="24" customHeight="1">
      <c r="A8708" s="802" t="s">
        <v>12711</v>
      </c>
      <c r="B8708" s="802"/>
      <c r="C8708" s="802"/>
      <c r="D8708" s="802"/>
      <c r="E8708" s="802"/>
      <c r="F8708" s="802"/>
      <c r="G8708" s="802"/>
      <c r="H8708" s="802"/>
      <c r="I8708" s="612"/>
      <c r="J8708" s="612"/>
      <c r="K8708" s="612"/>
      <c r="L8708" s="612"/>
    </row>
    <row r="8709" spans="1:12" ht="24" customHeight="1">
      <c r="A8709" s="612" t="s">
        <v>13679</v>
      </c>
      <c r="B8709" s="636" t="s">
        <v>12698</v>
      </c>
      <c r="C8709" s="612" t="s">
        <v>12699</v>
      </c>
      <c r="D8709" s="612" t="s">
        <v>12700</v>
      </c>
      <c r="E8709" s="637" t="s">
        <v>12702</v>
      </c>
      <c r="F8709" s="801" t="s">
        <v>12704</v>
      </c>
      <c r="G8709" s="801"/>
      <c r="H8709" s="801" t="s">
        <v>13678</v>
      </c>
      <c r="I8709" s="801"/>
      <c r="J8709" s="801" t="s">
        <v>12705</v>
      </c>
      <c r="K8709" s="801"/>
      <c r="L8709" s="801"/>
    </row>
    <row r="8710" spans="1:12" ht="17.100000000000001" customHeight="1">
      <c r="A8710" s="626" t="s">
        <v>12709</v>
      </c>
      <c r="B8710" s="627" t="s">
        <v>13134</v>
      </c>
      <c r="C8710" s="626" t="s">
        <v>8</v>
      </c>
      <c r="D8710" s="626" t="s">
        <v>9219</v>
      </c>
      <c r="E8710" s="628" t="s">
        <v>23</v>
      </c>
      <c r="F8710" s="816" t="s">
        <v>13782</v>
      </c>
      <c r="G8710" s="816"/>
      <c r="H8710" s="816">
        <v>0.1719926</v>
      </c>
      <c r="I8710" s="816"/>
      <c r="J8710" s="817">
        <v>0.16</v>
      </c>
      <c r="K8710" s="817"/>
      <c r="L8710" s="817"/>
    </row>
    <row r="8711" spans="1:12" ht="14.25" customHeight="1">
      <c r="A8711" s="626" t="s">
        <v>12709</v>
      </c>
      <c r="B8711" s="627" t="s">
        <v>13133</v>
      </c>
      <c r="C8711" s="626" t="s">
        <v>8</v>
      </c>
      <c r="D8711" s="626" t="s">
        <v>9366</v>
      </c>
      <c r="E8711" s="628" t="s">
        <v>23</v>
      </c>
      <c r="F8711" s="816" t="s">
        <v>13781</v>
      </c>
      <c r="G8711" s="816"/>
      <c r="H8711" s="816">
        <v>0.1719926</v>
      </c>
      <c r="I8711" s="816"/>
      <c r="J8711" s="817">
        <v>9.4600000000000004E-2</v>
      </c>
      <c r="K8711" s="817"/>
      <c r="L8711" s="817"/>
    </row>
    <row r="8712" spans="1:12" ht="17.100000000000001" customHeight="1">
      <c r="A8712" s="636"/>
      <c r="B8712" s="636"/>
      <c r="C8712" s="636"/>
      <c r="D8712" s="636"/>
      <c r="E8712" s="636"/>
      <c r="F8712" s="636"/>
      <c r="G8712" s="636"/>
      <c r="H8712" s="636"/>
      <c r="I8712" s="636"/>
      <c r="J8712" s="636" t="s">
        <v>13675</v>
      </c>
      <c r="K8712" s="636"/>
      <c r="L8712" s="636" t="s">
        <v>13915</v>
      </c>
    </row>
    <row r="8713" spans="1:12" ht="24" customHeight="1">
      <c r="A8713" s="802" t="s">
        <v>12710</v>
      </c>
      <c r="B8713" s="802"/>
      <c r="C8713" s="802"/>
      <c r="D8713" s="802"/>
      <c r="E8713" s="802"/>
      <c r="F8713" s="802"/>
      <c r="G8713" s="802"/>
      <c r="H8713" s="802"/>
      <c r="I8713" s="612"/>
      <c r="J8713" s="612"/>
      <c r="K8713" s="612"/>
      <c r="L8713" s="612"/>
    </row>
    <row r="8714" spans="1:12" ht="24" customHeight="1">
      <c r="A8714" s="612" t="s">
        <v>13679</v>
      </c>
      <c r="B8714" s="636" t="s">
        <v>12698</v>
      </c>
      <c r="C8714" s="612" t="s">
        <v>12699</v>
      </c>
      <c r="D8714" s="612" t="s">
        <v>12700</v>
      </c>
      <c r="E8714" s="637" t="s">
        <v>12702</v>
      </c>
      <c r="F8714" s="801" t="s">
        <v>12704</v>
      </c>
      <c r="G8714" s="801"/>
      <c r="H8714" s="801" t="s">
        <v>13678</v>
      </c>
      <c r="I8714" s="801"/>
      <c r="J8714" s="801" t="s">
        <v>12705</v>
      </c>
      <c r="K8714" s="801"/>
      <c r="L8714" s="801"/>
    </row>
    <row r="8715" spans="1:12" ht="17.100000000000001" customHeight="1">
      <c r="A8715" s="626" t="s">
        <v>12709</v>
      </c>
      <c r="B8715" s="627" t="s">
        <v>13222</v>
      </c>
      <c r="C8715" s="626" t="s">
        <v>8</v>
      </c>
      <c r="D8715" s="626" t="s">
        <v>7364</v>
      </c>
      <c r="E8715" s="628" t="s">
        <v>23</v>
      </c>
      <c r="F8715" s="816" t="s">
        <v>13808</v>
      </c>
      <c r="G8715" s="816"/>
      <c r="H8715" s="816">
        <v>8.8841199999999995E-2</v>
      </c>
      <c r="I8715" s="816"/>
      <c r="J8715" s="817">
        <v>0.44600000000000001</v>
      </c>
      <c r="K8715" s="817"/>
      <c r="L8715" s="817"/>
    </row>
    <row r="8716" spans="1:12" ht="25.5">
      <c r="A8716" s="626" t="s">
        <v>12709</v>
      </c>
      <c r="B8716" s="627" t="s">
        <v>13204</v>
      </c>
      <c r="C8716" s="626" t="s">
        <v>8</v>
      </c>
      <c r="D8716" s="626" t="s">
        <v>9112</v>
      </c>
      <c r="E8716" s="628" t="s">
        <v>23</v>
      </c>
      <c r="F8716" s="816" t="s">
        <v>14479</v>
      </c>
      <c r="G8716" s="816"/>
      <c r="H8716" s="816">
        <v>8.8841199999999995E-2</v>
      </c>
      <c r="I8716" s="816"/>
      <c r="J8716" s="817">
        <v>0.63519999999999999</v>
      </c>
      <c r="K8716" s="817"/>
      <c r="L8716" s="817"/>
    </row>
    <row r="8717" spans="1:12" ht="17.100000000000001" customHeight="1">
      <c r="A8717" s="636"/>
      <c r="B8717" s="636"/>
      <c r="C8717" s="636"/>
      <c r="D8717" s="636"/>
      <c r="E8717" s="636"/>
      <c r="F8717" s="636"/>
      <c r="G8717" s="636"/>
      <c r="H8717" s="636"/>
      <c r="I8717" s="636"/>
      <c r="J8717" s="636" t="s">
        <v>13675</v>
      </c>
      <c r="K8717" s="636"/>
      <c r="L8717" s="636" t="s">
        <v>13741</v>
      </c>
    </row>
    <row r="8718" spans="1:12" ht="24" customHeight="1">
      <c r="A8718" s="802" t="s">
        <v>12720</v>
      </c>
      <c r="B8718" s="802"/>
      <c r="C8718" s="802"/>
      <c r="D8718" s="802"/>
      <c r="E8718" s="802"/>
      <c r="F8718" s="802"/>
      <c r="G8718" s="802"/>
      <c r="H8718" s="802"/>
      <c r="I8718" s="612"/>
      <c r="J8718" s="612"/>
      <c r="K8718" s="612"/>
      <c r="L8718" s="612"/>
    </row>
    <row r="8719" spans="1:12" ht="36" customHeight="1">
      <c r="A8719" s="612" t="s">
        <v>13679</v>
      </c>
      <c r="B8719" s="636" t="s">
        <v>12698</v>
      </c>
      <c r="C8719" s="612" t="s">
        <v>12699</v>
      </c>
      <c r="D8719" s="612" t="s">
        <v>12700</v>
      </c>
      <c r="E8719" s="637" t="s">
        <v>12702</v>
      </c>
      <c r="F8719" s="801" t="s">
        <v>12704</v>
      </c>
      <c r="G8719" s="801"/>
      <c r="H8719" s="801" t="s">
        <v>13678</v>
      </c>
      <c r="I8719" s="801"/>
      <c r="J8719" s="801" t="s">
        <v>12705</v>
      </c>
      <c r="K8719" s="801"/>
      <c r="L8719" s="801"/>
    </row>
    <row r="8720" spans="1:12" ht="24" customHeight="1">
      <c r="A8720" s="626" t="s">
        <v>12709</v>
      </c>
      <c r="B8720" s="627" t="s">
        <v>13370</v>
      </c>
      <c r="C8720" s="626" t="s">
        <v>8</v>
      </c>
      <c r="D8720" s="626" t="s">
        <v>9418</v>
      </c>
      <c r="E8720" s="628" t="s">
        <v>35</v>
      </c>
      <c r="F8720" s="816" t="s">
        <v>13786</v>
      </c>
      <c r="G8720" s="816"/>
      <c r="H8720" s="816">
        <v>8.9999999999999993E-3</v>
      </c>
      <c r="I8720" s="816"/>
      <c r="J8720" s="817">
        <v>0.03</v>
      </c>
      <c r="K8720" s="817"/>
      <c r="L8720" s="817"/>
    </row>
    <row r="8721" spans="1:12" ht="17.100000000000001" customHeight="1">
      <c r="A8721" s="626" t="s">
        <v>12709</v>
      </c>
      <c r="B8721" s="627" t="s">
        <v>13420</v>
      </c>
      <c r="C8721" s="626" t="s">
        <v>8</v>
      </c>
      <c r="D8721" s="626" t="s">
        <v>7976</v>
      </c>
      <c r="E8721" s="628" t="s">
        <v>17</v>
      </c>
      <c r="F8721" s="816" t="s">
        <v>14588</v>
      </c>
      <c r="G8721" s="816"/>
      <c r="H8721" s="816">
        <v>1.0149999999999999</v>
      </c>
      <c r="I8721" s="816"/>
      <c r="J8721" s="817">
        <v>30.63</v>
      </c>
      <c r="K8721" s="817"/>
      <c r="L8721" s="817"/>
    </row>
    <row r="8722" spans="1:12">
      <c r="A8722" s="636"/>
      <c r="B8722" s="636"/>
      <c r="C8722" s="636"/>
      <c r="D8722" s="636"/>
      <c r="E8722" s="636"/>
      <c r="F8722" s="636"/>
      <c r="G8722" s="636"/>
      <c r="H8722" s="636"/>
      <c r="I8722" s="636"/>
      <c r="J8722" s="636" t="s">
        <v>13675</v>
      </c>
      <c r="K8722" s="636"/>
      <c r="L8722" s="636" t="s">
        <v>14587</v>
      </c>
    </row>
    <row r="8723" spans="1:12" ht="17.100000000000001" customHeight="1">
      <c r="A8723" s="802" t="s">
        <v>12722</v>
      </c>
      <c r="B8723" s="802"/>
      <c r="C8723" s="802"/>
      <c r="D8723" s="802"/>
      <c r="E8723" s="802"/>
      <c r="F8723" s="802"/>
      <c r="G8723" s="802"/>
      <c r="H8723" s="802"/>
      <c r="I8723" s="612"/>
      <c r="J8723" s="612"/>
      <c r="K8723" s="612"/>
      <c r="L8723" s="612"/>
    </row>
    <row r="8724" spans="1:12" ht="24" customHeight="1">
      <c r="A8724" s="612" t="s">
        <v>13679</v>
      </c>
      <c r="B8724" s="636" t="s">
        <v>12698</v>
      </c>
      <c r="C8724" s="612" t="s">
        <v>12699</v>
      </c>
      <c r="D8724" s="612" t="s">
        <v>12700</v>
      </c>
      <c r="E8724" s="637" t="s">
        <v>12702</v>
      </c>
      <c r="F8724" s="801" t="s">
        <v>12704</v>
      </c>
      <c r="G8724" s="801"/>
      <c r="H8724" s="801" t="s">
        <v>13678</v>
      </c>
      <c r="I8724" s="801"/>
      <c r="J8724" s="801" t="s">
        <v>12705</v>
      </c>
      <c r="K8724" s="801"/>
      <c r="L8724" s="801"/>
    </row>
    <row r="8725" spans="1:12" ht="17.100000000000001" customHeight="1">
      <c r="A8725" s="626" t="s">
        <v>12709</v>
      </c>
      <c r="B8725" s="627" t="s">
        <v>12998</v>
      </c>
      <c r="C8725" s="626" t="s">
        <v>8</v>
      </c>
      <c r="D8725" s="626" t="s">
        <v>11861</v>
      </c>
      <c r="E8725" s="628" t="s">
        <v>23</v>
      </c>
      <c r="F8725" s="816" t="s">
        <v>13683</v>
      </c>
      <c r="G8725" s="816"/>
      <c r="H8725" s="816">
        <v>0.1719926</v>
      </c>
      <c r="I8725" s="816"/>
      <c r="J8725" s="817">
        <v>0.1221</v>
      </c>
      <c r="K8725" s="817"/>
      <c r="L8725" s="817"/>
    </row>
    <row r="8726" spans="1:12">
      <c r="A8726" s="636"/>
      <c r="B8726" s="636"/>
      <c r="C8726" s="636"/>
      <c r="D8726" s="636"/>
      <c r="E8726" s="636"/>
      <c r="F8726" s="636"/>
      <c r="G8726" s="636"/>
      <c r="H8726" s="636"/>
      <c r="I8726" s="636"/>
      <c r="J8726" s="636" t="s">
        <v>13675</v>
      </c>
      <c r="K8726" s="636"/>
      <c r="L8726" s="636" t="s">
        <v>13751</v>
      </c>
    </row>
    <row r="8727" spans="1:12" ht="17.100000000000001" customHeight="1">
      <c r="A8727" s="802" t="s">
        <v>12713</v>
      </c>
      <c r="B8727" s="802"/>
      <c r="C8727" s="802"/>
      <c r="D8727" s="802"/>
      <c r="E8727" s="802"/>
      <c r="F8727" s="802"/>
      <c r="G8727" s="802"/>
      <c r="H8727" s="802"/>
      <c r="I8727" s="612"/>
      <c r="J8727" s="612"/>
      <c r="K8727" s="612"/>
      <c r="L8727" s="612"/>
    </row>
    <row r="8728" spans="1:12" ht="24" customHeight="1">
      <c r="A8728" s="612" t="s">
        <v>13679</v>
      </c>
      <c r="B8728" s="636" t="s">
        <v>12698</v>
      </c>
      <c r="C8728" s="612" t="s">
        <v>12699</v>
      </c>
      <c r="D8728" s="612" t="s">
        <v>12700</v>
      </c>
      <c r="E8728" s="637" t="s">
        <v>12702</v>
      </c>
      <c r="F8728" s="801" t="s">
        <v>12704</v>
      </c>
      <c r="G8728" s="801"/>
      <c r="H8728" s="801" t="s">
        <v>13678</v>
      </c>
      <c r="I8728" s="801"/>
      <c r="J8728" s="801" t="s">
        <v>12705</v>
      </c>
      <c r="K8728" s="801"/>
      <c r="L8728" s="801"/>
    </row>
    <row r="8729" spans="1:12" ht="17.100000000000001" customHeight="1">
      <c r="A8729" s="626" t="s">
        <v>12709</v>
      </c>
      <c r="B8729" s="627" t="s">
        <v>12999</v>
      </c>
      <c r="C8729" s="626" t="s">
        <v>8</v>
      </c>
      <c r="D8729" s="626" t="s">
        <v>11251</v>
      </c>
      <c r="E8729" s="628" t="s">
        <v>23</v>
      </c>
      <c r="F8729" s="816" t="s">
        <v>13681</v>
      </c>
      <c r="G8729" s="816"/>
      <c r="H8729" s="816">
        <v>0.1719926</v>
      </c>
      <c r="I8729" s="816"/>
      <c r="J8729" s="817">
        <v>1.2E-2</v>
      </c>
      <c r="K8729" s="817"/>
      <c r="L8729" s="817"/>
    </row>
    <row r="8730" spans="1:12">
      <c r="A8730" s="636"/>
      <c r="B8730" s="636"/>
      <c r="C8730" s="636"/>
      <c r="D8730" s="636"/>
      <c r="E8730" s="636"/>
      <c r="F8730" s="636"/>
      <c r="G8730" s="636"/>
      <c r="H8730" s="636"/>
      <c r="I8730" s="636"/>
      <c r="J8730" s="636" t="s">
        <v>13675</v>
      </c>
      <c r="K8730" s="636"/>
      <c r="L8730" s="636" t="s">
        <v>13728</v>
      </c>
    </row>
    <row r="8731" spans="1:12" ht="17.100000000000001" customHeight="1">
      <c r="A8731" s="802" t="s">
        <v>12712</v>
      </c>
      <c r="B8731" s="802"/>
      <c r="C8731" s="802"/>
      <c r="D8731" s="802"/>
      <c r="E8731" s="802"/>
      <c r="F8731" s="802"/>
      <c r="G8731" s="802"/>
      <c r="H8731" s="802"/>
      <c r="I8731" s="612"/>
      <c r="J8731" s="612"/>
      <c r="K8731" s="612"/>
      <c r="L8731" s="612"/>
    </row>
    <row r="8732" spans="1:12" ht="24" customHeight="1">
      <c r="A8732" s="612" t="s">
        <v>13679</v>
      </c>
      <c r="B8732" s="636" t="s">
        <v>12698</v>
      </c>
      <c r="C8732" s="612" t="s">
        <v>12699</v>
      </c>
      <c r="D8732" s="612" t="s">
        <v>12700</v>
      </c>
      <c r="E8732" s="637" t="s">
        <v>12702</v>
      </c>
      <c r="F8732" s="801" t="s">
        <v>12704</v>
      </c>
      <c r="G8732" s="801"/>
      <c r="H8732" s="801" t="s">
        <v>13678</v>
      </c>
      <c r="I8732" s="801"/>
      <c r="J8732" s="801" t="s">
        <v>12705</v>
      </c>
      <c r="K8732" s="801"/>
      <c r="L8732" s="801"/>
    </row>
    <row r="8733" spans="1:12" ht="24" customHeight="1">
      <c r="A8733" s="626" t="s">
        <v>12709</v>
      </c>
      <c r="B8733" s="627" t="s">
        <v>13002</v>
      </c>
      <c r="C8733" s="626" t="s">
        <v>8</v>
      </c>
      <c r="D8733" s="626" t="s">
        <v>9306</v>
      </c>
      <c r="E8733" s="628" t="s">
        <v>23</v>
      </c>
      <c r="F8733" s="816" t="s">
        <v>13677</v>
      </c>
      <c r="G8733" s="816"/>
      <c r="H8733" s="816">
        <v>0.1719926</v>
      </c>
      <c r="I8733" s="816"/>
      <c r="J8733" s="817">
        <v>6.0199999999999997E-2</v>
      </c>
      <c r="K8733" s="817"/>
      <c r="L8733" s="817"/>
    </row>
    <row r="8734" spans="1:12" ht="17.100000000000001" customHeight="1">
      <c r="A8734" s="626" t="s">
        <v>12709</v>
      </c>
      <c r="B8734" s="627" t="s">
        <v>13004</v>
      </c>
      <c r="C8734" s="626" t="s">
        <v>8</v>
      </c>
      <c r="D8734" s="626" t="s">
        <v>7388</v>
      </c>
      <c r="E8734" s="628" t="s">
        <v>23</v>
      </c>
      <c r="F8734" s="816" t="s">
        <v>13676</v>
      </c>
      <c r="G8734" s="816"/>
      <c r="H8734" s="816">
        <v>0.1719926</v>
      </c>
      <c r="I8734" s="816"/>
      <c r="J8734" s="817">
        <v>0.37840000000000001</v>
      </c>
      <c r="K8734" s="817"/>
      <c r="L8734" s="817"/>
    </row>
    <row r="8735" spans="1:12" ht="17.100000000000001" customHeight="1">
      <c r="A8735" s="636"/>
      <c r="B8735" s="636"/>
      <c r="C8735" s="636"/>
      <c r="D8735" s="636"/>
      <c r="E8735" s="636"/>
      <c r="F8735" s="636"/>
      <c r="G8735" s="636"/>
      <c r="H8735" s="636"/>
      <c r="I8735" s="636"/>
      <c r="J8735" s="636" t="s">
        <v>13675</v>
      </c>
      <c r="K8735" s="636"/>
      <c r="L8735" s="636" t="s">
        <v>13718</v>
      </c>
    </row>
    <row r="8736" spans="1:12" ht="17.100000000000001" customHeight="1">
      <c r="A8736" s="612" t="s">
        <v>13673</v>
      </c>
      <c r="B8736" s="612"/>
      <c r="C8736" s="612"/>
      <c r="D8736" s="612"/>
      <c r="E8736" s="612"/>
      <c r="F8736" s="612"/>
      <c r="G8736" s="612"/>
      <c r="H8736" s="612"/>
      <c r="I8736" s="612"/>
      <c r="J8736" s="612"/>
      <c r="K8736" s="612"/>
      <c r="L8736" s="612"/>
    </row>
    <row r="8737" spans="1:12" ht="17.100000000000001" customHeight="1">
      <c r="A8737" s="636"/>
      <c r="B8737" s="636"/>
      <c r="C8737" s="636"/>
      <c r="D8737" s="636"/>
      <c r="E8737" s="636"/>
      <c r="F8737" s="636"/>
      <c r="G8737" s="636"/>
      <c r="H8737" s="636"/>
      <c r="I8737" s="636"/>
      <c r="J8737" s="636" t="s">
        <v>13672</v>
      </c>
      <c r="K8737" s="636"/>
      <c r="L8737" s="636" t="s">
        <v>15545</v>
      </c>
    </row>
    <row r="8738" spans="1:12" ht="17.100000000000001" customHeight="1">
      <c r="A8738" s="636"/>
      <c r="B8738" s="636"/>
      <c r="C8738" s="636"/>
      <c r="D8738" s="636"/>
      <c r="E8738" s="636"/>
      <c r="F8738" s="636"/>
      <c r="G8738" s="636"/>
      <c r="H8738" s="636"/>
      <c r="I8738" s="636"/>
      <c r="J8738" s="636" t="s">
        <v>13671</v>
      </c>
      <c r="K8738" s="636" t="s">
        <v>14461</v>
      </c>
      <c r="L8738" s="636" t="s">
        <v>15546</v>
      </c>
    </row>
    <row r="8739" spans="1:12" ht="17.100000000000001" customHeight="1">
      <c r="A8739" s="636"/>
      <c r="B8739" s="636"/>
      <c r="C8739" s="636"/>
      <c r="D8739" s="636"/>
      <c r="E8739" s="636"/>
      <c r="F8739" s="636"/>
      <c r="G8739" s="636"/>
      <c r="H8739" s="636"/>
      <c r="I8739" s="636"/>
      <c r="J8739" s="636" t="s">
        <v>13670</v>
      </c>
      <c r="K8739" s="636"/>
      <c r="L8739" s="636" t="s">
        <v>15547</v>
      </c>
    </row>
    <row r="8740" spans="1:12" ht="17.100000000000001" customHeight="1">
      <c r="A8740" s="636"/>
      <c r="B8740" s="636"/>
      <c r="C8740" s="636"/>
      <c r="D8740" s="636"/>
      <c r="E8740" s="636"/>
      <c r="F8740" s="636"/>
      <c r="G8740" s="636"/>
      <c r="H8740" s="636"/>
      <c r="I8740" s="636"/>
      <c r="J8740" s="636" t="s">
        <v>13669</v>
      </c>
      <c r="K8740" s="636" t="s">
        <v>13667</v>
      </c>
      <c r="L8740" s="636" t="s">
        <v>15065</v>
      </c>
    </row>
    <row r="8741" spans="1:12" ht="30" customHeight="1">
      <c r="A8741" s="636"/>
      <c r="B8741" s="636"/>
      <c r="C8741" s="636"/>
      <c r="D8741" s="636"/>
      <c r="E8741" s="636"/>
      <c r="F8741" s="636"/>
      <c r="G8741" s="636"/>
      <c r="H8741" s="636"/>
      <c r="I8741" s="636"/>
      <c r="J8741" s="636" t="s">
        <v>13668</v>
      </c>
      <c r="K8741" s="636"/>
      <c r="L8741" s="636" t="s">
        <v>15548</v>
      </c>
    </row>
    <row r="8742" spans="1:12" ht="36" customHeight="1">
      <c r="A8742" s="637"/>
      <c r="B8742" s="637"/>
      <c r="C8742" s="637"/>
      <c r="D8742" s="637"/>
      <c r="E8742" s="637"/>
      <c r="F8742" s="637"/>
      <c r="G8742" s="637"/>
      <c r="H8742" s="637"/>
      <c r="I8742" s="637"/>
      <c r="J8742" s="637"/>
      <c r="K8742" s="637"/>
      <c r="L8742" s="637"/>
    </row>
    <row r="8743" spans="1:12" ht="14.25" customHeight="1">
      <c r="A8743" s="616" t="s">
        <v>13914</v>
      </c>
      <c r="B8743" s="617" t="s">
        <v>13419</v>
      </c>
      <c r="C8743" s="616" t="s">
        <v>8</v>
      </c>
      <c r="D8743" s="616" t="s">
        <v>3114</v>
      </c>
      <c r="E8743" s="618" t="s">
        <v>17</v>
      </c>
      <c r="F8743" s="617"/>
      <c r="G8743" s="617"/>
      <c r="H8743" s="617"/>
      <c r="I8743" s="617"/>
      <c r="J8743" s="617"/>
      <c r="K8743" s="617"/>
      <c r="L8743" s="617"/>
    </row>
    <row r="8744" spans="1:12" ht="17.100000000000001" customHeight="1">
      <c r="A8744" s="802" t="s">
        <v>12711</v>
      </c>
      <c r="B8744" s="802"/>
      <c r="C8744" s="802"/>
      <c r="D8744" s="802"/>
      <c r="E8744" s="802"/>
      <c r="F8744" s="802"/>
      <c r="G8744" s="802"/>
      <c r="H8744" s="802"/>
      <c r="I8744" s="612"/>
      <c r="J8744" s="612"/>
      <c r="K8744" s="612"/>
      <c r="L8744" s="612"/>
    </row>
    <row r="8745" spans="1:12" ht="24" customHeight="1">
      <c r="A8745" s="612" t="s">
        <v>13679</v>
      </c>
      <c r="B8745" s="636" t="s">
        <v>12698</v>
      </c>
      <c r="C8745" s="612" t="s">
        <v>12699</v>
      </c>
      <c r="D8745" s="612" t="s">
        <v>12700</v>
      </c>
      <c r="E8745" s="637" t="s">
        <v>12702</v>
      </c>
      <c r="F8745" s="801" t="s">
        <v>12704</v>
      </c>
      <c r="G8745" s="801"/>
      <c r="H8745" s="801" t="s">
        <v>13678</v>
      </c>
      <c r="I8745" s="801"/>
      <c r="J8745" s="801" t="s">
        <v>12705</v>
      </c>
      <c r="K8745" s="801"/>
      <c r="L8745" s="801"/>
    </row>
    <row r="8746" spans="1:12" ht="24" customHeight="1">
      <c r="A8746" s="626" t="s">
        <v>12709</v>
      </c>
      <c r="B8746" s="627" t="s">
        <v>13134</v>
      </c>
      <c r="C8746" s="626" t="s">
        <v>8</v>
      </c>
      <c r="D8746" s="626" t="s">
        <v>9219</v>
      </c>
      <c r="E8746" s="628" t="s">
        <v>23</v>
      </c>
      <c r="F8746" s="816" t="s">
        <v>13782</v>
      </c>
      <c r="G8746" s="816"/>
      <c r="H8746" s="816">
        <v>0.2076993</v>
      </c>
      <c r="I8746" s="816"/>
      <c r="J8746" s="817">
        <v>0.19320000000000001</v>
      </c>
      <c r="K8746" s="817"/>
      <c r="L8746" s="817"/>
    </row>
    <row r="8747" spans="1:12" ht="17.100000000000001" customHeight="1">
      <c r="A8747" s="626" t="s">
        <v>12709</v>
      </c>
      <c r="B8747" s="627" t="s">
        <v>13133</v>
      </c>
      <c r="C8747" s="626" t="s">
        <v>8</v>
      </c>
      <c r="D8747" s="626" t="s">
        <v>9366</v>
      </c>
      <c r="E8747" s="628" t="s">
        <v>23</v>
      </c>
      <c r="F8747" s="816" t="s">
        <v>13781</v>
      </c>
      <c r="G8747" s="816"/>
      <c r="H8747" s="816">
        <v>0.2076993</v>
      </c>
      <c r="I8747" s="816"/>
      <c r="J8747" s="817">
        <v>0.1142</v>
      </c>
      <c r="K8747" s="817"/>
      <c r="L8747" s="817"/>
    </row>
    <row r="8748" spans="1:12" ht="14.25" customHeight="1">
      <c r="A8748" s="636"/>
      <c r="B8748" s="636"/>
      <c r="C8748" s="636"/>
      <c r="D8748" s="636"/>
      <c r="E8748" s="636"/>
      <c r="F8748" s="636"/>
      <c r="G8748" s="636"/>
      <c r="H8748" s="636"/>
      <c r="I8748" s="636"/>
      <c r="J8748" s="636" t="s">
        <v>13675</v>
      </c>
      <c r="K8748" s="636"/>
      <c r="L8748" s="636" t="s">
        <v>13913</v>
      </c>
    </row>
    <row r="8749" spans="1:12" ht="17.100000000000001" customHeight="1">
      <c r="A8749" s="802" t="s">
        <v>12710</v>
      </c>
      <c r="B8749" s="802"/>
      <c r="C8749" s="802"/>
      <c r="D8749" s="802"/>
      <c r="E8749" s="802"/>
      <c r="F8749" s="802"/>
      <c r="G8749" s="802"/>
      <c r="H8749" s="802"/>
      <c r="I8749" s="612"/>
      <c r="J8749" s="612"/>
      <c r="K8749" s="612"/>
      <c r="L8749" s="612"/>
    </row>
    <row r="8750" spans="1:12" ht="24" customHeight="1">
      <c r="A8750" s="612" t="s">
        <v>13679</v>
      </c>
      <c r="B8750" s="636" t="s">
        <v>12698</v>
      </c>
      <c r="C8750" s="612" t="s">
        <v>12699</v>
      </c>
      <c r="D8750" s="612" t="s">
        <v>12700</v>
      </c>
      <c r="E8750" s="637" t="s">
        <v>12702</v>
      </c>
      <c r="F8750" s="801" t="s">
        <v>12704</v>
      </c>
      <c r="G8750" s="801"/>
      <c r="H8750" s="801" t="s">
        <v>13678</v>
      </c>
      <c r="I8750" s="801"/>
      <c r="J8750" s="801" t="s">
        <v>12705</v>
      </c>
      <c r="K8750" s="801"/>
      <c r="L8750" s="801"/>
    </row>
    <row r="8751" spans="1:12" ht="24" customHeight="1">
      <c r="A8751" s="626" t="s">
        <v>12709</v>
      </c>
      <c r="B8751" s="627" t="s">
        <v>13222</v>
      </c>
      <c r="C8751" s="626" t="s">
        <v>8</v>
      </c>
      <c r="D8751" s="626" t="s">
        <v>7364</v>
      </c>
      <c r="E8751" s="628" t="s">
        <v>23</v>
      </c>
      <c r="F8751" s="816" t="s">
        <v>13808</v>
      </c>
      <c r="G8751" s="816"/>
      <c r="H8751" s="816">
        <v>0.1070537</v>
      </c>
      <c r="I8751" s="816"/>
      <c r="J8751" s="817">
        <v>0.53739999999999999</v>
      </c>
      <c r="K8751" s="817"/>
      <c r="L8751" s="817"/>
    </row>
    <row r="8752" spans="1:12" ht="17.100000000000001" customHeight="1">
      <c r="A8752" s="626" t="s">
        <v>12709</v>
      </c>
      <c r="B8752" s="627" t="s">
        <v>13204</v>
      </c>
      <c r="C8752" s="626" t="s">
        <v>8</v>
      </c>
      <c r="D8752" s="626" t="s">
        <v>9112</v>
      </c>
      <c r="E8752" s="628" t="s">
        <v>23</v>
      </c>
      <c r="F8752" s="816" t="s">
        <v>14479</v>
      </c>
      <c r="G8752" s="816"/>
      <c r="H8752" s="816">
        <v>0.1070537</v>
      </c>
      <c r="I8752" s="816"/>
      <c r="J8752" s="817">
        <v>0.76539999999999997</v>
      </c>
      <c r="K8752" s="817"/>
      <c r="L8752" s="817"/>
    </row>
    <row r="8753" spans="1:12">
      <c r="A8753" s="636"/>
      <c r="B8753" s="636"/>
      <c r="C8753" s="636"/>
      <c r="D8753" s="636"/>
      <c r="E8753" s="636"/>
      <c r="F8753" s="636"/>
      <c r="G8753" s="636"/>
      <c r="H8753" s="636"/>
      <c r="I8753" s="636"/>
      <c r="J8753" s="636" t="s">
        <v>13675</v>
      </c>
      <c r="K8753" s="636"/>
      <c r="L8753" s="636" t="s">
        <v>13966</v>
      </c>
    </row>
    <row r="8754" spans="1:12" ht="17.100000000000001" customHeight="1">
      <c r="A8754" s="802" t="s">
        <v>12720</v>
      </c>
      <c r="B8754" s="802"/>
      <c r="C8754" s="802"/>
      <c r="D8754" s="802"/>
      <c r="E8754" s="802"/>
      <c r="F8754" s="802"/>
      <c r="G8754" s="802"/>
      <c r="H8754" s="802"/>
      <c r="I8754" s="612"/>
      <c r="J8754" s="612"/>
      <c r="K8754" s="612"/>
      <c r="L8754" s="612"/>
    </row>
    <row r="8755" spans="1:12" ht="24" customHeight="1">
      <c r="A8755" s="612" t="s">
        <v>13679</v>
      </c>
      <c r="B8755" s="636" t="s">
        <v>12698</v>
      </c>
      <c r="C8755" s="612" t="s">
        <v>12699</v>
      </c>
      <c r="D8755" s="612" t="s">
        <v>12700</v>
      </c>
      <c r="E8755" s="637" t="s">
        <v>12702</v>
      </c>
      <c r="F8755" s="801" t="s">
        <v>12704</v>
      </c>
      <c r="G8755" s="801"/>
      <c r="H8755" s="801" t="s">
        <v>13678</v>
      </c>
      <c r="I8755" s="801"/>
      <c r="J8755" s="801" t="s">
        <v>12705</v>
      </c>
      <c r="K8755" s="801"/>
      <c r="L8755" s="801"/>
    </row>
    <row r="8756" spans="1:12" ht="36" customHeight="1">
      <c r="A8756" s="626" t="s">
        <v>12709</v>
      </c>
      <c r="B8756" s="627" t="s">
        <v>13370</v>
      </c>
      <c r="C8756" s="626" t="s">
        <v>8</v>
      </c>
      <c r="D8756" s="626" t="s">
        <v>9418</v>
      </c>
      <c r="E8756" s="628" t="s">
        <v>35</v>
      </c>
      <c r="F8756" s="816" t="s">
        <v>13786</v>
      </c>
      <c r="G8756" s="816"/>
      <c r="H8756" s="816">
        <v>8.9999999999999993E-3</v>
      </c>
      <c r="I8756" s="816"/>
      <c r="J8756" s="817">
        <v>0.03</v>
      </c>
      <c r="K8756" s="817"/>
      <c r="L8756" s="817"/>
    </row>
    <row r="8757" spans="1:12" ht="24" customHeight="1">
      <c r="A8757" s="626" t="s">
        <v>12709</v>
      </c>
      <c r="B8757" s="627" t="s">
        <v>13418</v>
      </c>
      <c r="C8757" s="626" t="s">
        <v>8</v>
      </c>
      <c r="D8757" s="626" t="s">
        <v>7979</v>
      </c>
      <c r="E8757" s="628" t="s">
        <v>17</v>
      </c>
      <c r="F8757" s="816" t="s">
        <v>14586</v>
      </c>
      <c r="G8757" s="816"/>
      <c r="H8757" s="816">
        <v>1.0149999999999999</v>
      </c>
      <c r="I8757" s="816"/>
      <c r="J8757" s="817">
        <v>42.43</v>
      </c>
      <c r="K8757" s="817"/>
      <c r="L8757" s="817"/>
    </row>
    <row r="8758" spans="1:12" ht="17.100000000000001" customHeight="1">
      <c r="A8758" s="636"/>
      <c r="B8758" s="636"/>
      <c r="C8758" s="636"/>
      <c r="D8758" s="636"/>
      <c r="E8758" s="636"/>
      <c r="F8758" s="636"/>
      <c r="G8758" s="636"/>
      <c r="H8758" s="636"/>
      <c r="I8758" s="636"/>
      <c r="J8758" s="636" t="s">
        <v>13675</v>
      </c>
      <c r="K8758" s="636"/>
      <c r="L8758" s="636" t="s">
        <v>14585</v>
      </c>
    </row>
    <row r="8759" spans="1:12">
      <c r="A8759" s="802" t="s">
        <v>12722</v>
      </c>
      <c r="B8759" s="802"/>
      <c r="C8759" s="802"/>
      <c r="D8759" s="802"/>
      <c r="E8759" s="802"/>
      <c r="F8759" s="802"/>
      <c r="G8759" s="802"/>
      <c r="H8759" s="802"/>
      <c r="I8759" s="612"/>
      <c r="J8759" s="612"/>
      <c r="K8759" s="612"/>
      <c r="L8759" s="612"/>
    </row>
    <row r="8760" spans="1:12" ht="17.100000000000001" customHeight="1">
      <c r="A8760" s="612" t="s">
        <v>13679</v>
      </c>
      <c r="B8760" s="636" t="s">
        <v>12698</v>
      </c>
      <c r="C8760" s="612" t="s">
        <v>12699</v>
      </c>
      <c r="D8760" s="612" t="s">
        <v>12700</v>
      </c>
      <c r="E8760" s="637" t="s">
        <v>12702</v>
      </c>
      <c r="F8760" s="801" t="s">
        <v>12704</v>
      </c>
      <c r="G8760" s="801"/>
      <c r="H8760" s="801" t="s">
        <v>13678</v>
      </c>
      <c r="I8760" s="801"/>
      <c r="J8760" s="801" t="s">
        <v>12705</v>
      </c>
      <c r="K8760" s="801"/>
      <c r="L8760" s="801"/>
    </row>
    <row r="8761" spans="1:12" ht="24" customHeight="1">
      <c r="A8761" s="626" t="s">
        <v>12709</v>
      </c>
      <c r="B8761" s="627" t="s">
        <v>12998</v>
      </c>
      <c r="C8761" s="626" t="s">
        <v>8</v>
      </c>
      <c r="D8761" s="626" t="s">
        <v>11861</v>
      </c>
      <c r="E8761" s="628" t="s">
        <v>23</v>
      </c>
      <c r="F8761" s="816" t="s">
        <v>13683</v>
      </c>
      <c r="G8761" s="816"/>
      <c r="H8761" s="816">
        <v>0.2076993</v>
      </c>
      <c r="I8761" s="816"/>
      <c r="J8761" s="817">
        <v>0.14749999999999999</v>
      </c>
      <c r="K8761" s="817"/>
      <c r="L8761" s="817"/>
    </row>
    <row r="8762" spans="1:12" ht="17.100000000000001" customHeight="1">
      <c r="A8762" s="636"/>
      <c r="B8762" s="636"/>
      <c r="C8762" s="636"/>
      <c r="D8762" s="636"/>
      <c r="E8762" s="636"/>
      <c r="F8762" s="636"/>
      <c r="G8762" s="636"/>
      <c r="H8762" s="636"/>
      <c r="I8762" s="636"/>
      <c r="J8762" s="636" t="s">
        <v>13675</v>
      </c>
      <c r="K8762" s="636"/>
      <c r="L8762" s="636" t="s">
        <v>13795</v>
      </c>
    </row>
    <row r="8763" spans="1:12">
      <c r="A8763" s="802" t="s">
        <v>12713</v>
      </c>
      <c r="B8763" s="802"/>
      <c r="C8763" s="802"/>
      <c r="D8763" s="802"/>
      <c r="E8763" s="802"/>
      <c r="F8763" s="802"/>
      <c r="G8763" s="802"/>
      <c r="H8763" s="802"/>
      <c r="I8763" s="612"/>
      <c r="J8763" s="612"/>
      <c r="K8763" s="612"/>
      <c r="L8763" s="612"/>
    </row>
    <row r="8764" spans="1:12" ht="17.100000000000001" customHeight="1">
      <c r="A8764" s="612" t="s">
        <v>13679</v>
      </c>
      <c r="B8764" s="636" t="s">
        <v>12698</v>
      </c>
      <c r="C8764" s="612" t="s">
        <v>12699</v>
      </c>
      <c r="D8764" s="612" t="s">
        <v>12700</v>
      </c>
      <c r="E8764" s="637" t="s">
        <v>12702</v>
      </c>
      <c r="F8764" s="801" t="s">
        <v>12704</v>
      </c>
      <c r="G8764" s="801"/>
      <c r="H8764" s="801" t="s">
        <v>13678</v>
      </c>
      <c r="I8764" s="801"/>
      <c r="J8764" s="801" t="s">
        <v>12705</v>
      </c>
      <c r="K8764" s="801"/>
      <c r="L8764" s="801"/>
    </row>
    <row r="8765" spans="1:12" ht="24" customHeight="1">
      <c r="A8765" s="626" t="s">
        <v>12709</v>
      </c>
      <c r="B8765" s="627" t="s">
        <v>12999</v>
      </c>
      <c r="C8765" s="626" t="s">
        <v>8</v>
      </c>
      <c r="D8765" s="626" t="s">
        <v>11251</v>
      </c>
      <c r="E8765" s="628" t="s">
        <v>23</v>
      </c>
      <c r="F8765" s="816" t="s">
        <v>13681</v>
      </c>
      <c r="G8765" s="816"/>
      <c r="H8765" s="816">
        <v>0.2076993</v>
      </c>
      <c r="I8765" s="816"/>
      <c r="J8765" s="817">
        <v>1.4500000000000001E-2</v>
      </c>
      <c r="K8765" s="817"/>
      <c r="L8765" s="817"/>
    </row>
    <row r="8766" spans="1:12" ht="17.100000000000001" customHeight="1">
      <c r="A8766" s="636"/>
      <c r="B8766" s="636"/>
      <c r="C8766" s="636"/>
      <c r="D8766" s="636"/>
      <c r="E8766" s="636"/>
      <c r="F8766" s="636"/>
      <c r="G8766" s="636"/>
      <c r="H8766" s="636"/>
      <c r="I8766" s="636"/>
      <c r="J8766" s="636" t="s">
        <v>13675</v>
      </c>
      <c r="K8766" s="636"/>
      <c r="L8766" s="636" t="s">
        <v>13728</v>
      </c>
    </row>
    <row r="8767" spans="1:12">
      <c r="A8767" s="802" t="s">
        <v>12712</v>
      </c>
      <c r="B8767" s="802"/>
      <c r="C8767" s="802"/>
      <c r="D8767" s="802"/>
      <c r="E8767" s="802"/>
      <c r="F8767" s="802"/>
      <c r="G8767" s="802"/>
      <c r="H8767" s="802"/>
      <c r="I8767" s="612"/>
      <c r="J8767" s="612"/>
      <c r="K8767" s="612"/>
      <c r="L8767" s="612"/>
    </row>
    <row r="8768" spans="1:12" ht="17.100000000000001" customHeight="1">
      <c r="A8768" s="612" t="s">
        <v>13679</v>
      </c>
      <c r="B8768" s="636" t="s">
        <v>12698</v>
      </c>
      <c r="C8768" s="612" t="s">
        <v>12699</v>
      </c>
      <c r="D8768" s="612" t="s">
        <v>12700</v>
      </c>
      <c r="E8768" s="637" t="s">
        <v>12702</v>
      </c>
      <c r="F8768" s="801" t="s">
        <v>12704</v>
      </c>
      <c r="G8768" s="801"/>
      <c r="H8768" s="801" t="s">
        <v>13678</v>
      </c>
      <c r="I8768" s="801"/>
      <c r="J8768" s="801" t="s">
        <v>12705</v>
      </c>
      <c r="K8768" s="801"/>
      <c r="L8768" s="801"/>
    </row>
    <row r="8769" spans="1:12" ht="24" customHeight="1">
      <c r="A8769" s="626" t="s">
        <v>12709</v>
      </c>
      <c r="B8769" s="627" t="s">
        <v>13002</v>
      </c>
      <c r="C8769" s="626" t="s">
        <v>8</v>
      </c>
      <c r="D8769" s="626" t="s">
        <v>9306</v>
      </c>
      <c r="E8769" s="628" t="s">
        <v>23</v>
      </c>
      <c r="F8769" s="816" t="s">
        <v>13677</v>
      </c>
      <c r="G8769" s="816"/>
      <c r="H8769" s="816">
        <v>0.2076993</v>
      </c>
      <c r="I8769" s="816"/>
      <c r="J8769" s="817">
        <v>7.2700000000000001E-2</v>
      </c>
      <c r="K8769" s="817"/>
      <c r="L8769" s="817"/>
    </row>
    <row r="8770" spans="1:12" ht="24" customHeight="1">
      <c r="A8770" s="626" t="s">
        <v>12709</v>
      </c>
      <c r="B8770" s="627" t="s">
        <v>13004</v>
      </c>
      <c r="C8770" s="626" t="s">
        <v>8</v>
      </c>
      <c r="D8770" s="626" t="s">
        <v>7388</v>
      </c>
      <c r="E8770" s="628" t="s">
        <v>23</v>
      </c>
      <c r="F8770" s="816" t="s">
        <v>13676</v>
      </c>
      <c r="G8770" s="816"/>
      <c r="H8770" s="816">
        <v>0.2076993</v>
      </c>
      <c r="I8770" s="816"/>
      <c r="J8770" s="817">
        <v>0.45689999999999997</v>
      </c>
      <c r="K8770" s="817"/>
      <c r="L8770" s="817"/>
    </row>
    <row r="8771" spans="1:12" ht="17.100000000000001" customHeight="1">
      <c r="A8771" s="636"/>
      <c r="B8771" s="636"/>
      <c r="C8771" s="636"/>
      <c r="D8771" s="636"/>
      <c r="E8771" s="636"/>
      <c r="F8771" s="636"/>
      <c r="G8771" s="636"/>
      <c r="H8771" s="636"/>
      <c r="I8771" s="636"/>
      <c r="J8771" s="636" t="s">
        <v>13675</v>
      </c>
      <c r="K8771" s="636"/>
      <c r="L8771" s="636" t="s">
        <v>13803</v>
      </c>
    </row>
    <row r="8772" spans="1:12" ht="17.100000000000001" customHeight="1">
      <c r="A8772" s="612" t="s">
        <v>13673</v>
      </c>
      <c r="B8772" s="612"/>
      <c r="C8772" s="612"/>
      <c r="D8772" s="612"/>
      <c r="E8772" s="612"/>
      <c r="F8772" s="612"/>
      <c r="G8772" s="612"/>
      <c r="H8772" s="612"/>
      <c r="I8772" s="612"/>
      <c r="J8772" s="612"/>
      <c r="K8772" s="612"/>
      <c r="L8772" s="612"/>
    </row>
    <row r="8773" spans="1:12" ht="17.100000000000001" customHeight="1">
      <c r="A8773" s="636"/>
      <c r="B8773" s="636"/>
      <c r="C8773" s="636"/>
      <c r="D8773" s="636"/>
      <c r="E8773" s="636"/>
      <c r="F8773" s="636"/>
      <c r="G8773" s="636"/>
      <c r="H8773" s="636"/>
      <c r="I8773" s="636"/>
      <c r="J8773" s="636" t="s">
        <v>13672</v>
      </c>
      <c r="K8773" s="636"/>
      <c r="L8773" s="636" t="s">
        <v>15549</v>
      </c>
    </row>
    <row r="8774" spans="1:12" ht="17.100000000000001" customHeight="1">
      <c r="A8774" s="636"/>
      <c r="B8774" s="636"/>
      <c r="C8774" s="636"/>
      <c r="D8774" s="636"/>
      <c r="E8774" s="636"/>
      <c r="F8774" s="636"/>
      <c r="G8774" s="636"/>
      <c r="H8774" s="636"/>
      <c r="I8774" s="636"/>
      <c r="J8774" s="636" t="s">
        <v>13671</v>
      </c>
      <c r="K8774" s="636" t="s">
        <v>14461</v>
      </c>
      <c r="L8774" s="636" t="s">
        <v>15550</v>
      </c>
    </row>
    <row r="8775" spans="1:12" ht="17.100000000000001" customHeight="1">
      <c r="A8775" s="636"/>
      <c r="B8775" s="636"/>
      <c r="C8775" s="636"/>
      <c r="D8775" s="636"/>
      <c r="E8775" s="636"/>
      <c r="F8775" s="636"/>
      <c r="G8775" s="636"/>
      <c r="H8775" s="636"/>
      <c r="I8775" s="636"/>
      <c r="J8775" s="636" t="s">
        <v>13670</v>
      </c>
      <c r="K8775" s="636"/>
      <c r="L8775" s="636" t="s">
        <v>15551</v>
      </c>
    </row>
    <row r="8776" spans="1:12" ht="17.100000000000001" customHeight="1">
      <c r="A8776" s="636"/>
      <c r="B8776" s="636"/>
      <c r="C8776" s="636"/>
      <c r="D8776" s="636"/>
      <c r="E8776" s="636"/>
      <c r="F8776" s="636"/>
      <c r="G8776" s="636"/>
      <c r="H8776" s="636"/>
      <c r="I8776" s="636"/>
      <c r="J8776" s="636" t="s">
        <v>13669</v>
      </c>
      <c r="K8776" s="636" t="s">
        <v>13667</v>
      </c>
      <c r="L8776" s="636" t="s">
        <v>15552</v>
      </c>
    </row>
    <row r="8777" spans="1:12" ht="17.100000000000001" customHeight="1">
      <c r="A8777" s="636"/>
      <c r="B8777" s="636"/>
      <c r="C8777" s="636"/>
      <c r="D8777" s="636"/>
      <c r="E8777" s="636"/>
      <c r="F8777" s="636"/>
      <c r="G8777" s="636"/>
      <c r="H8777" s="636"/>
      <c r="I8777" s="636"/>
      <c r="J8777" s="636" t="s">
        <v>13668</v>
      </c>
      <c r="K8777" s="636"/>
      <c r="L8777" s="636" t="s">
        <v>15553</v>
      </c>
    </row>
    <row r="8778" spans="1:12" ht="30" customHeight="1">
      <c r="A8778" s="637"/>
      <c r="B8778" s="637"/>
      <c r="C8778" s="637"/>
      <c r="D8778" s="637"/>
      <c r="E8778" s="637"/>
      <c r="F8778" s="637"/>
      <c r="G8778" s="637"/>
      <c r="H8778" s="637"/>
      <c r="I8778" s="637"/>
      <c r="J8778" s="637"/>
      <c r="K8778" s="637"/>
      <c r="L8778" s="637"/>
    </row>
    <row r="8779" spans="1:12" ht="36" customHeight="1">
      <c r="A8779" s="616" t="s">
        <v>13911</v>
      </c>
      <c r="B8779" s="617" t="s">
        <v>13414</v>
      </c>
      <c r="C8779" s="616" t="s">
        <v>8</v>
      </c>
      <c r="D8779" s="616" t="s">
        <v>2530</v>
      </c>
      <c r="E8779" s="618" t="s">
        <v>17</v>
      </c>
      <c r="F8779" s="617"/>
      <c r="G8779" s="617"/>
      <c r="H8779" s="617"/>
      <c r="I8779" s="617"/>
      <c r="J8779" s="617"/>
      <c r="K8779" s="617"/>
      <c r="L8779" s="617"/>
    </row>
    <row r="8780" spans="1:12" ht="14.25" customHeight="1">
      <c r="A8780" s="802" t="s">
        <v>12711</v>
      </c>
      <c r="B8780" s="802"/>
      <c r="C8780" s="802"/>
      <c r="D8780" s="802"/>
      <c r="E8780" s="802"/>
      <c r="F8780" s="802"/>
      <c r="G8780" s="802"/>
      <c r="H8780" s="802"/>
      <c r="I8780" s="612"/>
      <c r="J8780" s="612"/>
      <c r="K8780" s="612"/>
      <c r="L8780" s="612"/>
    </row>
    <row r="8781" spans="1:12" ht="17.100000000000001" customHeight="1">
      <c r="A8781" s="612" t="s">
        <v>13679</v>
      </c>
      <c r="B8781" s="636" t="s">
        <v>12698</v>
      </c>
      <c r="C8781" s="612" t="s">
        <v>12699</v>
      </c>
      <c r="D8781" s="612" t="s">
        <v>12700</v>
      </c>
      <c r="E8781" s="637" t="s">
        <v>12702</v>
      </c>
      <c r="F8781" s="801" t="s">
        <v>12704</v>
      </c>
      <c r="G8781" s="801"/>
      <c r="H8781" s="801" t="s">
        <v>13678</v>
      </c>
      <c r="I8781" s="801"/>
      <c r="J8781" s="801" t="s">
        <v>12705</v>
      </c>
      <c r="K8781" s="801"/>
      <c r="L8781" s="801"/>
    </row>
    <row r="8782" spans="1:12" ht="24" customHeight="1">
      <c r="A8782" s="626" t="s">
        <v>12709</v>
      </c>
      <c r="B8782" s="627" t="s">
        <v>13134</v>
      </c>
      <c r="C8782" s="626" t="s">
        <v>8</v>
      </c>
      <c r="D8782" s="626" t="s">
        <v>9219</v>
      </c>
      <c r="E8782" s="628" t="s">
        <v>23</v>
      </c>
      <c r="F8782" s="816" t="s">
        <v>13782</v>
      </c>
      <c r="G8782" s="816"/>
      <c r="H8782" s="816">
        <v>5.7929799999999997E-2</v>
      </c>
      <c r="I8782" s="816"/>
      <c r="J8782" s="817">
        <v>5.3900000000000003E-2</v>
      </c>
      <c r="K8782" s="817"/>
      <c r="L8782" s="817"/>
    </row>
    <row r="8783" spans="1:12" ht="24" customHeight="1">
      <c r="A8783" s="626" t="s">
        <v>12709</v>
      </c>
      <c r="B8783" s="627" t="s">
        <v>13133</v>
      </c>
      <c r="C8783" s="626" t="s">
        <v>8</v>
      </c>
      <c r="D8783" s="626" t="s">
        <v>9366</v>
      </c>
      <c r="E8783" s="628" t="s">
        <v>23</v>
      </c>
      <c r="F8783" s="816" t="s">
        <v>13781</v>
      </c>
      <c r="G8783" s="816"/>
      <c r="H8783" s="816">
        <v>5.7929799999999997E-2</v>
      </c>
      <c r="I8783" s="816"/>
      <c r="J8783" s="817">
        <v>3.1899999999999998E-2</v>
      </c>
      <c r="K8783" s="817"/>
      <c r="L8783" s="817"/>
    </row>
    <row r="8784" spans="1:12" ht="17.100000000000001" customHeight="1">
      <c r="A8784" s="636"/>
      <c r="B8784" s="636"/>
      <c r="C8784" s="636"/>
      <c r="D8784" s="636"/>
      <c r="E8784" s="636"/>
      <c r="F8784" s="636"/>
      <c r="G8784" s="636"/>
      <c r="H8784" s="636"/>
      <c r="I8784" s="636"/>
      <c r="J8784" s="636" t="s">
        <v>13675</v>
      </c>
      <c r="K8784" s="636"/>
      <c r="L8784" s="636" t="s">
        <v>13815</v>
      </c>
    </row>
    <row r="8785" spans="1:12" ht="14.25" customHeight="1">
      <c r="A8785" s="802" t="s">
        <v>12710</v>
      </c>
      <c r="B8785" s="802"/>
      <c r="C8785" s="802"/>
      <c r="D8785" s="802"/>
      <c r="E8785" s="802"/>
      <c r="F8785" s="802"/>
      <c r="G8785" s="802"/>
      <c r="H8785" s="802"/>
      <c r="I8785" s="612"/>
      <c r="J8785" s="612"/>
      <c r="K8785" s="612"/>
      <c r="L8785" s="612"/>
    </row>
    <row r="8786" spans="1:12" ht="17.100000000000001" customHeight="1">
      <c r="A8786" s="612" t="s">
        <v>13679</v>
      </c>
      <c r="B8786" s="636" t="s">
        <v>12698</v>
      </c>
      <c r="C8786" s="612" t="s">
        <v>12699</v>
      </c>
      <c r="D8786" s="612" t="s">
        <v>12700</v>
      </c>
      <c r="E8786" s="637" t="s">
        <v>12702</v>
      </c>
      <c r="F8786" s="801" t="s">
        <v>12704</v>
      </c>
      <c r="G8786" s="801"/>
      <c r="H8786" s="801" t="s">
        <v>13678</v>
      </c>
      <c r="I8786" s="801"/>
      <c r="J8786" s="801" t="s">
        <v>12705</v>
      </c>
      <c r="K8786" s="801"/>
      <c r="L8786" s="801"/>
    </row>
    <row r="8787" spans="1:12" ht="24" customHeight="1">
      <c r="A8787" s="626" t="s">
        <v>12709</v>
      </c>
      <c r="B8787" s="627" t="s">
        <v>13222</v>
      </c>
      <c r="C8787" s="626" t="s">
        <v>8</v>
      </c>
      <c r="D8787" s="626" t="s">
        <v>7364</v>
      </c>
      <c r="E8787" s="628" t="s">
        <v>23</v>
      </c>
      <c r="F8787" s="816" t="s">
        <v>13808</v>
      </c>
      <c r="G8787" s="816"/>
      <c r="H8787" s="816">
        <v>3.0206E-2</v>
      </c>
      <c r="I8787" s="816"/>
      <c r="J8787" s="817">
        <v>0.15160000000000001</v>
      </c>
      <c r="K8787" s="817"/>
      <c r="L8787" s="817"/>
    </row>
    <row r="8788" spans="1:12" ht="24" customHeight="1">
      <c r="A8788" s="626" t="s">
        <v>12709</v>
      </c>
      <c r="B8788" s="627" t="s">
        <v>13204</v>
      </c>
      <c r="C8788" s="626" t="s">
        <v>8</v>
      </c>
      <c r="D8788" s="626" t="s">
        <v>9112</v>
      </c>
      <c r="E8788" s="628" t="s">
        <v>23</v>
      </c>
      <c r="F8788" s="816" t="s">
        <v>14479</v>
      </c>
      <c r="G8788" s="816"/>
      <c r="H8788" s="816">
        <v>3.0206E-2</v>
      </c>
      <c r="I8788" s="816"/>
      <c r="J8788" s="817">
        <v>0.216</v>
      </c>
      <c r="K8788" s="817"/>
      <c r="L8788" s="817"/>
    </row>
    <row r="8789" spans="1:12" ht="17.100000000000001" customHeight="1">
      <c r="A8789" s="636"/>
      <c r="B8789" s="636"/>
      <c r="C8789" s="636"/>
      <c r="D8789" s="636"/>
      <c r="E8789" s="636"/>
      <c r="F8789" s="636"/>
      <c r="G8789" s="636"/>
      <c r="H8789" s="636"/>
      <c r="I8789" s="636"/>
      <c r="J8789" s="636" t="s">
        <v>13675</v>
      </c>
      <c r="K8789" s="636"/>
      <c r="L8789" s="636" t="s">
        <v>13798</v>
      </c>
    </row>
    <row r="8790" spans="1:12">
      <c r="A8790" s="802" t="s">
        <v>12720</v>
      </c>
      <c r="B8790" s="802"/>
      <c r="C8790" s="802"/>
      <c r="D8790" s="802"/>
      <c r="E8790" s="802"/>
      <c r="F8790" s="802"/>
      <c r="G8790" s="802"/>
      <c r="H8790" s="802"/>
      <c r="I8790" s="612"/>
      <c r="J8790" s="612"/>
      <c r="K8790" s="612"/>
      <c r="L8790" s="612"/>
    </row>
    <row r="8791" spans="1:12" ht="17.100000000000001" customHeight="1">
      <c r="A8791" s="612" t="s">
        <v>13679</v>
      </c>
      <c r="B8791" s="636" t="s">
        <v>12698</v>
      </c>
      <c r="C8791" s="612" t="s">
        <v>12699</v>
      </c>
      <c r="D8791" s="612" t="s">
        <v>12700</v>
      </c>
      <c r="E8791" s="637" t="s">
        <v>12702</v>
      </c>
      <c r="F8791" s="801" t="s">
        <v>12704</v>
      </c>
      <c r="G8791" s="801"/>
      <c r="H8791" s="801" t="s">
        <v>13678</v>
      </c>
      <c r="I8791" s="801"/>
      <c r="J8791" s="801" t="s">
        <v>12705</v>
      </c>
      <c r="K8791" s="801"/>
      <c r="L8791" s="801"/>
    </row>
    <row r="8792" spans="1:12" ht="24" customHeight="1">
      <c r="A8792" s="626" t="s">
        <v>12709</v>
      </c>
      <c r="B8792" s="627" t="s">
        <v>13370</v>
      </c>
      <c r="C8792" s="626" t="s">
        <v>8</v>
      </c>
      <c r="D8792" s="626" t="s">
        <v>9418</v>
      </c>
      <c r="E8792" s="628" t="s">
        <v>35</v>
      </c>
      <c r="F8792" s="816" t="s">
        <v>13786</v>
      </c>
      <c r="G8792" s="816"/>
      <c r="H8792" s="816">
        <v>8.9999999999999993E-3</v>
      </c>
      <c r="I8792" s="816"/>
      <c r="J8792" s="817">
        <v>0.03</v>
      </c>
      <c r="K8792" s="817"/>
      <c r="L8792" s="817"/>
    </row>
    <row r="8793" spans="1:12" ht="36" customHeight="1">
      <c r="A8793" s="626" t="s">
        <v>12709</v>
      </c>
      <c r="B8793" s="627" t="s">
        <v>13413</v>
      </c>
      <c r="C8793" s="626" t="s">
        <v>8</v>
      </c>
      <c r="D8793" s="626" t="s">
        <v>7990</v>
      </c>
      <c r="E8793" s="628" t="s">
        <v>17</v>
      </c>
      <c r="F8793" s="816" t="s">
        <v>14558</v>
      </c>
      <c r="G8793" s="816"/>
      <c r="H8793" s="816">
        <v>1.19</v>
      </c>
      <c r="I8793" s="816"/>
      <c r="J8793" s="817">
        <v>1.67</v>
      </c>
      <c r="K8793" s="817"/>
      <c r="L8793" s="817"/>
    </row>
    <row r="8794" spans="1:12" ht="24" customHeight="1">
      <c r="A8794" s="636"/>
      <c r="B8794" s="636"/>
      <c r="C8794" s="636"/>
      <c r="D8794" s="636"/>
      <c r="E8794" s="636"/>
      <c r="F8794" s="636"/>
      <c r="G8794" s="636"/>
      <c r="H8794" s="636"/>
      <c r="I8794" s="636"/>
      <c r="J8794" s="636" t="s">
        <v>13675</v>
      </c>
      <c r="K8794" s="636"/>
      <c r="L8794" s="636" t="s">
        <v>13833</v>
      </c>
    </row>
    <row r="8795" spans="1:12" ht="17.100000000000001" customHeight="1">
      <c r="A8795" s="802" t="s">
        <v>12722</v>
      </c>
      <c r="B8795" s="802"/>
      <c r="C8795" s="802"/>
      <c r="D8795" s="802"/>
      <c r="E8795" s="802"/>
      <c r="F8795" s="802"/>
      <c r="G8795" s="802"/>
      <c r="H8795" s="802"/>
      <c r="I8795" s="612"/>
      <c r="J8795" s="612"/>
      <c r="K8795" s="612"/>
      <c r="L8795" s="612"/>
    </row>
    <row r="8796" spans="1:12">
      <c r="A8796" s="612" t="s">
        <v>13679</v>
      </c>
      <c r="B8796" s="636" t="s">
        <v>12698</v>
      </c>
      <c r="C8796" s="612" t="s">
        <v>12699</v>
      </c>
      <c r="D8796" s="612" t="s">
        <v>12700</v>
      </c>
      <c r="E8796" s="637" t="s">
        <v>12702</v>
      </c>
      <c r="F8796" s="801" t="s">
        <v>12704</v>
      </c>
      <c r="G8796" s="801"/>
      <c r="H8796" s="801" t="s">
        <v>13678</v>
      </c>
      <c r="I8796" s="801"/>
      <c r="J8796" s="801" t="s">
        <v>12705</v>
      </c>
      <c r="K8796" s="801"/>
      <c r="L8796" s="801"/>
    </row>
    <row r="8797" spans="1:12" ht="17.100000000000001" customHeight="1">
      <c r="A8797" s="626" t="s">
        <v>12709</v>
      </c>
      <c r="B8797" s="627" t="s">
        <v>12998</v>
      </c>
      <c r="C8797" s="626" t="s">
        <v>8</v>
      </c>
      <c r="D8797" s="626" t="s">
        <v>11861</v>
      </c>
      <c r="E8797" s="628" t="s">
        <v>23</v>
      </c>
      <c r="F8797" s="816" t="s">
        <v>13683</v>
      </c>
      <c r="G8797" s="816"/>
      <c r="H8797" s="816">
        <v>5.7929799999999997E-2</v>
      </c>
      <c r="I8797" s="816"/>
      <c r="J8797" s="817">
        <v>4.1099999999999998E-2</v>
      </c>
      <c r="K8797" s="817"/>
      <c r="L8797" s="817"/>
    </row>
    <row r="8798" spans="1:12" ht="24" customHeight="1">
      <c r="A8798" s="636"/>
      <c r="B8798" s="636"/>
      <c r="C8798" s="636"/>
      <c r="D8798" s="636"/>
      <c r="E8798" s="636"/>
      <c r="F8798" s="636"/>
      <c r="G8798" s="636"/>
      <c r="H8798" s="636"/>
      <c r="I8798" s="636"/>
      <c r="J8798" s="636" t="s">
        <v>13675</v>
      </c>
      <c r="K8798" s="636"/>
      <c r="L8798" s="636" t="s">
        <v>13716</v>
      </c>
    </row>
    <row r="8799" spans="1:12" ht="17.100000000000001" customHeight="1">
      <c r="A8799" s="802" t="s">
        <v>12713</v>
      </c>
      <c r="B8799" s="802"/>
      <c r="C8799" s="802"/>
      <c r="D8799" s="802"/>
      <c r="E8799" s="802"/>
      <c r="F8799" s="802"/>
      <c r="G8799" s="802"/>
      <c r="H8799" s="802"/>
      <c r="I8799" s="612"/>
      <c r="J8799" s="612"/>
      <c r="K8799" s="612"/>
      <c r="L8799" s="612"/>
    </row>
    <row r="8800" spans="1:12">
      <c r="A8800" s="612" t="s">
        <v>13679</v>
      </c>
      <c r="B8800" s="636" t="s">
        <v>12698</v>
      </c>
      <c r="C8800" s="612" t="s">
        <v>12699</v>
      </c>
      <c r="D8800" s="612" t="s">
        <v>12700</v>
      </c>
      <c r="E8800" s="637" t="s">
        <v>12702</v>
      </c>
      <c r="F8800" s="801" t="s">
        <v>12704</v>
      </c>
      <c r="G8800" s="801"/>
      <c r="H8800" s="801" t="s">
        <v>13678</v>
      </c>
      <c r="I8800" s="801"/>
      <c r="J8800" s="801" t="s">
        <v>12705</v>
      </c>
      <c r="K8800" s="801"/>
      <c r="L8800" s="801"/>
    </row>
    <row r="8801" spans="1:12" ht="17.100000000000001" customHeight="1">
      <c r="A8801" s="626" t="s">
        <v>12709</v>
      </c>
      <c r="B8801" s="627" t="s">
        <v>12999</v>
      </c>
      <c r="C8801" s="626" t="s">
        <v>8</v>
      </c>
      <c r="D8801" s="626" t="s">
        <v>11251</v>
      </c>
      <c r="E8801" s="628" t="s">
        <v>23</v>
      </c>
      <c r="F8801" s="816" t="s">
        <v>13681</v>
      </c>
      <c r="G8801" s="816"/>
      <c r="H8801" s="816">
        <v>5.7929799999999997E-2</v>
      </c>
      <c r="I8801" s="816"/>
      <c r="J8801" s="817">
        <v>4.1000000000000003E-3</v>
      </c>
      <c r="K8801" s="817"/>
      <c r="L8801" s="817"/>
    </row>
    <row r="8802" spans="1:12" ht="24" customHeight="1">
      <c r="A8802" s="636"/>
      <c r="B8802" s="636"/>
      <c r="C8802" s="636"/>
      <c r="D8802" s="636"/>
      <c r="E8802" s="636"/>
      <c r="F8802" s="636"/>
      <c r="G8802" s="636"/>
      <c r="H8802" s="636"/>
      <c r="I8802" s="636"/>
      <c r="J8802" s="636" t="s">
        <v>13675</v>
      </c>
      <c r="K8802" s="636"/>
      <c r="L8802" s="636" t="s">
        <v>13727</v>
      </c>
    </row>
    <row r="8803" spans="1:12" ht="17.100000000000001" customHeight="1">
      <c r="A8803" s="802" t="s">
        <v>12712</v>
      </c>
      <c r="B8803" s="802"/>
      <c r="C8803" s="802"/>
      <c r="D8803" s="802"/>
      <c r="E8803" s="802"/>
      <c r="F8803" s="802"/>
      <c r="G8803" s="802"/>
      <c r="H8803" s="802"/>
      <c r="I8803" s="612"/>
      <c r="J8803" s="612"/>
      <c r="K8803" s="612"/>
      <c r="L8803" s="612"/>
    </row>
    <row r="8804" spans="1:12">
      <c r="A8804" s="612" t="s">
        <v>13679</v>
      </c>
      <c r="B8804" s="636" t="s">
        <v>12698</v>
      </c>
      <c r="C8804" s="612" t="s">
        <v>12699</v>
      </c>
      <c r="D8804" s="612" t="s">
        <v>12700</v>
      </c>
      <c r="E8804" s="637" t="s">
        <v>12702</v>
      </c>
      <c r="F8804" s="801" t="s">
        <v>12704</v>
      </c>
      <c r="G8804" s="801"/>
      <c r="H8804" s="801" t="s">
        <v>13678</v>
      </c>
      <c r="I8804" s="801"/>
      <c r="J8804" s="801" t="s">
        <v>12705</v>
      </c>
      <c r="K8804" s="801"/>
      <c r="L8804" s="801"/>
    </row>
    <row r="8805" spans="1:12" ht="17.100000000000001" customHeight="1">
      <c r="A8805" s="626" t="s">
        <v>12709</v>
      </c>
      <c r="B8805" s="627" t="s">
        <v>13002</v>
      </c>
      <c r="C8805" s="626" t="s">
        <v>8</v>
      </c>
      <c r="D8805" s="626" t="s">
        <v>9306</v>
      </c>
      <c r="E8805" s="628" t="s">
        <v>23</v>
      </c>
      <c r="F8805" s="816" t="s">
        <v>13677</v>
      </c>
      <c r="G8805" s="816"/>
      <c r="H8805" s="816">
        <v>5.7929799999999997E-2</v>
      </c>
      <c r="I8805" s="816"/>
      <c r="J8805" s="817">
        <v>2.0299999999999999E-2</v>
      </c>
      <c r="K8805" s="817"/>
      <c r="L8805" s="817"/>
    </row>
    <row r="8806" spans="1:12" ht="24" customHeight="1">
      <c r="A8806" s="626" t="s">
        <v>12709</v>
      </c>
      <c r="B8806" s="627" t="s">
        <v>13004</v>
      </c>
      <c r="C8806" s="626" t="s">
        <v>8</v>
      </c>
      <c r="D8806" s="626" t="s">
        <v>7388</v>
      </c>
      <c r="E8806" s="628" t="s">
        <v>23</v>
      </c>
      <c r="F8806" s="816" t="s">
        <v>13676</v>
      </c>
      <c r="G8806" s="816"/>
      <c r="H8806" s="816">
        <v>5.7929799999999997E-2</v>
      </c>
      <c r="I8806" s="816"/>
      <c r="J8806" s="817">
        <v>0.12740000000000001</v>
      </c>
      <c r="K8806" s="817"/>
      <c r="L8806" s="817"/>
    </row>
    <row r="8807" spans="1:12" ht="24" customHeight="1">
      <c r="A8807" s="636"/>
      <c r="B8807" s="636"/>
      <c r="C8807" s="636"/>
      <c r="D8807" s="636"/>
      <c r="E8807" s="636"/>
      <c r="F8807" s="636"/>
      <c r="G8807" s="636"/>
      <c r="H8807" s="636"/>
      <c r="I8807" s="636"/>
      <c r="J8807" s="636" t="s">
        <v>13675</v>
      </c>
      <c r="K8807" s="636"/>
      <c r="L8807" s="636" t="s">
        <v>13795</v>
      </c>
    </row>
    <row r="8808" spans="1:12" ht="17.100000000000001" customHeight="1">
      <c r="A8808" s="612" t="s">
        <v>13673</v>
      </c>
      <c r="B8808" s="612"/>
      <c r="C8808" s="612"/>
      <c r="D8808" s="612"/>
      <c r="E8808" s="612"/>
      <c r="F8808" s="612"/>
      <c r="G8808" s="612"/>
      <c r="H8808" s="612"/>
      <c r="I8808" s="612"/>
      <c r="J8808" s="612"/>
      <c r="K8808" s="612"/>
      <c r="L8808" s="612"/>
    </row>
    <row r="8809" spans="1:12" ht="17.100000000000001" customHeight="1">
      <c r="A8809" s="636"/>
      <c r="B8809" s="636"/>
      <c r="C8809" s="636"/>
      <c r="D8809" s="636"/>
      <c r="E8809" s="636"/>
      <c r="F8809" s="636"/>
      <c r="G8809" s="636"/>
      <c r="H8809" s="636"/>
      <c r="I8809" s="636"/>
      <c r="J8809" s="636" t="s">
        <v>13672</v>
      </c>
      <c r="K8809" s="636"/>
      <c r="L8809" s="636" t="s">
        <v>15554</v>
      </c>
    </row>
    <row r="8810" spans="1:12" ht="17.100000000000001" customHeight="1">
      <c r="A8810" s="636"/>
      <c r="B8810" s="636"/>
      <c r="C8810" s="636"/>
      <c r="D8810" s="636"/>
      <c r="E8810" s="636"/>
      <c r="F8810" s="636"/>
      <c r="G8810" s="636"/>
      <c r="H8810" s="636"/>
      <c r="I8810" s="636"/>
      <c r="J8810" s="636" t="s">
        <v>13671</v>
      </c>
      <c r="K8810" s="636" t="s">
        <v>14461</v>
      </c>
      <c r="L8810" s="636" t="s">
        <v>15555</v>
      </c>
    </row>
    <row r="8811" spans="1:12" ht="17.100000000000001" customHeight="1">
      <c r="A8811" s="636"/>
      <c r="B8811" s="636"/>
      <c r="C8811" s="636"/>
      <c r="D8811" s="636"/>
      <c r="E8811" s="636"/>
      <c r="F8811" s="636"/>
      <c r="G8811" s="636"/>
      <c r="H8811" s="636"/>
      <c r="I8811" s="636"/>
      <c r="J8811" s="636" t="s">
        <v>13670</v>
      </c>
      <c r="K8811" s="636"/>
      <c r="L8811" s="636" t="s">
        <v>15052</v>
      </c>
    </row>
    <row r="8812" spans="1:12" ht="17.100000000000001" customHeight="1">
      <c r="A8812" s="636"/>
      <c r="B8812" s="636"/>
      <c r="C8812" s="636"/>
      <c r="D8812" s="636"/>
      <c r="E8812" s="636"/>
      <c r="F8812" s="636"/>
      <c r="G8812" s="636"/>
      <c r="H8812" s="636"/>
      <c r="I8812" s="636"/>
      <c r="J8812" s="636" t="s">
        <v>13669</v>
      </c>
      <c r="K8812" s="636" t="s">
        <v>13667</v>
      </c>
      <c r="L8812" s="636" t="s">
        <v>15556</v>
      </c>
    </row>
    <row r="8813" spans="1:12" ht="17.100000000000001" customHeight="1">
      <c r="A8813" s="636"/>
      <c r="B8813" s="636"/>
      <c r="C8813" s="636"/>
      <c r="D8813" s="636"/>
      <c r="E8813" s="636"/>
      <c r="F8813" s="636"/>
      <c r="G8813" s="636"/>
      <c r="H8813" s="636"/>
      <c r="I8813" s="636"/>
      <c r="J8813" s="636" t="s">
        <v>13668</v>
      </c>
      <c r="K8813" s="636"/>
      <c r="L8813" s="636" t="s">
        <v>15301</v>
      </c>
    </row>
    <row r="8814" spans="1:12" ht="17.100000000000001" customHeight="1">
      <c r="A8814" s="637"/>
      <c r="B8814" s="637"/>
      <c r="C8814" s="637"/>
      <c r="D8814" s="637"/>
      <c r="E8814" s="637"/>
      <c r="F8814" s="637"/>
      <c r="G8814" s="637"/>
      <c r="H8814" s="637"/>
      <c r="I8814" s="637"/>
      <c r="J8814" s="637"/>
      <c r="K8814" s="637"/>
      <c r="L8814" s="637"/>
    </row>
    <row r="8815" spans="1:12" ht="30" customHeight="1">
      <c r="A8815" s="616" t="s">
        <v>13910</v>
      </c>
      <c r="B8815" s="617" t="s">
        <v>13412</v>
      </c>
      <c r="C8815" s="616" t="s">
        <v>8</v>
      </c>
      <c r="D8815" s="616" t="s">
        <v>2532</v>
      </c>
      <c r="E8815" s="618" t="s">
        <v>17</v>
      </c>
      <c r="F8815" s="617"/>
      <c r="G8815" s="617"/>
      <c r="H8815" s="617"/>
      <c r="I8815" s="617"/>
      <c r="J8815" s="617"/>
      <c r="K8815" s="617"/>
      <c r="L8815" s="617"/>
    </row>
    <row r="8816" spans="1:12" ht="36" customHeight="1">
      <c r="A8816" s="802" t="s">
        <v>12711</v>
      </c>
      <c r="B8816" s="802"/>
      <c r="C8816" s="802"/>
      <c r="D8816" s="802"/>
      <c r="E8816" s="802"/>
      <c r="F8816" s="802"/>
      <c r="G8816" s="802"/>
      <c r="H8816" s="802"/>
      <c r="I8816" s="612"/>
      <c r="J8816" s="612"/>
      <c r="K8816" s="612"/>
      <c r="L8816" s="612"/>
    </row>
    <row r="8817" spans="1:12" ht="14.25" customHeight="1">
      <c r="A8817" s="612" t="s">
        <v>13679</v>
      </c>
      <c r="B8817" s="636" t="s">
        <v>12698</v>
      </c>
      <c r="C8817" s="612" t="s">
        <v>12699</v>
      </c>
      <c r="D8817" s="612" t="s">
        <v>12700</v>
      </c>
      <c r="E8817" s="637" t="s">
        <v>12702</v>
      </c>
      <c r="F8817" s="801" t="s">
        <v>12704</v>
      </c>
      <c r="G8817" s="801"/>
      <c r="H8817" s="801" t="s">
        <v>13678</v>
      </c>
      <c r="I8817" s="801"/>
      <c r="J8817" s="801" t="s">
        <v>12705</v>
      </c>
      <c r="K8817" s="801"/>
      <c r="L8817" s="801"/>
    </row>
    <row r="8818" spans="1:12" ht="17.100000000000001" customHeight="1">
      <c r="A8818" s="626" t="s">
        <v>12709</v>
      </c>
      <c r="B8818" s="627" t="s">
        <v>13134</v>
      </c>
      <c r="C8818" s="626" t="s">
        <v>8</v>
      </c>
      <c r="D8818" s="626" t="s">
        <v>9219</v>
      </c>
      <c r="E8818" s="628" t="s">
        <v>23</v>
      </c>
      <c r="F8818" s="816" t="s">
        <v>13782</v>
      </c>
      <c r="G8818" s="816"/>
      <c r="H8818" s="816">
        <v>7.8110200000000005E-2</v>
      </c>
      <c r="I8818" s="816"/>
      <c r="J8818" s="817">
        <v>7.2599999999999998E-2</v>
      </c>
      <c r="K8818" s="817"/>
      <c r="L8818" s="817"/>
    </row>
    <row r="8819" spans="1:12" ht="24" customHeight="1">
      <c r="A8819" s="626" t="s">
        <v>12709</v>
      </c>
      <c r="B8819" s="627" t="s">
        <v>13133</v>
      </c>
      <c r="C8819" s="626" t="s">
        <v>8</v>
      </c>
      <c r="D8819" s="626" t="s">
        <v>9366</v>
      </c>
      <c r="E8819" s="628" t="s">
        <v>23</v>
      </c>
      <c r="F8819" s="816" t="s">
        <v>13781</v>
      </c>
      <c r="G8819" s="816"/>
      <c r="H8819" s="816">
        <v>7.8110200000000005E-2</v>
      </c>
      <c r="I8819" s="816"/>
      <c r="J8819" s="817">
        <v>4.2999999999999997E-2</v>
      </c>
      <c r="K8819" s="817"/>
      <c r="L8819" s="817"/>
    </row>
    <row r="8820" spans="1:12" ht="24" customHeight="1">
      <c r="A8820" s="636"/>
      <c r="B8820" s="636"/>
      <c r="C8820" s="636"/>
      <c r="D8820" s="636"/>
      <c r="E8820" s="636"/>
      <c r="F8820" s="636"/>
      <c r="G8820" s="636"/>
      <c r="H8820" s="636"/>
      <c r="I8820" s="636"/>
      <c r="J8820" s="636" t="s">
        <v>13675</v>
      </c>
      <c r="K8820" s="636"/>
      <c r="L8820" s="636" t="s">
        <v>13751</v>
      </c>
    </row>
    <row r="8821" spans="1:12" ht="17.100000000000001" customHeight="1">
      <c r="A8821" s="802" t="s">
        <v>12710</v>
      </c>
      <c r="B8821" s="802"/>
      <c r="C8821" s="802"/>
      <c r="D8821" s="802"/>
      <c r="E8821" s="802"/>
      <c r="F8821" s="802"/>
      <c r="G8821" s="802"/>
      <c r="H8821" s="802"/>
      <c r="I8821" s="612"/>
      <c r="J8821" s="612"/>
      <c r="K8821" s="612"/>
      <c r="L8821" s="612"/>
    </row>
    <row r="8822" spans="1:12" ht="14.25" customHeight="1">
      <c r="A8822" s="612" t="s">
        <v>13679</v>
      </c>
      <c r="B8822" s="636" t="s">
        <v>12698</v>
      </c>
      <c r="C8822" s="612" t="s">
        <v>12699</v>
      </c>
      <c r="D8822" s="612" t="s">
        <v>12700</v>
      </c>
      <c r="E8822" s="637" t="s">
        <v>12702</v>
      </c>
      <c r="F8822" s="801" t="s">
        <v>12704</v>
      </c>
      <c r="G8822" s="801"/>
      <c r="H8822" s="801" t="s">
        <v>13678</v>
      </c>
      <c r="I8822" s="801"/>
      <c r="J8822" s="801" t="s">
        <v>12705</v>
      </c>
      <c r="K8822" s="801"/>
      <c r="L8822" s="801"/>
    </row>
    <row r="8823" spans="1:12" ht="17.100000000000001" customHeight="1">
      <c r="A8823" s="626" t="s">
        <v>12709</v>
      </c>
      <c r="B8823" s="627" t="s">
        <v>13222</v>
      </c>
      <c r="C8823" s="626" t="s">
        <v>8</v>
      </c>
      <c r="D8823" s="626" t="s">
        <v>7364</v>
      </c>
      <c r="E8823" s="628" t="s">
        <v>23</v>
      </c>
      <c r="F8823" s="816" t="s">
        <v>13808</v>
      </c>
      <c r="G8823" s="816"/>
      <c r="H8823" s="816">
        <v>4.0867000000000001E-2</v>
      </c>
      <c r="I8823" s="816"/>
      <c r="J8823" s="817">
        <v>0.20519999999999999</v>
      </c>
      <c r="K8823" s="817"/>
      <c r="L8823" s="817"/>
    </row>
    <row r="8824" spans="1:12" ht="24" customHeight="1">
      <c r="A8824" s="626" t="s">
        <v>12709</v>
      </c>
      <c r="B8824" s="627" t="s">
        <v>13204</v>
      </c>
      <c r="C8824" s="626" t="s">
        <v>8</v>
      </c>
      <c r="D8824" s="626" t="s">
        <v>9112</v>
      </c>
      <c r="E8824" s="628" t="s">
        <v>23</v>
      </c>
      <c r="F8824" s="816" t="s">
        <v>14479</v>
      </c>
      <c r="G8824" s="816"/>
      <c r="H8824" s="816">
        <v>4.0867000000000001E-2</v>
      </c>
      <c r="I8824" s="816"/>
      <c r="J8824" s="817">
        <v>0.29220000000000002</v>
      </c>
      <c r="K8824" s="817"/>
      <c r="L8824" s="817"/>
    </row>
    <row r="8825" spans="1:12" ht="24" customHeight="1">
      <c r="A8825" s="636"/>
      <c r="B8825" s="636"/>
      <c r="C8825" s="636"/>
      <c r="D8825" s="636"/>
      <c r="E8825" s="636"/>
      <c r="F8825" s="636"/>
      <c r="G8825" s="636"/>
      <c r="H8825" s="636"/>
      <c r="I8825" s="636"/>
      <c r="J8825" s="636" t="s">
        <v>13675</v>
      </c>
      <c r="K8825" s="636"/>
      <c r="L8825" s="636" t="s">
        <v>13691</v>
      </c>
    </row>
    <row r="8826" spans="1:12" ht="17.100000000000001" customHeight="1">
      <c r="A8826" s="802" t="s">
        <v>12720</v>
      </c>
      <c r="B8826" s="802"/>
      <c r="C8826" s="802"/>
      <c r="D8826" s="802"/>
      <c r="E8826" s="802"/>
      <c r="F8826" s="802"/>
      <c r="G8826" s="802"/>
      <c r="H8826" s="802"/>
      <c r="I8826" s="612"/>
      <c r="J8826" s="612"/>
      <c r="K8826" s="612"/>
      <c r="L8826" s="612"/>
    </row>
    <row r="8827" spans="1:12">
      <c r="A8827" s="612" t="s">
        <v>13679</v>
      </c>
      <c r="B8827" s="636" t="s">
        <v>12698</v>
      </c>
      <c r="C8827" s="612" t="s">
        <v>12699</v>
      </c>
      <c r="D8827" s="612" t="s">
        <v>12700</v>
      </c>
      <c r="E8827" s="637" t="s">
        <v>12702</v>
      </c>
      <c r="F8827" s="801" t="s">
        <v>12704</v>
      </c>
      <c r="G8827" s="801"/>
      <c r="H8827" s="801" t="s">
        <v>13678</v>
      </c>
      <c r="I8827" s="801"/>
      <c r="J8827" s="801" t="s">
        <v>12705</v>
      </c>
      <c r="K8827" s="801"/>
      <c r="L8827" s="801"/>
    </row>
    <row r="8828" spans="1:12" ht="17.100000000000001" customHeight="1">
      <c r="A8828" s="626" t="s">
        <v>12709</v>
      </c>
      <c r="B8828" s="627" t="s">
        <v>13370</v>
      </c>
      <c r="C8828" s="626" t="s">
        <v>8</v>
      </c>
      <c r="D8828" s="626" t="s">
        <v>9418</v>
      </c>
      <c r="E8828" s="628" t="s">
        <v>35</v>
      </c>
      <c r="F8828" s="816" t="s">
        <v>13786</v>
      </c>
      <c r="G8828" s="816"/>
      <c r="H8828" s="816">
        <v>8.9999999999999993E-3</v>
      </c>
      <c r="I8828" s="816"/>
      <c r="J8828" s="817">
        <v>0.03</v>
      </c>
      <c r="K8828" s="817"/>
      <c r="L8828" s="817"/>
    </row>
    <row r="8829" spans="1:12" ht="24" customHeight="1">
      <c r="A8829" s="626" t="s">
        <v>12709</v>
      </c>
      <c r="B8829" s="627" t="s">
        <v>13411</v>
      </c>
      <c r="C8829" s="626" t="s">
        <v>8</v>
      </c>
      <c r="D8829" s="626" t="s">
        <v>7994</v>
      </c>
      <c r="E8829" s="628" t="s">
        <v>17</v>
      </c>
      <c r="F8829" s="816" t="s">
        <v>14584</v>
      </c>
      <c r="G8829" s="816"/>
      <c r="H8829" s="816">
        <v>1.19</v>
      </c>
      <c r="I8829" s="816"/>
      <c r="J8829" s="817">
        <v>2.99</v>
      </c>
      <c r="K8829" s="817"/>
      <c r="L8829" s="817"/>
    </row>
    <row r="8830" spans="1:12" ht="36" customHeight="1">
      <c r="A8830" s="636"/>
      <c r="B8830" s="636"/>
      <c r="C8830" s="636"/>
      <c r="D8830" s="636"/>
      <c r="E8830" s="636"/>
      <c r="F8830" s="636"/>
      <c r="G8830" s="636"/>
      <c r="H8830" s="636"/>
      <c r="I8830" s="636"/>
      <c r="J8830" s="636" t="s">
        <v>13675</v>
      </c>
      <c r="K8830" s="636"/>
      <c r="L8830" s="636" t="s">
        <v>14167</v>
      </c>
    </row>
    <row r="8831" spans="1:12" ht="24" customHeight="1">
      <c r="A8831" s="802" t="s">
        <v>12722</v>
      </c>
      <c r="B8831" s="802"/>
      <c r="C8831" s="802"/>
      <c r="D8831" s="802"/>
      <c r="E8831" s="802"/>
      <c r="F8831" s="802"/>
      <c r="G8831" s="802"/>
      <c r="H8831" s="802"/>
      <c r="I8831" s="612"/>
      <c r="J8831" s="612"/>
      <c r="K8831" s="612"/>
      <c r="L8831" s="612"/>
    </row>
    <row r="8832" spans="1:12" ht="17.100000000000001" customHeight="1">
      <c r="A8832" s="612" t="s">
        <v>13679</v>
      </c>
      <c r="B8832" s="636" t="s">
        <v>12698</v>
      </c>
      <c r="C8832" s="612" t="s">
        <v>12699</v>
      </c>
      <c r="D8832" s="612" t="s">
        <v>12700</v>
      </c>
      <c r="E8832" s="637" t="s">
        <v>12702</v>
      </c>
      <c r="F8832" s="801" t="s">
        <v>12704</v>
      </c>
      <c r="G8832" s="801"/>
      <c r="H8832" s="801" t="s">
        <v>13678</v>
      </c>
      <c r="I8832" s="801"/>
      <c r="J8832" s="801" t="s">
        <v>12705</v>
      </c>
      <c r="K8832" s="801"/>
      <c r="L8832" s="801"/>
    </row>
    <row r="8833" spans="1:12" ht="25.5">
      <c r="A8833" s="626" t="s">
        <v>12709</v>
      </c>
      <c r="B8833" s="627" t="s">
        <v>12998</v>
      </c>
      <c r="C8833" s="626" t="s">
        <v>8</v>
      </c>
      <c r="D8833" s="626" t="s">
        <v>11861</v>
      </c>
      <c r="E8833" s="628" t="s">
        <v>23</v>
      </c>
      <c r="F8833" s="816" t="s">
        <v>13683</v>
      </c>
      <c r="G8833" s="816"/>
      <c r="H8833" s="816">
        <v>7.8110200000000005E-2</v>
      </c>
      <c r="I8833" s="816"/>
      <c r="J8833" s="817">
        <v>5.5500000000000001E-2</v>
      </c>
      <c r="K8833" s="817"/>
      <c r="L8833" s="817"/>
    </row>
    <row r="8834" spans="1:12" ht="17.100000000000001" customHeight="1">
      <c r="A8834" s="636"/>
      <c r="B8834" s="636"/>
      <c r="C8834" s="636"/>
      <c r="D8834" s="636"/>
      <c r="E8834" s="636"/>
      <c r="F8834" s="636"/>
      <c r="G8834" s="636"/>
      <c r="H8834" s="636"/>
      <c r="I8834" s="636"/>
      <c r="J8834" s="636" t="s">
        <v>13675</v>
      </c>
      <c r="K8834" s="636"/>
      <c r="L8834" s="636" t="s">
        <v>13708</v>
      </c>
    </row>
    <row r="8835" spans="1:12" ht="24" customHeight="1">
      <c r="A8835" s="802" t="s">
        <v>12713</v>
      </c>
      <c r="B8835" s="802"/>
      <c r="C8835" s="802"/>
      <c r="D8835" s="802"/>
      <c r="E8835" s="802"/>
      <c r="F8835" s="802"/>
      <c r="G8835" s="802"/>
      <c r="H8835" s="802"/>
      <c r="I8835" s="612"/>
      <c r="J8835" s="612"/>
      <c r="K8835" s="612"/>
      <c r="L8835" s="612"/>
    </row>
    <row r="8836" spans="1:12" ht="17.100000000000001" customHeight="1">
      <c r="A8836" s="612" t="s">
        <v>13679</v>
      </c>
      <c r="B8836" s="636" t="s">
        <v>12698</v>
      </c>
      <c r="C8836" s="612" t="s">
        <v>12699</v>
      </c>
      <c r="D8836" s="612" t="s">
        <v>12700</v>
      </c>
      <c r="E8836" s="637" t="s">
        <v>12702</v>
      </c>
      <c r="F8836" s="801" t="s">
        <v>12704</v>
      </c>
      <c r="G8836" s="801"/>
      <c r="H8836" s="801" t="s">
        <v>13678</v>
      </c>
      <c r="I8836" s="801"/>
      <c r="J8836" s="801" t="s">
        <v>12705</v>
      </c>
      <c r="K8836" s="801"/>
      <c r="L8836" s="801"/>
    </row>
    <row r="8837" spans="1:12" ht="25.5">
      <c r="A8837" s="626" t="s">
        <v>12709</v>
      </c>
      <c r="B8837" s="627" t="s">
        <v>12999</v>
      </c>
      <c r="C8837" s="626" t="s">
        <v>8</v>
      </c>
      <c r="D8837" s="626" t="s">
        <v>11251</v>
      </c>
      <c r="E8837" s="628" t="s">
        <v>23</v>
      </c>
      <c r="F8837" s="816" t="s">
        <v>13681</v>
      </c>
      <c r="G8837" s="816"/>
      <c r="H8837" s="816">
        <v>7.8110200000000005E-2</v>
      </c>
      <c r="I8837" s="816"/>
      <c r="J8837" s="817">
        <v>5.4999999999999997E-3</v>
      </c>
      <c r="K8837" s="817"/>
      <c r="L8837" s="817"/>
    </row>
    <row r="8838" spans="1:12" ht="17.100000000000001" customHeight="1">
      <c r="A8838" s="636"/>
      <c r="B8838" s="636"/>
      <c r="C8838" s="636"/>
      <c r="D8838" s="636"/>
      <c r="E8838" s="636"/>
      <c r="F8838" s="636"/>
      <c r="G8838" s="636"/>
      <c r="H8838" s="636"/>
      <c r="I8838" s="636"/>
      <c r="J8838" s="636" t="s">
        <v>13675</v>
      </c>
      <c r="K8838" s="636"/>
      <c r="L8838" s="636" t="s">
        <v>13728</v>
      </c>
    </row>
    <row r="8839" spans="1:12" ht="24" customHeight="1">
      <c r="A8839" s="802" t="s">
        <v>12712</v>
      </c>
      <c r="B8839" s="802"/>
      <c r="C8839" s="802"/>
      <c r="D8839" s="802"/>
      <c r="E8839" s="802"/>
      <c r="F8839" s="802"/>
      <c r="G8839" s="802"/>
      <c r="H8839" s="802"/>
      <c r="I8839" s="612"/>
      <c r="J8839" s="612"/>
      <c r="K8839" s="612"/>
      <c r="L8839" s="612"/>
    </row>
    <row r="8840" spans="1:12" ht="17.100000000000001" customHeight="1">
      <c r="A8840" s="612" t="s">
        <v>13679</v>
      </c>
      <c r="B8840" s="636" t="s">
        <v>12698</v>
      </c>
      <c r="C8840" s="612" t="s">
        <v>12699</v>
      </c>
      <c r="D8840" s="612" t="s">
        <v>12700</v>
      </c>
      <c r="E8840" s="637" t="s">
        <v>12702</v>
      </c>
      <c r="F8840" s="801" t="s">
        <v>12704</v>
      </c>
      <c r="G8840" s="801"/>
      <c r="H8840" s="801" t="s">
        <v>13678</v>
      </c>
      <c r="I8840" s="801"/>
      <c r="J8840" s="801" t="s">
        <v>12705</v>
      </c>
      <c r="K8840" s="801"/>
      <c r="L8840" s="801"/>
    </row>
    <row r="8841" spans="1:12" ht="25.5">
      <c r="A8841" s="626" t="s">
        <v>12709</v>
      </c>
      <c r="B8841" s="627" t="s">
        <v>13002</v>
      </c>
      <c r="C8841" s="626" t="s">
        <v>8</v>
      </c>
      <c r="D8841" s="626" t="s">
        <v>9306</v>
      </c>
      <c r="E8841" s="628" t="s">
        <v>23</v>
      </c>
      <c r="F8841" s="816" t="s">
        <v>13677</v>
      </c>
      <c r="G8841" s="816"/>
      <c r="H8841" s="816">
        <v>7.8110200000000005E-2</v>
      </c>
      <c r="I8841" s="816"/>
      <c r="J8841" s="817">
        <v>2.7300000000000001E-2</v>
      </c>
      <c r="K8841" s="817"/>
      <c r="L8841" s="817"/>
    </row>
    <row r="8842" spans="1:12" ht="17.100000000000001" customHeight="1">
      <c r="A8842" s="626" t="s">
        <v>12709</v>
      </c>
      <c r="B8842" s="627" t="s">
        <v>13004</v>
      </c>
      <c r="C8842" s="626" t="s">
        <v>8</v>
      </c>
      <c r="D8842" s="626" t="s">
        <v>7388</v>
      </c>
      <c r="E8842" s="628" t="s">
        <v>23</v>
      </c>
      <c r="F8842" s="816" t="s">
        <v>13676</v>
      </c>
      <c r="G8842" s="816"/>
      <c r="H8842" s="816">
        <v>7.8110200000000005E-2</v>
      </c>
      <c r="I8842" s="816"/>
      <c r="J8842" s="817">
        <v>0.17180000000000001</v>
      </c>
      <c r="K8842" s="817"/>
      <c r="L8842" s="817"/>
    </row>
    <row r="8843" spans="1:12" ht="24" customHeight="1">
      <c r="A8843" s="636"/>
      <c r="B8843" s="636"/>
      <c r="C8843" s="636"/>
      <c r="D8843" s="636"/>
      <c r="E8843" s="636"/>
      <c r="F8843" s="636"/>
      <c r="G8843" s="636"/>
      <c r="H8843" s="636"/>
      <c r="I8843" s="636"/>
      <c r="J8843" s="636" t="s">
        <v>13675</v>
      </c>
      <c r="K8843" s="636"/>
      <c r="L8843" s="636" t="s">
        <v>13855</v>
      </c>
    </row>
    <row r="8844" spans="1:12" ht="24" customHeight="1">
      <c r="A8844" s="612" t="s">
        <v>13673</v>
      </c>
      <c r="B8844" s="612"/>
      <c r="C8844" s="612"/>
      <c r="D8844" s="612"/>
      <c r="E8844" s="612"/>
      <c r="F8844" s="612"/>
      <c r="G8844" s="612"/>
      <c r="H8844" s="612"/>
      <c r="I8844" s="612"/>
      <c r="J8844" s="612"/>
      <c r="K8844" s="612"/>
      <c r="L8844" s="612"/>
    </row>
    <row r="8845" spans="1:12" ht="17.100000000000001" customHeight="1">
      <c r="A8845" s="636"/>
      <c r="B8845" s="636"/>
      <c r="C8845" s="636"/>
      <c r="D8845" s="636"/>
      <c r="E8845" s="636"/>
      <c r="F8845" s="636"/>
      <c r="G8845" s="636"/>
      <c r="H8845" s="636"/>
      <c r="I8845" s="636"/>
      <c r="J8845" s="636" t="s">
        <v>13672</v>
      </c>
      <c r="K8845" s="636"/>
      <c r="L8845" s="636" t="s">
        <v>15557</v>
      </c>
    </row>
    <row r="8846" spans="1:12" ht="17.100000000000001" customHeight="1">
      <c r="A8846" s="636"/>
      <c r="B8846" s="636"/>
      <c r="C8846" s="636"/>
      <c r="D8846" s="636"/>
      <c r="E8846" s="636"/>
      <c r="F8846" s="636"/>
      <c r="G8846" s="636"/>
      <c r="H8846" s="636"/>
      <c r="I8846" s="636"/>
      <c r="J8846" s="636" t="s">
        <v>13671</v>
      </c>
      <c r="K8846" s="636" t="s">
        <v>14461</v>
      </c>
      <c r="L8846" s="636" t="s">
        <v>15541</v>
      </c>
    </row>
    <row r="8847" spans="1:12" ht="17.100000000000001" customHeight="1">
      <c r="A8847" s="636"/>
      <c r="B8847" s="636"/>
      <c r="C8847" s="636"/>
      <c r="D8847" s="636"/>
      <c r="E8847" s="636"/>
      <c r="F8847" s="636"/>
      <c r="G8847" s="636"/>
      <c r="H8847" s="636"/>
      <c r="I8847" s="636"/>
      <c r="J8847" s="636" t="s">
        <v>13670</v>
      </c>
      <c r="K8847" s="636"/>
      <c r="L8847" s="636" t="s">
        <v>15558</v>
      </c>
    </row>
    <row r="8848" spans="1:12" ht="17.100000000000001" customHeight="1">
      <c r="A8848" s="636"/>
      <c r="B8848" s="636"/>
      <c r="C8848" s="636"/>
      <c r="D8848" s="636"/>
      <c r="E8848" s="636"/>
      <c r="F8848" s="636"/>
      <c r="G8848" s="636"/>
      <c r="H8848" s="636"/>
      <c r="I8848" s="636"/>
      <c r="J8848" s="636" t="s">
        <v>13669</v>
      </c>
      <c r="K8848" s="636" t="s">
        <v>13667</v>
      </c>
      <c r="L8848" s="636" t="s">
        <v>15559</v>
      </c>
    </row>
    <row r="8849" spans="1:12" ht="17.100000000000001" customHeight="1">
      <c r="A8849" s="636"/>
      <c r="B8849" s="636"/>
      <c r="C8849" s="636"/>
      <c r="D8849" s="636"/>
      <c r="E8849" s="636"/>
      <c r="F8849" s="636"/>
      <c r="G8849" s="636"/>
      <c r="H8849" s="636"/>
      <c r="I8849" s="636"/>
      <c r="J8849" s="636" t="s">
        <v>13668</v>
      </c>
      <c r="K8849" s="636"/>
      <c r="L8849" s="636" t="s">
        <v>15560</v>
      </c>
    </row>
    <row r="8850" spans="1:12" ht="17.100000000000001" customHeight="1">
      <c r="A8850" s="637"/>
      <c r="B8850" s="637"/>
      <c r="C8850" s="637"/>
      <c r="D8850" s="637"/>
      <c r="E8850" s="637"/>
      <c r="F8850" s="637"/>
      <c r="G8850" s="637"/>
      <c r="H8850" s="637"/>
      <c r="I8850" s="637"/>
      <c r="J8850" s="637"/>
      <c r="K8850" s="637"/>
      <c r="L8850" s="637"/>
    </row>
    <row r="8851" spans="1:12" ht="17.100000000000001" customHeight="1">
      <c r="A8851" s="616" t="s">
        <v>13909</v>
      </c>
      <c r="B8851" s="617" t="s">
        <v>13410</v>
      </c>
      <c r="C8851" s="616" t="s">
        <v>8</v>
      </c>
      <c r="D8851" s="616" t="s">
        <v>2534</v>
      </c>
      <c r="E8851" s="618" t="s">
        <v>17</v>
      </c>
      <c r="F8851" s="617"/>
      <c r="G8851" s="617"/>
      <c r="H8851" s="617"/>
      <c r="I8851" s="617"/>
      <c r="J8851" s="617"/>
      <c r="K8851" s="617"/>
      <c r="L8851" s="617"/>
    </row>
    <row r="8852" spans="1:12" ht="30" customHeight="1">
      <c r="A8852" s="802" t="s">
        <v>12711</v>
      </c>
      <c r="B8852" s="802"/>
      <c r="C8852" s="802"/>
      <c r="D8852" s="802"/>
      <c r="E8852" s="802"/>
      <c r="F8852" s="802"/>
      <c r="G8852" s="802"/>
      <c r="H8852" s="802"/>
      <c r="I8852" s="612"/>
      <c r="J8852" s="612"/>
      <c r="K8852" s="612"/>
      <c r="L8852" s="612"/>
    </row>
    <row r="8853" spans="1:12" ht="36" customHeight="1">
      <c r="A8853" s="612" t="s">
        <v>13679</v>
      </c>
      <c r="B8853" s="636" t="s">
        <v>12698</v>
      </c>
      <c r="C8853" s="612" t="s">
        <v>12699</v>
      </c>
      <c r="D8853" s="612" t="s">
        <v>12700</v>
      </c>
      <c r="E8853" s="637" t="s">
        <v>12702</v>
      </c>
      <c r="F8853" s="801" t="s">
        <v>12704</v>
      </c>
      <c r="G8853" s="801"/>
      <c r="H8853" s="801" t="s">
        <v>13678</v>
      </c>
      <c r="I8853" s="801"/>
      <c r="J8853" s="801" t="s">
        <v>12705</v>
      </c>
      <c r="K8853" s="801"/>
      <c r="L8853" s="801"/>
    </row>
    <row r="8854" spans="1:12" ht="14.25" customHeight="1">
      <c r="A8854" s="626" t="s">
        <v>12709</v>
      </c>
      <c r="B8854" s="627" t="s">
        <v>13134</v>
      </c>
      <c r="C8854" s="626" t="s">
        <v>8</v>
      </c>
      <c r="D8854" s="626" t="s">
        <v>9219</v>
      </c>
      <c r="E8854" s="628" t="s">
        <v>23</v>
      </c>
      <c r="F8854" s="816" t="s">
        <v>13782</v>
      </c>
      <c r="G8854" s="816"/>
      <c r="H8854" s="816">
        <v>0.10261439999999999</v>
      </c>
      <c r="I8854" s="816"/>
      <c r="J8854" s="817">
        <v>9.5399999999999999E-2</v>
      </c>
      <c r="K8854" s="817"/>
      <c r="L8854" s="817"/>
    </row>
    <row r="8855" spans="1:12" ht="17.100000000000001" customHeight="1">
      <c r="A8855" s="626" t="s">
        <v>12709</v>
      </c>
      <c r="B8855" s="627" t="s">
        <v>13133</v>
      </c>
      <c r="C8855" s="626" t="s">
        <v>8</v>
      </c>
      <c r="D8855" s="626" t="s">
        <v>9366</v>
      </c>
      <c r="E8855" s="628" t="s">
        <v>23</v>
      </c>
      <c r="F8855" s="816" t="s">
        <v>13781</v>
      </c>
      <c r="G8855" s="816"/>
      <c r="H8855" s="816">
        <v>0.10261439999999999</v>
      </c>
      <c r="I8855" s="816"/>
      <c r="J8855" s="817">
        <v>5.6399999999999999E-2</v>
      </c>
      <c r="K8855" s="817"/>
      <c r="L8855" s="817"/>
    </row>
    <row r="8856" spans="1:12" ht="24" customHeight="1">
      <c r="A8856" s="636"/>
      <c r="B8856" s="636"/>
      <c r="C8856" s="636"/>
      <c r="D8856" s="636"/>
      <c r="E8856" s="636"/>
      <c r="F8856" s="636"/>
      <c r="G8856" s="636"/>
      <c r="H8856" s="636"/>
      <c r="I8856" s="636"/>
      <c r="J8856" s="636" t="s">
        <v>13675</v>
      </c>
      <c r="K8856" s="636"/>
      <c r="L8856" s="636" t="s">
        <v>13795</v>
      </c>
    </row>
    <row r="8857" spans="1:12" ht="24" customHeight="1">
      <c r="A8857" s="802" t="s">
        <v>12710</v>
      </c>
      <c r="B8857" s="802"/>
      <c r="C8857" s="802"/>
      <c r="D8857" s="802"/>
      <c r="E8857" s="802"/>
      <c r="F8857" s="802"/>
      <c r="G8857" s="802"/>
      <c r="H8857" s="802"/>
      <c r="I8857" s="612"/>
      <c r="J8857" s="612"/>
      <c r="K8857" s="612"/>
      <c r="L8857" s="612"/>
    </row>
    <row r="8858" spans="1:12" ht="17.100000000000001" customHeight="1">
      <c r="A8858" s="612" t="s">
        <v>13679</v>
      </c>
      <c r="B8858" s="636" t="s">
        <v>12698</v>
      </c>
      <c r="C8858" s="612" t="s">
        <v>12699</v>
      </c>
      <c r="D8858" s="612" t="s">
        <v>12700</v>
      </c>
      <c r="E8858" s="637" t="s">
        <v>12702</v>
      </c>
      <c r="F8858" s="801" t="s">
        <v>12704</v>
      </c>
      <c r="G8858" s="801"/>
      <c r="H8858" s="801" t="s">
        <v>13678</v>
      </c>
      <c r="I8858" s="801"/>
      <c r="J8858" s="801" t="s">
        <v>12705</v>
      </c>
      <c r="K8858" s="801"/>
      <c r="L8858" s="801"/>
    </row>
    <row r="8859" spans="1:12" ht="14.25" customHeight="1">
      <c r="A8859" s="626" t="s">
        <v>12709</v>
      </c>
      <c r="B8859" s="627" t="s">
        <v>13222</v>
      </c>
      <c r="C8859" s="626" t="s">
        <v>8</v>
      </c>
      <c r="D8859" s="626" t="s">
        <v>7364</v>
      </c>
      <c r="E8859" s="628" t="s">
        <v>23</v>
      </c>
      <c r="F8859" s="816" t="s">
        <v>13808</v>
      </c>
      <c r="G8859" s="816"/>
      <c r="H8859" s="816">
        <v>5.2860499999999998E-2</v>
      </c>
      <c r="I8859" s="816"/>
      <c r="J8859" s="817">
        <v>0.26540000000000002</v>
      </c>
      <c r="K8859" s="817"/>
      <c r="L8859" s="817"/>
    </row>
    <row r="8860" spans="1:12" ht="17.100000000000001" customHeight="1">
      <c r="A8860" s="626" t="s">
        <v>12709</v>
      </c>
      <c r="B8860" s="627" t="s">
        <v>13204</v>
      </c>
      <c r="C8860" s="626" t="s">
        <v>8</v>
      </c>
      <c r="D8860" s="626" t="s">
        <v>9112</v>
      </c>
      <c r="E8860" s="628" t="s">
        <v>23</v>
      </c>
      <c r="F8860" s="816" t="s">
        <v>14479</v>
      </c>
      <c r="G8860" s="816"/>
      <c r="H8860" s="816">
        <v>5.2860499999999998E-2</v>
      </c>
      <c r="I8860" s="816"/>
      <c r="J8860" s="817">
        <v>0.378</v>
      </c>
      <c r="K8860" s="817"/>
      <c r="L8860" s="817"/>
    </row>
    <row r="8861" spans="1:12" ht="24" customHeight="1">
      <c r="A8861" s="636"/>
      <c r="B8861" s="636"/>
      <c r="C8861" s="636"/>
      <c r="D8861" s="636"/>
      <c r="E8861" s="636"/>
      <c r="F8861" s="636"/>
      <c r="G8861" s="636"/>
      <c r="H8861" s="636"/>
      <c r="I8861" s="636"/>
      <c r="J8861" s="636" t="s">
        <v>13675</v>
      </c>
      <c r="K8861" s="636"/>
      <c r="L8861" s="636" t="s">
        <v>13879</v>
      </c>
    </row>
    <row r="8862" spans="1:12" ht="24" customHeight="1">
      <c r="A8862" s="802" t="s">
        <v>12720</v>
      </c>
      <c r="B8862" s="802"/>
      <c r="C8862" s="802"/>
      <c r="D8862" s="802"/>
      <c r="E8862" s="802"/>
      <c r="F8862" s="802"/>
      <c r="G8862" s="802"/>
      <c r="H8862" s="802"/>
      <c r="I8862" s="612"/>
      <c r="J8862" s="612"/>
      <c r="K8862" s="612"/>
      <c r="L8862" s="612"/>
    </row>
    <row r="8863" spans="1:12" ht="17.100000000000001" customHeight="1">
      <c r="A8863" s="612" t="s">
        <v>13679</v>
      </c>
      <c r="B8863" s="636" t="s">
        <v>12698</v>
      </c>
      <c r="C8863" s="612" t="s">
        <v>12699</v>
      </c>
      <c r="D8863" s="612" t="s">
        <v>12700</v>
      </c>
      <c r="E8863" s="637" t="s">
        <v>12702</v>
      </c>
      <c r="F8863" s="801" t="s">
        <v>12704</v>
      </c>
      <c r="G8863" s="801"/>
      <c r="H8863" s="801" t="s">
        <v>13678</v>
      </c>
      <c r="I8863" s="801"/>
      <c r="J8863" s="801" t="s">
        <v>12705</v>
      </c>
      <c r="K8863" s="801"/>
      <c r="L8863" s="801"/>
    </row>
    <row r="8864" spans="1:12" ht="25.5">
      <c r="A8864" s="626" t="s">
        <v>12709</v>
      </c>
      <c r="B8864" s="627" t="s">
        <v>13370</v>
      </c>
      <c r="C8864" s="626" t="s">
        <v>8</v>
      </c>
      <c r="D8864" s="626" t="s">
        <v>9418</v>
      </c>
      <c r="E8864" s="628" t="s">
        <v>35</v>
      </c>
      <c r="F8864" s="816" t="s">
        <v>13786</v>
      </c>
      <c r="G8864" s="816"/>
      <c r="H8864" s="816">
        <v>8.9999999999999993E-3</v>
      </c>
      <c r="I8864" s="816"/>
      <c r="J8864" s="817">
        <v>0.03</v>
      </c>
      <c r="K8864" s="817"/>
      <c r="L8864" s="817"/>
    </row>
    <row r="8865" spans="1:12" ht="17.100000000000001" customHeight="1">
      <c r="A8865" s="626" t="s">
        <v>12709</v>
      </c>
      <c r="B8865" s="627" t="s">
        <v>13409</v>
      </c>
      <c r="C8865" s="626" t="s">
        <v>8</v>
      </c>
      <c r="D8865" s="626" t="s">
        <v>7996</v>
      </c>
      <c r="E8865" s="628" t="s">
        <v>17</v>
      </c>
      <c r="F8865" s="816" t="s">
        <v>13975</v>
      </c>
      <c r="G8865" s="816"/>
      <c r="H8865" s="816">
        <v>1.19</v>
      </c>
      <c r="I8865" s="816"/>
      <c r="J8865" s="817">
        <v>4.2</v>
      </c>
      <c r="K8865" s="817"/>
      <c r="L8865" s="817"/>
    </row>
    <row r="8866" spans="1:12" ht="24" customHeight="1">
      <c r="A8866" s="636"/>
      <c r="B8866" s="636"/>
      <c r="C8866" s="636"/>
      <c r="D8866" s="636"/>
      <c r="E8866" s="636"/>
      <c r="F8866" s="636"/>
      <c r="G8866" s="636"/>
      <c r="H8866" s="636"/>
      <c r="I8866" s="636"/>
      <c r="J8866" s="636" t="s">
        <v>13675</v>
      </c>
      <c r="K8866" s="636"/>
      <c r="L8866" s="636" t="s">
        <v>14583</v>
      </c>
    </row>
    <row r="8867" spans="1:12" ht="36" customHeight="1">
      <c r="A8867" s="802" t="s">
        <v>12722</v>
      </c>
      <c r="B8867" s="802"/>
      <c r="C8867" s="802"/>
      <c r="D8867" s="802"/>
      <c r="E8867" s="802"/>
      <c r="F8867" s="802"/>
      <c r="G8867" s="802"/>
      <c r="H8867" s="802"/>
      <c r="I8867" s="612"/>
      <c r="J8867" s="612"/>
      <c r="K8867" s="612"/>
      <c r="L8867" s="612"/>
    </row>
    <row r="8868" spans="1:12" ht="24" customHeight="1">
      <c r="A8868" s="612" t="s">
        <v>13679</v>
      </c>
      <c r="B8868" s="636" t="s">
        <v>12698</v>
      </c>
      <c r="C8868" s="612" t="s">
        <v>12699</v>
      </c>
      <c r="D8868" s="612" t="s">
        <v>12700</v>
      </c>
      <c r="E8868" s="637" t="s">
        <v>12702</v>
      </c>
      <c r="F8868" s="801" t="s">
        <v>12704</v>
      </c>
      <c r="G8868" s="801"/>
      <c r="H8868" s="801" t="s">
        <v>13678</v>
      </c>
      <c r="I8868" s="801"/>
      <c r="J8868" s="801" t="s">
        <v>12705</v>
      </c>
      <c r="K8868" s="801"/>
      <c r="L8868" s="801"/>
    </row>
    <row r="8869" spans="1:12" ht="17.100000000000001" customHeight="1">
      <c r="A8869" s="626" t="s">
        <v>12709</v>
      </c>
      <c r="B8869" s="627" t="s">
        <v>12998</v>
      </c>
      <c r="C8869" s="626" t="s">
        <v>8</v>
      </c>
      <c r="D8869" s="626" t="s">
        <v>11861</v>
      </c>
      <c r="E8869" s="628" t="s">
        <v>23</v>
      </c>
      <c r="F8869" s="816" t="s">
        <v>13683</v>
      </c>
      <c r="G8869" s="816"/>
      <c r="H8869" s="816">
        <v>0.10261439999999999</v>
      </c>
      <c r="I8869" s="816"/>
      <c r="J8869" s="817">
        <v>7.2900000000000006E-2</v>
      </c>
      <c r="K8869" s="817"/>
      <c r="L8869" s="817"/>
    </row>
    <row r="8870" spans="1:12">
      <c r="A8870" s="636"/>
      <c r="B8870" s="636"/>
      <c r="C8870" s="636"/>
      <c r="D8870" s="636"/>
      <c r="E8870" s="636"/>
      <c r="F8870" s="636"/>
      <c r="G8870" s="636"/>
      <c r="H8870" s="636"/>
      <c r="I8870" s="636"/>
      <c r="J8870" s="636" t="s">
        <v>13675</v>
      </c>
      <c r="K8870" s="636"/>
      <c r="L8870" s="636" t="s">
        <v>13681</v>
      </c>
    </row>
    <row r="8871" spans="1:12" ht="17.100000000000001" customHeight="1">
      <c r="A8871" s="802" t="s">
        <v>12713</v>
      </c>
      <c r="B8871" s="802"/>
      <c r="C8871" s="802"/>
      <c r="D8871" s="802"/>
      <c r="E8871" s="802"/>
      <c r="F8871" s="802"/>
      <c r="G8871" s="802"/>
      <c r="H8871" s="802"/>
      <c r="I8871" s="612"/>
      <c r="J8871" s="612"/>
      <c r="K8871" s="612"/>
      <c r="L8871" s="612"/>
    </row>
    <row r="8872" spans="1:12" ht="24" customHeight="1">
      <c r="A8872" s="612" t="s">
        <v>13679</v>
      </c>
      <c r="B8872" s="636" t="s">
        <v>12698</v>
      </c>
      <c r="C8872" s="612" t="s">
        <v>12699</v>
      </c>
      <c r="D8872" s="612" t="s">
        <v>12700</v>
      </c>
      <c r="E8872" s="637" t="s">
        <v>12702</v>
      </c>
      <c r="F8872" s="801" t="s">
        <v>12704</v>
      </c>
      <c r="G8872" s="801"/>
      <c r="H8872" s="801" t="s">
        <v>13678</v>
      </c>
      <c r="I8872" s="801"/>
      <c r="J8872" s="801" t="s">
        <v>12705</v>
      </c>
      <c r="K8872" s="801"/>
      <c r="L8872" s="801"/>
    </row>
    <row r="8873" spans="1:12" ht="17.100000000000001" customHeight="1">
      <c r="A8873" s="626" t="s">
        <v>12709</v>
      </c>
      <c r="B8873" s="627" t="s">
        <v>12999</v>
      </c>
      <c r="C8873" s="626" t="s">
        <v>8</v>
      </c>
      <c r="D8873" s="626" t="s">
        <v>11251</v>
      </c>
      <c r="E8873" s="628" t="s">
        <v>23</v>
      </c>
      <c r="F8873" s="816" t="s">
        <v>13681</v>
      </c>
      <c r="G8873" s="816"/>
      <c r="H8873" s="816">
        <v>0.10261439999999999</v>
      </c>
      <c r="I8873" s="816"/>
      <c r="J8873" s="817">
        <v>7.1999999999999998E-3</v>
      </c>
      <c r="K8873" s="817"/>
      <c r="L8873" s="817"/>
    </row>
    <row r="8874" spans="1:12">
      <c r="A8874" s="636"/>
      <c r="B8874" s="636"/>
      <c r="C8874" s="636"/>
      <c r="D8874" s="636"/>
      <c r="E8874" s="636"/>
      <c r="F8874" s="636"/>
      <c r="G8874" s="636"/>
      <c r="H8874" s="636"/>
      <c r="I8874" s="636"/>
      <c r="J8874" s="636" t="s">
        <v>13675</v>
      </c>
      <c r="K8874" s="636"/>
      <c r="L8874" s="636" t="s">
        <v>13728</v>
      </c>
    </row>
    <row r="8875" spans="1:12" ht="17.100000000000001" customHeight="1">
      <c r="A8875" s="802" t="s">
        <v>12712</v>
      </c>
      <c r="B8875" s="802"/>
      <c r="C8875" s="802"/>
      <c r="D8875" s="802"/>
      <c r="E8875" s="802"/>
      <c r="F8875" s="802"/>
      <c r="G8875" s="802"/>
      <c r="H8875" s="802"/>
      <c r="I8875" s="612"/>
      <c r="J8875" s="612"/>
      <c r="K8875" s="612"/>
      <c r="L8875" s="612"/>
    </row>
    <row r="8876" spans="1:12" ht="24" customHeight="1">
      <c r="A8876" s="612" t="s">
        <v>13679</v>
      </c>
      <c r="B8876" s="636" t="s">
        <v>12698</v>
      </c>
      <c r="C8876" s="612" t="s">
        <v>12699</v>
      </c>
      <c r="D8876" s="612" t="s">
        <v>12700</v>
      </c>
      <c r="E8876" s="637" t="s">
        <v>12702</v>
      </c>
      <c r="F8876" s="801" t="s">
        <v>12704</v>
      </c>
      <c r="G8876" s="801"/>
      <c r="H8876" s="801" t="s">
        <v>13678</v>
      </c>
      <c r="I8876" s="801"/>
      <c r="J8876" s="801" t="s">
        <v>12705</v>
      </c>
      <c r="K8876" s="801"/>
      <c r="L8876" s="801"/>
    </row>
    <row r="8877" spans="1:12" ht="17.100000000000001" customHeight="1">
      <c r="A8877" s="626" t="s">
        <v>12709</v>
      </c>
      <c r="B8877" s="627" t="s">
        <v>13002</v>
      </c>
      <c r="C8877" s="626" t="s">
        <v>8</v>
      </c>
      <c r="D8877" s="626" t="s">
        <v>9306</v>
      </c>
      <c r="E8877" s="628" t="s">
        <v>23</v>
      </c>
      <c r="F8877" s="816" t="s">
        <v>13677</v>
      </c>
      <c r="G8877" s="816"/>
      <c r="H8877" s="816">
        <v>0.10261439999999999</v>
      </c>
      <c r="I8877" s="816"/>
      <c r="J8877" s="817">
        <v>3.5900000000000001E-2</v>
      </c>
      <c r="K8877" s="817"/>
      <c r="L8877" s="817"/>
    </row>
    <row r="8878" spans="1:12" ht="25.5">
      <c r="A8878" s="626" t="s">
        <v>12709</v>
      </c>
      <c r="B8878" s="627" t="s">
        <v>13004</v>
      </c>
      <c r="C8878" s="626" t="s">
        <v>8</v>
      </c>
      <c r="D8878" s="626" t="s">
        <v>7388</v>
      </c>
      <c r="E8878" s="628" t="s">
        <v>23</v>
      </c>
      <c r="F8878" s="816" t="s">
        <v>13676</v>
      </c>
      <c r="G8878" s="816"/>
      <c r="H8878" s="816">
        <v>0.10261439999999999</v>
      </c>
      <c r="I8878" s="816"/>
      <c r="J8878" s="817">
        <v>0.2258</v>
      </c>
      <c r="K8878" s="817"/>
      <c r="L8878" s="817"/>
    </row>
    <row r="8879" spans="1:12" ht="17.100000000000001" customHeight="1">
      <c r="A8879" s="636"/>
      <c r="B8879" s="636"/>
      <c r="C8879" s="636"/>
      <c r="D8879" s="636"/>
      <c r="E8879" s="636"/>
      <c r="F8879" s="636"/>
      <c r="G8879" s="636"/>
      <c r="H8879" s="636"/>
      <c r="I8879" s="636"/>
      <c r="J8879" s="636" t="s">
        <v>13675</v>
      </c>
      <c r="K8879" s="636"/>
      <c r="L8879" s="636" t="s">
        <v>13869</v>
      </c>
    </row>
    <row r="8880" spans="1:12" ht="24" customHeight="1">
      <c r="A8880" s="612" t="s">
        <v>13673</v>
      </c>
      <c r="B8880" s="612"/>
      <c r="C8880" s="612"/>
      <c r="D8880" s="612"/>
      <c r="E8880" s="612"/>
      <c r="F8880" s="612"/>
      <c r="G8880" s="612"/>
      <c r="H8880" s="612"/>
      <c r="I8880" s="612"/>
      <c r="J8880" s="612"/>
      <c r="K8880" s="612"/>
      <c r="L8880" s="612"/>
    </row>
    <row r="8881" spans="1:12" ht="24" customHeight="1">
      <c r="A8881" s="636"/>
      <c r="B8881" s="636"/>
      <c r="C8881" s="636"/>
      <c r="D8881" s="636"/>
      <c r="E8881" s="636"/>
      <c r="F8881" s="636"/>
      <c r="G8881" s="636"/>
      <c r="H8881" s="636"/>
      <c r="I8881" s="636"/>
      <c r="J8881" s="636" t="s">
        <v>13672</v>
      </c>
      <c r="K8881" s="636"/>
      <c r="L8881" s="636" t="s">
        <v>15561</v>
      </c>
    </row>
    <row r="8882" spans="1:12" ht="17.100000000000001" customHeight="1">
      <c r="A8882" s="636"/>
      <c r="B8882" s="636"/>
      <c r="C8882" s="636"/>
      <c r="D8882" s="636"/>
      <c r="E8882" s="636"/>
      <c r="F8882" s="636"/>
      <c r="G8882" s="636"/>
      <c r="H8882" s="636"/>
      <c r="I8882" s="636"/>
      <c r="J8882" s="636" t="s">
        <v>13671</v>
      </c>
      <c r="K8882" s="636" t="s">
        <v>14461</v>
      </c>
      <c r="L8882" s="636" t="s">
        <v>15562</v>
      </c>
    </row>
    <row r="8883" spans="1:12" ht="17.100000000000001" customHeight="1">
      <c r="A8883" s="636"/>
      <c r="B8883" s="636"/>
      <c r="C8883" s="636"/>
      <c r="D8883" s="636"/>
      <c r="E8883" s="636"/>
      <c r="F8883" s="636"/>
      <c r="G8883" s="636"/>
      <c r="H8883" s="636"/>
      <c r="I8883" s="636"/>
      <c r="J8883" s="636" t="s">
        <v>13670</v>
      </c>
      <c r="K8883" s="636"/>
      <c r="L8883" s="636" t="s">
        <v>14937</v>
      </c>
    </row>
    <row r="8884" spans="1:12" ht="17.100000000000001" customHeight="1">
      <c r="A8884" s="636"/>
      <c r="B8884" s="636"/>
      <c r="C8884" s="636"/>
      <c r="D8884" s="636"/>
      <c r="E8884" s="636"/>
      <c r="F8884" s="636"/>
      <c r="G8884" s="636"/>
      <c r="H8884" s="636"/>
      <c r="I8884" s="636"/>
      <c r="J8884" s="636" t="s">
        <v>13669</v>
      </c>
      <c r="K8884" s="636" t="s">
        <v>13667</v>
      </c>
      <c r="L8884" s="636" t="s">
        <v>15181</v>
      </c>
    </row>
    <row r="8885" spans="1:12" ht="17.100000000000001" customHeight="1">
      <c r="A8885" s="636"/>
      <c r="B8885" s="636"/>
      <c r="C8885" s="636"/>
      <c r="D8885" s="636"/>
      <c r="E8885" s="636"/>
      <c r="F8885" s="636"/>
      <c r="G8885" s="636"/>
      <c r="H8885" s="636"/>
      <c r="I8885" s="636"/>
      <c r="J8885" s="636" t="s">
        <v>13668</v>
      </c>
      <c r="K8885" s="636"/>
      <c r="L8885" s="636" t="s">
        <v>15405</v>
      </c>
    </row>
    <row r="8886" spans="1:12" ht="17.100000000000001" customHeight="1">
      <c r="A8886" s="637"/>
      <c r="B8886" s="637"/>
      <c r="C8886" s="637"/>
      <c r="D8886" s="637"/>
      <c r="E8886" s="637"/>
      <c r="F8886" s="637"/>
      <c r="G8886" s="637"/>
      <c r="H8886" s="637"/>
      <c r="I8886" s="637"/>
      <c r="J8886" s="637"/>
      <c r="K8886" s="637"/>
      <c r="L8886" s="637"/>
    </row>
    <row r="8887" spans="1:12" ht="17.100000000000001" customHeight="1">
      <c r="A8887" s="616" t="s">
        <v>13908</v>
      </c>
      <c r="B8887" s="617" t="s">
        <v>13408</v>
      </c>
      <c r="C8887" s="616" t="s">
        <v>8</v>
      </c>
      <c r="D8887" s="616" t="s">
        <v>589</v>
      </c>
      <c r="E8887" s="618" t="s">
        <v>35</v>
      </c>
      <c r="F8887" s="617"/>
      <c r="G8887" s="617"/>
      <c r="H8887" s="617"/>
      <c r="I8887" s="617"/>
      <c r="J8887" s="617"/>
      <c r="K8887" s="617"/>
      <c r="L8887" s="617"/>
    </row>
    <row r="8888" spans="1:12" ht="17.100000000000001" customHeight="1">
      <c r="A8888" s="802" t="s">
        <v>12711</v>
      </c>
      <c r="B8888" s="802"/>
      <c r="C8888" s="802"/>
      <c r="D8888" s="802"/>
      <c r="E8888" s="802"/>
      <c r="F8888" s="802"/>
      <c r="G8888" s="802"/>
      <c r="H8888" s="802"/>
      <c r="I8888" s="612"/>
      <c r="J8888" s="612"/>
      <c r="K8888" s="612"/>
      <c r="L8888" s="612"/>
    </row>
    <row r="8889" spans="1:12" ht="30" customHeight="1">
      <c r="A8889" s="612" t="s">
        <v>13679</v>
      </c>
      <c r="B8889" s="636" t="s">
        <v>12698</v>
      </c>
      <c r="C8889" s="612" t="s">
        <v>12699</v>
      </c>
      <c r="D8889" s="612" t="s">
        <v>12700</v>
      </c>
      <c r="E8889" s="637" t="s">
        <v>12702</v>
      </c>
      <c r="F8889" s="801" t="s">
        <v>12704</v>
      </c>
      <c r="G8889" s="801"/>
      <c r="H8889" s="801" t="s">
        <v>13678</v>
      </c>
      <c r="I8889" s="801"/>
      <c r="J8889" s="801" t="s">
        <v>12705</v>
      </c>
      <c r="K8889" s="801"/>
      <c r="L8889" s="801"/>
    </row>
    <row r="8890" spans="1:12" ht="36" customHeight="1">
      <c r="A8890" s="626" t="s">
        <v>12709</v>
      </c>
      <c r="B8890" s="627" t="s">
        <v>13134</v>
      </c>
      <c r="C8890" s="626" t="s">
        <v>8</v>
      </c>
      <c r="D8890" s="626" t="s">
        <v>9219</v>
      </c>
      <c r="E8890" s="628" t="s">
        <v>23</v>
      </c>
      <c r="F8890" s="816" t="s">
        <v>13782</v>
      </c>
      <c r="G8890" s="816"/>
      <c r="H8890" s="816">
        <v>0.57319739999999997</v>
      </c>
      <c r="I8890" s="816"/>
      <c r="J8890" s="817">
        <v>0.53310000000000002</v>
      </c>
      <c r="K8890" s="817"/>
      <c r="L8890" s="817"/>
    </row>
    <row r="8891" spans="1:12" ht="14.25" customHeight="1">
      <c r="A8891" s="626" t="s">
        <v>12709</v>
      </c>
      <c r="B8891" s="627" t="s">
        <v>13133</v>
      </c>
      <c r="C8891" s="626" t="s">
        <v>8</v>
      </c>
      <c r="D8891" s="626" t="s">
        <v>9366</v>
      </c>
      <c r="E8891" s="628" t="s">
        <v>23</v>
      </c>
      <c r="F8891" s="816" t="s">
        <v>13781</v>
      </c>
      <c r="G8891" s="816"/>
      <c r="H8891" s="816">
        <v>0.57319739999999997</v>
      </c>
      <c r="I8891" s="816"/>
      <c r="J8891" s="817">
        <v>0.31530000000000002</v>
      </c>
      <c r="K8891" s="817"/>
      <c r="L8891" s="817"/>
    </row>
    <row r="8892" spans="1:12" ht="17.100000000000001" customHeight="1">
      <c r="A8892" s="636"/>
      <c r="B8892" s="636"/>
      <c r="C8892" s="636"/>
      <c r="D8892" s="636"/>
      <c r="E8892" s="636"/>
      <c r="F8892" s="636"/>
      <c r="G8892" s="636"/>
      <c r="H8892" s="636"/>
      <c r="I8892" s="636"/>
      <c r="J8892" s="636" t="s">
        <v>13675</v>
      </c>
      <c r="K8892" s="636"/>
      <c r="L8892" s="636" t="s">
        <v>13906</v>
      </c>
    </row>
    <row r="8893" spans="1:12" ht="24" customHeight="1">
      <c r="A8893" s="802" t="s">
        <v>12710</v>
      </c>
      <c r="B8893" s="802"/>
      <c r="C8893" s="802"/>
      <c r="D8893" s="802"/>
      <c r="E8893" s="802"/>
      <c r="F8893" s="802"/>
      <c r="G8893" s="802"/>
      <c r="H8893" s="802"/>
      <c r="I8893" s="612"/>
      <c r="J8893" s="612"/>
      <c r="K8893" s="612"/>
      <c r="L8893" s="612"/>
    </row>
    <row r="8894" spans="1:12" ht="24" customHeight="1">
      <c r="A8894" s="612" t="s">
        <v>13679</v>
      </c>
      <c r="B8894" s="636" t="s">
        <v>12698</v>
      </c>
      <c r="C8894" s="612" t="s">
        <v>12699</v>
      </c>
      <c r="D8894" s="612" t="s">
        <v>12700</v>
      </c>
      <c r="E8894" s="637" t="s">
        <v>12702</v>
      </c>
      <c r="F8894" s="801" t="s">
        <v>12704</v>
      </c>
      <c r="G8894" s="801"/>
      <c r="H8894" s="801" t="s">
        <v>13678</v>
      </c>
      <c r="I8894" s="801"/>
      <c r="J8894" s="801" t="s">
        <v>12705</v>
      </c>
      <c r="K8894" s="801"/>
      <c r="L8894" s="801"/>
    </row>
    <row r="8895" spans="1:12" ht="17.100000000000001" customHeight="1">
      <c r="A8895" s="626" t="s">
        <v>12709</v>
      </c>
      <c r="B8895" s="627" t="s">
        <v>13204</v>
      </c>
      <c r="C8895" s="626" t="s">
        <v>8</v>
      </c>
      <c r="D8895" s="626" t="s">
        <v>9112</v>
      </c>
      <c r="E8895" s="628" t="s">
        <v>23</v>
      </c>
      <c r="F8895" s="816" t="s">
        <v>14479</v>
      </c>
      <c r="G8895" s="816"/>
      <c r="H8895" s="816">
        <v>0.35757519999999998</v>
      </c>
      <c r="I8895" s="816"/>
      <c r="J8895" s="817">
        <v>2.5567000000000002</v>
      </c>
      <c r="K8895" s="817"/>
      <c r="L8895" s="817"/>
    </row>
    <row r="8896" spans="1:12" ht="14.25" customHeight="1">
      <c r="A8896" s="626" t="s">
        <v>12709</v>
      </c>
      <c r="B8896" s="627" t="s">
        <v>13222</v>
      </c>
      <c r="C8896" s="626" t="s">
        <v>8</v>
      </c>
      <c r="D8896" s="626" t="s">
        <v>7364</v>
      </c>
      <c r="E8896" s="628" t="s">
        <v>23</v>
      </c>
      <c r="F8896" s="816" t="s">
        <v>13808</v>
      </c>
      <c r="G8896" s="816"/>
      <c r="H8896" s="816">
        <v>0.23052839999999999</v>
      </c>
      <c r="I8896" s="816"/>
      <c r="J8896" s="817">
        <v>1.1573</v>
      </c>
      <c r="K8896" s="817"/>
      <c r="L8896" s="817"/>
    </row>
    <row r="8897" spans="1:12" ht="17.100000000000001" customHeight="1">
      <c r="A8897" s="636"/>
      <c r="B8897" s="636"/>
      <c r="C8897" s="636"/>
      <c r="D8897" s="636"/>
      <c r="E8897" s="636"/>
      <c r="F8897" s="636"/>
      <c r="G8897" s="636"/>
      <c r="H8897" s="636"/>
      <c r="I8897" s="636"/>
      <c r="J8897" s="636" t="s">
        <v>13675</v>
      </c>
      <c r="K8897" s="636"/>
      <c r="L8897" s="636" t="s">
        <v>14582</v>
      </c>
    </row>
    <row r="8898" spans="1:12" ht="24" customHeight="1">
      <c r="A8898" s="802" t="s">
        <v>12720</v>
      </c>
      <c r="B8898" s="802"/>
      <c r="C8898" s="802"/>
      <c r="D8898" s="802"/>
      <c r="E8898" s="802"/>
      <c r="F8898" s="802"/>
      <c r="G8898" s="802"/>
      <c r="H8898" s="802"/>
      <c r="I8898" s="612"/>
      <c r="J8898" s="612"/>
      <c r="K8898" s="612"/>
      <c r="L8898" s="612"/>
    </row>
    <row r="8899" spans="1:12" ht="24" customHeight="1">
      <c r="A8899" s="612" t="s">
        <v>13679</v>
      </c>
      <c r="B8899" s="636" t="s">
        <v>12698</v>
      </c>
      <c r="C8899" s="612" t="s">
        <v>12699</v>
      </c>
      <c r="D8899" s="612" t="s">
        <v>12700</v>
      </c>
      <c r="E8899" s="637" t="s">
        <v>12702</v>
      </c>
      <c r="F8899" s="801" t="s">
        <v>12704</v>
      </c>
      <c r="G8899" s="801"/>
      <c r="H8899" s="801" t="s">
        <v>13678</v>
      </c>
      <c r="I8899" s="801"/>
      <c r="J8899" s="801" t="s">
        <v>12705</v>
      </c>
      <c r="K8899" s="801"/>
      <c r="L8899" s="801"/>
    </row>
    <row r="8900" spans="1:12" ht="17.100000000000001" customHeight="1">
      <c r="A8900" s="626" t="s">
        <v>12709</v>
      </c>
      <c r="B8900" s="627" t="s">
        <v>13040</v>
      </c>
      <c r="C8900" s="626" t="s">
        <v>8</v>
      </c>
      <c r="D8900" s="626" t="s">
        <v>9280</v>
      </c>
      <c r="E8900" s="628" t="s">
        <v>35</v>
      </c>
      <c r="F8900" s="816" t="s">
        <v>14572</v>
      </c>
      <c r="G8900" s="816"/>
      <c r="H8900" s="816">
        <v>0.99860170000000004</v>
      </c>
      <c r="I8900" s="816"/>
      <c r="J8900" s="817">
        <v>1.7376</v>
      </c>
      <c r="K8900" s="817"/>
      <c r="L8900" s="817"/>
    </row>
    <row r="8901" spans="1:12" ht="38.25">
      <c r="A8901" s="626" t="s">
        <v>12709</v>
      </c>
      <c r="B8901" s="627" t="s">
        <v>13039</v>
      </c>
      <c r="C8901" s="626" t="s">
        <v>8</v>
      </c>
      <c r="D8901" s="626" t="s">
        <v>11339</v>
      </c>
      <c r="E8901" s="628" t="s">
        <v>35</v>
      </c>
      <c r="F8901" s="816" t="s">
        <v>13918</v>
      </c>
      <c r="G8901" s="816"/>
      <c r="H8901" s="816">
        <v>0.99860170000000004</v>
      </c>
      <c r="I8901" s="816"/>
      <c r="J8901" s="817">
        <v>0.89870000000000005</v>
      </c>
      <c r="K8901" s="817"/>
      <c r="L8901" s="817"/>
    </row>
    <row r="8902" spans="1:12" ht="17.100000000000001" customHeight="1">
      <c r="A8902" s="626" t="s">
        <v>12709</v>
      </c>
      <c r="B8902" s="627" t="s">
        <v>13161</v>
      </c>
      <c r="C8902" s="626" t="s">
        <v>8</v>
      </c>
      <c r="D8902" s="626" t="s">
        <v>9643</v>
      </c>
      <c r="E8902" s="628" t="s">
        <v>35</v>
      </c>
      <c r="F8902" s="816" t="s">
        <v>14577</v>
      </c>
      <c r="G8902" s="816"/>
      <c r="H8902" s="816">
        <v>0.99860170000000004</v>
      </c>
      <c r="I8902" s="816"/>
      <c r="J8902" s="817">
        <v>4.1142000000000003</v>
      </c>
      <c r="K8902" s="817"/>
      <c r="L8902" s="817"/>
    </row>
    <row r="8903" spans="1:12" ht="24" customHeight="1">
      <c r="A8903" s="636"/>
      <c r="B8903" s="636"/>
      <c r="C8903" s="636"/>
      <c r="D8903" s="636"/>
      <c r="E8903" s="636"/>
      <c r="F8903" s="636"/>
      <c r="G8903" s="636"/>
      <c r="H8903" s="636"/>
      <c r="I8903" s="636"/>
      <c r="J8903" s="636" t="s">
        <v>13675</v>
      </c>
      <c r="K8903" s="636"/>
      <c r="L8903" s="636" t="s">
        <v>14581</v>
      </c>
    </row>
    <row r="8904" spans="1:12" ht="36" customHeight="1">
      <c r="A8904" s="802" t="s">
        <v>12722</v>
      </c>
      <c r="B8904" s="802"/>
      <c r="C8904" s="802"/>
      <c r="D8904" s="802"/>
      <c r="E8904" s="802"/>
      <c r="F8904" s="802"/>
      <c r="G8904" s="802"/>
      <c r="H8904" s="802"/>
      <c r="I8904" s="612"/>
      <c r="J8904" s="612"/>
      <c r="K8904" s="612"/>
      <c r="L8904" s="612"/>
    </row>
    <row r="8905" spans="1:12" ht="24" customHeight="1">
      <c r="A8905" s="612" t="s">
        <v>13679</v>
      </c>
      <c r="B8905" s="636" t="s">
        <v>12698</v>
      </c>
      <c r="C8905" s="612" t="s">
        <v>12699</v>
      </c>
      <c r="D8905" s="612" t="s">
        <v>12700</v>
      </c>
      <c r="E8905" s="637" t="s">
        <v>12702</v>
      </c>
      <c r="F8905" s="801" t="s">
        <v>12704</v>
      </c>
      <c r="G8905" s="801"/>
      <c r="H8905" s="801" t="s">
        <v>13678</v>
      </c>
      <c r="I8905" s="801"/>
      <c r="J8905" s="801" t="s">
        <v>12705</v>
      </c>
      <c r="K8905" s="801"/>
      <c r="L8905" s="801"/>
    </row>
    <row r="8906" spans="1:12" ht="17.100000000000001" customHeight="1">
      <c r="A8906" s="626" t="s">
        <v>12709</v>
      </c>
      <c r="B8906" s="627" t="s">
        <v>12998</v>
      </c>
      <c r="C8906" s="626" t="s">
        <v>8</v>
      </c>
      <c r="D8906" s="626" t="s">
        <v>11861</v>
      </c>
      <c r="E8906" s="628" t="s">
        <v>23</v>
      </c>
      <c r="F8906" s="816" t="s">
        <v>13683</v>
      </c>
      <c r="G8906" s="816"/>
      <c r="H8906" s="816">
        <v>0.57319739999999997</v>
      </c>
      <c r="I8906" s="816"/>
      <c r="J8906" s="817">
        <v>0.40699999999999997</v>
      </c>
      <c r="K8906" s="817"/>
      <c r="L8906" s="817"/>
    </row>
    <row r="8907" spans="1:12">
      <c r="A8907" s="636"/>
      <c r="B8907" s="636"/>
      <c r="C8907" s="636"/>
      <c r="D8907" s="636"/>
      <c r="E8907" s="636"/>
      <c r="F8907" s="636"/>
      <c r="G8907" s="636"/>
      <c r="H8907" s="636"/>
      <c r="I8907" s="636"/>
      <c r="J8907" s="636" t="s">
        <v>13675</v>
      </c>
      <c r="K8907" s="636"/>
      <c r="L8907" s="636" t="s">
        <v>13905</v>
      </c>
    </row>
    <row r="8908" spans="1:12" ht="17.100000000000001" customHeight="1">
      <c r="A8908" s="802" t="s">
        <v>12713</v>
      </c>
      <c r="B8908" s="802"/>
      <c r="C8908" s="802"/>
      <c r="D8908" s="802"/>
      <c r="E8908" s="802"/>
      <c r="F8908" s="802"/>
      <c r="G8908" s="802"/>
      <c r="H8908" s="802"/>
      <c r="I8908" s="612"/>
      <c r="J8908" s="612"/>
      <c r="K8908" s="612"/>
      <c r="L8908" s="612"/>
    </row>
    <row r="8909" spans="1:12" ht="24" customHeight="1">
      <c r="A8909" s="612" t="s">
        <v>13679</v>
      </c>
      <c r="B8909" s="636" t="s">
        <v>12698</v>
      </c>
      <c r="C8909" s="612" t="s">
        <v>12699</v>
      </c>
      <c r="D8909" s="612" t="s">
        <v>12700</v>
      </c>
      <c r="E8909" s="637" t="s">
        <v>12702</v>
      </c>
      <c r="F8909" s="801" t="s">
        <v>12704</v>
      </c>
      <c r="G8909" s="801"/>
      <c r="H8909" s="801" t="s">
        <v>13678</v>
      </c>
      <c r="I8909" s="801"/>
      <c r="J8909" s="801" t="s">
        <v>12705</v>
      </c>
      <c r="K8909" s="801"/>
      <c r="L8909" s="801"/>
    </row>
    <row r="8910" spans="1:12" ht="17.100000000000001" customHeight="1">
      <c r="A8910" s="626" t="s">
        <v>12709</v>
      </c>
      <c r="B8910" s="627" t="s">
        <v>12999</v>
      </c>
      <c r="C8910" s="626" t="s">
        <v>8</v>
      </c>
      <c r="D8910" s="626" t="s">
        <v>11251</v>
      </c>
      <c r="E8910" s="628" t="s">
        <v>23</v>
      </c>
      <c r="F8910" s="816" t="s">
        <v>13681</v>
      </c>
      <c r="G8910" s="816"/>
      <c r="H8910" s="816">
        <v>0.57319739999999997</v>
      </c>
      <c r="I8910" s="816"/>
      <c r="J8910" s="817">
        <v>4.0099999999999997E-2</v>
      </c>
      <c r="K8910" s="817"/>
      <c r="L8910" s="817"/>
    </row>
    <row r="8911" spans="1:12">
      <c r="A8911" s="636"/>
      <c r="B8911" s="636"/>
      <c r="C8911" s="636"/>
      <c r="D8911" s="636"/>
      <c r="E8911" s="636"/>
      <c r="F8911" s="636"/>
      <c r="G8911" s="636"/>
      <c r="H8911" s="636"/>
      <c r="I8911" s="636"/>
      <c r="J8911" s="636" t="s">
        <v>13675</v>
      </c>
      <c r="K8911" s="636"/>
      <c r="L8911" s="636" t="s">
        <v>13716</v>
      </c>
    </row>
    <row r="8912" spans="1:12" ht="17.100000000000001" customHeight="1">
      <c r="A8912" s="802" t="s">
        <v>12712</v>
      </c>
      <c r="B8912" s="802"/>
      <c r="C8912" s="802"/>
      <c r="D8912" s="802"/>
      <c r="E8912" s="802"/>
      <c r="F8912" s="802"/>
      <c r="G8912" s="802"/>
      <c r="H8912" s="802"/>
      <c r="I8912" s="612"/>
      <c r="J8912" s="612"/>
      <c r="K8912" s="612"/>
      <c r="L8912" s="612"/>
    </row>
    <row r="8913" spans="1:12" ht="24" customHeight="1">
      <c r="A8913" s="612" t="s">
        <v>13679</v>
      </c>
      <c r="B8913" s="636" t="s">
        <v>12698</v>
      </c>
      <c r="C8913" s="612" t="s">
        <v>12699</v>
      </c>
      <c r="D8913" s="612" t="s">
        <v>12700</v>
      </c>
      <c r="E8913" s="637" t="s">
        <v>12702</v>
      </c>
      <c r="F8913" s="801" t="s">
        <v>12704</v>
      </c>
      <c r="G8913" s="801"/>
      <c r="H8913" s="801" t="s">
        <v>13678</v>
      </c>
      <c r="I8913" s="801"/>
      <c r="J8913" s="801" t="s">
        <v>12705</v>
      </c>
      <c r="K8913" s="801"/>
      <c r="L8913" s="801"/>
    </row>
    <row r="8914" spans="1:12" ht="17.100000000000001" customHeight="1">
      <c r="A8914" s="626" t="s">
        <v>12709</v>
      </c>
      <c r="B8914" s="627" t="s">
        <v>13002</v>
      </c>
      <c r="C8914" s="626" t="s">
        <v>8</v>
      </c>
      <c r="D8914" s="626" t="s">
        <v>9306</v>
      </c>
      <c r="E8914" s="628" t="s">
        <v>23</v>
      </c>
      <c r="F8914" s="816" t="s">
        <v>13677</v>
      </c>
      <c r="G8914" s="816"/>
      <c r="H8914" s="816">
        <v>0.57319739999999997</v>
      </c>
      <c r="I8914" s="816"/>
      <c r="J8914" s="817">
        <v>0.2006</v>
      </c>
      <c r="K8914" s="817"/>
      <c r="L8914" s="817"/>
    </row>
    <row r="8915" spans="1:12" ht="25.5">
      <c r="A8915" s="626" t="s">
        <v>12709</v>
      </c>
      <c r="B8915" s="627" t="s">
        <v>13004</v>
      </c>
      <c r="C8915" s="626" t="s">
        <v>8</v>
      </c>
      <c r="D8915" s="626" t="s">
        <v>7388</v>
      </c>
      <c r="E8915" s="628" t="s">
        <v>23</v>
      </c>
      <c r="F8915" s="816" t="s">
        <v>13676</v>
      </c>
      <c r="G8915" s="816"/>
      <c r="H8915" s="816">
        <v>0.57319739999999997</v>
      </c>
      <c r="I8915" s="816"/>
      <c r="J8915" s="817">
        <v>1.2609999999999999</v>
      </c>
      <c r="K8915" s="817"/>
      <c r="L8915" s="817"/>
    </row>
    <row r="8916" spans="1:12" ht="17.100000000000001" customHeight="1">
      <c r="A8916" s="636"/>
      <c r="B8916" s="636"/>
      <c r="C8916" s="636"/>
      <c r="D8916" s="636"/>
      <c r="E8916" s="636"/>
      <c r="F8916" s="636"/>
      <c r="G8916" s="636"/>
      <c r="H8916" s="636"/>
      <c r="I8916" s="636"/>
      <c r="J8916" s="636" t="s">
        <v>13675</v>
      </c>
      <c r="K8916" s="636"/>
      <c r="L8916" s="636" t="s">
        <v>13713</v>
      </c>
    </row>
    <row r="8917" spans="1:12" ht="24" customHeight="1">
      <c r="A8917" s="612" t="s">
        <v>13673</v>
      </c>
      <c r="B8917" s="612"/>
      <c r="C8917" s="612"/>
      <c r="D8917" s="612"/>
      <c r="E8917" s="612"/>
      <c r="F8917" s="612"/>
      <c r="G8917" s="612"/>
      <c r="H8917" s="612"/>
      <c r="I8917" s="612"/>
      <c r="J8917" s="612"/>
      <c r="K8917" s="612"/>
      <c r="L8917" s="612"/>
    </row>
    <row r="8918" spans="1:12" ht="24" customHeight="1">
      <c r="A8918" s="636"/>
      <c r="B8918" s="636"/>
      <c r="C8918" s="636"/>
      <c r="D8918" s="636"/>
      <c r="E8918" s="636"/>
      <c r="F8918" s="636"/>
      <c r="G8918" s="636"/>
      <c r="H8918" s="636"/>
      <c r="I8918" s="636"/>
      <c r="J8918" s="636" t="s">
        <v>13672</v>
      </c>
      <c r="K8918" s="636"/>
      <c r="L8918" s="636" t="s">
        <v>15563</v>
      </c>
    </row>
    <row r="8919" spans="1:12" ht="17.100000000000001" customHeight="1">
      <c r="A8919" s="636"/>
      <c r="B8919" s="636"/>
      <c r="C8919" s="636"/>
      <c r="D8919" s="636"/>
      <c r="E8919" s="636"/>
      <c r="F8919" s="636"/>
      <c r="G8919" s="636"/>
      <c r="H8919" s="636"/>
      <c r="I8919" s="636"/>
      <c r="J8919" s="636" t="s">
        <v>13671</v>
      </c>
      <c r="K8919" s="636" t="s">
        <v>14461</v>
      </c>
      <c r="L8919" s="636" t="s">
        <v>15564</v>
      </c>
    </row>
    <row r="8920" spans="1:12" ht="17.100000000000001" customHeight="1">
      <c r="A8920" s="636"/>
      <c r="B8920" s="636"/>
      <c r="C8920" s="636"/>
      <c r="D8920" s="636"/>
      <c r="E8920" s="636"/>
      <c r="F8920" s="636"/>
      <c r="G8920" s="636"/>
      <c r="H8920" s="636"/>
      <c r="I8920" s="636"/>
      <c r="J8920" s="636" t="s">
        <v>13670</v>
      </c>
      <c r="K8920" s="636"/>
      <c r="L8920" s="636" t="s">
        <v>15565</v>
      </c>
    </row>
    <row r="8921" spans="1:12" ht="17.100000000000001" customHeight="1">
      <c r="A8921" s="636"/>
      <c r="B8921" s="636"/>
      <c r="C8921" s="636"/>
      <c r="D8921" s="636"/>
      <c r="E8921" s="636"/>
      <c r="F8921" s="636"/>
      <c r="G8921" s="636"/>
      <c r="H8921" s="636"/>
      <c r="I8921" s="636"/>
      <c r="J8921" s="636" t="s">
        <v>13669</v>
      </c>
      <c r="K8921" s="636" t="s">
        <v>13667</v>
      </c>
      <c r="L8921" s="636" t="s">
        <v>15566</v>
      </c>
    </row>
    <row r="8922" spans="1:12" ht="17.100000000000001" customHeight="1">
      <c r="A8922" s="636"/>
      <c r="B8922" s="636"/>
      <c r="C8922" s="636"/>
      <c r="D8922" s="636"/>
      <c r="E8922" s="636"/>
      <c r="F8922" s="636"/>
      <c r="G8922" s="636"/>
      <c r="H8922" s="636"/>
      <c r="I8922" s="636"/>
      <c r="J8922" s="636" t="s">
        <v>13668</v>
      </c>
      <c r="K8922" s="636"/>
      <c r="L8922" s="636" t="s">
        <v>15567</v>
      </c>
    </row>
    <row r="8923" spans="1:12" ht="17.100000000000001" customHeight="1">
      <c r="A8923" s="637"/>
      <c r="B8923" s="637"/>
      <c r="C8923" s="637"/>
      <c r="D8923" s="637"/>
      <c r="E8923" s="637"/>
      <c r="F8923" s="637"/>
      <c r="G8923" s="637"/>
      <c r="H8923" s="637"/>
      <c r="I8923" s="637"/>
      <c r="J8923" s="637"/>
      <c r="K8923" s="637"/>
      <c r="L8923" s="637"/>
    </row>
    <row r="8924" spans="1:12" ht="17.100000000000001" customHeight="1">
      <c r="A8924" s="616" t="s">
        <v>13907</v>
      </c>
      <c r="B8924" s="617" t="s">
        <v>13407</v>
      </c>
      <c r="C8924" s="616" t="s">
        <v>8</v>
      </c>
      <c r="D8924" s="616" t="s">
        <v>591</v>
      </c>
      <c r="E8924" s="618" t="s">
        <v>35</v>
      </c>
      <c r="F8924" s="617"/>
      <c r="G8924" s="617"/>
      <c r="H8924" s="617"/>
      <c r="I8924" s="617"/>
      <c r="J8924" s="617"/>
      <c r="K8924" s="617"/>
      <c r="L8924" s="617"/>
    </row>
    <row r="8925" spans="1:12" ht="17.100000000000001" customHeight="1">
      <c r="A8925" s="802" t="s">
        <v>12711</v>
      </c>
      <c r="B8925" s="802"/>
      <c r="C8925" s="802"/>
      <c r="D8925" s="802"/>
      <c r="E8925" s="802"/>
      <c r="F8925" s="802"/>
      <c r="G8925" s="802"/>
      <c r="H8925" s="802"/>
      <c r="I8925" s="612"/>
      <c r="J8925" s="612"/>
      <c r="K8925" s="612"/>
      <c r="L8925" s="612"/>
    </row>
    <row r="8926" spans="1:12" ht="30" customHeight="1">
      <c r="A8926" s="612" t="s">
        <v>13679</v>
      </c>
      <c r="B8926" s="636" t="s">
        <v>12698</v>
      </c>
      <c r="C8926" s="612" t="s">
        <v>12699</v>
      </c>
      <c r="D8926" s="612" t="s">
        <v>12700</v>
      </c>
      <c r="E8926" s="637" t="s">
        <v>12702</v>
      </c>
      <c r="F8926" s="801" t="s">
        <v>12704</v>
      </c>
      <c r="G8926" s="801"/>
      <c r="H8926" s="801" t="s">
        <v>13678</v>
      </c>
      <c r="I8926" s="801"/>
      <c r="J8926" s="801" t="s">
        <v>12705</v>
      </c>
      <c r="K8926" s="801"/>
      <c r="L8926" s="801"/>
    </row>
    <row r="8927" spans="1:12" ht="36" customHeight="1">
      <c r="A8927" s="626" t="s">
        <v>12709</v>
      </c>
      <c r="B8927" s="627" t="s">
        <v>13134</v>
      </c>
      <c r="C8927" s="626" t="s">
        <v>8</v>
      </c>
      <c r="D8927" s="626" t="s">
        <v>9219</v>
      </c>
      <c r="E8927" s="628" t="s">
        <v>23</v>
      </c>
      <c r="F8927" s="816" t="s">
        <v>13782</v>
      </c>
      <c r="G8927" s="816"/>
      <c r="H8927" s="816">
        <v>0.9028912</v>
      </c>
      <c r="I8927" s="816"/>
      <c r="J8927" s="817">
        <v>0.8397</v>
      </c>
      <c r="K8927" s="817"/>
      <c r="L8927" s="817"/>
    </row>
    <row r="8928" spans="1:12" ht="14.25" customHeight="1">
      <c r="A8928" s="626" t="s">
        <v>12709</v>
      </c>
      <c r="B8928" s="627" t="s">
        <v>13133</v>
      </c>
      <c r="C8928" s="626" t="s">
        <v>8</v>
      </c>
      <c r="D8928" s="626" t="s">
        <v>9366</v>
      </c>
      <c r="E8928" s="628" t="s">
        <v>23</v>
      </c>
      <c r="F8928" s="816" t="s">
        <v>13781</v>
      </c>
      <c r="G8928" s="816"/>
      <c r="H8928" s="816">
        <v>0.9028912</v>
      </c>
      <c r="I8928" s="816"/>
      <c r="J8928" s="817">
        <v>0.49659999999999999</v>
      </c>
      <c r="K8928" s="817"/>
      <c r="L8928" s="817"/>
    </row>
    <row r="8929" spans="1:12" ht="17.100000000000001" customHeight="1">
      <c r="A8929" s="636"/>
      <c r="B8929" s="636"/>
      <c r="C8929" s="636"/>
      <c r="D8929" s="636"/>
      <c r="E8929" s="636"/>
      <c r="F8929" s="636"/>
      <c r="G8929" s="636"/>
      <c r="H8929" s="636"/>
      <c r="I8929" s="636"/>
      <c r="J8929" s="636" t="s">
        <v>13675</v>
      </c>
      <c r="K8929" s="636"/>
      <c r="L8929" s="636" t="s">
        <v>13807</v>
      </c>
    </row>
    <row r="8930" spans="1:12" ht="24" customHeight="1">
      <c r="A8930" s="802" t="s">
        <v>12710</v>
      </c>
      <c r="B8930" s="802"/>
      <c r="C8930" s="802"/>
      <c r="D8930" s="802"/>
      <c r="E8930" s="802"/>
      <c r="F8930" s="802"/>
      <c r="G8930" s="802"/>
      <c r="H8930" s="802"/>
      <c r="I8930" s="612"/>
      <c r="J8930" s="612"/>
      <c r="K8930" s="612"/>
      <c r="L8930" s="612"/>
    </row>
    <row r="8931" spans="1:12" ht="24" customHeight="1">
      <c r="A8931" s="612" t="s">
        <v>13679</v>
      </c>
      <c r="B8931" s="636" t="s">
        <v>12698</v>
      </c>
      <c r="C8931" s="612" t="s">
        <v>12699</v>
      </c>
      <c r="D8931" s="612" t="s">
        <v>12700</v>
      </c>
      <c r="E8931" s="637" t="s">
        <v>12702</v>
      </c>
      <c r="F8931" s="801" t="s">
        <v>12704</v>
      </c>
      <c r="G8931" s="801"/>
      <c r="H8931" s="801" t="s">
        <v>13678</v>
      </c>
      <c r="I8931" s="801"/>
      <c r="J8931" s="801" t="s">
        <v>12705</v>
      </c>
      <c r="K8931" s="801"/>
      <c r="L8931" s="801"/>
    </row>
    <row r="8932" spans="1:12" ht="17.100000000000001" customHeight="1">
      <c r="A8932" s="626" t="s">
        <v>12709</v>
      </c>
      <c r="B8932" s="627" t="s">
        <v>13204</v>
      </c>
      <c r="C8932" s="626" t="s">
        <v>8</v>
      </c>
      <c r="D8932" s="626" t="s">
        <v>9112</v>
      </c>
      <c r="E8932" s="628" t="s">
        <v>23</v>
      </c>
      <c r="F8932" s="816" t="s">
        <v>14479</v>
      </c>
      <c r="G8932" s="816"/>
      <c r="H8932" s="816">
        <v>0.52683849999999999</v>
      </c>
      <c r="I8932" s="816"/>
      <c r="J8932" s="817">
        <v>3.7669000000000001</v>
      </c>
      <c r="K8932" s="817"/>
      <c r="L8932" s="817"/>
    </row>
    <row r="8933" spans="1:12" ht="14.25" customHeight="1">
      <c r="A8933" s="626" t="s">
        <v>12709</v>
      </c>
      <c r="B8933" s="627" t="s">
        <v>13222</v>
      </c>
      <c r="C8933" s="626" t="s">
        <v>8</v>
      </c>
      <c r="D8933" s="626" t="s">
        <v>7364</v>
      </c>
      <c r="E8933" s="628" t="s">
        <v>23</v>
      </c>
      <c r="F8933" s="816" t="s">
        <v>13808</v>
      </c>
      <c r="G8933" s="816"/>
      <c r="H8933" s="816">
        <v>0.39974130000000002</v>
      </c>
      <c r="I8933" s="816"/>
      <c r="J8933" s="817">
        <v>2.0066999999999999</v>
      </c>
      <c r="K8933" s="817"/>
      <c r="L8933" s="817"/>
    </row>
    <row r="8934" spans="1:12" ht="17.100000000000001" customHeight="1">
      <c r="A8934" s="636"/>
      <c r="B8934" s="636"/>
      <c r="C8934" s="636"/>
      <c r="D8934" s="636"/>
      <c r="E8934" s="636"/>
      <c r="F8934" s="636"/>
      <c r="G8934" s="636"/>
      <c r="H8934" s="636"/>
      <c r="I8934" s="636"/>
      <c r="J8934" s="636" t="s">
        <v>13675</v>
      </c>
      <c r="K8934" s="636"/>
      <c r="L8934" s="636" t="s">
        <v>14580</v>
      </c>
    </row>
    <row r="8935" spans="1:12" ht="24" customHeight="1">
      <c r="A8935" s="802" t="s">
        <v>12720</v>
      </c>
      <c r="B8935" s="802"/>
      <c r="C8935" s="802"/>
      <c r="D8935" s="802"/>
      <c r="E8935" s="802"/>
      <c r="F8935" s="802"/>
      <c r="G8935" s="802"/>
      <c r="H8935" s="802"/>
      <c r="I8935" s="612"/>
      <c r="J8935" s="612"/>
      <c r="K8935" s="612"/>
      <c r="L8935" s="612"/>
    </row>
    <row r="8936" spans="1:12" ht="24" customHeight="1">
      <c r="A8936" s="612" t="s">
        <v>13679</v>
      </c>
      <c r="B8936" s="636" t="s">
        <v>12698</v>
      </c>
      <c r="C8936" s="612" t="s">
        <v>12699</v>
      </c>
      <c r="D8936" s="612" t="s">
        <v>12700</v>
      </c>
      <c r="E8936" s="637" t="s">
        <v>12702</v>
      </c>
      <c r="F8936" s="801" t="s">
        <v>12704</v>
      </c>
      <c r="G8936" s="801"/>
      <c r="H8936" s="801" t="s">
        <v>13678</v>
      </c>
      <c r="I8936" s="801"/>
      <c r="J8936" s="801" t="s">
        <v>12705</v>
      </c>
      <c r="K8936" s="801"/>
      <c r="L8936" s="801"/>
    </row>
    <row r="8937" spans="1:12" ht="17.100000000000001" customHeight="1">
      <c r="A8937" s="626" t="s">
        <v>12709</v>
      </c>
      <c r="B8937" s="627" t="s">
        <v>13040</v>
      </c>
      <c r="C8937" s="626" t="s">
        <v>8</v>
      </c>
      <c r="D8937" s="626" t="s">
        <v>9280</v>
      </c>
      <c r="E8937" s="628" t="s">
        <v>35</v>
      </c>
      <c r="F8937" s="816" t="s">
        <v>14572</v>
      </c>
      <c r="G8937" s="816"/>
      <c r="H8937" s="816">
        <v>0.99877340000000003</v>
      </c>
      <c r="I8937" s="816"/>
      <c r="J8937" s="817">
        <v>1.7379</v>
      </c>
      <c r="K8937" s="817"/>
      <c r="L8937" s="817"/>
    </row>
    <row r="8938" spans="1:12" ht="38.25">
      <c r="A8938" s="626" t="s">
        <v>12709</v>
      </c>
      <c r="B8938" s="627" t="s">
        <v>13039</v>
      </c>
      <c r="C8938" s="626" t="s">
        <v>8</v>
      </c>
      <c r="D8938" s="626" t="s">
        <v>11339</v>
      </c>
      <c r="E8938" s="628" t="s">
        <v>35</v>
      </c>
      <c r="F8938" s="816" t="s">
        <v>13918</v>
      </c>
      <c r="G8938" s="816"/>
      <c r="H8938" s="816">
        <v>0.99877340000000003</v>
      </c>
      <c r="I8938" s="816"/>
      <c r="J8938" s="817">
        <v>0.89890000000000003</v>
      </c>
      <c r="K8938" s="817"/>
      <c r="L8938" s="817"/>
    </row>
    <row r="8939" spans="1:12" ht="17.100000000000001" customHeight="1">
      <c r="A8939" s="626" t="s">
        <v>12709</v>
      </c>
      <c r="B8939" s="627" t="s">
        <v>13161</v>
      </c>
      <c r="C8939" s="626" t="s">
        <v>8</v>
      </c>
      <c r="D8939" s="626" t="s">
        <v>9643</v>
      </c>
      <c r="E8939" s="628" t="s">
        <v>35</v>
      </c>
      <c r="F8939" s="816" t="s">
        <v>14577</v>
      </c>
      <c r="G8939" s="816"/>
      <c r="H8939" s="816">
        <v>1.9975468000000001</v>
      </c>
      <c r="I8939" s="816"/>
      <c r="J8939" s="817">
        <v>8.2299000000000007</v>
      </c>
      <c r="K8939" s="817"/>
      <c r="L8939" s="817"/>
    </row>
    <row r="8940" spans="1:12" ht="24" customHeight="1">
      <c r="A8940" s="636"/>
      <c r="B8940" s="636"/>
      <c r="C8940" s="636"/>
      <c r="D8940" s="636"/>
      <c r="E8940" s="636"/>
      <c r="F8940" s="636"/>
      <c r="G8940" s="636"/>
      <c r="H8940" s="636"/>
      <c r="I8940" s="636"/>
      <c r="J8940" s="636" t="s">
        <v>13675</v>
      </c>
      <c r="K8940" s="636"/>
      <c r="L8940" s="636" t="s">
        <v>14579</v>
      </c>
    </row>
    <row r="8941" spans="1:12" ht="36" customHeight="1">
      <c r="A8941" s="802" t="s">
        <v>12722</v>
      </c>
      <c r="B8941" s="802"/>
      <c r="C8941" s="802"/>
      <c r="D8941" s="802"/>
      <c r="E8941" s="802"/>
      <c r="F8941" s="802"/>
      <c r="G8941" s="802"/>
      <c r="H8941" s="802"/>
      <c r="I8941" s="612"/>
      <c r="J8941" s="612"/>
      <c r="K8941" s="612"/>
      <c r="L8941" s="612"/>
    </row>
    <row r="8942" spans="1:12" ht="24" customHeight="1">
      <c r="A8942" s="612" t="s">
        <v>13679</v>
      </c>
      <c r="B8942" s="636" t="s">
        <v>12698</v>
      </c>
      <c r="C8942" s="612" t="s">
        <v>12699</v>
      </c>
      <c r="D8942" s="612" t="s">
        <v>12700</v>
      </c>
      <c r="E8942" s="637" t="s">
        <v>12702</v>
      </c>
      <c r="F8942" s="801" t="s">
        <v>12704</v>
      </c>
      <c r="G8942" s="801"/>
      <c r="H8942" s="801" t="s">
        <v>13678</v>
      </c>
      <c r="I8942" s="801"/>
      <c r="J8942" s="801" t="s">
        <v>12705</v>
      </c>
      <c r="K8942" s="801"/>
      <c r="L8942" s="801"/>
    </row>
    <row r="8943" spans="1:12" ht="17.100000000000001" customHeight="1">
      <c r="A8943" s="626" t="s">
        <v>12709</v>
      </c>
      <c r="B8943" s="627" t="s">
        <v>12998</v>
      </c>
      <c r="C8943" s="626" t="s">
        <v>8</v>
      </c>
      <c r="D8943" s="626" t="s">
        <v>11861</v>
      </c>
      <c r="E8943" s="628" t="s">
        <v>23</v>
      </c>
      <c r="F8943" s="816" t="s">
        <v>13683</v>
      </c>
      <c r="G8943" s="816"/>
      <c r="H8943" s="816">
        <v>0.9028912</v>
      </c>
      <c r="I8943" s="816"/>
      <c r="J8943" s="817">
        <v>0.6411</v>
      </c>
      <c r="K8943" s="817"/>
      <c r="L8943" s="817"/>
    </row>
    <row r="8944" spans="1:12">
      <c r="A8944" s="636"/>
      <c r="B8944" s="636"/>
      <c r="C8944" s="636"/>
      <c r="D8944" s="636"/>
      <c r="E8944" s="636"/>
      <c r="F8944" s="636"/>
      <c r="G8944" s="636"/>
      <c r="H8944" s="636"/>
      <c r="I8944" s="636"/>
      <c r="J8944" s="636" t="s">
        <v>13675</v>
      </c>
      <c r="K8944" s="636"/>
      <c r="L8944" s="636" t="s">
        <v>13879</v>
      </c>
    </row>
    <row r="8945" spans="1:12" ht="17.100000000000001" customHeight="1">
      <c r="A8945" s="802" t="s">
        <v>12713</v>
      </c>
      <c r="B8945" s="802"/>
      <c r="C8945" s="802"/>
      <c r="D8945" s="802"/>
      <c r="E8945" s="802"/>
      <c r="F8945" s="802"/>
      <c r="G8945" s="802"/>
      <c r="H8945" s="802"/>
      <c r="I8945" s="612"/>
      <c r="J8945" s="612"/>
      <c r="K8945" s="612"/>
      <c r="L8945" s="612"/>
    </row>
    <row r="8946" spans="1:12" ht="24" customHeight="1">
      <c r="A8946" s="612" t="s">
        <v>13679</v>
      </c>
      <c r="B8946" s="636" t="s">
        <v>12698</v>
      </c>
      <c r="C8946" s="612" t="s">
        <v>12699</v>
      </c>
      <c r="D8946" s="612" t="s">
        <v>12700</v>
      </c>
      <c r="E8946" s="637" t="s">
        <v>12702</v>
      </c>
      <c r="F8946" s="801" t="s">
        <v>12704</v>
      </c>
      <c r="G8946" s="801"/>
      <c r="H8946" s="801" t="s">
        <v>13678</v>
      </c>
      <c r="I8946" s="801"/>
      <c r="J8946" s="801" t="s">
        <v>12705</v>
      </c>
      <c r="K8946" s="801"/>
      <c r="L8946" s="801"/>
    </row>
    <row r="8947" spans="1:12" ht="17.100000000000001" customHeight="1">
      <c r="A8947" s="626" t="s">
        <v>12709</v>
      </c>
      <c r="B8947" s="627" t="s">
        <v>12999</v>
      </c>
      <c r="C8947" s="626" t="s">
        <v>8</v>
      </c>
      <c r="D8947" s="626" t="s">
        <v>11251</v>
      </c>
      <c r="E8947" s="628" t="s">
        <v>23</v>
      </c>
      <c r="F8947" s="816" t="s">
        <v>13681</v>
      </c>
      <c r="G8947" s="816"/>
      <c r="H8947" s="816">
        <v>0.9028912</v>
      </c>
      <c r="I8947" s="816"/>
      <c r="J8947" s="817">
        <v>6.3200000000000006E-2</v>
      </c>
      <c r="K8947" s="817"/>
      <c r="L8947" s="817"/>
    </row>
    <row r="8948" spans="1:12">
      <c r="A8948" s="636"/>
      <c r="B8948" s="636"/>
      <c r="C8948" s="636"/>
      <c r="D8948" s="636"/>
      <c r="E8948" s="636"/>
      <c r="F8948" s="636"/>
      <c r="G8948" s="636"/>
      <c r="H8948" s="636"/>
      <c r="I8948" s="636"/>
      <c r="J8948" s="636" t="s">
        <v>13675</v>
      </c>
      <c r="K8948" s="636"/>
      <c r="L8948" s="636" t="s">
        <v>13708</v>
      </c>
    </row>
    <row r="8949" spans="1:12" ht="17.100000000000001" customHeight="1">
      <c r="A8949" s="802" t="s">
        <v>12712</v>
      </c>
      <c r="B8949" s="802"/>
      <c r="C8949" s="802"/>
      <c r="D8949" s="802"/>
      <c r="E8949" s="802"/>
      <c r="F8949" s="802"/>
      <c r="G8949" s="802"/>
      <c r="H8949" s="802"/>
      <c r="I8949" s="612"/>
      <c r="J8949" s="612"/>
      <c r="K8949" s="612"/>
      <c r="L8949" s="612"/>
    </row>
    <row r="8950" spans="1:12" ht="24" customHeight="1">
      <c r="A8950" s="612" t="s">
        <v>13679</v>
      </c>
      <c r="B8950" s="636" t="s">
        <v>12698</v>
      </c>
      <c r="C8950" s="612" t="s">
        <v>12699</v>
      </c>
      <c r="D8950" s="612" t="s">
        <v>12700</v>
      </c>
      <c r="E8950" s="637" t="s">
        <v>12702</v>
      </c>
      <c r="F8950" s="801" t="s">
        <v>12704</v>
      </c>
      <c r="G8950" s="801"/>
      <c r="H8950" s="801" t="s">
        <v>13678</v>
      </c>
      <c r="I8950" s="801"/>
      <c r="J8950" s="801" t="s">
        <v>12705</v>
      </c>
      <c r="K8950" s="801"/>
      <c r="L8950" s="801"/>
    </row>
    <row r="8951" spans="1:12" ht="17.100000000000001" customHeight="1">
      <c r="A8951" s="626" t="s">
        <v>12709</v>
      </c>
      <c r="B8951" s="627" t="s">
        <v>13002</v>
      </c>
      <c r="C8951" s="626" t="s">
        <v>8</v>
      </c>
      <c r="D8951" s="626" t="s">
        <v>9306</v>
      </c>
      <c r="E8951" s="628" t="s">
        <v>23</v>
      </c>
      <c r="F8951" s="816" t="s">
        <v>13677</v>
      </c>
      <c r="G8951" s="816"/>
      <c r="H8951" s="816">
        <v>0.9028912</v>
      </c>
      <c r="I8951" s="816"/>
      <c r="J8951" s="817">
        <v>0.316</v>
      </c>
      <c r="K8951" s="817"/>
      <c r="L8951" s="817"/>
    </row>
    <row r="8952" spans="1:12" ht="25.5">
      <c r="A8952" s="626" t="s">
        <v>12709</v>
      </c>
      <c r="B8952" s="627" t="s">
        <v>13004</v>
      </c>
      <c r="C8952" s="626" t="s">
        <v>8</v>
      </c>
      <c r="D8952" s="626" t="s">
        <v>7388</v>
      </c>
      <c r="E8952" s="628" t="s">
        <v>23</v>
      </c>
      <c r="F8952" s="816" t="s">
        <v>13676</v>
      </c>
      <c r="G8952" s="816"/>
      <c r="H8952" s="816">
        <v>0.9028912</v>
      </c>
      <c r="I8952" s="816"/>
      <c r="J8952" s="817">
        <v>1.9863999999999999</v>
      </c>
      <c r="K8952" s="817"/>
      <c r="L8952" s="817"/>
    </row>
    <row r="8953" spans="1:12" ht="17.100000000000001" customHeight="1">
      <c r="A8953" s="636"/>
      <c r="B8953" s="636"/>
      <c r="C8953" s="636"/>
      <c r="D8953" s="636"/>
      <c r="E8953" s="636"/>
      <c r="F8953" s="636"/>
      <c r="G8953" s="636"/>
      <c r="H8953" s="636"/>
      <c r="I8953" s="636"/>
      <c r="J8953" s="636" t="s">
        <v>13675</v>
      </c>
      <c r="K8953" s="636"/>
      <c r="L8953" s="636" t="s">
        <v>13903</v>
      </c>
    </row>
    <row r="8954" spans="1:12" ht="24" customHeight="1">
      <c r="A8954" s="612" t="s">
        <v>13673</v>
      </c>
      <c r="B8954" s="612"/>
      <c r="C8954" s="612"/>
      <c r="D8954" s="612"/>
      <c r="E8954" s="612"/>
      <c r="F8954" s="612"/>
      <c r="G8954" s="612"/>
      <c r="H8954" s="612"/>
      <c r="I8954" s="612"/>
      <c r="J8954" s="612"/>
      <c r="K8954" s="612"/>
      <c r="L8954" s="612"/>
    </row>
    <row r="8955" spans="1:12" ht="24" customHeight="1">
      <c r="A8955" s="636"/>
      <c r="B8955" s="636"/>
      <c r="C8955" s="636"/>
      <c r="D8955" s="636"/>
      <c r="E8955" s="636"/>
      <c r="F8955" s="636"/>
      <c r="G8955" s="636"/>
      <c r="H8955" s="636"/>
      <c r="I8955" s="636"/>
      <c r="J8955" s="636" t="s">
        <v>13672</v>
      </c>
      <c r="K8955" s="636"/>
      <c r="L8955" s="636" t="s">
        <v>15568</v>
      </c>
    </row>
    <row r="8956" spans="1:12" ht="17.100000000000001" customHeight="1">
      <c r="A8956" s="636"/>
      <c r="B8956" s="636"/>
      <c r="C8956" s="636"/>
      <c r="D8956" s="636"/>
      <c r="E8956" s="636"/>
      <c r="F8956" s="636"/>
      <c r="G8956" s="636"/>
      <c r="H8956" s="636"/>
      <c r="I8956" s="636"/>
      <c r="J8956" s="636" t="s">
        <v>13671</v>
      </c>
      <c r="K8956" s="636" t="s">
        <v>14461</v>
      </c>
      <c r="L8956" s="636" t="s">
        <v>15569</v>
      </c>
    </row>
    <row r="8957" spans="1:12" ht="17.100000000000001" customHeight="1">
      <c r="A8957" s="636"/>
      <c r="B8957" s="636"/>
      <c r="C8957" s="636"/>
      <c r="D8957" s="636"/>
      <c r="E8957" s="636"/>
      <c r="F8957" s="636"/>
      <c r="G8957" s="636"/>
      <c r="H8957" s="636"/>
      <c r="I8957" s="636"/>
      <c r="J8957" s="636" t="s">
        <v>13670</v>
      </c>
      <c r="K8957" s="636"/>
      <c r="L8957" s="636" t="s">
        <v>15570</v>
      </c>
    </row>
    <row r="8958" spans="1:12" ht="17.100000000000001" customHeight="1">
      <c r="A8958" s="636"/>
      <c r="B8958" s="636"/>
      <c r="C8958" s="636"/>
      <c r="D8958" s="636"/>
      <c r="E8958" s="636"/>
      <c r="F8958" s="636"/>
      <c r="G8958" s="636"/>
      <c r="H8958" s="636"/>
      <c r="I8958" s="636"/>
      <c r="J8958" s="636" t="s">
        <v>13669</v>
      </c>
      <c r="K8958" s="636" t="s">
        <v>13667</v>
      </c>
      <c r="L8958" s="636" t="s">
        <v>15571</v>
      </c>
    </row>
    <row r="8959" spans="1:12" ht="17.100000000000001" customHeight="1">
      <c r="A8959" s="636"/>
      <c r="B8959" s="636"/>
      <c r="C8959" s="636"/>
      <c r="D8959" s="636"/>
      <c r="E8959" s="636"/>
      <c r="F8959" s="636"/>
      <c r="G8959" s="636"/>
      <c r="H8959" s="636"/>
      <c r="I8959" s="636"/>
      <c r="J8959" s="636" t="s">
        <v>13668</v>
      </c>
      <c r="K8959" s="636"/>
      <c r="L8959" s="636" t="s">
        <v>15572</v>
      </c>
    </row>
    <row r="8960" spans="1:12" ht="17.100000000000001" customHeight="1">
      <c r="A8960" s="637"/>
      <c r="B8960" s="637"/>
      <c r="C8960" s="637"/>
      <c r="D8960" s="637"/>
      <c r="E8960" s="637"/>
      <c r="F8960" s="637"/>
      <c r="G8960" s="637"/>
      <c r="H8960" s="637"/>
      <c r="I8960" s="637"/>
      <c r="J8960" s="637"/>
      <c r="K8960" s="637"/>
      <c r="L8960" s="637"/>
    </row>
    <row r="8961" spans="1:12" ht="17.100000000000001" customHeight="1">
      <c r="A8961" s="616" t="s">
        <v>13904</v>
      </c>
      <c r="B8961" s="617" t="s">
        <v>13406</v>
      </c>
      <c r="C8961" s="616" t="s">
        <v>8</v>
      </c>
      <c r="D8961" s="616" t="s">
        <v>594</v>
      </c>
      <c r="E8961" s="618" t="s">
        <v>35</v>
      </c>
      <c r="F8961" s="617"/>
      <c r="G8961" s="617"/>
      <c r="H8961" s="617"/>
      <c r="I8961" s="617"/>
      <c r="J8961" s="617"/>
      <c r="K8961" s="617"/>
      <c r="L8961" s="617"/>
    </row>
    <row r="8962" spans="1:12" ht="17.100000000000001" customHeight="1">
      <c r="A8962" s="802" t="s">
        <v>12711</v>
      </c>
      <c r="B8962" s="802"/>
      <c r="C8962" s="802"/>
      <c r="D8962" s="802"/>
      <c r="E8962" s="802"/>
      <c r="F8962" s="802"/>
      <c r="G8962" s="802"/>
      <c r="H8962" s="802"/>
      <c r="I8962" s="612"/>
      <c r="J8962" s="612"/>
      <c r="K8962" s="612"/>
      <c r="L8962" s="612"/>
    </row>
    <row r="8963" spans="1:12" ht="30" customHeight="1">
      <c r="A8963" s="612" t="s">
        <v>13679</v>
      </c>
      <c r="B8963" s="636" t="s">
        <v>12698</v>
      </c>
      <c r="C8963" s="612" t="s">
        <v>12699</v>
      </c>
      <c r="D8963" s="612" t="s">
        <v>12700</v>
      </c>
      <c r="E8963" s="637" t="s">
        <v>12702</v>
      </c>
      <c r="F8963" s="801" t="s">
        <v>12704</v>
      </c>
      <c r="G8963" s="801"/>
      <c r="H8963" s="801" t="s">
        <v>13678</v>
      </c>
      <c r="I8963" s="801"/>
      <c r="J8963" s="801" t="s">
        <v>12705</v>
      </c>
      <c r="K8963" s="801"/>
      <c r="L8963" s="801"/>
    </row>
    <row r="8964" spans="1:12" ht="24" customHeight="1">
      <c r="A8964" s="626" t="s">
        <v>12709</v>
      </c>
      <c r="B8964" s="627" t="s">
        <v>13134</v>
      </c>
      <c r="C8964" s="626" t="s">
        <v>8</v>
      </c>
      <c r="D8964" s="626" t="s">
        <v>9219</v>
      </c>
      <c r="E8964" s="628" t="s">
        <v>23</v>
      </c>
      <c r="F8964" s="816" t="s">
        <v>13782</v>
      </c>
      <c r="G8964" s="816"/>
      <c r="H8964" s="816">
        <v>1.2334415999999999</v>
      </c>
      <c r="I8964" s="816"/>
      <c r="J8964" s="817">
        <v>1.1471</v>
      </c>
      <c r="K8964" s="817"/>
      <c r="L8964" s="817"/>
    </row>
    <row r="8965" spans="1:12" ht="14.25" customHeight="1">
      <c r="A8965" s="626" t="s">
        <v>12709</v>
      </c>
      <c r="B8965" s="627" t="s">
        <v>13133</v>
      </c>
      <c r="C8965" s="626" t="s">
        <v>8</v>
      </c>
      <c r="D8965" s="626" t="s">
        <v>9366</v>
      </c>
      <c r="E8965" s="628" t="s">
        <v>23</v>
      </c>
      <c r="F8965" s="816" t="s">
        <v>13781</v>
      </c>
      <c r="G8965" s="816"/>
      <c r="H8965" s="816">
        <v>1.2334415999999999</v>
      </c>
      <c r="I8965" s="816"/>
      <c r="J8965" s="817">
        <v>0.6784</v>
      </c>
      <c r="K8965" s="817"/>
      <c r="L8965" s="817"/>
    </row>
    <row r="8966" spans="1:12" ht="17.100000000000001" customHeight="1">
      <c r="A8966" s="636"/>
      <c r="B8966" s="636"/>
      <c r="C8966" s="636"/>
      <c r="D8966" s="636"/>
      <c r="E8966" s="636"/>
      <c r="F8966" s="636"/>
      <c r="G8966" s="636"/>
      <c r="H8966" s="636"/>
      <c r="I8966" s="636"/>
      <c r="J8966" s="636" t="s">
        <v>13675</v>
      </c>
      <c r="K8966" s="636"/>
      <c r="L8966" s="636" t="s">
        <v>13901</v>
      </c>
    </row>
    <row r="8967" spans="1:12" ht="24" customHeight="1">
      <c r="A8967" s="802" t="s">
        <v>12710</v>
      </c>
      <c r="B8967" s="802"/>
      <c r="C8967" s="802"/>
      <c r="D8967" s="802"/>
      <c r="E8967" s="802"/>
      <c r="F8967" s="802"/>
      <c r="G8967" s="802"/>
      <c r="H8967" s="802"/>
      <c r="I8967" s="612"/>
      <c r="J8967" s="612"/>
      <c r="K8967" s="612"/>
      <c r="L8967" s="612"/>
    </row>
    <row r="8968" spans="1:12" ht="24" customHeight="1">
      <c r="A8968" s="612" t="s">
        <v>13679</v>
      </c>
      <c r="B8968" s="636" t="s">
        <v>12698</v>
      </c>
      <c r="C8968" s="612" t="s">
        <v>12699</v>
      </c>
      <c r="D8968" s="612" t="s">
        <v>12700</v>
      </c>
      <c r="E8968" s="637" t="s">
        <v>12702</v>
      </c>
      <c r="F8968" s="801" t="s">
        <v>12704</v>
      </c>
      <c r="G8968" s="801"/>
      <c r="H8968" s="801" t="s">
        <v>13678</v>
      </c>
      <c r="I8968" s="801"/>
      <c r="J8968" s="801" t="s">
        <v>12705</v>
      </c>
      <c r="K8968" s="801"/>
      <c r="L8968" s="801"/>
    </row>
    <row r="8969" spans="1:12" ht="17.100000000000001" customHeight="1">
      <c r="A8969" s="626" t="s">
        <v>12709</v>
      </c>
      <c r="B8969" s="627" t="s">
        <v>13204</v>
      </c>
      <c r="C8969" s="626" t="s">
        <v>8</v>
      </c>
      <c r="D8969" s="626" t="s">
        <v>9112</v>
      </c>
      <c r="E8969" s="628" t="s">
        <v>23</v>
      </c>
      <c r="F8969" s="816" t="s">
        <v>14479</v>
      </c>
      <c r="G8969" s="816"/>
      <c r="H8969" s="816">
        <v>0.69609100000000002</v>
      </c>
      <c r="I8969" s="816"/>
      <c r="J8969" s="817">
        <v>4.9771000000000001</v>
      </c>
      <c r="K8969" s="817"/>
      <c r="L8969" s="817"/>
    </row>
    <row r="8970" spans="1:12" ht="14.25" customHeight="1">
      <c r="A8970" s="626" t="s">
        <v>12709</v>
      </c>
      <c r="B8970" s="627" t="s">
        <v>13222</v>
      </c>
      <c r="C8970" s="626" t="s">
        <v>8</v>
      </c>
      <c r="D8970" s="626" t="s">
        <v>7364</v>
      </c>
      <c r="E8970" s="628" t="s">
        <v>23</v>
      </c>
      <c r="F8970" s="816" t="s">
        <v>13808</v>
      </c>
      <c r="G8970" s="816"/>
      <c r="H8970" s="816">
        <v>0.56896979999999997</v>
      </c>
      <c r="I8970" s="816"/>
      <c r="J8970" s="817">
        <v>2.8561999999999999</v>
      </c>
      <c r="K8970" s="817"/>
      <c r="L8970" s="817"/>
    </row>
    <row r="8971" spans="1:12" ht="17.100000000000001" customHeight="1">
      <c r="A8971" s="636"/>
      <c r="B8971" s="636"/>
      <c r="C8971" s="636"/>
      <c r="D8971" s="636"/>
      <c r="E8971" s="636"/>
      <c r="F8971" s="636"/>
      <c r="G8971" s="636"/>
      <c r="H8971" s="636"/>
      <c r="I8971" s="636"/>
      <c r="J8971" s="636" t="s">
        <v>13675</v>
      </c>
      <c r="K8971" s="636"/>
      <c r="L8971" s="636" t="s">
        <v>14578</v>
      </c>
    </row>
    <row r="8972" spans="1:12" ht="24" customHeight="1">
      <c r="A8972" s="802" t="s">
        <v>12720</v>
      </c>
      <c r="B8972" s="802"/>
      <c r="C8972" s="802"/>
      <c r="D8972" s="802"/>
      <c r="E8972" s="802"/>
      <c r="F8972" s="802"/>
      <c r="G8972" s="802"/>
      <c r="H8972" s="802"/>
      <c r="I8972" s="612"/>
      <c r="J8972" s="612"/>
      <c r="K8972" s="612"/>
      <c r="L8972" s="612"/>
    </row>
    <row r="8973" spans="1:12" ht="24" customHeight="1">
      <c r="A8973" s="612" t="s">
        <v>13679</v>
      </c>
      <c r="B8973" s="636" t="s">
        <v>12698</v>
      </c>
      <c r="C8973" s="612" t="s">
        <v>12699</v>
      </c>
      <c r="D8973" s="612" t="s">
        <v>12700</v>
      </c>
      <c r="E8973" s="637" t="s">
        <v>12702</v>
      </c>
      <c r="F8973" s="801" t="s">
        <v>12704</v>
      </c>
      <c r="G8973" s="801"/>
      <c r="H8973" s="801" t="s">
        <v>13678</v>
      </c>
      <c r="I8973" s="801"/>
      <c r="J8973" s="801" t="s">
        <v>12705</v>
      </c>
      <c r="K8973" s="801"/>
      <c r="L8973" s="801"/>
    </row>
    <row r="8974" spans="1:12" ht="17.100000000000001" customHeight="1">
      <c r="A8974" s="626" t="s">
        <v>12709</v>
      </c>
      <c r="B8974" s="627" t="s">
        <v>13040</v>
      </c>
      <c r="C8974" s="626" t="s">
        <v>8</v>
      </c>
      <c r="D8974" s="626" t="s">
        <v>9280</v>
      </c>
      <c r="E8974" s="628" t="s">
        <v>35</v>
      </c>
      <c r="F8974" s="816" t="s">
        <v>14572</v>
      </c>
      <c r="G8974" s="816"/>
      <c r="H8974" s="816">
        <v>0.99954750000000003</v>
      </c>
      <c r="I8974" s="816"/>
      <c r="J8974" s="817">
        <v>1.7392000000000001</v>
      </c>
      <c r="K8974" s="817"/>
      <c r="L8974" s="817"/>
    </row>
    <row r="8975" spans="1:12" ht="38.25">
      <c r="A8975" s="626" t="s">
        <v>12709</v>
      </c>
      <c r="B8975" s="627" t="s">
        <v>13039</v>
      </c>
      <c r="C8975" s="626" t="s">
        <v>8</v>
      </c>
      <c r="D8975" s="626" t="s">
        <v>11339</v>
      </c>
      <c r="E8975" s="628" t="s">
        <v>35</v>
      </c>
      <c r="F8975" s="816" t="s">
        <v>13918</v>
      </c>
      <c r="G8975" s="816"/>
      <c r="H8975" s="816">
        <v>0.99954750000000003</v>
      </c>
      <c r="I8975" s="816"/>
      <c r="J8975" s="817">
        <v>0.89959999999999996</v>
      </c>
      <c r="K8975" s="817"/>
      <c r="L8975" s="817"/>
    </row>
    <row r="8976" spans="1:12" ht="17.100000000000001" customHeight="1">
      <c r="A8976" s="626" t="s">
        <v>12709</v>
      </c>
      <c r="B8976" s="627" t="s">
        <v>13161</v>
      </c>
      <c r="C8976" s="626" t="s">
        <v>8</v>
      </c>
      <c r="D8976" s="626" t="s">
        <v>9643</v>
      </c>
      <c r="E8976" s="628" t="s">
        <v>35</v>
      </c>
      <c r="F8976" s="816" t="s">
        <v>14577</v>
      </c>
      <c r="G8976" s="816"/>
      <c r="H8976" s="816">
        <v>2.9986424999999999</v>
      </c>
      <c r="I8976" s="816"/>
      <c r="J8976" s="817">
        <v>12.3544</v>
      </c>
      <c r="K8976" s="817"/>
      <c r="L8976" s="817"/>
    </row>
    <row r="8977" spans="1:12" ht="24" customHeight="1">
      <c r="A8977" s="636"/>
      <c r="B8977" s="636"/>
      <c r="C8977" s="636"/>
      <c r="D8977" s="636"/>
      <c r="E8977" s="636"/>
      <c r="F8977" s="636"/>
      <c r="G8977" s="636"/>
      <c r="H8977" s="636"/>
      <c r="I8977" s="636"/>
      <c r="J8977" s="636" t="s">
        <v>13675</v>
      </c>
      <c r="K8977" s="636"/>
      <c r="L8977" s="636" t="s">
        <v>14576</v>
      </c>
    </row>
    <row r="8978" spans="1:12" ht="36" customHeight="1">
      <c r="A8978" s="802" t="s">
        <v>12722</v>
      </c>
      <c r="B8978" s="802"/>
      <c r="C8978" s="802"/>
      <c r="D8978" s="802"/>
      <c r="E8978" s="802"/>
      <c r="F8978" s="802"/>
      <c r="G8978" s="802"/>
      <c r="H8978" s="802"/>
      <c r="I8978" s="612"/>
      <c r="J8978" s="612"/>
      <c r="K8978" s="612"/>
      <c r="L8978" s="612"/>
    </row>
    <row r="8979" spans="1:12" ht="17.100000000000001" customHeight="1">
      <c r="A8979" s="612" t="s">
        <v>13679</v>
      </c>
      <c r="B8979" s="636" t="s">
        <v>12698</v>
      </c>
      <c r="C8979" s="612" t="s">
        <v>12699</v>
      </c>
      <c r="D8979" s="612" t="s">
        <v>12700</v>
      </c>
      <c r="E8979" s="637" t="s">
        <v>12702</v>
      </c>
      <c r="F8979" s="801" t="s">
        <v>12704</v>
      </c>
      <c r="G8979" s="801"/>
      <c r="H8979" s="801" t="s">
        <v>13678</v>
      </c>
      <c r="I8979" s="801"/>
      <c r="J8979" s="801" t="s">
        <v>12705</v>
      </c>
      <c r="K8979" s="801"/>
      <c r="L8979" s="801"/>
    </row>
    <row r="8980" spans="1:12" ht="25.5">
      <c r="A8980" s="626" t="s">
        <v>12709</v>
      </c>
      <c r="B8980" s="627" t="s">
        <v>12998</v>
      </c>
      <c r="C8980" s="626" t="s">
        <v>8</v>
      </c>
      <c r="D8980" s="626" t="s">
        <v>11861</v>
      </c>
      <c r="E8980" s="628" t="s">
        <v>23</v>
      </c>
      <c r="F8980" s="816" t="s">
        <v>13683</v>
      </c>
      <c r="G8980" s="816"/>
      <c r="H8980" s="816">
        <v>1.2334415999999999</v>
      </c>
      <c r="I8980" s="816"/>
      <c r="J8980" s="817">
        <v>0.87570000000000003</v>
      </c>
      <c r="K8980" s="817"/>
      <c r="L8980" s="817"/>
    </row>
    <row r="8981" spans="1:12" ht="17.100000000000001" customHeight="1">
      <c r="A8981" s="636"/>
      <c r="B8981" s="636"/>
      <c r="C8981" s="636"/>
      <c r="D8981" s="636"/>
      <c r="E8981" s="636"/>
      <c r="F8981" s="636"/>
      <c r="G8981" s="636"/>
      <c r="H8981" s="636"/>
      <c r="I8981" s="636"/>
      <c r="J8981" s="636" t="s">
        <v>13675</v>
      </c>
      <c r="K8981" s="636"/>
      <c r="L8981" s="636" t="s">
        <v>13900</v>
      </c>
    </row>
    <row r="8982" spans="1:12" ht="24" customHeight="1">
      <c r="A8982" s="802" t="s">
        <v>12713</v>
      </c>
      <c r="B8982" s="802"/>
      <c r="C8982" s="802"/>
      <c r="D8982" s="802"/>
      <c r="E8982" s="802"/>
      <c r="F8982" s="802"/>
      <c r="G8982" s="802"/>
      <c r="H8982" s="802"/>
      <c r="I8982" s="612"/>
      <c r="J8982" s="612"/>
      <c r="K8982" s="612"/>
      <c r="L8982" s="612"/>
    </row>
    <row r="8983" spans="1:12" ht="17.100000000000001" customHeight="1">
      <c r="A8983" s="612" t="s">
        <v>13679</v>
      </c>
      <c r="B8983" s="636" t="s">
        <v>12698</v>
      </c>
      <c r="C8983" s="612" t="s">
        <v>12699</v>
      </c>
      <c r="D8983" s="612" t="s">
        <v>12700</v>
      </c>
      <c r="E8983" s="637" t="s">
        <v>12702</v>
      </c>
      <c r="F8983" s="801" t="s">
        <v>12704</v>
      </c>
      <c r="G8983" s="801"/>
      <c r="H8983" s="801" t="s">
        <v>13678</v>
      </c>
      <c r="I8983" s="801"/>
      <c r="J8983" s="801" t="s">
        <v>12705</v>
      </c>
      <c r="K8983" s="801"/>
      <c r="L8983" s="801"/>
    </row>
    <row r="8984" spans="1:12" ht="25.5">
      <c r="A8984" s="626" t="s">
        <v>12709</v>
      </c>
      <c r="B8984" s="627" t="s">
        <v>12999</v>
      </c>
      <c r="C8984" s="626" t="s">
        <v>8</v>
      </c>
      <c r="D8984" s="626" t="s">
        <v>11251</v>
      </c>
      <c r="E8984" s="628" t="s">
        <v>23</v>
      </c>
      <c r="F8984" s="816" t="s">
        <v>13681</v>
      </c>
      <c r="G8984" s="816"/>
      <c r="H8984" s="816">
        <v>1.2334415999999999</v>
      </c>
      <c r="I8984" s="816"/>
      <c r="J8984" s="817">
        <v>8.6300000000000002E-2</v>
      </c>
      <c r="K8984" s="817"/>
      <c r="L8984" s="817"/>
    </row>
    <row r="8985" spans="1:12" ht="17.100000000000001" customHeight="1">
      <c r="A8985" s="636"/>
      <c r="B8985" s="636"/>
      <c r="C8985" s="636"/>
      <c r="D8985" s="636"/>
      <c r="E8985" s="636"/>
      <c r="F8985" s="636"/>
      <c r="G8985" s="636"/>
      <c r="H8985" s="636"/>
      <c r="I8985" s="636"/>
      <c r="J8985" s="636" t="s">
        <v>13675</v>
      </c>
      <c r="K8985" s="636"/>
      <c r="L8985" s="636" t="s">
        <v>13815</v>
      </c>
    </row>
    <row r="8986" spans="1:12" ht="24" customHeight="1">
      <c r="A8986" s="802" t="s">
        <v>12712</v>
      </c>
      <c r="B8986" s="802"/>
      <c r="C8986" s="802"/>
      <c r="D8986" s="802"/>
      <c r="E8986" s="802"/>
      <c r="F8986" s="802"/>
      <c r="G8986" s="802"/>
      <c r="H8986" s="802"/>
      <c r="I8986" s="612"/>
      <c r="J8986" s="612"/>
      <c r="K8986" s="612"/>
      <c r="L8986" s="612"/>
    </row>
    <row r="8987" spans="1:12" ht="17.100000000000001" customHeight="1">
      <c r="A8987" s="612" t="s">
        <v>13679</v>
      </c>
      <c r="B8987" s="636" t="s">
        <v>12698</v>
      </c>
      <c r="C8987" s="612" t="s">
        <v>12699</v>
      </c>
      <c r="D8987" s="612" t="s">
        <v>12700</v>
      </c>
      <c r="E8987" s="637" t="s">
        <v>12702</v>
      </c>
      <c r="F8987" s="801" t="s">
        <v>12704</v>
      </c>
      <c r="G8987" s="801"/>
      <c r="H8987" s="801" t="s">
        <v>13678</v>
      </c>
      <c r="I8987" s="801"/>
      <c r="J8987" s="801" t="s">
        <v>12705</v>
      </c>
      <c r="K8987" s="801"/>
      <c r="L8987" s="801"/>
    </row>
    <row r="8988" spans="1:12" ht="25.5">
      <c r="A8988" s="626" t="s">
        <v>12709</v>
      </c>
      <c r="B8988" s="627" t="s">
        <v>13002</v>
      </c>
      <c r="C8988" s="626" t="s">
        <v>8</v>
      </c>
      <c r="D8988" s="626" t="s">
        <v>9306</v>
      </c>
      <c r="E8988" s="628" t="s">
        <v>23</v>
      </c>
      <c r="F8988" s="816" t="s">
        <v>13677</v>
      </c>
      <c r="G8988" s="816"/>
      <c r="H8988" s="816">
        <v>1.2334415999999999</v>
      </c>
      <c r="I8988" s="816"/>
      <c r="J8988" s="817">
        <v>0.43169999999999997</v>
      </c>
      <c r="K8988" s="817"/>
      <c r="L8988" s="817"/>
    </row>
    <row r="8989" spans="1:12" ht="17.100000000000001" customHeight="1">
      <c r="A8989" s="626" t="s">
        <v>12709</v>
      </c>
      <c r="B8989" s="627" t="s">
        <v>13004</v>
      </c>
      <c r="C8989" s="626" t="s">
        <v>8</v>
      </c>
      <c r="D8989" s="626" t="s">
        <v>7388</v>
      </c>
      <c r="E8989" s="628" t="s">
        <v>23</v>
      </c>
      <c r="F8989" s="816" t="s">
        <v>13676</v>
      </c>
      <c r="G8989" s="816"/>
      <c r="H8989" s="816">
        <v>1.2334415999999999</v>
      </c>
      <c r="I8989" s="816"/>
      <c r="J8989" s="817">
        <v>2.7136</v>
      </c>
      <c r="K8989" s="817"/>
      <c r="L8989" s="817"/>
    </row>
    <row r="8990" spans="1:12" ht="24" customHeight="1">
      <c r="A8990" s="636"/>
      <c r="B8990" s="636"/>
      <c r="C8990" s="636"/>
      <c r="D8990" s="636"/>
      <c r="E8990" s="636"/>
      <c r="F8990" s="636"/>
      <c r="G8990" s="636"/>
      <c r="H8990" s="636"/>
      <c r="I8990" s="636"/>
      <c r="J8990" s="636" t="s">
        <v>13675</v>
      </c>
      <c r="K8990" s="636"/>
      <c r="L8990" s="636" t="s">
        <v>14067</v>
      </c>
    </row>
    <row r="8991" spans="1:12" ht="24" customHeight="1">
      <c r="A8991" s="612" t="s">
        <v>13673</v>
      </c>
      <c r="B8991" s="612"/>
      <c r="C8991" s="612"/>
      <c r="D8991" s="612"/>
      <c r="E8991" s="612"/>
      <c r="F8991" s="612"/>
      <c r="G8991" s="612"/>
      <c r="H8991" s="612"/>
      <c r="I8991" s="612"/>
      <c r="J8991" s="612"/>
      <c r="K8991" s="612"/>
      <c r="L8991" s="612"/>
    </row>
    <row r="8992" spans="1:12" ht="17.100000000000001" customHeight="1">
      <c r="A8992" s="636"/>
      <c r="B8992" s="636"/>
      <c r="C8992" s="636"/>
      <c r="D8992" s="636"/>
      <c r="E8992" s="636"/>
      <c r="F8992" s="636"/>
      <c r="G8992" s="636"/>
      <c r="H8992" s="636"/>
      <c r="I8992" s="636"/>
      <c r="J8992" s="636" t="s">
        <v>13672</v>
      </c>
      <c r="K8992" s="636"/>
      <c r="L8992" s="636" t="s">
        <v>15573</v>
      </c>
    </row>
    <row r="8993" spans="1:12" ht="17.100000000000001" customHeight="1">
      <c r="A8993" s="636"/>
      <c r="B8993" s="636"/>
      <c r="C8993" s="636"/>
      <c r="D8993" s="636"/>
      <c r="E8993" s="636"/>
      <c r="F8993" s="636"/>
      <c r="G8993" s="636"/>
      <c r="H8993" s="636"/>
      <c r="I8993" s="636"/>
      <c r="J8993" s="636" t="s">
        <v>13671</v>
      </c>
      <c r="K8993" s="636" t="s">
        <v>14461</v>
      </c>
      <c r="L8993" s="636" t="s">
        <v>15029</v>
      </c>
    </row>
    <row r="8994" spans="1:12" ht="17.100000000000001" customHeight="1">
      <c r="A8994" s="636"/>
      <c r="B8994" s="636"/>
      <c r="C8994" s="636"/>
      <c r="D8994" s="636"/>
      <c r="E8994" s="636"/>
      <c r="F8994" s="636"/>
      <c r="G8994" s="636"/>
      <c r="H8994" s="636"/>
      <c r="I8994" s="636"/>
      <c r="J8994" s="636" t="s">
        <v>13670</v>
      </c>
      <c r="K8994" s="636"/>
      <c r="L8994" s="636" t="s">
        <v>15574</v>
      </c>
    </row>
    <row r="8995" spans="1:12" ht="17.100000000000001" customHeight="1">
      <c r="A8995" s="636"/>
      <c r="B8995" s="636"/>
      <c r="C8995" s="636"/>
      <c r="D8995" s="636"/>
      <c r="E8995" s="636"/>
      <c r="F8995" s="636"/>
      <c r="G8995" s="636"/>
      <c r="H8995" s="636"/>
      <c r="I8995" s="636"/>
      <c r="J8995" s="636" t="s">
        <v>13669</v>
      </c>
      <c r="K8995" s="636" t="s">
        <v>13667</v>
      </c>
      <c r="L8995" s="636" t="s">
        <v>15575</v>
      </c>
    </row>
    <row r="8996" spans="1:12" ht="17.100000000000001" customHeight="1">
      <c r="A8996" s="636"/>
      <c r="B8996" s="636"/>
      <c r="C8996" s="636"/>
      <c r="D8996" s="636"/>
      <c r="E8996" s="636"/>
      <c r="F8996" s="636"/>
      <c r="G8996" s="636"/>
      <c r="H8996" s="636"/>
      <c r="I8996" s="636"/>
      <c r="J8996" s="636" t="s">
        <v>13668</v>
      </c>
      <c r="K8996" s="636"/>
      <c r="L8996" s="636" t="s">
        <v>15576</v>
      </c>
    </row>
    <row r="8997" spans="1:12" ht="17.100000000000001" customHeight="1">
      <c r="A8997" s="637"/>
      <c r="B8997" s="637"/>
      <c r="C8997" s="637"/>
      <c r="D8997" s="637"/>
      <c r="E8997" s="637"/>
      <c r="F8997" s="637"/>
      <c r="G8997" s="637"/>
      <c r="H8997" s="637"/>
      <c r="I8997" s="637"/>
      <c r="J8997" s="637"/>
      <c r="K8997" s="637"/>
      <c r="L8997" s="637"/>
    </row>
    <row r="8998" spans="1:12" ht="17.100000000000001" customHeight="1">
      <c r="A8998" s="616" t="s">
        <v>13902</v>
      </c>
      <c r="B8998" s="617" t="s">
        <v>13405</v>
      </c>
      <c r="C8998" s="616" t="s">
        <v>8</v>
      </c>
      <c r="D8998" s="616" t="s">
        <v>2564</v>
      </c>
      <c r="E8998" s="618" t="s">
        <v>35</v>
      </c>
      <c r="F8998" s="617"/>
      <c r="G8998" s="617"/>
      <c r="H8998" s="617"/>
      <c r="I8998" s="617"/>
      <c r="J8998" s="617"/>
      <c r="K8998" s="617"/>
      <c r="L8998" s="617"/>
    </row>
    <row r="8999" spans="1:12" ht="30" customHeight="1">
      <c r="A8999" s="802" t="s">
        <v>12711</v>
      </c>
      <c r="B8999" s="802"/>
      <c r="C8999" s="802"/>
      <c r="D8999" s="802"/>
      <c r="E8999" s="802"/>
      <c r="F8999" s="802"/>
      <c r="G8999" s="802"/>
      <c r="H8999" s="802"/>
      <c r="I8999" s="612"/>
      <c r="J8999" s="612"/>
      <c r="K8999" s="612"/>
      <c r="L8999" s="612"/>
    </row>
    <row r="9000" spans="1:12" ht="24" customHeight="1">
      <c r="A9000" s="612" t="s">
        <v>13679</v>
      </c>
      <c r="B9000" s="636" t="s">
        <v>12698</v>
      </c>
      <c r="C9000" s="612" t="s">
        <v>12699</v>
      </c>
      <c r="D9000" s="612" t="s">
        <v>12700</v>
      </c>
      <c r="E9000" s="637" t="s">
        <v>12702</v>
      </c>
      <c r="F9000" s="801" t="s">
        <v>12704</v>
      </c>
      <c r="G9000" s="801"/>
      <c r="H9000" s="801" t="s">
        <v>13678</v>
      </c>
      <c r="I9000" s="801"/>
      <c r="J9000" s="801" t="s">
        <v>12705</v>
      </c>
      <c r="K9000" s="801"/>
      <c r="L9000" s="801"/>
    </row>
    <row r="9001" spans="1:12" ht="14.25" customHeight="1">
      <c r="A9001" s="626" t="s">
        <v>12709</v>
      </c>
      <c r="B9001" s="627" t="s">
        <v>13134</v>
      </c>
      <c r="C9001" s="626" t="s">
        <v>8</v>
      </c>
      <c r="D9001" s="626" t="s">
        <v>9219</v>
      </c>
      <c r="E9001" s="628" t="s">
        <v>23</v>
      </c>
      <c r="F9001" s="816" t="s">
        <v>13782</v>
      </c>
      <c r="G9001" s="816"/>
      <c r="H9001" s="816">
        <v>1.1146984</v>
      </c>
      <c r="I9001" s="816"/>
      <c r="J9001" s="817">
        <v>1.0367</v>
      </c>
      <c r="K9001" s="817"/>
      <c r="L9001" s="817"/>
    </row>
    <row r="9002" spans="1:12" ht="17.100000000000001" customHeight="1">
      <c r="A9002" s="626" t="s">
        <v>12709</v>
      </c>
      <c r="B9002" s="627" t="s">
        <v>13133</v>
      </c>
      <c r="C9002" s="626" t="s">
        <v>8</v>
      </c>
      <c r="D9002" s="626" t="s">
        <v>9366</v>
      </c>
      <c r="E9002" s="628" t="s">
        <v>23</v>
      </c>
      <c r="F9002" s="816" t="s">
        <v>13781</v>
      </c>
      <c r="G9002" s="816"/>
      <c r="H9002" s="816">
        <v>1.1146984</v>
      </c>
      <c r="I9002" s="816"/>
      <c r="J9002" s="817">
        <v>0.61309999999999998</v>
      </c>
      <c r="K9002" s="817"/>
      <c r="L9002" s="817"/>
    </row>
    <row r="9003" spans="1:12" ht="24" customHeight="1">
      <c r="A9003" s="636"/>
      <c r="B9003" s="636"/>
      <c r="C9003" s="636"/>
      <c r="D9003" s="636"/>
      <c r="E9003" s="636"/>
      <c r="F9003" s="636"/>
      <c r="G9003" s="636"/>
      <c r="H9003" s="636"/>
      <c r="I9003" s="636"/>
      <c r="J9003" s="636" t="s">
        <v>13675</v>
      </c>
      <c r="K9003" s="636"/>
      <c r="L9003" s="636" t="s">
        <v>13695</v>
      </c>
    </row>
    <row r="9004" spans="1:12" ht="24" customHeight="1">
      <c r="A9004" s="802" t="s">
        <v>12710</v>
      </c>
      <c r="B9004" s="802"/>
      <c r="C9004" s="802"/>
      <c r="D9004" s="802"/>
      <c r="E9004" s="802"/>
      <c r="F9004" s="802"/>
      <c r="G9004" s="802"/>
      <c r="H9004" s="802"/>
      <c r="I9004" s="612"/>
      <c r="J9004" s="612"/>
      <c r="K9004" s="612"/>
      <c r="L9004" s="612"/>
    </row>
    <row r="9005" spans="1:12" ht="17.100000000000001" customHeight="1">
      <c r="A9005" s="612" t="s">
        <v>13679</v>
      </c>
      <c r="B9005" s="636" t="s">
        <v>12698</v>
      </c>
      <c r="C9005" s="612" t="s">
        <v>12699</v>
      </c>
      <c r="D9005" s="612" t="s">
        <v>12700</v>
      </c>
      <c r="E9005" s="637" t="s">
        <v>12702</v>
      </c>
      <c r="F9005" s="801" t="s">
        <v>12704</v>
      </c>
      <c r="G9005" s="801"/>
      <c r="H9005" s="801" t="s">
        <v>13678</v>
      </c>
      <c r="I9005" s="801"/>
      <c r="J9005" s="801" t="s">
        <v>12705</v>
      </c>
      <c r="K9005" s="801"/>
      <c r="L9005" s="801"/>
    </row>
    <row r="9006" spans="1:12" ht="14.25" customHeight="1">
      <c r="A9006" s="626" t="s">
        <v>12709</v>
      </c>
      <c r="B9006" s="627" t="s">
        <v>13204</v>
      </c>
      <c r="C9006" s="626" t="s">
        <v>8</v>
      </c>
      <c r="D9006" s="626" t="s">
        <v>9112</v>
      </c>
      <c r="E9006" s="628" t="s">
        <v>23</v>
      </c>
      <c r="F9006" s="816" t="s">
        <v>14479</v>
      </c>
      <c r="G9006" s="816"/>
      <c r="H9006" s="816">
        <v>0.63568550000000001</v>
      </c>
      <c r="I9006" s="816"/>
      <c r="J9006" s="817">
        <v>4.5452000000000004</v>
      </c>
      <c r="K9006" s="817"/>
      <c r="L9006" s="817"/>
    </row>
    <row r="9007" spans="1:12" ht="17.100000000000001" customHeight="1">
      <c r="A9007" s="626" t="s">
        <v>12709</v>
      </c>
      <c r="B9007" s="627" t="s">
        <v>13222</v>
      </c>
      <c r="C9007" s="626" t="s">
        <v>8</v>
      </c>
      <c r="D9007" s="626" t="s">
        <v>7364</v>
      </c>
      <c r="E9007" s="628" t="s">
        <v>23</v>
      </c>
      <c r="F9007" s="816" t="s">
        <v>13808</v>
      </c>
      <c r="G9007" s="816"/>
      <c r="H9007" s="816">
        <v>0.50854840000000001</v>
      </c>
      <c r="I9007" s="816"/>
      <c r="J9007" s="817">
        <v>2.5529000000000002</v>
      </c>
      <c r="K9007" s="817"/>
      <c r="L9007" s="817"/>
    </row>
    <row r="9008" spans="1:12" ht="24" customHeight="1">
      <c r="A9008" s="636"/>
      <c r="B9008" s="636"/>
      <c r="C9008" s="636"/>
      <c r="D9008" s="636"/>
      <c r="E9008" s="636"/>
      <c r="F9008" s="636"/>
      <c r="G9008" s="636"/>
      <c r="H9008" s="636"/>
      <c r="I9008" s="636"/>
      <c r="J9008" s="636" t="s">
        <v>13675</v>
      </c>
      <c r="K9008" s="636"/>
      <c r="L9008" s="636" t="s">
        <v>13702</v>
      </c>
    </row>
    <row r="9009" spans="1:12" ht="24" customHeight="1">
      <c r="A9009" s="802" t="s">
        <v>12720</v>
      </c>
      <c r="B9009" s="802"/>
      <c r="C9009" s="802"/>
      <c r="D9009" s="802"/>
      <c r="E9009" s="802"/>
      <c r="F9009" s="802"/>
      <c r="G9009" s="802"/>
      <c r="H9009" s="802"/>
      <c r="I9009" s="612"/>
      <c r="J9009" s="612"/>
      <c r="K9009" s="612"/>
      <c r="L9009" s="612"/>
    </row>
    <row r="9010" spans="1:12" ht="17.100000000000001" customHeight="1">
      <c r="A9010" s="612" t="s">
        <v>13679</v>
      </c>
      <c r="B9010" s="636" t="s">
        <v>12698</v>
      </c>
      <c r="C9010" s="612" t="s">
        <v>12699</v>
      </c>
      <c r="D9010" s="612" t="s">
        <v>12700</v>
      </c>
      <c r="E9010" s="637" t="s">
        <v>12702</v>
      </c>
      <c r="F9010" s="801" t="s">
        <v>12704</v>
      </c>
      <c r="G9010" s="801"/>
      <c r="H9010" s="801" t="s">
        <v>13678</v>
      </c>
      <c r="I9010" s="801"/>
      <c r="J9010" s="801" t="s">
        <v>12705</v>
      </c>
      <c r="K9010" s="801"/>
      <c r="L9010" s="801"/>
    </row>
    <row r="9011" spans="1:12" ht="25.5">
      <c r="A9011" s="626" t="s">
        <v>12709</v>
      </c>
      <c r="B9011" s="627" t="s">
        <v>13040</v>
      </c>
      <c r="C9011" s="626" t="s">
        <v>8</v>
      </c>
      <c r="D9011" s="626" t="s">
        <v>9280</v>
      </c>
      <c r="E9011" s="628" t="s">
        <v>35</v>
      </c>
      <c r="F9011" s="816" t="s">
        <v>14572</v>
      </c>
      <c r="G9011" s="816"/>
      <c r="H9011" s="816">
        <v>0.99883370000000005</v>
      </c>
      <c r="I9011" s="816"/>
      <c r="J9011" s="817">
        <v>1.738</v>
      </c>
      <c r="K9011" s="817"/>
      <c r="L9011" s="817"/>
    </row>
    <row r="9012" spans="1:12" ht="17.100000000000001" customHeight="1">
      <c r="A9012" s="626" t="s">
        <v>12709</v>
      </c>
      <c r="B9012" s="627" t="s">
        <v>13039</v>
      </c>
      <c r="C9012" s="626" t="s">
        <v>8</v>
      </c>
      <c r="D9012" s="626" t="s">
        <v>11339</v>
      </c>
      <c r="E9012" s="628" t="s">
        <v>35</v>
      </c>
      <c r="F9012" s="816" t="s">
        <v>13918</v>
      </c>
      <c r="G9012" s="816"/>
      <c r="H9012" s="816">
        <v>0.99883370000000005</v>
      </c>
      <c r="I9012" s="816"/>
      <c r="J9012" s="817">
        <v>0.89900000000000002</v>
      </c>
      <c r="K9012" s="817"/>
      <c r="L9012" s="817"/>
    </row>
    <row r="9013" spans="1:12" ht="24" customHeight="1">
      <c r="A9013" s="626" t="s">
        <v>12709</v>
      </c>
      <c r="B9013" s="627" t="s">
        <v>13021</v>
      </c>
      <c r="C9013" s="626" t="s">
        <v>8</v>
      </c>
      <c r="D9013" s="626" t="s">
        <v>11808</v>
      </c>
      <c r="E9013" s="628" t="s">
        <v>35</v>
      </c>
      <c r="F9013" s="816" t="s">
        <v>14573</v>
      </c>
      <c r="G9013" s="816"/>
      <c r="H9013" s="816">
        <v>0.99883370000000005</v>
      </c>
      <c r="I9013" s="816"/>
      <c r="J9013" s="817">
        <v>4.6844999999999999</v>
      </c>
      <c r="K9013" s="817"/>
      <c r="L9013" s="817"/>
    </row>
    <row r="9014" spans="1:12" ht="36" customHeight="1">
      <c r="A9014" s="636"/>
      <c r="B9014" s="636"/>
      <c r="C9014" s="636"/>
      <c r="D9014" s="636"/>
      <c r="E9014" s="636"/>
      <c r="F9014" s="636"/>
      <c r="G9014" s="636"/>
      <c r="H9014" s="636"/>
      <c r="I9014" s="636"/>
      <c r="J9014" s="636" t="s">
        <v>13675</v>
      </c>
      <c r="K9014" s="636"/>
      <c r="L9014" s="636" t="s">
        <v>14574</v>
      </c>
    </row>
    <row r="9015" spans="1:12" ht="17.100000000000001" customHeight="1">
      <c r="A9015" s="802" t="s">
        <v>12722</v>
      </c>
      <c r="B9015" s="802"/>
      <c r="C9015" s="802"/>
      <c r="D9015" s="802"/>
      <c r="E9015" s="802"/>
      <c r="F9015" s="802"/>
      <c r="G9015" s="802"/>
      <c r="H9015" s="802"/>
      <c r="I9015" s="612"/>
      <c r="J9015" s="612"/>
      <c r="K9015" s="612"/>
      <c r="L9015" s="612"/>
    </row>
    <row r="9016" spans="1:12">
      <c r="A9016" s="612" t="s">
        <v>13679</v>
      </c>
      <c r="B9016" s="636" t="s">
        <v>12698</v>
      </c>
      <c r="C9016" s="612" t="s">
        <v>12699</v>
      </c>
      <c r="D9016" s="612" t="s">
        <v>12700</v>
      </c>
      <c r="E9016" s="637" t="s">
        <v>12702</v>
      </c>
      <c r="F9016" s="801" t="s">
        <v>12704</v>
      </c>
      <c r="G9016" s="801"/>
      <c r="H9016" s="801" t="s">
        <v>13678</v>
      </c>
      <c r="I9016" s="801"/>
      <c r="J9016" s="801" t="s">
        <v>12705</v>
      </c>
      <c r="K9016" s="801"/>
      <c r="L9016" s="801"/>
    </row>
    <row r="9017" spans="1:12" ht="17.100000000000001" customHeight="1">
      <c r="A9017" s="626" t="s">
        <v>12709</v>
      </c>
      <c r="B9017" s="627" t="s">
        <v>12998</v>
      </c>
      <c r="C9017" s="626" t="s">
        <v>8</v>
      </c>
      <c r="D9017" s="626" t="s">
        <v>11861</v>
      </c>
      <c r="E9017" s="628" t="s">
        <v>23</v>
      </c>
      <c r="F9017" s="816" t="s">
        <v>13683</v>
      </c>
      <c r="G9017" s="816"/>
      <c r="H9017" s="816">
        <v>1.1146984</v>
      </c>
      <c r="I9017" s="816"/>
      <c r="J9017" s="817">
        <v>0.79139999999999999</v>
      </c>
      <c r="K9017" s="817"/>
      <c r="L9017" s="817"/>
    </row>
    <row r="9018" spans="1:12" ht="24" customHeight="1">
      <c r="A9018" s="636"/>
      <c r="B9018" s="636"/>
      <c r="C9018" s="636"/>
      <c r="D9018" s="636"/>
      <c r="E9018" s="636"/>
      <c r="F9018" s="636"/>
      <c r="G9018" s="636"/>
      <c r="H9018" s="636"/>
      <c r="I9018" s="636"/>
      <c r="J9018" s="636" t="s">
        <v>13675</v>
      </c>
      <c r="K9018" s="636"/>
      <c r="L9018" s="636" t="s">
        <v>13893</v>
      </c>
    </row>
    <row r="9019" spans="1:12" ht="17.100000000000001" customHeight="1">
      <c r="A9019" s="802" t="s">
        <v>12713</v>
      </c>
      <c r="B9019" s="802"/>
      <c r="C9019" s="802"/>
      <c r="D9019" s="802"/>
      <c r="E9019" s="802"/>
      <c r="F9019" s="802"/>
      <c r="G9019" s="802"/>
      <c r="H9019" s="802"/>
      <c r="I9019" s="612"/>
      <c r="J9019" s="612"/>
      <c r="K9019" s="612"/>
      <c r="L9019" s="612"/>
    </row>
    <row r="9020" spans="1:12">
      <c r="A9020" s="612" t="s">
        <v>13679</v>
      </c>
      <c r="B9020" s="636" t="s">
        <v>12698</v>
      </c>
      <c r="C9020" s="612" t="s">
        <v>12699</v>
      </c>
      <c r="D9020" s="612" t="s">
        <v>12700</v>
      </c>
      <c r="E9020" s="637" t="s">
        <v>12702</v>
      </c>
      <c r="F9020" s="801" t="s">
        <v>12704</v>
      </c>
      <c r="G9020" s="801"/>
      <c r="H9020" s="801" t="s">
        <v>13678</v>
      </c>
      <c r="I9020" s="801"/>
      <c r="J9020" s="801" t="s">
        <v>12705</v>
      </c>
      <c r="K9020" s="801"/>
      <c r="L9020" s="801"/>
    </row>
    <row r="9021" spans="1:12" ht="17.100000000000001" customHeight="1">
      <c r="A9021" s="626" t="s">
        <v>12709</v>
      </c>
      <c r="B9021" s="627" t="s">
        <v>12999</v>
      </c>
      <c r="C9021" s="626" t="s">
        <v>8</v>
      </c>
      <c r="D9021" s="626" t="s">
        <v>11251</v>
      </c>
      <c r="E9021" s="628" t="s">
        <v>23</v>
      </c>
      <c r="F9021" s="816" t="s">
        <v>13681</v>
      </c>
      <c r="G9021" s="816"/>
      <c r="H9021" s="816">
        <v>1.1146984</v>
      </c>
      <c r="I9021" s="816"/>
      <c r="J9021" s="817">
        <v>7.8E-2</v>
      </c>
      <c r="K9021" s="817"/>
      <c r="L9021" s="817"/>
    </row>
    <row r="9022" spans="1:12" ht="24" customHeight="1">
      <c r="A9022" s="636"/>
      <c r="B9022" s="636"/>
      <c r="C9022" s="636"/>
      <c r="D9022" s="636"/>
      <c r="E9022" s="636"/>
      <c r="F9022" s="636"/>
      <c r="G9022" s="636"/>
      <c r="H9022" s="636"/>
      <c r="I9022" s="636"/>
      <c r="J9022" s="636" t="s">
        <v>13675</v>
      </c>
      <c r="K9022" s="636"/>
      <c r="L9022" s="636" t="s">
        <v>13892</v>
      </c>
    </row>
    <row r="9023" spans="1:12" ht="17.100000000000001" customHeight="1">
      <c r="A9023" s="802" t="s">
        <v>12712</v>
      </c>
      <c r="B9023" s="802"/>
      <c r="C9023" s="802"/>
      <c r="D9023" s="802"/>
      <c r="E9023" s="802"/>
      <c r="F9023" s="802"/>
      <c r="G9023" s="802"/>
      <c r="H9023" s="802"/>
      <c r="I9023" s="612"/>
      <c r="J9023" s="612"/>
      <c r="K9023" s="612"/>
      <c r="L9023" s="612"/>
    </row>
    <row r="9024" spans="1:12">
      <c r="A9024" s="612" t="s">
        <v>13679</v>
      </c>
      <c r="B9024" s="636" t="s">
        <v>12698</v>
      </c>
      <c r="C9024" s="612" t="s">
        <v>12699</v>
      </c>
      <c r="D9024" s="612" t="s">
        <v>12700</v>
      </c>
      <c r="E9024" s="637" t="s">
        <v>12702</v>
      </c>
      <c r="F9024" s="801" t="s">
        <v>12704</v>
      </c>
      <c r="G9024" s="801"/>
      <c r="H9024" s="801" t="s">
        <v>13678</v>
      </c>
      <c r="I9024" s="801"/>
      <c r="J9024" s="801" t="s">
        <v>12705</v>
      </c>
      <c r="K9024" s="801"/>
      <c r="L9024" s="801"/>
    </row>
    <row r="9025" spans="1:12" ht="17.100000000000001" customHeight="1">
      <c r="A9025" s="626" t="s">
        <v>12709</v>
      </c>
      <c r="B9025" s="627" t="s">
        <v>13002</v>
      </c>
      <c r="C9025" s="626" t="s">
        <v>8</v>
      </c>
      <c r="D9025" s="626" t="s">
        <v>9306</v>
      </c>
      <c r="E9025" s="628" t="s">
        <v>23</v>
      </c>
      <c r="F9025" s="816" t="s">
        <v>13677</v>
      </c>
      <c r="G9025" s="816"/>
      <c r="H9025" s="816">
        <v>1.1146984</v>
      </c>
      <c r="I9025" s="816"/>
      <c r="J9025" s="817">
        <v>0.3901</v>
      </c>
      <c r="K9025" s="817"/>
      <c r="L9025" s="817"/>
    </row>
    <row r="9026" spans="1:12" ht="24" customHeight="1">
      <c r="A9026" s="626" t="s">
        <v>12709</v>
      </c>
      <c r="B9026" s="627" t="s">
        <v>13004</v>
      </c>
      <c r="C9026" s="626" t="s">
        <v>8</v>
      </c>
      <c r="D9026" s="626" t="s">
        <v>7388</v>
      </c>
      <c r="E9026" s="628" t="s">
        <v>23</v>
      </c>
      <c r="F9026" s="816" t="s">
        <v>13676</v>
      </c>
      <c r="G9026" s="816"/>
      <c r="H9026" s="816">
        <v>1.1146984</v>
      </c>
      <c r="I9026" s="816"/>
      <c r="J9026" s="817">
        <v>2.4523000000000001</v>
      </c>
      <c r="K9026" s="817"/>
      <c r="L9026" s="817"/>
    </row>
    <row r="9027" spans="1:12" ht="24" customHeight="1">
      <c r="A9027" s="636"/>
      <c r="B9027" s="636"/>
      <c r="C9027" s="636"/>
      <c r="D9027" s="636"/>
      <c r="E9027" s="636"/>
      <c r="F9027" s="636"/>
      <c r="G9027" s="636"/>
      <c r="H9027" s="636"/>
      <c r="I9027" s="636"/>
      <c r="J9027" s="636" t="s">
        <v>13675</v>
      </c>
      <c r="K9027" s="636"/>
      <c r="L9027" s="636" t="s">
        <v>13826</v>
      </c>
    </row>
    <row r="9028" spans="1:12" ht="17.100000000000001" customHeight="1">
      <c r="A9028" s="612" t="s">
        <v>13673</v>
      </c>
      <c r="B9028" s="612"/>
      <c r="C9028" s="612"/>
      <c r="D9028" s="612"/>
      <c r="E9028" s="612"/>
      <c r="F9028" s="612"/>
      <c r="G9028" s="612"/>
      <c r="H9028" s="612"/>
      <c r="I9028" s="612"/>
      <c r="J9028" s="612"/>
      <c r="K9028" s="612"/>
      <c r="L9028" s="612"/>
    </row>
    <row r="9029" spans="1:12" ht="17.100000000000001" customHeight="1">
      <c r="A9029" s="636"/>
      <c r="B9029" s="636"/>
      <c r="C9029" s="636"/>
      <c r="D9029" s="636"/>
      <c r="E9029" s="636"/>
      <c r="F9029" s="636"/>
      <c r="G9029" s="636"/>
      <c r="H9029" s="636"/>
      <c r="I9029" s="636"/>
      <c r="J9029" s="636" t="s">
        <v>13672</v>
      </c>
      <c r="K9029" s="636"/>
      <c r="L9029" s="636" t="s">
        <v>15577</v>
      </c>
    </row>
    <row r="9030" spans="1:12" ht="17.100000000000001" customHeight="1">
      <c r="A9030" s="636"/>
      <c r="B9030" s="636"/>
      <c r="C9030" s="636"/>
      <c r="D9030" s="636"/>
      <c r="E9030" s="636"/>
      <c r="F9030" s="636"/>
      <c r="G9030" s="636"/>
      <c r="H9030" s="636"/>
      <c r="I9030" s="636"/>
      <c r="J9030" s="636" t="s">
        <v>13671</v>
      </c>
      <c r="K9030" s="636" t="s">
        <v>14461</v>
      </c>
      <c r="L9030" s="636" t="s">
        <v>15578</v>
      </c>
    </row>
    <row r="9031" spans="1:12" ht="17.100000000000001" customHeight="1">
      <c r="A9031" s="636"/>
      <c r="B9031" s="636"/>
      <c r="C9031" s="636"/>
      <c r="D9031" s="636"/>
      <c r="E9031" s="636"/>
      <c r="F9031" s="636"/>
      <c r="G9031" s="636"/>
      <c r="H9031" s="636"/>
      <c r="I9031" s="636"/>
      <c r="J9031" s="636" t="s">
        <v>13670</v>
      </c>
      <c r="K9031" s="636"/>
      <c r="L9031" s="636" t="s">
        <v>15579</v>
      </c>
    </row>
    <row r="9032" spans="1:12" ht="17.100000000000001" customHeight="1">
      <c r="A9032" s="636"/>
      <c r="B9032" s="636"/>
      <c r="C9032" s="636"/>
      <c r="D9032" s="636"/>
      <c r="E9032" s="636"/>
      <c r="F9032" s="636"/>
      <c r="G9032" s="636"/>
      <c r="H9032" s="636"/>
      <c r="I9032" s="636"/>
      <c r="J9032" s="636" t="s">
        <v>13669</v>
      </c>
      <c r="K9032" s="636" t="s">
        <v>13667</v>
      </c>
      <c r="L9032" s="636" t="s">
        <v>15580</v>
      </c>
    </row>
    <row r="9033" spans="1:12" ht="17.100000000000001" customHeight="1">
      <c r="A9033" s="636"/>
      <c r="B9033" s="636"/>
      <c r="C9033" s="636"/>
      <c r="D9033" s="636"/>
      <c r="E9033" s="636"/>
      <c r="F9033" s="636"/>
      <c r="G9033" s="636"/>
      <c r="H9033" s="636"/>
      <c r="I9033" s="636"/>
      <c r="J9033" s="636" t="s">
        <v>13668</v>
      </c>
      <c r="K9033" s="636"/>
      <c r="L9033" s="636" t="s">
        <v>15581</v>
      </c>
    </row>
    <row r="9034" spans="1:12" ht="17.100000000000001" customHeight="1">
      <c r="A9034" s="637"/>
      <c r="B9034" s="637"/>
      <c r="C9034" s="637"/>
      <c r="D9034" s="637"/>
      <c r="E9034" s="637"/>
      <c r="F9034" s="637"/>
      <c r="G9034" s="637"/>
      <c r="H9034" s="637"/>
      <c r="I9034" s="637"/>
      <c r="J9034" s="637"/>
      <c r="K9034" s="637"/>
      <c r="L9034" s="637"/>
    </row>
    <row r="9035" spans="1:12" ht="30" customHeight="1">
      <c r="A9035" s="616" t="s">
        <v>13899</v>
      </c>
      <c r="B9035" s="617" t="s">
        <v>13404</v>
      </c>
      <c r="C9035" s="616" t="s">
        <v>8</v>
      </c>
      <c r="D9035" s="616" t="s">
        <v>2566</v>
      </c>
      <c r="E9035" s="618" t="s">
        <v>35</v>
      </c>
      <c r="F9035" s="617"/>
      <c r="G9035" s="617"/>
      <c r="H9035" s="617"/>
      <c r="I9035" s="617"/>
      <c r="J9035" s="617"/>
      <c r="K9035" s="617"/>
      <c r="L9035" s="617"/>
    </row>
    <row r="9036" spans="1:12" ht="24" customHeight="1">
      <c r="A9036" s="802" t="s">
        <v>12711</v>
      </c>
      <c r="B9036" s="802"/>
      <c r="C9036" s="802"/>
      <c r="D9036" s="802"/>
      <c r="E9036" s="802"/>
      <c r="F9036" s="802"/>
      <c r="G9036" s="802"/>
      <c r="H9036" s="802"/>
      <c r="I9036" s="612"/>
      <c r="J9036" s="612"/>
      <c r="K9036" s="612"/>
      <c r="L9036" s="612"/>
    </row>
    <row r="9037" spans="1:12" ht="14.25" customHeight="1">
      <c r="A9037" s="612" t="s">
        <v>13679</v>
      </c>
      <c r="B9037" s="636" t="s">
        <v>12698</v>
      </c>
      <c r="C9037" s="612" t="s">
        <v>12699</v>
      </c>
      <c r="D9037" s="612" t="s">
        <v>12700</v>
      </c>
      <c r="E9037" s="637" t="s">
        <v>12702</v>
      </c>
      <c r="F9037" s="801" t="s">
        <v>12704</v>
      </c>
      <c r="G9037" s="801"/>
      <c r="H9037" s="801" t="s">
        <v>13678</v>
      </c>
      <c r="I9037" s="801"/>
      <c r="J9037" s="801" t="s">
        <v>12705</v>
      </c>
      <c r="K9037" s="801"/>
      <c r="L9037" s="801"/>
    </row>
    <row r="9038" spans="1:12" ht="17.100000000000001" customHeight="1">
      <c r="A9038" s="626" t="s">
        <v>12709</v>
      </c>
      <c r="B9038" s="627" t="s">
        <v>13134</v>
      </c>
      <c r="C9038" s="626" t="s">
        <v>8</v>
      </c>
      <c r="D9038" s="626" t="s">
        <v>9219</v>
      </c>
      <c r="E9038" s="628" t="s">
        <v>23</v>
      </c>
      <c r="F9038" s="816" t="s">
        <v>13782</v>
      </c>
      <c r="G9038" s="816"/>
      <c r="H9038" s="816">
        <v>0.73936170000000001</v>
      </c>
      <c r="I9038" s="816"/>
      <c r="J9038" s="817">
        <v>0.68759999999999999</v>
      </c>
      <c r="K9038" s="817"/>
      <c r="L9038" s="817"/>
    </row>
    <row r="9039" spans="1:12" ht="24" customHeight="1">
      <c r="A9039" s="626" t="s">
        <v>12709</v>
      </c>
      <c r="B9039" s="627" t="s">
        <v>13133</v>
      </c>
      <c r="C9039" s="626" t="s">
        <v>8</v>
      </c>
      <c r="D9039" s="626" t="s">
        <v>9366</v>
      </c>
      <c r="E9039" s="628" t="s">
        <v>23</v>
      </c>
      <c r="F9039" s="816" t="s">
        <v>13781</v>
      </c>
      <c r="G9039" s="816"/>
      <c r="H9039" s="816">
        <v>0.73936170000000001</v>
      </c>
      <c r="I9039" s="816"/>
      <c r="J9039" s="817">
        <v>0.40660000000000002</v>
      </c>
      <c r="K9039" s="817"/>
      <c r="L9039" s="817"/>
    </row>
    <row r="9040" spans="1:12" ht="24" customHeight="1">
      <c r="A9040" s="636"/>
      <c r="B9040" s="636"/>
      <c r="C9040" s="636"/>
      <c r="D9040" s="636"/>
      <c r="E9040" s="636"/>
      <c r="F9040" s="636"/>
      <c r="G9040" s="636"/>
      <c r="H9040" s="636"/>
      <c r="I9040" s="636"/>
      <c r="J9040" s="636" t="s">
        <v>13675</v>
      </c>
      <c r="K9040" s="636"/>
      <c r="L9040" s="636" t="s">
        <v>13897</v>
      </c>
    </row>
    <row r="9041" spans="1:12" ht="17.100000000000001" customHeight="1">
      <c r="A9041" s="802" t="s">
        <v>12710</v>
      </c>
      <c r="B9041" s="802"/>
      <c r="C9041" s="802"/>
      <c r="D9041" s="802"/>
      <c r="E9041" s="802"/>
      <c r="F9041" s="802"/>
      <c r="G9041" s="802"/>
      <c r="H9041" s="802"/>
      <c r="I9041" s="612"/>
      <c r="J9041" s="612"/>
      <c r="K9041" s="612"/>
      <c r="L9041" s="612"/>
    </row>
    <row r="9042" spans="1:12" ht="14.25" customHeight="1">
      <c r="A9042" s="612" t="s">
        <v>13679</v>
      </c>
      <c r="B9042" s="636" t="s">
        <v>12698</v>
      </c>
      <c r="C9042" s="612" t="s">
        <v>12699</v>
      </c>
      <c r="D9042" s="612" t="s">
        <v>12700</v>
      </c>
      <c r="E9042" s="637" t="s">
        <v>12702</v>
      </c>
      <c r="F9042" s="801" t="s">
        <v>12704</v>
      </c>
      <c r="G9042" s="801"/>
      <c r="H9042" s="801" t="s">
        <v>13678</v>
      </c>
      <c r="I9042" s="801"/>
      <c r="J9042" s="801" t="s">
        <v>12705</v>
      </c>
      <c r="K9042" s="801"/>
      <c r="L9042" s="801"/>
    </row>
    <row r="9043" spans="1:12" ht="17.100000000000001" customHeight="1">
      <c r="A9043" s="626" t="s">
        <v>12709</v>
      </c>
      <c r="B9043" s="627" t="s">
        <v>13204</v>
      </c>
      <c r="C9043" s="626" t="s">
        <v>8</v>
      </c>
      <c r="D9043" s="626" t="s">
        <v>9112</v>
      </c>
      <c r="E9043" s="628" t="s">
        <v>23</v>
      </c>
      <c r="F9043" s="816" t="s">
        <v>14479</v>
      </c>
      <c r="G9043" s="816"/>
      <c r="H9043" s="816">
        <v>0.44239220000000001</v>
      </c>
      <c r="I9043" s="816"/>
      <c r="J9043" s="817">
        <v>3.1631</v>
      </c>
      <c r="K9043" s="817"/>
      <c r="L9043" s="817"/>
    </row>
    <row r="9044" spans="1:12" ht="24" customHeight="1">
      <c r="A9044" s="626" t="s">
        <v>12709</v>
      </c>
      <c r="B9044" s="627" t="s">
        <v>13222</v>
      </c>
      <c r="C9044" s="626" t="s">
        <v>8</v>
      </c>
      <c r="D9044" s="626" t="s">
        <v>7364</v>
      </c>
      <c r="E9044" s="628" t="s">
        <v>23</v>
      </c>
      <c r="F9044" s="816" t="s">
        <v>13808</v>
      </c>
      <c r="G9044" s="816"/>
      <c r="H9044" s="816">
        <v>0.3154093</v>
      </c>
      <c r="I9044" s="816"/>
      <c r="J9044" s="817">
        <v>1.5833999999999999</v>
      </c>
      <c r="K9044" s="817"/>
      <c r="L9044" s="817"/>
    </row>
    <row r="9045" spans="1:12" ht="24" customHeight="1">
      <c r="A9045" s="636"/>
      <c r="B9045" s="636"/>
      <c r="C9045" s="636"/>
      <c r="D9045" s="636"/>
      <c r="E9045" s="636"/>
      <c r="F9045" s="636"/>
      <c r="G9045" s="636"/>
      <c r="H9045" s="636"/>
      <c r="I9045" s="636"/>
      <c r="J9045" s="636" t="s">
        <v>13675</v>
      </c>
      <c r="K9045" s="636"/>
      <c r="L9045" s="636" t="s">
        <v>14575</v>
      </c>
    </row>
    <row r="9046" spans="1:12" ht="17.100000000000001" customHeight="1">
      <c r="A9046" s="802" t="s">
        <v>12720</v>
      </c>
      <c r="B9046" s="802"/>
      <c r="C9046" s="802"/>
      <c r="D9046" s="802"/>
      <c r="E9046" s="802"/>
      <c r="F9046" s="802"/>
      <c r="G9046" s="802"/>
      <c r="H9046" s="802"/>
      <c r="I9046" s="612"/>
      <c r="J9046" s="612"/>
      <c r="K9046" s="612"/>
      <c r="L9046" s="612"/>
    </row>
    <row r="9047" spans="1:12">
      <c r="A9047" s="612" t="s">
        <v>13679</v>
      </c>
      <c r="B9047" s="636" t="s">
        <v>12698</v>
      </c>
      <c r="C9047" s="612" t="s">
        <v>12699</v>
      </c>
      <c r="D9047" s="612" t="s">
        <v>12700</v>
      </c>
      <c r="E9047" s="637" t="s">
        <v>12702</v>
      </c>
      <c r="F9047" s="801" t="s">
        <v>12704</v>
      </c>
      <c r="G9047" s="801"/>
      <c r="H9047" s="801" t="s">
        <v>13678</v>
      </c>
      <c r="I9047" s="801"/>
      <c r="J9047" s="801" t="s">
        <v>12705</v>
      </c>
      <c r="K9047" s="801"/>
      <c r="L9047" s="801"/>
    </row>
    <row r="9048" spans="1:12" ht="17.100000000000001" customHeight="1">
      <c r="A9048" s="626" t="s">
        <v>12709</v>
      </c>
      <c r="B9048" s="627" t="s">
        <v>13040</v>
      </c>
      <c r="C9048" s="626" t="s">
        <v>8</v>
      </c>
      <c r="D9048" s="626" t="s">
        <v>9280</v>
      </c>
      <c r="E9048" s="628" t="s">
        <v>35</v>
      </c>
      <c r="F9048" s="816" t="s">
        <v>14572</v>
      </c>
      <c r="G9048" s="816"/>
      <c r="H9048" s="816">
        <v>0.99913739999999995</v>
      </c>
      <c r="I9048" s="816"/>
      <c r="J9048" s="817">
        <v>1.7384999999999999</v>
      </c>
      <c r="K9048" s="817"/>
      <c r="L9048" s="817"/>
    </row>
    <row r="9049" spans="1:12" ht="24" customHeight="1">
      <c r="A9049" s="626" t="s">
        <v>12709</v>
      </c>
      <c r="B9049" s="627" t="s">
        <v>13039</v>
      </c>
      <c r="C9049" s="626" t="s">
        <v>8</v>
      </c>
      <c r="D9049" s="626" t="s">
        <v>11339</v>
      </c>
      <c r="E9049" s="628" t="s">
        <v>35</v>
      </c>
      <c r="F9049" s="816" t="s">
        <v>13918</v>
      </c>
      <c r="G9049" s="816"/>
      <c r="H9049" s="816">
        <v>0.99913739999999995</v>
      </c>
      <c r="I9049" s="816"/>
      <c r="J9049" s="817">
        <v>0.8992</v>
      </c>
      <c r="K9049" s="817"/>
      <c r="L9049" s="817"/>
    </row>
    <row r="9050" spans="1:12" ht="36" customHeight="1">
      <c r="A9050" s="626" t="s">
        <v>12709</v>
      </c>
      <c r="B9050" s="627" t="s">
        <v>13021</v>
      </c>
      <c r="C9050" s="626" t="s">
        <v>8</v>
      </c>
      <c r="D9050" s="626" t="s">
        <v>11808</v>
      </c>
      <c r="E9050" s="628" t="s">
        <v>35</v>
      </c>
      <c r="F9050" s="816" t="s">
        <v>14573</v>
      </c>
      <c r="G9050" s="816"/>
      <c r="H9050" s="816">
        <v>0.99913739999999995</v>
      </c>
      <c r="I9050" s="816"/>
      <c r="J9050" s="817">
        <v>4.6859999999999999</v>
      </c>
      <c r="K9050" s="817"/>
      <c r="L9050" s="817"/>
    </row>
    <row r="9051" spans="1:12" ht="17.100000000000001" customHeight="1">
      <c r="A9051" s="636"/>
      <c r="B9051" s="636"/>
      <c r="C9051" s="636"/>
      <c r="D9051" s="636"/>
      <c r="E9051" s="636"/>
      <c r="F9051" s="636"/>
      <c r="G9051" s="636"/>
      <c r="H9051" s="636"/>
      <c r="I9051" s="636"/>
      <c r="J9051" s="636" t="s">
        <v>13675</v>
      </c>
      <c r="K9051" s="636"/>
      <c r="L9051" s="636" t="s">
        <v>14574</v>
      </c>
    </row>
    <row r="9052" spans="1:12">
      <c r="A9052" s="802" t="s">
        <v>12722</v>
      </c>
      <c r="B9052" s="802"/>
      <c r="C9052" s="802"/>
      <c r="D9052" s="802"/>
      <c r="E9052" s="802"/>
      <c r="F9052" s="802"/>
      <c r="G9052" s="802"/>
      <c r="H9052" s="802"/>
      <c r="I9052" s="612"/>
      <c r="J9052" s="612"/>
      <c r="K9052" s="612"/>
      <c r="L9052" s="612"/>
    </row>
    <row r="9053" spans="1:12" ht="17.100000000000001" customHeight="1">
      <c r="A9053" s="612" t="s">
        <v>13679</v>
      </c>
      <c r="B9053" s="636" t="s">
        <v>12698</v>
      </c>
      <c r="C9053" s="612" t="s">
        <v>12699</v>
      </c>
      <c r="D9053" s="612" t="s">
        <v>12700</v>
      </c>
      <c r="E9053" s="637" t="s">
        <v>12702</v>
      </c>
      <c r="F9053" s="801" t="s">
        <v>12704</v>
      </c>
      <c r="G9053" s="801"/>
      <c r="H9053" s="801" t="s">
        <v>13678</v>
      </c>
      <c r="I9053" s="801"/>
      <c r="J9053" s="801" t="s">
        <v>12705</v>
      </c>
      <c r="K9053" s="801"/>
      <c r="L9053" s="801"/>
    </row>
    <row r="9054" spans="1:12" ht="24" customHeight="1">
      <c r="A9054" s="626" t="s">
        <v>12709</v>
      </c>
      <c r="B9054" s="627" t="s">
        <v>12998</v>
      </c>
      <c r="C9054" s="626" t="s">
        <v>8</v>
      </c>
      <c r="D9054" s="626" t="s">
        <v>11861</v>
      </c>
      <c r="E9054" s="628" t="s">
        <v>23</v>
      </c>
      <c r="F9054" s="816" t="s">
        <v>13683</v>
      </c>
      <c r="G9054" s="816"/>
      <c r="H9054" s="816">
        <v>0.73936170000000001</v>
      </c>
      <c r="I9054" s="816"/>
      <c r="J9054" s="817">
        <v>0.52490000000000003</v>
      </c>
      <c r="K9054" s="817"/>
      <c r="L9054" s="817"/>
    </row>
    <row r="9055" spans="1:12" ht="17.100000000000001" customHeight="1">
      <c r="A9055" s="636"/>
      <c r="B9055" s="636"/>
      <c r="C9055" s="636"/>
      <c r="D9055" s="636"/>
      <c r="E9055" s="636"/>
      <c r="F9055" s="636"/>
      <c r="G9055" s="636"/>
      <c r="H9055" s="636"/>
      <c r="I9055" s="636"/>
      <c r="J9055" s="636" t="s">
        <v>13675</v>
      </c>
      <c r="K9055" s="636"/>
      <c r="L9055" s="636" t="s">
        <v>13896</v>
      </c>
    </row>
    <row r="9056" spans="1:12">
      <c r="A9056" s="802" t="s">
        <v>12713</v>
      </c>
      <c r="B9056" s="802"/>
      <c r="C9056" s="802"/>
      <c r="D9056" s="802"/>
      <c r="E9056" s="802"/>
      <c r="F9056" s="802"/>
      <c r="G9056" s="802"/>
      <c r="H9056" s="802"/>
      <c r="I9056" s="612"/>
      <c r="J9056" s="612"/>
      <c r="K9056" s="612"/>
      <c r="L9056" s="612"/>
    </row>
    <row r="9057" spans="1:12" ht="17.100000000000001" customHeight="1">
      <c r="A9057" s="612" t="s">
        <v>13679</v>
      </c>
      <c r="B9057" s="636" t="s">
        <v>12698</v>
      </c>
      <c r="C9057" s="612" t="s">
        <v>12699</v>
      </c>
      <c r="D9057" s="612" t="s">
        <v>12700</v>
      </c>
      <c r="E9057" s="637" t="s">
        <v>12702</v>
      </c>
      <c r="F9057" s="801" t="s">
        <v>12704</v>
      </c>
      <c r="G9057" s="801"/>
      <c r="H9057" s="801" t="s">
        <v>13678</v>
      </c>
      <c r="I9057" s="801"/>
      <c r="J9057" s="801" t="s">
        <v>12705</v>
      </c>
      <c r="K9057" s="801"/>
      <c r="L9057" s="801"/>
    </row>
    <row r="9058" spans="1:12" ht="24" customHeight="1">
      <c r="A9058" s="626" t="s">
        <v>12709</v>
      </c>
      <c r="B9058" s="627" t="s">
        <v>12999</v>
      </c>
      <c r="C9058" s="626" t="s">
        <v>8</v>
      </c>
      <c r="D9058" s="626" t="s">
        <v>11251</v>
      </c>
      <c r="E9058" s="628" t="s">
        <v>23</v>
      </c>
      <c r="F9058" s="816" t="s">
        <v>13681</v>
      </c>
      <c r="G9058" s="816"/>
      <c r="H9058" s="816">
        <v>0.73936170000000001</v>
      </c>
      <c r="I9058" s="816"/>
      <c r="J9058" s="817">
        <v>5.1799999999999999E-2</v>
      </c>
      <c r="K9058" s="817"/>
      <c r="L9058" s="817"/>
    </row>
    <row r="9059" spans="1:12" ht="17.100000000000001" customHeight="1">
      <c r="A9059" s="636"/>
      <c r="B9059" s="636"/>
      <c r="C9059" s="636"/>
      <c r="D9059" s="636"/>
      <c r="E9059" s="636"/>
      <c r="F9059" s="636"/>
      <c r="G9059" s="636"/>
      <c r="H9059" s="636"/>
      <c r="I9059" s="636"/>
      <c r="J9059" s="636" t="s">
        <v>13675</v>
      </c>
      <c r="K9059" s="636"/>
      <c r="L9059" s="636" t="s">
        <v>13767</v>
      </c>
    </row>
    <row r="9060" spans="1:12">
      <c r="A9060" s="802" t="s">
        <v>12712</v>
      </c>
      <c r="B9060" s="802"/>
      <c r="C9060" s="802"/>
      <c r="D9060" s="802"/>
      <c r="E9060" s="802"/>
      <c r="F9060" s="802"/>
      <c r="G9060" s="802"/>
      <c r="H9060" s="802"/>
      <c r="I9060" s="612"/>
      <c r="J9060" s="612"/>
      <c r="K9060" s="612"/>
      <c r="L9060" s="612"/>
    </row>
    <row r="9061" spans="1:12" ht="17.100000000000001" customHeight="1">
      <c r="A9061" s="612" t="s">
        <v>13679</v>
      </c>
      <c r="B9061" s="636" t="s">
        <v>12698</v>
      </c>
      <c r="C9061" s="612" t="s">
        <v>12699</v>
      </c>
      <c r="D9061" s="612" t="s">
        <v>12700</v>
      </c>
      <c r="E9061" s="637" t="s">
        <v>12702</v>
      </c>
      <c r="F9061" s="801" t="s">
        <v>12704</v>
      </c>
      <c r="G9061" s="801"/>
      <c r="H9061" s="801" t="s">
        <v>13678</v>
      </c>
      <c r="I9061" s="801"/>
      <c r="J9061" s="801" t="s">
        <v>12705</v>
      </c>
      <c r="K9061" s="801"/>
      <c r="L9061" s="801"/>
    </row>
    <row r="9062" spans="1:12" ht="24" customHeight="1">
      <c r="A9062" s="626" t="s">
        <v>12709</v>
      </c>
      <c r="B9062" s="627" t="s">
        <v>13002</v>
      </c>
      <c r="C9062" s="626" t="s">
        <v>8</v>
      </c>
      <c r="D9062" s="626" t="s">
        <v>9306</v>
      </c>
      <c r="E9062" s="628" t="s">
        <v>23</v>
      </c>
      <c r="F9062" s="816" t="s">
        <v>13677</v>
      </c>
      <c r="G9062" s="816"/>
      <c r="H9062" s="816">
        <v>0.73936170000000001</v>
      </c>
      <c r="I9062" s="816"/>
      <c r="J9062" s="817">
        <v>0.25879999999999997</v>
      </c>
      <c r="K9062" s="817"/>
      <c r="L9062" s="817"/>
    </row>
    <row r="9063" spans="1:12" ht="24" customHeight="1">
      <c r="A9063" s="626" t="s">
        <v>12709</v>
      </c>
      <c r="B9063" s="627" t="s">
        <v>13004</v>
      </c>
      <c r="C9063" s="626" t="s">
        <v>8</v>
      </c>
      <c r="D9063" s="626" t="s">
        <v>7388</v>
      </c>
      <c r="E9063" s="628" t="s">
        <v>23</v>
      </c>
      <c r="F9063" s="816" t="s">
        <v>13676</v>
      </c>
      <c r="G9063" s="816"/>
      <c r="H9063" s="816">
        <v>0.73936170000000001</v>
      </c>
      <c r="I9063" s="816"/>
      <c r="J9063" s="817">
        <v>1.6266</v>
      </c>
      <c r="K9063" s="817"/>
      <c r="L9063" s="817"/>
    </row>
    <row r="9064" spans="1:12" ht="17.100000000000001" customHeight="1">
      <c r="A9064" s="636"/>
      <c r="B9064" s="636"/>
      <c r="C9064" s="636"/>
      <c r="D9064" s="636"/>
      <c r="E9064" s="636"/>
      <c r="F9064" s="636"/>
      <c r="G9064" s="636"/>
      <c r="H9064" s="636"/>
      <c r="I9064" s="636"/>
      <c r="J9064" s="636" t="s">
        <v>13675</v>
      </c>
      <c r="K9064" s="636"/>
      <c r="L9064" s="636" t="s">
        <v>13895</v>
      </c>
    </row>
    <row r="9065" spans="1:12" ht="17.100000000000001" customHeight="1">
      <c r="A9065" s="612" t="s">
        <v>13673</v>
      </c>
      <c r="B9065" s="612"/>
      <c r="C9065" s="612"/>
      <c r="D9065" s="612"/>
      <c r="E9065" s="612"/>
      <c r="F9065" s="612"/>
      <c r="G9065" s="612"/>
      <c r="H9065" s="612"/>
      <c r="I9065" s="612"/>
      <c r="J9065" s="612"/>
      <c r="K9065" s="612"/>
      <c r="L9065" s="612"/>
    </row>
    <row r="9066" spans="1:12" ht="17.100000000000001" customHeight="1">
      <c r="A9066" s="636"/>
      <c r="B9066" s="636"/>
      <c r="C9066" s="636"/>
      <c r="D9066" s="636"/>
      <c r="E9066" s="636"/>
      <c r="F9066" s="636"/>
      <c r="G9066" s="636"/>
      <c r="H9066" s="636"/>
      <c r="I9066" s="636"/>
      <c r="J9066" s="636" t="s">
        <v>13672</v>
      </c>
      <c r="K9066" s="636"/>
      <c r="L9066" s="636" t="s">
        <v>14934</v>
      </c>
    </row>
    <row r="9067" spans="1:12" ht="17.100000000000001" customHeight="1">
      <c r="A9067" s="636"/>
      <c r="B9067" s="636"/>
      <c r="C9067" s="636"/>
      <c r="D9067" s="636"/>
      <c r="E9067" s="636"/>
      <c r="F9067" s="636"/>
      <c r="G9067" s="636"/>
      <c r="H9067" s="636"/>
      <c r="I9067" s="636"/>
      <c r="J9067" s="636" t="s">
        <v>13671</v>
      </c>
      <c r="K9067" s="636" t="s">
        <v>14461</v>
      </c>
      <c r="L9067" s="636" t="s">
        <v>15582</v>
      </c>
    </row>
    <row r="9068" spans="1:12" ht="17.100000000000001" customHeight="1">
      <c r="A9068" s="636"/>
      <c r="B9068" s="636"/>
      <c r="C9068" s="636"/>
      <c r="D9068" s="636"/>
      <c r="E9068" s="636"/>
      <c r="F9068" s="636"/>
      <c r="G9068" s="636"/>
      <c r="H9068" s="636"/>
      <c r="I9068" s="636"/>
      <c r="J9068" s="636" t="s">
        <v>13670</v>
      </c>
      <c r="K9068" s="636"/>
      <c r="L9068" s="636" t="s">
        <v>15583</v>
      </c>
    </row>
    <row r="9069" spans="1:12" ht="17.100000000000001" customHeight="1">
      <c r="A9069" s="636"/>
      <c r="B9069" s="636"/>
      <c r="C9069" s="636"/>
      <c r="D9069" s="636"/>
      <c r="E9069" s="636"/>
      <c r="F9069" s="636"/>
      <c r="G9069" s="636"/>
      <c r="H9069" s="636"/>
      <c r="I9069" s="636"/>
      <c r="J9069" s="636" t="s">
        <v>13669</v>
      </c>
      <c r="K9069" s="636" t="s">
        <v>13667</v>
      </c>
      <c r="L9069" s="636" t="s">
        <v>15584</v>
      </c>
    </row>
    <row r="9070" spans="1:12" ht="17.100000000000001" customHeight="1">
      <c r="A9070" s="636"/>
      <c r="B9070" s="636"/>
      <c r="C9070" s="636"/>
      <c r="D9070" s="636"/>
      <c r="E9070" s="636"/>
      <c r="F9070" s="636"/>
      <c r="G9070" s="636"/>
      <c r="H9070" s="636"/>
      <c r="I9070" s="636"/>
      <c r="J9070" s="636" t="s">
        <v>13668</v>
      </c>
      <c r="K9070" s="636"/>
      <c r="L9070" s="636" t="s">
        <v>15280</v>
      </c>
    </row>
    <row r="9071" spans="1:12" ht="30" customHeight="1">
      <c r="A9071" s="637"/>
      <c r="B9071" s="637"/>
      <c r="C9071" s="637"/>
      <c r="D9071" s="637"/>
      <c r="E9071" s="637"/>
      <c r="F9071" s="637"/>
      <c r="G9071" s="637"/>
      <c r="H9071" s="637"/>
      <c r="I9071" s="637"/>
      <c r="J9071" s="637"/>
      <c r="K9071" s="637"/>
      <c r="L9071" s="637"/>
    </row>
    <row r="9072" spans="1:12" ht="24" customHeight="1">
      <c r="A9072" s="616" t="s">
        <v>13898</v>
      </c>
      <c r="B9072" s="617" t="s">
        <v>13403</v>
      </c>
      <c r="C9072" s="616" t="s">
        <v>8</v>
      </c>
      <c r="D9072" s="616" t="s">
        <v>2565</v>
      </c>
      <c r="E9072" s="618" t="s">
        <v>35</v>
      </c>
      <c r="F9072" s="617"/>
      <c r="G9072" s="617"/>
      <c r="H9072" s="617"/>
      <c r="I9072" s="617"/>
      <c r="J9072" s="617"/>
      <c r="K9072" s="617"/>
      <c r="L9072" s="617"/>
    </row>
    <row r="9073" spans="1:12" ht="14.25" customHeight="1">
      <c r="A9073" s="802" t="s">
        <v>12711</v>
      </c>
      <c r="B9073" s="802"/>
      <c r="C9073" s="802"/>
      <c r="D9073" s="802"/>
      <c r="E9073" s="802"/>
      <c r="F9073" s="802"/>
      <c r="G9073" s="802"/>
      <c r="H9073" s="802"/>
      <c r="I9073" s="612"/>
      <c r="J9073" s="612"/>
      <c r="K9073" s="612"/>
      <c r="L9073" s="612"/>
    </row>
    <row r="9074" spans="1:12" ht="17.100000000000001" customHeight="1">
      <c r="A9074" s="612" t="s">
        <v>13679</v>
      </c>
      <c r="B9074" s="636" t="s">
        <v>12698</v>
      </c>
      <c r="C9074" s="612" t="s">
        <v>12699</v>
      </c>
      <c r="D9074" s="612" t="s">
        <v>12700</v>
      </c>
      <c r="E9074" s="637" t="s">
        <v>12702</v>
      </c>
      <c r="F9074" s="801" t="s">
        <v>12704</v>
      </c>
      <c r="G9074" s="801"/>
      <c r="H9074" s="801" t="s">
        <v>13678</v>
      </c>
      <c r="I9074" s="801"/>
      <c r="J9074" s="801" t="s">
        <v>12705</v>
      </c>
      <c r="K9074" s="801"/>
      <c r="L9074" s="801"/>
    </row>
    <row r="9075" spans="1:12" ht="24" customHeight="1">
      <c r="A9075" s="626" t="s">
        <v>12709</v>
      </c>
      <c r="B9075" s="627" t="s">
        <v>13134</v>
      </c>
      <c r="C9075" s="626" t="s">
        <v>8</v>
      </c>
      <c r="D9075" s="626" t="s">
        <v>9219</v>
      </c>
      <c r="E9075" s="628" t="s">
        <v>23</v>
      </c>
      <c r="F9075" s="816" t="s">
        <v>13782</v>
      </c>
      <c r="G9075" s="816"/>
      <c r="H9075" s="816">
        <v>1.1147791</v>
      </c>
      <c r="I9075" s="816"/>
      <c r="J9075" s="817">
        <v>1.0367</v>
      </c>
      <c r="K9075" s="817"/>
      <c r="L9075" s="817"/>
    </row>
    <row r="9076" spans="1:12" ht="24" customHeight="1">
      <c r="A9076" s="626" t="s">
        <v>12709</v>
      </c>
      <c r="B9076" s="627" t="s">
        <v>13133</v>
      </c>
      <c r="C9076" s="626" t="s">
        <v>8</v>
      </c>
      <c r="D9076" s="626" t="s">
        <v>9366</v>
      </c>
      <c r="E9076" s="628" t="s">
        <v>23</v>
      </c>
      <c r="F9076" s="816" t="s">
        <v>13781</v>
      </c>
      <c r="G9076" s="816"/>
      <c r="H9076" s="816">
        <v>1.1147791</v>
      </c>
      <c r="I9076" s="816"/>
      <c r="J9076" s="817">
        <v>0.61309999999999998</v>
      </c>
      <c r="K9076" s="817"/>
      <c r="L9076" s="817"/>
    </row>
    <row r="9077" spans="1:12" ht="17.100000000000001" customHeight="1">
      <c r="A9077" s="636"/>
      <c r="B9077" s="636"/>
      <c r="C9077" s="636"/>
      <c r="D9077" s="636"/>
      <c r="E9077" s="636"/>
      <c r="F9077" s="636"/>
      <c r="G9077" s="636"/>
      <c r="H9077" s="636"/>
      <c r="I9077" s="636"/>
      <c r="J9077" s="636" t="s">
        <v>13675</v>
      </c>
      <c r="K9077" s="636"/>
      <c r="L9077" s="636" t="s">
        <v>13695</v>
      </c>
    </row>
    <row r="9078" spans="1:12" ht="14.25" customHeight="1">
      <c r="A9078" s="802" t="s">
        <v>12710</v>
      </c>
      <c r="B9078" s="802"/>
      <c r="C9078" s="802"/>
      <c r="D9078" s="802"/>
      <c r="E9078" s="802"/>
      <c r="F9078" s="802"/>
      <c r="G9078" s="802"/>
      <c r="H9078" s="802"/>
      <c r="I9078" s="612"/>
      <c r="J9078" s="612"/>
      <c r="K9078" s="612"/>
      <c r="L9078" s="612"/>
    </row>
    <row r="9079" spans="1:12" ht="17.100000000000001" customHeight="1">
      <c r="A9079" s="612" t="s">
        <v>13679</v>
      </c>
      <c r="B9079" s="636" t="s">
        <v>12698</v>
      </c>
      <c r="C9079" s="612" t="s">
        <v>12699</v>
      </c>
      <c r="D9079" s="612" t="s">
        <v>12700</v>
      </c>
      <c r="E9079" s="637" t="s">
        <v>12702</v>
      </c>
      <c r="F9079" s="801" t="s">
        <v>12704</v>
      </c>
      <c r="G9079" s="801"/>
      <c r="H9079" s="801" t="s">
        <v>13678</v>
      </c>
      <c r="I9079" s="801"/>
      <c r="J9079" s="801" t="s">
        <v>12705</v>
      </c>
      <c r="K9079" s="801"/>
      <c r="L9079" s="801"/>
    </row>
    <row r="9080" spans="1:12" ht="24" customHeight="1">
      <c r="A9080" s="626" t="s">
        <v>12709</v>
      </c>
      <c r="B9080" s="627" t="s">
        <v>13204</v>
      </c>
      <c r="C9080" s="626" t="s">
        <v>8</v>
      </c>
      <c r="D9080" s="626" t="s">
        <v>9112</v>
      </c>
      <c r="E9080" s="628" t="s">
        <v>23</v>
      </c>
      <c r="F9080" s="816" t="s">
        <v>14479</v>
      </c>
      <c r="G9080" s="816"/>
      <c r="H9080" s="816">
        <v>0.63568550000000001</v>
      </c>
      <c r="I9080" s="816"/>
      <c r="J9080" s="817">
        <v>4.5452000000000004</v>
      </c>
      <c r="K9080" s="817"/>
      <c r="L9080" s="817"/>
    </row>
    <row r="9081" spans="1:12" ht="24" customHeight="1">
      <c r="A9081" s="626" t="s">
        <v>12709</v>
      </c>
      <c r="B9081" s="627" t="s">
        <v>13222</v>
      </c>
      <c r="C9081" s="626" t="s">
        <v>8</v>
      </c>
      <c r="D9081" s="626" t="s">
        <v>7364</v>
      </c>
      <c r="E9081" s="628" t="s">
        <v>23</v>
      </c>
      <c r="F9081" s="816" t="s">
        <v>13808</v>
      </c>
      <c r="G9081" s="816"/>
      <c r="H9081" s="816">
        <v>0.50854840000000001</v>
      </c>
      <c r="I9081" s="816"/>
      <c r="J9081" s="817">
        <v>2.5529000000000002</v>
      </c>
      <c r="K9081" s="817"/>
      <c r="L9081" s="817"/>
    </row>
    <row r="9082" spans="1:12" ht="17.100000000000001" customHeight="1">
      <c r="A9082" s="636"/>
      <c r="B9082" s="636"/>
      <c r="C9082" s="636"/>
      <c r="D9082" s="636"/>
      <c r="E9082" s="636"/>
      <c r="F9082" s="636"/>
      <c r="G9082" s="636"/>
      <c r="H9082" s="636"/>
      <c r="I9082" s="636"/>
      <c r="J9082" s="636" t="s">
        <v>13675</v>
      </c>
      <c r="K9082" s="636"/>
      <c r="L9082" s="636" t="s">
        <v>13702</v>
      </c>
    </row>
    <row r="9083" spans="1:12">
      <c r="A9083" s="802" t="s">
        <v>12720</v>
      </c>
      <c r="B9083" s="802"/>
      <c r="C9083" s="802"/>
      <c r="D9083" s="802"/>
      <c r="E9083" s="802"/>
      <c r="F9083" s="802"/>
      <c r="G9083" s="802"/>
      <c r="H9083" s="802"/>
      <c r="I9083" s="612"/>
      <c r="J9083" s="612"/>
      <c r="K9083" s="612"/>
      <c r="L9083" s="612"/>
    </row>
    <row r="9084" spans="1:12" ht="17.100000000000001" customHeight="1">
      <c r="A9084" s="612" t="s">
        <v>13679</v>
      </c>
      <c r="B9084" s="636" t="s">
        <v>12698</v>
      </c>
      <c r="C9084" s="612" t="s">
        <v>12699</v>
      </c>
      <c r="D9084" s="612" t="s">
        <v>12700</v>
      </c>
      <c r="E9084" s="637" t="s">
        <v>12702</v>
      </c>
      <c r="F9084" s="801" t="s">
        <v>12704</v>
      </c>
      <c r="G9084" s="801"/>
      <c r="H9084" s="801" t="s">
        <v>13678</v>
      </c>
      <c r="I9084" s="801"/>
      <c r="J9084" s="801" t="s">
        <v>12705</v>
      </c>
      <c r="K9084" s="801"/>
      <c r="L9084" s="801"/>
    </row>
    <row r="9085" spans="1:12" ht="36" customHeight="1">
      <c r="A9085" s="626" t="s">
        <v>12709</v>
      </c>
      <c r="B9085" s="627" t="s">
        <v>13040</v>
      </c>
      <c r="C9085" s="626" t="s">
        <v>8</v>
      </c>
      <c r="D9085" s="626" t="s">
        <v>9280</v>
      </c>
      <c r="E9085" s="628" t="s">
        <v>35</v>
      </c>
      <c r="F9085" s="816" t="s">
        <v>14572</v>
      </c>
      <c r="G9085" s="816"/>
      <c r="H9085" s="816">
        <v>0.99890599999999996</v>
      </c>
      <c r="I9085" s="816"/>
      <c r="J9085" s="817">
        <v>1.7381</v>
      </c>
      <c r="K9085" s="817"/>
      <c r="L9085" s="817"/>
    </row>
    <row r="9086" spans="1:12" ht="24" customHeight="1">
      <c r="A9086" s="626" t="s">
        <v>12709</v>
      </c>
      <c r="B9086" s="627" t="s">
        <v>13039</v>
      </c>
      <c r="C9086" s="626" t="s">
        <v>8</v>
      </c>
      <c r="D9086" s="626" t="s">
        <v>11339</v>
      </c>
      <c r="E9086" s="628" t="s">
        <v>35</v>
      </c>
      <c r="F9086" s="816" t="s">
        <v>13918</v>
      </c>
      <c r="G9086" s="816"/>
      <c r="H9086" s="816">
        <v>0.99890599999999996</v>
      </c>
      <c r="I9086" s="816"/>
      <c r="J9086" s="817">
        <v>0.89900000000000002</v>
      </c>
      <c r="K9086" s="817"/>
      <c r="L9086" s="817"/>
    </row>
    <row r="9087" spans="1:12" ht="17.100000000000001" customHeight="1">
      <c r="A9087" s="626" t="s">
        <v>12709</v>
      </c>
      <c r="B9087" s="627" t="s">
        <v>13025</v>
      </c>
      <c r="C9087" s="626" t="s">
        <v>8</v>
      </c>
      <c r="D9087" s="626" t="s">
        <v>11812</v>
      </c>
      <c r="E9087" s="628" t="s">
        <v>35</v>
      </c>
      <c r="F9087" s="816" t="s">
        <v>14066</v>
      </c>
      <c r="G9087" s="816"/>
      <c r="H9087" s="816">
        <v>0.99890599999999996</v>
      </c>
      <c r="I9087" s="816"/>
      <c r="J9087" s="817">
        <v>5.9934000000000003</v>
      </c>
      <c r="K9087" s="817"/>
      <c r="L9087" s="817"/>
    </row>
    <row r="9088" spans="1:12">
      <c r="A9088" s="636"/>
      <c r="B9088" s="636"/>
      <c r="C9088" s="636"/>
      <c r="D9088" s="636"/>
      <c r="E9088" s="636"/>
      <c r="F9088" s="636"/>
      <c r="G9088" s="636"/>
      <c r="H9088" s="636"/>
      <c r="I9088" s="636"/>
      <c r="J9088" s="636" t="s">
        <v>13675</v>
      </c>
      <c r="K9088" s="636"/>
      <c r="L9088" s="636" t="s">
        <v>13876</v>
      </c>
    </row>
    <row r="9089" spans="1:12" ht="17.100000000000001" customHeight="1">
      <c r="A9089" s="802" t="s">
        <v>12722</v>
      </c>
      <c r="B9089" s="802"/>
      <c r="C9089" s="802"/>
      <c r="D9089" s="802"/>
      <c r="E9089" s="802"/>
      <c r="F9089" s="802"/>
      <c r="G9089" s="802"/>
      <c r="H9089" s="802"/>
      <c r="I9089" s="612"/>
      <c r="J9089" s="612"/>
      <c r="K9089" s="612"/>
      <c r="L9089" s="612"/>
    </row>
    <row r="9090" spans="1:12" ht="24" customHeight="1">
      <c r="A9090" s="612" t="s">
        <v>13679</v>
      </c>
      <c r="B9090" s="636" t="s">
        <v>12698</v>
      </c>
      <c r="C9090" s="612" t="s">
        <v>12699</v>
      </c>
      <c r="D9090" s="612" t="s">
        <v>12700</v>
      </c>
      <c r="E9090" s="637" t="s">
        <v>12702</v>
      </c>
      <c r="F9090" s="801" t="s">
        <v>12704</v>
      </c>
      <c r="G9090" s="801"/>
      <c r="H9090" s="801" t="s">
        <v>13678</v>
      </c>
      <c r="I9090" s="801"/>
      <c r="J9090" s="801" t="s">
        <v>12705</v>
      </c>
      <c r="K9090" s="801"/>
      <c r="L9090" s="801"/>
    </row>
    <row r="9091" spans="1:12" ht="17.100000000000001" customHeight="1">
      <c r="A9091" s="626" t="s">
        <v>12709</v>
      </c>
      <c r="B9091" s="627" t="s">
        <v>12998</v>
      </c>
      <c r="C9091" s="626" t="s">
        <v>8</v>
      </c>
      <c r="D9091" s="626" t="s">
        <v>11861</v>
      </c>
      <c r="E9091" s="628" t="s">
        <v>23</v>
      </c>
      <c r="F9091" s="816" t="s">
        <v>13683</v>
      </c>
      <c r="G9091" s="816"/>
      <c r="H9091" s="816">
        <v>1.1147791</v>
      </c>
      <c r="I9091" s="816"/>
      <c r="J9091" s="817">
        <v>0.79149999999999998</v>
      </c>
      <c r="K9091" s="817"/>
      <c r="L9091" s="817"/>
    </row>
    <row r="9092" spans="1:12">
      <c r="A9092" s="636"/>
      <c r="B9092" s="636"/>
      <c r="C9092" s="636"/>
      <c r="D9092" s="636"/>
      <c r="E9092" s="636"/>
      <c r="F9092" s="636"/>
      <c r="G9092" s="636"/>
      <c r="H9092" s="636"/>
      <c r="I9092" s="636"/>
      <c r="J9092" s="636" t="s">
        <v>13675</v>
      </c>
      <c r="K9092" s="636"/>
      <c r="L9092" s="636" t="s">
        <v>13893</v>
      </c>
    </row>
    <row r="9093" spans="1:12" ht="17.100000000000001" customHeight="1">
      <c r="A9093" s="802" t="s">
        <v>12713</v>
      </c>
      <c r="B9093" s="802"/>
      <c r="C9093" s="802"/>
      <c r="D9093" s="802"/>
      <c r="E9093" s="802"/>
      <c r="F9093" s="802"/>
      <c r="G9093" s="802"/>
      <c r="H9093" s="802"/>
      <c r="I9093" s="612"/>
      <c r="J9093" s="612"/>
      <c r="K9093" s="612"/>
      <c r="L9093" s="612"/>
    </row>
    <row r="9094" spans="1:12" ht="24" customHeight="1">
      <c r="A9094" s="612" t="s">
        <v>13679</v>
      </c>
      <c r="B9094" s="636" t="s">
        <v>12698</v>
      </c>
      <c r="C9094" s="612" t="s">
        <v>12699</v>
      </c>
      <c r="D9094" s="612" t="s">
        <v>12700</v>
      </c>
      <c r="E9094" s="637" t="s">
        <v>12702</v>
      </c>
      <c r="F9094" s="801" t="s">
        <v>12704</v>
      </c>
      <c r="G9094" s="801"/>
      <c r="H9094" s="801" t="s">
        <v>13678</v>
      </c>
      <c r="I9094" s="801"/>
      <c r="J9094" s="801" t="s">
        <v>12705</v>
      </c>
      <c r="K9094" s="801"/>
      <c r="L9094" s="801"/>
    </row>
    <row r="9095" spans="1:12" ht="17.100000000000001" customHeight="1">
      <c r="A9095" s="626" t="s">
        <v>12709</v>
      </c>
      <c r="B9095" s="627" t="s">
        <v>12999</v>
      </c>
      <c r="C9095" s="626" t="s">
        <v>8</v>
      </c>
      <c r="D9095" s="626" t="s">
        <v>11251</v>
      </c>
      <c r="E9095" s="628" t="s">
        <v>23</v>
      </c>
      <c r="F9095" s="816" t="s">
        <v>13681</v>
      </c>
      <c r="G9095" s="816"/>
      <c r="H9095" s="816">
        <v>1.1147791</v>
      </c>
      <c r="I9095" s="816"/>
      <c r="J9095" s="817">
        <v>7.8E-2</v>
      </c>
      <c r="K9095" s="817"/>
      <c r="L9095" s="817"/>
    </row>
    <row r="9096" spans="1:12">
      <c r="A9096" s="636"/>
      <c r="B9096" s="636"/>
      <c r="C9096" s="636"/>
      <c r="D9096" s="636"/>
      <c r="E9096" s="636"/>
      <c r="F9096" s="636"/>
      <c r="G9096" s="636"/>
      <c r="H9096" s="636"/>
      <c r="I9096" s="636"/>
      <c r="J9096" s="636" t="s">
        <v>13675</v>
      </c>
      <c r="K9096" s="636"/>
      <c r="L9096" s="636" t="s">
        <v>13892</v>
      </c>
    </row>
    <row r="9097" spans="1:12" ht="17.100000000000001" customHeight="1">
      <c r="A9097" s="802" t="s">
        <v>12712</v>
      </c>
      <c r="B9097" s="802"/>
      <c r="C9097" s="802"/>
      <c r="D9097" s="802"/>
      <c r="E9097" s="802"/>
      <c r="F9097" s="802"/>
      <c r="G9097" s="802"/>
      <c r="H9097" s="802"/>
      <c r="I9097" s="612"/>
      <c r="J9097" s="612"/>
      <c r="K9097" s="612"/>
      <c r="L9097" s="612"/>
    </row>
    <row r="9098" spans="1:12" ht="24" customHeight="1">
      <c r="A9098" s="612" t="s">
        <v>13679</v>
      </c>
      <c r="B9098" s="636" t="s">
        <v>12698</v>
      </c>
      <c r="C9098" s="612" t="s">
        <v>12699</v>
      </c>
      <c r="D9098" s="612" t="s">
        <v>12700</v>
      </c>
      <c r="E9098" s="637" t="s">
        <v>12702</v>
      </c>
      <c r="F9098" s="801" t="s">
        <v>12704</v>
      </c>
      <c r="G9098" s="801"/>
      <c r="H9098" s="801" t="s">
        <v>13678</v>
      </c>
      <c r="I9098" s="801"/>
      <c r="J9098" s="801" t="s">
        <v>12705</v>
      </c>
      <c r="K9098" s="801"/>
      <c r="L9098" s="801"/>
    </row>
    <row r="9099" spans="1:12" ht="24" customHeight="1">
      <c r="A9099" s="626" t="s">
        <v>12709</v>
      </c>
      <c r="B9099" s="627" t="s">
        <v>13002</v>
      </c>
      <c r="C9099" s="626" t="s">
        <v>8</v>
      </c>
      <c r="D9099" s="626" t="s">
        <v>9306</v>
      </c>
      <c r="E9099" s="628" t="s">
        <v>23</v>
      </c>
      <c r="F9099" s="816" t="s">
        <v>13677</v>
      </c>
      <c r="G9099" s="816"/>
      <c r="H9099" s="816">
        <v>1.1147791</v>
      </c>
      <c r="I9099" s="816"/>
      <c r="J9099" s="817">
        <v>0.39019999999999999</v>
      </c>
      <c r="K9099" s="817"/>
      <c r="L9099" s="817"/>
    </row>
    <row r="9100" spans="1:12" ht="17.100000000000001" customHeight="1">
      <c r="A9100" s="626" t="s">
        <v>12709</v>
      </c>
      <c r="B9100" s="627" t="s">
        <v>13004</v>
      </c>
      <c r="C9100" s="626" t="s">
        <v>8</v>
      </c>
      <c r="D9100" s="626" t="s">
        <v>7388</v>
      </c>
      <c r="E9100" s="628" t="s">
        <v>23</v>
      </c>
      <c r="F9100" s="816" t="s">
        <v>13676</v>
      </c>
      <c r="G9100" s="816"/>
      <c r="H9100" s="816">
        <v>1.1147791</v>
      </c>
      <c r="I9100" s="816"/>
      <c r="J9100" s="817">
        <v>2.4525000000000001</v>
      </c>
      <c r="K9100" s="817"/>
      <c r="L9100" s="817"/>
    </row>
    <row r="9101" spans="1:12" ht="17.100000000000001" customHeight="1">
      <c r="A9101" s="636"/>
      <c r="B9101" s="636"/>
      <c r="C9101" s="636"/>
      <c r="D9101" s="636"/>
      <c r="E9101" s="636"/>
      <c r="F9101" s="636"/>
      <c r="G9101" s="636"/>
      <c r="H9101" s="636"/>
      <c r="I9101" s="636"/>
      <c r="J9101" s="636" t="s">
        <v>13675</v>
      </c>
      <c r="K9101" s="636"/>
      <c r="L9101" s="636" t="s">
        <v>13826</v>
      </c>
    </row>
    <row r="9102" spans="1:12" ht="17.100000000000001" customHeight="1">
      <c r="A9102" s="612" t="s">
        <v>13673</v>
      </c>
      <c r="B9102" s="612"/>
      <c r="C9102" s="612"/>
      <c r="D9102" s="612"/>
      <c r="E9102" s="612"/>
      <c r="F9102" s="612"/>
      <c r="G9102" s="612"/>
      <c r="H9102" s="612"/>
      <c r="I9102" s="612"/>
      <c r="J9102" s="612"/>
      <c r="K9102" s="612"/>
      <c r="L9102" s="612"/>
    </row>
    <row r="9103" spans="1:12" ht="17.100000000000001" customHeight="1">
      <c r="A9103" s="636"/>
      <c r="B9103" s="636"/>
      <c r="C9103" s="636"/>
      <c r="D9103" s="636"/>
      <c r="E9103" s="636"/>
      <c r="F9103" s="636"/>
      <c r="G9103" s="636"/>
      <c r="H9103" s="636"/>
      <c r="I9103" s="636"/>
      <c r="J9103" s="636" t="s">
        <v>13672</v>
      </c>
      <c r="K9103" s="636"/>
      <c r="L9103" s="636" t="s">
        <v>15585</v>
      </c>
    </row>
    <row r="9104" spans="1:12" ht="17.100000000000001" customHeight="1">
      <c r="A9104" s="636"/>
      <c r="B9104" s="636"/>
      <c r="C9104" s="636"/>
      <c r="D9104" s="636"/>
      <c r="E9104" s="636"/>
      <c r="F9104" s="636"/>
      <c r="G9104" s="636"/>
      <c r="H9104" s="636"/>
      <c r="I9104" s="636"/>
      <c r="J9104" s="636" t="s">
        <v>13671</v>
      </c>
      <c r="K9104" s="636" t="s">
        <v>14461</v>
      </c>
      <c r="L9104" s="636" t="s">
        <v>15578</v>
      </c>
    </row>
    <row r="9105" spans="1:12" ht="17.100000000000001" customHeight="1">
      <c r="A9105" s="636"/>
      <c r="B9105" s="636"/>
      <c r="C9105" s="636"/>
      <c r="D9105" s="636"/>
      <c r="E9105" s="636"/>
      <c r="F9105" s="636"/>
      <c r="G9105" s="636"/>
      <c r="H9105" s="636"/>
      <c r="I9105" s="636"/>
      <c r="J9105" s="636" t="s">
        <v>13670</v>
      </c>
      <c r="K9105" s="636"/>
      <c r="L9105" s="636" t="s">
        <v>15586</v>
      </c>
    </row>
    <row r="9106" spans="1:12" ht="17.100000000000001" customHeight="1">
      <c r="A9106" s="636"/>
      <c r="B9106" s="636"/>
      <c r="C9106" s="636"/>
      <c r="D9106" s="636"/>
      <c r="E9106" s="636"/>
      <c r="F9106" s="636"/>
      <c r="G9106" s="636"/>
      <c r="H9106" s="636"/>
      <c r="I9106" s="636"/>
      <c r="J9106" s="636" t="s">
        <v>13669</v>
      </c>
      <c r="K9106" s="636" t="s">
        <v>13667</v>
      </c>
      <c r="L9106" s="636" t="s">
        <v>15587</v>
      </c>
    </row>
    <row r="9107" spans="1:12" ht="30" customHeight="1">
      <c r="A9107" s="636"/>
      <c r="B9107" s="636"/>
      <c r="C9107" s="636"/>
      <c r="D9107" s="636"/>
      <c r="E9107" s="636"/>
      <c r="F9107" s="636"/>
      <c r="G9107" s="636"/>
      <c r="H9107" s="636"/>
      <c r="I9107" s="636"/>
      <c r="J9107" s="636" t="s">
        <v>13668</v>
      </c>
      <c r="K9107" s="636"/>
      <c r="L9107" s="636" t="s">
        <v>15588</v>
      </c>
    </row>
    <row r="9108" spans="1:12" ht="24" customHeight="1">
      <c r="A9108" s="637"/>
      <c r="B9108" s="637"/>
      <c r="C9108" s="637"/>
      <c r="D9108" s="637"/>
      <c r="E9108" s="637"/>
      <c r="F9108" s="637"/>
      <c r="G9108" s="637"/>
      <c r="H9108" s="637"/>
      <c r="I9108" s="637"/>
      <c r="J9108" s="637"/>
      <c r="K9108" s="637"/>
      <c r="L9108" s="637"/>
    </row>
    <row r="9109" spans="1:12" ht="14.25" customHeight="1">
      <c r="A9109" s="616" t="s">
        <v>13894</v>
      </c>
      <c r="B9109" s="617" t="s">
        <v>13402</v>
      </c>
      <c r="C9109" s="616" t="s">
        <v>8</v>
      </c>
      <c r="D9109" s="616" t="s">
        <v>2576</v>
      </c>
      <c r="E9109" s="618" t="s">
        <v>35</v>
      </c>
      <c r="F9109" s="617"/>
      <c r="G9109" s="617"/>
      <c r="H9109" s="617"/>
      <c r="I9109" s="617"/>
      <c r="J9109" s="617"/>
      <c r="K9109" s="617"/>
      <c r="L9109" s="617"/>
    </row>
    <row r="9110" spans="1:12" ht="17.100000000000001" customHeight="1">
      <c r="A9110" s="802" t="s">
        <v>12711</v>
      </c>
      <c r="B9110" s="802"/>
      <c r="C9110" s="802"/>
      <c r="D9110" s="802"/>
      <c r="E9110" s="802"/>
      <c r="F9110" s="802"/>
      <c r="G9110" s="802"/>
      <c r="H9110" s="802"/>
      <c r="I9110" s="612"/>
      <c r="J9110" s="612"/>
      <c r="K9110" s="612"/>
      <c r="L9110" s="612"/>
    </row>
    <row r="9111" spans="1:12" ht="24" customHeight="1">
      <c r="A9111" s="612" t="s">
        <v>13679</v>
      </c>
      <c r="B9111" s="636" t="s">
        <v>12698</v>
      </c>
      <c r="C9111" s="612" t="s">
        <v>12699</v>
      </c>
      <c r="D9111" s="612" t="s">
        <v>12700</v>
      </c>
      <c r="E9111" s="637" t="s">
        <v>12702</v>
      </c>
      <c r="F9111" s="801" t="s">
        <v>12704</v>
      </c>
      <c r="G9111" s="801"/>
      <c r="H9111" s="801" t="s">
        <v>13678</v>
      </c>
      <c r="I9111" s="801"/>
      <c r="J9111" s="801" t="s">
        <v>12705</v>
      </c>
      <c r="K9111" s="801"/>
      <c r="L9111" s="801"/>
    </row>
    <row r="9112" spans="1:12" ht="24" customHeight="1">
      <c r="A9112" s="626" t="s">
        <v>12709</v>
      </c>
      <c r="B9112" s="627" t="s">
        <v>13134</v>
      </c>
      <c r="C9112" s="626" t="s">
        <v>8</v>
      </c>
      <c r="D9112" s="626" t="s">
        <v>9219</v>
      </c>
      <c r="E9112" s="628" t="s">
        <v>23</v>
      </c>
      <c r="F9112" s="816" t="s">
        <v>13782</v>
      </c>
      <c r="G9112" s="816"/>
      <c r="H9112" s="816">
        <v>0.94127919999999998</v>
      </c>
      <c r="I9112" s="816"/>
      <c r="J9112" s="817">
        <v>0.87539999999999996</v>
      </c>
      <c r="K9112" s="817"/>
      <c r="L9112" s="817"/>
    </row>
    <row r="9113" spans="1:12" ht="17.100000000000001" customHeight="1">
      <c r="A9113" s="626" t="s">
        <v>12709</v>
      </c>
      <c r="B9113" s="627" t="s">
        <v>13133</v>
      </c>
      <c r="C9113" s="626" t="s">
        <v>8</v>
      </c>
      <c r="D9113" s="626" t="s">
        <v>9366</v>
      </c>
      <c r="E9113" s="628" t="s">
        <v>23</v>
      </c>
      <c r="F9113" s="816" t="s">
        <v>13781</v>
      </c>
      <c r="G9113" s="816"/>
      <c r="H9113" s="816">
        <v>0.94127919999999998</v>
      </c>
      <c r="I9113" s="816"/>
      <c r="J9113" s="817">
        <v>0.51770000000000005</v>
      </c>
      <c r="K9113" s="817"/>
      <c r="L9113" s="817"/>
    </row>
    <row r="9114" spans="1:12" ht="14.25" customHeight="1">
      <c r="A9114" s="636"/>
      <c r="B9114" s="636"/>
      <c r="C9114" s="636"/>
      <c r="D9114" s="636"/>
      <c r="E9114" s="636"/>
      <c r="F9114" s="636"/>
      <c r="G9114" s="636"/>
      <c r="H9114" s="636"/>
      <c r="I9114" s="636"/>
      <c r="J9114" s="636" t="s">
        <v>13675</v>
      </c>
      <c r="K9114" s="636"/>
      <c r="L9114" s="636" t="s">
        <v>13888</v>
      </c>
    </row>
    <row r="9115" spans="1:12" ht="17.100000000000001" customHeight="1">
      <c r="A9115" s="802" t="s">
        <v>12710</v>
      </c>
      <c r="B9115" s="802"/>
      <c r="C9115" s="802"/>
      <c r="D9115" s="802"/>
      <c r="E9115" s="802"/>
      <c r="F9115" s="802"/>
      <c r="G9115" s="802"/>
      <c r="H9115" s="802"/>
      <c r="I9115" s="612"/>
      <c r="J9115" s="612"/>
      <c r="K9115" s="612"/>
      <c r="L9115" s="612"/>
    </row>
    <row r="9116" spans="1:12" ht="24" customHeight="1">
      <c r="A9116" s="612" t="s">
        <v>13679</v>
      </c>
      <c r="B9116" s="636" t="s">
        <v>12698</v>
      </c>
      <c r="C9116" s="612" t="s">
        <v>12699</v>
      </c>
      <c r="D9116" s="612" t="s">
        <v>12700</v>
      </c>
      <c r="E9116" s="637" t="s">
        <v>12702</v>
      </c>
      <c r="F9116" s="801" t="s">
        <v>12704</v>
      </c>
      <c r="G9116" s="801"/>
      <c r="H9116" s="801" t="s">
        <v>13678</v>
      </c>
      <c r="I9116" s="801"/>
      <c r="J9116" s="801" t="s">
        <v>12705</v>
      </c>
      <c r="K9116" s="801"/>
      <c r="L9116" s="801"/>
    </row>
    <row r="9117" spans="1:12" ht="24" customHeight="1">
      <c r="A9117" s="626" t="s">
        <v>12709</v>
      </c>
      <c r="B9117" s="627" t="s">
        <v>13204</v>
      </c>
      <c r="C9117" s="626" t="s">
        <v>8</v>
      </c>
      <c r="D9117" s="626" t="s">
        <v>9112</v>
      </c>
      <c r="E9117" s="628" t="s">
        <v>23</v>
      </c>
      <c r="F9117" s="816" t="s">
        <v>14479</v>
      </c>
      <c r="G9117" s="816"/>
      <c r="H9117" s="816">
        <v>0.54639110000000002</v>
      </c>
      <c r="I9117" s="816"/>
      <c r="J9117" s="817">
        <v>3.9066999999999998</v>
      </c>
      <c r="K9117" s="817"/>
      <c r="L9117" s="817"/>
    </row>
    <row r="9118" spans="1:12" ht="17.100000000000001" customHeight="1">
      <c r="A9118" s="626" t="s">
        <v>12709</v>
      </c>
      <c r="B9118" s="627" t="s">
        <v>13222</v>
      </c>
      <c r="C9118" s="626" t="s">
        <v>8</v>
      </c>
      <c r="D9118" s="626" t="s">
        <v>7364</v>
      </c>
      <c r="E9118" s="628" t="s">
        <v>23</v>
      </c>
      <c r="F9118" s="816" t="s">
        <v>13808</v>
      </c>
      <c r="G9118" s="816"/>
      <c r="H9118" s="816">
        <v>0.41927569999999997</v>
      </c>
      <c r="I9118" s="816"/>
      <c r="J9118" s="817">
        <v>2.1048</v>
      </c>
      <c r="K9118" s="817"/>
      <c r="L9118" s="817"/>
    </row>
    <row r="9119" spans="1:12">
      <c r="A9119" s="636"/>
      <c r="B9119" s="636"/>
      <c r="C9119" s="636"/>
      <c r="D9119" s="636"/>
      <c r="E9119" s="636"/>
      <c r="F9119" s="636"/>
      <c r="G9119" s="636"/>
      <c r="H9119" s="636"/>
      <c r="I9119" s="636"/>
      <c r="J9119" s="636" t="s">
        <v>13675</v>
      </c>
      <c r="K9119" s="636"/>
      <c r="L9119" s="636" t="s">
        <v>14140</v>
      </c>
    </row>
    <row r="9120" spans="1:12" ht="17.100000000000001" customHeight="1">
      <c r="A9120" s="802" t="s">
        <v>12720</v>
      </c>
      <c r="B9120" s="802"/>
      <c r="C9120" s="802"/>
      <c r="D9120" s="802"/>
      <c r="E9120" s="802"/>
      <c r="F9120" s="802"/>
      <c r="G9120" s="802"/>
      <c r="H9120" s="802"/>
      <c r="I9120" s="612"/>
      <c r="J9120" s="612"/>
      <c r="K9120" s="612"/>
      <c r="L9120" s="612"/>
    </row>
    <row r="9121" spans="1:12" ht="24" customHeight="1">
      <c r="A9121" s="612" t="s">
        <v>13679</v>
      </c>
      <c r="B9121" s="636" t="s">
        <v>12698</v>
      </c>
      <c r="C9121" s="612" t="s">
        <v>12699</v>
      </c>
      <c r="D9121" s="612" t="s">
        <v>12700</v>
      </c>
      <c r="E9121" s="637" t="s">
        <v>12702</v>
      </c>
      <c r="F9121" s="801" t="s">
        <v>12704</v>
      </c>
      <c r="G9121" s="801"/>
      <c r="H9121" s="801" t="s">
        <v>13678</v>
      </c>
      <c r="I9121" s="801"/>
      <c r="J9121" s="801" t="s">
        <v>12705</v>
      </c>
      <c r="K9121" s="801"/>
      <c r="L9121" s="801"/>
    </row>
    <row r="9122" spans="1:12" ht="36" customHeight="1">
      <c r="A9122" s="626" t="s">
        <v>12709</v>
      </c>
      <c r="B9122" s="627" t="s">
        <v>13040</v>
      </c>
      <c r="C9122" s="626" t="s">
        <v>8</v>
      </c>
      <c r="D9122" s="626" t="s">
        <v>9280</v>
      </c>
      <c r="E9122" s="628" t="s">
        <v>35</v>
      </c>
      <c r="F9122" s="816" t="s">
        <v>14572</v>
      </c>
      <c r="G9122" s="816"/>
      <c r="H9122" s="816">
        <v>0.99923479999999998</v>
      </c>
      <c r="I9122" s="816"/>
      <c r="J9122" s="817">
        <v>1.7386999999999999</v>
      </c>
      <c r="K9122" s="817"/>
      <c r="L9122" s="817"/>
    </row>
    <row r="9123" spans="1:12" ht="17.100000000000001" customHeight="1">
      <c r="A9123" s="626" t="s">
        <v>12709</v>
      </c>
      <c r="B9123" s="627" t="s">
        <v>13039</v>
      </c>
      <c r="C9123" s="626" t="s">
        <v>8</v>
      </c>
      <c r="D9123" s="626" t="s">
        <v>11339</v>
      </c>
      <c r="E9123" s="628" t="s">
        <v>35</v>
      </c>
      <c r="F9123" s="816" t="s">
        <v>13918</v>
      </c>
      <c r="G9123" s="816"/>
      <c r="H9123" s="816">
        <v>0.99923479999999998</v>
      </c>
      <c r="I9123" s="816"/>
      <c r="J9123" s="817">
        <v>0.89929999999999999</v>
      </c>
      <c r="K9123" s="817"/>
      <c r="L9123" s="817"/>
    </row>
    <row r="9124" spans="1:12" ht="25.5">
      <c r="A9124" s="626" t="s">
        <v>12709</v>
      </c>
      <c r="B9124" s="627" t="s">
        <v>13021</v>
      </c>
      <c r="C9124" s="626" t="s">
        <v>8</v>
      </c>
      <c r="D9124" s="626" t="s">
        <v>11808</v>
      </c>
      <c r="E9124" s="628" t="s">
        <v>35</v>
      </c>
      <c r="F9124" s="816" t="s">
        <v>14573</v>
      </c>
      <c r="G9124" s="816"/>
      <c r="H9124" s="816">
        <v>1.9984696</v>
      </c>
      <c r="I9124" s="816"/>
      <c r="J9124" s="817">
        <v>9.3727999999999998</v>
      </c>
      <c r="K9124" s="817"/>
      <c r="L9124" s="817"/>
    </row>
    <row r="9125" spans="1:12" ht="17.100000000000001" customHeight="1">
      <c r="A9125" s="636"/>
      <c r="B9125" s="636"/>
      <c r="C9125" s="636"/>
      <c r="D9125" s="636"/>
      <c r="E9125" s="636"/>
      <c r="F9125" s="636"/>
      <c r="G9125" s="636"/>
      <c r="H9125" s="636"/>
      <c r="I9125" s="636"/>
      <c r="J9125" s="636" t="s">
        <v>13675</v>
      </c>
      <c r="K9125" s="636"/>
      <c r="L9125" s="636" t="s">
        <v>13796</v>
      </c>
    </row>
    <row r="9126" spans="1:12" ht="24" customHeight="1">
      <c r="A9126" s="802" t="s">
        <v>12722</v>
      </c>
      <c r="B9126" s="802"/>
      <c r="C9126" s="802"/>
      <c r="D9126" s="802"/>
      <c r="E9126" s="802"/>
      <c r="F9126" s="802"/>
      <c r="G9126" s="802"/>
      <c r="H9126" s="802"/>
      <c r="I9126" s="612"/>
      <c r="J9126" s="612"/>
      <c r="K9126" s="612"/>
      <c r="L9126" s="612"/>
    </row>
    <row r="9127" spans="1:12" ht="17.100000000000001" customHeight="1">
      <c r="A9127" s="612" t="s">
        <v>13679</v>
      </c>
      <c r="B9127" s="636" t="s">
        <v>12698</v>
      </c>
      <c r="C9127" s="612" t="s">
        <v>12699</v>
      </c>
      <c r="D9127" s="612" t="s">
        <v>12700</v>
      </c>
      <c r="E9127" s="637" t="s">
        <v>12702</v>
      </c>
      <c r="F9127" s="801" t="s">
        <v>12704</v>
      </c>
      <c r="G9127" s="801"/>
      <c r="H9127" s="801" t="s">
        <v>13678</v>
      </c>
      <c r="I9127" s="801"/>
      <c r="J9127" s="801" t="s">
        <v>12705</v>
      </c>
      <c r="K9127" s="801"/>
      <c r="L9127" s="801"/>
    </row>
    <row r="9128" spans="1:12" ht="25.5">
      <c r="A9128" s="626" t="s">
        <v>12709</v>
      </c>
      <c r="B9128" s="627" t="s">
        <v>12998</v>
      </c>
      <c r="C9128" s="626" t="s">
        <v>8</v>
      </c>
      <c r="D9128" s="626" t="s">
        <v>11861</v>
      </c>
      <c r="E9128" s="628" t="s">
        <v>23</v>
      </c>
      <c r="F9128" s="816" t="s">
        <v>13683</v>
      </c>
      <c r="G9128" s="816"/>
      <c r="H9128" s="816">
        <v>0.94127919999999998</v>
      </c>
      <c r="I9128" s="816"/>
      <c r="J9128" s="817">
        <v>0.66830000000000001</v>
      </c>
      <c r="K9128" s="817"/>
      <c r="L9128" s="817"/>
    </row>
    <row r="9129" spans="1:12" ht="17.100000000000001" customHeight="1">
      <c r="A9129" s="636"/>
      <c r="B9129" s="636"/>
      <c r="C9129" s="636"/>
      <c r="D9129" s="636"/>
      <c r="E9129" s="636"/>
      <c r="F9129" s="636"/>
      <c r="G9129" s="636"/>
      <c r="H9129" s="636"/>
      <c r="I9129" s="636"/>
      <c r="J9129" s="636" t="s">
        <v>13675</v>
      </c>
      <c r="K9129" s="636"/>
      <c r="L9129" s="636" t="s">
        <v>13735</v>
      </c>
    </row>
    <row r="9130" spans="1:12" ht="24" customHeight="1">
      <c r="A9130" s="802" t="s">
        <v>12713</v>
      </c>
      <c r="B9130" s="802"/>
      <c r="C9130" s="802"/>
      <c r="D9130" s="802"/>
      <c r="E9130" s="802"/>
      <c r="F9130" s="802"/>
      <c r="G9130" s="802"/>
      <c r="H9130" s="802"/>
      <c r="I9130" s="612"/>
      <c r="J9130" s="612"/>
      <c r="K9130" s="612"/>
      <c r="L9130" s="612"/>
    </row>
    <row r="9131" spans="1:12" ht="17.100000000000001" customHeight="1">
      <c r="A9131" s="612" t="s">
        <v>13679</v>
      </c>
      <c r="B9131" s="636" t="s">
        <v>12698</v>
      </c>
      <c r="C9131" s="612" t="s">
        <v>12699</v>
      </c>
      <c r="D9131" s="612" t="s">
        <v>12700</v>
      </c>
      <c r="E9131" s="637" t="s">
        <v>12702</v>
      </c>
      <c r="F9131" s="801" t="s">
        <v>12704</v>
      </c>
      <c r="G9131" s="801"/>
      <c r="H9131" s="801" t="s">
        <v>13678</v>
      </c>
      <c r="I9131" s="801"/>
      <c r="J9131" s="801" t="s">
        <v>12705</v>
      </c>
      <c r="K9131" s="801"/>
      <c r="L9131" s="801"/>
    </row>
    <row r="9132" spans="1:12" ht="25.5">
      <c r="A9132" s="626" t="s">
        <v>12709</v>
      </c>
      <c r="B9132" s="627" t="s">
        <v>12999</v>
      </c>
      <c r="C9132" s="626" t="s">
        <v>8</v>
      </c>
      <c r="D9132" s="626" t="s">
        <v>11251</v>
      </c>
      <c r="E9132" s="628" t="s">
        <v>23</v>
      </c>
      <c r="F9132" s="816" t="s">
        <v>13681</v>
      </c>
      <c r="G9132" s="816"/>
      <c r="H9132" s="816">
        <v>0.94127919999999998</v>
      </c>
      <c r="I9132" s="816"/>
      <c r="J9132" s="817">
        <v>6.59E-2</v>
      </c>
      <c r="K9132" s="817"/>
      <c r="L9132" s="817"/>
    </row>
    <row r="9133" spans="1:12" ht="17.100000000000001" customHeight="1">
      <c r="A9133" s="636"/>
      <c r="B9133" s="636"/>
      <c r="C9133" s="636"/>
      <c r="D9133" s="636"/>
      <c r="E9133" s="636"/>
      <c r="F9133" s="636"/>
      <c r="G9133" s="636"/>
      <c r="H9133" s="636"/>
      <c r="I9133" s="636"/>
      <c r="J9133" s="636" t="s">
        <v>13675</v>
      </c>
      <c r="K9133" s="636"/>
      <c r="L9133" s="636" t="s">
        <v>13681</v>
      </c>
    </row>
    <row r="9134" spans="1:12" ht="24" customHeight="1">
      <c r="A9134" s="802" t="s">
        <v>12712</v>
      </c>
      <c r="B9134" s="802"/>
      <c r="C9134" s="802"/>
      <c r="D9134" s="802"/>
      <c r="E9134" s="802"/>
      <c r="F9134" s="802"/>
      <c r="G9134" s="802"/>
      <c r="H9134" s="802"/>
      <c r="I9134" s="612"/>
      <c r="J9134" s="612"/>
      <c r="K9134" s="612"/>
      <c r="L9134" s="612"/>
    </row>
    <row r="9135" spans="1:12" ht="24" customHeight="1">
      <c r="A9135" s="612" t="s">
        <v>13679</v>
      </c>
      <c r="B9135" s="636" t="s">
        <v>12698</v>
      </c>
      <c r="C9135" s="612" t="s">
        <v>12699</v>
      </c>
      <c r="D9135" s="612" t="s">
        <v>12700</v>
      </c>
      <c r="E9135" s="637" t="s">
        <v>12702</v>
      </c>
      <c r="F9135" s="801" t="s">
        <v>12704</v>
      </c>
      <c r="G9135" s="801"/>
      <c r="H9135" s="801" t="s">
        <v>13678</v>
      </c>
      <c r="I9135" s="801"/>
      <c r="J9135" s="801" t="s">
        <v>12705</v>
      </c>
      <c r="K9135" s="801"/>
      <c r="L9135" s="801"/>
    </row>
    <row r="9136" spans="1:12" ht="17.100000000000001" customHeight="1">
      <c r="A9136" s="626" t="s">
        <v>12709</v>
      </c>
      <c r="B9136" s="627" t="s">
        <v>13002</v>
      </c>
      <c r="C9136" s="626" t="s">
        <v>8</v>
      </c>
      <c r="D9136" s="626" t="s">
        <v>9306</v>
      </c>
      <c r="E9136" s="628" t="s">
        <v>23</v>
      </c>
      <c r="F9136" s="816" t="s">
        <v>13677</v>
      </c>
      <c r="G9136" s="816"/>
      <c r="H9136" s="816">
        <v>0.94127919999999998</v>
      </c>
      <c r="I9136" s="816"/>
      <c r="J9136" s="817">
        <v>0.32940000000000003</v>
      </c>
      <c r="K9136" s="817"/>
      <c r="L9136" s="817"/>
    </row>
    <row r="9137" spans="1:12" ht="17.100000000000001" customHeight="1">
      <c r="A9137" s="626" t="s">
        <v>12709</v>
      </c>
      <c r="B9137" s="627" t="s">
        <v>13004</v>
      </c>
      <c r="C9137" s="626" t="s">
        <v>8</v>
      </c>
      <c r="D9137" s="626" t="s">
        <v>7388</v>
      </c>
      <c r="E9137" s="628" t="s">
        <v>23</v>
      </c>
      <c r="F9137" s="816" t="s">
        <v>13676</v>
      </c>
      <c r="G9137" s="816"/>
      <c r="H9137" s="816">
        <v>0.94127919999999998</v>
      </c>
      <c r="I9137" s="816"/>
      <c r="J9137" s="817">
        <v>2.0708000000000002</v>
      </c>
      <c r="K9137" s="817"/>
      <c r="L9137" s="817"/>
    </row>
    <row r="9138" spans="1:12" ht="17.100000000000001" customHeight="1">
      <c r="A9138" s="636"/>
      <c r="B9138" s="636"/>
      <c r="C9138" s="636"/>
      <c r="D9138" s="636"/>
      <c r="E9138" s="636"/>
      <c r="F9138" s="636"/>
      <c r="G9138" s="636"/>
      <c r="H9138" s="636"/>
      <c r="I9138" s="636"/>
      <c r="J9138" s="636" t="s">
        <v>13675</v>
      </c>
      <c r="K9138" s="636"/>
      <c r="L9138" s="636" t="s">
        <v>13884</v>
      </c>
    </row>
    <row r="9139" spans="1:12" ht="17.100000000000001" customHeight="1">
      <c r="A9139" s="612" t="s">
        <v>13673</v>
      </c>
      <c r="B9139" s="612"/>
      <c r="C9139" s="612"/>
      <c r="D9139" s="612"/>
      <c r="E9139" s="612"/>
      <c r="F9139" s="612"/>
      <c r="G9139" s="612"/>
      <c r="H9139" s="612"/>
      <c r="I9139" s="612"/>
      <c r="J9139" s="612"/>
      <c r="K9139" s="612"/>
      <c r="L9139" s="612"/>
    </row>
    <row r="9140" spans="1:12" ht="17.100000000000001" customHeight="1">
      <c r="A9140" s="636"/>
      <c r="B9140" s="636"/>
      <c r="C9140" s="636"/>
      <c r="D9140" s="636"/>
      <c r="E9140" s="636"/>
      <c r="F9140" s="636"/>
      <c r="G9140" s="636"/>
      <c r="H9140" s="636"/>
      <c r="I9140" s="636"/>
      <c r="J9140" s="636" t="s">
        <v>13672</v>
      </c>
      <c r="K9140" s="636"/>
      <c r="L9140" s="636" t="s">
        <v>15589</v>
      </c>
    </row>
    <row r="9141" spans="1:12" ht="17.100000000000001" customHeight="1">
      <c r="A9141" s="636"/>
      <c r="B9141" s="636"/>
      <c r="C9141" s="636"/>
      <c r="D9141" s="636"/>
      <c r="E9141" s="636"/>
      <c r="F9141" s="636"/>
      <c r="G9141" s="636"/>
      <c r="H9141" s="636"/>
      <c r="I9141" s="636"/>
      <c r="J9141" s="636" t="s">
        <v>13671</v>
      </c>
      <c r="K9141" s="636" t="s">
        <v>14461</v>
      </c>
      <c r="L9141" s="636" t="s">
        <v>15590</v>
      </c>
    </row>
    <row r="9142" spans="1:12" ht="17.100000000000001" customHeight="1">
      <c r="A9142" s="636"/>
      <c r="B9142" s="636"/>
      <c r="C9142" s="636"/>
      <c r="D9142" s="636"/>
      <c r="E9142" s="636"/>
      <c r="F9142" s="636"/>
      <c r="G9142" s="636"/>
      <c r="H9142" s="636"/>
      <c r="I9142" s="636"/>
      <c r="J9142" s="636" t="s">
        <v>13670</v>
      </c>
      <c r="K9142" s="636"/>
      <c r="L9142" s="636" t="s">
        <v>15591</v>
      </c>
    </row>
    <row r="9143" spans="1:12" ht="30" customHeight="1">
      <c r="A9143" s="636"/>
      <c r="B9143" s="636"/>
      <c r="C9143" s="636"/>
      <c r="D9143" s="636"/>
      <c r="E9143" s="636"/>
      <c r="F9143" s="636"/>
      <c r="G9143" s="636"/>
      <c r="H9143" s="636"/>
      <c r="I9143" s="636"/>
      <c r="J9143" s="636" t="s">
        <v>13669</v>
      </c>
      <c r="K9143" s="636" t="s">
        <v>13667</v>
      </c>
      <c r="L9143" s="636" t="s">
        <v>15592</v>
      </c>
    </row>
    <row r="9144" spans="1:12" ht="24" customHeight="1">
      <c r="A9144" s="636"/>
      <c r="B9144" s="636"/>
      <c r="C9144" s="636"/>
      <c r="D9144" s="636"/>
      <c r="E9144" s="636"/>
      <c r="F9144" s="636"/>
      <c r="G9144" s="636"/>
      <c r="H9144" s="636"/>
      <c r="I9144" s="636"/>
      <c r="J9144" s="636" t="s">
        <v>13668</v>
      </c>
      <c r="K9144" s="636"/>
      <c r="L9144" s="636" t="s">
        <v>15593</v>
      </c>
    </row>
    <row r="9145" spans="1:12" ht="14.25" customHeight="1">
      <c r="A9145" s="637"/>
      <c r="B9145" s="637"/>
      <c r="C9145" s="637"/>
      <c r="D9145" s="637"/>
      <c r="E9145" s="637"/>
      <c r="F9145" s="637"/>
      <c r="G9145" s="637"/>
      <c r="H9145" s="637"/>
      <c r="I9145" s="637"/>
      <c r="J9145" s="637"/>
      <c r="K9145" s="637"/>
      <c r="L9145" s="637"/>
    </row>
    <row r="9146" spans="1:12" ht="17.100000000000001" customHeight="1">
      <c r="A9146" s="616" t="s">
        <v>13891</v>
      </c>
      <c r="B9146" s="617" t="s">
        <v>13401</v>
      </c>
      <c r="C9146" s="616" t="s">
        <v>8</v>
      </c>
      <c r="D9146" s="616" t="s">
        <v>2577</v>
      </c>
      <c r="E9146" s="618" t="s">
        <v>35</v>
      </c>
      <c r="F9146" s="617"/>
      <c r="G9146" s="617"/>
      <c r="H9146" s="617"/>
      <c r="I9146" s="617"/>
      <c r="J9146" s="617"/>
      <c r="K9146" s="617"/>
      <c r="L9146" s="617"/>
    </row>
    <row r="9147" spans="1:12" ht="24" customHeight="1">
      <c r="A9147" s="802" t="s">
        <v>12711</v>
      </c>
      <c r="B9147" s="802"/>
      <c r="C9147" s="802"/>
      <c r="D9147" s="802"/>
      <c r="E9147" s="802"/>
      <c r="F9147" s="802"/>
      <c r="G9147" s="802"/>
      <c r="H9147" s="802"/>
      <c r="I9147" s="612"/>
      <c r="J9147" s="612"/>
      <c r="K9147" s="612"/>
      <c r="L9147" s="612"/>
    </row>
    <row r="9148" spans="1:12" ht="24" customHeight="1">
      <c r="A9148" s="612" t="s">
        <v>13679</v>
      </c>
      <c r="B9148" s="636" t="s">
        <v>12698</v>
      </c>
      <c r="C9148" s="612" t="s">
        <v>12699</v>
      </c>
      <c r="D9148" s="612" t="s">
        <v>12700</v>
      </c>
      <c r="E9148" s="637" t="s">
        <v>12702</v>
      </c>
      <c r="F9148" s="801" t="s">
        <v>12704</v>
      </c>
      <c r="G9148" s="801"/>
      <c r="H9148" s="801" t="s">
        <v>13678</v>
      </c>
      <c r="I9148" s="801"/>
      <c r="J9148" s="801" t="s">
        <v>12705</v>
      </c>
      <c r="K9148" s="801"/>
      <c r="L9148" s="801"/>
    </row>
    <row r="9149" spans="1:12" ht="17.100000000000001" customHeight="1">
      <c r="A9149" s="626" t="s">
        <v>12709</v>
      </c>
      <c r="B9149" s="627" t="s">
        <v>13134</v>
      </c>
      <c r="C9149" s="626" t="s">
        <v>8</v>
      </c>
      <c r="D9149" s="626" t="s">
        <v>9219</v>
      </c>
      <c r="E9149" s="628" t="s">
        <v>23</v>
      </c>
      <c r="F9149" s="816" t="s">
        <v>13782</v>
      </c>
      <c r="G9149" s="816"/>
      <c r="H9149" s="816">
        <v>0.94135420000000003</v>
      </c>
      <c r="I9149" s="816"/>
      <c r="J9149" s="817">
        <v>0.87549999999999994</v>
      </c>
      <c r="K9149" s="817"/>
      <c r="L9149" s="817"/>
    </row>
    <row r="9150" spans="1:12" ht="14.25" customHeight="1">
      <c r="A9150" s="626" t="s">
        <v>12709</v>
      </c>
      <c r="B9150" s="627" t="s">
        <v>13133</v>
      </c>
      <c r="C9150" s="626" t="s">
        <v>8</v>
      </c>
      <c r="D9150" s="626" t="s">
        <v>9366</v>
      </c>
      <c r="E9150" s="628" t="s">
        <v>23</v>
      </c>
      <c r="F9150" s="816" t="s">
        <v>13781</v>
      </c>
      <c r="G9150" s="816"/>
      <c r="H9150" s="816">
        <v>0.94135420000000003</v>
      </c>
      <c r="I9150" s="816"/>
      <c r="J9150" s="817">
        <v>0.51770000000000005</v>
      </c>
      <c r="K9150" s="817"/>
      <c r="L9150" s="817"/>
    </row>
    <row r="9151" spans="1:12" ht="17.100000000000001" customHeight="1">
      <c r="A9151" s="636"/>
      <c r="B9151" s="636"/>
      <c r="C9151" s="636"/>
      <c r="D9151" s="636"/>
      <c r="E9151" s="636"/>
      <c r="F9151" s="636"/>
      <c r="G9151" s="636"/>
      <c r="H9151" s="636"/>
      <c r="I9151" s="636"/>
      <c r="J9151" s="636" t="s">
        <v>13675</v>
      </c>
      <c r="K9151" s="636"/>
      <c r="L9151" s="636" t="s">
        <v>13888</v>
      </c>
    </row>
    <row r="9152" spans="1:12" ht="24" customHeight="1">
      <c r="A9152" s="802" t="s">
        <v>12710</v>
      </c>
      <c r="B9152" s="802"/>
      <c r="C9152" s="802"/>
      <c r="D9152" s="802"/>
      <c r="E9152" s="802"/>
      <c r="F9152" s="802"/>
      <c r="G9152" s="802"/>
      <c r="H9152" s="802"/>
      <c r="I9152" s="612"/>
      <c r="J9152" s="612"/>
      <c r="K9152" s="612"/>
      <c r="L9152" s="612"/>
    </row>
    <row r="9153" spans="1:12" ht="24" customHeight="1">
      <c r="A9153" s="612" t="s">
        <v>13679</v>
      </c>
      <c r="B9153" s="636" t="s">
        <v>12698</v>
      </c>
      <c r="C9153" s="612" t="s">
        <v>12699</v>
      </c>
      <c r="D9153" s="612" t="s">
        <v>12700</v>
      </c>
      <c r="E9153" s="637" t="s">
        <v>12702</v>
      </c>
      <c r="F9153" s="801" t="s">
        <v>12704</v>
      </c>
      <c r="G9153" s="801"/>
      <c r="H9153" s="801" t="s">
        <v>13678</v>
      </c>
      <c r="I9153" s="801"/>
      <c r="J9153" s="801" t="s">
        <v>12705</v>
      </c>
      <c r="K9153" s="801"/>
      <c r="L9153" s="801"/>
    </row>
    <row r="9154" spans="1:12" ht="17.100000000000001" customHeight="1">
      <c r="A9154" s="626" t="s">
        <v>12709</v>
      </c>
      <c r="B9154" s="627" t="s">
        <v>13204</v>
      </c>
      <c r="C9154" s="626" t="s">
        <v>8</v>
      </c>
      <c r="D9154" s="626" t="s">
        <v>9112</v>
      </c>
      <c r="E9154" s="628" t="s">
        <v>23</v>
      </c>
      <c r="F9154" s="816" t="s">
        <v>14479</v>
      </c>
      <c r="G9154" s="816"/>
      <c r="H9154" s="816">
        <v>0.54639110000000002</v>
      </c>
      <c r="I9154" s="816"/>
      <c r="J9154" s="817">
        <v>3.9066999999999998</v>
      </c>
      <c r="K9154" s="817"/>
      <c r="L9154" s="817"/>
    </row>
    <row r="9155" spans="1:12" ht="25.5">
      <c r="A9155" s="626" t="s">
        <v>12709</v>
      </c>
      <c r="B9155" s="627" t="s">
        <v>13222</v>
      </c>
      <c r="C9155" s="626" t="s">
        <v>8</v>
      </c>
      <c r="D9155" s="626" t="s">
        <v>7364</v>
      </c>
      <c r="E9155" s="628" t="s">
        <v>23</v>
      </c>
      <c r="F9155" s="816" t="s">
        <v>13808</v>
      </c>
      <c r="G9155" s="816"/>
      <c r="H9155" s="816">
        <v>0.41927569999999997</v>
      </c>
      <c r="I9155" s="816"/>
      <c r="J9155" s="817">
        <v>2.1048</v>
      </c>
      <c r="K9155" s="817"/>
      <c r="L9155" s="817"/>
    </row>
    <row r="9156" spans="1:12" ht="17.100000000000001" customHeight="1">
      <c r="A9156" s="636"/>
      <c r="B9156" s="636"/>
      <c r="C9156" s="636"/>
      <c r="D9156" s="636"/>
      <c r="E9156" s="636"/>
      <c r="F9156" s="636"/>
      <c r="G9156" s="636"/>
      <c r="H9156" s="636"/>
      <c r="I9156" s="636"/>
      <c r="J9156" s="636" t="s">
        <v>13675</v>
      </c>
      <c r="K9156" s="636"/>
      <c r="L9156" s="636" t="s">
        <v>14140</v>
      </c>
    </row>
    <row r="9157" spans="1:12" ht="36" customHeight="1">
      <c r="A9157" s="802" t="s">
        <v>12720</v>
      </c>
      <c r="B9157" s="802"/>
      <c r="C9157" s="802"/>
      <c r="D9157" s="802"/>
      <c r="E9157" s="802"/>
      <c r="F9157" s="802"/>
      <c r="G9157" s="802"/>
      <c r="H9157" s="802"/>
      <c r="I9157" s="612"/>
      <c r="J9157" s="612"/>
      <c r="K9157" s="612"/>
      <c r="L9157" s="612"/>
    </row>
    <row r="9158" spans="1:12" ht="24" customHeight="1">
      <c r="A9158" s="612" t="s">
        <v>13679</v>
      </c>
      <c r="B9158" s="636" t="s">
        <v>12698</v>
      </c>
      <c r="C9158" s="612" t="s">
        <v>12699</v>
      </c>
      <c r="D9158" s="612" t="s">
        <v>12700</v>
      </c>
      <c r="E9158" s="637" t="s">
        <v>12702</v>
      </c>
      <c r="F9158" s="801" t="s">
        <v>12704</v>
      </c>
      <c r="G9158" s="801"/>
      <c r="H9158" s="801" t="s">
        <v>13678</v>
      </c>
      <c r="I9158" s="801"/>
      <c r="J9158" s="801" t="s">
        <v>12705</v>
      </c>
      <c r="K9158" s="801"/>
      <c r="L9158" s="801"/>
    </row>
    <row r="9159" spans="1:12" ht="17.100000000000001" customHeight="1">
      <c r="A9159" s="626" t="s">
        <v>12709</v>
      </c>
      <c r="B9159" s="627" t="s">
        <v>13040</v>
      </c>
      <c r="C9159" s="626" t="s">
        <v>8</v>
      </c>
      <c r="D9159" s="626" t="s">
        <v>9280</v>
      </c>
      <c r="E9159" s="628" t="s">
        <v>35</v>
      </c>
      <c r="F9159" s="816" t="s">
        <v>14572</v>
      </c>
      <c r="G9159" s="816"/>
      <c r="H9159" s="816">
        <v>0.99931440000000005</v>
      </c>
      <c r="I9159" s="816"/>
      <c r="J9159" s="817">
        <v>1.7387999999999999</v>
      </c>
      <c r="K9159" s="817"/>
      <c r="L9159" s="817"/>
    </row>
    <row r="9160" spans="1:12" ht="38.25">
      <c r="A9160" s="626" t="s">
        <v>12709</v>
      </c>
      <c r="B9160" s="627" t="s">
        <v>13039</v>
      </c>
      <c r="C9160" s="626" t="s">
        <v>8</v>
      </c>
      <c r="D9160" s="626" t="s">
        <v>11339</v>
      </c>
      <c r="E9160" s="628" t="s">
        <v>35</v>
      </c>
      <c r="F9160" s="816" t="s">
        <v>13918</v>
      </c>
      <c r="G9160" s="816"/>
      <c r="H9160" s="816">
        <v>0.99931440000000005</v>
      </c>
      <c r="I9160" s="816"/>
      <c r="J9160" s="817">
        <v>0.89939999999999998</v>
      </c>
      <c r="K9160" s="817"/>
      <c r="L9160" s="817"/>
    </row>
    <row r="9161" spans="1:12" ht="17.100000000000001" customHeight="1">
      <c r="A9161" s="626" t="s">
        <v>12709</v>
      </c>
      <c r="B9161" s="627" t="s">
        <v>13025</v>
      </c>
      <c r="C9161" s="626" t="s">
        <v>8</v>
      </c>
      <c r="D9161" s="626" t="s">
        <v>11812</v>
      </c>
      <c r="E9161" s="628" t="s">
        <v>35</v>
      </c>
      <c r="F9161" s="816" t="s">
        <v>14066</v>
      </c>
      <c r="G9161" s="816"/>
      <c r="H9161" s="816">
        <v>1.9986288000000001</v>
      </c>
      <c r="I9161" s="816"/>
      <c r="J9161" s="817">
        <v>11.9918</v>
      </c>
      <c r="K9161" s="817"/>
      <c r="L9161" s="817"/>
    </row>
    <row r="9162" spans="1:12" ht="24" customHeight="1">
      <c r="A9162" s="636"/>
      <c r="B9162" s="636"/>
      <c r="C9162" s="636"/>
      <c r="D9162" s="636"/>
      <c r="E9162" s="636"/>
      <c r="F9162" s="636"/>
      <c r="G9162" s="636"/>
      <c r="H9162" s="636"/>
      <c r="I9162" s="636"/>
      <c r="J9162" s="636" t="s">
        <v>13675</v>
      </c>
      <c r="K9162" s="636"/>
      <c r="L9162" s="636" t="s">
        <v>14571</v>
      </c>
    </row>
    <row r="9163" spans="1:12" ht="17.100000000000001" customHeight="1">
      <c r="A9163" s="802" t="s">
        <v>12722</v>
      </c>
      <c r="B9163" s="802"/>
      <c r="C9163" s="802"/>
      <c r="D9163" s="802"/>
      <c r="E9163" s="802"/>
      <c r="F9163" s="802"/>
      <c r="G9163" s="802"/>
      <c r="H9163" s="802"/>
      <c r="I9163" s="612"/>
      <c r="J9163" s="612"/>
      <c r="K9163" s="612"/>
      <c r="L9163" s="612"/>
    </row>
    <row r="9164" spans="1:12">
      <c r="A9164" s="612" t="s">
        <v>13679</v>
      </c>
      <c r="B9164" s="636" t="s">
        <v>12698</v>
      </c>
      <c r="C9164" s="612" t="s">
        <v>12699</v>
      </c>
      <c r="D9164" s="612" t="s">
        <v>12700</v>
      </c>
      <c r="E9164" s="637" t="s">
        <v>12702</v>
      </c>
      <c r="F9164" s="801" t="s">
        <v>12704</v>
      </c>
      <c r="G9164" s="801"/>
      <c r="H9164" s="801" t="s">
        <v>13678</v>
      </c>
      <c r="I9164" s="801"/>
      <c r="J9164" s="801" t="s">
        <v>12705</v>
      </c>
      <c r="K9164" s="801"/>
      <c r="L9164" s="801"/>
    </row>
    <row r="9165" spans="1:12" ht="17.100000000000001" customHeight="1">
      <c r="A9165" s="626" t="s">
        <v>12709</v>
      </c>
      <c r="B9165" s="627" t="s">
        <v>12998</v>
      </c>
      <c r="C9165" s="626" t="s">
        <v>8</v>
      </c>
      <c r="D9165" s="626" t="s">
        <v>11861</v>
      </c>
      <c r="E9165" s="628" t="s">
        <v>23</v>
      </c>
      <c r="F9165" s="816" t="s">
        <v>13683</v>
      </c>
      <c r="G9165" s="816"/>
      <c r="H9165" s="816">
        <v>0.94135420000000003</v>
      </c>
      <c r="I9165" s="816"/>
      <c r="J9165" s="817">
        <v>0.66839999999999999</v>
      </c>
      <c r="K9165" s="817"/>
      <c r="L9165" s="817"/>
    </row>
    <row r="9166" spans="1:12" ht="24" customHeight="1">
      <c r="A9166" s="636"/>
      <c r="B9166" s="636"/>
      <c r="C9166" s="636"/>
      <c r="D9166" s="636"/>
      <c r="E9166" s="636"/>
      <c r="F9166" s="636"/>
      <c r="G9166" s="636"/>
      <c r="H9166" s="636"/>
      <c r="I9166" s="636"/>
      <c r="J9166" s="636" t="s">
        <v>13675</v>
      </c>
      <c r="K9166" s="636"/>
      <c r="L9166" s="636" t="s">
        <v>13735</v>
      </c>
    </row>
    <row r="9167" spans="1:12" ht="17.100000000000001" customHeight="1">
      <c r="A9167" s="802" t="s">
        <v>12713</v>
      </c>
      <c r="B9167" s="802"/>
      <c r="C9167" s="802"/>
      <c r="D9167" s="802"/>
      <c r="E9167" s="802"/>
      <c r="F9167" s="802"/>
      <c r="G9167" s="802"/>
      <c r="H9167" s="802"/>
      <c r="I9167" s="612"/>
      <c r="J9167" s="612"/>
      <c r="K9167" s="612"/>
      <c r="L9167" s="612"/>
    </row>
    <row r="9168" spans="1:12">
      <c r="A9168" s="612" t="s">
        <v>13679</v>
      </c>
      <c r="B9168" s="636" t="s">
        <v>12698</v>
      </c>
      <c r="C9168" s="612" t="s">
        <v>12699</v>
      </c>
      <c r="D9168" s="612" t="s">
        <v>12700</v>
      </c>
      <c r="E9168" s="637" t="s">
        <v>12702</v>
      </c>
      <c r="F9168" s="801" t="s">
        <v>12704</v>
      </c>
      <c r="G9168" s="801"/>
      <c r="H9168" s="801" t="s">
        <v>13678</v>
      </c>
      <c r="I9168" s="801"/>
      <c r="J9168" s="801" t="s">
        <v>12705</v>
      </c>
      <c r="K9168" s="801"/>
      <c r="L9168" s="801"/>
    </row>
    <row r="9169" spans="1:12" ht="17.100000000000001" customHeight="1">
      <c r="A9169" s="626" t="s">
        <v>12709</v>
      </c>
      <c r="B9169" s="627" t="s">
        <v>12999</v>
      </c>
      <c r="C9169" s="626" t="s">
        <v>8</v>
      </c>
      <c r="D9169" s="626" t="s">
        <v>11251</v>
      </c>
      <c r="E9169" s="628" t="s">
        <v>23</v>
      </c>
      <c r="F9169" s="816" t="s">
        <v>13681</v>
      </c>
      <c r="G9169" s="816"/>
      <c r="H9169" s="816">
        <v>0.94135420000000003</v>
      </c>
      <c r="I9169" s="816"/>
      <c r="J9169" s="817">
        <v>6.59E-2</v>
      </c>
      <c r="K9169" s="817"/>
      <c r="L9169" s="817"/>
    </row>
    <row r="9170" spans="1:12" ht="24" customHeight="1">
      <c r="A9170" s="636"/>
      <c r="B9170" s="636"/>
      <c r="C9170" s="636"/>
      <c r="D9170" s="636"/>
      <c r="E9170" s="636"/>
      <c r="F9170" s="636"/>
      <c r="G9170" s="636"/>
      <c r="H9170" s="636"/>
      <c r="I9170" s="636"/>
      <c r="J9170" s="636" t="s">
        <v>13675</v>
      </c>
      <c r="K9170" s="636"/>
      <c r="L9170" s="636" t="s">
        <v>13681</v>
      </c>
    </row>
    <row r="9171" spans="1:12" ht="24" customHeight="1">
      <c r="A9171" s="802" t="s">
        <v>12712</v>
      </c>
      <c r="B9171" s="802"/>
      <c r="C9171" s="802"/>
      <c r="D9171" s="802"/>
      <c r="E9171" s="802"/>
      <c r="F9171" s="802"/>
      <c r="G9171" s="802"/>
      <c r="H9171" s="802"/>
      <c r="I9171" s="612"/>
      <c r="J9171" s="612"/>
      <c r="K9171" s="612"/>
      <c r="L9171" s="612"/>
    </row>
    <row r="9172" spans="1:12" ht="17.100000000000001" customHeight="1">
      <c r="A9172" s="612" t="s">
        <v>13679</v>
      </c>
      <c r="B9172" s="636" t="s">
        <v>12698</v>
      </c>
      <c r="C9172" s="612" t="s">
        <v>12699</v>
      </c>
      <c r="D9172" s="612" t="s">
        <v>12700</v>
      </c>
      <c r="E9172" s="637" t="s">
        <v>12702</v>
      </c>
      <c r="F9172" s="801" t="s">
        <v>12704</v>
      </c>
      <c r="G9172" s="801"/>
      <c r="H9172" s="801" t="s">
        <v>13678</v>
      </c>
      <c r="I9172" s="801"/>
      <c r="J9172" s="801" t="s">
        <v>12705</v>
      </c>
      <c r="K9172" s="801"/>
      <c r="L9172" s="801"/>
    </row>
    <row r="9173" spans="1:12" ht="17.100000000000001" customHeight="1">
      <c r="A9173" s="626" t="s">
        <v>12709</v>
      </c>
      <c r="B9173" s="627" t="s">
        <v>13002</v>
      </c>
      <c r="C9173" s="626" t="s">
        <v>8</v>
      </c>
      <c r="D9173" s="626" t="s">
        <v>9306</v>
      </c>
      <c r="E9173" s="628" t="s">
        <v>23</v>
      </c>
      <c r="F9173" s="816" t="s">
        <v>13677</v>
      </c>
      <c r="G9173" s="816"/>
      <c r="H9173" s="816">
        <v>0.94135420000000003</v>
      </c>
      <c r="I9173" s="816"/>
      <c r="J9173" s="817">
        <v>0.32950000000000002</v>
      </c>
      <c r="K9173" s="817"/>
      <c r="L9173" s="817"/>
    </row>
    <row r="9174" spans="1:12" ht="17.100000000000001" customHeight="1">
      <c r="A9174" s="626" t="s">
        <v>12709</v>
      </c>
      <c r="B9174" s="627" t="s">
        <v>13004</v>
      </c>
      <c r="C9174" s="626" t="s">
        <v>8</v>
      </c>
      <c r="D9174" s="626" t="s">
        <v>7388</v>
      </c>
      <c r="E9174" s="628" t="s">
        <v>23</v>
      </c>
      <c r="F9174" s="816" t="s">
        <v>13676</v>
      </c>
      <c r="G9174" s="816"/>
      <c r="H9174" s="816">
        <v>0.94135420000000003</v>
      </c>
      <c r="I9174" s="816"/>
      <c r="J9174" s="817">
        <v>2.0710000000000002</v>
      </c>
      <c r="K9174" s="817"/>
      <c r="L9174" s="817"/>
    </row>
    <row r="9175" spans="1:12" ht="17.100000000000001" customHeight="1">
      <c r="A9175" s="636"/>
      <c r="B9175" s="636"/>
      <c r="C9175" s="636"/>
      <c r="D9175" s="636"/>
      <c r="E9175" s="636"/>
      <c r="F9175" s="636"/>
      <c r="G9175" s="636"/>
      <c r="H9175" s="636"/>
      <c r="I9175" s="636"/>
      <c r="J9175" s="636" t="s">
        <v>13675</v>
      </c>
      <c r="K9175" s="636"/>
      <c r="L9175" s="636" t="s">
        <v>13884</v>
      </c>
    </row>
    <row r="9176" spans="1:12" ht="17.100000000000001" customHeight="1">
      <c r="A9176" s="612" t="s">
        <v>13673</v>
      </c>
      <c r="B9176" s="612"/>
      <c r="C9176" s="612"/>
      <c r="D9176" s="612"/>
      <c r="E9176" s="612"/>
      <c r="F9176" s="612"/>
      <c r="G9176" s="612"/>
      <c r="H9176" s="612"/>
      <c r="I9176" s="612"/>
      <c r="J9176" s="612"/>
      <c r="K9176" s="612"/>
      <c r="L9176" s="612"/>
    </row>
    <row r="9177" spans="1:12" ht="17.100000000000001" customHeight="1">
      <c r="A9177" s="636"/>
      <c r="B9177" s="636"/>
      <c r="C9177" s="636"/>
      <c r="D9177" s="636"/>
      <c r="E9177" s="636"/>
      <c r="F9177" s="636"/>
      <c r="G9177" s="636"/>
      <c r="H9177" s="636"/>
      <c r="I9177" s="636"/>
      <c r="J9177" s="636" t="s">
        <v>13672</v>
      </c>
      <c r="K9177" s="636"/>
      <c r="L9177" s="636" t="s">
        <v>15594</v>
      </c>
    </row>
    <row r="9178" spans="1:12" ht="17.100000000000001" customHeight="1">
      <c r="A9178" s="636"/>
      <c r="B9178" s="636"/>
      <c r="C9178" s="636"/>
      <c r="D9178" s="636"/>
      <c r="E9178" s="636"/>
      <c r="F9178" s="636"/>
      <c r="G9178" s="636"/>
      <c r="H9178" s="636"/>
      <c r="I9178" s="636"/>
      <c r="J9178" s="636" t="s">
        <v>13671</v>
      </c>
      <c r="K9178" s="636" t="s">
        <v>14461</v>
      </c>
      <c r="L9178" s="636" t="s">
        <v>15590</v>
      </c>
    </row>
    <row r="9179" spans="1:12" ht="30" customHeight="1">
      <c r="A9179" s="636"/>
      <c r="B9179" s="636"/>
      <c r="C9179" s="636"/>
      <c r="D9179" s="636"/>
      <c r="E9179" s="636"/>
      <c r="F9179" s="636"/>
      <c r="G9179" s="636"/>
      <c r="H9179" s="636"/>
      <c r="I9179" s="636"/>
      <c r="J9179" s="636" t="s">
        <v>13670</v>
      </c>
      <c r="K9179" s="636"/>
      <c r="L9179" s="636" t="s">
        <v>15595</v>
      </c>
    </row>
    <row r="9180" spans="1:12" ht="24" customHeight="1">
      <c r="A9180" s="636"/>
      <c r="B9180" s="636"/>
      <c r="C9180" s="636"/>
      <c r="D9180" s="636"/>
      <c r="E9180" s="636"/>
      <c r="F9180" s="636"/>
      <c r="G9180" s="636"/>
      <c r="H9180" s="636"/>
      <c r="I9180" s="636"/>
      <c r="J9180" s="636" t="s">
        <v>13669</v>
      </c>
      <c r="K9180" s="636" t="s">
        <v>13667</v>
      </c>
      <c r="L9180" s="636" t="s">
        <v>15596</v>
      </c>
    </row>
    <row r="9181" spans="1:12" ht="14.25" customHeight="1">
      <c r="A9181" s="636"/>
      <c r="B9181" s="636"/>
      <c r="C9181" s="636"/>
      <c r="D9181" s="636"/>
      <c r="E9181" s="636"/>
      <c r="F9181" s="636"/>
      <c r="G9181" s="636"/>
      <c r="H9181" s="636"/>
      <c r="I9181" s="636"/>
      <c r="J9181" s="636" t="s">
        <v>13668</v>
      </c>
      <c r="K9181" s="636"/>
      <c r="L9181" s="636" t="s">
        <v>15597</v>
      </c>
    </row>
    <row r="9182" spans="1:12" ht="17.100000000000001" customHeight="1">
      <c r="A9182" s="637"/>
      <c r="B9182" s="637"/>
      <c r="C9182" s="637"/>
      <c r="D9182" s="637"/>
      <c r="E9182" s="637"/>
      <c r="F9182" s="637"/>
      <c r="G9182" s="637"/>
      <c r="H9182" s="637"/>
      <c r="I9182" s="637"/>
      <c r="J9182" s="637"/>
      <c r="K9182" s="637"/>
      <c r="L9182" s="637"/>
    </row>
    <row r="9183" spans="1:12" ht="24" customHeight="1">
      <c r="A9183" s="616" t="s">
        <v>13889</v>
      </c>
      <c r="B9183" s="617" t="s">
        <v>13400</v>
      </c>
      <c r="C9183" s="616" t="s">
        <v>8</v>
      </c>
      <c r="D9183" s="616" t="s">
        <v>690</v>
      </c>
      <c r="E9183" s="618" t="s">
        <v>35</v>
      </c>
      <c r="F9183" s="617"/>
      <c r="G9183" s="617"/>
      <c r="H9183" s="617"/>
      <c r="I9183" s="617"/>
      <c r="J9183" s="617"/>
      <c r="K9183" s="617"/>
      <c r="L9183" s="617"/>
    </row>
    <row r="9184" spans="1:12" ht="24" customHeight="1">
      <c r="A9184" s="802" t="s">
        <v>12711</v>
      </c>
      <c r="B9184" s="802"/>
      <c r="C9184" s="802"/>
      <c r="D9184" s="802"/>
      <c r="E9184" s="802"/>
      <c r="F9184" s="802"/>
      <c r="G9184" s="802"/>
      <c r="H9184" s="802"/>
      <c r="I9184" s="612"/>
      <c r="J9184" s="612"/>
      <c r="K9184" s="612"/>
      <c r="L9184" s="612"/>
    </row>
    <row r="9185" spans="1:12" ht="17.100000000000001" customHeight="1">
      <c r="A9185" s="612" t="s">
        <v>13679</v>
      </c>
      <c r="B9185" s="636" t="s">
        <v>12698</v>
      </c>
      <c r="C9185" s="612" t="s">
        <v>12699</v>
      </c>
      <c r="D9185" s="612" t="s">
        <v>12700</v>
      </c>
      <c r="E9185" s="637" t="s">
        <v>12702</v>
      </c>
      <c r="F9185" s="801" t="s">
        <v>12704</v>
      </c>
      <c r="G9185" s="801"/>
      <c r="H9185" s="801" t="s">
        <v>13678</v>
      </c>
      <c r="I9185" s="801"/>
      <c r="J9185" s="801" t="s">
        <v>12705</v>
      </c>
      <c r="K9185" s="801"/>
      <c r="L9185" s="801"/>
    </row>
    <row r="9186" spans="1:12" ht="14.25" customHeight="1">
      <c r="A9186" s="626" t="s">
        <v>12709</v>
      </c>
      <c r="B9186" s="627" t="s">
        <v>13134</v>
      </c>
      <c r="C9186" s="626" t="s">
        <v>8</v>
      </c>
      <c r="D9186" s="626" t="s">
        <v>9219</v>
      </c>
      <c r="E9186" s="628" t="s">
        <v>23</v>
      </c>
      <c r="F9186" s="816" t="s">
        <v>13782</v>
      </c>
      <c r="G9186" s="816"/>
      <c r="H9186" s="816">
        <v>6.9559200000000002E-2</v>
      </c>
      <c r="I9186" s="816"/>
      <c r="J9186" s="817">
        <v>6.4699999999999994E-2</v>
      </c>
      <c r="K9186" s="817"/>
      <c r="L9186" s="817"/>
    </row>
    <row r="9187" spans="1:12" ht="17.100000000000001" customHeight="1">
      <c r="A9187" s="626" t="s">
        <v>12709</v>
      </c>
      <c r="B9187" s="627" t="s">
        <v>13133</v>
      </c>
      <c r="C9187" s="626" t="s">
        <v>8</v>
      </c>
      <c r="D9187" s="626" t="s">
        <v>9366</v>
      </c>
      <c r="E9187" s="628" t="s">
        <v>23</v>
      </c>
      <c r="F9187" s="816" t="s">
        <v>13781</v>
      </c>
      <c r="G9187" s="816"/>
      <c r="H9187" s="816">
        <v>6.9559200000000002E-2</v>
      </c>
      <c r="I9187" s="816"/>
      <c r="J9187" s="817">
        <v>3.8300000000000001E-2</v>
      </c>
      <c r="K9187" s="817"/>
      <c r="L9187" s="817"/>
    </row>
    <row r="9188" spans="1:12" ht="24" customHeight="1">
      <c r="A9188" s="636"/>
      <c r="B9188" s="636"/>
      <c r="C9188" s="636"/>
      <c r="D9188" s="636"/>
      <c r="E9188" s="636"/>
      <c r="F9188" s="636"/>
      <c r="G9188" s="636"/>
      <c r="H9188" s="636"/>
      <c r="I9188" s="636"/>
      <c r="J9188" s="636" t="s">
        <v>13675</v>
      </c>
      <c r="K9188" s="636"/>
      <c r="L9188" s="636" t="s">
        <v>13882</v>
      </c>
    </row>
    <row r="9189" spans="1:12" ht="24" customHeight="1">
      <c r="A9189" s="802" t="s">
        <v>12710</v>
      </c>
      <c r="B9189" s="802"/>
      <c r="C9189" s="802"/>
      <c r="D9189" s="802"/>
      <c r="E9189" s="802"/>
      <c r="F9189" s="802"/>
      <c r="G9189" s="802"/>
      <c r="H9189" s="802"/>
      <c r="I9189" s="612"/>
      <c r="J9189" s="612"/>
      <c r="K9189" s="612"/>
      <c r="L9189" s="612"/>
    </row>
    <row r="9190" spans="1:12" ht="17.100000000000001" customHeight="1">
      <c r="A9190" s="612" t="s">
        <v>13679</v>
      </c>
      <c r="B9190" s="636" t="s">
        <v>12698</v>
      </c>
      <c r="C9190" s="612" t="s">
        <v>12699</v>
      </c>
      <c r="D9190" s="612" t="s">
        <v>12700</v>
      </c>
      <c r="E9190" s="637" t="s">
        <v>12702</v>
      </c>
      <c r="F9190" s="801" t="s">
        <v>12704</v>
      </c>
      <c r="G9190" s="801"/>
      <c r="H9190" s="801" t="s">
        <v>13678</v>
      </c>
      <c r="I9190" s="801"/>
      <c r="J9190" s="801" t="s">
        <v>12705</v>
      </c>
      <c r="K9190" s="801"/>
      <c r="L9190" s="801"/>
    </row>
    <row r="9191" spans="1:12" ht="25.5">
      <c r="A9191" s="626" t="s">
        <v>12709</v>
      </c>
      <c r="B9191" s="627" t="s">
        <v>13222</v>
      </c>
      <c r="C9191" s="626" t="s">
        <v>8</v>
      </c>
      <c r="D9191" s="626" t="s">
        <v>7364</v>
      </c>
      <c r="E9191" s="628" t="s">
        <v>23</v>
      </c>
      <c r="F9191" s="816" t="s">
        <v>13808</v>
      </c>
      <c r="G9191" s="816"/>
      <c r="H9191" s="816">
        <v>3.5536499999999999E-2</v>
      </c>
      <c r="I9191" s="816"/>
      <c r="J9191" s="817">
        <v>0.1784</v>
      </c>
      <c r="K9191" s="817"/>
      <c r="L9191" s="817"/>
    </row>
    <row r="9192" spans="1:12" ht="17.100000000000001" customHeight="1">
      <c r="A9192" s="626" t="s">
        <v>12709</v>
      </c>
      <c r="B9192" s="627" t="s">
        <v>13204</v>
      </c>
      <c r="C9192" s="626" t="s">
        <v>8</v>
      </c>
      <c r="D9192" s="626" t="s">
        <v>9112</v>
      </c>
      <c r="E9192" s="628" t="s">
        <v>23</v>
      </c>
      <c r="F9192" s="816" t="s">
        <v>14479</v>
      </c>
      <c r="G9192" s="816"/>
      <c r="H9192" s="816">
        <v>3.5536499999999999E-2</v>
      </c>
      <c r="I9192" s="816"/>
      <c r="J9192" s="817">
        <v>0.25409999999999999</v>
      </c>
      <c r="K9192" s="817"/>
      <c r="L9192" s="817"/>
    </row>
    <row r="9193" spans="1:12" ht="24" customHeight="1">
      <c r="A9193" s="636"/>
      <c r="B9193" s="636"/>
      <c r="C9193" s="636"/>
      <c r="D9193" s="636"/>
      <c r="E9193" s="636"/>
      <c r="F9193" s="636"/>
      <c r="G9193" s="636"/>
      <c r="H9193" s="636"/>
      <c r="I9193" s="636"/>
      <c r="J9193" s="636" t="s">
        <v>13675</v>
      </c>
      <c r="K9193" s="636"/>
      <c r="L9193" s="636" t="s">
        <v>13717</v>
      </c>
    </row>
    <row r="9194" spans="1:12" ht="36" customHeight="1">
      <c r="A9194" s="802" t="s">
        <v>12720</v>
      </c>
      <c r="B9194" s="802"/>
      <c r="C9194" s="802"/>
      <c r="D9194" s="802"/>
      <c r="E9194" s="802"/>
      <c r="F9194" s="802"/>
      <c r="G9194" s="802"/>
      <c r="H9194" s="802"/>
      <c r="I9194" s="612"/>
      <c r="J9194" s="612"/>
      <c r="K9194" s="612"/>
      <c r="L9194" s="612"/>
    </row>
    <row r="9195" spans="1:12" ht="17.100000000000001" customHeight="1">
      <c r="A9195" s="612" t="s">
        <v>13679</v>
      </c>
      <c r="B9195" s="636" t="s">
        <v>12698</v>
      </c>
      <c r="C9195" s="612" t="s">
        <v>12699</v>
      </c>
      <c r="D9195" s="612" t="s">
        <v>12700</v>
      </c>
      <c r="E9195" s="637" t="s">
        <v>12702</v>
      </c>
      <c r="F9195" s="801" t="s">
        <v>12704</v>
      </c>
      <c r="G9195" s="801"/>
      <c r="H9195" s="801" t="s">
        <v>13678</v>
      </c>
      <c r="I9195" s="801"/>
      <c r="J9195" s="801" t="s">
        <v>12705</v>
      </c>
      <c r="K9195" s="801"/>
      <c r="L9195" s="801"/>
    </row>
    <row r="9196" spans="1:12" ht="25.5">
      <c r="A9196" s="626" t="s">
        <v>12709</v>
      </c>
      <c r="B9196" s="627" t="s">
        <v>13396</v>
      </c>
      <c r="C9196" s="626" t="s">
        <v>8</v>
      </c>
      <c r="D9196" s="626" t="s">
        <v>9008</v>
      </c>
      <c r="E9196" s="628" t="s">
        <v>35</v>
      </c>
      <c r="F9196" s="816" t="s">
        <v>14569</v>
      </c>
      <c r="G9196" s="816"/>
      <c r="H9196" s="816">
        <v>1</v>
      </c>
      <c r="I9196" s="816"/>
      <c r="J9196" s="817">
        <v>8.33</v>
      </c>
      <c r="K9196" s="817"/>
      <c r="L9196" s="817"/>
    </row>
    <row r="9197" spans="1:12" ht="17.100000000000001" customHeight="1">
      <c r="A9197" s="626" t="s">
        <v>12709</v>
      </c>
      <c r="B9197" s="627" t="s">
        <v>13398</v>
      </c>
      <c r="C9197" s="626" t="s">
        <v>8</v>
      </c>
      <c r="D9197" s="626" t="s">
        <v>11734</v>
      </c>
      <c r="E9197" s="628" t="s">
        <v>35</v>
      </c>
      <c r="F9197" s="816" t="s">
        <v>13963</v>
      </c>
      <c r="G9197" s="816"/>
      <c r="H9197" s="816">
        <v>1</v>
      </c>
      <c r="I9197" s="816"/>
      <c r="J9197" s="817">
        <v>0.69</v>
      </c>
      <c r="K9197" s="817"/>
      <c r="L9197" s="817"/>
    </row>
    <row r="9198" spans="1:12" ht="24" customHeight="1">
      <c r="A9198" s="636"/>
      <c r="B9198" s="636"/>
      <c r="C9198" s="636"/>
      <c r="D9198" s="636"/>
      <c r="E9198" s="636"/>
      <c r="F9198" s="636"/>
      <c r="G9198" s="636"/>
      <c r="H9198" s="636"/>
      <c r="I9198" s="636"/>
      <c r="J9198" s="636" t="s">
        <v>13675</v>
      </c>
      <c r="K9198" s="636"/>
      <c r="L9198" s="636" t="s">
        <v>14570</v>
      </c>
    </row>
    <row r="9199" spans="1:12" ht="17.100000000000001" customHeight="1">
      <c r="A9199" s="802" t="s">
        <v>12722</v>
      </c>
      <c r="B9199" s="802"/>
      <c r="C9199" s="802"/>
      <c r="D9199" s="802"/>
      <c r="E9199" s="802"/>
      <c r="F9199" s="802"/>
      <c r="G9199" s="802"/>
      <c r="H9199" s="802"/>
      <c r="I9199" s="612"/>
      <c r="J9199" s="612"/>
      <c r="K9199" s="612"/>
      <c r="L9199" s="612"/>
    </row>
    <row r="9200" spans="1:12">
      <c r="A9200" s="612" t="s">
        <v>13679</v>
      </c>
      <c r="B9200" s="636" t="s">
        <v>12698</v>
      </c>
      <c r="C9200" s="612" t="s">
        <v>12699</v>
      </c>
      <c r="D9200" s="612" t="s">
        <v>12700</v>
      </c>
      <c r="E9200" s="637" t="s">
        <v>12702</v>
      </c>
      <c r="F9200" s="801" t="s">
        <v>12704</v>
      </c>
      <c r="G9200" s="801"/>
      <c r="H9200" s="801" t="s">
        <v>13678</v>
      </c>
      <c r="I9200" s="801"/>
      <c r="J9200" s="801" t="s">
        <v>12705</v>
      </c>
      <c r="K9200" s="801"/>
      <c r="L9200" s="801"/>
    </row>
    <row r="9201" spans="1:12" ht="17.100000000000001" customHeight="1">
      <c r="A9201" s="626" t="s">
        <v>12709</v>
      </c>
      <c r="B9201" s="627" t="s">
        <v>12998</v>
      </c>
      <c r="C9201" s="626" t="s">
        <v>8</v>
      </c>
      <c r="D9201" s="626" t="s">
        <v>11861</v>
      </c>
      <c r="E9201" s="628" t="s">
        <v>23</v>
      </c>
      <c r="F9201" s="816" t="s">
        <v>13683</v>
      </c>
      <c r="G9201" s="816"/>
      <c r="H9201" s="816">
        <v>6.9559200000000002E-2</v>
      </c>
      <c r="I9201" s="816"/>
      <c r="J9201" s="817">
        <v>4.9399999999999999E-2</v>
      </c>
      <c r="K9201" s="817"/>
      <c r="L9201" s="817"/>
    </row>
    <row r="9202" spans="1:12" ht="24" customHeight="1">
      <c r="A9202" s="636"/>
      <c r="B9202" s="636"/>
      <c r="C9202" s="636"/>
      <c r="D9202" s="636"/>
      <c r="E9202" s="636"/>
      <c r="F9202" s="636"/>
      <c r="G9202" s="636"/>
      <c r="H9202" s="636"/>
      <c r="I9202" s="636"/>
      <c r="J9202" s="636" t="s">
        <v>13675</v>
      </c>
      <c r="K9202" s="636"/>
      <c r="L9202" s="636" t="s">
        <v>13767</v>
      </c>
    </row>
    <row r="9203" spans="1:12" ht="17.100000000000001" customHeight="1">
      <c r="A9203" s="802" t="s">
        <v>12713</v>
      </c>
      <c r="B9203" s="802"/>
      <c r="C9203" s="802"/>
      <c r="D9203" s="802"/>
      <c r="E9203" s="802"/>
      <c r="F9203" s="802"/>
      <c r="G9203" s="802"/>
      <c r="H9203" s="802"/>
      <c r="I9203" s="612"/>
      <c r="J9203" s="612"/>
      <c r="K9203" s="612"/>
      <c r="L9203" s="612"/>
    </row>
    <row r="9204" spans="1:12">
      <c r="A9204" s="612" t="s">
        <v>13679</v>
      </c>
      <c r="B9204" s="636" t="s">
        <v>12698</v>
      </c>
      <c r="C9204" s="612" t="s">
        <v>12699</v>
      </c>
      <c r="D9204" s="612" t="s">
        <v>12700</v>
      </c>
      <c r="E9204" s="637" t="s">
        <v>12702</v>
      </c>
      <c r="F9204" s="801" t="s">
        <v>12704</v>
      </c>
      <c r="G9204" s="801"/>
      <c r="H9204" s="801" t="s">
        <v>13678</v>
      </c>
      <c r="I9204" s="801"/>
      <c r="J9204" s="801" t="s">
        <v>12705</v>
      </c>
      <c r="K9204" s="801"/>
      <c r="L9204" s="801"/>
    </row>
    <row r="9205" spans="1:12" ht="17.100000000000001" customHeight="1">
      <c r="A9205" s="626" t="s">
        <v>12709</v>
      </c>
      <c r="B9205" s="627" t="s">
        <v>12999</v>
      </c>
      <c r="C9205" s="626" t="s">
        <v>8</v>
      </c>
      <c r="D9205" s="626" t="s">
        <v>11251</v>
      </c>
      <c r="E9205" s="628" t="s">
        <v>23</v>
      </c>
      <c r="F9205" s="816" t="s">
        <v>13681</v>
      </c>
      <c r="G9205" s="816"/>
      <c r="H9205" s="816">
        <v>6.9559200000000002E-2</v>
      </c>
      <c r="I9205" s="816"/>
      <c r="J9205" s="817">
        <v>4.8999999999999998E-3</v>
      </c>
      <c r="K9205" s="817"/>
      <c r="L9205" s="817"/>
    </row>
    <row r="9206" spans="1:12" ht="24" customHeight="1">
      <c r="A9206" s="636"/>
      <c r="B9206" s="636"/>
      <c r="C9206" s="636"/>
      <c r="D9206" s="636"/>
      <c r="E9206" s="636"/>
      <c r="F9206" s="636"/>
      <c r="G9206" s="636"/>
      <c r="H9206" s="636"/>
      <c r="I9206" s="636"/>
      <c r="J9206" s="636" t="s">
        <v>13675</v>
      </c>
      <c r="K9206" s="636"/>
      <c r="L9206" s="636" t="s">
        <v>13727</v>
      </c>
    </row>
    <row r="9207" spans="1:12" ht="24" customHeight="1">
      <c r="A9207" s="802" t="s">
        <v>12712</v>
      </c>
      <c r="B9207" s="802"/>
      <c r="C9207" s="802"/>
      <c r="D9207" s="802"/>
      <c r="E9207" s="802"/>
      <c r="F9207" s="802"/>
      <c r="G9207" s="802"/>
      <c r="H9207" s="802"/>
      <c r="I9207" s="612"/>
      <c r="J9207" s="612"/>
      <c r="K9207" s="612"/>
      <c r="L9207" s="612"/>
    </row>
    <row r="9208" spans="1:12" ht="17.100000000000001" customHeight="1">
      <c r="A9208" s="612" t="s">
        <v>13679</v>
      </c>
      <c r="B9208" s="636" t="s">
        <v>12698</v>
      </c>
      <c r="C9208" s="612" t="s">
        <v>12699</v>
      </c>
      <c r="D9208" s="612" t="s">
        <v>12700</v>
      </c>
      <c r="E9208" s="637" t="s">
        <v>12702</v>
      </c>
      <c r="F9208" s="801" t="s">
        <v>12704</v>
      </c>
      <c r="G9208" s="801"/>
      <c r="H9208" s="801" t="s">
        <v>13678</v>
      </c>
      <c r="I9208" s="801"/>
      <c r="J9208" s="801" t="s">
        <v>12705</v>
      </c>
      <c r="K9208" s="801"/>
      <c r="L9208" s="801"/>
    </row>
    <row r="9209" spans="1:12" ht="17.100000000000001" customHeight="1">
      <c r="A9209" s="626" t="s">
        <v>12709</v>
      </c>
      <c r="B9209" s="627" t="s">
        <v>13002</v>
      </c>
      <c r="C9209" s="626" t="s">
        <v>8</v>
      </c>
      <c r="D9209" s="626" t="s">
        <v>9306</v>
      </c>
      <c r="E9209" s="628" t="s">
        <v>23</v>
      </c>
      <c r="F9209" s="816" t="s">
        <v>13677</v>
      </c>
      <c r="G9209" s="816"/>
      <c r="H9209" s="816">
        <v>6.9559200000000002E-2</v>
      </c>
      <c r="I9209" s="816"/>
      <c r="J9209" s="817">
        <v>2.4299999999999999E-2</v>
      </c>
      <c r="K9209" s="817"/>
      <c r="L9209" s="817"/>
    </row>
    <row r="9210" spans="1:12" ht="17.100000000000001" customHeight="1">
      <c r="A9210" s="626" t="s">
        <v>12709</v>
      </c>
      <c r="B9210" s="627" t="s">
        <v>13004</v>
      </c>
      <c r="C9210" s="626" t="s">
        <v>8</v>
      </c>
      <c r="D9210" s="626" t="s">
        <v>7388</v>
      </c>
      <c r="E9210" s="628" t="s">
        <v>23</v>
      </c>
      <c r="F9210" s="816" t="s">
        <v>13676</v>
      </c>
      <c r="G9210" s="816"/>
      <c r="H9210" s="816">
        <v>6.9559200000000002E-2</v>
      </c>
      <c r="I9210" s="816"/>
      <c r="J9210" s="817">
        <v>0.153</v>
      </c>
      <c r="K9210" s="817"/>
      <c r="L9210" s="817"/>
    </row>
    <row r="9211" spans="1:12" ht="17.100000000000001" customHeight="1">
      <c r="A9211" s="636"/>
      <c r="B9211" s="636"/>
      <c r="C9211" s="636"/>
      <c r="D9211" s="636"/>
      <c r="E9211" s="636"/>
      <c r="F9211" s="636"/>
      <c r="G9211" s="636"/>
      <c r="H9211" s="636"/>
      <c r="I9211" s="636"/>
      <c r="J9211" s="636" t="s">
        <v>13675</v>
      </c>
      <c r="K9211" s="636"/>
      <c r="L9211" s="636" t="s">
        <v>13682</v>
      </c>
    </row>
    <row r="9212" spans="1:12" ht="17.100000000000001" customHeight="1">
      <c r="A9212" s="612" t="s">
        <v>13673</v>
      </c>
      <c r="B9212" s="612"/>
      <c r="C9212" s="612"/>
      <c r="D9212" s="612"/>
      <c r="E9212" s="612"/>
      <c r="F9212" s="612"/>
      <c r="G9212" s="612"/>
      <c r="H9212" s="612"/>
      <c r="I9212" s="612"/>
      <c r="J9212" s="612"/>
      <c r="K9212" s="612"/>
      <c r="L9212" s="612"/>
    </row>
    <row r="9213" spans="1:12" ht="17.100000000000001" customHeight="1">
      <c r="A9213" s="636"/>
      <c r="B9213" s="636"/>
      <c r="C9213" s="636"/>
      <c r="D9213" s="636"/>
      <c r="E9213" s="636"/>
      <c r="F9213" s="636"/>
      <c r="G9213" s="636"/>
      <c r="H9213" s="636"/>
      <c r="I9213" s="636"/>
      <c r="J9213" s="636" t="s">
        <v>13672</v>
      </c>
      <c r="K9213" s="636"/>
      <c r="L9213" s="636" t="s">
        <v>15598</v>
      </c>
    </row>
    <row r="9214" spans="1:12" ht="17.100000000000001" customHeight="1">
      <c r="A9214" s="636"/>
      <c r="B9214" s="636"/>
      <c r="C9214" s="636"/>
      <c r="D9214" s="636"/>
      <c r="E9214" s="636"/>
      <c r="F9214" s="636"/>
      <c r="G9214" s="636"/>
      <c r="H9214" s="636"/>
      <c r="I9214" s="636"/>
      <c r="J9214" s="636" t="s">
        <v>13671</v>
      </c>
      <c r="K9214" s="636" t="s">
        <v>14461</v>
      </c>
      <c r="L9214" s="636" t="s">
        <v>15599</v>
      </c>
    </row>
    <row r="9215" spans="1:12" ht="30" customHeight="1">
      <c r="A9215" s="636"/>
      <c r="B9215" s="636"/>
      <c r="C9215" s="636"/>
      <c r="D9215" s="636"/>
      <c r="E9215" s="636"/>
      <c r="F9215" s="636"/>
      <c r="G9215" s="636"/>
      <c r="H9215" s="636"/>
      <c r="I9215" s="636"/>
      <c r="J9215" s="636" t="s">
        <v>13670</v>
      </c>
      <c r="K9215" s="636"/>
      <c r="L9215" s="636" t="s">
        <v>15600</v>
      </c>
    </row>
    <row r="9216" spans="1:12" ht="36" customHeight="1">
      <c r="A9216" s="636"/>
      <c r="B9216" s="636"/>
      <c r="C9216" s="636"/>
      <c r="D9216" s="636"/>
      <c r="E9216" s="636"/>
      <c r="F9216" s="636"/>
      <c r="G9216" s="636"/>
      <c r="H9216" s="636"/>
      <c r="I9216" s="636"/>
      <c r="J9216" s="636" t="s">
        <v>13669</v>
      </c>
      <c r="K9216" s="636" t="s">
        <v>13667</v>
      </c>
      <c r="L9216" s="636" t="s">
        <v>15601</v>
      </c>
    </row>
    <row r="9217" spans="1:12" ht="14.25" customHeight="1">
      <c r="A9217" s="636"/>
      <c r="B9217" s="636"/>
      <c r="C9217" s="636"/>
      <c r="D9217" s="636"/>
      <c r="E9217" s="636"/>
      <c r="F9217" s="636"/>
      <c r="G9217" s="636"/>
      <c r="H9217" s="636"/>
      <c r="I9217" s="636"/>
      <c r="J9217" s="636" t="s">
        <v>13668</v>
      </c>
      <c r="K9217" s="636"/>
      <c r="L9217" s="636" t="s">
        <v>15602</v>
      </c>
    </row>
    <row r="9218" spans="1:12" ht="17.100000000000001" customHeight="1">
      <c r="A9218" s="637"/>
      <c r="B9218" s="637"/>
      <c r="C9218" s="637"/>
      <c r="D9218" s="637"/>
      <c r="E9218" s="637"/>
      <c r="F9218" s="637"/>
      <c r="G9218" s="637"/>
      <c r="H9218" s="637"/>
      <c r="I9218" s="637"/>
      <c r="J9218" s="637"/>
      <c r="K9218" s="637"/>
      <c r="L9218" s="637"/>
    </row>
    <row r="9219" spans="1:12" ht="24" customHeight="1">
      <c r="A9219" s="616" t="s">
        <v>13883</v>
      </c>
      <c r="B9219" s="617" t="s">
        <v>13399</v>
      </c>
      <c r="C9219" s="616" t="s">
        <v>8</v>
      </c>
      <c r="D9219" s="616" t="s">
        <v>691</v>
      </c>
      <c r="E9219" s="618" t="s">
        <v>35</v>
      </c>
      <c r="F9219" s="617"/>
      <c r="G9219" s="617"/>
      <c r="H9219" s="617"/>
      <c r="I9219" s="617"/>
      <c r="J9219" s="617"/>
      <c r="K9219" s="617"/>
      <c r="L9219" s="617"/>
    </row>
    <row r="9220" spans="1:12" ht="24" customHeight="1">
      <c r="A9220" s="802" t="s">
        <v>12711</v>
      </c>
      <c r="B9220" s="802"/>
      <c r="C9220" s="802"/>
      <c r="D9220" s="802"/>
      <c r="E9220" s="802"/>
      <c r="F9220" s="802"/>
      <c r="G9220" s="802"/>
      <c r="H9220" s="802"/>
      <c r="I9220" s="612"/>
      <c r="J9220" s="612"/>
      <c r="K9220" s="612"/>
      <c r="L9220" s="612"/>
    </row>
    <row r="9221" spans="1:12" ht="24" customHeight="1">
      <c r="A9221" s="612" t="s">
        <v>13679</v>
      </c>
      <c r="B9221" s="636" t="s">
        <v>12698</v>
      </c>
      <c r="C9221" s="612" t="s">
        <v>12699</v>
      </c>
      <c r="D9221" s="612" t="s">
        <v>12700</v>
      </c>
      <c r="E9221" s="637" t="s">
        <v>12702</v>
      </c>
      <c r="F9221" s="801" t="s">
        <v>12704</v>
      </c>
      <c r="G9221" s="801"/>
      <c r="H9221" s="801" t="s">
        <v>13678</v>
      </c>
      <c r="I9221" s="801"/>
      <c r="J9221" s="801" t="s">
        <v>12705</v>
      </c>
      <c r="K9221" s="801"/>
      <c r="L9221" s="801"/>
    </row>
    <row r="9222" spans="1:12" ht="24" customHeight="1">
      <c r="A9222" s="626" t="s">
        <v>12709</v>
      </c>
      <c r="B9222" s="627" t="s">
        <v>13134</v>
      </c>
      <c r="C9222" s="626" t="s">
        <v>8</v>
      </c>
      <c r="D9222" s="626" t="s">
        <v>9219</v>
      </c>
      <c r="E9222" s="628" t="s">
        <v>23</v>
      </c>
      <c r="F9222" s="816" t="s">
        <v>13782</v>
      </c>
      <c r="G9222" s="816"/>
      <c r="H9222" s="816">
        <v>9.5085199999999995E-2</v>
      </c>
      <c r="I9222" s="816"/>
      <c r="J9222" s="817">
        <v>8.8400000000000006E-2</v>
      </c>
      <c r="K9222" s="817"/>
      <c r="L9222" s="817"/>
    </row>
    <row r="9223" spans="1:12" ht="17.100000000000001" customHeight="1">
      <c r="A9223" s="626" t="s">
        <v>12709</v>
      </c>
      <c r="B9223" s="627" t="s">
        <v>13133</v>
      </c>
      <c r="C9223" s="626" t="s">
        <v>8</v>
      </c>
      <c r="D9223" s="626" t="s">
        <v>9366</v>
      </c>
      <c r="E9223" s="628" t="s">
        <v>23</v>
      </c>
      <c r="F9223" s="816" t="s">
        <v>13781</v>
      </c>
      <c r="G9223" s="816"/>
      <c r="H9223" s="816">
        <v>9.5085199999999995E-2</v>
      </c>
      <c r="I9223" s="816"/>
      <c r="J9223" s="817">
        <v>5.2299999999999999E-2</v>
      </c>
      <c r="K9223" s="817"/>
      <c r="L9223" s="817"/>
    </row>
    <row r="9224" spans="1:12" ht="14.25" customHeight="1">
      <c r="A9224" s="636"/>
      <c r="B9224" s="636"/>
      <c r="C9224" s="636"/>
      <c r="D9224" s="636"/>
      <c r="E9224" s="636"/>
      <c r="F9224" s="636"/>
      <c r="G9224" s="636"/>
      <c r="H9224" s="636"/>
      <c r="I9224" s="636"/>
      <c r="J9224" s="636" t="s">
        <v>13675</v>
      </c>
      <c r="K9224" s="636"/>
      <c r="L9224" s="636" t="s">
        <v>13880</v>
      </c>
    </row>
    <row r="9225" spans="1:12" ht="17.100000000000001" customHeight="1">
      <c r="A9225" s="802" t="s">
        <v>12710</v>
      </c>
      <c r="B9225" s="802"/>
      <c r="C9225" s="802"/>
      <c r="D9225" s="802"/>
      <c r="E9225" s="802"/>
      <c r="F9225" s="802"/>
      <c r="G9225" s="802"/>
      <c r="H9225" s="802"/>
      <c r="I9225" s="612"/>
      <c r="J9225" s="612"/>
      <c r="K9225" s="612"/>
      <c r="L9225" s="612"/>
    </row>
    <row r="9226" spans="1:12" ht="24" customHeight="1">
      <c r="A9226" s="612" t="s">
        <v>13679</v>
      </c>
      <c r="B9226" s="636" t="s">
        <v>12698</v>
      </c>
      <c r="C9226" s="612" t="s">
        <v>12699</v>
      </c>
      <c r="D9226" s="612" t="s">
        <v>12700</v>
      </c>
      <c r="E9226" s="637" t="s">
        <v>12702</v>
      </c>
      <c r="F9226" s="801" t="s">
        <v>12704</v>
      </c>
      <c r="G9226" s="801"/>
      <c r="H9226" s="801" t="s">
        <v>13678</v>
      </c>
      <c r="I9226" s="801"/>
      <c r="J9226" s="801" t="s">
        <v>12705</v>
      </c>
      <c r="K9226" s="801"/>
      <c r="L9226" s="801"/>
    </row>
    <row r="9227" spans="1:12" ht="24" customHeight="1">
      <c r="A9227" s="626" t="s">
        <v>12709</v>
      </c>
      <c r="B9227" s="627" t="s">
        <v>13222</v>
      </c>
      <c r="C9227" s="626" t="s">
        <v>8</v>
      </c>
      <c r="D9227" s="626" t="s">
        <v>7364</v>
      </c>
      <c r="E9227" s="628" t="s">
        <v>23</v>
      </c>
      <c r="F9227" s="816" t="s">
        <v>13808</v>
      </c>
      <c r="G9227" s="816"/>
      <c r="H9227" s="816">
        <v>4.8862700000000002E-2</v>
      </c>
      <c r="I9227" s="816"/>
      <c r="J9227" s="817">
        <v>0.24529999999999999</v>
      </c>
      <c r="K9227" s="817"/>
      <c r="L9227" s="817"/>
    </row>
    <row r="9228" spans="1:12" ht="24" customHeight="1">
      <c r="A9228" s="626" t="s">
        <v>12709</v>
      </c>
      <c r="B9228" s="627" t="s">
        <v>13204</v>
      </c>
      <c r="C9228" s="626" t="s">
        <v>8</v>
      </c>
      <c r="D9228" s="626" t="s">
        <v>9112</v>
      </c>
      <c r="E9228" s="628" t="s">
        <v>23</v>
      </c>
      <c r="F9228" s="816" t="s">
        <v>14479</v>
      </c>
      <c r="G9228" s="816"/>
      <c r="H9228" s="816">
        <v>4.8862700000000002E-2</v>
      </c>
      <c r="I9228" s="816"/>
      <c r="J9228" s="817">
        <v>0.34939999999999999</v>
      </c>
      <c r="K9228" s="817"/>
      <c r="L9228" s="817"/>
    </row>
    <row r="9229" spans="1:12" ht="24" customHeight="1">
      <c r="A9229" s="636"/>
      <c r="B9229" s="636"/>
      <c r="C9229" s="636"/>
      <c r="D9229" s="636"/>
      <c r="E9229" s="636"/>
      <c r="F9229" s="636"/>
      <c r="G9229" s="636"/>
      <c r="H9229" s="636"/>
      <c r="I9229" s="636"/>
      <c r="J9229" s="636" t="s">
        <v>13675</v>
      </c>
      <c r="K9229" s="636"/>
      <c r="L9229" s="636" t="s">
        <v>13709</v>
      </c>
    </row>
    <row r="9230" spans="1:12" ht="17.100000000000001" customHeight="1">
      <c r="A9230" s="802" t="s">
        <v>12720</v>
      </c>
      <c r="B9230" s="802"/>
      <c r="C9230" s="802"/>
      <c r="D9230" s="802"/>
      <c r="E9230" s="802"/>
      <c r="F9230" s="802"/>
      <c r="G9230" s="802"/>
      <c r="H9230" s="802"/>
      <c r="I9230" s="612"/>
      <c r="J9230" s="612"/>
      <c r="K9230" s="612"/>
      <c r="L9230" s="612"/>
    </row>
    <row r="9231" spans="1:12">
      <c r="A9231" s="612" t="s">
        <v>13679</v>
      </c>
      <c r="B9231" s="636" t="s">
        <v>12698</v>
      </c>
      <c r="C9231" s="612" t="s">
        <v>12699</v>
      </c>
      <c r="D9231" s="612" t="s">
        <v>12700</v>
      </c>
      <c r="E9231" s="637" t="s">
        <v>12702</v>
      </c>
      <c r="F9231" s="801" t="s">
        <v>12704</v>
      </c>
      <c r="G9231" s="801"/>
      <c r="H9231" s="801" t="s">
        <v>13678</v>
      </c>
      <c r="I9231" s="801"/>
      <c r="J9231" s="801" t="s">
        <v>12705</v>
      </c>
      <c r="K9231" s="801"/>
      <c r="L9231" s="801"/>
    </row>
    <row r="9232" spans="1:12" ht="17.100000000000001" customHeight="1">
      <c r="A9232" s="626" t="s">
        <v>12709</v>
      </c>
      <c r="B9232" s="627" t="s">
        <v>13396</v>
      </c>
      <c r="C9232" s="626" t="s">
        <v>8</v>
      </c>
      <c r="D9232" s="626" t="s">
        <v>9008</v>
      </c>
      <c r="E9232" s="628" t="s">
        <v>35</v>
      </c>
      <c r="F9232" s="816" t="s">
        <v>14569</v>
      </c>
      <c r="G9232" s="816"/>
      <c r="H9232" s="816">
        <v>1</v>
      </c>
      <c r="I9232" s="816"/>
      <c r="J9232" s="817">
        <v>8.33</v>
      </c>
      <c r="K9232" s="817"/>
      <c r="L9232" s="817"/>
    </row>
    <row r="9233" spans="1:12" ht="24" customHeight="1">
      <c r="A9233" s="626" t="s">
        <v>12709</v>
      </c>
      <c r="B9233" s="627" t="s">
        <v>13398</v>
      </c>
      <c r="C9233" s="626" t="s">
        <v>8</v>
      </c>
      <c r="D9233" s="626" t="s">
        <v>11734</v>
      </c>
      <c r="E9233" s="628" t="s">
        <v>35</v>
      </c>
      <c r="F9233" s="816" t="s">
        <v>13963</v>
      </c>
      <c r="G9233" s="816"/>
      <c r="H9233" s="816">
        <v>1</v>
      </c>
      <c r="I9233" s="816"/>
      <c r="J9233" s="817">
        <v>0.69</v>
      </c>
      <c r="K9233" s="817"/>
      <c r="L9233" s="817"/>
    </row>
    <row r="9234" spans="1:12" ht="24" customHeight="1">
      <c r="A9234" s="636"/>
      <c r="B9234" s="636"/>
      <c r="C9234" s="636"/>
      <c r="D9234" s="636"/>
      <c r="E9234" s="636"/>
      <c r="F9234" s="636"/>
      <c r="G9234" s="636"/>
      <c r="H9234" s="636"/>
      <c r="I9234" s="636"/>
      <c r="J9234" s="636" t="s">
        <v>13675</v>
      </c>
      <c r="K9234" s="636"/>
      <c r="L9234" s="636" t="s">
        <v>14570</v>
      </c>
    </row>
    <row r="9235" spans="1:12" ht="17.100000000000001" customHeight="1">
      <c r="A9235" s="802" t="s">
        <v>12722</v>
      </c>
      <c r="B9235" s="802"/>
      <c r="C9235" s="802"/>
      <c r="D9235" s="802"/>
      <c r="E9235" s="802"/>
      <c r="F9235" s="802"/>
      <c r="G9235" s="802"/>
      <c r="H9235" s="802"/>
      <c r="I9235" s="612"/>
      <c r="J9235" s="612"/>
      <c r="K9235" s="612"/>
      <c r="L9235" s="612"/>
    </row>
    <row r="9236" spans="1:12">
      <c r="A9236" s="612" t="s">
        <v>13679</v>
      </c>
      <c r="B9236" s="636" t="s">
        <v>12698</v>
      </c>
      <c r="C9236" s="612" t="s">
        <v>12699</v>
      </c>
      <c r="D9236" s="612" t="s">
        <v>12700</v>
      </c>
      <c r="E9236" s="637" t="s">
        <v>12702</v>
      </c>
      <c r="F9236" s="801" t="s">
        <v>12704</v>
      </c>
      <c r="G9236" s="801"/>
      <c r="H9236" s="801" t="s">
        <v>13678</v>
      </c>
      <c r="I9236" s="801"/>
      <c r="J9236" s="801" t="s">
        <v>12705</v>
      </c>
      <c r="K9236" s="801"/>
      <c r="L9236" s="801"/>
    </row>
    <row r="9237" spans="1:12" ht="17.100000000000001" customHeight="1">
      <c r="A9237" s="626" t="s">
        <v>12709</v>
      </c>
      <c r="B9237" s="627" t="s">
        <v>12998</v>
      </c>
      <c r="C9237" s="626" t="s">
        <v>8</v>
      </c>
      <c r="D9237" s="626" t="s">
        <v>11861</v>
      </c>
      <c r="E9237" s="628" t="s">
        <v>23</v>
      </c>
      <c r="F9237" s="816" t="s">
        <v>13683</v>
      </c>
      <c r="G9237" s="816"/>
      <c r="H9237" s="816">
        <v>9.5085199999999995E-2</v>
      </c>
      <c r="I9237" s="816"/>
      <c r="J9237" s="817">
        <v>6.7500000000000004E-2</v>
      </c>
      <c r="K9237" s="817"/>
      <c r="L9237" s="817"/>
    </row>
    <row r="9238" spans="1:12" ht="24" customHeight="1">
      <c r="A9238" s="636"/>
      <c r="B9238" s="636"/>
      <c r="C9238" s="636"/>
      <c r="D9238" s="636"/>
      <c r="E9238" s="636"/>
      <c r="F9238" s="636"/>
      <c r="G9238" s="636"/>
      <c r="H9238" s="636"/>
      <c r="I9238" s="636"/>
      <c r="J9238" s="636" t="s">
        <v>13675</v>
      </c>
      <c r="K9238" s="636"/>
      <c r="L9238" s="636" t="s">
        <v>13681</v>
      </c>
    </row>
    <row r="9239" spans="1:12" ht="17.100000000000001" customHeight="1">
      <c r="A9239" s="802" t="s">
        <v>12713</v>
      </c>
      <c r="B9239" s="802"/>
      <c r="C9239" s="802"/>
      <c r="D9239" s="802"/>
      <c r="E9239" s="802"/>
      <c r="F9239" s="802"/>
      <c r="G9239" s="802"/>
      <c r="H9239" s="802"/>
      <c r="I9239" s="612"/>
      <c r="J9239" s="612"/>
      <c r="K9239" s="612"/>
      <c r="L9239" s="612"/>
    </row>
    <row r="9240" spans="1:12">
      <c r="A9240" s="612" t="s">
        <v>13679</v>
      </c>
      <c r="B9240" s="636" t="s">
        <v>12698</v>
      </c>
      <c r="C9240" s="612" t="s">
        <v>12699</v>
      </c>
      <c r="D9240" s="612" t="s">
        <v>12700</v>
      </c>
      <c r="E9240" s="637" t="s">
        <v>12702</v>
      </c>
      <c r="F9240" s="801" t="s">
        <v>12704</v>
      </c>
      <c r="G9240" s="801"/>
      <c r="H9240" s="801" t="s">
        <v>13678</v>
      </c>
      <c r="I9240" s="801"/>
      <c r="J9240" s="801" t="s">
        <v>12705</v>
      </c>
      <c r="K9240" s="801"/>
      <c r="L9240" s="801"/>
    </row>
    <row r="9241" spans="1:12" ht="17.100000000000001" customHeight="1">
      <c r="A9241" s="626" t="s">
        <v>12709</v>
      </c>
      <c r="B9241" s="627" t="s">
        <v>12999</v>
      </c>
      <c r="C9241" s="626" t="s">
        <v>8</v>
      </c>
      <c r="D9241" s="626" t="s">
        <v>11251</v>
      </c>
      <c r="E9241" s="628" t="s">
        <v>23</v>
      </c>
      <c r="F9241" s="816" t="s">
        <v>13681</v>
      </c>
      <c r="G9241" s="816"/>
      <c r="H9241" s="816">
        <v>9.5085199999999995E-2</v>
      </c>
      <c r="I9241" s="816"/>
      <c r="J9241" s="817">
        <v>6.7000000000000002E-3</v>
      </c>
      <c r="K9241" s="817"/>
      <c r="L9241" s="817"/>
    </row>
    <row r="9242" spans="1:12" ht="24" customHeight="1">
      <c r="A9242" s="636"/>
      <c r="B9242" s="636"/>
      <c r="C9242" s="636"/>
      <c r="D9242" s="636"/>
      <c r="E9242" s="636"/>
      <c r="F9242" s="636"/>
      <c r="G9242" s="636"/>
      <c r="H9242" s="636"/>
      <c r="I9242" s="636"/>
      <c r="J9242" s="636" t="s">
        <v>13675</v>
      </c>
      <c r="K9242" s="636"/>
      <c r="L9242" s="636" t="s">
        <v>13728</v>
      </c>
    </row>
    <row r="9243" spans="1:12" ht="17.100000000000001" customHeight="1">
      <c r="A9243" s="802" t="s">
        <v>12712</v>
      </c>
      <c r="B9243" s="802"/>
      <c r="C9243" s="802"/>
      <c r="D9243" s="802"/>
      <c r="E9243" s="802"/>
      <c r="F9243" s="802"/>
      <c r="G9243" s="802"/>
      <c r="H9243" s="802"/>
      <c r="I9243" s="612"/>
      <c r="J9243" s="612"/>
      <c r="K9243" s="612"/>
      <c r="L9243" s="612"/>
    </row>
    <row r="9244" spans="1:12">
      <c r="A9244" s="612" t="s">
        <v>13679</v>
      </c>
      <c r="B9244" s="636" t="s">
        <v>12698</v>
      </c>
      <c r="C9244" s="612" t="s">
        <v>12699</v>
      </c>
      <c r="D9244" s="612" t="s">
        <v>12700</v>
      </c>
      <c r="E9244" s="637" t="s">
        <v>12702</v>
      </c>
      <c r="F9244" s="801" t="s">
        <v>12704</v>
      </c>
      <c r="G9244" s="801"/>
      <c r="H9244" s="801" t="s">
        <v>13678</v>
      </c>
      <c r="I9244" s="801"/>
      <c r="J9244" s="801" t="s">
        <v>12705</v>
      </c>
      <c r="K9244" s="801"/>
      <c r="L9244" s="801"/>
    </row>
    <row r="9245" spans="1:12" ht="17.100000000000001" customHeight="1">
      <c r="A9245" s="626" t="s">
        <v>12709</v>
      </c>
      <c r="B9245" s="627" t="s">
        <v>13002</v>
      </c>
      <c r="C9245" s="626" t="s">
        <v>8</v>
      </c>
      <c r="D9245" s="626" t="s">
        <v>9306</v>
      </c>
      <c r="E9245" s="628" t="s">
        <v>23</v>
      </c>
      <c r="F9245" s="816" t="s">
        <v>13677</v>
      </c>
      <c r="G9245" s="816"/>
      <c r="H9245" s="816">
        <v>9.5085199999999995E-2</v>
      </c>
      <c r="I9245" s="816"/>
      <c r="J9245" s="817">
        <v>3.3300000000000003E-2</v>
      </c>
      <c r="K9245" s="817"/>
      <c r="L9245" s="817"/>
    </row>
    <row r="9246" spans="1:12" ht="24" customHeight="1">
      <c r="A9246" s="626" t="s">
        <v>12709</v>
      </c>
      <c r="B9246" s="627" t="s">
        <v>13004</v>
      </c>
      <c r="C9246" s="626" t="s">
        <v>8</v>
      </c>
      <c r="D9246" s="626" t="s">
        <v>7388</v>
      </c>
      <c r="E9246" s="628" t="s">
        <v>23</v>
      </c>
      <c r="F9246" s="816" t="s">
        <v>13676</v>
      </c>
      <c r="G9246" s="816"/>
      <c r="H9246" s="816">
        <v>9.5085199999999995E-2</v>
      </c>
      <c r="I9246" s="816"/>
      <c r="J9246" s="817">
        <v>0.2092</v>
      </c>
      <c r="K9246" s="817"/>
      <c r="L9246" s="817"/>
    </row>
    <row r="9247" spans="1:12" ht="24" customHeight="1">
      <c r="A9247" s="636"/>
      <c r="B9247" s="636"/>
      <c r="C9247" s="636"/>
      <c r="D9247" s="636"/>
      <c r="E9247" s="636"/>
      <c r="F9247" s="636"/>
      <c r="G9247" s="636"/>
      <c r="H9247" s="636"/>
      <c r="I9247" s="636"/>
      <c r="J9247" s="636" t="s">
        <v>13675</v>
      </c>
      <c r="K9247" s="636"/>
      <c r="L9247" s="636" t="s">
        <v>13704</v>
      </c>
    </row>
    <row r="9248" spans="1:12" ht="17.100000000000001" customHeight="1">
      <c r="A9248" s="612" t="s">
        <v>13673</v>
      </c>
      <c r="B9248" s="612"/>
      <c r="C9248" s="612"/>
      <c r="D9248" s="612"/>
      <c r="E9248" s="612"/>
      <c r="F9248" s="612"/>
      <c r="G9248" s="612"/>
      <c r="H9248" s="612"/>
      <c r="I9248" s="612"/>
      <c r="J9248" s="612"/>
      <c r="K9248" s="612"/>
      <c r="L9248" s="612"/>
    </row>
    <row r="9249" spans="1:12" ht="17.100000000000001" customHeight="1">
      <c r="A9249" s="636"/>
      <c r="B9249" s="636"/>
      <c r="C9249" s="636"/>
      <c r="D9249" s="636"/>
      <c r="E9249" s="636"/>
      <c r="F9249" s="636"/>
      <c r="G9249" s="636"/>
      <c r="H9249" s="636"/>
      <c r="I9249" s="636"/>
      <c r="J9249" s="636" t="s">
        <v>13672</v>
      </c>
      <c r="K9249" s="636"/>
      <c r="L9249" s="636" t="s">
        <v>15603</v>
      </c>
    </row>
    <row r="9250" spans="1:12" ht="17.100000000000001" customHeight="1">
      <c r="A9250" s="636"/>
      <c r="B9250" s="636"/>
      <c r="C9250" s="636"/>
      <c r="D9250" s="636"/>
      <c r="E9250" s="636"/>
      <c r="F9250" s="636"/>
      <c r="G9250" s="636"/>
      <c r="H9250" s="636"/>
      <c r="I9250" s="636"/>
      <c r="J9250" s="636" t="s">
        <v>13671</v>
      </c>
      <c r="K9250" s="636" t="s">
        <v>14461</v>
      </c>
      <c r="L9250" s="636" t="s">
        <v>15604</v>
      </c>
    </row>
    <row r="9251" spans="1:12" ht="17.100000000000001" customHeight="1">
      <c r="A9251" s="636"/>
      <c r="B9251" s="636"/>
      <c r="C9251" s="636"/>
      <c r="D9251" s="636"/>
      <c r="E9251" s="636"/>
      <c r="F9251" s="636"/>
      <c r="G9251" s="636"/>
      <c r="H9251" s="636"/>
      <c r="I9251" s="636"/>
      <c r="J9251" s="636" t="s">
        <v>13670</v>
      </c>
      <c r="K9251" s="636"/>
      <c r="L9251" s="636" t="s">
        <v>15605</v>
      </c>
    </row>
    <row r="9252" spans="1:12" ht="17.100000000000001" customHeight="1">
      <c r="A9252" s="636"/>
      <c r="B9252" s="636"/>
      <c r="C9252" s="636"/>
      <c r="D9252" s="636"/>
      <c r="E9252" s="636"/>
      <c r="F9252" s="636"/>
      <c r="G9252" s="636"/>
      <c r="H9252" s="636"/>
      <c r="I9252" s="636"/>
      <c r="J9252" s="636" t="s">
        <v>13669</v>
      </c>
      <c r="K9252" s="636" t="s">
        <v>13667</v>
      </c>
      <c r="L9252" s="636" t="s">
        <v>15606</v>
      </c>
    </row>
    <row r="9253" spans="1:12" ht="17.100000000000001" customHeight="1">
      <c r="A9253" s="636"/>
      <c r="B9253" s="636"/>
      <c r="C9253" s="636"/>
      <c r="D9253" s="636"/>
      <c r="E9253" s="636"/>
      <c r="F9253" s="636"/>
      <c r="G9253" s="636"/>
      <c r="H9253" s="636"/>
      <c r="I9253" s="636"/>
      <c r="J9253" s="636" t="s">
        <v>13668</v>
      </c>
      <c r="K9253" s="636"/>
      <c r="L9253" s="636" t="s">
        <v>15607</v>
      </c>
    </row>
    <row r="9254" spans="1:12" ht="17.100000000000001" customHeight="1">
      <c r="A9254" s="637"/>
      <c r="B9254" s="637"/>
      <c r="C9254" s="637"/>
      <c r="D9254" s="637"/>
      <c r="E9254" s="637"/>
      <c r="F9254" s="637"/>
      <c r="G9254" s="637"/>
      <c r="H9254" s="637"/>
      <c r="I9254" s="637"/>
      <c r="J9254" s="637"/>
      <c r="K9254" s="637"/>
      <c r="L9254" s="637"/>
    </row>
    <row r="9255" spans="1:12" ht="30" customHeight="1">
      <c r="A9255" s="616" t="s">
        <v>13881</v>
      </c>
      <c r="B9255" s="617" t="s">
        <v>13397</v>
      </c>
      <c r="C9255" s="616" t="s">
        <v>8</v>
      </c>
      <c r="D9255" s="616" t="s">
        <v>694</v>
      </c>
      <c r="E9255" s="618" t="s">
        <v>35</v>
      </c>
      <c r="F9255" s="617"/>
      <c r="G9255" s="617"/>
      <c r="H9255" s="617"/>
      <c r="I9255" s="617"/>
      <c r="J9255" s="617"/>
      <c r="K9255" s="617"/>
      <c r="L9255" s="617"/>
    </row>
    <row r="9256" spans="1:12" ht="36" customHeight="1">
      <c r="A9256" s="802" t="s">
        <v>12711</v>
      </c>
      <c r="B9256" s="802"/>
      <c r="C9256" s="802"/>
      <c r="D9256" s="802"/>
      <c r="E9256" s="802"/>
      <c r="F9256" s="802"/>
      <c r="G9256" s="802"/>
      <c r="H9256" s="802"/>
      <c r="I9256" s="612"/>
      <c r="J9256" s="612"/>
      <c r="K9256" s="612"/>
      <c r="L9256" s="612"/>
    </row>
    <row r="9257" spans="1:12" ht="14.25" customHeight="1">
      <c r="A9257" s="612" t="s">
        <v>13679</v>
      </c>
      <c r="B9257" s="636" t="s">
        <v>12698</v>
      </c>
      <c r="C9257" s="612" t="s">
        <v>12699</v>
      </c>
      <c r="D9257" s="612" t="s">
        <v>12700</v>
      </c>
      <c r="E9257" s="637" t="s">
        <v>12702</v>
      </c>
      <c r="F9257" s="801" t="s">
        <v>12704</v>
      </c>
      <c r="G9257" s="801"/>
      <c r="H9257" s="801" t="s">
        <v>13678</v>
      </c>
      <c r="I9257" s="801"/>
      <c r="J9257" s="801" t="s">
        <v>12705</v>
      </c>
      <c r="K9257" s="801"/>
      <c r="L9257" s="801"/>
    </row>
    <row r="9258" spans="1:12" ht="17.100000000000001" customHeight="1">
      <c r="A9258" s="626" t="s">
        <v>12709</v>
      </c>
      <c r="B9258" s="627" t="s">
        <v>13134</v>
      </c>
      <c r="C9258" s="626" t="s">
        <v>8</v>
      </c>
      <c r="D9258" s="626" t="s">
        <v>9219</v>
      </c>
      <c r="E9258" s="628" t="s">
        <v>23</v>
      </c>
      <c r="F9258" s="816" t="s">
        <v>13782</v>
      </c>
      <c r="G9258" s="816"/>
      <c r="H9258" s="816">
        <v>0.18139669999999999</v>
      </c>
      <c r="I9258" s="816"/>
      <c r="J9258" s="817">
        <v>0.16869999999999999</v>
      </c>
      <c r="K9258" s="817"/>
      <c r="L9258" s="817"/>
    </row>
    <row r="9259" spans="1:12" ht="24" customHeight="1">
      <c r="A9259" s="626" t="s">
        <v>12709</v>
      </c>
      <c r="B9259" s="627" t="s">
        <v>13133</v>
      </c>
      <c r="C9259" s="626" t="s">
        <v>8</v>
      </c>
      <c r="D9259" s="626" t="s">
        <v>9366</v>
      </c>
      <c r="E9259" s="628" t="s">
        <v>23</v>
      </c>
      <c r="F9259" s="816" t="s">
        <v>13781</v>
      </c>
      <c r="G9259" s="816"/>
      <c r="H9259" s="816">
        <v>0.18139669999999999</v>
      </c>
      <c r="I9259" s="816"/>
      <c r="J9259" s="817">
        <v>9.98E-2</v>
      </c>
      <c r="K9259" s="817"/>
      <c r="L9259" s="817"/>
    </row>
    <row r="9260" spans="1:12" ht="24" customHeight="1">
      <c r="A9260" s="636"/>
      <c r="B9260" s="636"/>
      <c r="C9260" s="636"/>
      <c r="D9260" s="636"/>
      <c r="E9260" s="636"/>
      <c r="F9260" s="636"/>
      <c r="G9260" s="636"/>
      <c r="H9260" s="636"/>
      <c r="I9260" s="636"/>
      <c r="J9260" s="636" t="s">
        <v>13675</v>
      </c>
      <c r="K9260" s="636"/>
      <c r="L9260" s="636" t="s">
        <v>13809</v>
      </c>
    </row>
    <row r="9261" spans="1:12" ht="17.100000000000001" customHeight="1">
      <c r="A9261" s="802" t="s">
        <v>12710</v>
      </c>
      <c r="B9261" s="802"/>
      <c r="C9261" s="802"/>
      <c r="D9261" s="802"/>
      <c r="E9261" s="802"/>
      <c r="F9261" s="802"/>
      <c r="G9261" s="802"/>
      <c r="H9261" s="802"/>
      <c r="I9261" s="612"/>
      <c r="J9261" s="612"/>
      <c r="K9261" s="612"/>
      <c r="L9261" s="612"/>
    </row>
    <row r="9262" spans="1:12" ht="14.25" customHeight="1">
      <c r="A9262" s="612" t="s">
        <v>13679</v>
      </c>
      <c r="B9262" s="636" t="s">
        <v>12698</v>
      </c>
      <c r="C9262" s="612" t="s">
        <v>12699</v>
      </c>
      <c r="D9262" s="612" t="s">
        <v>12700</v>
      </c>
      <c r="E9262" s="637" t="s">
        <v>12702</v>
      </c>
      <c r="F9262" s="801" t="s">
        <v>12704</v>
      </c>
      <c r="G9262" s="801"/>
      <c r="H9262" s="801" t="s">
        <v>13678</v>
      </c>
      <c r="I9262" s="801"/>
      <c r="J9262" s="801" t="s">
        <v>12705</v>
      </c>
      <c r="K9262" s="801"/>
      <c r="L9262" s="801"/>
    </row>
    <row r="9263" spans="1:12" ht="17.100000000000001" customHeight="1">
      <c r="A9263" s="626" t="s">
        <v>12709</v>
      </c>
      <c r="B9263" s="627" t="s">
        <v>13222</v>
      </c>
      <c r="C9263" s="626" t="s">
        <v>8</v>
      </c>
      <c r="D9263" s="626" t="s">
        <v>7364</v>
      </c>
      <c r="E9263" s="628" t="s">
        <v>23</v>
      </c>
      <c r="F9263" s="816" t="s">
        <v>13808</v>
      </c>
      <c r="G9263" s="816"/>
      <c r="H9263" s="816">
        <v>9.2839099999999994E-2</v>
      </c>
      <c r="I9263" s="816"/>
      <c r="J9263" s="817">
        <v>0.46610000000000001</v>
      </c>
      <c r="K9263" s="817"/>
      <c r="L9263" s="817"/>
    </row>
    <row r="9264" spans="1:12" ht="24" customHeight="1">
      <c r="A9264" s="626" t="s">
        <v>12709</v>
      </c>
      <c r="B9264" s="627" t="s">
        <v>13204</v>
      </c>
      <c r="C9264" s="626" t="s">
        <v>8</v>
      </c>
      <c r="D9264" s="626" t="s">
        <v>9112</v>
      </c>
      <c r="E9264" s="628" t="s">
        <v>23</v>
      </c>
      <c r="F9264" s="816" t="s">
        <v>14479</v>
      </c>
      <c r="G9264" s="816"/>
      <c r="H9264" s="816">
        <v>9.2839099999999994E-2</v>
      </c>
      <c r="I9264" s="816"/>
      <c r="J9264" s="817">
        <v>0.66379999999999995</v>
      </c>
      <c r="K9264" s="817"/>
      <c r="L9264" s="817"/>
    </row>
    <row r="9265" spans="1:12" ht="24" customHeight="1">
      <c r="A9265" s="636"/>
      <c r="B9265" s="636"/>
      <c r="C9265" s="636"/>
      <c r="D9265" s="636"/>
      <c r="E9265" s="636"/>
      <c r="F9265" s="636"/>
      <c r="G9265" s="636"/>
      <c r="H9265" s="636"/>
      <c r="I9265" s="636"/>
      <c r="J9265" s="636" t="s">
        <v>13675</v>
      </c>
      <c r="K9265" s="636"/>
      <c r="L9265" s="636" t="s">
        <v>14225</v>
      </c>
    </row>
    <row r="9266" spans="1:12" ht="17.100000000000001" customHeight="1">
      <c r="A9266" s="802" t="s">
        <v>12720</v>
      </c>
      <c r="B9266" s="802"/>
      <c r="C9266" s="802"/>
      <c r="D9266" s="802"/>
      <c r="E9266" s="802"/>
      <c r="F9266" s="802"/>
      <c r="G9266" s="802"/>
      <c r="H9266" s="802"/>
      <c r="I9266" s="612"/>
      <c r="J9266" s="612"/>
      <c r="K9266" s="612"/>
      <c r="L9266" s="612"/>
    </row>
    <row r="9267" spans="1:12">
      <c r="A9267" s="612" t="s">
        <v>13679</v>
      </c>
      <c r="B9267" s="636" t="s">
        <v>12698</v>
      </c>
      <c r="C9267" s="612" t="s">
        <v>12699</v>
      </c>
      <c r="D9267" s="612" t="s">
        <v>12700</v>
      </c>
      <c r="E9267" s="637" t="s">
        <v>12702</v>
      </c>
      <c r="F9267" s="801" t="s">
        <v>12704</v>
      </c>
      <c r="G9267" s="801"/>
      <c r="H9267" s="801" t="s">
        <v>13678</v>
      </c>
      <c r="I9267" s="801"/>
      <c r="J9267" s="801" t="s">
        <v>12705</v>
      </c>
      <c r="K9267" s="801"/>
      <c r="L9267" s="801"/>
    </row>
    <row r="9268" spans="1:12" ht="17.100000000000001" customHeight="1">
      <c r="A9268" s="626" t="s">
        <v>12709</v>
      </c>
      <c r="B9268" s="627" t="s">
        <v>13396</v>
      </c>
      <c r="C9268" s="626" t="s">
        <v>8</v>
      </c>
      <c r="D9268" s="626" t="s">
        <v>9008</v>
      </c>
      <c r="E9268" s="628" t="s">
        <v>35</v>
      </c>
      <c r="F9268" s="816" t="s">
        <v>14569</v>
      </c>
      <c r="G9268" s="816"/>
      <c r="H9268" s="816">
        <v>1</v>
      </c>
      <c r="I9268" s="816"/>
      <c r="J9268" s="817">
        <v>8.33</v>
      </c>
      <c r="K9268" s="817"/>
      <c r="L9268" s="817"/>
    </row>
    <row r="9269" spans="1:12" ht="24" customHeight="1">
      <c r="A9269" s="626" t="s">
        <v>12709</v>
      </c>
      <c r="B9269" s="627" t="s">
        <v>13394</v>
      </c>
      <c r="C9269" s="626" t="s">
        <v>8</v>
      </c>
      <c r="D9269" s="626" t="s">
        <v>11739</v>
      </c>
      <c r="E9269" s="628" t="s">
        <v>35</v>
      </c>
      <c r="F9269" s="816" t="s">
        <v>13741</v>
      </c>
      <c r="G9269" s="816"/>
      <c r="H9269" s="816">
        <v>1</v>
      </c>
      <c r="I9269" s="816"/>
      <c r="J9269" s="817">
        <v>1.08</v>
      </c>
      <c r="K9269" s="817"/>
      <c r="L9269" s="817"/>
    </row>
    <row r="9270" spans="1:12" ht="17.100000000000001" customHeight="1">
      <c r="A9270" s="636"/>
      <c r="B9270" s="636"/>
      <c r="C9270" s="636"/>
      <c r="D9270" s="636"/>
      <c r="E9270" s="636"/>
      <c r="F9270" s="636"/>
      <c r="G9270" s="636"/>
      <c r="H9270" s="636"/>
      <c r="I9270" s="636"/>
      <c r="J9270" s="636" t="s">
        <v>13675</v>
      </c>
      <c r="K9270" s="636"/>
      <c r="L9270" s="636" t="s">
        <v>14568</v>
      </c>
    </row>
    <row r="9271" spans="1:12">
      <c r="A9271" s="802" t="s">
        <v>12722</v>
      </c>
      <c r="B9271" s="802"/>
      <c r="C9271" s="802"/>
      <c r="D9271" s="802"/>
      <c r="E9271" s="802"/>
      <c r="F9271" s="802"/>
      <c r="G9271" s="802"/>
      <c r="H9271" s="802"/>
      <c r="I9271" s="612"/>
      <c r="J9271" s="612"/>
      <c r="K9271" s="612"/>
      <c r="L9271" s="612"/>
    </row>
    <row r="9272" spans="1:12" ht="17.100000000000001" customHeight="1">
      <c r="A9272" s="612" t="s">
        <v>13679</v>
      </c>
      <c r="B9272" s="636" t="s">
        <v>12698</v>
      </c>
      <c r="C9272" s="612" t="s">
        <v>12699</v>
      </c>
      <c r="D9272" s="612" t="s">
        <v>12700</v>
      </c>
      <c r="E9272" s="637" t="s">
        <v>12702</v>
      </c>
      <c r="F9272" s="801" t="s">
        <v>12704</v>
      </c>
      <c r="G9272" s="801"/>
      <c r="H9272" s="801" t="s">
        <v>13678</v>
      </c>
      <c r="I9272" s="801"/>
      <c r="J9272" s="801" t="s">
        <v>12705</v>
      </c>
      <c r="K9272" s="801"/>
      <c r="L9272" s="801"/>
    </row>
    <row r="9273" spans="1:12" ht="24" customHeight="1">
      <c r="A9273" s="626" t="s">
        <v>12709</v>
      </c>
      <c r="B9273" s="627" t="s">
        <v>12998</v>
      </c>
      <c r="C9273" s="626" t="s">
        <v>8</v>
      </c>
      <c r="D9273" s="626" t="s">
        <v>11861</v>
      </c>
      <c r="E9273" s="628" t="s">
        <v>23</v>
      </c>
      <c r="F9273" s="816" t="s">
        <v>13683</v>
      </c>
      <c r="G9273" s="816"/>
      <c r="H9273" s="816">
        <v>0.18139669999999999</v>
      </c>
      <c r="I9273" s="816"/>
      <c r="J9273" s="817">
        <v>0.1288</v>
      </c>
      <c r="K9273" s="817"/>
      <c r="L9273" s="817"/>
    </row>
    <row r="9274" spans="1:12" ht="17.100000000000001" customHeight="1">
      <c r="A9274" s="636"/>
      <c r="B9274" s="636"/>
      <c r="C9274" s="636"/>
      <c r="D9274" s="636"/>
      <c r="E9274" s="636"/>
      <c r="F9274" s="636"/>
      <c r="G9274" s="636"/>
      <c r="H9274" s="636"/>
      <c r="I9274" s="636"/>
      <c r="J9274" s="636" t="s">
        <v>13675</v>
      </c>
      <c r="K9274" s="636"/>
      <c r="L9274" s="636" t="s">
        <v>13875</v>
      </c>
    </row>
    <row r="9275" spans="1:12">
      <c r="A9275" s="802" t="s">
        <v>12713</v>
      </c>
      <c r="B9275" s="802"/>
      <c r="C9275" s="802"/>
      <c r="D9275" s="802"/>
      <c r="E9275" s="802"/>
      <c r="F9275" s="802"/>
      <c r="G9275" s="802"/>
      <c r="H9275" s="802"/>
      <c r="I9275" s="612"/>
      <c r="J9275" s="612"/>
      <c r="K9275" s="612"/>
      <c r="L9275" s="612"/>
    </row>
    <row r="9276" spans="1:12" ht="17.100000000000001" customHeight="1">
      <c r="A9276" s="612" t="s">
        <v>13679</v>
      </c>
      <c r="B9276" s="636" t="s">
        <v>12698</v>
      </c>
      <c r="C9276" s="612" t="s">
        <v>12699</v>
      </c>
      <c r="D9276" s="612" t="s">
        <v>12700</v>
      </c>
      <c r="E9276" s="637" t="s">
        <v>12702</v>
      </c>
      <c r="F9276" s="801" t="s">
        <v>12704</v>
      </c>
      <c r="G9276" s="801"/>
      <c r="H9276" s="801" t="s">
        <v>13678</v>
      </c>
      <c r="I9276" s="801"/>
      <c r="J9276" s="801" t="s">
        <v>12705</v>
      </c>
      <c r="K9276" s="801"/>
      <c r="L9276" s="801"/>
    </row>
    <row r="9277" spans="1:12" ht="24" customHeight="1">
      <c r="A9277" s="626" t="s">
        <v>12709</v>
      </c>
      <c r="B9277" s="627" t="s">
        <v>12999</v>
      </c>
      <c r="C9277" s="626" t="s">
        <v>8</v>
      </c>
      <c r="D9277" s="626" t="s">
        <v>11251</v>
      </c>
      <c r="E9277" s="628" t="s">
        <v>23</v>
      </c>
      <c r="F9277" s="816" t="s">
        <v>13681</v>
      </c>
      <c r="G9277" s="816"/>
      <c r="H9277" s="816">
        <v>0.18139669999999999</v>
      </c>
      <c r="I9277" s="816"/>
      <c r="J9277" s="817">
        <v>1.2699999999999999E-2</v>
      </c>
      <c r="K9277" s="817"/>
      <c r="L9277" s="817"/>
    </row>
    <row r="9278" spans="1:12" ht="17.100000000000001" customHeight="1">
      <c r="A9278" s="636"/>
      <c r="B9278" s="636"/>
      <c r="C9278" s="636"/>
      <c r="D9278" s="636"/>
      <c r="E9278" s="636"/>
      <c r="F9278" s="636"/>
      <c r="G9278" s="636"/>
      <c r="H9278" s="636"/>
      <c r="I9278" s="636"/>
      <c r="J9278" s="636" t="s">
        <v>13675</v>
      </c>
      <c r="K9278" s="636"/>
      <c r="L9278" s="636" t="s">
        <v>13728</v>
      </c>
    </row>
    <row r="9279" spans="1:12">
      <c r="A9279" s="802" t="s">
        <v>12712</v>
      </c>
      <c r="B9279" s="802"/>
      <c r="C9279" s="802"/>
      <c r="D9279" s="802"/>
      <c r="E9279" s="802"/>
      <c r="F9279" s="802"/>
      <c r="G9279" s="802"/>
      <c r="H9279" s="802"/>
      <c r="I9279" s="612"/>
      <c r="J9279" s="612"/>
      <c r="K9279" s="612"/>
      <c r="L9279" s="612"/>
    </row>
    <row r="9280" spans="1:12" ht="17.100000000000001" customHeight="1">
      <c r="A9280" s="612" t="s">
        <v>13679</v>
      </c>
      <c r="B9280" s="636" t="s">
        <v>12698</v>
      </c>
      <c r="C9280" s="612" t="s">
        <v>12699</v>
      </c>
      <c r="D9280" s="612" t="s">
        <v>12700</v>
      </c>
      <c r="E9280" s="637" t="s">
        <v>12702</v>
      </c>
      <c r="F9280" s="801" t="s">
        <v>12704</v>
      </c>
      <c r="G9280" s="801"/>
      <c r="H9280" s="801" t="s">
        <v>13678</v>
      </c>
      <c r="I9280" s="801"/>
      <c r="J9280" s="801" t="s">
        <v>12705</v>
      </c>
      <c r="K9280" s="801"/>
      <c r="L9280" s="801"/>
    </row>
    <row r="9281" spans="1:12" ht="24" customHeight="1">
      <c r="A9281" s="626" t="s">
        <v>12709</v>
      </c>
      <c r="B9281" s="627" t="s">
        <v>13002</v>
      </c>
      <c r="C9281" s="626" t="s">
        <v>8</v>
      </c>
      <c r="D9281" s="626" t="s">
        <v>9306</v>
      </c>
      <c r="E9281" s="628" t="s">
        <v>23</v>
      </c>
      <c r="F9281" s="816" t="s">
        <v>13677</v>
      </c>
      <c r="G9281" s="816"/>
      <c r="H9281" s="816">
        <v>0.18139669999999999</v>
      </c>
      <c r="I9281" s="816"/>
      <c r="J9281" s="817">
        <v>6.3500000000000001E-2</v>
      </c>
      <c r="K9281" s="817"/>
      <c r="L9281" s="817"/>
    </row>
    <row r="9282" spans="1:12" ht="24" customHeight="1">
      <c r="A9282" s="626" t="s">
        <v>12709</v>
      </c>
      <c r="B9282" s="627" t="s">
        <v>13004</v>
      </c>
      <c r="C9282" s="626" t="s">
        <v>8</v>
      </c>
      <c r="D9282" s="626" t="s">
        <v>7388</v>
      </c>
      <c r="E9282" s="628" t="s">
        <v>23</v>
      </c>
      <c r="F9282" s="816" t="s">
        <v>13676</v>
      </c>
      <c r="G9282" s="816"/>
      <c r="H9282" s="816">
        <v>0.18139669999999999</v>
      </c>
      <c r="I9282" s="816"/>
      <c r="J9282" s="817">
        <v>0.39910000000000001</v>
      </c>
      <c r="K9282" s="817"/>
      <c r="L9282" s="817"/>
    </row>
    <row r="9283" spans="1:12" ht="17.100000000000001" customHeight="1">
      <c r="A9283" s="636"/>
      <c r="B9283" s="636"/>
      <c r="C9283" s="636"/>
      <c r="D9283" s="636"/>
      <c r="E9283" s="636"/>
      <c r="F9283" s="636"/>
      <c r="G9283" s="636"/>
      <c r="H9283" s="636"/>
      <c r="I9283" s="636"/>
      <c r="J9283" s="636" t="s">
        <v>13675</v>
      </c>
      <c r="K9283" s="636"/>
      <c r="L9283" s="636" t="s">
        <v>13874</v>
      </c>
    </row>
    <row r="9284" spans="1:12" ht="17.100000000000001" customHeight="1">
      <c r="A9284" s="612" t="s">
        <v>13673</v>
      </c>
      <c r="B9284" s="612"/>
      <c r="C9284" s="612"/>
      <c r="D9284" s="612"/>
      <c r="E9284" s="612"/>
      <c r="F9284" s="612"/>
      <c r="G9284" s="612"/>
      <c r="H9284" s="612"/>
      <c r="I9284" s="612"/>
      <c r="J9284" s="612"/>
      <c r="K9284" s="612"/>
      <c r="L9284" s="612"/>
    </row>
    <row r="9285" spans="1:12" ht="17.100000000000001" customHeight="1">
      <c r="A9285" s="636"/>
      <c r="B9285" s="636"/>
      <c r="C9285" s="636"/>
      <c r="D9285" s="636"/>
      <c r="E9285" s="636"/>
      <c r="F9285" s="636"/>
      <c r="G9285" s="636"/>
      <c r="H9285" s="636"/>
      <c r="I9285" s="636"/>
      <c r="J9285" s="636" t="s">
        <v>13672</v>
      </c>
      <c r="K9285" s="636"/>
      <c r="L9285" s="636" t="s">
        <v>15608</v>
      </c>
    </row>
    <row r="9286" spans="1:12" ht="17.100000000000001" customHeight="1">
      <c r="A9286" s="636"/>
      <c r="B9286" s="636"/>
      <c r="C9286" s="636"/>
      <c r="D9286" s="636"/>
      <c r="E9286" s="636"/>
      <c r="F9286" s="636"/>
      <c r="G9286" s="636"/>
      <c r="H9286" s="636"/>
      <c r="I9286" s="636"/>
      <c r="J9286" s="636" t="s">
        <v>13671</v>
      </c>
      <c r="K9286" s="636" t="s">
        <v>14461</v>
      </c>
      <c r="L9286" s="636" t="s">
        <v>15609</v>
      </c>
    </row>
    <row r="9287" spans="1:12" ht="17.100000000000001" customHeight="1">
      <c r="A9287" s="636"/>
      <c r="B9287" s="636"/>
      <c r="C9287" s="636"/>
      <c r="D9287" s="636"/>
      <c r="E9287" s="636"/>
      <c r="F9287" s="636"/>
      <c r="G9287" s="636"/>
      <c r="H9287" s="636"/>
      <c r="I9287" s="636"/>
      <c r="J9287" s="636" t="s">
        <v>13670</v>
      </c>
      <c r="K9287" s="636"/>
      <c r="L9287" s="636" t="s">
        <v>15610</v>
      </c>
    </row>
    <row r="9288" spans="1:12" ht="17.100000000000001" customHeight="1">
      <c r="A9288" s="636"/>
      <c r="B9288" s="636"/>
      <c r="C9288" s="636"/>
      <c r="D9288" s="636"/>
      <c r="E9288" s="636"/>
      <c r="F9288" s="636"/>
      <c r="G9288" s="636"/>
      <c r="H9288" s="636"/>
      <c r="I9288" s="636"/>
      <c r="J9288" s="636" t="s">
        <v>13669</v>
      </c>
      <c r="K9288" s="636" t="s">
        <v>13667</v>
      </c>
      <c r="L9288" s="636" t="s">
        <v>15287</v>
      </c>
    </row>
    <row r="9289" spans="1:12" ht="17.100000000000001" customHeight="1">
      <c r="A9289" s="636"/>
      <c r="B9289" s="636"/>
      <c r="C9289" s="636"/>
      <c r="D9289" s="636"/>
      <c r="E9289" s="636"/>
      <c r="F9289" s="636"/>
      <c r="G9289" s="636"/>
      <c r="H9289" s="636"/>
      <c r="I9289" s="636"/>
      <c r="J9289" s="636" t="s">
        <v>13668</v>
      </c>
      <c r="K9289" s="636"/>
      <c r="L9289" s="636" t="s">
        <v>15611</v>
      </c>
    </row>
    <row r="9290" spans="1:12" ht="30" customHeight="1">
      <c r="A9290" s="637"/>
      <c r="B9290" s="637"/>
      <c r="C9290" s="637"/>
      <c r="D9290" s="637"/>
      <c r="E9290" s="637"/>
      <c r="F9290" s="637"/>
      <c r="G9290" s="637"/>
      <c r="H9290" s="637"/>
      <c r="I9290" s="637"/>
      <c r="J9290" s="637"/>
      <c r="K9290" s="637"/>
      <c r="L9290" s="637"/>
    </row>
    <row r="9291" spans="1:12" ht="36" customHeight="1">
      <c r="A9291" s="616" t="s">
        <v>13878</v>
      </c>
      <c r="B9291" s="617" t="s">
        <v>13395</v>
      </c>
      <c r="C9291" s="616" t="s">
        <v>8</v>
      </c>
      <c r="D9291" s="616" t="s">
        <v>3272</v>
      </c>
      <c r="E9291" s="618" t="s">
        <v>35</v>
      </c>
      <c r="F9291" s="617"/>
      <c r="G9291" s="617"/>
      <c r="H9291" s="617"/>
      <c r="I9291" s="617"/>
      <c r="J9291" s="617"/>
      <c r="K9291" s="617"/>
      <c r="L9291" s="617"/>
    </row>
    <row r="9292" spans="1:12" ht="14.25" customHeight="1">
      <c r="A9292" s="802" t="s">
        <v>12711</v>
      </c>
      <c r="B9292" s="802"/>
      <c r="C9292" s="802"/>
      <c r="D9292" s="802"/>
      <c r="E9292" s="802"/>
      <c r="F9292" s="802"/>
      <c r="G9292" s="802"/>
      <c r="H9292" s="802"/>
      <c r="I9292" s="612"/>
      <c r="J9292" s="612"/>
      <c r="K9292" s="612"/>
      <c r="L9292" s="612"/>
    </row>
    <row r="9293" spans="1:12" ht="17.100000000000001" customHeight="1">
      <c r="A9293" s="612" t="s">
        <v>13679</v>
      </c>
      <c r="B9293" s="636" t="s">
        <v>12698</v>
      </c>
      <c r="C9293" s="612" t="s">
        <v>12699</v>
      </c>
      <c r="D9293" s="612" t="s">
        <v>12700</v>
      </c>
      <c r="E9293" s="637" t="s">
        <v>12702</v>
      </c>
      <c r="F9293" s="801" t="s">
        <v>12704</v>
      </c>
      <c r="G9293" s="801"/>
      <c r="H9293" s="801" t="s">
        <v>13678</v>
      </c>
      <c r="I9293" s="801"/>
      <c r="J9293" s="801" t="s">
        <v>12705</v>
      </c>
      <c r="K9293" s="801"/>
      <c r="L9293" s="801"/>
    </row>
    <row r="9294" spans="1:12" ht="24" customHeight="1">
      <c r="A9294" s="626" t="s">
        <v>12709</v>
      </c>
      <c r="B9294" s="627" t="s">
        <v>13134</v>
      </c>
      <c r="C9294" s="626" t="s">
        <v>8</v>
      </c>
      <c r="D9294" s="626" t="s">
        <v>9219</v>
      </c>
      <c r="E9294" s="628" t="s">
        <v>23</v>
      </c>
      <c r="F9294" s="816" t="s">
        <v>13782</v>
      </c>
      <c r="G9294" s="816"/>
      <c r="H9294" s="816">
        <v>0.36279349999999999</v>
      </c>
      <c r="I9294" s="816"/>
      <c r="J9294" s="817">
        <v>0.33739999999999998</v>
      </c>
      <c r="K9294" s="817"/>
      <c r="L9294" s="817"/>
    </row>
    <row r="9295" spans="1:12" ht="24" customHeight="1">
      <c r="A9295" s="626" t="s">
        <v>12709</v>
      </c>
      <c r="B9295" s="627" t="s">
        <v>13133</v>
      </c>
      <c r="C9295" s="626" t="s">
        <v>8</v>
      </c>
      <c r="D9295" s="626" t="s">
        <v>9366</v>
      </c>
      <c r="E9295" s="628" t="s">
        <v>23</v>
      </c>
      <c r="F9295" s="816" t="s">
        <v>13781</v>
      </c>
      <c r="G9295" s="816"/>
      <c r="H9295" s="816">
        <v>0.36279349999999999</v>
      </c>
      <c r="I9295" s="816"/>
      <c r="J9295" s="817">
        <v>0.19950000000000001</v>
      </c>
      <c r="K9295" s="817"/>
      <c r="L9295" s="817"/>
    </row>
    <row r="9296" spans="1:12" ht="24" customHeight="1">
      <c r="A9296" s="636"/>
      <c r="B9296" s="636"/>
      <c r="C9296" s="636"/>
      <c r="D9296" s="636"/>
      <c r="E9296" s="636"/>
      <c r="F9296" s="636"/>
      <c r="G9296" s="636"/>
      <c r="H9296" s="636"/>
      <c r="I9296" s="636"/>
      <c r="J9296" s="636" t="s">
        <v>13675</v>
      </c>
      <c r="K9296" s="636"/>
      <c r="L9296" s="636" t="s">
        <v>13872</v>
      </c>
    </row>
    <row r="9297" spans="1:12" ht="24" customHeight="1">
      <c r="A9297" s="802" t="s">
        <v>12710</v>
      </c>
      <c r="B9297" s="802"/>
      <c r="C9297" s="802"/>
      <c r="D9297" s="802"/>
      <c r="E9297" s="802"/>
      <c r="F9297" s="802"/>
      <c r="G9297" s="802"/>
      <c r="H9297" s="802"/>
      <c r="I9297" s="612"/>
      <c r="J9297" s="612"/>
      <c r="K9297" s="612"/>
      <c r="L9297" s="612"/>
    </row>
    <row r="9298" spans="1:12" ht="17.100000000000001" customHeight="1">
      <c r="A9298" s="612" t="s">
        <v>13679</v>
      </c>
      <c r="B9298" s="636" t="s">
        <v>12698</v>
      </c>
      <c r="C9298" s="612" t="s">
        <v>12699</v>
      </c>
      <c r="D9298" s="612" t="s">
        <v>12700</v>
      </c>
      <c r="E9298" s="637" t="s">
        <v>12702</v>
      </c>
      <c r="F9298" s="801" t="s">
        <v>12704</v>
      </c>
      <c r="G9298" s="801"/>
      <c r="H9298" s="801" t="s">
        <v>13678</v>
      </c>
      <c r="I9298" s="801"/>
      <c r="J9298" s="801" t="s">
        <v>12705</v>
      </c>
      <c r="K9298" s="801"/>
      <c r="L9298" s="801"/>
    </row>
    <row r="9299" spans="1:12" ht="14.25" customHeight="1">
      <c r="A9299" s="626" t="s">
        <v>12709</v>
      </c>
      <c r="B9299" s="627" t="s">
        <v>13222</v>
      </c>
      <c r="C9299" s="626" t="s">
        <v>8</v>
      </c>
      <c r="D9299" s="626" t="s">
        <v>7364</v>
      </c>
      <c r="E9299" s="628" t="s">
        <v>23</v>
      </c>
      <c r="F9299" s="816" t="s">
        <v>13808</v>
      </c>
      <c r="G9299" s="816"/>
      <c r="H9299" s="816">
        <v>0.18612239999999999</v>
      </c>
      <c r="I9299" s="816"/>
      <c r="J9299" s="817">
        <v>0.93430000000000002</v>
      </c>
      <c r="K9299" s="817"/>
      <c r="L9299" s="817"/>
    </row>
    <row r="9300" spans="1:12" ht="17.100000000000001" customHeight="1">
      <c r="A9300" s="626" t="s">
        <v>12709</v>
      </c>
      <c r="B9300" s="627" t="s">
        <v>13204</v>
      </c>
      <c r="C9300" s="626" t="s">
        <v>8</v>
      </c>
      <c r="D9300" s="626" t="s">
        <v>9112</v>
      </c>
      <c r="E9300" s="628" t="s">
        <v>23</v>
      </c>
      <c r="F9300" s="816" t="s">
        <v>14479</v>
      </c>
      <c r="G9300" s="816"/>
      <c r="H9300" s="816">
        <v>0.18612239999999999</v>
      </c>
      <c r="I9300" s="816"/>
      <c r="J9300" s="817">
        <v>1.3308</v>
      </c>
      <c r="K9300" s="817"/>
      <c r="L9300" s="817"/>
    </row>
    <row r="9301" spans="1:12" ht="24" customHeight="1">
      <c r="A9301" s="636"/>
      <c r="B9301" s="636"/>
      <c r="C9301" s="636"/>
      <c r="D9301" s="636"/>
      <c r="E9301" s="636"/>
      <c r="F9301" s="636"/>
      <c r="G9301" s="636"/>
      <c r="H9301" s="636"/>
      <c r="I9301" s="636"/>
      <c r="J9301" s="636" t="s">
        <v>13675</v>
      </c>
      <c r="K9301" s="636"/>
      <c r="L9301" s="636" t="s">
        <v>13944</v>
      </c>
    </row>
    <row r="9302" spans="1:12" ht="24" customHeight="1">
      <c r="A9302" s="802" t="s">
        <v>12720</v>
      </c>
      <c r="B9302" s="802"/>
      <c r="C9302" s="802"/>
      <c r="D9302" s="802"/>
      <c r="E9302" s="802"/>
      <c r="F9302" s="802"/>
      <c r="G9302" s="802"/>
      <c r="H9302" s="802"/>
      <c r="I9302" s="612"/>
      <c r="J9302" s="612"/>
      <c r="K9302" s="612"/>
      <c r="L9302" s="612"/>
    </row>
    <row r="9303" spans="1:12" ht="24" customHeight="1">
      <c r="A9303" s="612" t="s">
        <v>13679</v>
      </c>
      <c r="B9303" s="636" t="s">
        <v>12698</v>
      </c>
      <c r="C9303" s="612" t="s">
        <v>12699</v>
      </c>
      <c r="D9303" s="612" t="s">
        <v>12700</v>
      </c>
      <c r="E9303" s="637" t="s">
        <v>12702</v>
      </c>
      <c r="F9303" s="801" t="s">
        <v>12704</v>
      </c>
      <c r="G9303" s="801"/>
      <c r="H9303" s="801" t="s">
        <v>13678</v>
      </c>
      <c r="I9303" s="801"/>
      <c r="J9303" s="801" t="s">
        <v>12705</v>
      </c>
      <c r="K9303" s="801"/>
      <c r="L9303" s="801"/>
    </row>
    <row r="9304" spans="1:12" ht="24" customHeight="1">
      <c r="A9304" s="626" t="s">
        <v>12709</v>
      </c>
      <c r="B9304" s="627" t="s">
        <v>13394</v>
      </c>
      <c r="C9304" s="626" t="s">
        <v>8</v>
      </c>
      <c r="D9304" s="626" t="s">
        <v>11739</v>
      </c>
      <c r="E9304" s="628" t="s">
        <v>35</v>
      </c>
      <c r="F9304" s="816" t="s">
        <v>13741</v>
      </c>
      <c r="G9304" s="816"/>
      <c r="H9304" s="816">
        <v>2</v>
      </c>
      <c r="I9304" s="816"/>
      <c r="J9304" s="817">
        <v>2.16</v>
      </c>
      <c r="K9304" s="817"/>
      <c r="L9304" s="817"/>
    </row>
    <row r="9305" spans="1:12" ht="17.100000000000001" customHeight="1">
      <c r="A9305" s="626" t="s">
        <v>12709</v>
      </c>
      <c r="B9305" s="627" t="s">
        <v>13392</v>
      </c>
      <c r="C9305" s="626" t="s">
        <v>8</v>
      </c>
      <c r="D9305" s="626" t="s">
        <v>9005</v>
      </c>
      <c r="E9305" s="628" t="s">
        <v>35</v>
      </c>
      <c r="F9305" s="816" t="s">
        <v>14566</v>
      </c>
      <c r="G9305" s="816"/>
      <c r="H9305" s="816">
        <v>1</v>
      </c>
      <c r="I9305" s="816"/>
      <c r="J9305" s="817">
        <v>47.75</v>
      </c>
      <c r="K9305" s="817"/>
      <c r="L9305" s="817"/>
    </row>
    <row r="9306" spans="1:12">
      <c r="A9306" s="636"/>
      <c r="B9306" s="636"/>
      <c r="C9306" s="636"/>
      <c r="D9306" s="636"/>
      <c r="E9306" s="636"/>
      <c r="F9306" s="636"/>
      <c r="G9306" s="636"/>
      <c r="H9306" s="636"/>
      <c r="I9306" s="636"/>
      <c r="J9306" s="636" t="s">
        <v>13675</v>
      </c>
      <c r="K9306" s="636"/>
      <c r="L9306" s="636" t="s">
        <v>14567</v>
      </c>
    </row>
    <row r="9307" spans="1:12" ht="17.100000000000001" customHeight="1">
      <c r="A9307" s="802" t="s">
        <v>12722</v>
      </c>
      <c r="B9307" s="802"/>
      <c r="C9307" s="802"/>
      <c r="D9307" s="802"/>
      <c r="E9307" s="802"/>
      <c r="F9307" s="802"/>
      <c r="G9307" s="802"/>
      <c r="H9307" s="802"/>
      <c r="I9307" s="612"/>
      <c r="J9307" s="612"/>
      <c r="K9307" s="612"/>
      <c r="L9307" s="612"/>
    </row>
    <row r="9308" spans="1:12" ht="24" customHeight="1">
      <c r="A9308" s="612" t="s">
        <v>13679</v>
      </c>
      <c r="B9308" s="636" t="s">
        <v>12698</v>
      </c>
      <c r="C9308" s="612" t="s">
        <v>12699</v>
      </c>
      <c r="D9308" s="612" t="s">
        <v>12700</v>
      </c>
      <c r="E9308" s="637" t="s">
        <v>12702</v>
      </c>
      <c r="F9308" s="801" t="s">
        <v>12704</v>
      </c>
      <c r="G9308" s="801"/>
      <c r="H9308" s="801" t="s">
        <v>13678</v>
      </c>
      <c r="I9308" s="801"/>
      <c r="J9308" s="801" t="s">
        <v>12705</v>
      </c>
      <c r="K9308" s="801"/>
      <c r="L9308" s="801"/>
    </row>
    <row r="9309" spans="1:12" ht="24" customHeight="1">
      <c r="A9309" s="626" t="s">
        <v>12709</v>
      </c>
      <c r="B9309" s="627" t="s">
        <v>12998</v>
      </c>
      <c r="C9309" s="626" t="s">
        <v>8</v>
      </c>
      <c r="D9309" s="626" t="s">
        <v>11861</v>
      </c>
      <c r="E9309" s="628" t="s">
        <v>23</v>
      </c>
      <c r="F9309" s="816" t="s">
        <v>13683</v>
      </c>
      <c r="G9309" s="816"/>
      <c r="H9309" s="816">
        <v>0.36279349999999999</v>
      </c>
      <c r="I9309" s="816"/>
      <c r="J9309" s="817">
        <v>0.2576</v>
      </c>
      <c r="K9309" s="817"/>
      <c r="L9309" s="817"/>
    </row>
    <row r="9310" spans="1:12" ht="17.100000000000001" customHeight="1">
      <c r="A9310" s="636"/>
      <c r="B9310" s="636"/>
      <c r="C9310" s="636"/>
      <c r="D9310" s="636"/>
      <c r="E9310" s="636"/>
      <c r="F9310" s="636"/>
      <c r="G9310" s="636"/>
      <c r="H9310" s="636"/>
      <c r="I9310" s="636"/>
      <c r="J9310" s="636" t="s">
        <v>13675</v>
      </c>
      <c r="K9310" s="636"/>
      <c r="L9310" s="636" t="s">
        <v>13869</v>
      </c>
    </row>
    <row r="9311" spans="1:12">
      <c r="A9311" s="802" t="s">
        <v>12713</v>
      </c>
      <c r="B9311" s="802"/>
      <c r="C9311" s="802"/>
      <c r="D9311" s="802"/>
      <c r="E9311" s="802"/>
      <c r="F9311" s="802"/>
      <c r="G9311" s="802"/>
      <c r="H9311" s="802"/>
      <c r="I9311" s="612"/>
      <c r="J9311" s="612"/>
      <c r="K9311" s="612"/>
      <c r="L9311" s="612"/>
    </row>
    <row r="9312" spans="1:12" ht="17.100000000000001" customHeight="1">
      <c r="A9312" s="612" t="s">
        <v>13679</v>
      </c>
      <c r="B9312" s="636" t="s">
        <v>12698</v>
      </c>
      <c r="C9312" s="612" t="s">
        <v>12699</v>
      </c>
      <c r="D9312" s="612" t="s">
        <v>12700</v>
      </c>
      <c r="E9312" s="637" t="s">
        <v>12702</v>
      </c>
      <c r="F9312" s="801" t="s">
        <v>12704</v>
      </c>
      <c r="G9312" s="801"/>
      <c r="H9312" s="801" t="s">
        <v>13678</v>
      </c>
      <c r="I9312" s="801"/>
      <c r="J9312" s="801" t="s">
        <v>12705</v>
      </c>
      <c r="K9312" s="801"/>
      <c r="L9312" s="801"/>
    </row>
    <row r="9313" spans="1:12" ht="24" customHeight="1">
      <c r="A9313" s="626" t="s">
        <v>12709</v>
      </c>
      <c r="B9313" s="627" t="s">
        <v>12999</v>
      </c>
      <c r="C9313" s="626" t="s">
        <v>8</v>
      </c>
      <c r="D9313" s="626" t="s">
        <v>11251</v>
      </c>
      <c r="E9313" s="628" t="s">
        <v>23</v>
      </c>
      <c r="F9313" s="816" t="s">
        <v>13681</v>
      </c>
      <c r="G9313" s="816"/>
      <c r="H9313" s="816">
        <v>0.36279349999999999</v>
      </c>
      <c r="I9313" s="816"/>
      <c r="J9313" s="817">
        <v>2.5399999999999999E-2</v>
      </c>
      <c r="K9313" s="817"/>
      <c r="L9313" s="817"/>
    </row>
    <row r="9314" spans="1:12" ht="17.100000000000001" customHeight="1">
      <c r="A9314" s="636"/>
      <c r="B9314" s="636"/>
      <c r="C9314" s="636"/>
      <c r="D9314" s="636"/>
      <c r="E9314" s="636"/>
      <c r="F9314" s="636"/>
      <c r="G9314" s="636"/>
      <c r="H9314" s="636"/>
      <c r="I9314" s="636"/>
      <c r="J9314" s="636" t="s">
        <v>13675</v>
      </c>
      <c r="K9314" s="636"/>
      <c r="L9314" s="636" t="s">
        <v>13726</v>
      </c>
    </row>
    <row r="9315" spans="1:12">
      <c r="A9315" s="802" t="s">
        <v>12712</v>
      </c>
      <c r="B9315" s="802"/>
      <c r="C9315" s="802"/>
      <c r="D9315" s="802"/>
      <c r="E9315" s="802"/>
      <c r="F9315" s="802"/>
      <c r="G9315" s="802"/>
      <c r="H9315" s="802"/>
      <c r="I9315" s="612"/>
      <c r="J9315" s="612"/>
      <c r="K9315" s="612"/>
      <c r="L9315" s="612"/>
    </row>
    <row r="9316" spans="1:12" ht="17.100000000000001" customHeight="1">
      <c r="A9316" s="612" t="s">
        <v>13679</v>
      </c>
      <c r="B9316" s="636" t="s">
        <v>12698</v>
      </c>
      <c r="C9316" s="612" t="s">
        <v>12699</v>
      </c>
      <c r="D9316" s="612" t="s">
        <v>12700</v>
      </c>
      <c r="E9316" s="637" t="s">
        <v>12702</v>
      </c>
      <c r="F9316" s="801" t="s">
        <v>12704</v>
      </c>
      <c r="G9316" s="801"/>
      <c r="H9316" s="801" t="s">
        <v>13678</v>
      </c>
      <c r="I9316" s="801"/>
      <c r="J9316" s="801" t="s">
        <v>12705</v>
      </c>
      <c r="K9316" s="801"/>
      <c r="L9316" s="801"/>
    </row>
    <row r="9317" spans="1:12" ht="24" customHeight="1">
      <c r="A9317" s="626" t="s">
        <v>12709</v>
      </c>
      <c r="B9317" s="627" t="s">
        <v>13002</v>
      </c>
      <c r="C9317" s="626" t="s">
        <v>8</v>
      </c>
      <c r="D9317" s="626" t="s">
        <v>9306</v>
      </c>
      <c r="E9317" s="628" t="s">
        <v>23</v>
      </c>
      <c r="F9317" s="816" t="s">
        <v>13677</v>
      </c>
      <c r="G9317" s="816"/>
      <c r="H9317" s="816">
        <v>0.36279349999999999</v>
      </c>
      <c r="I9317" s="816"/>
      <c r="J9317" s="817">
        <v>0.127</v>
      </c>
      <c r="K9317" s="817"/>
      <c r="L9317" s="817"/>
    </row>
    <row r="9318" spans="1:12" ht="17.100000000000001" customHeight="1">
      <c r="A9318" s="626" t="s">
        <v>12709</v>
      </c>
      <c r="B9318" s="627" t="s">
        <v>13004</v>
      </c>
      <c r="C9318" s="626" t="s">
        <v>8</v>
      </c>
      <c r="D9318" s="626" t="s">
        <v>7388</v>
      </c>
      <c r="E9318" s="628" t="s">
        <v>23</v>
      </c>
      <c r="F9318" s="816" t="s">
        <v>13676</v>
      </c>
      <c r="G9318" s="816"/>
      <c r="H9318" s="816">
        <v>0.36279349999999999</v>
      </c>
      <c r="I9318" s="816"/>
      <c r="J9318" s="817">
        <v>0.79810000000000003</v>
      </c>
      <c r="K9318" s="817"/>
      <c r="L9318" s="817"/>
    </row>
    <row r="9319" spans="1:12">
      <c r="A9319" s="636"/>
      <c r="B9319" s="636"/>
      <c r="C9319" s="636"/>
      <c r="D9319" s="636"/>
      <c r="E9319" s="636"/>
      <c r="F9319" s="636"/>
      <c r="G9319" s="636"/>
      <c r="H9319" s="636"/>
      <c r="I9319" s="636"/>
      <c r="J9319" s="636" t="s">
        <v>13675</v>
      </c>
      <c r="K9319" s="636"/>
      <c r="L9319" s="636" t="s">
        <v>13782</v>
      </c>
    </row>
    <row r="9320" spans="1:12" ht="17.100000000000001" customHeight="1">
      <c r="A9320" s="612" t="s">
        <v>13673</v>
      </c>
      <c r="B9320" s="612"/>
      <c r="C9320" s="612"/>
      <c r="D9320" s="612"/>
      <c r="E9320" s="612"/>
      <c r="F9320" s="612"/>
      <c r="G9320" s="612"/>
      <c r="H9320" s="612"/>
      <c r="I9320" s="612"/>
      <c r="J9320" s="612"/>
      <c r="K9320" s="612"/>
      <c r="L9320" s="612"/>
    </row>
    <row r="9321" spans="1:12" ht="24" customHeight="1">
      <c r="A9321" s="636"/>
      <c r="B9321" s="636"/>
      <c r="C9321" s="636"/>
      <c r="D9321" s="636"/>
      <c r="E9321" s="636"/>
      <c r="F9321" s="636"/>
      <c r="G9321" s="636"/>
      <c r="H9321" s="636"/>
      <c r="I9321" s="636"/>
      <c r="J9321" s="636" t="s">
        <v>13672</v>
      </c>
      <c r="K9321" s="636"/>
      <c r="L9321" s="636" t="s">
        <v>15612</v>
      </c>
    </row>
    <row r="9322" spans="1:12" ht="24" customHeight="1">
      <c r="A9322" s="636"/>
      <c r="B9322" s="636"/>
      <c r="C9322" s="636"/>
      <c r="D9322" s="636"/>
      <c r="E9322" s="636"/>
      <c r="F9322" s="636"/>
      <c r="G9322" s="636"/>
      <c r="H9322" s="636"/>
      <c r="I9322" s="636"/>
      <c r="J9322" s="636" t="s">
        <v>13671</v>
      </c>
      <c r="K9322" s="636" t="s">
        <v>14461</v>
      </c>
      <c r="L9322" s="636" t="s">
        <v>14940</v>
      </c>
    </row>
    <row r="9323" spans="1:12" ht="17.100000000000001" customHeight="1">
      <c r="A9323" s="636"/>
      <c r="B9323" s="636"/>
      <c r="C9323" s="636"/>
      <c r="D9323" s="636"/>
      <c r="E9323" s="636"/>
      <c r="F9323" s="636"/>
      <c r="G9323" s="636"/>
      <c r="H9323" s="636"/>
      <c r="I9323" s="636"/>
      <c r="J9323" s="636" t="s">
        <v>13670</v>
      </c>
      <c r="K9323" s="636"/>
      <c r="L9323" s="636" t="s">
        <v>15613</v>
      </c>
    </row>
    <row r="9324" spans="1:12" ht="17.100000000000001" customHeight="1">
      <c r="A9324" s="636"/>
      <c r="B9324" s="636"/>
      <c r="C9324" s="636"/>
      <c r="D9324" s="636"/>
      <c r="E9324" s="636"/>
      <c r="F9324" s="636"/>
      <c r="G9324" s="636"/>
      <c r="H9324" s="636"/>
      <c r="I9324" s="636"/>
      <c r="J9324" s="636" t="s">
        <v>13669</v>
      </c>
      <c r="K9324" s="636" t="s">
        <v>13667</v>
      </c>
      <c r="L9324" s="636" t="s">
        <v>15614</v>
      </c>
    </row>
    <row r="9325" spans="1:12" ht="17.100000000000001" customHeight="1">
      <c r="A9325" s="636"/>
      <c r="B9325" s="636"/>
      <c r="C9325" s="636"/>
      <c r="D9325" s="636"/>
      <c r="E9325" s="636"/>
      <c r="F9325" s="636"/>
      <c r="G9325" s="636"/>
      <c r="H9325" s="636"/>
      <c r="I9325" s="636"/>
      <c r="J9325" s="636" t="s">
        <v>13668</v>
      </c>
      <c r="K9325" s="636"/>
      <c r="L9325" s="636" t="s">
        <v>15615</v>
      </c>
    </row>
    <row r="9326" spans="1:12" ht="17.100000000000001" customHeight="1">
      <c r="A9326" s="637"/>
      <c r="B9326" s="637"/>
      <c r="C9326" s="637"/>
      <c r="D9326" s="637"/>
      <c r="E9326" s="637"/>
      <c r="F9326" s="637"/>
      <c r="G9326" s="637"/>
      <c r="H9326" s="637"/>
      <c r="I9326" s="637"/>
      <c r="J9326" s="637"/>
      <c r="K9326" s="637"/>
      <c r="L9326" s="637"/>
    </row>
    <row r="9327" spans="1:12" ht="17.100000000000001" customHeight="1">
      <c r="A9327" s="616" t="s">
        <v>13873</v>
      </c>
      <c r="B9327" s="617" t="s">
        <v>13393</v>
      </c>
      <c r="C9327" s="616" t="s">
        <v>8</v>
      </c>
      <c r="D9327" s="616" t="s">
        <v>3271</v>
      </c>
      <c r="E9327" s="618" t="s">
        <v>35</v>
      </c>
      <c r="F9327" s="617"/>
      <c r="G9327" s="617"/>
      <c r="H9327" s="617"/>
      <c r="I9327" s="617"/>
      <c r="J9327" s="617"/>
      <c r="K9327" s="617"/>
      <c r="L9327" s="617"/>
    </row>
    <row r="9328" spans="1:12" ht="17.100000000000001" customHeight="1">
      <c r="A9328" s="802" t="s">
        <v>12711</v>
      </c>
      <c r="B9328" s="802"/>
      <c r="C9328" s="802"/>
      <c r="D9328" s="802"/>
      <c r="E9328" s="802"/>
      <c r="F9328" s="802"/>
      <c r="G9328" s="802"/>
      <c r="H9328" s="802"/>
      <c r="I9328" s="612"/>
      <c r="J9328" s="612"/>
      <c r="K9328" s="612"/>
      <c r="L9328" s="612"/>
    </row>
    <row r="9329" spans="1:12" ht="17.100000000000001" customHeight="1">
      <c r="A9329" s="612" t="s">
        <v>13679</v>
      </c>
      <c r="B9329" s="636" t="s">
        <v>12698</v>
      </c>
      <c r="C9329" s="612" t="s">
        <v>12699</v>
      </c>
      <c r="D9329" s="612" t="s">
        <v>12700</v>
      </c>
      <c r="E9329" s="637" t="s">
        <v>12702</v>
      </c>
      <c r="F9329" s="801" t="s">
        <v>12704</v>
      </c>
      <c r="G9329" s="801"/>
      <c r="H9329" s="801" t="s">
        <v>13678</v>
      </c>
      <c r="I9329" s="801"/>
      <c r="J9329" s="801" t="s">
        <v>12705</v>
      </c>
      <c r="K9329" s="801"/>
      <c r="L9329" s="801"/>
    </row>
    <row r="9330" spans="1:12" ht="30" customHeight="1">
      <c r="A9330" s="626" t="s">
        <v>12709</v>
      </c>
      <c r="B9330" s="627" t="s">
        <v>13134</v>
      </c>
      <c r="C9330" s="626" t="s">
        <v>8</v>
      </c>
      <c r="D9330" s="626" t="s">
        <v>9219</v>
      </c>
      <c r="E9330" s="628" t="s">
        <v>23</v>
      </c>
      <c r="F9330" s="816" t="s">
        <v>13782</v>
      </c>
      <c r="G9330" s="816"/>
      <c r="H9330" s="816">
        <v>0.26504870000000003</v>
      </c>
      <c r="I9330" s="816"/>
      <c r="J9330" s="817">
        <v>0.2465</v>
      </c>
      <c r="K9330" s="817"/>
      <c r="L9330" s="817"/>
    </row>
    <row r="9331" spans="1:12" ht="24" customHeight="1">
      <c r="A9331" s="626" t="s">
        <v>12709</v>
      </c>
      <c r="B9331" s="627" t="s">
        <v>13133</v>
      </c>
      <c r="C9331" s="626" t="s">
        <v>8</v>
      </c>
      <c r="D9331" s="626" t="s">
        <v>9366</v>
      </c>
      <c r="E9331" s="628" t="s">
        <v>23</v>
      </c>
      <c r="F9331" s="816" t="s">
        <v>13781</v>
      </c>
      <c r="G9331" s="816"/>
      <c r="H9331" s="816">
        <v>0.26504870000000003</v>
      </c>
      <c r="I9331" s="816"/>
      <c r="J9331" s="817">
        <v>0.14580000000000001</v>
      </c>
      <c r="K9331" s="817"/>
      <c r="L9331" s="817"/>
    </row>
    <row r="9332" spans="1:12" ht="14.25" customHeight="1">
      <c r="A9332" s="636"/>
      <c r="B9332" s="636"/>
      <c r="C9332" s="636"/>
      <c r="D9332" s="636"/>
      <c r="E9332" s="636"/>
      <c r="F9332" s="636"/>
      <c r="G9332" s="636"/>
      <c r="H9332" s="636"/>
      <c r="I9332" s="636"/>
      <c r="J9332" s="636" t="s">
        <v>13675</v>
      </c>
      <c r="K9332" s="636"/>
      <c r="L9332" s="636" t="s">
        <v>13784</v>
      </c>
    </row>
    <row r="9333" spans="1:12" ht="17.100000000000001" customHeight="1">
      <c r="A9333" s="802" t="s">
        <v>12710</v>
      </c>
      <c r="B9333" s="802"/>
      <c r="C9333" s="802"/>
      <c r="D9333" s="802"/>
      <c r="E9333" s="802"/>
      <c r="F9333" s="802"/>
      <c r="G9333" s="802"/>
      <c r="H9333" s="802"/>
      <c r="I9333" s="612"/>
      <c r="J9333" s="612"/>
      <c r="K9333" s="612"/>
      <c r="L9333" s="612"/>
    </row>
    <row r="9334" spans="1:12" ht="24" customHeight="1">
      <c r="A9334" s="612" t="s">
        <v>13679</v>
      </c>
      <c r="B9334" s="636" t="s">
        <v>12698</v>
      </c>
      <c r="C9334" s="612" t="s">
        <v>12699</v>
      </c>
      <c r="D9334" s="612" t="s">
        <v>12700</v>
      </c>
      <c r="E9334" s="637" t="s">
        <v>12702</v>
      </c>
      <c r="F9334" s="801" t="s">
        <v>12704</v>
      </c>
      <c r="G9334" s="801"/>
      <c r="H9334" s="801" t="s">
        <v>13678</v>
      </c>
      <c r="I9334" s="801"/>
      <c r="J9334" s="801" t="s">
        <v>12705</v>
      </c>
      <c r="K9334" s="801"/>
      <c r="L9334" s="801"/>
    </row>
    <row r="9335" spans="1:12" ht="24" customHeight="1">
      <c r="A9335" s="626" t="s">
        <v>12709</v>
      </c>
      <c r="B9335" s="627" t="s">
        <v>13222</v>
      </c>
      <c r="C9335" s="626" t="s">
        <v>8</v>
      </c>
      <c r="D9335" s="626" t="s">
        <v>7364</v>
      </c>
      <c r="E9335" s="628" t="s">
        <v>23</v>
      </c>
      <c r="F9335" s="816" t="s">
        <v>13808</v>
      </c>
      <c r="G9335" s="816"/>
      <c r="H9335" s="816">
        <v>0.1359271</v>
      </c>
      <c r="I9335" s="816"/>
      <c r="J9335" s="817">
        <v>0.68240000000000001</v>
      </c>
      <c r="K9335" s="817"/>
      <c r="L9335" s="817"/>
    </row>
    <row r="9336" spans="1:12" ht="17.100000000000001" customHeight="1">
      <c r="A9336" s="626" t="s">
        <v>12709</v>
      </c>
      <c r="B9336" s="627" t="s">
        <v>13204</v>
      </c>
      <c r="C9336" s="626" t="s">
        <v>8</v>
      </c>
      <c r="D9336" s="626" t="s">
        <v>9112</v>
      </c>
      <c r="E9336" s="628" t="s">
        <v>23</v>
      </c>
      <c r="F9336" s="816" t="s">
        <v>14479</v>
      </c>
      <c r="G9336" s="816"/>
      <c r="H9336" s="816">
        <v>0.1359271</v>
      </c>
      <c r="I9336" s="816"/>
      <c r="J9336" s="817">
        <v>0.97189999999999999</v>
      </c>
      <c r="K9336" s="817"/>
      <c r="L9336" s="817"/>
    </row>
    <row r="9337" spans="1:12" ht="14.25" customHeight="1">
      <c r="A9337" s="636"/>
      <c r="B9337" s="636"/>
      <c r="C9337" s="636"/>
      <c r="D9337" s="636"/>
      <c r="E9337" s="636"/>
      <c r="F9337" s="636"/>
      <c r="G9337" s="636"/>
      <c r="H9337" s="636"/>
      <c r="I9337" s="636"/>
      <c r="J9337" s="636" t="s">
        <v>13675</v>
      </c>
      <c r="K9337" s="636"/>
      <c r="L9337" s="636" t="s">
        <v>13695</v>
      </c>
    </row>
    <row r="9338" spans="1:12" ht="17.100000000000001" customHeight="1">
      <c r="A9338" s="802" t="s">
        <v>12720</v>
      </c>
      <c r="B9338" s="802"/>
      <c r="C9338" s="802"/>
      <c r="D9338" s="802"/>
      <c r="E9338" s="802"/>
      <c r="F9338" s="802"/>
      <c r="G9338" s="802"/>
      <c r="H9338" s="802"/>
      <c r="I9338" s="612"/>
      <c r="J9338" s="612"/>
      <c r="K9338" s="612"/>
      <c r="L9338" s="612"/>
    </row>
    <row r="9339" spans="1:12" ht="24" customHeight="1">
      <c r="A9339" s="612" t="s">
        <v>13679</v>
      </c>
      <c r="B9339" s="636" t="s">
        <v>12698</v>
      </c>
      <c r="C9339" s="612" t="s">
        <v>12699</v>
      </c>
      <c r="D9339" s="612" t="s">
        <v>12700</v>
      </c>
      <c r="E9339" s="637" t="s">
        <v>12702</v>
      </c>
      <c r="F9339" s="801" t="s">
        <v>12704</v>
      </c>
      <c r="G9339" s="801"/>
      <c r="H9339" s="801" t="s">
        <v>13678</v>
      </c>
      <c r="I9339" s="801"/>
      <c r="J9339" s="801" t="s">
        <v>12705</v>
      </c>
      <c r="K9339" s="801"/>
      <c r="L9339" s="801"/>
    </row>
    <row r="9340" spans="1:12" ht="24" customHeight="1">
      <c r="A9340" s="626" t="s">
        <v>12709</v>
      </c>
      <c r="B9340" s="627" t="s">
        <v>13392</v>
      </c>
      <c r="C9340" s="626" t="s">
        <v>8</v>
      </c>
      <c r="D9340" s="626" t="s">
        <v>9005</v>
      </c>
      <c r="E9340" s="628" t="s">
        <v>35</v>
      </c>
      <c r="F9340" s="816" t="s">
        <v>14566</v>
      </c>
      <c r="G9340" s="816"/>
      <c r="H9340" s="816">
        <v>1</v>
      </c>
      <c r="I9340" s="816"/>
      <c r="J9340" s="817">
        <v>47.75</v>
      </c>
      <c r="K9340" s="817"/>
      <c r="L9340" s="817"/>
    </row>
    <row r="9341" spans="1:12" ht="17.100000000000001" customHeight="1">
      <c r="A9341" s="626" t="s">
        <v>12709</v>
      </c>
      <c r="B9341" s="627" t="s">
        <v>13389</v>
      </c>
      <c r="C9341" s="626" t="s">
        <v>8</v>
      </c>
      <c r="D9341" s="626" t="s">
        <v>11737</v>
      </c>
      <c r="E9341" s="628" t="s">
        <v>35</v>
      </c>
      <c r="F9341" s="816" t="s">
        <v>13918</v>
      </c>
      <c r="G9341" s="816"/>
      <c r="H9341" s="816">
        <v>2</v>
      </c>
      <c r="I9341" s="816"/>
      <c r="J9341" s="817">
        <v>1.8</v>
      </c>
      <c r="K9341" s="817"/>
      <c r="L9341" s="817"/>
    </row>
    <row r="9342" spans="1:12">
      <c r="A9342" s="636"/>
      <c r="B9342" s="636"/>
      <c r="C9342" s="636"/>
      <c r="D9342" s="636"/>
      <c r="E9342" s="636"/>
      <c r="F9342" s="636"/>
      <c r="G9342" s="636"/>
      <c r="H9342" s="636"/>
      <c r="I9342" s="636"/>
      <c r="J9342" s="636" t="s">
        <v>13675</v>
      </c>
      <c r="K9342" s="636"/>
      <c r="L9342" s="636" t="s">
        <v>14565</v>
      </c>
    </row>
    <row r="9343" spans="1:12" ht="17.100000000000001" customHeight="1">
      <c r="A9343" s="802" t="s">
        <v>12722</v>
      </c>
      <c r="B9343" s="802"/>
      <c r="C9343" s="802"/>
      <c r="D9343" s="802"/>
      <c r="E9343" s="802"/>
      <c r="F9343" s="802"/>
      <c r="G9343" s="802"/>
      <c r="H9343" s="802"/>
      <c r="I9343" s="612"/>
      <c r="J9343" s="612"/>
      <c r="K9343" s="612"/>
      <c r="L9343" s="612"/>
    </row>
    <row r="9344" spans="1:12" ht="24" customHeight="1">
      <c r="A9344" s="612" t="s">
        <v>13679</v>
      </c>
      <c r="B9344" s="636" t="s">
        <v>12698</v>
      </c>
      <c r="C9344" s="612" t="s">
        <v>12699</v>
      </c>
      <c r="D9344" s="612" t="s">
        <v>12700</v>
      </c>
      <c r="E9344" s="637" t="s">
        <v>12702</v>
      </c>
      <c r="F9344" s="801" t="s">
        <v>12704</v>
      </c>
      <c r="G9344" s="801"/>
      <c r="H9344" s="801" t="s">
        <v>13678</v>
      </c>
      <c r="I9344" s="801"/>
      <c r="J9344" s="801" t="s">
        <v>12705</v>
      </c>
      <c r="K9344" s="801"/>
      <c r="L9344" s="801"/>
    </row>
    <row r="9345" spans="1:12" ht="17.100000000000001" customHeight="1">
      <c r="A9345" s="626" t="s">
        <v>12709</v>
      </c>
      <c r="B9345" s="627" t="s">
        <v>12998</v>
      </c>
      <c r="C9345" s="626" t="s">
        <v>8</v>
      </c>
      <c r="D9345" s="626" t="s">
        <v>11861</v>
      </c>
      <c r="E9345" s="628" t="s">
        <v>23</v>
      </c>
      <c r="F9345" s="816" t="s">
        <v>13683</v>
      </c>
      <c r="G9345" s="816"/>
      <c r="H9345" s="816">
        <v>0.26504870000000003</v>
      </c>
      <c r="I9345" s="816"/>
      <c r="J9345" s="817">
        <v>0.18820000000000001</v>
      </c>
      <c r="K9345" s="817"/>
      <c r="L9345" s="817"/>
    </row>
    <row r="9346" spans="1:12">
      <c r="A9346" s="636"/>
      <c r="B9346" s="636"/>
      <c r="C9346" s="636"/>
      <c r="D9346" s="636"/>
      <c r="E9346" s="636"/>
      <c r="F9346" s="636"/>
      <c r="G9346" s="636"/>
      <c r="H9346" s="636"/>
      <c r="I9346" s="636"/>
      <c r="J9346" s="636" t="s">
        <v>13675</v>
      </c>
      <c r="K9346" s="636"/>
      <c r="L9346" s="636" t="s">
        <v>13865</v>
      </c>
    </row>
    <row r="9347" spans="1:12" ht="17.100000000000001" customHeight="1">
      <c r="A9347" s="802" t="s">
        <v>12713</v>
      </c>
      <c r="B9347" s="802"/>
      <c r="C9347" s="802"/>
      <c r="D9347" s="802"/>
      <c r="E9347" s="802"/>
      <c r="F9347" s="802"/>
      <c r="G9347" s="802"/>
      <c r="H9347" s="802"/>
      <c r="I9347" s="612"/>
      <c r="J9347" s="612"/>
      <c r="K9347" s="612"/>
      <c r="L9347" s="612"/>
    </row>
    <row r="9348" spans="1:12" ht="24" customHeight="1">
      <c r="A9348" s="612" t="s">
        <v>13679</v>
      </c>
      <c r="B9348" s="636" t="s">
        <v>12698</v>
      </c>
      <c r="C9348" s="612" t="s">
        <v>12699</v>
      </c>
      <c r="D9348" s="612" t="s">
        <v>12700</v>
      </c>
      <c r="E9348" s="637" t="s">
        <v>12702</v>
      </c>
      <c r="F9348" s="801" t="s">
        <v>12704</v>
      </c>
      <c r="G9348" s="801"/>
      <c r="H9348" s="801" t="s">
        <v>13678</v>
      </c>
      <c r="I9348" s="801"/>
      <c r="J9348" s="801" t="s">
        <v>12705</v>
      </c>
      <c r="K9348" s="801"/>
      <c r="L9348" s="801"/>
    </row>
    <row r="9349" spans="1:12" ht="17.100000000000001" customHeight="1">
      <c r="A9349" s="626" t="s">
        <v>12709</v>
      </c>
      <c r="B9349" s="627" t="s">
        <v>12999</v>
      </c>
      <c r="C9349" s="626" t="s">
        <v>8</v>
      </c>
      <c r="D9349" s="626" t="s">
        <v>11251</v>
      </c>
      <c r="E9349" s="628" t="s">
        <v>23</v>
      </c>
      <c r="F9349" s="816" t="s">
        <v>13681</v>
      </c>
      <c r="G9349" s="816"/>
      <c r="H9349" s="816">
        <v>0.26504870000000003</v>
      </c>
      <c r="I9349" s="816"/>
      <c r="J9349" s="817">
        <v>1.8599999999999998E-2</v>
      </c>
      <c r="K9349" s="817"/>
      <c r="L9349" s="817"/>
    </row>
    <row r="9350" spans="1:12">
      <c r="A9350" s="636"/>
      <c r="B9350" s="636"/>
      <c r="C9350" s="636"/>
      <c r="D9350" s="636"/>
      <c r="E9350" s="636"/>
      <c r="F9350" s="636"/>
      <c r="G9350" s="636"/>
      <c r="H9350" s="636"/>
      <c r="I9350" s="636"/>
      <c r="J9350" s="636" t="s">
        <v>13675</v>
      </c>
      <c r="K9350" s="636"/>
      <c r="L9350" s="636" t="s">
        <v>13680</v>
      </c>
    </row>
    <row r="9351" spans="1:12" ht="17.100000000000001" customHeight="1">
      <c r="A9351" s="802" t="s">
        <v>12712</v>
      </c>
      <c r="B9351" s="802"/>
      <c r="C9351" s="802"/>
      <c r="D9351" s="802"/>
      <c r="E9351" s="802"/>
      <c r="F9351" s="802"/>
      <c r="G9351" s="802"/>
      <c r="H9351" s="802"/>
      <c r="I9351" s="612"/>
      <c r="J9351" s="612"/>
      <c r="K9351" s="612"/>
      <c r="L9351" s="612"/>
    </row>
    <row r="9352" spans="1:12" ht="24" customHeight="1">
      <c r="A9352" s="612" t="s">
        <v>13679</v>
      </c>
      <c r="B9352" s="636" t="s">
        <v>12698</v>
      </c>
      <c r="C9352" s="612" t="s">
        <v>12699</v>
      </c>
      <c r="D9352" s="612" t="s">
        <v>12700</v>
      </c>
      <c r="E9352" s="637" t="s">
        <v>12702</v>
      </c>
      <c r="F9352" s="801" t="s">
        <v>12704</v>
      </c>
      <c r="G9352" s="801"/>
      <c r="H9352" s="801" t="s">
        <v>13678</v>
      </c>
      <c r="I9352" s="801"/>
      <c r="J9352" s="801" t="s">
        <v>12705</v>
      </c>
      <c r="K9352" s="801"/>
      <c r="L9352" s="801"/>
    </row>
    <row r="9353" spans="1:12" ht="17.100000000000001" customHeight="1">
      <c r="A9353" s="626" t="s">
        <v>12709</v>
      </c>
      <c r="B9353" s="627" t="s">
        <v>13002</v>
      </c>
      <c r="C9353" s="626" t="s">
        <v>8</v>
      </c>
      <c r="D9353" s="626" t="s">
        <v>9306</v>
      </c>
      <c r="E9353" s="628" t="s">
        <v>23</v>
      </c>
      <c r="F9353" s="816" t="s">
        <v>13677</v>
      </c>
      <c r="G9353" s="816"/>
      <c r="H9353" s="816">
        <v>0.26504870000000003</v>
      </c>
      <c r="I9353" s="816"/>
      <c r="J9353" s="817">
        <v>9.2799999999999994E-2</v>
      </c>
      <c r="K9353" s="817"/>
      <c r="L9353" s="817"/>
    </row>
    <row r="9354" spans="1:12" ht="25.5">
      <c r="A9354" s="626" t="s">
        <v>12709</v>
      </c>
      <c r="B9354" s="627" t="s">
        <v>13004</v>
      </c>
      <c r="C9354" s="626" t="s">
        <v>8</v>
      </c>
      <c r="D9354" s="626" t="s">
        <v>7388</v>
      </c>
      <c r="E9354" s="628" t="s">
        <v>23</v>
      </c>
      <c r="F9354" s="816" t="s">
        <v>13676</v>
      </c>
      <c r="G9354" s="816"/>
      <c r="H9354" s="816">
        <v>0.26504870000000003</v>
      </c>
      <c r="I9354" s="816"/>
      <c r="J9354" s="817">
        <v>0.58309999999999995</v>
      </c>
      <c r="K9354" s="817"/>
      <c r="L9354" s="817"/>
    </row>
    <row r="9355" spans="1:12" ht="17.100000000000001" customHeight="1">
      <c r="A9355" s="636"/>
      <c r="B9355" s="636"/>
      <c r="C9355" s="636"/>
      <c r="D9355" s="636"/>
      <c r="E9355" s="636"/>
      <c r="F9355" s="636"/>
      <c r="G9355" s="636"/>
      <c r="H9355" s="636"/>
      <c r="I9355" s="636"/>
      <c r="J9355" s="636" t="s">
        <v>13675</v>
      </c>
      <c r="K9355" s="636"/>
      <c r="L9355" s="636" t="s">
        <v>13827</v>
      </c>
    </row>
    <row r="9356" spans="1:12" ht="24" customHeight="1">
      <c r="A9356" s="612" t="s">
        <v>13673</v>
      </c>
      <c r="B9356" s="612"/>
      <c r="C9356" s="612"/>
      <c r="D9356" s="612"/>
      <c r="E9356" s="612"/>
      <c r="F9356" s="612"/>
      <c r="G9356" s="612"/>
      <c r="H9356" s="612"/>
      <c r="I9356" s="612"/>
      <c r="J9356" s="612"/>
      <c r="K9356" s="612"/>
      <c r="L9356" s="612"/>
    </row>
    <row r="9357" spans="1:12" ht="24" customHeight="1">
      <c r="A9357" s="636"/>
      <c r="B9357" s="636"/>
      <c r="C9357" s="636"/>
      <c r="D9357" s="636"/>
      <c r="E9357" s="636"/>
      <c r="F9357" s="636"/>
      <c r="G9357" s="636"/>
      <c r="H9357" s="636"/>
      <c r="I9357" s="636"/>
      <c r="J9357" s="636" t="s">
        <v>13672</v>
      </c>
      <c r="K9357" s="636"/>
      <c r="L9357" s="636" t="s">
        <v>15616</v>
      </c>
    </row>
    <row r="9358" spans="1:12" ht="17.100000000000001" customHeight="1">
      <c r="A9358" s="636"/>
      <c r="B9358" s="636"/>
      <c r="C9358" s="636"/>
      <c r="D9358" s="636"/>
      <c r="E9358" s="636"/>
      <c r="F9358" s="636"/>
      <c r="G9358" s="636"/>
      <c r="H9358" s="636"/>
      <c r="I9358" s="636"/>
      <c r="J9358" s="636" t="s">
        <v>13671</v>
      </c>
      <c r="K9358" s="636" t="s">
        <v>14461</v>
      </c>
      <c r="L9358" s="636" t="s">
        <v>15212</v>
      </c>
    </row>
    <row r="9359" spans="1:12" ht="17.100000000000001" customHeight="1">
      <c r="A9359" s="636"/>
      <c r="B9359" s="636"/>
      <c r="C9359" s="636"/>
      <c r="D9359" s="636"/>
      <c r="E9359" s="636"/>
      <c r="F9359" s="636"/>
      <c r="G9359" s="636"/>
      <c r="H9359" s="636"/>
      <c r="I9359" s="636"/>
      <c r="J9359" s="636" t="s">
        <v>13670</v>
      </c>
      <c r="K9359" s="636"/>
      <c r="L9359" s="636" t="s">
        <v>15617</v>
      </c>
    </row>
    <row r="9360" spans="1:12" ht="17.100000000000001" customHeight="1">
      <c r="A9360" s="636"/>
      <c r="B9360" s="636"/>
      <c r="C9360" s="636"/>
      <c r="D9360" s="636"/>
      <c r="E9360" s="636"/>
      <c r="F9360" s="636"/>
      <c r="G9360" s="636"/>
      <c r="H9360" s="636"/>
      <c r="I9360" s="636"/>
      <c r="J9360" s="636" t="s">
        <v>13669</v>
      </c>
      <c r="K9360" s="636" t="s">
        <v>13667</v>
      </c>
      <c r="L9360" s="636" t="s">
        <v>15618</v>
      </c>
    </row>
    <row r="9361" spans="1:12" ht="17.100000000000001" customHeight="1">
      <c r="A9361" s="636"/>
      <c r="B9361" s="636"/>
      <c r="C9361" s="636"/>
      <c r="D9361" s="636"/>
      <c r="E9361" s="636"/>
      <c r="F9361" s="636"/>
      <c r="G9361" s="636"/>
      <c r="H9361" s="636"/>
      <c r="I9361" s="636"/>
      <c r="J9361" s="636" t="s">
        <v>13668</v>
      </c>
      <c r="K9361" s="636"/>
      <c r="L9361" s="636" t="s">
        <v>15619</v>
      </c>
    </row>
    <row r="9362" spans="1:12" ht="17.100000000000001" customHeight="1">
      <c r="A9362" s="637"/>
      <c r="B9362" s="637"/>
      <c r="C9362" s="637"/>
      <c r="D9362" s="637"/>
      <c r="E9362" s="637"/>
      <c r="F9362" s="637"/>
      <c r="G9362" s="637"/>
      <c r="H9362" s="637"/>
      <c r="I9362" s="637"/>
      <c r="J9362" s="637"/>
      <c r="K9362" s="637"/>
      <c r="L9362" s="637"/>
    </row>
    <row r="9363" spans="1:12" ht="17.100000000000001" customHeight="1">
      <c r="A9363" s="616" t="s">
        <v>13867</v>
      </c>
      <c r="B9363" s="617" t="s">
        <v>13390</v>
      </c>
      <c r="C9363" s="616" t="s">
        <v>8</v>
      </c>
      <c r="D9363" s="616" t="s">
        <v>700</v>
      </c>
      <c r="E9363" s="618" t="s">
        <v>35</v>
      </c>
      <c r="F9363" s="617"/>
      <c r="G9363" s="617"/>
      <c r="H9363" s="617"/>
      <c r="I9363" s="617"/>
      <c r="J9363" s="617"/>
      <c r="K9363" s="617"/>
      <c r="L9363" s="617"/>
    </row>
    <row r="9364" spans="1:12" ht="17.100000000000001" customHeight="1">
      <c r="A9364" s="802" t="s">
        <v>12711</v>
      </c>
      <c r="B9364" s="802"/>
      <c r="C9364" s="802"/>
      <c r="D9364" s="802"/>
      <c r="E9364" s="802"/>
      <c r="F9364" s="802"/>
      <c r="G9364" s="802"/>
      <c r="H9364" s="802"/>
      <c r="I9364" s="612"/>
      <c r="J9364" s="612"/>
      <c r="K9364" s="612"/>
      <c r="L9364" s="612"/>
    </row>
    <row r="9365" spans="1:12" ht="30" customHeight="1">
      <c r="A9365" s="612" t="s">
        <v>13679</v>
      </c>
      <c r="B9365" s="636" t="s">
        <v>12698</v>
      </c>
      <c r="C9365" s="612" t="s">
        <v>12699</v>
      </c>
      <c r="D9365" s="612" t="s">
        <v>12700</v>
      </c>
      <c r="E9365" s="637" t="s">
        <v>12702</v>
      </c>
      <c r="F9365" s="801" t="s">
        <v>12704</v>
      </c>
      <c r="G9365" s="801"/>
      <c r="H9365" s="801" t="s">
        <v>13678</v>
      </c>
      <c r="I9365" s="801"/>
      <c r="J9365" s="801" t="s">
        <v>12705</v>
      </c>
      <c r="K9365" s="801"/>
      <c r="L9365" s="801"/>
    </row>
    <row r="9366" spans="1:12" ht="24" customHeight="1">
      <c r="A9366" s="626" t="s">
        <v>12709</v>
      </c>
      <c r="B9366" s="627" t="s">
        <v>13134</v>
      </c>
      <c r="C9366" s="626" t="s">
        <v>8</v>
      </c>
      <c r="D9366" s="626" t="s">
        <v>9219</v>
      </c>
      <c r="E9366" s="628" t="s">
        <v>23</v>
      </c>
      <c r="F9366" s="816" t="s">
        <v>13782</v>
      </c>
      <c r="G9366" s="816"/>
      <c r="H9366" s="816">
        <v>0.3971481</v>
      </c>
      <c r="I9366" s="816"/>
      <c r="J9366" s="817">
        <v>0.36930000000000002</v>
      </c>
      <c r="K9366" s="817"/>
      <c r="L9366" s="817"/>
    </row>
    <row r="9367" spans="1:12" ht="14.25" customHeight="1">
      <c r="A9367" s="626" t="s">
        <v>12709</v>
      </c>
      <c r="B9367" s="627" t="s">
        <v>13133</v>
      </c>
      <c r="C9367" s="626" t="s">
        <v>8</v>
      </c>
      <c r="D9367" s="626" t="s">
        <v>9366</v>
      </c>
      <c r="E9367" s="628" t="s">
        <v>23</v>
      </c>
      <c r="F9367" s="816" t="s">
        <v>13781</v>
      </c>
      <c r="G9367" s="816"/>
      <c r="H9367" s="816">
        <v>0.3971481</v>
      </c>
      <c r="I9367" s="816"/>
      <c r="J9367" s="817">
        <v>0.21840000000000001</v>
      </c>
      <c r="K9367" s="817"/>
      <c r="L9367" s="817"/>
    </row>
    <row r="9368" spans="1:12" ht="17.100000000000001" customHeight="1">
      <c r="A9368" s="636"/>
      <c r="B9368" s="636"/>
      <c r="C9368" s="636"/>
      <c r="D9368" s="636"/>
      <c r="E9368" s="636"/>
      <c r="F9368" s="636"/>
      <c r="G9368" s="636"/>
      <c r="H9368" s="636"/>
      <c r="I9368" s="636"/>
      <c r="J9368" s="636" t="s">
        <v>13675</v>
      </c>
      <c r="K9368" s="636"/>
      <c r="L9368" s="636" t="s">
        <v>13709</v>
      </c>
    </row>
    <row r="9369" spans="1:12" ht="24" customHeight="1">
      <c r="A9369" s="802" t="s">
        <v>12710</v>
      </c>
      <c r="B9369" s="802"/>
      <c r="C9369" s="802"/>
      <c r="D9369" s="802"/>
      <c r="E9369" s="802"/>
      <c r="F9369" s="802"/>
      <c r="G9369" s="802"/>
      <c r="H9369" s="802"/>
      <c r="I9369" s="612"/>
      <c r="J9369" s="612"/>
      <c r="K9369" s="612"/>
      <c r="L9369" s="612"/>
    </row>
    <row r="9370" spans="1:12" ht="24" customHeight="1">
      <c r="A9370" s="612" t="s">
        <v>13679</v>
      </c>
      <c r="B9370" s="636" t="s">
        <v>12698</v>
      </c>
      <c r="C9370" s="612" t="s">
        <v>12699</v>
      </c>
      <c r="D9370" s="612" t="s">
        <v>12700</v>
      </c>
      <c r="E9370" s="637" t="s">
        <v>12702</v>
      </c>
      <c r="F9370" s="801" t="s">
        <v>12704</v>
      </c>
      <c r="G9370" s="801"/>
      <c r="H9370" s="801" t="s">
        <v>13678</v>
      </c>
      <c r="I9370" s="801"/>
      <c r="J9370" s="801" t="s">
        <v>12705</v>
      </c>
      <c r="K9370" s="801"/>
      <c r="L9370" s="801"/>
    </row>
    <row r="9371" spans="1:12" ht="17.100000000000001" customHeight="1">
      <c r="A9371" s="626" t="s">
        <v>12709</v>
      </c>
      <c r="B9371" s="627" t="s">
        <v>13222</v>
      </c>
      <c r="C9371" s="626" t="s">
        <v>8</v>
      </c>
      <c r="D9371" s="626" t="s">
        <v>7364</v>
      </c>
      <c r="E9371" s="628" t="s">
        <v>23</v>
      </c>
      <c r="F9371" s="816" t="s">
        <v>13808</v>
      </c>
      <c r="G9371" s="816"/>
      <c r="H9371" s="816">
        <v>0.20389070000000001</v>
      </c>
      <c r="I9371" s="816"/>
      <c r="J9371" s="817">
        <v>1.0235000000000001</v>
      </c>
      <c r="K9371" s="817"/>
      <c r="L9371" s="817"/>
    </row>
    <row r="9372" spans="1:12" ht="14.25" customHeight="1">
      <c r="A9372" s="626" t="s">
        <v>12709</v>
      </c>
      <c r="B9372" s="627" t="s">
        <v>13204</v>
      </c>
      <c r="C9372" s="626" t="s">
        <v>8</v>
      </c>
      <c r="D9372" s="626" t="s">
        <v>9112</v>
      </c>
      <c r="E9372" s="628" t="s">
        <v>23</v>
      </c>
      <c r="F9372" s="816" t="s">
        <v>14479</v>
      </c>
      <c r="G9372" s="816"/>
      <c r="H9372" s="816">
        <v>0.20389070000000001</v>
      </c>
      <c r="I9372" s="816"/>
      <c r="J9372" s="817">
        <v>1.4578</v>
      </c>
      <c r="K9372" s="817"/>
      <c r="L9372" s="817"/>
    </row>
    <row r="9373" spans="1:12" ht="17.100000000000001" customHeight="1">
      <c r="A9373" s="636"/>
      <c r="B9373" s="636"/>
      <c r="C9373" s="636"/>
      <c r="D9373" s="636"/>
      <c r="E9373" s="636"/>
      <c r="F9373" s="636"/>
      <c r="G9373" s="636"/>
      <c r="H9373" s="636"/>
      <c r="I9373" s="636"/>
      <c r="J9373" s="636" t="s">
        <v>13675</v>
      </c>
      <c r="K9373" s="636"/>
      <c r="L9373" s="636" t="s">
        <v>14264</v>
      </c>
    </row>
    <row r="9374" spans="1:12" ht="24" customHeight="1">
      <c r="A9374" s="802" t="s">
        <v>12720</v>
      </c>
      <c r="B9374" s="802"/>
      <c r="C9374" s="802"/>
      <c r="D9374" s="802"/>
      <c r="E9374" s="802"/>
      <c r="F9374" s="802"/>
      <c r="G9374" s="802"/>
      <c r="H9374" s="802"/>
      <c r="I9374" s="612"/>
      <c r="J9374" s="612"/>
      <c r="K9374" s="612"/>
      <c r="L9374" s="612"/>
    </row>
    <row r="9375" spans="1:12" ht="24" customHeight="1">
      <c r="A9375" s="612" t="s">
        <v>13679</v>
      </c>
      <c r="B9375" s="636" t="s">
        <v>12698</v>
      </c>
      <c r="C9375" s="612" t="s">
        <v>12699</v>
      </c>
      <c r="D9375" s="612" t="s">
        <v>12700</v>
      </c>
      <c r="E9375" s="637" t="s">
        <v>12702</v>
      </c>
      <c r="F9375" s="801" t="s">
        <v>12704</v>
      </c>
      <c r="G9375" s="801"/>
      <c r="H9375" s="801" t="s">
        <v>13678</v>
      </c>
      <c r="I9375" s="801"/>
      <c r="J9375" s="801" t="s">
        <v>12705</v>
      </c>
      <c r="K9375" s="801"/>
      <c r="L9375" s="801"/>
    </row>
    <row r="9376" spans="1:12" ht="17.100000000000001" customHeight="1">
      <c r="A9376" s="626" t="s">
        <v>12709</v>
      </c>
      <c r="B9376" s="627" t="s">
        <v>13389</v>
      </c>
      <c r="C9376" s="626" t="s">
        <v>8</v>
      </c>
      <c r="D9376" s="626" t="s">
        <v>11737</v>
      </c>
      <c r="E9376" s="628" t="s">
        <v>35</v>
      </c>
      <c r="F9376" s="816" t="s">
        <v>13918</v>
      </c>
      <c r="G9376" s="816"/>
      <c r="H9376" s="816">
        <v>3</v>
      </c>
      <c r="I9376" s="816"/>
      <c r="J9376" s="817">
        <v>2.7</v>
      </c>
      <c r="K9376" s="817"/>
      <c r="L9376" s="817"/>
    </row>
    <row r="9377" spans="1:12" ht="25.5">
      <c r="A9377" s="626" t="s">
        <v>12709</v>
      </c>
      <c r="B9377" s="627" t="s">
        <v>13387</v>
      </c>
      <c r="C9377" s="626" t="s">
        <v>8</v>
      </c>
      <c r="D9377" s="626" t="s">
        <v>9010</v>
      </c>
      <c r="E9377" s="628" t="s">
        <v>35</v>
      </c>
      <c r="F9377" s="816" t="s">
        <v>14543</v>
      </c>
      <c r="G9377" s="816"/>
      <c r="H9377" s="816">
        <v>1</v>
      </c>
      <c r="I9377" s="816"/>
      <c r="J9377" s="817">
        <v>58.51</v>
      </c>
      <c r="K9377" s="817"/>
      <c r="L9377" s="817"/>
    </row>
    <row r="9378" spans="1:12" ht="17.100000000000001" customHeight="1">
      <c r="A9378" s="636"/>
      <c r="B9378" s="636"/>
      <c r="C9378" s="636"/>
      <c r="D9378" s="636"/>
      <c r="E9378" s="636"/>
      <c r="F9378" s="636"/>
      <c r="G9378" s="636"/>
      <c r="H9378" s="636"/>
      <c r="I9378" s="636"/>
      <c r="J9378" s="636" t="s">
        <v>13675</v>
      </c>
      <c r="K9378" s="636"/>
      <c r="L9378" s="636" t="s">
        <v>14545</v>
      </c>
    </row>
    <row r="9379" spans="1:12" ht="24" customHeight="1">
      <c r="A9379" s="802" t="s">
        <v>12722</v>
      </c>
      <c r="B9379" s="802"/>
      <c r="C9379" s="802"/>
      <c r="D9379" s="802"/>
      <c r="E9379" s="802"/>
      <c r="F9379" s="802"/>
      <c r="G9379" s="802"/>
      <c r="H9379" s="802"/>
      <c r="I9379" s="612"/>
      <c r="J9379" s="612"/>
      <c r="K9379" s="612"/>
      <c r="L9379" s="612"/>
    </row>
    <row r="9380" spans="1:12" ht="17.100000000000001" customHeight="1">
      <c r="A9380" s="612" t="s">
        <v>13679</v>
      </c>
      <c r="B9380" s="636" t="s">
        <v>12698</v>
      </c>
      <c r="C9380" s="612" t="s">
        <v>12699</v>
      </c>
      <c r="D9380" s="612" t="s">
        <v>12700</v>
      </c>
      <c r="E9380" s="637" t="s">
        <v>12702</v>
      </c>
      <c r="F9380" s="801" t="s">
        <v>12704</v>
      </c>
      <c r="G9380" s="801"/>
      <c r="H9380" s="801" t="s">
        <v>13678</v>
      </c>
      <c r="I9380" s="801"/>
      <c r="J9380" s="801" t="s">
        <v>12705</v>
      </c>
      <c r="K9380" s="801"/>
      <c r="L9380" s="801"/>
    </row>
    <row r="9381" spans="1:12" ht="25.5">
      <c r="A9381" s="626" t="s">
        <v>12709</v>
      </c>
      <c r="B9381" s="627" t="s">
        <v>12998</v>
      </c>
      <c r="C9381" s="626" t="s">
        <v>8</v>
      </c>
      <c r="D9381" s="626" t="s">
        <v>11861</v>
      </c>
      <c r="E9381" s="628" t="s">
        <v>23</v>
      </c>
      <c r="F9381" s="816" t="s">
        <v>13683</v>
      </c>
      <c r="G9381" s="816"/>
      <c r="H9381" s="816">
        <v>0.3971481</v>
      </c>
      <c r="I9381" s="816"/>
      <c r="J9381" s="817">
        <v>0.28199999999999997</v>
      </c>
      <c r="K9381" s="817"/>
      <c r="L9381" s="817"/>
    </row>
    <row r="9382" spans="1:12" ht="17.100000000000001" customHeight="1">
      <c r="A9382" s="636"/>
      <c r="B9382" s="636"/>
      <c r="C9382" s="636"/>
      <c r="D9382" s="636"/>
      <c r="E9382" s="636"/>
      <c r="F9382" s="636"/>
      <c r="G9382" s="636"/>
      <c r="H9382" s="636"/>
      <c r="I9382" s="636"/>
      <c r="J9382" s="636" t="s">
        <v>13675</v>
      </c>
      <c r="K9382" s="636"/>
      <c r="L9382" s="636" t="s">
        <v>13762</v>
      </c>
    </row>
    <row r="9383" spans="1:12" ht="24" customHeight="1">
      <c r="A9383" s="802" t="s">
        <v>12713</v>
      </c>
      <c r="B9383" s="802"/>
      <c r="C9383" s="802"/>
      <c r="D9383" s="802"/>
      <c r="E9383" s="802"/>
      <c r="F9383" s="802"/>
      <c r="G9383" s="802"/>
      <c r="H9383" s="802"/>
      <c r="I9383" s="612"/>
      <c r="J9383" s="612"/>
      <c r="K9383" s="612"/>
      <c r="L9383" s="612"/>
    </row>
    <row r="9384" spans="1:12" ht="17.100000000000001" customHeight="1">
      <c r="A9384" s="612" t="s">
        <v>13679</v>
      </c>
      <c r="B9384" s="636" t="s">
        <v>12698</v>
      </c>
      <c r="C9384" s="612" t="s">
        <v>12699</v>
      </c>
      <c r="D9384" s="612" t="s">
        <v>12700</v>
      </c>
      <c r="E9384" s="637" t="s">
        <v>12702</v>
      </c>
      <c r="F9384" s="801" t="s">
        <v>12704</v>
      </c>
      <c r="G9384" s="801"/>
      <c r="H9384" s="801" t="s">
        <v>13678</v>
      </c>
      <c r="I9384" s="801"/>
      <c r="J9384" s="801" t="s">
        <v>12705</v>
      </c>
      <c r="K9384" s="801"/>
      <c r="L9384" s="801"/>
    </row>
    <row r="9385" spans="1:12" ht="25.5">
      <c r="A9385" s="626" t="s">
        <v>12709</v>
      </c>
      <c r="B9385" s="627" t="s">
        <v>12999</v>
      </c>
      <c r="C9385" s="626" t="s">
        <v>8</v>
      </c>
      <c r="D9385" s="626" t="s">
        <v>11251</v>
      </c>
      <c r="E9385" s="628" t="s">
        <v>23</v>
      </c>
      <c r="F9385" s="816" t="s">
        <v>13681</v>
      </c>
      <c r="G9385" s="816"/>
      <c r="H9385" s="816">
        <v>0.3971481</v>
      </c>
      <c r="I9385" s="816"/>
      <c r="J9385" s="817">
        <v>2.7799999999999998E-2</v>
      </c>
      <c r="K9385" s="817"/>
      <c r="L9385" s="817"/>
    </row>
    <row r="9386" spans="1:12" ht="17.100000000000001" customHeight="1">
      <c r="A9386" s="636"/>
      <c r="B9386" s="636"/>
      <c r="C9386" s="636"/>
      <c r="D9386" s="636"/>
      <c r="E9386" s="636"/>
      <c r="F9386" s="636"/>
      <c r="G9386" s="636"/>
      <c r="H9386" s="636"/>
      <c r="I9386" s="636"/>
      <c r="J9386" s="636" t="s">
        <v>13675</v>
      </c>
      <c r="K9386" s="636"/>
      <c r="L9386" s="636" t="s">
        <v>13726</v>
      </c>
    </row>
    <row r="9387" spans="1:12" ht="24" customHeight="1">
      <c r="A9387" s="802" t="s">
        <v>12712</v>
      </c>
      <c r="B9387" s="802"/>
      <c r="C9387" s="802"/>
      <c r="D9387" s="802"/>
      <c r="E9387" s="802"/>
      <c r="F9387" s="802"/>
      <c r="G9387" s="802"/>
      <c r="H9387" s="802"/>
      <c r="I9387" s="612"/>
      <c r="J9387" s="612"/>
      <c r="K9387" s="612"/>
      <c r="L9387" s="612"/>
    </row>
    <row r="9388" spans="1:12" ht="17.100000000000001" customHeight="1">
      <c r="A9388" s="612" t="s">
        <v>13679</v>
      </c>
      <c r="B9388" s="636" t="s">
        <v>12698</v>
      </c>
      <c r="C9388" s="612" t="s">
        <v>12699</v>
      </c>
      <c r="D9388" s="612" t="s">
        <v>12700</v>
      </c>
      <c r="E9388" s="637" t="s">
        <v>12702</v>
      </c>
      <c r="F9388" s="801" t="s">
        <v>12704</v>
      </c>
      <c r="G9388" s="801"/>
      <c r="H9388" s="801" t="s">
        <v>13678</v>
      </c>
      <c r="I9388" s="801"/>
      <c r="J9388" s="801" t="s">
        <v>12705</v>
      </c>
      <c r="K9388" s="801"/>
      <c r="L9388" s="801"/>
    </row>
    <row r="9389" spans="1:12" ht="25.5">
      <c r="A9389" s="626" t="s">
        <v>12709</v>
      </c>
      <c r="B9389" s="627" t="s">
        <v>13002</v>
      </c>
      <c r="C9389" s="626" t="s">
        <v>8</v>
      </c>
      <c r="D9389" s="626" t="s">
        <v>9306</v>
      </c>
      <c r="E9389" s="628" t="s">
        <v>23</v>
      </c>
      <c r="F9389" s="816" t="s">
        <v>13677</v>
      </c>
      <c r="G9389" s="816"/>
      <c r="H9389" s="816">
        <v>0.3971481</v>
      </c>
      <c r="I9389" s="816"/>
      <c r="J9389" s="817">
        <v>0.13900000000000001</v>
      </c>
      <c r="K9389" s="817"/>
      <c r="L9389" s="817"/>
    </row>
    <row r="9390" spans="1:12" ht="17.100000000000001" customHeight="1">
      <c r="A9390" s="626" t="s">
        <v>12709</v>
      </c>
      <c r="B9390" s="627" t="s">
        <v>13004</v>
      </c>
      <c r="C9390" s="626" t="s">
        <v>8</v>
      </c>
      <c r="D9390" s="626" t="s">
        <v>7388</v>
      </c>
      <c r="E9390" s="628" t="s">
        <v>23</v>
      </c>
      <c r="F9390" s="816" t="s">
        <v>13676</v>
      </c>
      <c r="G9390" s="816"/>
      <c r="H9390" s="816">
        <v>0.3971481</v>
      </c>
      <c r="I9390" s="816"/>
      <c r="J9390" s="817">
        <v>0.87370000000000003</v>
      </c>
      <c r="K9390" s="817"/>
      <c r="L9390" s="817"/>
    </row>
    <row r="9391" spans="1:12" ht="24" customHeight="1">
      <c r="A9391" s="636"/>
      <c r="B9391" s="636"/>
      <c r="C9391" s="636"/>
      <c r="D9391" s="636"/>
      <c r="E9391" s="636"/>
      <c r="F9391" s="636"/>
      <c r="G9391" s="636"/>
      <c r="H9391" s="636"/>
      <c r="I9391" s="636"/>
      <c r="J9391" s="636" t="s">
        <v>13675</v>
      </c>
      <c r="K9391" s="636"/>
      <c r="L9391" s="636" t="s">
        <v>13863</v>
      </c>
    </row>
    <row r="9392" spans="1:12" ht="24" customHeight="1">
      <c r="A9392" s="612" t="s">
        <v>13673</v>
      </c>
      <c r="B9392" s="612"/>
      <c r="C9392" s="612"/>
      <c r="D9392" s="612"/>
      <c r="E9392" s="612"/>
      <c r="F9392" s="612"/>
      <c r="G9392" s="612"/>
      <c r="H9392" s="612"/>
      <c r="I9392" s="612"/>
      <c r="J9392" s="612"/>
      <c r="K9392" s="612"/>
      <c r="L9392" s="612"/>
    </row>
    <row r="9393" spans="1:12" ht="17.100000000000001" customHeight="1">
      <c r="A9393" s="636"/>
      <c r="B9393" s="636"/>
      <c r="C9393" s="636"/>
      <c r="D9393" s="636"/>
      <c r="E9393" s="636"/>
      <c r="F9393" s="636"/>
      <c r="G9393" s="636"/>
      <c r="H9393" s="636"/>
      <c r="I9393" s="636"/>
      <c r="J9393" s="636" t="s">
        <v>13672</v>
      </c>
      <c r="K9393" s="636"/>
      <c r="L9393" s="636" t="s">
        <v>15620</v>
      </c>
    </row>
    <row r="9394" spans="1:12" ht="17.100000000000001" customHeight="1">
      <c r="A9394" s="636"/>
      <c r="B9394" s="636"/>
      <c r="C9394" s="636"/>
      <c r="D9394" s="636"/>
      <c r="E9394" s="636"/>
      <c r="F9394" s="636"/>
      <c r="G9394" s="636"/>
      <c r="H9394" s="636"/>
      <c r="I9394" s="636"/>
      <c r="J9394" s="636" t="s">
        <v>13671</v>
      </c>
      <c r="K9394" s="636" t="s">
        <v>14461</v>
      </c>
      <c r="L9394" s="636" t="s">
        <v>15621</v>
      </c>
    </row>
    <row r="9395" spans="1:12" ht="17.100000000000001" customHeight="1">
      <c r="A9395" s="636"/>
      <c r="B9395" s="636"/>
      <c r="C9395" s="636"/>
      <c r="D9395" s="636"/>
      <c r="E9395" s="636"/>
      <c r="F9395" s="636"/>
      <c r="G9395" s="636"/>
      <c r="H9395" s="636"/>
      <c r="I9395" s="636"/>
      <c r="J9395" s="636" t="s">
        <v>13670</v>
      </c>
      <c r="K9395" s="636"/>
      <c r="L9395" s="636" t="s">
        <v>15622</v>
      </c>
    </row>
    <row r="9396" spans="1:12" ht="17.100000000000001" customHeight="1">
      <c r="A9396" s="636"/>
      <c r="B9396" s="636"/>
      <c r="C9396" s="636"/>
      <c r="D9396" s="636"/>
      <c r="E9396" s="636"/>
      <c r="F9396" s="636"/>
      <c r="G9396" s="636"/>
      <c r="H9396" s="636"/>
      <c r="I9396" s="636"/>
      <c r="J9396" s="636" t="s">
        <v>13669</v>
      </c>
      <c r="K9396" s="636" t="s">
        <v>13667</v>
      </c>
      <c r="L9396" s="636" t="s">
        <v>15623</v>
      </c>
    </row>
    <row r="9397" spans="1:12" ht="17.100000000000001" customHeight="1">
      <c r="A9397" s="636"/>
      <c r="B9397" s="636"/>
      <c r="C9397" s="636"/>
      <c r="D9397" s="636"/>
      <c r="E9397" s="636"/>
      <c r="F9397" s="636"/>
      <c r="G9397" s="636"/>
      <c r="H9397" s="636"/>
      <c r="I9397" s="636"/>
      <c r="J9397" s="636" t="s">
        <v>13668</v>
      </c>
      <c r="K9397" s="636"/>
      <c r="L9397" s="636" t="s">
        <v>15624</v>
      </c>
    </row>
    <row r="9398" spans="1:12" ht="17.100000000000001" customHeight="1">
      <c r="A9398" s="637"/>
      <c r="B9398" s="637"/>
      <c r="C9398" s="637"/>
      <c r="D9398" s="637"/>
      <c r="E9398" s="637"/>
      <c r="F9398" s="637"/>
      <c r="G9398" s="637"/>
      <c r="H9398" s="637"/>
      <c r="I9398" s="637"/>
      <c r="J9398" s="637"/>
      <c r="K9398" s="637"/>
      <c r="L9398" s="637"/>
    </row>
    <row r="9399" spans="1:12" ht="17.100000000000001" customHeight="1">
      <c r="A9399" s="616" t="s">
        <v>13864</v>
      </c>
      <c r="B9399" s="617" t="s">
        <v>13388</v>
      </c>
      <c r="C9399" s="616" t="s">
        <v>8</v>
      </c>
      <c r="D9399" s="616" t="s">
        <v>702</v>
      </c>
      <c r="E9399" s="618" t="s">
        <v>35</v>
      </c>
      <c r="F9399" s="617"/>
      <c r="G9399" s="617"/>
      <c r="H9399" s="617"/>
      <c r="I9399" s="617"/>
      <c r="J9399" s="617"/>
      <c r="K9399" s="617"/>
      <c r="L9399" s="617"/>
    </row>
    <row r="9400" spans="1:12" ht="30" customHeight="1">
      <c r="A9400" s="802" t="s">
        <v>12711</v>
      </c>
      <c r="B9400" s="802"/>
      <c r="C9400" s="802"/>
      <c r="D9400" s="802"/>
      <c r="E9400" s="802"/>
      <c r="F9400" s="802"/>
      <c r="G9400" s="802"/>
      <c r="H9400" s="802"/>
      <c r="I9400" s="612"/>
      <c r="J9400" s="612"/>
      <c r="K9400" s="612"/>
      <c r="L9400" s="612"/>
    </row>
    <row r="9401" spans="1:12" ht="24" customHeight="1">
      <c r="A9401" s="612" t="s">
        <v>13679</v>
      </c>
      <c r="B9401" s="636" t="s">
        <v>12698</v>
      </c>
      <c r="C9401" s="612" t="s">
        <v>12699</v>
      </c>
      <c r="D9401" s="612" t="s">
        <v>12700</v>
      </c>
      <c r="E9401" s="637" t="s">
        <v>12702</v>
      </c>
      <c r="F9401" s="801" t="s">
        <v>12704</v>
      </c>
      <c r="G9401" s="801"/>
      <c r="H9401" s="801" t="s">
        <v>13678</v>
      </c>
      <c r="I9401" s="801"/>
      <c r="J9401" s="801" t="s">
        <v>12705</v>
      </c>
      <c r="K9401" s="801"/>
      <c r="L9401" s="801"/>
    </row>
    <row r="9402" spans="1:12" ht="14.25" customHeight="1">
      <c r="A9402" s="626" t="s">
        <v>12709</v>
      </c>
      <c r="B9402" s="627" t="s">
        <v>13134</v>
      </c>
      <c r="C9402" s="626" t="s">
        <v>8</v>
      </c>
      <c r="D9402" s="626" t="s">
        <v>9219</v>
      </c>
      <c r="E9402" s="628" t="s">
        <v>23</v>
      </c>
      <c r="F9402" s="816" t="s">
        <v>13782</v>
      </c>
      <c r="G9402" s="816"/>
      <c r="H9402" s="816">
        <v>0.81104860000000001</v>
      </c>
      <c r="I9402" s="816"/>
      <c r="J9402" s="817">
        <v>0.75429999999999997</v>
      </c>
      <c r="K9402" s="817"/>
      <c r="L9402" s="817"/>
    </row>
    <row r="9403" spans="1:12" ht="17.100000000000001" customHeight="1">
      <c r="A9403" s="626" t="s">
        <v>12709</v>
      </c>
      <c r="B9403" s="627" t="s">
        <v>13133</v>
      </c>
      <c r="C9403" s="626" t="s">
        <v>8</v>
      </c>
      <c r="D9403" s="626" t="s">
        <v>9366</v>
      </c>
      <c r="E9403" s="628" t="s">
        <v>23</v>
      </c>
      <c r="F9403" s="816" t="s">
        <v>13781</v>
      </c>
      <c r="G9403" s="816"/>
      <c r="H9403" s="816">
        <v>0.81104860000000001</v>
      </c>
      <c r="I9403" s="816"/>
      <c r="J9403" s="817">
        <v>0.4461</v>
      </c>
      <c r="K9403" s="817"/>
      <c r="L9403" s="817"/>
    </row>
    <row r="9404" spans="1:12" ht="24" customHeight="1">
      <c r="A9404" s="636"/>
      <c r="B9404" s="636"/>
      <c r="C9404" s="636"/>
      <c r="D9404" s="636"/>
      <c r="E9404" s="636"/>
      <c r="F9404" s="636"/>
      <c r="G9404" s="636"/>
      <c r="H9404" s="636"/>
      <c r="I9404" s="636"/>
      <c r="J9404" s="636" t="s">
        <v>13675</v>
      </c>
      <c r="K9404" s="636"/>
      <c r="L9404" s="636" t="s">
        <v>13862</v>
      </c>
    </row>
    <row r="9405" spans="1:12" ht="24" customHeight="1">
      <c r="A9405" s="802" t="s">
        <v>12710</v>
      </c>
      <c r="B9405" s="802"/>
      <c r="C9405" s="802"/>
      <c r="D9405" s="802"/>
      <c r="E9405" s="802"/>
      <c r="F9405" s="802"/>
      <c r="G9405" s="802"/>
      <c r="H9405" s="802"/>
      <c r="I9405" s="612"/>
      <c r="J9405" s="612"/>
      <c r="K9405" s="612"/>
      <c r="L9405" s="612"/>
    </row>
    <row r="9406" spans="1:12" ht="17.100000000000001" customHeight="1">
      <c r="A9406" s="612" t="s">
        <v>13679</v>
      </c>
      <c r="B9406" s="636" t="s">
        <v>12698</v>
      </c>
      <c r="C9406" s="612" t="s">
        <v>12699</v>
      </c>
      <c r="D9406" s="612" t="s">
        <v>12700</v>
      </c>
      <c r="E9406" s="637" t="s">
        <v>12702</v>
      </c>
      <c r="F9406" s="801" t="s">
        <v>12704</v>
      </c>
      <c r="G9406" s="801"/>
      <c r="H9406" s="801" t="s">
        <v>13678</v>
      </c>
      <c r="I9406" s="801"/>
      <c r="J9406" s="801" t="s">
        <v>12705</v>
      </c>
      <c r="K9406" s="801"/>
      <c r="L9406" s="801"/>
    </row>
    <row r="9407" spans="1:12" ht="14.25" customHeight="1">
      <c r="A9407" s="626" t="s">
        <v>12709</v>
      </c>
      <c r="B9407" s="627" t="s">
        <v>13222</v>
      </c>
      <c r="C9407" s="626" t="s">
        <v>8</v>
      </c>
      <c r="D9407" s="626" t="s">
        <v>7364</v>
      </c>
      <c r="E9407" s="628" t="s">
        <v>23</v>
      </c>
      <c r="F9407" s="816" t="s">
        <v>13808</v>
      </c>
      <c r="G9407" s="816"/>
      <c r="H9407" s="816">
        <v>0.41577700000000001</v>
      </c>
      <c r="I9407" s="816"/>
      <c r="J9407" s="817">
        <v>2.0872000000000002</v>
      </c>
      <c r="K9407" s="817"/>
      <c r="L9407" s="817"/>
    </row>
    <row r="9408" spans="1:12" ht="17.100000000000001" customHeight="1">
      <c r="A9408" s="626" t="s">
        <v>12709</v>
      </c>
      <c r="B9408" s="627" t="s">
        <v>13204</v>
      </c>
      <c r="C9408" s="626" t="s">
        <v>8</v>
      </c>
      <c r="D9408" s="626" t="s">
        <v>9112</v>
      </c>
      <c r="E9408" s="628" t="s">
        <v>23</v>
      </c>
      <c r="F9408" s="816" t="s">
        <v>14479</v>
      </c>
      <c r="G9408" s="816"/>
      <c r="H9408" s="816">
        <v>0.41577700000000001</v>
      </c>
      <c r="I9408" s="816"/>
      <c r="J9408" s="817">
        <v>2.9727999999999999</v>
      </c>
      <c r="K9408" s="817"/>
      <c r="L9408" s="817"/>
    </row>
    <row r="9409" spans="1:12" ht="24" customHeight="1">
      <c r="A9409" s="636"/>
      <c r="B9409" s="636"/>
      <c r="C9409" s="636"/>
      <c r="D9409" s="636"/>
      <c r="E9409" s="636"/>
      <c r="F9409" s="636"/>
      <c r="G9409" s="636"/>
      <c r="H9409" s="636"/>
      <c r="I9409" s="636"/>
      <c r="J9409" s="636" t="s">
        <v>13675</v>
      </c>
      <c r="K9409" s="636"/>
      <c r="L9409" s="636" t="s">
        <v>13890</v>
      </c>
    </row>
    <row r="9410" spans="1:12" ht="24" customHeight="1">
      <c r="A9410" s="802" t="s">
        <v>12720</v>
      </c>
      <c r="B9410" s="802"/>
      <c r="C9410" s="802"/>
      <c r="D9410" s="802"/>
      <c r="E9410" s="802"/>
      <c r="F9410" s="802"/>
      <c r="G9410" s="802"/>
      <c r="H9410" s="802"/>
      <c r="I9410" s="612"/>
      <c r="J9410" s="612"/>
      <c r="K9410" s="612"/>
      <c r="L9410" s="612"/>
    </row>
    <row r="9411" spans="1:12" ht="17.100000000000001" customHeight="1">
      <c r="A9411" s="612" t="s">
        <v>13679</v>
      </c>
      <c r="B9411" s="636" t="s">
        <v>12698</v>
      </c>
      <c r="C9411" s="612" t="s">
        <v>12699</v>
      </c>
      <c r="D9411" s="612" t="s">
        <v>12700</v>
      </c>
      <c r="E9411" s="637" t="s">
        <v>12702</v>
      </c>
      <c r="F9411" s="801" t="s">
        <v>12704</v>
      </c>
      <c r="G9411" s="801"/>
      <c r="H9411" s="801" t="s">
        <v>13678</v>
      </c>
      <c r="I9411" s="801"/>
      <c r="J9411" s="801" t="s">
        <v>12705</v>
      </c>
      <c r="K9411" s="801"/>
      <c r="L9411" s="801"/>
    </row>
    <row r="9412" spans="1:12" ht="25.5">
      <c r="A9412" s="626" t="s">
        <v>12709</v>
      </c>
      <c r="B9412" s="627" t="s">
        <v>13387</v>
      </c>
      <c r="C9412" s="626" t="s">
        <v>8</v>
      </c>
      <c r="D9412" s="626" t="s">
        <v>9010</v>
      </c>
      <c r="E9412" s="628" t="s">
        <v>35</v>
      </c>
      <c r="F9412" s="816" t="s">
        <v>14543</v>
      </c>
      <c r="G9412" s="816"/>
      <c r="H9412" s="816">
        <v>1</v>
      </c>
      <c r="I9412" s="816"/>
      <c r="J9412" s="817">
        <v>58.51</v>
      </c>
      <c r="K9412" s="817"/>
      <c r="L9412" s="817"/>
    </row>
    <row r="9413" spans="1:12" ht="17.100000000000001" customHeight="1">
      <c r="A9413" s="626" t="s">
        <v>12709</v>
      </c>
      <c r="B9413" s="627" t="s">
        <v>13386</v>
      </c>
      <c r="C9413" s="626" t="s">
        <v>8</v>
      </c>
      <c r="D9413" s="626" t="s">
        <v>11731</v>
      </c>
      <c r="E9413" s="628" t="s">
        <v>35</v>
      </c>
      <c r="F9413" s="816" t="s">
        <v>13712</v>
      </c>
      <c r="G9413" s="816"/>
      <c r="H9413" s="816">
        <v>3</v>
      </c>
      <c r="I9413" s="816"/>
      <c r="J9413" s="817">
        <v>3.51</v>
      </c>
      <c r="K9413" s="817"/>
      <c r="L9413" s="817"/>
    </row>
    <row r="9414" spans="1:12" ht="24" customHeight="1">
      <c r="A9414" s="636"/>
      <c r="B9414" s="636"/>
      <c r="C9414" s="636"/>
      <c r="D9414" s="636"/>
      <c r="E9414" s="636"/>
      <c r="F9414" s="636"/>
      <c r="G9414" s="636"/>
      <c r="H9414" s="636"/>
      <c r="I9414" s="636"/>
      <c r="J9414" s="636" t="s">
        <v>13675</v>
      </c>
      <c r="K9414" s="636"/>
      <c r="L9414" s="636" t="s">
        <v>14542</v>
      </c>
    </row>
    <row r="9415" spans="1:12" ht="17.100000000000001" customHeight="1">
      <c r="A9415" s="802" t="s">
        <v>12722</v>
      </c>
      <c r="B9415" s="802"/>
      <c r="C9415" s="802"/>
      <c r="D9415" s="802"/>
      <c r="E9415" s="802"/>
      <c r="F9415" s="802"/>
      <c r="G9415" s="802"/>
      <c r="H9415" s="802"/>
      <c r="I9415" s="612"/>
      <c r="J9415" s="612"/>
      <c r="K9415" s="612"/>
      <c r="L9415" s="612"/>
    </row>
    <row r="9416" spans="1:12">
      <c r="A9416" s="612" t="s">
        <v>13679</v>
      </c>
      <c r="B9416" s="636" t="s">
        <v>12698</v>
      </c>
      <c r="C9416" s="612" t="s">
        <v>12699</v>
      </c>
      <c r="D9416" s="612" t="s">
        <v>12700</v>
      </c>
      <c r="E9416" s="637" t="s">
        <v>12702</v>
      </c>
      <c r="F9416" s="801" t="s">
        <v>12704</v>
      </c>
      <c r="G9416" s="801"/>
      <c r="H9416" s="801" t="s">
        <v>13678</v>
      </c>
      <c r="I9416" s="801"/>
      <c r="J9416" s="801" t="s">
        <v>12705</v>
      </c>
      <c r="K9416" s="801"/>
      <c r="L9416" s="801"/>
    </row>
    <row r="9417" spans="1:12" ht="17.100000000000001" customHeight="1">
      <c r="A9417" s="626" t="s">
        <v>12709</v>
      </c>
      <c r="B9417" s="627" t="s">
        <v>12998</v>
      </c>
      <c r="C9417" s="626" t="s">
        <v>8</v>
      </c>
      <c r="D9417" s="626" t="s">
        <v>11861</v>
      </c>
      <c r="E9417" s="628" t="s">
        <v>23</v>
      </c>
      <c r="F9417" s="816" t="s">
        <v>13683</v>
      </c>
      <c r="G9417" s="816"/>
      <c r="H9417" s="816">
        <v>0.81104860000000001</v>
      </c>
      <c r="I9417" s="816"/>
      <c r="J9417" s="817">
        <v>0.57579999999999998</v>
      </c>
      <c r="K9417" s="817"/>
      <c r="L9417" s="817"/>
    </row>
    <row r="9418" spans="1:12" ht="24" customHeight="1">
      <c r="A9418" s="636"/>
      <c r="B9418" s="636"/>
      <c r="C9418" s="636"/>
      <c r="D9418" s="636"/>
      <c r="E9418" s="636"/>
      <c r="F9418" s="636"/>
      <c r="G9418" s="636"/>
      <c r="H9418" s="636"/>
      <c r="I9418" s="636"/>
      <c r="J9418" s="636" t="s">
        <v>13675</v>
      </c>
      <c r="K9418" s="636"/>
      <c r="L9418" s="636" t="s">
        <v>13861</v>
      </c>
    </row>
    <row r="9419" spans="1:12" ht="17.100000000000001" customHeight="1">
      <c r="A9419" s="802" t="s">
        <v>12713</v>
      </c>
      <c r="B9419" s="802"/>
      <c r="C9419" s="802"/>
      <c r="D9419" s="802"/>
      <c r="E9419" s="802"/>
      <c r="F9419" s="802"/>
      <c r="G9419" s="802"/>
      <c r="H9419" s="802"/>
      <c r="I9419" s="612"/>
      <c r="J9419" s="612"/>
      <c r="K9419" s="612"/>
      <c r="L9419" s="612"/>
    </row>
    <row r="9420" spans="1:12">
      <c r="A9420" s="612" t="s">
        <v>13679</v>
      </c>
      <c r="B9420" s="636" t="s">
        <v>12698</v>
      </c>
      <c r="C9420" s="612" t="s">
        <v>12699</v>
      </c>
      <c r="D9420" s="612" t="s">
        <v>12700</v>
      </c>
      <c r="E9420" s="637" t="s">
        <v>12702</v>
      </c>
      <c r="F9420" s="801" t="s">
        <v>12704</v>
      </c>
      <c r="G9420" s="801"/>
      <c r="H9420" s="801" t="s">
        <v>13678</v>
      </c>
      <c r="I9420" s="801"/>
      <c r="J9420" s="801" t="s">
        <v>12705</v>
      </c>
      <c r="K9420" s="801"/>
      <c r="L9420" s="801"/>
    </row>
    <row r="9421" spans="1:12" ht="17.100000000000001" customHeight="1">
      <c r="A9421" s="626" t="s">
        <v>12709</v>
      </c>
      <c r="B9421" s="627" t="s">
        <v>12999</v>
      </c>
      <c r="C9421" s="626" t="s">
        <v>8</v>
      </c>
      <c r="D9421" s="626" t="s">
        <v>11251</v>
      </c>
      <c r="E9421" s="628" t="s">
        <v>23</v>
      </c>
      <c r="F9421" s="816" t="s">
        <v>13681</v>
      </c>
      <c r="G9421" s="816"/>
      <c r="H9421" s="816">
        <v>0.81104860000000001</v>
      </c>
      <c r="I9421" s="816"/>
      <c r="J9421" s="817">
        <v>5.6800000000000003E-2</v>
      </c>
      <c r="K9421" s="817"/>
      <c r="L9421" s="817"/>
    </row>
    <row r="9422" spans="1:12" ht="24" customHeight="1">
      <c r="A9422" s="636"/>
      <c r="B9422" s="636"/>
      <c r="C9422" s="636"/>
      <c r="D9422" s="636"/>
      <c r="E9422" s="636"/>
      <c r="F9422" s="636"/>
      <c r="G9422" s="636"/>
      <c r="H9422" s="636"/>
      <c r="I9422" s="636"/>
      <c r="J9422" s="636" t="s">
        <v>13675</v>
      </c>
      <c r="K9422" s="636"/>
      <c r="L9422" s="636" t="s">
        <v>13708</v>
      </c>
    </row>
    <row r="9423" spans="1:12" ht="17.100000000000001" customHeight="1">
      <c r="A9423" s="802" t="s">
        <v>12712</v>
      </c>
      <c r="B9423" s="802"/>
      <c r="C9423" s="802"/>
      <c r="D9423" s="802"/>
      <c r="E9423" s="802"/>
      <c r="F9423" s="802"/>
      <c r="G9423" s="802"/>
      <c r="H9423" s="802"/>
      <c r="I9423" s="612"/>
      <c r="J9423" s="612"/>
      <c r="K9423" s="612"/>
      <c r="L9423" s="612"/>
    </row>
    <row r="9424" spans="1:12">
      <c r="A9424" s="612" t="s">
        <v>13679</v>
      </c>
      <c r="B9424" s="636" t="s">
        <v>12698</v>
      </c>
      <c r="C9424" s="612" t="s">
        <v>12699</v>
      </c>
      <c r="D9424" s="612" t="s">
        <v>12700</v>
      </c>
      <c r="E9424" s="637" t="s">
        <v>12702</v>
      </c>
      <c r="F9424" s="801" t="s">
        <v>12704</v>
      </c>
      <c r="G9424" s="801"/>
      <c r="H9424" s="801" t="s">
        <v>13678</v>
      </c>
      <c r="I9424" s="801"/>
      <c r="J9424" s="801" t="s">
        <v>12705</v>
      </c>
      <c r="K9424" s="801"/>
      <c r="L9424" s="801"/>
    </row>
    <row r="9425" spans="1:12" ht="17.100000000000001" customHeight="1">
      <c r="A9425" s="626" t="s">
        <v>12709</v>
      </c>
      <c r="B9425" s="627" t="s">
        <v>13002</v>
      </c>
      <c r="C9425" s="626" t="s">
        <v>8</v>
      </c>
      <c r="D9425" s="626" t="s">
        <v>9306</v>
      </c>
      <c r="E9425" s="628" t="s">
        <v>23</v>
      </c>
      <c r="F9425" s="816" t="s">
        <v>13677</v>
      </c>
      <c r="G9425" s="816"/>
      <c r="H9425" s="816">
        <v>0.81104860000000001</v>
      </c>
      <c r="I9425" s="816"/>
      <c r="J9425" s="817">
        <v>0.28389999999999999</v>
      </c>
      <c r="K9425" s="817"/>
      <c r="L9425" s="817"/>
    </row>
    <row r="9426" spans="1:12" ht="24" customHeight="1">
      <c r="A9426" s="626" t="s">
        <v>12709</v>
      </c>
      <c r="B9426" s="627" t="s">
        <v>13004</v>
      </c>
      <c r="C9426" s="626" t="s">
        <v>8</v>
      </c>
      <c r="D9426" s="626" t="s">
        <v>7388</v>
      </c>
      <c r="E9426" s="628" t="s">
        <v>23</v>
      </c>
      <c r="F9426" s="816" t="s">
        <v>13676</v>
      </c>
      <c r="G9426" s="816"/>
      <c r="H9426" s="816">
        <v>0.81104860000000001</v>
      </c>
      <c r="I9426" s="816"/>
      <c r="J9426" s="817">
        <v>1.7843</v>
      </c>
      <c r="K9426" s="817"/>
      <c r="L9426" s="817"/>
    </row>
    <row r="9427" spans="1:12" ht="24" customHeight="1">
      <c r="A9427" s="636"/>
      <c r="B9427" s="636"/>
      <c r="C9427" s="636"/>
      <c r="D9427" s="636"/>
      <c r="E9427" s="636"/>
      <c r="F9427" s="636"/>
      <c r="G9427" s="636"/>
      <c r="H9427" s="636"/>
      <c r="I9427" s="636"/>
      <c r="J9427" s="636" t="s">
        <v>13675</v>
      </c>
      <c r="K9427" s="636"/>
      <c r="L9427" s="636" t="s">
        <v>13860</v>
      </c>
    </row>
    <row r="9428" spans="1:12" ht="17.100000000000001" customHeight="1">
      <c r="A9428" s="612" t="s">
        <v>13673</v>
      </c>
      <c r="B9428" s="612"/>
      <c r="C9428" s="612"/>
      <c r="D9428" s="612"/>
      <c r="E9428" s="612"/>
      <c r="F9428" s="612"/>
      <c r="G9428" s="612"/>
      <c r="H9428" s="612"/>
      <c r="I9428" s="612"/>
      <c r="J9428" s="612"/>
      <c r="K9428" s="612"/>
      <c r="L9428" s="612"/>
    </row>
    <row r="9429" spans="1:12" ht="17.100000000000001" customHeight="1">
      <c r="A9429" s="636"/>
      <c r="B9429" s="636"/>
      <c r="C9429" s="636"/>
      <c r="D9429" s="636"/>
      <c r="E9429" s="636"/>
      <c r="F9429" s="636"/>
      <c r="G9429" s="636"/>
      <c r="H9429" s="636"/>
      <c r="I9429" s="636"/>
      <c r="J9429" s="636" t="s">
        <v>13672</v>
      </c>
      <c r="K9429" s="636"/>
      <c r="L9429" s="636" t="s">
        <v>15625</v>
      </c>
    </row>
    <row r="9430" spans="1:12" ht="17.100000000000001" customHeight="1">
      <c r="A9430" s="636"/>
      <c r="B9430" s="636"/>
      <c r="C9430" s="636"/>
      <c r="D9430" s="636"/>
      <c r="E9430" s="636"/>
      <c r="F9430" s="636"/>
      <c r="G9430" s="636"/>
      <c r="H9430" s="636"/>
      <c r="I9430" s="636"/>
      <c r="J9430" s="636" t="s">
        <v>13671</v>
      </c>
      <c r="K9430" s="636" t="s">
        <v>14461</v>
      </c>
      <c r="L9430" s="636" t="s">
        <v>15626</v>
      </c>
    </row>
    <row r="9431" spans="1:12" ht="17.100000000000001" customHeight="1">
      <c r="A9431" s="636"/>
      <c r="B9431" s="636"/>
      <c r="C9431" s="636"/>
      <c r="D9431" s="636"/>
      <c r="E9431" s="636"/>
      <c r="F9431" s="636"/>
      <c r="G9431" s="636"/>
      <c r="H9431" s="636"/>
      <c r="I9431" s="636"/>
      <c r="J9431" s="636" t="s">
        <v>13670</v>
      </c>
      <c r="K9431" s="636"/>
      <c r="L9431" s="636" t="s">
        <v>15627</v>
      </c>
    </row>
    <row r="9432" spans="1:12" ht="17.100000000000001" customHeight="1">
      <c r="A9432" s="636"/>
      <c r="B9432" s="636"/>
      <c r="C9432" s="636"/>
      <c r="D9432" s="636"/>
      <c r="E9432" s="636"/>
      <c r="F9432" s="636"/>
      <c r="G9432" s="636"/>
      <c r="H9432" s="636"/>
      <c r="I9432" s="636"/>
      <c r="J9432" s="636" t="s">
        <v>13669</v>
      </c>
      <c r="K9432" s="636" t="s">
        <v>13667</v>
      </c>
      <c r="L9432" s="636" t="s">
        <v>15628</v>
      </c>
    </row>
    <row r="9433" spans="1:12" ht="17.100000000000001" customHeight="1">
      <c r="A9433" s="636"/>
      <c r="B9433" s="636"/>
      <c r="C9433" s="636"/>
      <c r="D9433" s="636"/>
      <c r="E9433" s="636"/>
      <c r="F9433" s="636"/>
      <c r="G9433" s="636"/>
      <c r="H9433" s="636"/>
      <c r="I9433" s="636"/>
      <c r="J9433" s="636" t="s">
        <v>13668</v>
      </c>
      <c r="K9433" s="636"/>
      <c r="L9433" s="636" t="s">
        <v>15629</v>
      </c>
    </row>
    <row r="9434" spans="1:12" ht="17.100000000000001" customHeight="1">
      <c r="A9434" s="637"/>
      <c r="B9434" s="637"/>
      <c r="C9434" s="637"/>
      <c r="D9434" s="637"/>
      <c r="E9434" s="637"/>
      <c r="F9434" s="637"/>
      <c r="G9434" s="637"/>
      <c r="H9434" s="637"/>
      <c r="I9434" s="637"/>
      <c r="J9434" s="637"/>
      <c r="K9434" s="637"/>
      <c r="L9434" s="637"/>
    </row>
    <row r="9435" spans="1:12" ht="30" customHeight="1">
      <c r="A9435" s="616" t="s">
        <v>14564</v>
      </c>
      <c r="B9435" s="617" t="s">
        <v>13385</v>
      </c>
      <c r="C9435" s="616" t="s">
        <v>8</v>
      </c>
      <c r="D9435" s="616" t="s">
        <v>2482</v>
      </c>
      <c r="E9435" s="618" t="s">
        <v>17</v>
      </c>
      <c r="F9435" s="617"/>
      <c r="G9435" s="617"/>
      <c r="H9435" s="617"/>
      <c r="I9435" s="617"/>
      <c r="J9435" s="617"/>
      <c r="K9435" s="617"/>
      <c r="L9435" s="617"/>
    </row>
    <row r="9436" spans="1:12" ht="48" customHeight="1">
      <c r="A9436" s="802" t="s">
        <v>12711</v>
      </c>
      <c r="B9436" s="802"/>
      <c r="C9436" s="802"/>
      <c r="D9436" s="802"/>
      <c r="E9436" s="802"/>
      <c r="F9436" s="802"/>
      <c r="G9436" s="802"/>
      <c r="H9436" s="802"/>
      <c r="I9436" s="612"/>
      <c r="J9436" s="612"/>
      <c r="K9436" s="612"/>
      <c r="L9436" s="612"/>
    </row>
    <row r="9437" spans="1:12" ht="14.25" customHeight="1">
      <c r="A9437" s="612" t="s">
        <v>13679</v>
      </c>
      <c r="B9437" s="636" t="s">
        <v>12698</v>
      </c>
      <c r="C9437" s="612" t="s">
        <v>12699</v>
      </c>
      <c r="D9437" s="612" t="s">
        <v>12700</v>
      </c>
      <c r="E9437" s="637" t="s">
        <v>12702</v>
      </c>
      <c r="F9437" s="801" t="s">
        <v>12704</v>
      </c>
      <c r="G9437" s="801"/>
      <c r="H9437" s="801" t="s">
        <v>13678</v>
      </c>
      <c r="I9437" s="801"/>
      <c r="J9437" s="801" t="s">
        <v>12705</v>
      </c>
      <c r="K9437" s="801"/>
      <c r="L9437" s="801"/>
    </row>
    <row r="9438" spans="1:12" ht="17.100000000000001" customHeight="1">
      <c r="A9438" s="626" t="s">
        <v>12709</v>
      </c>
      <c r="B9438" s="627" t="s">
        <v>13201</v>
      </c>
      <c r="C9438" s="626" t="s">
        <v>8</v>
      </c>
      <c r="D9438" s="626" t="s">
        <v>9221</v>
      </c>
      <c r="E9438" s="628" t="s">
        <v>23</v>
      </c>
      <c r="F9438" s="816" t="s">
        <v>13705</v>
      </c>
      <c r="G9438" s="816"/>
      <c r="H9438" s="816">
        <v>7.8121300000000005E-2</v>
      </c>
      <c r="I9438" s="816"/>
      <c r="J9438" s="817">
        <v>6.4799999999999996E-2</v>
      </c>
      <c r="K9438" s="817"/>
      <c r="L9438" s="817"/>
    </row>
    <row r="9439" spans="1:12" ht="24" customHeight="1">
      <c r="A9439" s="626" t="s">
        <v>12709</v>
      </c>
      <c r="B9439" s="627" t="s">
        <v>13200</v>
      </c>
      <c r="C9439" s="626" t="s">
        <v>8</v>
      </c>
      <c r="D9439" s="626" t="s">
        <v>9368</v>
      </c>
      <c r="E9439" s="628" t="s">
        <v>23</v>
      </c>
      <c r="F9439" s="816" t="s">
        <v>13704</v>
      </c>
      <c r="G9439" s="816"/>
      <c r="H9439" s="816">
        <v>7.8121300000000005E-2</v>
      </c>
      <c r="I9439" s="816"/>
      <c r="J9439" s="817">
        <v>1.8700000000000001E-2</v>
      </c>
      <c r="K9439" s="817"/>
      <c r="L9439" s="817"/>
    </row>
    <row r="9440" spans="1:12" ht="24" customHeight="1">
      <c r="A9440" s="626" t="s">
        <v>12709</v>
      </c>
      <c r="B9440" s="627" t="s">
        <v>13134</v>
      </c>
      <c r="C9440" s="626" t="s">
        <v>8</v>
      </c>
      <c r="D9440" s="626" t="s">
        <v>9219</v>
      </c>
      <c r="E9440" s="628" t="s">
        <v>23</v>
      </c>
      <c r="F9440" s="816" t="s">
        <v>13782</v>
      </c>
      <c r="G9440" s="816"/>
      <c r="H9440" s="816">
        <v>0.17799799999999999</v>
      </c>
      <c r="I9440" s="816"/>
      <c r="J9440" s="817">
        <v>0.16550000000000001</v>
      </c>
      <c r="K9440" s="817"/>
      <c r="L9440" s="817"/>
    </row>
    <row r="9441" spans="1:12" ht="17.100000000000001" customHeight="1">
      <c r="A9441" s="626" t="s">
        <v>12709</v>
      </c>
      <c r="B9441" s="627" t="s">
        <v>13133</v>
      </c>
      <c r="C9441" s="626" t="s">
        <v>8</v>
      </c>
      <c r="D9441" s="626" t="s">
        <v>9366</v>
      </c>
      <c r="E9441" s="628" t="s">
        <v>23</v>
      </c>
      <c r="F9441" s="816" t="s">
        <v>13781</v>
      </c>
      <c r="G9441" s="816"/>
      <c r="H9441" s="816">
        <v>0.17799799999999999</v>
      </c>
      <c r="I9441" s="816"/>
      <c r="J9441" s="817">
        <v>9.7900000000000001E-2</v>
      </c>
      <c r="K9441" s="817"/>
      <c r="L9441" s="817"/>
    </row>
    <row r="9442" spans="1:12" ht="14.25" customHeight="1">
      <c r="A9442" s="636"/>
      <c r="B9442" s="636"/>
      <c r="C9442" s="636"/>
      <c r="D9442" s="636"/>
      <c r="E9442" s="636"/>
      <c r="F9442" s="636"/>
      <c r="G9442" s="636"/>
      <c r="H9442" s="636"/>
      <c r="I9442" s="636"/>
      <c r="J9442" s="636" t="s">
        <v>13675</v>
      </c>
      <c r="K9442" s="636"/>
      <c r="L9442" s="636" t="s">
        <v>13677</v>
      </c>
    </row>
    <row r="9443" spans="1:12" ht="17.100000000000001" customHeight="1">
      <c r="A9443" s="802" t="s">
        <v>12710</v>
      </c>
      <c r="B9443" s="802"/>
      <c r="C9443" s="802"/>
      <c r="D9443" s="802"/>
      <c r="E9443" s="802"/>
      <c r="F9443" s="802"/>
      <c r="G9443" s="802"/>
      <c r="H9443" s="802"/>
      <c r="I9443" s="612"/>
      <c r="J9443" s="612"/>
      <c r="K9443" s="612"/>
      <c r="L9443" s="612"/>
    </row>
    <row r="9444" spans="1:12" ht="24" customHeight="1">
      <c r="A9444" s="612" t="s">
        <v>13679</v>
      </c>
      <c r="B9444" s="636" t="s">
        <v>12698</v>
      </c>
      <c r="C9444" s="612" t="s">
        <v>12699</v>
      </c>
      <c r="D9444" s="612" t="s">
        <v>12700</v>
      </c>
      <c r="E9444" s="637" t="s">
        <v>12702</v>
      </c>
      <c r="F9444" s="801" t="s">
        <v>12704</v>
      </c>
      <c r="G9444" s="801"/>
      <c r="H9444" s="801" t="s">
        <v>13678</v>
      </c>
      <c r="I9444" s="801"/>
      <c r="J9444" s="801" t="s">
        <v>12705</v>
      </c>
      <c r="K9444" s="801"/>
      <c r="L9444" s="801"/>
    </row>
    <row r="9445" spans="1:12" ht="24" customHeight="1">
      <c r="A9445" s="626" t="s">
        <v>12709</v>
      </c>
      <c r="B9445" s="627" t="s">
        <v>13220</v>
      </c>
      <c r="C9445" s="626" t="s">
        <v>8</v>
      </c>
      <c r="D9445" s="626" t="s">
        <v>7592</v>
      </c>
      <c r="E9445" s="628" t="s">
        <v>23</v>
      </c>
      <c r="F9445" s="816" t="s">
        <v>13890</v>
      </c>
      <c r="G9445" s="816"/>
      <c r="H9445" s="816">
        <v>1.0069E-2</v>
      </c>
      <c r="I9445" s="816"/>
      <c r="J9445" s="817">
        <v>5.0900000000000001E-2</v>
      </c>
      <c r="K9445" s="817"/>
      <c r="L9445" s="817"/>
    </row>
    <row r="9446" spans="1:12" ht="17.100000000000001" customHeight="1">
      <c r="A9446" s="626" t="s">
        <v>12709</v>
      </c>
      <c r="B9446" s="627" t="s">
        <v>13202</v>
      </c>
      <c r="C9446" s="626" t="s">
        <v>8</v>
      </c>
      <c r="D9446" s="626" t="s">
        <v>9187</v>
      </c>
      <c r="E9446" s="628" t="s">
        <v>23</v>
      </c>
      <c r="F9446" s="816" t="s">
        <v>14479</v>
      </c>
      <c r="G9446" s="816"/>
      <c r="H9446" s="816">
        <v>6.9475899999999993E-2</v>
      </c>
      <c r="I9446" s="816"/>
      <c r="J9446" s="817">
        <v>0.49680000000000002</v>
      </c>
      <c r="K9446" s="817"/>
      <c r="L9446" s="817"/>
    </row>
    <row r="9447" spans="1:12" ht="25.5">
      <c r="A9447" s="626" t="s">
        <v>12709</v>
      </c>
      <c r="B9447" s="627" t="s">
        <v>13222</v>
      </c>
      <c r="C9447" s="626" t="s">
        <v>8</v>
      </c>
      <c r="D9447" s="626" t="s">
        <v>7364</v>
      </c>
      <c r="E9447" s="628" t="s">
        <v>23</v>
      </c>
      <c r="F9447" s="816" t="s">
        <v>13808</v>
      </c>
      <c r="G9447" s="816"/>
      <c r="H9447" s="816">
        <v>9.1811299999999998E-2</v>
      </c>
      <c r="I9447" s="816"/>
      <c r="J9447" s="817">
        <v>0.46089999999999998</v>
      </c>
      <c r="K9447" s="817"/>
      <c r="L9447" s="817"/>
    </row>
    <row r="9448" spans="1:12" ht="17.100000000000001" customHeight="1">
      <c r="A9448" s="626" t="s">
        <v>12709</v>
      </c>
      <c r="B9448" s="627" t="s">
        <v>13204</v>
      </c>
      <c r="C9448" s="626" t="s">
        <v>8</v>
      </c>
      <c r="D9448" s="626" t="s">
        <v>9112</v>
      </c>
      <c r="E9448" s="628" t="s">
        <v>23</v>
      </c>
      <c r="F9448" s="816" t="s">
        <v>14479</v>
      </c>
      <c r="G9448" s="816"/>
      <c r="H9448" s="816">
        <v>9.1811299999999998E-2</v>
      </c>
      <c r="I9448" s="816"/>
      <c r="J9448" s="817">
        <v>0.65649999999999997</v>
      </c>
      <c r="K9448" s="817"/>
      <c r="L9448" s="817"/>
    </row>
    <row r="9449" spans="1:12" ht="36" customHeight="1">
      <c r="A9449" s="636"/>
      <c r="B9449" s="636"/>
      <c r="C9449" s="636"/>
      <c r="D9449" s="636"/>
      <c r="E9449" s="636"/>
      <c r="F9449" s="636"/>
      <c r="G9449" s="636"/>
      <c r="H9449" s="636"/>
      <c r="I9449" s="636"/>
      <c r="J9449" s="636" t="s">
        <v>13675</v>
      </c>
      <c r="K9449" s="636"/>
      <c r="L9449" s="636" t="s">
        <v>14043</v>
      </c>
    </row>
    <row r="9450" spans="1:12" ht="17.100000000000001" customHeight="1">
      <c r="A9450" s="802" t="s">
        <v>12720</v>
      </c>
      <c r="B9450" s="802"/>
      <c r="C9450" s="802"/>
      <c r="D9450" s="802"/>
      <c r="E9450" s="802"/>
      <c r="F9450" s="802"/>
      <c r="G9450" s="802"/>
      <c r="H9450" s="802"/>
      <c r="I9450" s="612"/>
      <c r="J9450" s="612"/>
      <c r="K9450" s="612"/>
      <c r="L9450" s="612"/>
    </row>
    <row r="9451" spans="1:12">
      <c r="A9451" s="612" t="s">
        <v>13679</v>
      </c>
      <c r="B9451" s="636" t="s">
        <v>12698</v>
      </c>
      <c r="C9451" s="612" t="s">
        <v>12699</v>
      </c>
      <c r="D9451" s="612" t="s">
        <v>12700</v>
      </c>
      <c r="E9451" s="637" t="s">
        <v>12702</v>
      </c>
      <c r="F9451" s="801" t="s">
        <v>12704</v>
      </c>
      <c r="G9451" s="801"/>
      <c r="H9451" s="801" t="s">
        <v>13678</v>
      </c>
      <c r="I9451" s="801"/>
      <c r="J9451" s="801" t="s">
        <v>12705</v>
      </c>
      <c r="K9451" s="801"/>
      <c r="L9451" s="801"/>
    </row>
    <row r="9452" spans="1:12" ht="17.100000000000001" customHeight="1">
      <c r="A9452" s="626" t="s">
        <v>12709</v>
      </c>
      <c r="B9452" s="627" t="s">
        <v>13384</v>
      </c>
      <c r="C9452" s="626" t="s">
        <v>8</v>
      </c>
      <c r="D9452" s="626" t="s">
        <v>9155</v>
      </c>
      <c r="E9452" s="628" t="s">
        <v>17</v>
      </c>
      <c r="F9452" s="816" t="s">
        <v>14563</v>
      </c>
      <c r="G9452" s="816"/>
      <c r="H9452" s="816">
        <v>1.1000000000000001</v>
      </c>
      <c r="I9452" s="816"/>
      <c r="J9452" s="817">
        <v>2.6</v>
      </c>
      <c r="K9452" s="817"/>
      <c r="L9452" s="817"/>
    </row>
    <row r="9453" spans="1:12" ht="24" customHeight="1">
      <c r="A9453" s="626" t="s">
        <v>12709</v>
      </c>
      <c r="B9453" s="627" t="s">
        <v>13186</v>
      </c>
      <c r="C9453" s="626" t="s">
        <v>8</v>
      </c>
      <c r="D9453" s="626" t="s">
        <v>7217</v>
      </c>
      <c r="E9453" s="628" t="s">
        <v>35</v>
      </c>
      <c r="F9453" s="816" t="s">
        <v>13805</v>
      </c>
      <c r="G9453" s="816"/>
      <c r="H9453" s="816">
        <v>0.64277039999999996</v>
      </c>
      <c r="I9453" s="816"/>
      <c r="J9453" s="817">
        <v>0.85489999999999999</v>
      </c>
      <c r="K9453" s="817"/>
      <c r="L9453" s="817"/>
    </row>
    <row r="9454" spans="1:12" ht="17.100000000000001" customHeight="1">
      <c r="A9454" s="636"/>
      <c r="B9454" s="636"/>
      <c r="C9454" s="636"/>
      <c r="D9454" s="636"/>
      <c r="E9454" s="636"/>
      <c r="F9454" s="636"/>
      <c r="G9454" s="636"/>
      <c r="H9454" s="636"/>
      <c r="I9454" s="636"/>
      <c r="J9454" s="636" t="s">
        <v>13675</v>
      </c>
      <c r="K9454" s="636"/>
      <c r="L9454" s="636" t="s">
        <v>14562</v>
      </c>
    </row>
    <row r="9455" spans="1:12">
      <c r="A9455" s="802" t="s">
        <v>12722</v>
      </c>
      <c r="B9455" s="802"/>
      <c r="C9455" s="802"/>
      <c r="D9455" s="802"/>
      <c r="E9455" s="802"/>
      <c r="F9455" s="802"/>
      <c r="G9455" s="802"/>
      <c r="H9455" s="802"/>
      <c r="I9455" s="612"/>
      <c r="J9455" s="612"/>
      <c r="K9455" s="612"/>
      <c r="L9455" s="612"/>
    </row>
    <row r="9456" spans="1:12" ht="17.100000000000001" customHeight="1">
      <c r="A9456" s="612" t="s">
        <v>13679</v>
      </c>
      <c r="B9456" s="636" t="s">
        <v>12698</v>
      </c>
      <c r="C9456" s="612" t="s">
        <v>12699</v>
      </c>
      <c r="D9456" s="612" t="s">
        <v>12700</v>
      </c>
      <c r="E9456" s="637" t="s">
        <v>12702</v>
      </c>
      <c r="F9456" s="801" t="s">
        <v>12704</v>
      </c>
      <c r="G9456" s="801"/>
      <c r="H9456" s="801" t="s">
        <v>13678</v>
      </c>
      <c r="I9456" s="801"/>
      <c r="J9456" s="801" t="s">
        <v>12705</v>
      </c>
      <c r="K9456" s="801"/>
      <c r="L9456" s="801"/>
    </row>
    <row r="9457" spans="1:12" ht="24" customHeight="1">
      <c r="A9457" s="626" t="s">
        <v>12709</v>
      </c>
      <c r="B9457" s="627" t="s">
        <v>12998</v>
      </c>
      <c r="C9457" s="626" t="s">
        <v>8</v>
      </c>
      <c r="D9457" s="626" t="s">
        <v>11861</v>
      </c>
      <c r="E9457" s="628" t="s">
        <v>23</v>
      </c>
      <c r="F9457" s="816" t="s">
        <v>13683</v>
      </c>
      <c r="G9457" s="816"/>
      <c r="H9457" s="816">
        <v>0.25611929999999999</v>
      </c>
      <c r="I9457" s="816"/>
      <c r="J9457" s="817">
        <v>0.18179999999999999</v>
      </c>
      <c r="K9457" s="817"/>
      <c r="L9457" s="817"/>
    </row>
    <row r="9458" spans="1:12" ht="17.100000000000001" customHeight="1">
      <c r="A9458" s="636"/>
      <c r="B9458" s="636"/>
      <c r="C9458" s="636"/>
      <c r="D9458" s="636"/>
      <c r="E9458" s="636"/>
      <c r="F9458" s="636"/>
      <c r="G9458" s="636"/>
      <c r="H9458" s="636"/>
      <c r="I9458" s="636"/>
      <c r="J9458" s="636" t="s">
        <v>13675</v>
      </c>
      <c r="K9458" s="636"/>
      <c r="L9458" s="636" t="s">
        <v>13682</v>
      </c>
    </row>
    <row r="9459" spans="1:12">
      <c r="A9459" s="802" t="s">
        <v>12713</v>
      </c>
      <c r="B9459" s="802"/>
      <c r="C9459" s="802"/>
      <c r="D9459" s="802"/>
      <c r="E9459" s="802"/>
      <c r="F9459" s="802"/>
      <c r="G9459" s="802"/>
      <c r="H9459" s="802"/>
      <c r="I9459" s="612"/>
      <c r="J9459" s="612"/>
      <c r="K9459" s="612"/>
      <c r="L9459" s="612"/>
    </row>
    <row r="9460" spans="1:12" ht="17.100000000000001" customHeight="1">
      <c r="A9460" s="612" t="s">
        <v>13679</v>
      </c>
      <c r="B9460" s="636" t="s">
        <v>12698</v>
      </c>
      <c r="C9460" s="612" t="s">
        <v>12699</v>
      </c>
      <c r="D9460" s="612" t="s">
        <v>12700</v>
      </c>
      <c r="E9460" s="637" t="s">
        <v>12702</v>
      </c>
      <c r="F9460" s="801" t="s">
        <v>12704</v>
      </c>
      <c r="G9460" s="801"/>
      <c r="H9460" s="801" t="s">
        <v>13678</v>
      </c>
      <c r="I9460" s="801"/>
      <c r="J9460" s="801" t="s">
        <v>12705</v>
      </c>
      <c r="K9460" s="801"/>
      <c r="L9460" s="801"/>
    </row>
    <row r="9461" spans="1:12" ht="24" customHeight="1">
      <c r="A9461" s="626" t="s">
        <v>12709</v>
      </c>
      <c r="B9461" s="627" t="s">
        <v>12999</v>
      </c>
      <c r="C9461" s="626" t="s">
        <v>8</v>
      </c>
      <c r="D9461" s="626" t="s">
        <v>11251</v>
      </c>
      <c r="E9461" s="628" t="s">
        <v>23</v>
      </c>
      <c r="F9461" s="816" t="s">
        <v>13681</v>
      </c>
      <c r="G9461" s="816"/>
      <c r="H9461" s="816">
        <v>0.25611929999999999</v>
      </c>
      <c r="I9461" s="816"/>
      <c r="J9461" s="817">
        <v>1.7899999999999999E-2</v>
      </c>
      <c r="K9461" s="817"/>
      <c r="L9461" s="817"/>
    </row>
    <row r="9462" spans="1:12" ht="24" customHeight="1">
      <c r="A9462" s="636"/>
      <c r="B9462" s="636"/>
      <c r="C9462" s="636"/>
      <c r="D9462" s="636"/>
      <c r="E9462" s="636"/>
      <c r="F9462" s="636"/>
      <c r="G9462" s="636"/>
      <c r="H9462" s="636"/>
      <c r="I9462" s="636"/>
      <c r="J9462" s="636" t="s">
        <v>13675</v>
      </c>
      <c r="K9462" s="636"/>
      <c r="L9462" s="636" t="s">
        <v>13680</v>
      </c>
    </row>
    <row r="9463" spans="1:12" ht="17.100000000000001" customHeight="1">
      <c r="A9463" s="802" t="s">
        <v>12712</v>
      </c>
      <c r="B9463" s="802"/>
      <c r="C9463" s="802"/>
      <c r="D9463" s="802"/>
      <c r="E9463" s="802"/>
      <c r="F9463" s="802"/>
      <c r="G9463" s="802"/>
      <c r="H9463" s="802"/>
      <c r="I9463" s="612"/>
      <c r="J9463" s="612"/>
      <c r="K9463" s="612"/>
      <c r="L9463" s="612"/>
    </row>
    <row r="9464" spans="1:12" ht="17.100000000000001" customHeight="1">
      <c r="A9464" s="612" t="s">
        <v>13679</v>
      </c>
      <c r="B9464" s="636" t="s">
        <v>12698</v>
      </c>
      <c r="C9464" s="612" t="s">
        <v>12699</v>
      </c>
      <c r="D9464" s="612" t="s">
        <v>12700</v>
      </c>
      <c r="E9464" s="637" t="s">
        <v>12702</v>
      </c>
      <c r="F9464" s="801" t="s">
        <v>12704</v>
      </c>
      <c r="G9464" s="801"/>
      <c r="H9464" s="801" t="s">
        <v>13678</v>
      </c>
      <c r="I9464" s="801"/>
      <c r="J9464" s="801" t="s">
        <v>12705</v>
      </c>
      <c r="K9464" s="801"/>
      <c r="L9464" s="801"/>
    </row>
    <row r="9465" spans="1:12" ht="17.100000000000001" customHeight="1">
      <c r="A9465" s="626" t="s">
        <v>12709</v>
      </c>
      <c r="B9465" s="627" t="s">
        <v>13002</v>
      </c>
      <c r="C9465" s="626" t="s">
        <v>8</v>
      </c>
      <c r="D9465" s="626" t="s">
        <v>9306</v>
      </c>
      <c r="E9465" s="628" t="s">
        <v>23</v>
      </c>
      <c r="F9465" s="816" t="s">
        <v>13677</v>
      </c>
      <c r="G9465" s="816"/>
      <c r="H9465" s="816">
        <v>0.25611929999999999</v>
      </c>
      <c r="I9465" s="816"/>
      <c r="J9465" s="817">
        <v>8.9599999999999999E-2</v>
      </c>
      <c r="K9465" s="817"/>
      <c r="L9465" s="817"/>
    </row>
    <row r="9466" spans="1:12" ht="17.100000000000001" customHeight="1">
      <c r="A9466" s="626" t="s">
        <v>12709</v>
      </c>
      <c r="B9466" s="627" t="s">
        <v>13004</v>
      </c>
      <c r="C9466" s="626" t="s">
        <v>8</v>
      </c>
      <c r="D9466" s="626" t="s">
        <v>7388</v>
      </c>
      <c r="E9466" s="628" t="s">
        <v>23</v>
      </c>
      <c r="F9466" s="816" t="s">
        <v>13676</v>
      </c>
      <c r="G9466" s="816"/>
      <c r="H9466" s="816">
        <v>0.25611929999999999</v>
      </c>
      <c r="I9466" s="816"/>
      <c r="J9466" s="817">
        <v>0.5635</v>
      </c>
      <c r="K9466" s="817"/>
      <c r="L9466" s="817"/>
    </row>
    <row r="9467" spans="1:12" ht="17.100000000000001" customHeight="1">
      <c r="A9467" s="636"/>
      <c r="B9467" s="636"/>
      <c r="C9467" s="636"/>
      <c r="D9467" s="636"/>
      <c r="E9467" s="636"/>
      <c r="F9467" s="636"/>
      <c r="G9467" s="636"/>
      <c r="H9467" s="636"/>
      <c r="I9467" s="636"/>
      <c r="J9467" s="636" t="s">
        <v>13675</v>
      </c>
      <c r="K9467" s="636"/>
      <c r="L9467" s="636" t="s">
        <v>13738</v>
      </c>
    </row>
    <row r="9468" spans="1:12" ht="17.100000000000001" customHeight="1">
      <c r="A9468" s="612" t="s">
        <v>13673</v>
      </c>
      <c r="B9468" s="612"/>
      <c r="C9468" s="612"/>
      <c r="D9468" s="612"/>
      <c r="E9468" s="612"/>
      <c r="F9468" s="612"/>
      <c r="G9468" s="612"/>
      <c r="H9468" s="612"/>
      <c r="I9468" s="612"/>
      <c r="J9468" s="612"/>
      <c r="K9468" s="612"/>
      <c r="L9468" s="612"/>
    </row>
    <row r="9469" spans="1:12" ht="17.100000000000001" customHeight="1">
      <c r="A9469" s="636"/>
      <c r="B9469" s="636"/>
      <c r="C9469" s="636"/>
      <c r="D9469" s="636"/>
      <c r="E9469" s="636"/>
      <c r="F9469" s="636"/>
      <c r="G9469" s="636"/>
      <c r="H9469" s="636"/>
      <c r="I9469" s="636"/>
      <c r="J9469" s="636" t="s">
        <v>13672</v>
      </c>
      <c r="K9469" s="636"/>
      <c r="L9469" s="636" t="s">
        <v>15011</v>
      </c>
    </row>
    <row r="9470" spans="1:12" ht="30" customHeight="1">
      <c r="A9470" s="636"/>
      <c r="B9470" s="636"/>
      <c r="C9470" s="636"/>
      <c r="D9470" s="636"/>
      <c r="E9470" s="636"/>
      <c r="F9470" s="636"/>
      <c r="G9470" s="636"/>
      <c r="H9470" s="636"/>
      <c r="I9470" s="636"/>
      <c r="J9470" s="636" t="s">
        <v>13671</v>
      </c>
      <c r="K9470" s="636" t="s">
        <v>14461</v>
      </c>
      <c r="L9470" s="636" t="s">
        <v>15212</v>
      </c>
    </row>
    <row r="9471" spans="1:12" ht="48" customHeight="1">
      <c r="A9471" s="636"/>
      <c r="B9471" s="636"/>
      <c r="C9471" s="636"/>
      <c r="D9471" s="636"/>
      <c r="E9471" s="636"/>
      <c r="F9471" s="636"/>
      <c r="G9471" s="636"/>
      <c r="H9471" s="636"/>
      <c r="I9471" s="636"/>
      <c r="J9471" s="636" t="s">
        <v>13670</v>
      </c>
      <c r="K9471" s="636"/>
      <c r="L9471" s="636" t="s">
        <v>14943</v>
      </c>
    </row>
    <row r="9472" spans="1:12" ht="14.25" customHeight="1">
      <c r="A9472" s="636"/>
      <c r="B9472" s="636"/>
      <c r="C9472" s="636"/>
      <c r="D9472" s="636"/>
      <c r="E9472" s="636"/>
      <c r="F9472" s="636"/>
      <c r="G9472" s="636"/>
      <c r="H9472" s="636"/>
      <c r="I9472" s="636"/>
      <c r="J9472" s="636" t="s">
        <v>13669</v>
      </c>
      <c r="K9472" s="636" t="s">
        <v>13667</v>
      </c>
      <c r="L9472" s="636" t="s">
        <v>15630</v>
      </c>
    </row>
    <row r="9473" spans="1:12" ht="17.100000000000001" customHeight="1">
      <c r="A9473" s="636"/>
      <c r="B9473" s="636"/>
      <c r="C9473" s="636"/>
      <c r="D9473" s="636"/>
      <c r="E9473" s="636"/>
      <c r="F9473" s="636"/>
      <c r="G9473" s="636"/>
      <c r="H9473" s="636"/>
      <c r="I9473" s="636"/>
      <c r="J9473" s="636" t="s">
        <v>13668</v>
      </c>
      <c r="K9473" s="636"/>
      <c r="L9473" s="636" t="s">
        <v>15631</v>
      </c>
    </row>
    <row r="9474" spans="1:12" ht="24" customHeight="1">
      <c r="A9474" s="637"/>
      <c r="B9474" s="637"/>
      <c r="C9474" s="637"/>
      <c r="D9474" s="637"/>
      <c r="E9474" s="637"/>
      <c r="F9474" s="637"/>
      <c r="G9474" s="637"/>
      <c r="H9474" s="637"/>
      <c r="I9474" s="637"/>
      <c r="J9474" s="637"/>
      <c r="K9474" s="637"/>
      <c r="L9474" s="637"/>
    </row>
    <row r="9475" spans="1:12" ht="24" customHeight="1">
      <c r="A9475" s="616" t="s">
        <v>14561</v>
      </c>
      <c r="B9475" s="617" t="s">
        <v>13383</v>
      </c>
      <c r="C9475" s="616" t="s">
        <v>8</v>
      </c>
      <c r="D9475" s="616" t="s">
        <v>2487</v>
      </c>
      <c r="E9475" s="618" t="s">
        <v>17</v>
      </c>
      <c r="F9475" s="617"/>
      <c r="G9475" s="617"/>
      <c r="H9475" s="617"/>
      <c r="I9475" s="617"/>
      <c r="J9475" s="617"/>
      <c r="K9475" s="617"/>
      <c r="L9475" s="617"/>
    </row>
    <row r="9476" spans="1:12" ht="17.100000000000001" customHeight="1">
      <c r="A9476" s="802" t="s">
        <v>12711</v>
      </c>
      <c r="B9476" s="802"/>
      <c r="C9476" s="802"/>
      <c r="D9476" s="802"/>
      <c r="E9476" s="802"/>
      <c r="F9476" s="802"/>
      <c r="G9476" s="802"/>
      <c r="H9476" s="802"/>
      <c r="I9476" s="612"/>
      <c r="J9476" s="612"/>
      <c r="K9476" s="612"/>
      <c r="L9476" s="612"/>
    </row>
    <row r="9477" spans="1:12" ht="14.25" customHeight="1">
      <c r="A9477" s="612" t="s">
        <v>13679</v>
      </c>
      <c r="B9477" s="636" t="s">
        <v>12698</v>
      </c>
      <c r="C9477" s="612" t="s">
        <v>12699</v>
      </c>
      <c r="D9477" s="612" t="s">
        <v>12700</v>
      </c>
      <c r="E9477" s="637" t="s">
        <v>12702</v>
      </c>
      <c r="F9477" s="801" t="s">
        <v>12704</v>
      </c>
      <c r="G9477" s="801"/>
      <c r="H9477" s="801" t="s">
        <v>13678</v>
      </c>
      <c r="I9477" s="801"/>
      <c r="J9477" s="801" t="s">
        <v>12705</v>
      </c>
      <c r="K9477" s="801"/>
      <c r="L9477" s="801"/>
    </row>
    <row r="9478" spans="1:12" ht="17.100000000000001" customHeight="1">
      <c r="A9478" s="626" t="s">
        <v>12709</v>
      </c>
      <c r="B9478" s="627" t="s">
        <v>13134</v>
      </c>
      <c r="C9478" s="626" t="s">
        <v>8</v>
      </c>
      <c r="D9478" s="626" t="s">
        <v>9219</v>
      </c>
      <c r="E9478" s="628" t="s">
        <v>23</v>
      </c>
      <c r="F9478" s="816" t="s">
        <v>13782</v>
      </c>
      <c r="G9478" s="816"/>
      <c r="H9478" s="816">
        <v>0.28675220000000001</v>
      </c>
      <c r="I9478" s="816"/>
      <c r="J9478" s="817">
        <v>0.26669999999999999</v>
      </c>
      <c r="K9478" s="817"/>
      <c r="L9478" s="817"/>
    </row>
    <row r="9479" spans="1:12" ht="24" customHeight="1">
      <c r="A9479" s="626" t="s">
        <v>12709</v>
      </c>
      <c r="B9479" s="627" t="s">
        <v>13133</v>
      </c>
      <c r="C9479" s="626" t="s">
        <v>8</v>
      </c>
      <c r="D9479" s="626" t="s">
        <v>9366</v>
      </c>
      <c r="E9479" s="628" t="s">
        <v>23</v>
      </c>
      <c r="F9479" s="816" t="s">
        <v>13781</v>
      </c>
      <c r="G9479" s="816"/>
      <c r="H9479" s="816">
        <v>0.28675220000000001</v>
      </c>
      <c r="I9479" s="816"/>
      <c r="J9479" s="817">
        <v>0.15770000000000001</v>
      </c>
      <c r="K9479" s="817"/>
      <c r="L9479" s="817"/>
    </row>
    <row r="9480" spans="1:12" ht="24" customHeight="1">
      <c r="A9480" s="636"/>
      <c r="B9480" s="636"/>
      <c r="C9480" s="636"/>
      <c r="D9480" s="636"/>
      <c r="E9480" s="636"/>
      <c r="F9480" s="636"/>
      <c r="G9480" s="636"/>
      <c r="H9480" s="636"/>
      <c r="I9480" s="636"/>
      <c r="J9480" s="636" t="s">
        <v>13675</v>
      </c>
      <c r="K9480" s="636"/>
      <c r="L9480" s="636" t="s">
        <v>13837</v>
      </c>
    </row>
    <row r="9481" spans="1:12" ht="17.100000000000001" customHeight="1">
      <c r="A9481" s="802" t="s">
        <v>12710</v>
      </c>
      <c r="B9481" s="802"/>
      <c r="C9481" s="802"/>
      <c r="D9481" s="802"/>
      <c r="E9481" s="802"/>
      <c r="F9481" s="802"/>
      <c r="G9481" s="802"/>
      <c r="H9481" s="802"/>
      <c r="I9481" s="612"/>
      <c r="J9481" s="612"/>
      <c r="K9481" s="612"/>
      <c r="L9481" s="612"/>
    </row>
    <row r="9482" spans="1:12">
      <c r="A9482" s="612" t="s">
        <v>13679</v>
      </c>
      <c r="B9482" s="636" t="s">
        <v>12698</v>
      </c>
      <c r="C9482" s="612" t="s">
        <v>12699</v>
      </c>
      <c r="D9482" s="612" t="s">
        <v>12700</v>
      </c>
      <c r="E9482" s="637" t="s">
        <v>12702</v>
      </c>
      <c r="F9482" s="801" t="s">
        <v>12704</v>
      </c>
      <c r="G9482" s="801"/>
      <c r="H9482" s="801" t="s">
        <v>13678</v>
      </c>
      <c r="I9482" s="801"/>
      <c r="J9482" s="801" t="s">
        <v>12705</v>
      </c>
      <c r="K9482" s="801"/>
      <c r="L9482" s="801"/>
    </row>
    <row r="9483" spans="1:12" ht="17.100000000000001" customHeight="1">
      <c r="A9483" s="626" t="s">
        <v>12709</v>
      </c>
      <c r="B9483" s="627" t="s">
        <v>13222</v>
      </c>
      <c r="C9483" s="626" t="s">
        <v>8</v>
      </c>
      <c r="D9483" s="626" t="s">
        <v>7364</v>
      </c>
      <c r="E9483" s="628" t="s">
        <v>23</v>
      </c>
      <c r="F9483" s="816" t="s">
        <v>13808</v>
      </c>
      <c r="G9483" s="816"/>
      <c r="H9483" s="816">
        <v>0.14747650000000001</v>
      </c>
      <c r="I9483" s="816"/>
      <c r="J9483" s="817">
        <v>0.74029999999999996</v>
      </c>
      <c r="K9483" s="817"/>
      <c r="L9483" s="817"/>
    </row>
    <row r="9484" spans="1:12" ht="36" customHeight="1">
      <c r="A9484" s="626" t="s">
        <v>12709</v>
      </c>
      <c r="B9484" s="627" t="s">
        <v>13204</v>
      </c>
      <c r="C9484" s="626" t="s">
        <v>8</v>
      </c>
      <c r="D9484" s="626" t="s">
        <v>9112</v>
      </c>
      <c r="E9484" s="628" t="s">
        <v>23</v>
      </c>
      <c r="F9484" s="816" t="s">
        <v>14479</v>
      </c>
      <c r="G9484" s="816"/>
      <c r="H9484" s="816">
        <v>0.14747650000000001</v>
      </c>
      <c r="I9484" s="816"/>
      <c r="J9484" s="817">
        <v>1.0545</v>
      </c>
      <c r="K9484" s="817"/>
      <c r="L9484" s="817"/>
    </row>
    <row r="9485" spans="1:12" ht="17.100000000000001" customHeight="1">
      <c r="A9485" s="636"/>
      <c r="B9485" s="636"/>
      <c r="C9485" s="636"/>
      <c r="D9485" s="636"/>
      <c r="E9485" s="636"/>
      <c r="F9485" s="636"/>
      <c r="G9485" s="636"/>
      <c r="H9485" s="636"/>
      <c r="I9485" s="636"/>
      <c r="J9485" s="636" t="s">
        <v>13675</v>
      </c>
      <c r="K9485" s="636"/>
      <c r="L9485" s="636" t="s">
        <v>14560</v>
      </c>
    </row>
    <row r="9486" spans="1:12">
      <c r="A9486" s="802" t="s">
        <v>12720</v>
      </c>
      <c r="B9486" s="802"/>
      <c r="C9486" s="802"/>
      <c r="D9486" s="802"/>
      <c r="E9486" s="802"/>
      <c r="F9486" s="802"/>
      <c r="G9486" s="802"/>
      <c r="H9486" s="802"/>
      <c r="I9486" s="612"/>
      <c r="J9486" s="612"/>
      <c r="K9486" s="612"/>
      <c r="L9486" s="612"/>
    </row>
    <row r="9487" spans="1:12" ht="17.100000000000001" customHeight="1">
      <c r="A9487" s="612" t="s">
        <v>13679</v>
      </c>
      <c r="B9487" s="636" t="s">
        <v>12698</v>
      </c>
      <c r="C9487" s="612" t="s">
        <v>12699</v>
      </c>
      <c r="D9487" s="612" t="s">
        <v>12700</v>
      </c>
      <c r="E9487" s="637" t="s">
        <v>12702</v>
      </c>
      <c r="F9487" s="801" t="s">
        <v>12704</v>
      </c>
      <c r="G9487" s="801"/>
      <c r="H9487" s="801" t="s">
        <v>13678</v>
      </c>
      <c r="I9487" s="801"/>
      <c r="J9487" s="801" t="s">
        <v>12705</v>
      </c>
      <c r="K9487" s="801"/>
      <c r="L9487" s="801"/>
    </row>
    <row r="9488" spans="1:12" ht="24" customHeight="1">
      <c r="A9488" s="626" t="s">
        <v>12709</v>
      </c>
      <c r="B9488" s="627" t="s">
        <v>13381</v>
      </c>
      <c r="C9488" s="626" t="s">
        <v>8</v>
      </c>
      <c r="D9488" s="626" t="s">
        <v>9154</v>
      </c>
      <c r="E9488" s="628" t="s">
        <v>17</v>
      </c>
      <c r="F9488" s="816" t="s">
        <v>13851</v>
      </c>
      <c r="G9488" s="816"/>
      <c r="H9488" s="816">
        <v>1.0169999999999999</v>
      </c>
      <c r="I9488" s="816"/>
      <c r="J9488" s="817">
        <v>1.4</v>
      </c>
      <c r="K9488" s="817"/>
      <c r="L9488" s="817"/>
    </row>
    <row r="9489" spans="1:12" ht="17.100000000000001" customHeight="1">
      <c r="A9489" s="636"/>
      <c r="B9489" s="636"/>
      <c r="C9489" s="636"/>
      <c r="D9489" s="636"/>
      <c r="E9489" s="636"/>
      <c r="F9489" s="636"/>
      <c r="G9489" s="636"/>
      <c r="H9489" s="636"/>
      <c r="I9489" s="636"/>
      <c r="J9489" s="636" t="s">
        <v>13675</v>
      </c>
      <c r="K9489" s="636"/>
      <c r="L9489" s="636" t="s">
        <v>13853</v>
      </c>
    </row>
    <row r="9490" spans="1:12">
      <c r="A9490" s="802" t="s">
        <v>12722</v>
      </c>
      <c r="B9490" s="802"/>
      <c r="C9490" s="802"/>
      <c r="D9490" s="802"/>
      <c r="E9490" s="802"/>
      <c r="F9490" s="802"/>
      <c r="G9490" s="802"/>
      <c r="H9490" s="802"/>
      <c r="I9490" s="612"/>
      <c r="J9490" s="612"/>
      <c r="K9490" s="612"/>
      <c r="L9490" s="612"/>
    </row>
    <row r="9491" spans="1:12" ht="17.100000000000001" customHeight="1">
      <c r="A9491" s="612" t="s">
        <v>13679</v>
      </c>
      <c r="B9491" s="636" t="s">
        <v>12698</v>
      </c>
      <c r="C9491" s="612" t="s">
        <v>12699</v>
      </c>
      <c r="D9491" s="612" t="s">
        <v>12700</v>
      </c>
      <c r="E9491" s="637" t="s">
        <v>12702</v>
      </c>
      <c r="F9491" s="801" t="s">
        <v>12704</v>
      </c>
      <c r="G9491" s="801"/>
      <c r="H9491" s="801" t="s">
        <v>13678</v>
      </c>
      <c r="I9491" s="801"/>
      <c r="J9491" s="801" t="s">
        <v>12705</v>
      </c>
      <c r="K9491" s="801"/>
      <c r="L9491" s="801"/>
    </row>
    <row r="9492" spans="1:12" ht="24" customHeight="1">
      <c r="A9492" s="626" t="s">
        <v>12709</v>
      </c>
      <c r="B9492" s="627" t="s">
        <v>12998</v>
      </c>
      <c r="C9492" s="626" t="s">
        <v>8</v>
      </c>
      <c r="D9492" s="626" t="s">
        <v>11861</v>
      </c>
      <c r="E9492" s="628" t="s">
        <v>23</v>
      </c>
      <c r="F9492" s="816" t="s">
        <v>13683</v>
      </c>
      <c r="G9492" s="816"/>
      <c r="H9492" s="816">
        <v>0.28675220000000001</v>
      </c>
      <c r="I9492" s="816"/>
      <c r="J9492" s="817">
        <v>0.2036</v>
      </c>
      <c r="K9492" s="817"/>
      <c r="L9492" s="817"/>
    </row>
    <row r="9493" spans="1:12" ht="17.100000000000001" customHeight="1">
      <c r="A9493" s="636"/>
      <c r="B9493" s="636"/>
      <c r="C9493" s="636"/>
      <c r="D9493" s="636"/>
      <c r="E9493" s="636"/>
      <c r="F9493" s="636"/>
      <c r="G9493" s="636"/>
      <c r="H9493" s="636"/>
      <c r="I9493" s="636"/>
      <c r="J9493" s="636" t="s">
        <v>13675</v>
      </c>
      <c r="K9493" s="636"/>
      <c r="L9493" s="636" t="s">
        <v>13855</v>
      </c>
    </row>
    <row r="9494" spans="1:12">
      <c r="A9494" s="802" t="s">
        <v>12713</v>
      </c>
      <c r="B9494" s="802"/>
      <c r="C9494" s="802"/>
      <c r="D9494" s="802"/>
      <c r="E9494" s="802"/>
      <c r="F9494" s="802"/>
      <c r="G9494" s="802"/>
      <c r="H9494" s="802"/>
      <c r="I9494" s="612"/>
      <c r="J9494" s="612"/>
      <c r="K9494" s="612"/>
      <c r="L9494" s="612"/>
    </row>
    <row r="9495" spans="1:12" ht="17.100000000000001" customHeight="1">
      <c r="A9495" s="612" t="s">
        <v>13679</v>
      </c>
      <c r="B9495" s="636" t="s">
        <v>12698</v>
      </c>
      <c r="C9495" s="612" t="s">
        <v>12699</v>
      </c>
      <c r="D9495" s="612" t="s">
        <v>12700</v>
      </c>
      <c r="E9495" s="637" t="s">
        <v>12702</v>
      </c>
      <c r="F9495" s="801" t="s">
        <v>12704</v>
      </c>
      <c r="G9495" s="801"/>
      <c r="H9495" s="801" t="s">
        <v>13678</v>
      </c>
      <c r="I9495" s="801"/>
      <c r="J9495" s="801" t="s">
        <v>12705</v>
      </c>
      <c r="K9495" s="801"/>
      <c r="L9495" s="801"/>
    </row>
    <row r="9496" spans="1:12" ht="24" customHeight="1">
      <c r="A9496" s="626" t="s">
        <v>12709</v>
      </c>
      <c r="B9496" s="627" t="s">
        <v>12999</v>
      </c>
      <c r="C9496" s="626" t="s">
        <v>8</v>
      </c>
      <c r="D9496" s="626" t="s">
        <v>11251</v>
      </c>
      <c r="E9496" s="628" t="s">
        <v>23</v>
      </c>
      <c r="F9496" s="816" t="s">
        <v>13681</v>
      </c>
      <c r="G9496" s="816"/>
      <c r="H9496" s="816">
        <v>0.28675220000000001</v>
      </c>
      <c r="I9496" s="816"/>
      <c r="J9496" s="817">
        <v>2.01E-2</v>
      </c>
      <c r="K9496" s="817"/>
      <c r="L9496" s="817"/>
    </row>
    <row r="9497" spans="1:12" ht="24" customHeight="1">
      <c r="A9497" s="636"/>
      <c r="B9497" s="636"/>
      <c r="C9497" s="636"/>
      <c r="D9497" s="636"/>
      <c r="E9497" s="636"/>
      <c r="F9497" s="636"/>
      <c r="G9497" s="636"/>
      <c r="H9497" s="636"/>
      <c r="I9497" s="636"/>
      <c r="J9497" s="636" t="s">
        <v>13675</v>
      </c>
      <c r="K9497" s="636"/>
      <c r="L9497" s="636" t="s">
        <v>13680</v>
      </c>
    </row>
    <row r="9498" spans="1:12" ht="17.100000000000001" customHeight="1">
      <c r="A9498" s="802" t="s">
        <v>12712</v>
      </c>
      <c r="B9498" s="802"/>
      <c r="C9498" s="802"/>
      <c r="D9498" s="802"/>
      <c r="E9498" s="802"/>
      <c r="F9498" s="802"/>
      <c r="G9498" s="802"/>
      <c r="H9498" s="802"/>
      <c r="I9498" s="612"/>
      <c r="J9498" s="612"/>
      <c r="K9498" s="612"/>
      <c r="L9498" s="612"/>
    </row>
    <row r="9499" spans="1:12" ht="17.100000000000001" customHeight="1">
      <c r="A9499" s="612" t="s">
        <v>13679</v>
      </c>
      <c r="B9499" s="636" t="s">
        <v>12698</v>
      </c>
      <c r="C9499" s="612" t="s">
        <v>12699</v>
      </c>
      <c r="D9499" s="612" t="s">
        <v>12700</v>
      </c>
      <c r="E9499" s="637" t="s">
        <v>12702</v>
      </c>
      <c r="F9499" s="801" t="s">
        <v>12704</v>
      </c>
      <c r="G9499" s="801"/>
      <c r="H9499" s="801" t="s">
        <v>13678</v>
      </c>
      <c r="I9499" s="801"/>
      <c r="J9499" s="801" t="s">
        <v>12705</v>
      </c>
      <c r="K9499" s="801"/>
      <c r="L9499" s="801"/>
    </row>
    <row r="9500" spans="1:12" ht="17.100000000000001" customHeight="1">
      <c r="A9500" s="626" t="s">
        <v>12709</v>
      </c>
      <c r="B9500" s="627" t="s">
        <v>13002</v>
      </c>
      <c r="C9500" s="626" t="s">
        <v>8</v>
      </c>
      <c r="D9500" s="626" t="s">
        <v>9306</v>
      </c>
      <c r="E9500" s="628" t="s">
        <v>23</v>
      </c>
      <c r="F9500" s="816" t="s">
        <v>13677</v>
      </c>
      <c r="G9500" s="816"/>
      <c r="H9500" s="816">
        <v>0.28675220000000001</v>
      </c>
      <c r="I9500" s="816"/>
      <c r="J9500" s="817">
        <v>0.1004</v>
      </c>
      <c r="K9500" s="817"/>
      <c r="L9500" s="817"/>
    </row>
    <row r="9501" spans="1:12" ht="17.100000000000001" customHeight="1">
      <c r="A9501" s="626" t="s">
        <v>12709</v>
      </c>
      <c r="B9501" s="627" t="s">
        <v>13004</v>
      </c>
      <c r="C9501" s="626" t="s">
        <v>8</v>
      </c>
      <c r="D9501" s="626" t="s">
        <v>7388</v>
      </c>
      <c r="E9501" s="628" t="s">
        <v>23</v>
      </c>
      <c r="F9501" s="816" t="s">
        <v>13676</v>
      </c>
      <c r="G9501" s="816"/>
      <c r="H9501" s="816">
        <v>0.28675220000000001</v>
      </c>
      <c r="I9501" s="816"/>
      <c r="J9501" s="817">
        <v>0.63090000000000002</v>
      </c>
      <c r="K9501" s="817"/>
      <c r="L9501" s="817"/>
    </row>
    <row r="9502" spans="1:12" ht="17.100000000000001" customHeight="1">
      <c r="A9502" s="636"/>
      <c r="B9502" s="636"/>
      <c r="C9502" s="636"/>
      <c r="D9502" s="636"/>
      <c r="E9502" s="636"/>
      <c r="F9502" s="636"/>
      <c r="G9502" s="636"/>
      <c r="H9502" s="636"/>
      <c r="I9502" s="636"/>
      <c r="J9502" s="636" t="s">
        <v>13675</v>
      </c>
      <c r="K9502" s="636"/>
      <c r="L9502" s="636" t="s">
        <v>13820</v>
      </c>
    </row>
    <row r="9503" spans="1:12" ht="17.100000000000001" customHeight="1">
      <c r="A9503" s="612" t="s">
        <v>13673</v>
      </c>
      <c r="B9503" s="612"/>
      <c r="C9503" s="612"/>
      <c r="D9503" s="612"/>
      <c r="E9503" s="612"/>
      <c r="F9503" s="612"/>
      <c r="G9503" s="612"/>
      <c r="H9503" s="612"/>
      <c r="I9503" s="612"/>
      <c r="J9503" s="612"/>
      <c r="K9503" s="612"/>
      <c r="L9503" s="612"/>
    </row>
    <row r="9504" spans="1:12" ht="17.100000000000001" customHeight="1">
      <c r="A9504" s="636"/>
      <c r="B9504" s="636"/>
      <c r="C9504" s="636"/>
      <c r="D9504" s="636"/>
      <c r="E9504" s="636"/>
      <c r="F9504" s="636"/>
      <c r="G9504" s="636"/>
      <c r="H9504" s="636"/>
      <c r="I9504" s="636"/>
      <c r="J9504" s="636" t="s">
        <v>13672</v>
      </c>
      <c r="K9504" s="636"/>
      <c r="L9504" s="636" t="s">
        <v>15632</v>
      </c>
    </row>
    <row r="9505" spans="1:12" ht="30" customHeight="1">
      <c r="A9505" s="636"/>
      <c r="B9505" s="636"/>
      <c r="C9505" s="636"/>
      <c r="D9505" s="636"/>
      <c r="E9505" s="636"/>
      <c r="F9505" s="636"/>
      <c r="G9505" s="636"/>
      <c r="H9505" s="636"/>
      <c r="I9505" s="636"/>
      <c r="J9505" s="636" t="s">
        <v>13671</v>
      </c>
      <c r="K9505" s="636" t="s">
        <v>14461</v>
      </c>
      <c r="L9505" s="636" t="s">
        <v>15633</v>
      </c>
    </row>
    <row r="9506" spans="1:12" ht="24" customHeight="1">
      <c r="A9506" s="636"/>
      <c r="B9506" s="636"/>
      <c r="C9506" s="636"/>
      <c r="D9506" s="636"/>
      <c r="E9506" s="636"/>
      <c r="F9506" s="636"/>
      <c r="G9506" s="636"/>
      <c r="H9506" s="636"/>
      <c r="I9506" s="636"/>
      <c r="J9506" s="636" t="s">
        <v>13670</v>
      </c>
      <c r="K9506" s="636"/>
      <c r="L9506" s="636" t="s">
        <v>15634</v>
      </c>
    </row>
    <row r="9507" spans="1:12" ht="14.25" customHeight="1">
      <c r="A9507" s="636"/>
      <c r="B9507" s="636"/>
      <c r="C9507" s="636"/>
      <c r="D9507" s="636"/>
      <c r="E9507" s="636"/>
      <c r="F9507" s="636"/>
      <c r="G9507" s="636"/>
      <c r="H9507" s="636"/>
      <c r="I9507" s="636"/>
      <c r="J9507" s="636" t="s">
        <v>13669</v>
      </c>
      <c r="K9507" s="636" t="s">
        <v>13667</v>
      </c>
      <c r="L9507" s="636" t="s">
        <v>15635</v>
      </c>
    </row>
    <row r="9508" spans="1:12" ht="17.100000000000001" customHeight="1">
      <c r="A9508" s="636"/>
      <c r="B9508" s="636"/>
      <c r="C9508" s="636"/>
      <c r="D9508" s="636"/>
      <c r="E9508" s="636"/>
      <c r="F9508" s="636"/>
      <c r="G9508" s="636"/>
      <c r="H9508" s="636"/>
      <c r="I9508" s="636"/>
      <c r="J9508" s="636" t="s">
        <v>13668</v>
      </c>
      <c r="K9508" s="636"/>
      <c r="L9508" s="636" t="s">
        <v>15636</v>
      </c>
    </row>
    <row r="9509" spans="1:12" ht="24" customHeight="1">
      <c r="A9509" s="637"/>
      <c r="B9509" s="637"/>
      <c r="C9509" s="637"/>
      <c r="D9509" s="637"/>
      <c r="E9509" s="637"/>
      <c r="F9509" s="637"/>
      <c r="G9509" s="637"/>
      <c r="H9509" s="637"/>
      <c r="I9509" s="637"/>
      <c r="J9509" s="637"/>
      <c r="K9509" s="637"/>
      <c r="L9509" s="637"/>
    </row>
    <row r="9510" spans="1:12" ht="24" customHeight="1">
      <c r="A9510" s="616" t="s">
        <v>14559</v>
      </c>
      <c r="B9510" s="617" t="s">
        <v>13382</v>
      </c>
      <c r="C9510" s="616" t="s">
        <v>8</v>
      </c>
      <c r="D9510" s="616" t="s">
        <v>2481</v>
      </c>
      <c r="E9510" s="618" t="s">
        <v>17</v>
      </c>
      <c r="F9510" s="617"/>
      <c r="G9510" s="617"/>
      <c r="H9510" s="617"/>
      <c r="I9510" s="617"/>
      <c r="J9510" s="617"/>
      <c r="K9510" s="617"/>
      <c r="L9510" s="617"/>
    </row>
    <row r="9511" spans="1:12" ht="17.100000000000001" customHeight="1">
      <c r="A9511" s="802" t="s">
        <v>12711</v>
      </c>
      <c r="B9511" s="802"/>
      <c r="C9511" s="802"/>
      <c r="D9511" s="802"/>
      <c r="E9511" s="802"/>
      <c r="F9511" s="802"/>
      <c r="G9511" s="802"/>
      <c r="H9511" s="802"/>
      <c r="I9511" s="612"/>
      <c r="J9511" s="612"/>
      <c r="K9511" s="612"/>
      <c r="L9511" s="612"/>
    </row>
    <row r="9512" spans="1:12" ht="14.25" customHeight="1">
      <c r="A9512" s="612" t="s">
        <v>13679</v>
      </c>
      <c r="B9512" s="636" t="s">
        <v>12698</v>
      </c>
      <c r="C9512" s="612" t="s">
        <v>12699</v>
      </c>
      <c r="D9512" s="612" t="s">
        <v>12700</v>
      </c>
      <c r="E9512" s="637" t="s">
        <v>12702</v>
      </c>
      <c r="F9512" s="801" t="s">
        <v>12704</v>
      </c>
      <c r="G9512" s="801"/>
      <c r="H9512" s="801" t="s">
        <v>13678</v>
      </c>
      <c r="I9512" s="801"/>
      <c r="J9512" s="801" t="s">
        <v>12705</v>
      </c>
      <c r="K9512" s="801"/>
      <c r="L9512" s="801"/>
    </row>
    <row r="9513" spans="1:12" ht="17.100000000000001" customHeight="1">
      <c r="A9513" s="626" t="s">
        <v>12709</v>
      </c>
      <c r="B9513" s="627" t="s">
        <v>13201</v>
      </c>
      <c r="C9513" s="626" t="s">
        <v>8</v>
      </c>
      <c r="D9513" s="626" t="s">
        <v>9221</v>
      </c>
      <c r="E9513" s="628" t="s">
        <v>23</v>
      </c>
      <c r="F9513" s="816" t="s">
        <v>13705</v>
      </c>
      <c r="G9513" s="816"/>
      <c r="H9513" s="816">
        <v>7.8080700000000003E-2</v>
      </c>
      <c r="I9513" s="816"/>
      <c r="J9513" s="817">
        <v>6.4799999999999996E-2</v>
      </c>
      <c r="K9513" s="817"/>
      <c r="L9513" s="817"/>
    </row>
    <row r="9514" spans="1:12" ht="24" customHeight="1">
      <c r="A9514" s="626" t="s">
        <v>12709</v>
      </c>
      <c r="B9514" s="627" t="s">
        <v>13200</v>
      </c>
      <c r="C9514" s="626" t="s">
        <v>8</v>
      </c>
      <c r="D9514" s="626" t="s">
        <v>9368</v>
      </c>
      <c r="E9514" s="628" t="s">
        <v>23</v>
      </c>
      <c r="F9514" s="816" t="s">
        <v>13704</v>
      </c>
      <c r="G9514" s="816"/>
      <c r="H9514" s="816">
        <v>7.8080700000000003E-2</v>
      </c>
      <c r="I9514" s="816"/>
      <c r="J9514" s="817">
        <v>1.8700000000000001E-2</v>
      </c>
      <c r="K9514" s="817"/>
      <c r="L9514" s="817"/>
    </row>
    <row r="9515" spans="1:12" ht="24" customHeight="1">
      <c r="A9515" s="626" t="s">
        <v>12709</v>
      </c>
      <c r="B9515" s="627" t="s">
        <v>13134</v>
      </c>
      <c r="C9515" s="626" t="s">
        <v>8</v>
      </c>
      <c r="D9515" s="626" t="s">
        <v>9219</v>
      </c>
      <c r="E9515" s="628" t="s">
        <v>23</v>
      </c>
      <c r="F9515" s="816" t="s">
        <v>13782</v>
      </c>
      <c r="G9515" s="816"/>
      <c r="H9515" s="816">
        <v>0.13837079999999999</v>
      </c>
      <c r="I9515" s="816"/>
      <c r="J9515" s="817">
        <v>0.12870000000000001</v>
      </c>
      <c r="K9515" s="817"/>
      <c r="L9515" s="817"/>
    </row>
    <row r="9516" spans="1:12" ht="17.100000000000001" customHeight="1">
      <c r="A9516" s="626" t="s">
        <v>12709</v>
      </c>
      <c r="B9516" s="627" t="s">
        <v>13133</v>
      </c>
      <c r="C9516" s="626" t="s">
        <v>8</v>
      </c>
      <c r="D9516" s="626" t="s">
        <v>9366</v>
      </c>
      <c r="E9516" s="628" t="s">
        <v>23</v>
      </c>
      <c r="F9516" s="816" t="s">
        <v>13781</v>
      </c>
      <c r="G9516" s="816"/>
      <c r="H9516" s="816">
        <v>0.13837079999999999</v>
      </c>
      <c r="I9516" s="816"/>
      <c r="J9516" s="817">
        <v>7.6100000000000001E-2</v>
      </c>
      <c r="K9516" s="817"/>
      <c r="L9516" s="817"/>
    </row>
    <row r="9517" spans="1:12">
      <c r="A9517" s="636"/>
      <c r="B9517" s="636"/>
      <c r="C9517" s="636"/>
      <c r="D9517" s="636"/>
      <c r="E9517" s="636"/>
      <c r="F9517" s="636"/>
      <c r="G9517" s="636"/>
      <c r="H9517" s="636"/>
      <c r="I9517" s="636"/>
      <c r="J9517" s="636" t="s">
        <v>13675</v>
      </c>
      <c r="K9517" s="636"/>
      <c r="L9517" s="636" t="s">
        <v>13854</v>
      </c>
    </row>
    <row r="9518" spans="1:12" ht="17.100000000000001" customHeight="1">
      <c r="A9518" s="802" t="s">
        <v>12710</v>
      </c>
      <c r="B9518" s="802"/>
      <c r="C9518" s="802"/>
      <c r="D9518" s="802"/>
      <c r="E9518" s="802"/>
      <c r="F9518" s="802"/>
      <c r="G9518" s="802"/>
      <c r="H9518" s="802"/>
      <c r="I9518" s="612"/>
      <c r="J9518" s="612"/>
      <c r="K9518" s="612"/>
      <c r="L9518" s="612"/>
    </row>
    <row r="9519" spans="1:12" ht="36" customHeight="1">
      <c r="A9519" s="612" t="s">
        <v>13679</v>
      </c>
      <c r="B9519" s="636" t="s">
        <v>12698</v>
      </c>
      <c r="C9519" s="612" t="s">
        <v>12699</v>
      </c>
      <c r="D9519" s="612" t="s">
        <v>12700</v>
      </c>
      <c r="E9519" s="637" t="s">
        <v>12702</v>
      </c>
      <c r="F9519" s="801" t="s">
        <v>12704</v>
      </c>
      <c r="G9519" s="801"/>
      <c r="H9519" s="801" t="s">
        <v>13678</v>
      </c>
      <c r="I9519" s="801"/>
      <c r="J9519" s="801" t="s">
        <v>12705</v>
      </c>
      <c r="K9519" s="801"/>
      <c r="L9519" s="801"/>
    </row>
    <row r="9520" spans="1:12" ht="24" customHeight="1">
      <c r="A9520" s="626" t="s">
        <v>12709</v>
      </c>
      <c r="B9520" s="627" t="s">
        <v>13220</v>
      </c>
      <c r="C9520" s="626" t="s">
        <v>8</v>
      </c>
      <c r="D9520" s="626" t="s">
        <v>7592</v>
      </c>
      <c r="E9520" s="628" t="s">
        <v>23</v>
      </c>
      <c r="F9520" s="816" t="s">
        <v>13890</v>
      </c>
      <c r="G9520" s="816"/>
      <c r="H9520" s="816">
        <v>1.0027899999999999E-2</v>
      </c>
      <c r="I9520" s="816"/>
      <c r="J9520" s="817">
        <v>5.0700000000000002E-2</v>
      </c>
      <c r="K9520" s="817"/>
      <c r="L9520" s="817"/>
    </row>
    <row r="9521" spans="1:12" ht="17.100000000000001" customHeight="1">
      <c r="A9521" s="626" t="s">
        <v>12709</v>
      </c>
      <c r="B9521" s="627" t="s">
        <v>13202</v>
      </c>
      <c r="C9521" s="626" t="s">
        <v>8</v>
      </c>
      <c r="D9521" s="626" t="s">
        <v>9187</v>
      </c>
      <c r="E9521" s="628" t="s">
        <v>23</v>
      </c>
      <c r="F9521" s="816" t="s">
        <v>14479</v>
      </c>
      <c r="G9521" s="816"/>
      <c r="H9521" s="816">
        <v>6.9192299999999998E-2</v>
      </c>
      <c r="I9521" s="816"/>
      <c r="J9521" s="817">
        <v>0.49469999999999997</v>
      </c>
      <c r="K9521" s="817"/>
      <c r="L9521" s="817"/>
    </row>
    <row r="9522" spans="1:12" ht="25.5">
      <c r="A9522" s="626" t="s">
        <v>12709</v>
      </c>
      <c r="B9522" s="627" t="s">
        <v>13222</v>
      </c>
      <c r="C9522" s="626" t="s">
        <v>8</v>
      </c>
      <c r="D9522" s="626" t="s">
        <v>7364</v>
      </c>
      <c r="E9522" s="628" t="s">
        <v>23</v>
      </c>
      <c r="F9522" s="816" t="s">
        <v>13808</v>
      </c>
      <c r="G9522" s="816"/>
      <c r="H9522" s="816">
        <v>7.1117299999999994E-2</v>
      </c>
      <c r="I9522" s="816"/>
      <c r="J9522" s="817">
        <v>0.35699999999999998</v>
      </c>
      <c r="K9522" s="817"/>
      <c r="L9522" s="817"/>
    </row>
    <row r="9523" spans="1:12" ht="17.100000000000001" customHeight="1">
      <c r="A9523" s="626" t="s">
        <v>12709</v>
      </c>
      <c r="B9523" s="627" t="s">
        <v>13204</v>
      </c>
      <c r="C9523" s="626" t="s">
        <v>8</v>
      </c>
      <c r="D9523" s="626" t="s">
        <v>9112</v>
      </c>
      <c r="E9523" s="628" t="s">
        <v>23</v>
      </c>
      <c r="F9523" s="816" t="s">
        <v>14479</v>
      </c>
      <c r="G9523" s="816"/>
      <c r="H9523" s="816">
        <v>7.1117299999999994E-2</v>
      </c>
      <c r="I9523" s="816"/>
      <c r="J9523" s="817">
        <v>0.50849999999999995</v>
      </c>
      <c r="K9523" s="817"/>
      <c r="L9523" s="817"/>
    </row>
    <row r="9524" spans="1:12" ht="24" customHeight="1">
      <c r="A9524" s="636"/>
      <c r="B9524" s="636"/>
      <c r="C9524" s="636"/>
      <c r="D9524" s="636"/>
      <c r="E9524" s="636"/>
      <c r="F9524" s="636"/>
      <c r="G9524" s="636"/>
      <c r="H9524" s="636"/>
      <c r="I9524" s="636"/>
      <c r="J9524" s="636" t="s">
        <v>13675</v>
      </c>
      <c r="K9524" s="636"/>
      <c r="L9524" s="636" t="s">
        <v>14558</v>
      </c>
    </row>
    <row r="9525" spans="1:12" ht="17.100000000000001" customHeight="1">
      <c r="A9525" s="802" t="s">
        <v>12720</v>
      </c>
      <c r="B9525" s="802"/>
      <c r="C9525" s="802"/>
      <c r="D9525" s="802"/>
      <c r="E9525" s="802"/>
      <c r="F9525" s="802"/>
      <c r="G9525" s="802"/>
      <c r="H9525" s="802"/>
      <c r="I9525" s="612"/>
      <c r="J9525" s="612"/>
      <c r="K9525" s="612"/>
      <c r="L9525" s="612"/>
    </row>
    <row r="9526" spans="1:12">
      <c r="A9526" s="612" t="s">
        <v>13679</v>
      </c>
      <c r="B9526" s="636" t="s">
        <v>12698</v>
      </c>
      <c r="C9526" s="612" t="s">
        <v>12699</v>
      </c>
      <c r="D9526" s="612" t="s">
        <v>12700</v>
      </c>
      <c r="E9526" s="637" t="s">
        <v>12702</v>
      </c>
      <c r="F9526" s="801" t="s">
        <v>12704</v>
      </c>
      <c r="G9526" s="801"/>
      <c r="H9526" s="801" t="s">
        <v>13678</v>
      </c>
      <c r="I9526" s="801"/>
      <c r="J9526" s="801" t="s">
        <v>12705</v>
      </c>
      <c r="K9526" s="801"/>
      <c r="L9526" s="801"/>
    </row>
    <row r="9527" spans="1:12" ht="17.100000000000001" customHeight="1">
      <c r="A9527" s="626" t="s">
        <v>12709</v>
      </c>
      <c r="B9527" s="627" t="s">
        <v>13381</v>
      </c>
      <c r="C9527" s="626" t="s">
        <v>8</v>
      </c>
      <c r="D9527" s="626" t="s">
        <v>9154</v>
      </c>
      <c r="E9527" s="628" t="s">
        <v>17</v>
      </c>
      <c r="F9527" s="816" t="s">
        <v>13851</v>
      </c>
      <c r="G9527" s="816"/>
      <c r="H9527" s="816">
        <v>1.1000000000000001</v>
      </c>
      <c r="I9527" s="816"/>
      <c r="J9527" s="817">
        <v>1.51</v>
      </c>
      <c r="K9527" s="817"/>
      <c r="L9527" s="817"/>
    </row>
    <row r="9528" spans="1:12" ht="24" customHeight="1">
      <c r="A9528" s="626" t="s">
        <v>12709</v>
      </c>
      <c r="B9528" s="627" t="s">
        <v>13186</v>
      </c>
      <c r="C9528" s="626" t="s">
        <v>8</v>
      </c>
      <c r="D9528" s="626" t="s">
        <v>7217</v>
      </c>
      <c r="E9528" s="628" t="s">
        <v>35</v>
      </c>
      <c r="F9528" s="816" t="s">
        <v>13805</v>
      </c>
      <c r="G9528" s="816"/>
      <c r="H9528" s="816">
        <v>0.6424358</v>
      </c>
      <c r="I9528" s="816"/>
      <c r="J9528" s="817">
        <v>0.85440000000000005</v>
      </c>
      <c r="K9528" s="817"/>
      <c r="L9528" s="817"/>
    </row>
    <row r="9529" spans="1:12" ht="17.100000000000001" customHeight="1">
      <c r="A9529" s="636"/>
      <c r="B9529" s="636"/>
      <c r="C9529" s="636"/>
      <c r="D9529" s="636"/>
      <c r="E9529" s="636"/>
      <c r="F9529" s="636"/>
      <c r="G9529" s="636"/>
      <c r="H9529" s="636"/>
      <c r="I9529" s="636"/>
      <c r="J9529" s="636" t="s">
        <v>13675</v>
      </c>
      <c r="K9529" s="636"/>
      <c r="L9529" s="636" t="s">
        <v>14557</v>
      </c>
    </row>
    <row r="9530" spans="1:12">
      <c r="A9530" s="802" t="s">
        <v>12722</v>
      </c>
      <c r="B9530" s="802"/>
      <c r="C9530" s="802"/>
      <c r="D9530" s="802"/>
      <c r="E9530" s="802"/>
      <c r="F9530" s="802"/>
      <c r="G9530" s="802"/>
      <c r="H9530" s="802"/>
      <c r="I9530" s="612"/>
      <c r="J9530" s="612"/>
      <c r="K9530" s="612"/>
      <c r="L9530" s="612"/>
    </row>
    <row r="9531" spans="1:12" ht="17.100000000000001" customHeight="1">
      <c r="A9531" s="612" t="s">
        <v>13679</v>
      </c>
      <c r="B9531" s="636" t="s">
        <v>12698</v>
      </c>
      <c r="C9531" s="612" t="s">
        <v>12699</v>
      </c>
      <c r="D9531" s="612" t="s">
        <v>12700</v>
      </c>
      <c r="E9531" s="637" t="s">
        <v>12702</v>
      </c>
      <c r="F9531" s="801" t="s">
        <v>12704</v>
      </c>
      <c r="G9531" s="801"/>
      <c r="H9531" s="801" t="s">
        <v>13678</v>
      </c>
      <c r="I9531" s="801"/>
      <c r="J9531" s="801" t="s">
        <v>12705</v>
      </c>
      <c r="K9531" s="801"/>
      <c r="L9531" s="801"/>
    </row>
    <row r="9532" spans="1:12" ht="24" customHeight="1">
      <c r="A9532" s="626" t="s">
        <v>12709</v>
      </c>
      <c r="B9532" s="627" t="s">
        <v>12998</v>
      </c>
      <c r="C9532" s="626" t="s">
        <v>8</v>
      </c>
      <c r="D9532" s="626" t="s">
        <v>11861</v>
      </c>
      <c r="E9532" s="628" t="s">
        <v>23</v>
      </c>
      <c r="F9532" s="816" t="s">
        <v>13683</v>
      </c>
      <c r="G9532" s="816"/>
      <c r="H9532" s="816">
        <v>0.21645139999999999</v>
      </c>
      <c r="I9532" s="816"/>
      <c r="J9532" s="817">
        <v>0.1537</v>
      </c>
      <c r="K9532" s="817"/>
      <c r="L9532" s="817"/>
    </row>
    <row r="9533" spans="1:12" ht="24" customHeight="1">
      <c r="A9533" s="636"/>
      <c r="B9533" s="636"/>
      <c r="C9533" s="636"/>
      <c r="D9533" s="636"/>
      <c r="E9533" s="636"/>
      <c r="F9533" s="636"/>
      <c r="G9533" s="636"/>
      <c r="H9533" s="636"/>
      <c r="I9533" s="636"/>
      <c r="J9533" s="636" t="s">
        <v>13675</v>
      </c>
      <c r="K9533" s="636"/>
      <c r="L9533" s="636" t="s">
        <v>13795</v>
      </c>
    </row>
    <row r="9534" spans="1:12" ht="17.100000000000001" customHeight="1">
      <c r="A9534" s="802" t="s">
        <v>12713</v>
      </c>
      <c r="B9534" s="802"/>
      <c r="C9534" s="802"/>
      <c r="D9534" s="802"/>
      <c r="E9534" s="802"/>
      <c r="F9534" s="802"/>
      <c r="G9534" s="802"/>
      <c r="H9534" s="802"/>
      <c r="I9534" s="612"/>
      <c r="J9534" s="612"/>
      <c r="K9534" s="612"/>
      <c r="L9534" s="612"/>
    </row>
    <row r="9535" spans="1:12" ht="17.100000000000001" customHeight="1">
      <c r="A9535" s="612" t="s">
        <v>13679</v>
      </c>
      <c r="B9535" s="636" t="s">
        <v>12698</v>
      </c>
      <c r="C9535" s="612" t="s">
        <v>12699</v>
      </c>
      <c r="D9535" s="612" t="s">
        <v>12700</v>
      </c>
      <c r="E9535" s="637" t="s">
        <v>12702</v>
      </c>
      <c r="F9535" s="801" t="s">
        <v>12704</v>
      </c>
      <c r="G9535" s="801"/>
      <c r="H9535" s="801" t="s">
        <v>13678</v>
      </c>
      <c r="I9535" s="801"/>
      <c r="J9535" s="801" t="s">
        <v>12705</v>
      </c>
      <c r="K9535" s="801"/>
      <c r="L9535" s="801"/>
    </row>
    <row r="9536" spans="1:12" ht="17.100000000000001" customHeight="1">
      <c r="A9536" s="626" t="s">
        <v>12709</v>
      </c>
      <c r="B9536" s="627" t="s">
        <v>12999</v>
      </c>
      <c r="C9536" s="626" t="s">
        <v>8</v>
      </c>
      <c r="D9536" s="626" t="s">
        <v>11251</v>
      </c>
      <c r="E9536" s="628" t="s">
        <v>23</v>
      </c>
      <c r="F9536" s="816" t="s">
        <v>13681</v>
      </c>
      <c r="G9536" s="816"/>
      <c r="H9536" s="816">
        <v>0.21645139999999999</v>
      </c>
      <c r="I9536" s="816"/>
      <c r="J9536" s="817">
        <v>1.52E-2</v>
      </c>
      <c r="K9536" s="817"/>
      <c r="L9536" s="817"/>
    </row>
    <row r="9537" spans="1:12" ht="17.100000000000001" customHeight="1">
      <c r="A9537" s="636"/>
      <c r="B9537" s="636"/>
      <c r="C9537" s="636"/>
      <c r="D9537" s="636"/>
      <c r="E9537" s="636"/>
      <c r="F9537" s="636"/>
      <c r="G9537" s="636"/>
      <c r="H9537" s="636"/>
      <c r="I9537" s="636"/>
      <c r="J9537" s="636" t="s">
        <v>13675</v>
      </c>
      <c r="K9537" s="636"/>
      <c r="L9537" s="636" t="s">
        <v>13680</v>
      </c>
    </row>
    <row r="9538" spans="1:12" ht="17.100000000000001" customHeight="1">
      <c r="A9538" s="802" t="s">
        <v>12712</v>
      </c>
      <c r="B9538" s="802"/>
      <c r="C9538" s="802"/>
      <c r="D9538" s="802"/>
      <c r="E9538" s="802"/>
      <c r="F9538" s="802"/>
      <c r="G9538" s="802"/>
      <c r="H9538" s="802"/>
      <c r="I9538" s="612"/>
      <c r="J9538" s="612"/>
      <c r="K9538" s="612"/>
      <c r="L9538" s="612"/>
    </row>
    <row r="9539" spans="1:12" ht="17.100000000000001" customHeight="1">
      <c r="A9539" s="612" t="s">
        <v>13679</v>
      </c>
      <c r="B9539" s="636" t="s">
        <v>12698</v>
      </c>
      <c r="C9539" s="612" t="s">
        <v>12699</v>
      </c>
      <c r="D9539" s="612" t="s">
        <v>12700</v>
      </c>
      <c r="E9539" s="637" t="s">
        <v>12702</v>
      </c>
      <c r="F9539" s="801" t="s">
        <v>12704</v>
      </c>
      <c r="G9539" s="801"/>
      <c r="H9539" s="801" t="s">
        <v>13678</v>
      </c>
      <c r="I9539" s="801"/>
      <c r="J9539" s="801" t="s">
        <v>12705</v>
      </c>
      <c r="K9539" s="801"/>
      <c r="L9539" s="801"/>
    </row>
    <row r="9540" spans="1:12" ht="17.100000000000001" customHeight="1">
      <c r="A9540" s="626" t="s">
        <v>12709</v>
      </c>
      <c r="B9540" s="627" t="s">
        <v>13002</v>
      </c>
      <c r="C9540" s="626" t="s">
        <v>8</v>
      </c>
      <c r="D9540" s="626" t="s">
        <v>9306</v>
      </c>
      <c r="E9540" s="628" t="s">
        <v>23</v>
      </c>
      <c r="F9540" s="816" t="s">
        <v>13677</v>
      </c>
      <c r="G9540" s="816"/>
      <c r="H9540" s="816">
        <v>0.21645139999999999</v>
      </c>
      <c r="I9540" s="816"/>
      <c r="J9540" s="817">
        <v>7.5800000000000006E-2</v>
      </c>
      <c r="K9540" s="817"/>
      <c r="L9540" s="817"/>
    </row>
    <row r="9541" spans="1:12" ht="30" customHeight="1">
      <c r="A9541" s="626" t="s">
        <v>12709</v>
      </c>
      <c r="B9541" s="627" t="s">
        <v>13004</v>
      </c>
      <c r="C9541" s="626" t="s">
        <v>8</v>
      </c>
      <c r="D9541" s="626" t="s">
        <v>7388</v>
      </c>
      <c r="E9541" s="628" t="s">
        <v>23</v>
      </c>
      <c r="F9541" s="816" t="s">
        <v>13676</v>
      </c>
      <c r="G9541" s="816"/>
      <c r="H9541" s="816">
        <v>0.21645139999999999</v>
      </c>
      <c r="I9541" s="816"/>
      <c r="J9541" s="817">
        <v>0.47620000000000001</v>
      </c>
      <c r="K9541" s="817"/>
      <c r="L9541" s="817"/>
    </row>
    <row r="9542" spans="1:12" ht="24" customHeight="1">
      <c r="A9542" s="636"/>
      <c r="B9542" s="636"/>
      <c r="C9542" s="636"/>
      <c r="D9542" s="636"/>
      <c r="E9542" s="636"/>
      <c r="F9542" s="636"/>
      <c r="G9542" s="636"/>
      <c r="H9542" s="636"/>
      <c r="I9542" s="636"/>
      <c r="J9542" s="636" t="s">
        <v>13675</v>
      </c>
      <c r="K9542" s="636"/>
      <c r="L9542" s="636" t="s">
        <v>13781</v>
      </c>
    </row>
    <row r="9543" spans="1:12" ht="14.25" customHeight="1">
      <c r="A9543" s="612" t="s">
        <v>13673</v>
      </c>
      <c r="B9543" s="612"/>
      <c r="C9543" s="612"/>
      <c r="D9543" s="612"/>
      <c r="E9543" s="612"/>
      <c r="F9543" s="612"/>
      <c r="G9543" s="612"/>
      <c r="H9543" s="612"/>
      <c r="I9543" s="612"/>
      <c r="J9543" s="612"/>
      <c r="K9543" s="612"/>
      <c r="L9543" s="612"/>
    </row>
    <row r="9544" spans="1:12" ht="17.100000000000001" customHeight="1">
      <c r="A9544" s="636"/>
      <c r="B9544" s="636"/>
      <c r="C9544" s="636"/>
      <c r="D9544" s="636"/>
      <c r="E9544" s="636"/>
      <c r="F9544" s="636"/>
      <c r="G9544" s="636"/>
      <c r="H9544" s="636"/>
      <c r="I9544" s="636"/>
      <c r="J9544" s="636" t="s">
        <v>13672</v>
      </c>
      <c r="K9544" s="636"/>
      <c r="L9544" s="636" t="s">
        <v>15637</v>
      </c>
    </row>
    <row r="9545" spans="1:12" ht="24" customHeight="1">
      <c r="A9545" s="636"/>
      <c r="B9545" s="636"/>
      <c r="C9545" s="636"/>
      <c r="D9545" s="636"/>
      <c r="E9545" s="636"/>
      <c r="F9545" s="636"/>
      <c r="G9545" s="636"/>
      <c r="H9545" s="636"/>
      <c r="I9545" s="636"/>
      <c r="J9545" s="636" t="s">
        <v>13671</v>
      </c>
      <c r="K9545" s="636" t="s">
        <v>14461</v>
      </c>
      <c r="L9545" s="636" t="s">
        <v>14973</v>
      </c>
    </row>
    <row r="9546" spans="1:12" ht="24" customHeight="1">
      <c r="A9546" s="636"/>
      <c r="B9546" s="636"/>
      <c r="C9546" s="636"/>
      <c r="D9546" s="636"/>
      <c r="E9546" s="636"/>
      <c r="F9546" s="636"/>
      <c r="G9546" s="636"/>
      <c r="H9546" s="636"/>
      <c r="I9546" s="636"/>
      <c r="J9546" s="636" t="s">
        <v>13670</v>
      </c>
      <c r="K9546" s="636"/>
      <c r="L9546" s="636" t="s">
        <v>15638</v>
      </c>
    </row>
    <row r="9547" spans="1:12" ht="17.100000000000001" customHeight="1">
      <c r="A9547" s="636"/>
      <c r="B9547" s="636"/>
      <c r="C9547" s="636"/>
      <c r="D9547" s="636"/>
      <c r="E9547" s="636"/>
      <c r="F9547" s="636"/>
      <c r="G9547" s="636"/>
      <c r="H9547" s="636"/>
      <c r="I9547" s="636"/>
      <c r="J9547" s="636" t="s">
        <v>13669</v>
      </c>
      <c r="K9547" s="636" t="s">
        <v>13667</v>
      </c>
      <c r="L9547" s="636" t="s">
        <v>15639</v>
      </c>
    </row>
    <row r="9548" spans="1:12" ht="14.25" customHeight="1">
      <c r="A9548" s="636"/>
      <c r="B9548" s="636"/>
      <c r="C9548" s="636"/>
      <c r="D9548" s="636"/>
      <c r="E9548" s="636"/>
      <c r="F9548" s="636"/>
      <c r="G9548" s="636"/>
      <c r="H9548" s="636"/>
      <c r="I9548" s="636"/>
      <c r="J9548" s="636" t="s">
        <v>13668</v>
      </c>
      <c r="K9548" s="636"/>
      <c r="L9548" s="636" t="s">
        <v>15640</v>
      </c>
    </row>
    <row r="9549" spans="1:12" ht="17.100000000000001" customHeight="1">
      <c r="A9549" s="637"/>
      <c r="B9549" s="637"/>
      <c r="C9549" s="637"/>
      <c r="D9549" s="637"/>
      <c r="E9549" s="637"/>
      <c r="F9549" s="637"/>
      <c r="G9549" s="637"/>
      <c r="H9549" s="637"/>
      <c r="I9549" s="637"/>
      <c r="J9549" s="637"/>
      <c r="K9549" s="637"/>
      <c r="L9549" s="637"/>
    </row>
    <row r="9550" spans="1:12" ht="24" customHeight="1">
      <c r="A9550" s="616" t="s">
        <v>14556</v>
      </c>
      <c r="B9550" s="617" t="s">
        <v>13380</v>
      </c>
      <c r="C9550" s="616" t="s">
        <v>8</v>
      </c>
      <c r="D9550" s="616" t="s">
        <v>3127</v>
      </c>
      <c r="E9550" s="618" t="s">
        <v>17</v>
      </c>
      <c r="F9550" s="617"/>
      <c r="G9550" s="617"/>
      <c r="H9550" s="617"/>
      <c r="I9550" s="617"/>
      <c r="J9550" s="617"/>
      <c r="K9550" s="617"/>
      <c r="L9550" s="617"/>
    </row>
    <row r="9551" spans="1:12" ht="24" customHeight="1">
      <c r="A9551" s="802" t="s">
        <v>12711</v>
      </c>
      <c r="B9551" s="802"/>
      <c r="C9551" s="802"/>
      <c r="D9551" s="802"/>
      <c r="E9551" s="802"/>
      <c r="F9551" s="802"/>
      <c r="G9551" s="802"/>
      <c r="H9551" s="802"/>
      <c r="I9551" s="612"/>
      <c r="J9551" s="612"/>
      <c r="K9551" s="612"/>
      <c r="L9551" s="612"/>
    </row>
    <row r="9552" spans="1:12" ht="17.100000000000001" customHeight="1">
      <c r="A9552" s="612" t="s">
        <v>13679</v>
      </c>
      <c r="B9552" s="636" t="s">
        <v>12698</v>
      </c>
      <c r="C9552" s="612" t="s">
        <v>12699</v>
      </c>
      <c r="D9552" s="612" t="s">
        <v>12700</v>
      </c>
      <c r="E9552" s="637" t="s">
        <v>12702</v>
      </c>
      <c r="F9552" s="801" t="s">
        <v>12704</v>
      </c>
      <c r="G9552" s="801"/>
      <c r="H9552" s="801" t="s">
        <v>13678</v>
      </c>
      <c r="I9552" s="801"/>
      <c r="J9552" s="801" t="s">
        <v>12705</v>
      </c>
      <c r="K9552" s="801"/>
      <c r="L9552" s="801"/>
    </row>
    <row r="9553" spans="1:12" ht="25.5">
      <c r="A9553" s="626" t="s">
        <v>12709</v>
      </c>
      <c r="B9553" s="627" t="s">
        <v>13134</v>
      </c>
      <c r="C9553" s="626" t="s">
        <v>8</v>
      </c>
      <c r="D9553" s="626" t="s">
        <v>9219</v>
      </c>
      <c r="E9553" s="628" t="s">
        <v>23</v>
      </c>
      <c r="F9553" s="816" t="s">
        <v>13782</v>
      </c>
      <c r="G9553" s="816"/>
      <c r="H9553" s="816">
        <v>0.2224988</v>
      </c>
      <c r="I9553" s="816"/>
      <c r="J9553" s="817">
        <v>0.2069</v>
      </c>
      <c r="K9553" s="817"/>
      <c r="L9553" s="817"/>
    </row>
    <row r="9554" spans="1:12" ht="17.100000000000001" customHeight="1">
      <c r="A9554" s="626" t="s">
        <v>12709</v>
      </c>
      <c r="B9554" s="627" t="s">
        <v>13133</v>
      </c>
      <c r="C9554" s="626" t="s">
        <v>8</v>
      </c>
      <c r="D9554" s="626" t="s">
        <v>9366</v>
      </c>
      <c r="E9554" s="628" t="s">
        <v>23</v>
      </c>
      <c r="F9554" s="816" t="s">
        <v>13781</v>
      </c>
      <c r="G9554" s="816"/>
      <c r="H9554" s="816">
        <v>0.2224988</v>
      </c>
      <c r="I9554" s="816"/>
      <c r="J9554" s="817">
        <v>0.12239999999999999</v>
      </c>
      <c r="K9554" s="817"/>
      <c r="L9554" s="817"/>
    </row>
    <row r="9555" spans="1:12" ht="24" customHeight="1">
      <c r="A9555" s="636"/>
      <c r="B9555" s="636"/>
      <c r="C9555" s="636"/>
      <c r="D9555" s="636"/>
      <c r="E9555" s="636"/>
      <c r="F9555" s="636"/>
      <c r="G9555" s="636"/>
      <c r="H9555" s="636"/>
      <c r="I9555" s="636"/>
      <c r="J9555" s="636" t="s">
        <v>13675</v>
      </c>
      <c r="K9555" s="636"/>
      <c r="L9555" s="636" t="s">
        <v>13823</v>
      </c>
    </row>
    <row r="9556" spans="1:12" ht="36" customHeight="1">
      <c r="A9556" s="802" t="s">
        <v>12710</v>
      </c>
      <c r="B9556" s="802"/>
      <c r="C9556" s="802"/>
      <c r="D9556" s="802"/>
      <c r="E9556" s="802"/>
      <c r="F9556" s="802"/>
      <c r="G9556" s="802"/>
      <c r="H9556" s="802"/>
      <c r="I9556" s="612"/>
      <c r="J9556" s="612"/>
      <c r="K9556" s="612"/>
      <c r="L9556" s="612"/>
    </row>
    <row r="9557" spans="1:12" ht="17.100000000000001" customHeight="1">
      <c r="A9557" s="612" t="s">
        <v>13679</v>
      </c>
      <c r="B9557" s="636" t="s">
        <v>12698</v>
      </c>
      <c r="C9557" s="612" t="s">
        <v>12699</v>
      </c>
      <c r="D9557" s="612" t="s">
        <v>12700</v>
      </c>
      <c r="E9557" s="637" t="s">
        <v>12702</v>
      </c>
      <c r="F9557" s="801" t="s">
        <v>12704</v>
      </c>
      <c r="G9557" s="801"/>
      <c r="H9557" s="801" t="s">
        <v>13678</v>
      </c>
      <c r="I9557" s="801"/>
      <c r="J9557" s="801" t="s">
        <v>12705</v>
      </c>
      <c r="K9557" s="801"/>
      <c r="L9557" s="801"/>
    </row>
    <row r="9558" spans="1:12" ht="25.5">
      <c r="A9558" s="626" t="s">
        <v>12709</v>
      </c>
      <c r="B9558" s="627" t="s">
        <v>13222</v>
      </c>
      <c r="C9558" s="626" t="s">
        <v>8</v>
      </c>
      <c r="D9558" s="626" t="s">
        <v>7364</v>
      </c>
      <c r="E9558" s="628" t="s">
        <v>23</v>
      </c>
      <c r="F9558" s="816" t="s">
        <v>13808</v>
      </c>
      <c r="G9558" s="816"/>
      <c r="H9558" s="816">
        <v>0.114161</v>
      </c>
      <c r="I9558" s="816"/>
      <c r="J9558" s="817">
        <v>0.57310000000000005</v>
      </c>
      <c r="K9558" s="817"/>
      <c r="L9558" s="817"/>
    </row>
    <row r="9559" spans="1:12" ht="17.100000000000001" customHeight="1">
      <c r="A9559" s="626" t="s">
        <v>12709</v>
      </c>
      <c r="B9559" s="627" t="s">
        <v>13204</v>
      </c>
      <c r="C9559" s="626" t="s">
        <v>8</v>
      </c>
      <c r="D9559" s="626" t="s">
        <v>9112</v>
      </c>
      <c r="E9559" s="628" t="s">
        <v>23</v>
      </c>
      <c r="F9559" s="816" t="s">
        <v>14479</v>
      </c>
      <c r="G9559" s="816"/>
      <c r="H9559" s="816">
        <v>0.114161</v>
      </c>
      <c r="I9559" s="816"/>
      <c r="J9559" s="817">
        <v>0.81630000000000003</v>
      </c>
      <c r="K9559" s="817"/>
      <c r="L9559" s="817"/>
    </row>
    <row r="9560" spans="1:12" ht="24" customHeight="1">
      <c r="A9560" s="636"/>
      <c r="B9560" s="636"/>
      <c r="C9560" s="636"/>
      <c r="D9560" s="636"/>
      <c r="E9560" s="636"/>
      <c r="F9560" s="636"/>
      <c r="G9560" s="636"/>
      <c r="H9560" s="636"/>
      <c r="I9560" s="636"/>
      <c r="J9560" s="636" t="s">
        <v>13675</v>
      </c>
      <c r="K9560" s="636"/>
      <c r="L9560" s="636" t="s">
        <v>13888</v>
      </c>
    </row>
    <row r="9561" spans="1:12" ht="17.100000000000001" customHeight="1">
      <c r="A9561" s="802" t="s">
        <v>12720</v>
      </c>
      <c r="B9561" s="802"/>
      <c r="C9561" s="802"/>
      <c r="D9561" s="802"/>
      <c r="E9561" s="802"/>
      <c r="F9561" s="802"/>
      <c r="G9561" s="802"/>
      <c r="H9561" s="802"/>
      <c r="I9561" s="612"/>
      <c r="J9561" s="612"/>
      <c r="K9561" s="612"/>
      <c r="L9561" s="612"/>
    </row>
    <row r="9562" spans="1:12">
      <c r="A9562" s="612" t="s">
        <v>13679</v>
      </c>
      <c r="B9562" s="636" t="s">
        <v>12698</v>
      </c>
      <c r="C9562" s="612" t="s">
        <v>12699</v>
      </c>
      <c r="D9562" s="612" t="s">
        <v>12700</v>
      </c>
      <c r="E9562" s="637" t="s">
        <v>12702</v>
      </c>
      <c r="F9562" s="801" t="s">
        <v>12704</v>
      </c>
      <c r="G9562" s="801"/>
      <c r="H9562" s="801" t="s">
        <v>13678</v>
      </c>
      <c r="I9562" s="801"/>
      <c r="J9562" s="801" t="s">
        <v>12705</v>
      </c>
      <c r="K9562" s="801"/>
      <c r="L9562" s="801"/>
    </row>
    <row r="9563" spans="1:12" ht="17.100000000000001" customHeight="1">
      <c r="A9563" s="626" t="s">
        <v>12709</v>
      </c>
      <c r="B9563" s="627" t="s">
        <v>13379</v>
      </c>
      <c r="C9563" s="626" t="s">
        <v>8</v>
      </c>
      <c r="D9563" s="626" t="s">
        <v>9121</v>
      </c>
      <c r="E9563" s="628" t="s">
        <v>17</v>
      </c>
      <c r="F9563" s="816" t="s">
        <v>14555</v>
      </c>
      <c r="G9563" s="816"/>
      <c r="H9563" s="816">
        <v>1.1000000000000001</v>
      </c>
      <c r="I9563" s="816"/>
      <c r="J9563" s="817">
        <v>6.63</v>
      </c>
      <c r="K9563" s="817"/>
      <c r="L9563" s="817"/>
    </row>
    <row r="9564" spans="1:12" ht="24" customHeight="1">
      <c r="A9564" s="636"/>
      <c r="B9564" s="636"/>
      <c r="C9564" s="636"/>
      <c r="D9564" s="636"/>
      <c r="E9564" s="636"/>
      <c r="F9564" s="636"/>
      <c r="G9564" s="636"/>
      <c r="H9564" s="636"/>
      <c r="I9564" s="636"/>
      <c r="J9564" s="636" t="s">
        <v>13675</v>
      </c>
      <c r="K9564" s="636"/>
      <c r="L9564" s="636" t="s">
        <v>13800</v>
      </c>
    </row>
    <row r="9565" spans="1:12" ht="17.100000000000001" customHeight="1">
      <c r="A9565" s="802" t="s">
        <v>12722</v>
      </c>
      <c r="B9565" s="802"/>
      <c r="C9565" s="802"/>
      <c r="D9565" s="802"/>
      <c r="E9565" s="802"/>
      <c r="F9565" s="802"/>
      <c r="G9565" s="802"/>
      <c r="H9565" s="802"/>
      <c r="I9565" s="612"/>
      <c r="J9565" s="612"/>
      <c r="K9565" s="612"/>
      <c r="L9565" s="612"/>
    </row>
    <row r="9566" spans="1:12">
      <c r="A9566" s="612" t="s">
        <v>13679</v>
      </c>
      <c r="B9566" s="636" t="s">
        <v>12698</v>
      </c>
      <c r="C9566" s="612" t="s">
        <v>12699</v>
      </c>
      <c r="D9566" s="612" t="s">
        <v>12700</v>
      </c>
      <c r="E9566" s="637" t="s">
        <v>12702</v>
      </c>
      <c r="F9566" s="801" t="s">
        <v>12704</v>
      </c>
      <c r="G9566" s="801"/>
      <c r="H9566" s="801" t="s">
        <v>13678</v>
      </c>
      <c r="I9566" s="801"/>
      <c r="J9566" s="801" t="s">
        <v>12705</v>
      </c>
      <c r="K9566" s="801"/>
      <c r="L9566" s="801"/>
    </row>
    <row r="9567" spans="1:12" ht="17.100000000000001" customHeight="1">
      <c r="A9567" s="626" t="s">
        <v>12709</v>
      </c>
      <c r="B9567" s="627" t="s">
        <v>12998</v>
      </c>
      <c r="C9567" s="626" t="s">
        <v>8</v>
      </c>
      <c r="D9567" s="626" t="s">
        <v>11861</v>
      </c>
      <c r="E9567" s="628" t="s">
        <v>23</v>
      </c>
      <c r="F9567" s="816" t="s">
        <v>13683</v>
      </c>
      <c r="G9567" s="816"/>
      <c r="H9567" s="816">
        <v>0.2224988</v>
      </c>
      <c r="I9567" s="816"/>
      <c r="J9567" s="817">
        <v>0.158</v>
      </c>
      <c r="K9567" s="817"/>
      <c r="L9567" s="817"/>
    </row>
    <row r="9568" spans="1:12" ht="24" customHeight="1">
      <c r="A9568" s="636"/>
      <c r="B9568" s="636"/>
      <c r="C9568" s="636"/>
      <c r="D9568" s="636"/>
      <c r="E9568" s="636"/>
      <c r="F9568" s="636"/>
      <c r="G9568" s="636"/>
      <c r="H9568" s="636"/>
      <c r="I9568" s="636"/>
      <c r="J9568" s="636" t="s">
        <v>13675</v>
      </c>
      <c r="K9568" s="636"/>
      <c r="L9568" s="636" t="s">
        <v>13850</v>
      </c>
    </row>
    <row r="9569" spans="1:12" ht="24" customHeight="1">
      <c r="A9569" s="802" t="s">
        <v>12713</v>
      </c>
      <c r="B9569" s="802"/>
      <c r="C9569" s="802"/>
      <c r="D9569" s="802"/>
      <c r="E9569" s="802"/>
      <c r="F9569" s="802"/>
      <c r="G9569" s="802"/>
      <c r="H9569" s="802"/>
      <c r="I9569" s="612"/>
      <c r="J9569" s="612"/>
      <c r="K9569" s="612"/>
      <c r="L9569" s="612"/>
    </row>
    <row r="9570" spans="1:12" ht="17.100000000000001" customHeight="1">
      <c r="A9570" s="612" t="s">
        <v>13679</v>
      </c>
      <c r="B9570" s="636" t="s">
        <v>12698</v>
      </c>
      <c r="C9570" s="612" t="s">
        <v>12699</v>
      </c>
      <c r="D9570" s="612" t="s">
        <v>12700</v>
      </c>
      <c r="E9570" s="637" t="s">
        <v>12702</v>
      </c>
      <c r="F9570" s="801" t="s">
        <v>12704</v>
      </c>
      <c r="G9570" s="801"/>
      <c r="H9570" s="801" t="s">
        <v>13678</v>
      </c>
      <c r="I9570" s="801"/>
      <c r="J9570" s="801" t="s">
        <v>12705</v>
      </c>
      <c r="K9570" s="801"/>
      <c r="L9570" s="801"/>
    </row>
    <row r="9571" spans="1:12" ht="17.100000000000001" customHeight="1">
      <c r="A9571" s="626" t="s">
        <v>12709</v>
      </c>
      <c r="B9571" s="627" t="s">
        <v>12999</v>
      </c>
      <c r="C9571" s="626" t="s">
        <v>8</v>
      </c>
      <c r="D9571" s="626" t="s">
        <v>11251</v>
      </c>
      <c r="E9571" s="628" t="s">
        <v>23</v>
      </c>
      <c r="F9571" s="816" t="s">
        <v>13681</v>
      </c>
      <c r="G9571" s="816"/>
      <c r="H9571" s="816">
        <v>0.2224988</v>
      </c>
      <c r="I9571" s="816"/>
      <c r="J9571" s="817">
        <v>1.5599999999999999E-2</v>
      </c>
      <c r="K9571" s="817"/>
      <c r="L9571" s="817"/>
    </row>
    <row r="9572" spans="1:12" ht="17.100000000000001" customHeight="1">
      <c r="A9572" s="636"/>
      <c r="B9572" s="636"/>
      <c r="C9572" s="636"/>
      <c r="D9572" s="636"/>
      <c r="E9572" s="636"/>
      <c r="F9572" s="636"/>
      <c r="G9572" s="636"/>
      <c r="H9572" s="636"/>
      <c r="I9572" s="636"/>
      <c r="J9572" s="636" t="s">
        <v>13675</v>
      </c>
      <c r="K9572" s="636"/>
      <c r="L9572" s="636" t="s">
        <v>13680</v>
      </c>
    </row>
    <row r="9573" spans="1:12" ht="17.100000000000001" customHeight="1">
      <c r="A9573" s="802" t="s">
        <v>12712</v>
      </c>
      <c r="B9573" s="802"/>
      <c r="C9573" s="802"/>
      <c r="D9573" s="802"/>
      <c r="E9573" s="802"/>
      <c r="F9573" s="802"/>
      <c r="G9573" s="802"/>
      <c r="H9573" s="802"/>
      <c r="I9573" s="612"/>
      <c r="J9573" s="612"/>
      <c r="K9573" s="612"/>
      <c r="L9573" s="612"/>
    </row>
    <row r="9574" spans="1:12" ht="17.100000000000001" customHeight="1">
      <c r="A9574" s="612" t="s">
        <v>13679</v>
      </c>
      <c r="B9574" s="636" t="s">
        <v>12698</v>
      </c>
      <c r="C9574" s="612" t="s">
        <v>12699</v>
      </c>
      <c r="D9574" s="612" t="s">
        <v>12700</v>
      </c>
      <c r="E9574" s="637" t="s">
        <v>12702</v>
      </c>
      <c r="F9574" s="801" t="s">
        <v>12704</v>
      </c>
      <c r="G9574" s="801"/>
      <c r="H9574" s="801" t="s">
        <v>13678</v>
      </c>
      <c r="I9574" s="801"/>
      <c r="J9574" s="801" t="s">
        <v>12705</v>
      </c>
      <c r="K9574" s="801"/>
      <c r="L9574" s="801"/>
    </row>
    <row r="9575" spans="1:12" ht="17.100000000000001" customHeight="1">
      <c r="A9575" s="626" t="s">
        <v>12709</v>
      </c>
      <c r="B9575" s="627" t="s">
        <v>13002</v>
      </c>
      <c r="C9575" s="626" t="s">
        <v>8</v>
      </c>
      <c r="D9575" s="626" t="s">
        <v>9306</v>
      </c>
      <c r="E9575" s="628" t="s">
        <v>23</v>
      </c>
      <c r="F9575" s="816" t="s">
        <v>13677</v>
      </c>
      <c r="G9575" s="816"/>
      <c r="H9575" s="816">
        <v>0.2224988</v>
      </c>
      <c r="I9575" s="816"/>
      <c r="J9575" s="817">
        <v>7.7899999999999997E-2</v>
      </c>
      <c r="K9575" s="817"/>
      <c r="L9575" s="817"/>
    </row>
    <row r="9576" spans="1:12" ht="17.100000000000001" customHeight="1">
      <c r="A9576" s="626" t="s">
        <v>12709</v>
      </c>
      <c r="B9576" s="627" t="s">
        <v>13004</v>
      </c>
      <c r="C9576" s="626" t="s">
        <v>8</v>
      </c>
      <c r="D9576" s="626" t="s">
        <v>7388</v>
      </c>
      <c r="E9576" s="628" t="s">
        <v>23</v>
      </c>
      <c r="F9576" s="816" t="s">
        <v>13676</v>
      </c>
      <c r="G9576" s="816"/>
      <c r="H9576" s="816">
        <v>0.2224988</v>
      </c>
      <c r="I9576" s="816"/>
      <c r="J9576" s="817">
        <v>0.48949999999999999</v>
      </c>
      <c r="K9576" s="817"/>
      <c r="L9576" s="817"/>
    </row>
    <row r="9577" spans="1:12" ht="30" customHeight="1">
      <c r="A9577" s="636"/>
      <c r="B9577" s="636"/>
      <c r="C9577" s="636"/>
      <c r="D9577" s="636"/>
      <c r="E9577" s="636"/>
      <c r="F9577" s="636"/>
      <c r="G9577" s="636"/>
      <c r="H9577" s="636"/>
      <c r="I9577" s="636"/>
      <c r="J9577" s="636" t="s">
        <v>13675</v>
      </c>
      <c r="K9577" s="636"/>
      <c r="L9577" s="636" t="s">
        <v>13849</v>
      </c>
    </row>
    <row r="9578" spans="1:12" ht="24" customHeight="1">
      <c r="A9578" s="612" t="s">
        <v>13673</v>
      </c>
      <c r="B9578" s="612"/>
      <c r="C9578" s="612"/>
      <c r="D9578" s="612"/>
      <c r="E9578" s="612"/>
      <c r="F9578" s="612"/>
      <c r="G9578" s="612"/>
      <c r="H9578" s="612"/>
      <c r="I9578" s="612"/>
      <c r="J9578" s="612"/>
      <c r="K9578" s="612"/>
      <c r="L9578" s="612"/>
    </row>
    <row r="9579" spans="1:12" ht="14.25" customHeight="1">
      <c r="A9579" s="636"/>
      <c r="B9579" s="636"/>
      <c r="C9579" s="636"/>
      <c r="D9579" s="636"/>
      <c r="E9579" s="636"/>
      <c r="F9579" s="636"/>
      <c r="G9579" s="636"/>
      <c r="H9579" s="636"/>
      <c r="I9579" s="636"/>
      <c r="J9579" s="636" t="s">
        <v>13672</v>
      </c>
      <c r="K9579" s="636"/>
      <c r="L9579" s="636" t="s">
        <v>15641</v>
      </c>
    </row>
    <row r="9580" spans="1:12" ht="17.100000000000001" customHeight="1">
      <c r="A9580" s="636"/>
      <c r="B9580" s="636"/>
      <c r="C9580" s="636"/>
      <c r="D9580" s="636"/>
      <c r="E9580" s="636"/>
      <c r="F9580" s="636"/>
      <c r="G9580" s="636"/>
      <c r="H9580" s="636"/>
      <c r="I9580" s="636"/>
      <c r="J9580" s="636" t="s">
        <v>13671</v>
      </c>
      <c r="K9580" s="636" t="s">
        <v>14461</v>
      </c>
      <c r="L9580" s="636" t="s">
        <v>15642</v>
      </c>
    </row>
    <row r="9581" spans="1:12" ht="24" customHeight="1">
      <c r="A9581" s="636"/>
      <c r="B9581" s="636"/>
      <c r="C9581" s="636"/>
      <c r="D9581" s="636"/>
      <c r="E9581" s="636"/>
      <c r="F9581" s="636"/>
      <c r="G9581" s="636"/>
      <c r="H9581" s="636"/>
      <c r="I9581" s="636"/>
      <c r="J9581" s="636" t="s">
        <v>13670</v>
      </c>
      <c r="K9581" s="636"/>
      <c r="L9581" s="636" t="s">
        <v>15643</v>
      </c>
    </row>
    <row r="9582" spans="1:12" ht="24" customHeight="1">
      <c r="A9582" s="636"/>
      <c r="B9582" s="636"/>
      <c r="C9582" s="636"/>
      <c r="D9582" s="636"/>
      <c r="E9582" s="636"/>
      <c r="F9582" s="636"/>
      <c r="G9582" s="636"/>
      <c r="H9582" s="636"/>
      <c r="I9582" s="636"/>
      <c r="J9582" s="636" t="s">
        <v>13669</v>
      </c>
      <c r="K9582" s="636" t="s">
        <v>13667</v>
      </c>
      <c r="L9582" s="636" t="s">
        <v>15644</v>
      </c>
    </row>
    <row r="9583" spans="1:12" ht="17.100000000000001" customHeight="1">
      <c r="A9583" s="636"/>
      <c r="B9583" s="636"/>
      <c r="C9583" s="636"/>
      <c r="D9583" s="636"/>
      <c r="E9583" s="636"/>
      <c r="F9583" s="636"/>
      <c r="G9583" s="636"/>
      <c r="H9583" s="636"/>
      <c r="I9583" s="636"/>
      <c r="J9583" s="636" t="s">
        <v>13668</v>
      </c>
      <c r="K9583" s="636"/>
      <c r="L9583" s="636" t="s">
        <v>15645</v>
      </c>
    </row>
    <row r="9584" spans="1:12" ht="14.25" customHeight="1">
      <c r="A9584" s="637"/>
      <c r="B9584" s="637"/>
      <c r="C9584" s="637"/>
      <c r="D9584" s="637"/>
      <c r="E9584" s="637"/>
      <c r="F9584" s="637"/>
      <c r="G9584" s="637"/>
      <c r="H9584" s="637"/>
      <c r="I9584" s="637"/>
      <c r="J9584" s="637"/>
      <c r="K9584" s="637"/>
      <c r="L9584" s="637"/>
    </row>
    <row r="9585" spans="1:12" ht="17.100000000000001" customHeight="1">
      <c r="A9585" s="616" t="s">
        <v>13859</v>
      </c>
      <c r="B9585" s="617" t="s">
        <v>13378</v>
      </c>
      <c r="C9585" s="616" t="s">
        <v>8</v>
      </c>
      <c r="D9585" s="616" t="s">
        <v>3128</v>
      </c>
      <c r="E9585" s="618" t="s">
        <v>17</v>
      </c>
      <c r="F9585" s="617"/>
      <c r="G9585" s="617"/>
      <c r="H9585" s="617"/>
      <c r="I9585" s="617"/>
      <c r="J9585" s="617"/>
      <c r="K9585" s="617"/>
      <c r="L9585" s="617"/>
    </row>
    <row r="9586" spans="1:12" ht="24" customHeight="1">
      <c r="A9586" s="802" t="s">
        <v>12711</v>
      </c>
      <c r="B9586" s="802"/>
      <c r="C9586" s="802"/>
      <c r="D9586" s="802"/>
      <c r="E9586" s="802"/>
      <c r="F9586" s="802"/>
      <c r="G9586" s="802"/>
      <c r="H9586" s="802"/>
      <c r="I9586" s="612"/>
      <c r="J9586" s="612"/>
      <c r="K9586" s="612"/>
      <c r="L9586" s="612"/>
    </row>
    <row r="9587" spans="1:12" ht="17.100000000000001" customHeight="1">
      <c r="A9587" s="612" t="s">
        <v>13679</v>
      </c>
      <c r="B9587" s="636" t="s">
        <v>12698</v>
      </c>
      <c r="C9587" s="612" t="s">
        <v>12699</v>
      </c>
      <c r="D9587" s="612" t="s">
        <v>12700</v>
      </c>
      <c r="E9587" s="637" t="s">
        <v>12702</v>
      </c>
      <c r="F9587" s="801" t="s">
        <v>12704</v>
      </c>
      <c r="G9587" s="801"/>
      <c r="H9587" s="801" t="s">
        <v>13678</v>
      </c>
      <c r="I9587" s="801"/>
      <c r="J9587" s="801" t="s">
        <v>12705</v>
      </c>
      <c r="K9587" s="801"/>
      <c r="L9587" s="801"/>
    </row>
    <row r="9588" spans="1:12" ht="25.5">
      <c r="A9588" s="626" t="s">
        <v>12709</v>
      </c>
      <c r="B9588" s="627" t="s">
        <v>13134</v>
      </c>
      <c r="C9588" s="626" t="s">
        <v>8</v>
      </c>
      <c r="D9588" s="626" t="s">
        <v>9219</v>
      </c>
      <c r="E9588" s="628" t="s">
        <v>23</v>
      </c>
      <c r="F9588" s="816" t="s">
        <v>13782</v>
      </c>
      <c r="G9588" s="816"/>
      <c r="H9588" s="816">
        <v>0.25658199999999998</v>
      </c>
      <c r="I9588" s="816"/>
      <c r="J9588" s="817">
        <v>0.23860000000000001</v>
      </c>
      <c r="K9588" s="817"/>
      <c r="L9588" s="817"/>
    </row>
    <row r="9589" spans="1:12" ht="17.100000000000001" customHeight="1">
      <c r="A9589" s="626" t="s">
        <v>12709</v>
      </c>
      <c r="B9589" s="627" t="s">
        <v>13133</v>
      </c>
      <c r="C9589" s="626" t="s">
        <v>8</v>
      </c>
      <c r="D9589" s="626" t="s">
        <v>9366</v>
      </c>
      <c r="E9589" s="628" t="s">
        <v>23</v>
      </c>
      <c r="F9589" s="816" t="s">
        <v>13781</v>
      </c>
      <c r="G9589" s="816"/>
      <c r="H9589" s="816">
        <v>0.25658199999999998</v>
      </c>
      <c r="I9589" s="816"/>
      <c r="J9589" s="817">
        <v>0.1411</v>
      </c>
      <c r="K9589" s="817"/>
      <c r="L9589" s="817"/>
    </row>
    <row r="9590" spans="1:12" ht="24" customHeight="1">
      <c r="A9590" s="636"/>
      <c r="B9590" s="636"/>
      <c r="C9590" s="636"/>
      <c r="D9590" s="636"/>
      <c r="E9590" s="636"/>
      <c r="F9590" s="636"/>
      <c r="G9590" s="636"/>
      <c r="H9590" s="636"/>
      <c r="I9590" s="636"/>
      <c r="J9590" s="636" t="s">
        <v>13675</v>
      </c>
      <c r="K9590" s="636"/>
      <c r="L9590" s="636" t="s">
        <v>13689</v>
      </c>
    </row>
    <row r="9591" spans="1:12" ht="17.100000000000001" customHeight="1">
      <c r="A9591" s="802" t="s">
        <v>12710</v>
      </c>
      <c r="B9591" s="802"/>
      <c r="C9591" s="802"/>
      <c r="D9591" s="802"/>
      <c r="E9591" s="802"/>
      <c r="F9591" s="802"/>
      <c r="G9591" s="802"/>
      <c r="H9591" s="802"/>
      <c r="I9591" s="612"/>
      <c r="J9591" s="612"/>
      <c r="K9591" s="612"/>
      <c r="L9591" s="612"/>
    </row>
    <row r="9592" spans="1:12">
      <c r="A9592" s="612" t="s">
        <v>13679</v>
      </c>
      <c r="B9592" s="636" t="s">
        <v>12698</v>
      </c>
      <c r="C9592" s="612" t="s">
        <v>12699</v>
      </c>
      <c r="D9592" s="612" t="s">
        <v>12700</v>
      </c>
      <c r="E9592" s="637" t="s">
        <v>12702</v>
      </c>
      <c r="F9592" s="801" t="s">
        <v>12704</v>
      </c>
      <c r="G9592" s="801"/>
      <c r="H9592" s="801" t="s">
        <v>13678</v>
      </c>
      <c r="I9592" s="801"/>
      <c r="J9592" s="801" t="s">
        <v>12705</v>
      </c>
      <c r="K9592" s="801"/>
      <c r="L9592" s="801"/>
    </row>
    <row r="9593" spans="1:12" ht="17.100000000000001" customHeight="1">
      <c r="A9593" s="626" t="s">
        <v>12709</v>
      </c>
      <c r="B9593" s="627" t="s">
        <v>13222</v>
      </c>
      <c r="C9593" s="626" t="s">
        <v>8</v>
      </c>
      <c r="D9593" s="626" t="s">
        <v>7364</v>
      </c>
      <c r="E9593" s="628" t="s">
        <v>23</v>
      </c>
      <c r="F9593" s="816" t="s">
        <v>13808</v>
      </c>
      <c r="G9593" s="816"/>
      <c r="H9593" s="816">
        <v>0.1319293</v>
      </c>
      <c r="I9593" s="816"/>
      <c r="J9593" s="817">
        <v>0.6623</v>
      </c>
      <c r="K9593" s="817"/>
      <c r="L9593" s="817"/>
    </row>
    <row r="9594" spans="1:12" ht="24" customHeight="1">
      <c r="A9594" s="626" t="s">
        <v>12709</v>
      </c>
      <c r="B9594" s="627" t="s">
        <v>13204</v>
      </c>
      <c r="C9594" s="626" t="s">
        <v>8</v>
      </c>
      <c r="D9594" s="626" t="s">
        <v>9112</v>
      </c>
      <c r="E9594" s="628" t="s">
        <v>23</v>
      </c>
      <c r="F9594" s="816" t="s">
        <v>14479</v>
      </c>
      <c r="G9594" s="816"/>
      <c r="H9594" s="816">
        <v>0.1319293</v>
      </c>
      <c r="I9594" s="816"/>
      <c r="J9594" s="817">
        <v>0.94330000000000003</v>
      </c>
      <c r="K9594" s="817"/>
      <c r="L9594" s="817"/>
    </row>
    <row r="9595" spans="1:12" ht="17.100000000000001" customHeight="1">
      <c r="A9595" s="636"/>
      <c r="B9595" s="636"/>
      <c r="C9595" s="636"/>
      <c r="D9595" s="636"/>
      <c r="E9595" s="636"/>
      <c r="F9595" s="636"/>
      <c r="G9595" s="636"/>
      <c r="H9595" s="636"/>
      <c r="I9595" s="636"/>
      <c r="J9595" s="636" t="s">
        <v>13675</v>
      </c>
      <c r="K9595" s="636"/>
      <c r="L9595" s="636" t="s">
        <v>14001</v>
      </c>
    </row>
    <row r="9596" spans="1:12">
      <c r="A9596" s="802" t="s">
        <v>12720</v>
      </c>
      <c r="B9596" s="802"/>
      <c r="C9596" s="802"/>
      <c r="D9596" s="802"/>
      <c r="E9596" s="802"/>
      <c r="F9596" s="802"/>
      <c r="G9596" s="802"/>
      <c r="H9596" s="802"/>
      <c r="I9596" s="612"/>
      <c r="J9596" s="612"/>
      <c r="K9596" s="612"/>
      <c r="L9596" s="612"/>
    </row>
    <row r="9597" spans="1:12" ht="17.100000000000001" customHeight="1">
      <c r="A9597" s="612" t="s">
        <v>13679</v>
      </c>
      <c r="B9597" s="636" t="s">
        <v>12698</v>
      </c>
      <c r="C9597" s="612" t="s">
        <v>12699</v>
      </c>
      <c r="D9597" s="612" t="s">
        <v>12700</v>
      </c>
      <c r="E9597" s="637" t="s">
        <v>12702</v>
      </c>
      <c r="F9597" s="801" t="s">
        <v>12704</v>
      </c>
      <c r="G9597" s="801"/>
      <c r="H9597" s="801" t="s">
        <v>13678</v>
      </c>
      <c r="I9597" s="801"/>
      <c r="J9597" s="801" t="s">
        <v>12705</v>
      </c>
      <c r="K9597" s="801"/>
      <c r="L9597" s="801"/>
    </row>
    <row r="9598" spans="1:12" ht="24" customHeight="1">
      <c r="A9598" s="626" t="s">
        <v>12709</v>
      </c>
      <c r="B9598" s="627" t="s">
        <v>13377</v>
      </c>
      <c r="C9598" s="626" t="s">
        <v>8</v>
      </c>
      <c r="D9598" s="626" t="s">
        <v>9124</v>
      </c>
      <c r="E9598" s="628" t="s">
        <v>17</v>
      </c>
      <c r="F9598" s="816" t="s">
        <v>14554</v>
      </c>
      <c r="G9598" s="816"/>
      <c r="H9598" s="816">
        <v>1.1000000000000001</v>
      </c>
      <c r="I9598" s="816"/>
      <c r="J9598" s="817">
        <v>10.84</v>
      </c>
      <c r="K9598" s="817"/>
      <c r="L9598" s="817"/>
    </row>
    <row r="9599" spans="1:12" ht="24" customHeight="1">
      <c r="A9599" s="636"/>
      <c r="B9599" s="636"/>
      <c r="C9599" s="636"/>
      <c r="D9599" s="636"/>
      <c r="E9599" s="636"/>
      <c r="F9599" s="636"/>
      <c r="G9599" s="636"/>
      <c r="H9599" s="636"/>
      <c r="I9599" s="636"/>
      <c r="J9599" s="636" t="s">
        <v>13675</v>
      </c>
      <c r="K9599" s="636"/>
      <c r="L9599" s="636" t="s">
        <v>14553</v>
      </c>
    </row>
    <row r="9600" spans="1:12" ht="17.100000000000001" customHeight="1">
      <c r="A9600" s="802" t="s">
        <v>12722</v>
      </c>
      <c r="B9600" s="802"/>
      <c r="C9600" s="802"/>
      <c r="D9600" s="802"/>
      <c r="E9600" s="802"/>
      <c r="F9600" s="802"/>
      <c r="G9600" s="802"/>
      <c r="H9600" s="802"/>
      <c r="I9600" s="612"/>
      <c r="J9600" s="612"/>
      <c r="K9600" s="612"/>
      <c r="L9600" s="612"/>
    </row>
    <row r="9601" spans="1:12" ht="17.100000000000001" customHeight="1">
      <c r="A9601" s="612" t="s">
        <v>13679</v>
      </c>
      <c r="B9601" s="636" t="s">
        <v>12698</v>
      </c>
      <c r="C9601" s="612" t="s">
        <v>12699</v>
      </c>
      <c r="D9601" s="612" t="s">
        <v>12700</v>
      </c>
      <c r="E9601" s="637" t="s">
        <v>12702</v>
      </c>
      <c r="F9601" s="801" t="s">
        <v>12704</v>
      </c>
      <c r="G9601" s="801"/>
      <c r="H9601" s="801" t="s">
        <v>13678</v>
      </c>
      <c r="I9601" s="801"/>
      <c r="J9601" s="801" t="s">
        <v>12705</v>
      </c>
      <c r="K9601" s="801"/>
      <c r="L9601" s="801"/>
    </row>
    <row r="9602" spans="1:12" ht="17.100000000000001" customHeight="1">
      <c r="A9602" s="626" t="s">
        <v>12709</v>
      </c>
      <c r="B9602" s="627" t="s">
        <v>12998</v>
      </c>
      <c r="C9602" s="626" t="s">
        <v>8</v>
      </c>
      <c r="D9602" s="626" t="s">
        <v>11861</v>
      </c>
      <c r="E9602" s="628" t="s">
        <v>23</v>
      </c>
      <c r="F9602" s="816" t="s">
        <v>13683</v>
      </c>
      <c r="G9602" s="816"/>
      <c r="H9602" s="816">
        <v>0.25658199999999998</v>
      </c>
      <c r="I9602" s="816"/>
      <c r="J9602" s="817">
        <v>0.1822</v>
      </c>
      <c r="K9602" s="817"/>
      <c r="L9602" s="817"/>
    </row>
    <row r="9603" spans="1:12" ht="17.100000000000001" customHeight="1">
      <c r="A9603" s="636"/>
      <c r="B9603" s="636"/>
      <c r="C9603" s="636"/>
      <c r="D9603" s="636"/>
      <c r="E9603" s="636"/>
      <c r="F9603" s="636"/>
      <c r="G9603" s="636"/>
      <c r="H9603" s="636"/>
      <c r="I9603" s="636"/>
      <c r="J9603" s="636" t="s">
        <v>13675</v>
      </c>
      <c r="K9603" s="636"/>
      <c r="L9603" s="636" t="s">
        <v>13682</v>
      </c>
    </row>
    <row r="9604" spans="1:12" ht="17.100000000000001" customHeight="1">
      <c r="A9604" s="802" t="s">
        <v>12713</v>
      </c>
      <c r="B9604" s="802"/>
      <c r="C9604" s="802"/>
      <c r="D9604" s="802"/>
      <c r="E9604" s="802"/>
      <c r="F9604" s="802"/>
      <c r="G9604" s="802"/>
      <c r="H9604" s="802"/>
      <c r="I9604" s="612"/>
      <c r="J9604" s="612"/>
      <c r="K9604" s="612"/>
      <c r="L9604" s="612"/>
    </row>
    <row r="9605" spans="1:12" ht="17.100000000000001" customHeight="1">
      <c r="A9605" s="612" t="s">
        <v>13679</v>
      </c>
      <c r="B9605" s="636" t="s">
        <v>12698</v>
      </c>
      <c r="C9605" s="612" t="s">
        <v>12699</v>
      </c>
      <c r="D9605" s="612" t="s">
        <v>12700</v>
      </c>
      <c r="E9605" s="637" t="s">
        <v>12702</v>
      </c>
      <c r="F9605" s="801" t="s">
        <v>12704</v>
      </c>
      <c r="G9605" s="801"/>
      <c r="H9605" s="801" t="s">
        <v>13678</v>
      </c>
      <c r="I9605" s="801"/>
      <c r="J9605" s="801" t="s">
        <v>12705</v>
      </c>
      <c r="K9605" s="801"/>
      <c r="L9605" s="801"/>
    </row>
    <row r="9606" spans="1:12" ht="17.100000000000001" customHeight="1">
      <c r="A9606" s="626" t="s">
        <v>12709</v>
      </c>
      <c r="B9606" s="627" t="s">
        <v>12999</v>
      </c>
      <c r="C9606" s="626" t="s">
        <v>8</v>
      </c>
      <c r="D9606" s="626" t="s">
        <v>11251</v>
      </c>
      <c r="E9606" s="628" t="s">
        <v>23</v>
      </c>
      <c r="F9606" s="816" t="s">
        <v>13681</v>
      </c>
      <c r="G9606" s="816"/>
      <c r="H9606" s="816">
        <v>0.25658199999999998</v>
      </c>
      <c r="I9606" s="816"/>
      <c r="J9606" s="817">
        <v>1.7999999999999999E-2</v>
      </c>
      <c r="K9606" s="817"/>
      <c r="L9606" s="817"/>
    </row>
    <row r="9607" spans="1:12" ht="30" customHeight="1">
      <c r="A9607" s="636"/>
      <c r="B9607" s="636"/>
      <c r="C9607" s="636"/>
      <c r="D9607" s="636"/>
      <c r="E9607" s="636"/>
      <c r="F9607" s="636"/>
      <c r="G9607" s="636"/>
      <c r="H9607" s="636"/>
      <c r="I9607" s="636"/>
      <c r="J9607" s="636" t="s">
        <v>13675</v>
      </c>
      <c r="K9607" s="636"/>
      <c r="L9607" s="636" t="s">
        <v>13680</v>
      </c>
    </row>
    <row r="9608" spans="1:12" ht="24" customHeight="1">
      <c r="A9608" s="802" t="s">
        <v>12712</v>
      </c>
      <c r="B9608" s="802"/>
      <c r="C9608" s="802"/>
      <c r="D9608" s="802"/>
      <c r="E9608" s="802"/>
      <c r="F9608" s="802"/>
      <c r="G9608" s="802"/>
      <c r="H9608" s="802"/>
      <c r="I9608" s="612"/>
      <c r="J9608" s="612"/>
      <c r="K9608" s="612"/>
      <c r="L9608" s="612"/>
    </row>
    <row r="9609" spans="1:12" ht="14.25" customHeight="1">
      <c r="A9609" s="612" t="s">
        <v>13679</v>
      </c>
      <c r="B9609" s="636" t="s">
        <v>12698</v>
      </c>
      <c r="C9609" s="612" t="s">
        <v>12699</v>
      </c>
      <c r="D9609" s="612" t="s">
        <v>12700</v>
      </c>
      <c r="E9609" s="637" t="s">
        <v>12702</v>
      </c>
      <c r="F9609" s="801" t="s">
        <v>12704</v>
      </c>
      <c r="G9609" s="801"/>
      <c r="H9609" s="801" t="s">
        <v>13678</v>
      </c>
      <c r="I9609" s="801"/>
      <c r="J9609" s="801" t="s">
        <v>12705</v>
      </c>
      <c r="K9609" s="801"/>
      <c r="L9609" s="801"/>
    </row>
    <row r="9610" spans="1:12" ht="17.100000000000001" customHeight="1">
      <c r="A9610" s="626" t="s">
        <v>12709</v>
      </c>
      <c r="B9610" s="627" t="s">
        <v>13002</v>
      </c>
      <c r="C9610" s="626" t="s">
        <v>8</v>
      </c>
      <c r="D9610" s="626" t="s">
        <v>9306</v>
      </c>
      <c r="E9610" s="628" t="s">
        <v>23</v>
      </c>
      <c r="F9610" s="816" t="s">
        <v>13677</v>
      </c>
      <c r="G9610" s="816"/>
      <c r="H9610" s="816">
        <v>0.25658199999999998</v>
      </c>
      <c r="I9610" s="816"/>
      <c r="J9610" s="817">
        <v>8.9800000000000005E-2</v>
      </c>
      <c r="K9610" s="817"/>
      <c r="L9610" s="817"/>
    </row>
    <row r="9611" spans="1:12" ht="24" customHeight="1">
      <c r="A9611" s="626" t="s">
        <v>12709</v>
      </c>
      <c r="B9611" s="627" t="s">
        <v>13004</v>
      </c>
      <c r="C9611" s="626" t="s">
        <v>8</v>
      </c>
      <c r="D9611" s="626" t="s">
        <v>7388</v>
      </c>
      <c r="E9611" s="628" t="s">
        <v>23</v>
      </c>
      <c r="F9611" s="816" t="s">
        <v>13676</v>
      </c>
      <c r="G9611" s="816"/>
      <c r="H9611" s="816">
        <v>0.25658199999999998</v>
      </c>
      <c r="I9611" s="816"/>
      <c r="J9611" s="817">
        <v>0.5645</v>
      </c>
      <c r="K9611" s="817"/>
      <c r="L9611" s="817"/>
    </row>
    <row r="9612" spans="1:12" ht="24" customHeight="1">
      <c r="A9612" s="636"/>
      <c r="B9612" s="636"/>
      <c r="C9612" s="636"/>
      <c r="D9612" s="636"/>
      <c r="E9612" s="636"/>
      <c r="F9612" s="636"/>
      <c r="G9612" s="636"/>
      <c r="H9612" s="636"/>
      <c r="I9612" s="636"/>
      <c r="J9612" s="636" t="s">
        <v>13675</v>
      </c>
      <c r="K9612" s="636"/>
      <c r="L9612" s="636" t="s">
        <v>13738</v>
      </c>
    </row>
    <row r="9613" spans="1:12" ht="17.100000000000001" customHeight="1">
      <c r="A9613" s="612" t="s">
        <v>13673</v>
      </c>
      <c r="B9613" s="612"/>
      <c r="C9613" s="612"/>
      <c r="D9613" s="612"/>
      <c r="E9613" s="612"/>
      <c r="F9613" s="612"/>
      <c r="G9613" s="612"/>
      <c r="H9613" s="612"/>
      <c r="I9613" s="612"/>
      <c r="J9613" s="612"/>
      <c r="K9613" s="612"/>
      <c r="L9613" s="612"/>
    </row>
    <row r="9614" spans="1:12" ht="14.25" customHeight="1">
      <c r="A9614" s="636"/>
      <c r="B9614" s="636"/>
      <c r="C9614" s="636"/>
      <c r="D9614" s="636"/>
      <c r="E9614" s="636"/>
      <c r="F9614" s="636"/>
      <c r="G9614" s="636"/>
      <c r="H9614" s="636"/>
      <c r="I9614" s="636"/>
      <c r="J9614" s="636" t="s">
        <v>13672</v>
      </c>
      <c r="K9614" s="636"/>
      <c r="L9614" s="636" t="s">
        <v>15646</v>
      </c>
    </row>
    <row r="9615" spans="1:12" ht="17.100000000000001" customHeight="1">
      <c r="A9615" s="636"/>
      <c r="B9615" s="636"/>
      <c r="C9615" s="636"/>
      <c r="D9615" s="636"/>
      <c r="E9615" s="636"/>
      <c r="F9615" s="636"/>
      <c r="G9615" s="636"/>
      <c r="H9615" s="636"/>
      <c r="I9615" s="636"/>
      <c r="J9615" s="636" t="s">
        <v>13671</v>
      </c>
      <c r="K9615" s="636" t="s">
        <v>14461</v>
      </c>
      <c r="L9615" s="636" t="s">
        <v>15375</v>
      </c>
    </row>
    <row r="9616" spans="1:12" ht="24" customHeight="1">
      <c r="A9616" s="636"/>
      <c r="B9616" s="636"/>
      <c r="C9616" s="636"/>
      <c r="D9616" s="636"/>
      <c r="E9616" s="636"/>
      <c r="F9616" s="636"/>
      <c r="G9616" s="636"/>
      <c r="H9616" s="636"/>
      <c r="I9616" s="636"/>
      <c r="J9616" s="636" t="s">
        <v>13670</v>
      </c>
      <c r="K9616" s="636"/>
      <c r="L9616" s="636" t="s">
        <v>15647</v>
      </c>
    </row>
    <row r="9617" spans="1:12" ht="17.100000000000001" customHeight="1">
      <c r="A9617" s="636"/>
      <c r="B9617" s="636"/>
      <c r="C9617" s="636"/>
      <c r="D9617" s="636"/>
      <c r="E9617" s="636"/>
      <c r="F9617" s="636"/>
      <c r="G9617" s="636"/>
      <c r="H9617" s="636"/>
      <c r="I9617" s="636"/>
      <c r="J9617" s="636" t="s">
        <v>13669</v>
      </c>
      <c r="K9617" s="636" t="s">
        <v>13667</v>
      </c>
      <c r="L9617" s="636" t="s">
        <v>15648</v>
      </c>
    </row>
    <row r="9618" spans="1:12">
      <c r="A9618" s="636"/>
      <c r="B9618" s="636"/>
      <c r="C9618" s="636"/>
      <c r="D9618" s="636"/>
      <c r="E9618" s="636"/>
      <c r="F9618" s="636"/>
      <c r="G9618" s="636"/>
      <c r="H9618" s="636"/>
      <c r="I9618" s="636"/>
      <c r="J9618" s="636" t="s">
        <v>13668</v>
      </c>
      <c r="K9618" s="636"/>
      <c r="L9618" s="636" t="s">
        <v>15649</v>
      </c>
    </row>
    <row r="9619" spans="1:12" ht="17.100000000000001" customHeight="1">
      <c r="A9619" s="637"/>
      <c r="B9619" s="637"/>
      <c r="C9619" s="637"/>
      <c r="D9619" s="637"/>
      <c r="E9619" s="637"/>
      <c r="F9619" s="637"/>
      <c r="G9619" s="637"/>
      <c r="H9619" s="637"/>
      <c r="I9619" s="637"/>
      <c r="J9619" s="637"/>
      <c r="K9619" s="637"/>
      <c r="L9619" s="637"/>
    </row>
    <row r="9620" spans="1:12" ht="24" customHeight="1">
      <c r="A9620" s="616" t="s">
        <v>13858</v>
      </c>
      <c r="B9620" s="617" t="s">
        <v>13376</v>
      </c>
      <c r="C9620" s="616" t="s">
        <v>8</v>
      </c>
      <c r="D9620" s="616" t="s">
        <v>3130</v>
      </c>
      <c r="E9620" s="618" t="s">
        <v>17</v>
      </c>
      <c r="F9620" s="617"/>
      <c r="G9620" s="617"/>
      <c r="H9620" s="617"/>
      <c r="I9620" s="617"/>
      <c r="J9620" s="617"/>
      <c r="K9620" s="617"/>
      <c r="L9620" s="617"/>
    </row>
    <row r="9621" spans="1:12" ht="17.100000000000001" customHeight="1">
      <c r="A9621" s="802" t="s">
        <v>12711</v>
      </c>
      <c r="B9621" s="802"/>
      <c r="C9621" s="802"/>
      <c r="D9621" s="802"/>
      <c r="E9621" s="802"/>
      <c r="F9621" s="802"/>
      <c r="G9621" s="802"/>
      <c r="H9621" s="802"/>
      <c r="I9621" s="612"/>
      <c r="J9621" s="612"/>
      <c r="K9621" s="612"/>
      <c r="L9621" s="612"/>
    </row>
    <row r="9622" spans="1:12">
      <c r="A9622" s="612" t="s">
        <v>13679</v>
      </c>
      <c r="B9622" s="636" t="s">
        <v>12698</v>
      </c>
      <c r="C9622" s="612" t="s">
        <v>12699</v>
      </c>
      <c r="D9622" s="612" t="s">
        <v>12700</v>
      </c>
      <c r="E9622" s="637" t="s">
        <v>12702</v>
      </c>
      <c r="F9622" s="801" t="s">
        <v>12704</v>
      </c>
      <c r="G9622" s="801"/>
      <c r="H9622" s="801" t="s">
        <v>13678</v>
      </c>
      <c r="I9622" s="801"/>
      <c r="J9622" s="801" t="s">
        <v>12705</v>
      </c>
      <c r="K9622" s="801"/>
      <c r="L9622" s="801"/>
    </row>
    <row r="9623" spans="1:12" ht="17.100000000000001" customHeight="1">
      <c r="A9623" s="626" t="s">
        <v>12709</v>
      </c>
      <c r="B9623" s="627" t="s">
        <v>13134</v>
      </c>
      <c r="C9623" s="626" t="s">
        <v>8</v>
      </c>
      <c r="D9623" s="626" t="s">
        <v>9219</v>
      </c>
      <c r="E9623" s="628" t="s">
        <v>23</v>
      </c>
      <c r="F9623" s="816" t="s">
        <v>13782</v>
      </c>
      <c r="G9623" s="816"/>
      <c r="H9623" s="816">
        <v>0.34122930000000001</v>
      </c>
      <c r="I9623" s="816"/>
      <c r="J9623" s="817">
        <v>0.31730000000000003</v>
      </c>
      <c r="K9623" s="817"/>
      <c r="L9623" s="817"/>
    </row>
    <row r="9624" spans="1:12" ht="24" customHeight="1">
      <c r="A9624" s="626" t="s">
        <v>12709</v>
      </c>
      <c r="B9624" s="627" t="s">
        <v>13133</v>
      </c>
      <c r="C9624" s="626" t="s">
        <v>8</v>
      </c>
      <c r="D9624" s="626" t="s">
        <v>9366</v>
      </c>
      <c r="E9624" s="628" t="s">
        <v>23</v>
      </c>
      <c r="F9624" s="816" t="s">
        <v>13781</v>
      </c>
      <c r="G9624" s="816"/>
      <c r="H9624" s="816">
        <v>0.34122930000000001</v>
      </c>
      <c r="I9624" s="816"/>
      <c r="J9624" s="817">
        <v>0.18770000000000001</v>
      </c>
      <c r="K9624" s="817"/>
      <c r="L9624" s="817"/>
    </row>
    <row r="9625" spans="1:12" ht="17.100000000000001" customHeight="1">
      <c r="A9625" s="636"/>
      <c r="B9625" s="636"/>
      <c r="C9625" s="636"/>
      <c r="D9625" s="636"/>
      <c r="E9625" s="636"/>
      <c r="F9625" s="636"/>
      <c r="G9625" s="636"/>
      <c r="H9625" s="636"/>
      <c r="I9625" s="636"/>
      <c r="J9625" s="636" t="s">
        <v>13675</v>
      </c>
      <c r="K9625" s="636"/>
      <c r="L9625" s="636" t="s">
        <v>13746</v>
      </c>
    </row>
    <row r="9626" spans="1:12">
      <c r="A9626" s="802" t="s">
        <v>12710</v>
      </c>
      <c r="B9626" s="802"/>
      <c r="C9626" s="802"/>
      <c r="D9626" s="802"/>
      <c r="E9626" s="802"/>
      <c r="F9626" s="802"/>
      <c r="G9626" s="802"/>
      <c r="H9626" s="802"/>
      <c r="I9626" s="612"/>
      <c r="J9626" s="612"/>
      <c r="K9626" s="612"/>
      <c r="L9626" s="612"/>
    </row>
    <row r="9627" spans="1:12" ht="17.100000000000001" customHeight="1">
      <c r="A9627" s="612" t="s">
        <v>13679</v>
      </c>
      <c r="B9627" s="636" t="s">
        <v>12698</v>
      </c>
      <c r="C9627" s="612" t="s">
        <v>12699</v>
      </c>
      <c r="D9627" s="612" t="s">
        <v>12700</v>
      </c>
      <c r="E9627" s="637" t="s">
        <v>12702</v>
      </c>
      <c r="F9627" s="801" t="s">
        <v>12704</v>
      </c>
      <c r="G9627" s="801"/>
      <c r="H9627" s="801" t="s">
        <v>13678</v>
      </c>
      <c r="I9627" s="801"/>
      <c r="J9627" s="801" t="s">
        <v>12705</v>
      </c>
      <c r="K9627" s="801"/>
      <c r="L9627" s="801"/>
    </row>
    <row r="9628" spans="1:12" ht="24" customHeight="1">
      <c r="A9628" s="626" t="s">
        <v>12709</v>
      </c>
      <c r="B9628" s="627" t="s">
        <v>13222</v>
      </c>
      <c r="C9628" s="626" t="s">
        <v>8</v>
      </c>
      <c r="D9628" s="626" t="s">
        <v>7364</v>
      </c>
      <c r="E9628" s="628" t="s">
        <v>23</v>
      </c>
      <c r="F9628" s="816" t="s">
        <v>13808</v>
      </c>
      <c r="G9628" s="816"/>
      <c r="H9628" s="816">
        <v>0.17501729999999999</v>
      </c>
      <c r="I9628" s="816"/>
      <c r="J9628" s="817">
        <v>0.87860000000000005</v>
      </c>
      <c r="K9628" s="817"/>
      <c r="L9628" s="817"/>
    </row>
    <row r="9629" spans="1:12" ht="24" customHeight="1">
      <c r="A9629" s="626" t="s">
        <v>12709</v>
      </c>
      <c r="B9629" s="627" t="s">
        <v>13204</v>
      </c>
      <c r="C9629" s="626" t="s">
        <v>8</v>
      </c>
      <c r="D9629" s="626" t="s">
        <v>9112</v>
      </c>
      <c r="E9629" s="628" t="s">
        <v>23</v>
      </c>
      <c r="F9629" s="816" t="s">
        <v>14479</v>
      </c>
      <c r="G9629" s="816"/>
      <c r="H9629" s="816">
        <v>0.17501729999999999</v>
      </c>
      <c r="I9629" s="816"/>
      <c r="J9629" s="817">
        <v>1.2514000000000001</v>
      </c>
      <c r="K9629" s="817"/>
      <c r="L9629" s="817"/>
    </row>
    <row r="9630" spans="1:12" ht="17.100000000000001" customHeight="1">
      <c r="A9630" s="636"/>
      <c r="B9630" s="636"/>
      <c r="C9630" s="636"/>
      <c r="D9630" s="636"/>
      <c r="E9630" s="636"/>
      <c r="F9630" s="636"/>
      <c r="G9630" s="636"/>
      <c r="H9630" s="636"/>
      <c r="I9630" s="636"/>
      <c r="J9630" s="636" t="s">
        <v>13675</v>
      </c>
      <c r="K9630" s="636"/>
      <c r="L9630" s="636" t="s">
        <v>13776</v>
      </c>
    </row>
    <row r="9631" spans="1:12" ht="17.100000000000001" customHeight="1">
      <c r="A9631" s="802" t="s">
        <v>12720</v>
      </c>
      <c r="B9631" s="802"/>
      <c r="C9631" s="802"/>
      <c r="D9631" s="802"/>
      <c r="E9631" s="802"/>
      <c r="F9631" s="802"/>
      <c r="G9631" s="802"/>
      <c r="H9631" s="802"/>
      <c r="I9631" s="612"/>
      <c r="J9631" s="612"/>
      <c r="K9631" s="612"/>
      <c r="L9631" s="612"/>
    </row>
    <row r="9632" spans="1:12" ht="17.100000000000001" customHeight="1">
      <c r="A9632" s="612" t="s">
        <v>13679</v>
      </c>
      <c r="B9632" s="636" t="s">
        <v>12698</v>
      </c>
      <c r="C9632" s="612" t="s">
        <v>12699</v>
      </c>
      <c r="D9632" s="612" t="s">
        <v>12700</v>
      </c>
      <c r="E9632" s="637" t="s">
        <v>12702</v>
      </c>
      <c r="F9632" s="801" t="s">
        <v>12704</v>
      </c>
      <c r="G9632" s="801"/>
      <c r="H9632" s="801" t="s">
        <v>13678</v>
      </c>
      <c r="I9632" s="801"/>
      <c r="J9632" s="801" t="s">
        <v>12705</v>
      </c>
      <c r="K9632" s="801"/>
      <c r="L9632" s="801"/>
    </row>
    <row r="9633" spans="1:12" ht="17.100000000000001" customHeight="1">
      <c r="A9633" s="626" t="s">
        <v>12709</v>
      </c>
      <c r="B9633" s="627" t="s">
        <v>13375</v>
      </c>
      <c r="C9633" s="626" t="s">
        <v>8</v>
      </c>
      <c r="D9633" s="626" t="s">
        <v>9126</v>
      </c>
      <c r="E9633" s="628" t="s">
        <v>17</v>
      </c>
      <c r="F9633" s="816" t="s">
        <v>14552</v>
      </c>
      <c r="G9633" s="816"/>
      <c r="H9633" s="816">
        <v>1.1000000000000001</v>
      </c>
      <c r="I9633" s="816"/>
      <c r="J9633" s="817">
        <v>19.850000000000001</v>
      </c>
      <c r="K9633" s="817"/>
      <c r="L9633" s="817"/>
    </row>
    <row r="9634" spans="1:12" ht="17.100000000000001" customHeight="1">
      <c r="A9634" s="636"/>
      <c r="B9634" s="636"/>
      <c r="C9634" s="636"/>
      <c r="D9634" s="636"/>
      <c r="E9634" s="636"/>
      <c r="F9634" s="636"/>
      <c r="G9634" s="636"/>
      <c r="H9634" s="636"/>
      <c r="I9634" s="636"/>
      <c r="J9634" s="636" t="s">
        <v>13675</v>
      </c>
      <c r="K9634" s="636"/>
      <c r="L9634" s="636" t="s">
        <v>14551</v>
      </c>
    </row>
    <row r="9635" spans="1:12" ht="17.100000000000001" customHeight="1">
      <c r="A9635" s="802" t="s">
        <v>12722</v>
      </c>
      <c r="B9635" s="802"/>
      <c r="C9635" s="802"/>
      <c r="D9635" s="802"/>
      <c r="E9635" s="802"/>
      <c r="F9635" s="802"/>
      <c r="G9635" s="802"/>
      <c r="H9635" s="802"/>
      <c r="I9635" s="612"/>
      <c r="J9635" s="612"/>
      <c r="K9635" s="612"/>
      <c r="L9635" s="612"/>
    </row>
    <row r="9636" spans="1:12" ht="17.100000000000001" customHeight="1">
      <c r="A9636" s="612" t="s">
        <v>13679</v>
      </c>
      <c r="B9636" s="636" t="s">
        <v>12698</v>
      </c>
      <c r="C9636" s="612" t="s">
        <v>12699</v>
      </c>
      <c r="D9636" s="612" t="s">
        <v>12700</v>
      </c>
      <c r="E9636" s="637" t="s">
        <v>12702</v>
      </c>
      <c r="F9636" s="801" t="s">
        <v>12704</v>
      </c>
      <c r="G9636" s="801"/>
      <c r="H9636" s="801" t="s">
        <v>13678</v>
      </c>
      <c r="I9636" s="801"/>
      <c r="J9636" s="801" t="s">
        <v>12705</v>
      </c>
      <c r="K9636" s="801"/>
      <c r="L9636" s="801"/>
    </row>
    <row r="9637" spans="1:12" ht="30" customHeight="1">
      <c r="A9637" s="626" t="s">
        <v>12709</v>
      </c>
      <c r="B9637" s="627" t="s">
        <v>12998</v>
      </c>
      <c r="C9637" s="626" t="s">
        <v>8</v>
      </c>
      <c r="D9637" s="626" t="s">
        <v>11861</v>
      </c>
      <c r="E9637" s="628" t="s">
        <v>23</v>
      </c>
      <c r="F9637" s="816" t="s">
        <v>13683</v>
      </c>
      <c r="G9637" s="816"/>
      <c r="H9637" s="816">
        <v>0.34122930000000001</v>
      </c>
      <c r="I9637" s="816"/>
      <c r="J9637" s="817">
        <v>0.24229999999999999</v>
      </c>
      <c r="K9637" s="817"/>
      <c r="L9637" s="817"/>
    </row>
    <row r="9638" spans="1:12" ht="36" customHeight="1">
      <c r="A9638" s="636"/>
      <c r="B9638" s="636"/>
      <c r="C9638" s="636"/>
      <c r="D9638" s="636"/>
      <c r="E9638" s="636"/>
      <c r="F9638" s="636"/>
      <c r="G9638" s="636"/>
      <c r="H9638" s="636"/>
      <c r="I9638" s="636"/>
      <c r="J9638" s="636" t="s">
        <v>13675</v>
      </c>
      <c r="K9638" s="636"/>
      <c r="L9638" s="636" t="s">
        <v>13704</v>
      </c>
    </row>
    <row r="9639" spans="1:12" ht="14.25" customHeight="1">
      <c r="A9639" s="802" t="s">
        <v>12713</v>
      </c>
      <c r="B9639" s="802"/>
      <c r="C9639" s="802"/>
      <c r="D9639" s="802"/>
      <c r="E9639" s="802"/>
      <c r="F9639" s="802"/>
      <c r="G9639" s="802"/>
      <c r="H9639" s="802"/>
      <c r="I9639" s="612"/>
      <c r="J9639" s="612"/>
      <c r="K9639" s="612"/>
      <c r="L9639" s="612"/>
    </row>
    <row r="9640" spans="1:12" ht="17.100000000000001" customHeight="1">
      <c r="A9640" s="612" t="s">
        <v>13679</v>
      </c>
      <c r="B9640" s="636" t="s">
        <v>12698</v>
      </c>
      <c r="C9640" s="612" t="s">
        <v>12699</v>
      </c>
      <c r="D9640" s="612" t="s">
        <v>12700</v>
      </c>
      <c r="E9640" s="637" t="s">
        <v>12702</v>
      </c>
      <c r="F9640" s="801" t="s">
        <v>12704</v>
      </c>
      <c r="G9640" s="801"/>
      <c r="H9640" s="801" t="s">
        <v>13678</v>
      </c>
      <c r="I9640" s="801"/>
      <c r="J9640" s="801" t="s">
        <v>12705</v>
      </c>
      <c r="K9640" s="801"/>
      <c r="L9640" s="801"/>
    </row>
    <row r="9641" spans="1:12" ht="24" customHeight="1">
      <c r="A9641" s="626" t="s">
        <v>12709</v>
      </c>
      <c r="B9641" s="627" t="s">
        <v>12999</v>
      </c>
      <c r="C9641" s="626" t="s">
        <v>8</v>
      </c>
      <c r="D9641" s="626" t="s">
        <v>11251</v>
      </c>
      <c r="E9641" s="628" t="s">
        <v>23</v>
      </c>
      <c r="F9641" s="816" t="s">
        <v>13681</v>
      </c>
      <c r="G9641" s="816"/>
      <c r="H9641" s="816">
        <v>0.34122930000000001</v>
      </c>
      <c r="I9641" s="816"/>
      <c r="J9641" s="817">
        <v>2.3900000000000001E-2</v>
      </c>
      <c r="K9641" s="817"/>
      <c r="L9641" s="817"/>
    </row>
    <row r="9642" spans="1:12" ht="24" customHeight="1">
      <c r="A9642" s="636"/>
      <c r="B9642" s="636"/>
      <c r="C9642" s="636"/>
      <c r="D9642" s="636"/>
      <c r="E9642" s="636"/>
      <c r="F9642" s="636"/>
      <c r="G9642" s="636"/>
      <c r="H9642" s="636"/>
      <c r="I9642" s="636"/>
      <c r="J9642" s="636" t="s">
        <v>13675</v>
      </c>
      <c r="K9642" s="636"/>
      <c r="L9642" s="636" t="s">
        <v>13680</v>
      </c>
    </row>
    <row r="9643" spans="1:12" ht="17.100000000000001" customHeight="1">
      <c r="A9643" s="802" t="s">
        <v>12712</v>
      </c>
      <c r="B9643" s="802"/>
      <c r="C9643" s="802"/>
      <c r="D9643" s="802"/>
      <c r="E9643" s="802"/>
      <c r="F9643" s="802"/>
      <c r="G9643" s="802"/>
      <c r="H9643" s="802"/>
      <c r="I9643" s="612"/>
      <c r="J9643" s="612"/>
      <c r="K9643" s="612"/>
      <c r="L9643" s="612"/>
    </row>
    <row r="9644" spans="1:12" ht="14.25" customHeight="1">
      <c r="A9644" s="612" t="s">
        <v>13679</v>
      </c>
      <c r="B9644" s="636" t="s">
        <v>12698</v>
      </c>
      <c r="C9644" s="612" t="s">
        <v>12699</v>
      </c>
      <c r="D9644" s="612" t="s">
        <v>12700</v>
      </c>
      <c r="E9644" s="637" t="s">
        <v>12702</v>
      </c>
      <c r="F9644" s="801" t="s">
        <v>12704</v>
      </c>
      <c r="G9644" s="801"/>
      <c r="H9644" s="801" t="s">
        <v>13678</v>
      </c>
      <c r="I9644" s="801"/>
      <c r="J9644" s="801" t="s">
        <v>12705</v>
      </c>
      <c r="K9644" s="801"/>
      <c r="L9644" s="801"/>
    </row>
    <row r="9645" spans="1:12" ht="17.100000000000001" customHeight="1">
      <c r="A9645" s="626" t="s">
        <v>12709</v>
      </c>
      <c r="B9645" s="627" t="s">
        <v>13002</v>
      </c>
      <c r="C9645" s="626" t="s">
        <v>8</v>
      </c>
      <c r="D9645" s="626" t="s">
        <v>9306</v>
      </c>
      <c r="E9645" s="628" t="s">
        <v>23</v>
      </c>
      <c r="F9645" s="816" t="s">
        <v>13677</v>
      </c>
      <c r="G9645" s="816"/>
      <c r="H9645" s="816">
        <v>0.34122930000000001</v>
      </c>
      <c r="I9645" s="816"/>
      <c r="J9645" s="817">
        <v>0.11940000000000001</v>
      </c>
      <c r="K9645" s="817"/>
      <c r="L9645" s="817"/>
    </row>
    <row r="9646" spans="1:12" ht="24" customHeight="1">
      <c r="A9646" s="626" t="s">
        <v>12709</v>
      </c>
      <c r="B9646" s="627" t="s">
        <v>13004</v>
      </c>
      <c r="C9646" s="626" t="s">
        <v>8</v>
      </c>
      <c r="D9646" s="626" t="s">
        <v>7388</v>
      </c>
      <c r="E9646" s="628" t="s">
        <v>23</v>
      </c>
      <c r="F9646" s="816" t="s">
        <v>13676</v>
      </c>
      <c r="G9646" s="816"/>
      <c r="H9646" s="816">
        <v>0.34122930000000001</v>
      </c>
      <c r="I9646" s="816"/>
      <c r="J9646" s="817">
        <v>0.75070000000000003</v>
      </c>
      <c r="K9646" s="817"/>
      <c r="L9646" s="817"/>
    </row>
    <row r="9647" spans="1:12" ht="24" customHeight="1">
      <c r="A9647" s="636"/>
      <c r="B9647" s="636"/>
      <c r="C9647" s="636"/>
      <c r="D9647" s="636"/>
      <c r="E9647" s="636"/>
      <c r="F9647" s="636"/>
      <c r="G9647" s="636"/>
      <c r="H9647" s="636"/>
      <c r="I9647" s="636"/>
      <c r="J9647" s="636" t="s">
        <v>13675</v>
      </c>
      <c r="K9647" s="636"/>
      <c r="L9647" s="636" t="s">
        <v>13844</v>
      </c>
    </row>
    <row r="9648" spans="1:12" ht="17.100000000000001" customHeight="1">
      <c r="A9648" s="612" t="s">
        <v>13673</v>
      </c>
      <c r="B9648" s="612"/>
      <c r="C9648" s="612"/>
      <c r="D9648" s="612"/>
      <c r="E9648" s="612"/>
      <c r="F9648" s="612"/>
      <c r="G9648" s="612"/>
      <c r="H9648" s="612"/>
      <c r="I9648" s="612"/>
      <c r="J9648" s="612"/>
      <c r="K9648" s="612"/>
      <c r="L9648" s="612"/>
    </row>
    <row r="9649" spans="1:12">
      <c r="A9649" s="636"/>
      <c r="B9649" s="636"/>
      <c r="C9649" s="636"/>
      <c r="D9649" s="636"/>
      <c r="E9649" s="636"/>
      <c r="F9649" s="636"/>
      <c r="G9649" s="636"/>
      <c r="H9649" s="636"/>
      <c r="I9649" s="636"/>
      <c r="J9649" s="636" t="s">
        <v>13672</v>
      </c>
      <c r="K9649" s="636"/>
      <c r="L9649" s="636" t="s">
        <v>15650</v>
      </c>
    </row>
    <row r="9650" spans="1:12" ht="17.100000000000001" customHeight="1">
      <c r="A9650" s="636"/>
      <c r="B9650" s="636"/>
      <c r="C9650" s="636"/>
      <c r="D9650" s="636"/>
      <c r="E9650" s="636"/>
      <c r="F9650" s="636"/>
      <c r="G9650" s="636"/>
      <c r="H9650" s="636"/>
      <c r="I9650" s="636"/>
      <c r="J9650" s="636" t="s">
        <v>13671</v>
      </c>
      <c r="K9650" s="636" t="s">
        <v>14461</v>
      </c>
      <c r="L9650" s="636" t="s">
        <v>15330</v>
      </c>
    </row>
    <row r="9651" spans="1:12" ht="24" customHeight="1">
      <c r="A9651" s="636"/>
      <c r="B9651" s="636"/>
      <c r="C9651" s="636"/>
      <c r="D9651" s="636"/>
      <c r="E9651" s="636"/>
      <c r="F9651" s="636"/>
      <c r="G9651" s="636"/>
      <c r="H9651" s="636"/>
      <c r="I9651" s="636"/>
      <c r="J9651" s="636" t="s">
        <v>13670</v>
      </c>
      <c r="K9651" s="636"/>
      <c r="L9651" s="636" t="s">
        <v>15651</v>
      </c>
    </row>
    <row r="9652" spans="1:12" ht="48" customHeight="1">
      <c r="A9652" s="636"/>
      <c r="B9652" s="636"/>
      <c r="C9652" s="636"/>
      <c r="D9652" s="636"/>
      <c r="E9652" s="636"/>
      <c r="F9652" s="636"/>
      <c r="G9652" s="636"/>
      <c r="H9652" s="636"/>
      <c r="I9652" s="636"/>
      <c r="J9652" s="636" t="s">
        <v>13669</v>
      </c>
      <c r="K9652" s="636" t="s">
        <v>13667</v>
      </c>
      <c r="L9652" s="636" t="s">
        <v>15652</v>
      </c>
    </row>
    <row r="9653" spans="1:12" ht="17.100000000000001" customHeight="1">
      <c r="A9653" s="636"/>
      <c r="B9653" s="636"/>
      <c r="C9653" s="636"/>
      <c r="D9653" s="636"/>
      <c r="E9653" s="636"/>
      <c r="F9653" s="636"/>
      <c r="G9653" s="636"/>
      <c r="H9653" s="636"/>
      <c r="I9653" s="636"/>
      <c r="J9653" s="636" t="s">
        <v>13668</v>
      </c>
      <c r="K9653" s="636"/>
      <c r="L9653" s="636" t="s">
        <v>15653</v>
      </c>
    </row>
    <row r="9654" spans="1:12">
      <c r="A9654" s="637"/>
      <c r="B9654" s="637"/>
      <c r="C9654" s="637"/>
      <c r="D9654" s="637"/>
      <c r="E9654" s="637"/>
      <c r="F9654" s="637"/>
      <c r="G9654" s="637"/>
      <c r="H9654" s="637"/>
      <c r="I9654" s="637"/>
      <c r="J9654" s="637"/>
      <c r="K9654" s="637"/>
      <c r="L9654" s="637"/>
    </row>
    <row r="9655" spans="1:12" ht="17.100000000000001" customHeight="1">
      <c r="A9655" s="616" t="s">
        <v>13852</v>
      </c>
      <c r="B9655" s="617" t="s">
        <v>12904</v>
      </c>
      <c r="C9655" s="616" t="s">
        <v>8</v>
      </c>
      <c r="D9655" s="616" t="s">
        <v>31</v>
      </c>
      <c r="E9655" s="618" t="s">
        <v>35</v>
      </c>
      <c r="F9655" s="617"/>
      <c r="G9655" s="617"/>
      <c r="H9655" s="617"/>
      <c r="I9655" s="617"/>
      <c r="J9655" s="617"/>
      <c r="K9655" s="617"/>
      <c r="L9655" s="617"/>
    </row>
    <row r="9656" spans="1:12" ht="24" customHeight="1">
      <c r="A9656" s="802" t="s">
        <v>12711</v>
      </c>
      <c r="B9656" s="802"/>
      <c r="C9656" s="802"/>
      <c r="D9656" s="802"/>
      <c r="E9656" s="802"/>
      <c r="F9656" s="802"/>
      <c r="G9656" s="802"/>
      <c r="H9656" s="802"/>
      <c r="I9656" s="612"/>
      <c r="J9656" s="612"/>
      <c r="K9656" s="612"/>
      <c r="L9656" s="612"/>
    </row>
    <row r="9657" spans="1:12" ht="17.100000000000001" customHeight="1">
      <c r="A9657" s="612" t="s">
        <v>13679</v>
      </c>
      <c r="B9657" s="636" t="s">
        <v>12698</v>
      </c>
      <c r="C9657" s="612" t="s">
        <v>12699</v>
      </c>
      <c r="D9657" s="612" t="s">
        <v>12700</v>
      </c>
      <c r="E9657" s="637" t="s">
        <v>12702</v>
      </c>
      <c r="F9657" s="801" t="s">
        <v>12704</v>
      </c>
      <c r="G9657" s="801"/>
      <c r="H9657" s="801" t="s">
        <v>13678</v>
      </c>
      <c r="I9657" s="801"/>
      <c r="J9657" s="801" t="s">
        <v>12705</v>
      </c>
      <c r="K9657" s="801"/>
      <c r="L9657" s="801"/>
    </row>
    <row r="9658" spans="1:12" ht="25.5">
      <c r="A9658" s="626" t="s">
        <v>12709</v>
      </c>
      <c r="B9658" s="627" t="s">
        <v>13134</v>
      </c>
      <c r="C9658" s="626" t="s">
        <v>8</v>
      </c>
      <c r="D9658" s="626" t="s">
        <v>9219</v>
      </c>
      <c r="E9658" s="628" t="s">
        <v>23</v>
      </c>
      <c r="F9658" s="816" t="s">
        <v>13782</v>
      </c>
      <c r="G9658" s="816"/>
      <c r="H9658" s="816">
        <v>4.9994059999999996</v>
      </c>
      <c r="I9658" s="816"/>
      <c r="J9658" s="817">
        <v>4.6494</v>
      </c>
      <c r="K9658" s="817"/>
      <c r="L9658" s="817"/>
    </row>
    <row r="9659" spans="1:12" ht="17.100000000000001" customHeight="1">
      <c r="A9659" s="626" t="s">
        <v>12709</v>
      </c>
      <c r="B9659" s="627" t="s">
        <v>13133</v>
      </c>
      <c r="C9659" s="626" t="s">
        <v>8</v>
      </c>
      <c r="D9659" s="626" t="s">
        <v>9366</v>
      </c>
      <c r="E9659" s="628" t="s">
        <v>23</v>
      </c>
      <c r="F9659" s="816" t="s">
        <v>13781</v>
      </c>
      <c r="G9659" s="816"/>
      <c r="H9659" s="816">
        <v>4.9994059999999996</v>
      </c>
      <c r="I9659" s="816"/>
      <c r="J9659" s="817">
        <v>2.7496999999999998</v>
      </c>
      <c r="K9659" s="817"/>
      <c r="L9659" s="817"/>
    </row>
    <row r="9660" spans="1:12" ht="24" customHeight="1">
      <c r="A9660" s="636"/>
      <c r="B9660" s="636"/>
      <c r="C9660" s="636"/>
      <c r="D9660" s="636"/>
      <c r="E9660" s="636"/>
      <c r="F9660" s="636"/>
      <c r="G9660" s="636"/>
      <c r="H9660" s="636"/>
      <c r="I9660" s="636"/>
      <c r="J9660" s="636" t="s">
        <v>13675</v>
      </c>
      <c r="K9660" s="636"/>
      <c r="L9660" s="636" t="s">
        <v>13842</v>
      </c>
    </row>
    <row r="9661" spans="1:12" ht="17.100000000000001" customHeight="1">
      <c r="A9661" s="802" t="s">
        <v>12710</v>
      </c>
      <c r="B9661" s="802"/>
      <c r="C9661" s="802"/>
      <c r="D9661" s="802"/>
      <c r="E9661" s="802"/>
      <c r="F9661" s="802"/>
      <c r="G9661" s="802"/>
      <c r="H9661" s="802"/>
      <c r="I9661" s="612"/>
      <c r="J9661" s="612"/>
      <c r="K9661" s="612"/>
      <c r="L9661" s="612"/>
    </row>
    <row r="9662" spans="1:12">
      <c r="A9662" s="612" t="s">
        <v>13679</v>
      </c>
      <c r="B9662" s="636" t="s">
        <v>12698</v>
      </c>
      <c r="C9662" s="612" t="s">
        <v>12699</v>
      </c>
      <c r="D9662" s="612" t="s">
        <v>12700</v>
      </c>
      <c r="E9662" s="637" t="s">
        <v>12702</v>
      </c>
      <c r="F9662" s="801" t="s">
        <v>12704</v>
      </c>
      <c r="G9662" s="801"/>
      <c r="H9662" s="801" t="s">
        <v>13678</v>
      </c>
      <c r="I9662" s="801"/>
      <c r="J9662" s="801" t="s">
        <v>12705</v>
      </c>
      <c r="K9662" s="801"/>
      <c r="L9662" s="801"/>
    </row>
    <row r="9663" spans="1:12" ht="17.100000000000001" customHeight="1">
      <c r="A9663" s="626" t="s">
        <v>12709</v>
      </c>
      <c r="B9663" s="627" t="s">
        <v>13222</v>
      </c>
      <c r="C9663" s="626" t="s">
        <v>8</v>
      </c>
      <c r="D9663" s="626" t="s">
        <v>7364</v>
      </c>
      <c r="E9663" s="628" t="s">
        <v>23</v>
      </c>
      <c r="F9663" s="816" t="s">
        <v>13808</v>
      </c>
      <c r="G9663" s="816"/>
      <c r="H9663" s="816">
        <v>2.5639584000000002</v>
      </c>
      <c r="I9663" s="816"/>
      <c r="J9663" s="817">
        <v>12.8711</v>
      </c>
      <c r="K9663" s="817"/>
      <c r="L9663" s="817"/>
    </row>
    <row r="9664" spans="1:12" ht="24" customHeight="1">
      <c r="A9664" s="626" t="s">
        <v>12709</v>
      </c>
      <c r="B9664" s="627" t="s">
        <v>13204</v>
      </c>
      <c r="C9664" s="626" t="s">
        <v>8</v>
      </c>
      <c r="D9664" s="626" t="s">
        <v>9112</v>
      </c>
      <c r="E9664" s="628" t="s">
        <v>23</v>
      </c>
      <c r="F9664" s="816" t="s">
        <v>14479</v>
      </c>
      <c r="G9664" s="816"/>
      <c r="H9664" s="816">
        <v>2.5639584000000002</v>
      </c>
      <c r="I9664" s="816"/>
      <c r="J9664" s="817">
        <v>18.3323</v>
      </c>
      <c r="K9664" s="817"/>
      <c r="L9664" s="817"/>
    </row>
    <row r="9665" spans="1:12" ht="24" customHeight="1">
      <c r="A9665" s="636"/>
      <c r="B9665" s="636"/>
      <c r="C9665" s="636"/>
      <c r="D9665" s="636"/>
      <c r="E9665" s="636"/>
      <c r="F9665" s="636"/>
      <c r="G9665" s="636"/>
      <c r="H9665" s="636"/>
      <c r="I9665" s="636"/>
      <c r="J9665" s="636" t="s">
        <v>13675</v>
      </c>
      <c r="K9665" s="636"/>
      <c r="L9665" s="636" t="s">
        <v>14550</v>
      </c>
    </row>
    <row r="9666" spans="1:12" ht="17.100000000000001" customHeight="1">
      <c r="A9666" s="802" t="s">
        <v>12720</v>
      </c>
      <c r="B9666" s="802"/>
      <c r="C9666" s="802"/>
      <c r="D9666" s="802"/>
      <c r="E9666" s="802"/>
      <c r="F9666" s="802"/>
      <c r="G9666" s="802"/>
      <c r="H9666" s="802"/>
      <c r="I9666" s="612"/>
      <c r="J9666" s="612"/>
      <c r="K9666" s="612"/>
      <c r="L9666" s="612"/>
    </row>
    <row r="9667" spans="1:12" ht="17.100000000000001" customHeight="1">
      <c r="A9667" s="612" t="s">
        <v>13679</v>
      </c>
      <c r="B9667" s="636" t="s">
        <v>12698</v>
      </c>
      <c r="C9667" s="612" t="s">
        <v>12699</v>
      </c>
      <c r="D9667" s="612" t="s">
        <v>12700</v>
      </c>
      <c r="E9667" s="637" t="s">
        <v>12702</v>
      </c>
      <c r="F9667" s="801" t="s">
        <v>12704</v>
      </c>
      <c r="G9667" s="801"/>
      <c r="H9667" s="801" t="s">
        <v>13678</v>
      </c>
      <c r="I9667" s="801"/>
      <c r="J9667" s="801" t="s">
        <v>12705</v>
      </c>
      <c r="K9667" s="801"/>
      <c r="L9667" s="801"/>
    </row>
    <row r="9668" spans="1:12" ht="17.100000000000001" customHeight="1">
      <c r="A9668" s="626" t="s">
        <v>12709</v>
      </c>
      <c r="B9668" s="627" t="s">
        <v>13374</v>
      </c>
      <c r="C9668" s="626" t="s">
        <v>8</v>
      </c>
      <c r="D9668" s="626" t="s">
        <v>11059</v>
      </c>
      <c r="E9668" s="628" t="s">
        <v>35</v>
      </c>
      <c r="F9668" s="816" t="s">
        <v>14549</v>
      </c>
      <c r="G9668" s="816"/>
      <c r="H9668" s="816">
        <v>1</v>
      </c>
      <c r="I9668" s="816"/>
      <c r="J9668" s="817">
        <v>377.19</v>
      </c>
      <c r="K9668" s="817"/>
      <c r="L9668" s="817"/>
    </row>
    <row r="9669" spans="1:12" ht="17.100000000000001" customHeight="1">
      <c r="A9669" s="636"/>
      <c r="B9669" s="636"/>
      <c r="C9669" s="636"/>
      <c r="D9669" s="636"/>
      <c r="E9669" s="636"/>
      <c r="F9669" s="636"/>
      <c r="G9669" s="636"/>
      <c r="H9669" s="636"/>
      <c r="I9669" s="636"/>
      <c r="J9669" s="636" t="s">
        <v>13675</v>
      </c>
      <c r="K9669" s="636"/>
      <c r="L9669" s="636" t="s">
        <v>14549</v>
      </c>
    </row>
    <row r="9670" spans="1:12" ht="17.100000000000001" customHeight="1">
      <c r="A9670" s="802" t="s">
        <v>12722</v>
      </c>
      <c r="B9670" s="802"/>
      <c r="C9670" s="802"/>
      <c r="D9670" s="802"/>
      <c r="E9670" s="802"/>
      <c r="F9670" s="802"/>
      <c r="G9670" s="802"/>
      <c r="H9670" s="802"/>
      <c r="I9670" s="612"/>
      <c r="J9670" s="612"/>
      <c r="K9670" s="612"/>
      <c r="L9670" s="612"/>
    </row>
    <row r="9671" spans="1:12" ht="17.100000000000001" customHeight="1">
      <c r="A9671" s="612" t="s">
        <v>13679</v>
      </c>
      <c r="B9671" s="636" t="s">
        <v>12698</v>
      </c>
      <c r="C9671" s="612" t="s">
        <v>12699</v>
      </c>
      <c r="D9671" s="612" t="s">
        <v>12700</v>
      </c>
      <c r="E9671" s="637" t="s">
        <v>12702</v>
      </c>
      <c r="F9671" s="801" t="s">
        <v>12704</v>
      </c>
      <c r="G9671" s="801"/>
      <c r="H9671" s="801" t="s">
        <v>13678</v>
      </c>
      <c r="I9671" s="801"/>
      <c r="J9671" s="801" t="s">
        <v>12705</v>
      </c>
      <c r="K9671" s="801"/>
      <c r="L9671" s="801"/>
    </row>
    <row r="9672" spans="1:12" ht="17.100000000000001" customHeight="1">
      <c r="A9672" s="626" t="s">
        <v>12709</v>
      </c>
      <c r="B9672" s="627" t="s">
        <v>12998</v>
      </c>
      <c r="C9672" s="626" t="s">
        <v>8</v>
      </c>
      <c r="D9672" s="626" t="s">
        <v>11861</v>
      </c>
      <c r="E9672" s="628" t="s">
        <v>23</v>
      </c>
      <c r="F9672" s="816" t="s">
        <v>13683</v>
      </c>
      <c r="G9672" s="816"/>
      <c r="H9672" s="816">
        <v>4.9994059999999996</v>
      </c>
      <c r="I9672" s="816"/>
      <c r="J9672" s="817">
        <v>3.5495999999999999</v>
      </c>
      <c r="K9672" s="817"/>
      <c r="L9672" s="817"/>
    </row>
    <row r="9673" spans="1:12" ht="30" customHeight="1">
      <c r="A9673" s="636"/>
      <c r="B9673" s="636"/>
      <c r="C9673" s="636"/>
      <c r="D9673" s="636"/>
      <c r="E9673" s="636"/>
      <c r="F9673" s="636"/>
      <c r="G9673" s="636"/>
      <c r="H9673" s="636"/>
      <c r="I9673" s="636"/>
      <c r="J9673" s="636" t="s">
        <v>13675</v>
      </c>
      <c r="K9673" s="636"/>
      <c r="L9673" s="636" t="s">
        <v>13841</v>
      </c>
    </row>
    <row r="9674" spans="1:12" ht="36" customHeight="1">
      <c r="A9674" s="802" t="s">
        <v>12713</v>
      </c>
      <c r="B9674" s="802"/>
      <c r="C9674" s="802"/>
      <c r="D9674" s="802"/>
      <c r="E9674" s="802"/>
      <c r="F9674" s="802"/>
      <c r="G9674" s="802"/>
      <c r="H9674" s="802"/>
      <c r="I9674" s="612"/>
      <c r="J9674" s="612"/>
      <c r="K9674" s="612"/>
      <c r="L9674" s="612"/>
    </row>
    <row r="9675" spans="1:12" ht="14.25" customHeight="1">
      <c r="A9675" s="612" t="s">
        <v>13679</v>
      </c>
      <c r="B9675" s="636" t="s">
        <v>12698</v>
      </c>
      <c r="C9675" s="612" t="s">
        <v>12699</v>
      </c>
      <c r="D9675" s="612" t="s">
        <v>12700</v>
      </c>
      <c r="E9675" s="637" t="s">
        <v>12702</v>
      </c>
      <c r="F9675" s="801" t="s">
        <v>12704</v>
      </c>
      <c r="G9675" s="801"/>
      <c r="H9675" s="801" t="s">
        <v>13678</v>
      </c>
      <c r="I9675" s="801"/>
      <c r="J9675" s="801" t="s">
        <v>12705</v>
      </c>
      <c r="K9675" s="801"/>
      <c r="L9675" s="801"/>
    </row>
    <row r="9676" spans="1:12" ht="17.100000000000001" customHeight="1">
      <c r="A9676" s="626" t="s">
        <v>12709</v>
      </c>
      <c r="B9676" s="627" t="s">
        <v>12999</v>
      </c>
      <c r="C9676" s="626" t="s">
        <v>8</v>
      </c>
      <c r="D9676" s="626" t="s">
        <v>11251</v>
      </c>
      <c r="E9676" s="628" t="s">
        <v>23</v>
      </c>
      <c r="F9676" s="816" t="s">
        <v>13681</v>
      </c>
      <c r="G9676" s="816"/>
      <c r="H9676" s="816">
        <v>4.9994059999999996</v>
      </c>
      <c r="I9676" s="816"/>
      <c r="J9676" s="817">
        <v>0.35</v>
      </c>
      <c r="K9676" s="817"/>
      <c r="L9676" s="817"/>
    </row>
    <row r="9677" spans="1:12" ht="24" customHeight="1">
      <c r="A9677" s="636"/>
      <c r="B9677" s="636"/>
      <c r="C9677" s="636"/>
      <c r="D9677" s="636"/>
      <c r="E9677" s="636"/>
      <c r="F9677" s="636"/>
      <c r="G9677" s="636"/>
      <c r="H9677" s="636"/>
      <c r="I9677" s="636"/>
      <c r="J9677" s="636" t="s">
        <v>13675</v>
      </c>
      <c r="K9677" s="636"/>
      <c r="L9677" s="636" t="s">
        <v>13677</v>
      </c>
    </row>
    <row r="9678" spans="1:12" ht="24" customHeight="1">
      <c r="A9678" s="802" t="s">
        <v>12712</v>
      </c>
      <c r="B9678" s="802"/>
      <c r="C9678" s="802"/>
      <c r="D9678" s="802"/>
      <c r="E9678" s="802"/>
      <c r="F9678" s="802"/>
      <c r="G9678" s="802"/>
      <c r="H9678" s="802"/>
      <c r="I9678" s="612"/>
      <c r="J9678" s="612"/>
      <c r="K9678" s="612"/>
      <c r="L9678" s="612"/>
    </row>
    <row r="9679" spans="1:12" ht="17.100000000000001" customHeight="1">
      <c r="A9679" s="612" t="s">
        <v>13679</v>
      </c>
      <c r="B9679" s="636" t="s">
        <v>12698</v>
      </c>
      <c r="C9679" s="612" t="s">
        <v>12699</v>
      </c>
      <c r="D9679" s="612" t="s">
        <v>12700</v>
      </c>
      <c r="E9679" s="637" t="s">
        <v>12702</v>
      </c>
      <c r="F9679" s="801" t="s">
        <v>12704</v>
      </c>
      <c r="G9679" s="801"/>
      <c r="H9679" s="801" t="s">
        <v>13678</v>
      </c>
      <c r="I9679" s="801"/>
      <c r="J9679" s="801" t="s">
        <v>12705</v>
      </c>
      <c r="K9679" s="801"/>
      <c r="L9679" s="801"/>
    </row>
    <row r="9680" spans="1:12" ht="14.25" customHeight="1">
      <c r="A9680" s="626" t="s">
        <v>12709</v>
      </c>
      <c r="B9680" s="627" t="s">
        <v>13002</v>
      </c>
      <c r="C9680" s="626" t="s">
        <v>8</v>
      </c>
      <c r="D9680" s="626" t="s">
        <v>9306</v>
      </c>
      <c r="E9680" s="628" t="s">
        <v>23</v>
      </c>
      <c r="F9680" s="816" t="s">
        <v>13677</v>
      </c>
      <c r="G9680" s="816"/>
      <c r="H9680" s="816">
        <v>4.9994059999999996</v>
      </c>
      <c r="I9680" s="816"/>
      <c r="J9680" s="817">
        <v>1.7498</v>
      </c>
      <c r="K9680" s="817"/>
      <c r="L9680" s="817"/>
    </row>
    <row r="9681" spans="1:12" ht="17.100000000000001" customHeight="1">
      <c r="A9681" s="626" t="s">
        <v>12709</v>
      </c>
      <c r="B9681" s="627" t="s">
        <v>13004</v>
      </c>
      <c r="C9681" s="626" t="s">
        <v>8</v>
      </c>
      <c r="D9681" s="626" t="s">
        <v>7388</v>
      </c>
      <c r="E9681" s="628" t="s">
        <v>23</v>
      </c>
      <c r="F9681" s="816" t="s">
        <v>13676</v>
      </c>
      <c r="G9681" s="816"/>
      <c r="H9681" s="816">
        <v>4.9994059999999996</v>
      </c>
      <c r="I9681" s="816"/>
      <c r="J9681" s="817">
        <v>10.998699999999999</v>
      </c>
      <c r="K9681" s="817"/>
      <c r="L9681" s="817"/>
    </row>
    <row r="9682" spans="1:12" ht="24" customHeight="1">
      <c r="A9682" s="636"/>
      <c r="B9682" s="636"/>
      <c r="C9682" s="636"/>
      <c r="D9682" s="636"/>
      <c r="E9682" s="636"/>
      <c r="F9682" s="636"/>
      <c r="G9682" s="636"/>
      <c r="H9682" s="636"/>
      <c r="I9682" s="636"/>
      <c r="J9682" s="636" t="s">
        <v>13675</v>
      </c>
      <c r="K9682" s="636"/>
      <c r="L9682" s="636" t="s">
        <v>13840</v>
      </c>
    </row>
    <row r="9683" spans="1:12" ht="24" customHeight="1">
      <c r="A9683" s="612" t="s">
        <v>13673</v>
      </c>
      <c r="B9683" s="612"/>
      <c r="C9683" s="612"/>
      <c r="D9683" s="612"/>
      <c r="E9683" s="612"/>
      <c r="F9683" s="612"/>
      <c r="G9683" s="612"/>
      <c r="H9683" s="612"/>
      <c r="I9683" s="612"/>
      <c r="J9683" s="612"/>
      <c r="K9683" s="612"/>
      <c r="L9683" s="612"/>
    </row>
    <row r="9684" spans="1:12" ht="17.100000000000001" customHeight="1">
      <c r="A9684" s="636"/>
      <c r="B9684" s="636"/>
      <c r="C9684" s="636"/>
      <c r="D9684" s="636"/>
      <c r="E9684" s="636"/>
      <c r="F9684" s="636"/>
      <c r="G9684" s="636"/>
      <c r="H9684" s="636"/>
      <c r="I9684" s="636"/>
      <c r="J9684" s="636" t="s">
        <v>13672</v>
      </c>
      <c r="K9684" s="636"/>
      <c r="L9684" s="636" t="s">
        <v>15654</v>
      </c>
    </row>
    <row r="9685" spans="1:12">
      <c r="A9685" s="636"/>
      <c r="B9685" s="636"/>
      <c r="C9685" s="636"/>
      <c r="D9685" s="636"/>
      <c r="E9685" s="636"/>
      <c r="F9685" s="636"/>
      <c r="G9685" s="636"/>
      <c r="H9685" s="636"/>
      <c r="I9685" s="636"/>
      <c r="J9685" s="636" t="s">
        <v>13671</v>
      </c>
      <c r="K9685" s="636" t="s">
        <v>14461</v>
      </c>
      <c r="L9685" s="636" t="s">
        <v>15655</v>
      </c>
    </row>
    <row r="9686" spans="1:12" ht="17.100000000000001" customHeight="1">
      <c r="A9686" s="636"/>
      <c r="B9686" s="636"/>
      <c r="C9686" s="636"/>
      <c r="D9686" s="636"/>
      <c r="E9686" s="636"/>
      <c r="F9686" s="636"/>
      <c r="G9686" s="636"/>
      <c r="H9686" s="636"/>
      <c r="I9686" s="636"/>
      <c r="J9686" s="636" t="s">
        <v>13670</v>
      </c>
      <c r="K9686" s="636"/>
      <c r="L9686" s="636" t="s">
        <v>15656</v>
      </c>
    </row>
    <row r="9687" spans="1:12" ht="24" customHeight="1">
      <c r="A9687" s="636"/>
      <c r="B9687" s="636"/>
      <c r="C9687" s="636"/>
      <c r="D9687" s="636"/>
      <c r="E9687" s="636"/>
      <c r="F9687" s="636"/>
      <c r="G9687" s="636"/>
      <c r="H9687" s="636"/>
      <c r="I9687" s="636"/>
      <c r="J9687" s="636" t="s">
        <v>13669</v>
      </c>
      <c r="K9687" s="636" t="s">
        <v>13667</v>
      </c>
      <c r="L9687" s="636" t="s">
        <v>15657</v>
      </c>
    </row>
    <row r="9688" spans="1:12" ht="48" customHeight="1">
      <c r="A9688" s="636"/>
      <c r="B9688" s="636"/>
      <c r="C9688" s="636"/>
      <c r="D9688" s="636"/>
      <c r="E9688" s="636"/>
      <c r="F9688" s="636"/>
      <c r="G9688" s="636"/>
      <c r="H9688" s="636"/>
      <c r="I9688" s="636"/>
      <c r="J9688" s="636" t="s">
        <v>13668</v>
      </c>
      <c r="K9688" s="636"/>
      <c r="L9688" s="636" t="s">
        <v>15658</v>
      </c>
    </row>
    <row r="9689" spans="1:12" ht="17.100000000000001" customHeight="1">
      <c r="A9689" s="637"/>
      <c r="B9689" s="637"/>
      <c r="C9689" s="637"/>
      <c r="D9689" s="637"/>
      <c r="E9689" s="637"/>
      <c r="F9689" s="637"/>
      <c r="G9689" s="637"/>
      <c r="H9689" s="637"/>
      <c r="I9689" s="637"/>
      <c r="J9689" s="637"/>
      <c r="K9689" s="637"/>
      <c r="L9689" s="637"/>
    </row>
    <row r="9690" spans="1:12" ht="51">
      <c r="A9690" s="616" t="s">
        <v>13848</v>
      </c>
      <c r="B9690" s="617" t="s">
        <v>12905</v>
      </c>
      <c r="C9690" s="616" t="s">
        <v>8</v>
      </c>
      <c r="D9690" s="616" t="s">
        <v>32</v>
      </c>
      <c r="E9690" s="618" t="s">
        <v>35</v>
      </c>
      <c r="F9690" s="617"/>
      <c r="G9690" s="617"/>
      <c r="H9690" s="617"/>
      <c r="I9690" s="617"/>
      <c r="J9690" s="617"/>
      <c r="K9690" s="617"/>
      <c r="L9690" s="617"/>
    </row>
    <row r="9691" spans="1:12" ht="17.100000000000001" customHeight="1">
      <c r="A9691" s="802" t="s">
        <v>12711</v>
      </c>
      <c r="B9691" s="802"/>
      <c r="C9691" s="802"/>
      <c r="D9691" s="802"/>
      <c r="E9691" s="802"/>
      <c r="F9691" s="802"/>
      <c r="G9691" s="802"/>
      <c r="H9691" s="802"/>
      <c r="I9691" s="612"/>
      <c r="J9691" s="612"/>
      <c r="K9691" s="612"/>
      <c r="L9691" s="612"/>
    </row>
    <row r="9692" spans="1:12" ht="24" customHeight="1">
      <c r="A9692" s="612" t="s">
        <v>13679</v>
      </c>
      <c r="B9692" s="636" t="s">
        <v>12698</v>
      </c>
      <c r="C9692" s="612" t="s">
        <v>12699</v>
      </c>
      <c r="D9692" s="612" t="s">
        <v>12700</v>
      </c>
      <c r="E9692" s="637" t="s">
        <v>12702</v>
      </c>
      <c r="F9692" s="801" t="s">
        <v>12704</v>
      </c>
      <c r="G9692" s="801"/>
      <c r="H9692" s="801" t="s">
        <v>13678</v>
      </c>
      <c r="I9692" s="801"/>
      <c r="J9692" s="801" t="s">
        <v>12705</v>
      </c>
      <c r="K9692" s="801"/>
      <c r="L9692" s="801"/>
    </row>
    <row r="9693" spans="1:12" ht="17.100000000000001" customHeight="1">
      <c r="A9693" s="626" t="s">
        <v>12709</v>
      </c>
      <c r="B9693" s="627" t="s">
        <v>13134</v>
      </c>
      <c r="C9693" s="626" t="s">
        <v>8</v>
      </c>
      <c r="D9693" s="626" t="s">
        <v>9219</v>
      </c>
      <c r="E9693" s="628" t="s">
        <v>23</v>
      </c>
      <c r="F9693" s="816" t="s">
        <v>13782</v>
      </c>
      <c r="G9693" s="816"/>
      <c r="H9693" s="816">
        <v>5.9998301999999999</v>
      </c>
      <c r="I9693" s="816"/>
      <c r="J9693" s="817">
        <v>5.5797999999999996</v>
      </c>
      <c r="K9693" s="817"/>
      <c r="L9693" s="817"/>
    </row>
    <row r="9694" spans="1:12" ht="25.5">
      <c r="A9694" s="626" t="s">
        <v>12709</v>
      </c>
      <c r="B9694" s="627" t="s">
        <v>13133</v>
      </c>
      <c r="C9694" s="626" t="s">
        <v>8</v>
      </c>
      <c r="D9694" s="626" t="s">
        <v>9366</v>
      </c>
      <c r="E9694" s="628" t="s">
        <v>23</v>
      </c>
      <c r="F9694" s="816" t="s">
        <v>13781</v>
      </c>
      <c r="G9694" s="816"/>
      <c r="H9694" s="816">
        <v>5.9998301999999999</v>
      </c>
      <c r="I9694" s="816"/>
      <c r="J9694" s="817">
        <v>3.2999000000000001</v>
      </c>
      <c r="K9694" s="817"/>
      <c r="L9694" s="817"/>
    </row>
    <row r="9695" spans="1:12" ht="17.100000000000001" customHeight="1">
      <c r="A9695" s="636"/>
      <c r="B9695" s="636"/>
      <c r="C9695" s="636"/>
      <c r="D9695" s="636"/>
      <c r="E9695" s="636"/>
      <c r="F9695" s="636"/>
      <c r="G9695" s="636"/>
      <c r="H9695" s="636"/>
      <c r="I9695" s="636"/>
      <c r="J9695" s="636" t="s">
        <v>13675</v>
      </c>
      <c r="K9695" s="636"/>
      <c r="L9695" s="636" t="s">
        <v>13839</v>
      </c>
    </row>
    <row r="9696" spans="1:12" ht="24" customHeight="1">
      <c r="A9696" s="802" t="s">
        <v>12710</v>
      </c>
      <c r="B9696" s="802"/>
      <c r="C9696" s="802"/>
      <c r="D9696" s="802"/>
      <c r="E9696" s="802"/>
      <c r="F9696" s="802"/>
      <c r="G9696" s="802"/>
      <c r="H9696" s="802"/>
      <c r="I9696" s="612"/>
      <c r="J9696" s="612"/>
      <c r="K9696" s="612"/>
      <c r="L9696" s="612"/>
    </row>
    <row r="9697" spans="1:12" ht="17.100000000000001" customHeight="1">
      <c r="A9697" s="612" t="s">
        <v>13679</v>
      </c>
      <c r="B9697" s="636" t="s">
        <v>12698</v>
      </c>
      <c r="C9697" s="612" t="s">
        <v>12699</v>
      </c>
      <c r="D9697" s="612" t="s">
        <v>12700</v>
      </c>
      <c r="E9697" s="637" t="s">
        <v>12702</v>
      </c>
      <c r="F9697" s="801" t="s">
        <v>12704</v>
      </c>
      <c r="G9697" s="801"/>
      <c r="H9697" s="801" t="s">
        <v>13678</v>
      </c>
      <c r="I9697" s="801"/>
      <c r="J9697" s="801" t="s">
        <v>12705</v>
      </c>
      <c r="K9697" s="801"/>
      <c r="L9697" s="801"/>
    </row>
    <row r="9698" spans="1:12" ht="25.5">
      <c r="A9698" s="626" t="s">
        <v>12709</v>
      </c>
      <c r="B9698" s="627" t="s">
        <v>13222</v>
      </c>
      <c r="C9698" s="626" t="s">
        <v>8</v>
      </c>
      <c r="D9698" s="626" t="s">
        <v>7364</v>
      </c>
      <c r="E9698" s="628" t="s">
        <v>23</v>
      </c>
      <c r="F9698" s="816" t="s">
        <v>13808</v>
      </c>
      <c r="G9698" s="816"/>
      <c r="H9698" s="816">
        <v>3.0770165999999999</v>
      </c>
      <c r="I9698" s="816"/>
      <c r="J9698" s="817">
        <v>15.4466</v>
      </c>
      <c r="K9698" s="817"/>
      <c r="L9698" s="817"/>
    </row>
    <row r="9699" spans="1:12" ht="17.100000000000001" customHeight="1">
      <c r="A9699" s="626" t="s">
        <v>12709</v>
      </c>
      <c r="B9699" s="627" t="s">
        <v>13204</v>
      </c>
      <c r="C9699" s="626" t="s">
        <v>8</v>
      </c>
      <c r="D9699" s="626" t="s">
        <v>9112</v>
      </c>
      <c r="E9699" s="628" t="s">
        <v>23</v>
      </c>
      <c r="F9699" s="816" t="s">
        <v>14479</v>
      </c>
      <c r="G9699" s="816"/>
      <c r="H9699" s="816">
        <v>3.0770165999999999</v>
      </c>
      <c r="I9699" s="816"/>
      <c r="J9699" s="817">
        <v>22.000699999999998</v>
      </c>
      <c r="K9699" s="817"/>
      <c r="L9699" s="817"/>
    </row>
    <row r="9700" spans="1:12" ht="24" customHeight="1">
      <c r="A9700" s="636"/>
      <c r="B9700" s="636"/>
      <c r="C9700" s="636"/>
      <c r="D9700" s="636"/>
      <c r="E9700" s="636"/>
      <c r="F9700" s="636"/>
      <c r="G9700" s="636"/>
      <c r="H9700" s="636"/>
      <c r="I9700" s="636"/>
      <c r="J9700" s="636" t="s">
        <v>13675</v>
      </c>
      <c r="K9700" s="636"/>
      <c r="L9700" s="636" t="s">
        <v>14548</v>
      </c>
    </row>
    <row r="9701" spans="1:12" ht="24" customHeight="1">
      <c r="A9701" s="802" t="s">
        <v>12720</v>
      </c>
      <c r="B9701" s="802"/>
      <c r="C9701" s="802"/>
      <c r="D9701" s="802"/>
      <c r="E9701" s="802"/>
      <c r="F9701" s="802"/>
      <c r="G9701" s="802"/>
      <c r="H9701" s="802"/>
      <c r="I9701" s="612"/>
      <c r="J9701" s="612"/>
      <c r="K9701" s="612"/>
      <c r="L9701" s="612"/>
    </row>
    <row r="9702" spans="1:12" ht="17.100000000000001" customHeight="1">
      <c r="A9702" s="612" t="s">
        <v>13679</v>
      </c>
      <c r="B9702" s="636" t="s">
        <v>12698</v>
      </c>
      <c r="C9702" s="612" t="s">
        <v>12699</v>
      </c>
      <c r="D9702" s="612" t="s">
        <v>12700</v>
      </c>
      <c r="E9702" s="637" t="s">
        <v>12702</v>
      </c>
      <c r="F9702" s="801" t="s">
        <v>12704</v>
      </c>
      <c r="G9702" s="801"/>
      <c r="H9702" s="801" t="s">
        <v>13678</v>
      </c>
      <c r="I9702" s="801"/>
      <c r="J9702" s="801" t="s">
        <v>12705</v>
      </c>
      <c r="K9702" s="801"/>
      <c r="L9702" s="801"/>
    </row>
    <row r="9703" spans="1:12" ht="17.100000000000001" customHeight="1">
      <c r="A9703" s="626" t="s">
        <v>12709</v>
      </c>
      <c r="B9703" s="627" t="s">
        <v>13373</v>
      </c>
      <c r="C9703" s="626" t="s">
        <v>8</v>
      </c>
      <c r="D9703" s="626" t="s">
        <v>11051</v>
      </c>
      <c r="E9703" s="628" t="s">
        <v>35</v>
      </c>
      <c r="F9703" s="816" t="s">
        <v>14547</v>
      </c>
      <c r="G9703" s="816"/>
      <c r="H9703" s="816">
        <v>1</v>
      </c>
      <c r="I9703" s="816"/>
      <c r="J9703" s="817">
        <v>428.29</v>
      </c>
      <c r="K9703" s="817"/>
      <c r="L9703" s="817"/>
    </row>
    <row r="9704" spans="1:12" ht="17.100000000000001" customHeight="1">
      <c r="A9704" s="636"/>
      <c r="B9704" s="636"/>
      <c r="C9704" s="636"/>
      <c r="D9704" s="636"/>
      <c r="E9704" s="636"/>
      <c r="F9704" s="636"/>
      <c r="G9704" s="636"/>
      <c r="H9704" s="636"/>
      <c r="I9704" s="636"/>
      <c r="J9704" s="636" t="s">
        <v>13675</v>
      </c>
      <c r="K9704" s="636"/>
      <c r="L9704" s="636" t="s">
        <v>14547</v>
      </c>
    </row>
    <row r="9705" spans="1:12" ht="17.100000000000001" customHeight="1">
      <c r="A9705" s="802" t="s">
        <v>12722</v>
      </c>
      <c r="B9705" s="802"/>
      <c r="C9705" s="802"/>
      <c r="D9705" s="802"/>
      <c r="E9705" s="802"/>
      <c r="F9705" s="802"/>
      <c r="G9705" s="802"/>
      <c r="H9705" s="802"/>
      <c r="I9705" s="612"/>
      <c r="J9705" s="612"/>
      <c r="K9705" s="612"/>
      <c r="L9705" s="612"/>
    </row>
    <row r="9706" spans="1:12" ht="17.100000000000001" customHeight="1">
      <c r="A9706" s="612" t="s">
        <v>13679</v>
      </c>
      <c r="B9706" s="636" t="s">
        <v>12698</v>
      </c>
      <c r="C9706" s="612" t="s">
        <v>12699</v>
      </c>
      <c r="D9706" s="612" t="s">
        <v>12700</v>
      </c>
      <c r="E9706" s="637" t="s">
        <v>12702</v>
      </c>
      <c r="F9706" s="801" t="s">
        <v>12704</v>
      </c>
      <c r="G9706" s="801"/>
      <c r="H9706" s="801" t="s">
        <v>13678</v>
      </c>
      <c r="I9706" s="801"/>
      <c r="J9706" s="801" t="s">
        <v>12705</v>
      </c>
      <c r="K9706" s="801"/>
      <c r="L9706" s="801"/>
    </row>
    <row r="9707" spans="1:12" ht="17.100000000000001" customHeight="1">
      <c r="A9707" s="626" t="s">
        <v>12709</v>
      </c>
      <c r="B9707" s="627" t="s">
        <v>12998</v>
      </c>
      <c r="C9707" s="626" t="s">
        <v>8</v>
      </c>
      <c r="D9707" s="626" t="s">
        <v>11861</v>
      </c>
      <c r="E9707" s="628" t="s">
        <v>23</v>
      </c>
      <c r="F9707" s="816" t="s">
        <v>13683</v>
      </c>
      <c r="G9707" s="816"/>
      <c r="H9707" s="816">
        <v>5.9998301999999999</v>
      </c>
      <c r="I9707" s="816"/>
      <c r="J9707" s="817">
        <v>4.2599</v>
      </c>
      <c r="K9707" s="817"/>
      <c r="L9707" s="817"/>
    </row>
    <row r="9708" spans="1:12" ht="17.100000000000001" customHeight="1">
      <c r="A9708" s="636"/>
      <c r="B9708" s="636"/>
      <c r="C9708" s="636"/>
      <c r="D9708" s="636"/>
      <c r="E9708" s="636"/>
      <c r="F9708" s="636"/>
      <c r="G9708" s="636"/>
      <c r="H9708" s="636"/>
      <c r="I9708" s="636"/>
      <c r="J9708" s="636" t="s">
        <v>13675</v>
      </c>
      <c r="K9708" s="636"/>
      <c r="L9708" s="636" t="s">
        <v>13838</v>
      </c>
    </row>
    <row r="9709" spans="1:12" ht="30" customHeight="1">
      <c r="A9709" s="802" t="s">
        <v>12713</v>
      </c>
      <c r="B9709" s="802"/>
      <c r="C9709" s="802"/>
      <c r="D9709" s="802"/>
      <c r="E9709" s="802"/>
      <c r="F9709" s="802"/>
      <c r="G9709" s="802"/>
      <c r="H9709" s="802"/>
      <c r="I9709" s="612"/>
      <c r="J9709" s="612"/>
      <c r="K9709" s="612"/>
      <c r="L9709" s="612"/>
    </row>
    <row r="9710" spans="1:12" ht="24" customHeight="1">
      <c r="A9710" s="612" t="s">
        <v>13679</v>
      </c>
      <c r="B9710" s="636" t="s">
        <v>12698</v>
      </c>
      <c r="C9710" s="612" t="s">
        <v>12699</v>
      </c>
      <c r="D9710" s="612" t="s">
        <v>12700</v>
      </c>
      <c r="E9710" s="637" t="s">
        <v>12702</v>
      </c>
      <c r="F9710" s="801" t="s">
        <v>12704</v>
      </c>
      <c r="G9710" s="801"/>
      <c r="H9710" s="801" t="s">
        <v>13678</v>
      </c>
      <c r="I9710" s="801"/>
      <c r="J9710" s="801" t="s">
        <v>12705</v>
      </c>
      <c r="K9710" s="801"/>
      <c r="L9710" s="801"/>
    </row>
    <row r="9711" spans="1:12" ht="14.25" customHeight="1">
      <c r="A9711" s="626" t="s">
        <v>12709</v>
      </c>
      <c r="B9711" s="627" t="s">
        <v>12999</v>
      </c>
      <c r="C9711" s="626" t="s">
        <v>8</v>
      </c>
      <c r="D9711" s="626" t="s">
        <v>11251</v>
      </c>
      <c r="E9711" s="628" t="s">
        <v>23</v>
      </c>
      <c r="F9711" s="816" t="s">
        <v>13681</v>
      </c>
      <c r="G9711" s="816"/>
      <c r="H9711" s="816">
        <v>5.9998301999999999</v>
      </c>
      <c r="I9711" s="816"/>
      <c r="J9711" s="817">
        <v>0.42</v>
      </c>
      <c r="K9711" s="817"/>
      <c r="L9711" s="817"/>
    </row>
    <row r="9712" spans="1:12" ht="17.100000000000001" customHeight="1">
      <c r="A9712" s="636"/>
      <c r="B9712" s="636"/>
      <c r="C9712" s="636"/>
      <c r="D9712" s="636"/>
      <c r="E9712" s="636"/>
      <c r="F9712" s="636"/>
      <c r="G9712" s="636"/>
      <c r="H9712" s="636"/>
      <c r="I9712" s="636"/>
      <c r="J9712" s="636" t="s">
        <v>13675</v>
      </c>
      <c r="K9712" s="636"/>
      <c r="L9712" s="636" t="s">
        <v>13837</v>
      </c>
    </row>
    <row r="9713" spans="1:12" ht="24" customHeight="1">
      <c r="A9713" s="802" t="s">
        <v>12712</v>
      </c>
      <c r="B9713" s="802"/>
      <c r="C9713" s="802"/>
      <c r="D9713" s="802"/>
      <c r="E9713" s="802"/>
      <c r="F9713" s="802"/>
      <c r="G9713" s="802"/>
      <c r="H9713" s="802"/>
      <c r="I9713" s="612"/>
      <c r="J9713" s="612"/>
      <c r="K9713" s="612"/>
      <c r="L9713" s="612"/>
    </row>
    <row r="9714" spans="1:12" ht="24" customHeight="1">
      <c r="A9714" s="612" t="s">
        <v>13679</v>
      </c>
      <c r="B9714" s="636" t="s">
        <v>12698</v>
      </c>
      <c r="C9714" s="612" t="s">
        <v>12699</v>
      </c>
      <c r="D9714" s="612" t="s">
        <v>12700</v>
      </c>
      <c r="E9714" s="637" t="s">
        <v>12702</v>
      </c>
      <c r="F9714" s="801" t="s">
        <v>12704</v>
      </c>
      <c r="G9714" s="801"/>
      <c r="H9714" s="801" t="s">
        <v>13678</v>
      </c>
      <c r="I9714" s="801"/>
      <c r="J9714" s="801" t="s">
        <v>12705</v>
      </c>
      <c r="K9714" s="801"/>
      <c r="L9714" s="801"/>
    </row>
    <row r="9715" spans="1:12" ht="17.100000000000001" customHeight="1">
      <c r="A9715" s="626" t="s">
        <v>12709</v>
      </c>
      <c r="B9715" s="627" t="s">
        <v>13002</v>
      </c>
      <c r="C9715" s="626" t="s">
        <v>8</v>
      </c>
      <c r="D9715" s="626" t="s">
        <v>9306</v>
      </c>
      <c r="E9715" s="628" t="s">
        <v>23</v>
      </c>
      <c r="F9715" s="816" t="s">
        <v>13677</v>
      </c>
      <c r="G9715" s="816"/>
      <c r="H9715" s="816">
        <v>5.9998301999999999</v>
      </c>
      <c r="I9715" s="816"/>
      <c r="J9715" s="817">
        <v>2.0998999999999999</v>
      </c>
      <c r="K9715" s="817"/>
      <c r="L9715" s="817"/>
    </row>
    <row r="9716" spans="1:12" ht="14.25" customHeight="1">
      <c r="A9716" s="626" t="s">
        <v>12709</v>
      </c>
      <c r="B9716" s="627" t="s">
        <v>13004</v>
      </c>
      <c r="C9716" s="626" t="s">
        <v>8</v>
      </c>
      <c r="D9716" s="626" t="s">
        <v>7388</v>
      </c>
      <c r="E9716" s="628" t="s">
        <v>23</v>
      </c>
      <c r="F9716" s="816" t="s">
        <v>13676</v>
      </c>
      <c r="G9716" s="816"/>
      <c r="H9716" s="816">
        <v>5.9998301999999999</v>
      </c>
      <c r="I9716" s="816"/>
      <c r="J9716" s="817">
        <v>13.1996</v>
      </c>
      <c r="K9716" s="817"/>
      <c r="L9716" s="817"/>
    </row>
    <row r="9717" spans="1:12" ht="17.100000000000001" customHeight="1">
      <c r="A9717" s="636"/>
      <c r="B9717" s="636"/>
      <c r="C9717" s="636"/>
      <c r="D9717" s="636"/>
      <c r="E9717" s="636"/>
      <c r="F9717" s="636"/>
      <c r="G9717" s="636"/>
      <c r="H9717" s="636"/>
      <c r="I9717" s="636"/>
      <c r="J9717" s="636" t="s">
        <v>13675</v>
      </c>
      <c r="K9717" s="636"/>
      <c r="L9717" s="636" t="s">
        <v>13836</v>
      </c>
    </row>
    <row r="9718" spans="1:12" ht="24" customHeight="1">
      <c r="A9718" s="612" t="s">
        <v>13673</v>
      </c>
      <c r="B9718" s="612"/>
      <c r="C9718" s="612"/>
      <c r="D9718" s="612"/>
      <c r="E9718" s="612"/>
      <c r="F9718" s="612"/>
      <c r="G9718" s="612"/>
      <c r="H9718" s="612"/>
      <c r="I9718" s="612"/>
      <c r="J9718" s="612"/>
      <c r="K9718" s="612"/>
      <c r="L9718" s="612"/>
    </row>
    <row r="9719" spans="1:12" ht="24" customHeight="1">
      <c r="A9719" s="636"/>
      <c r="B9719" s="636"/>
      <c r="C9719" s="636"/>
      <c r="D9719" s="636"/>
      <c r="E9719" s="636"/>
      <c r="F9719" s="636"/>
      <c r="G9719" s="636"/>
      <c r="H9719" s="636"/>
      <c r="I9719" s="636"/>
      <c r="J9719" s="636" t="s">
        <v>13672</v>
      </c>
      <c r="K9719" s="636"/>
      <c r="L9719" s="636" t="s">
        <v>15659</v>
      </c>
    </row>
    <row r="9720" spans="1:12" ht="17.100000000000001" customHeight="1">
      <c r="A9720" s="636"/>
      <c r="B9720" s="636"/>
      <c r="C9720" s="636"/>
      <c r="D9720" s="636"/>
      <c r="E9720" s="636"/>
      <c r="F9720" s="636"/>
      <c r="G9720" s="636"/>
      <c r="H9720" s="636"/>
      <c r="I9720" s="636"/>
      <c r="J9720" s="636" t="s">
        <v>13671</v>
      </c>
      <c r="K9720" s="636" t="s">
        <v>14461</v>
      </c>
      <c r="L9720" s="636" t="s">
        <v>15660</v>
      </c>
    </row>
    <row r="9721" spans="1:12">
      <c r="A9721" s="636"/>
      <c r="B9721" s="636"/>
      <c r="C9721" s="636"/>
      <c r="D9721" s="636"/>
      <c r="E9721" s="636"/>
      <c r="F9721" s="636"/>
      <c r="G9721" s="636"/>
      <c r="H9721" s="636"/>
      <c r="I9721" s="636"/>
      <c r="J9721" s="636" t="s">
        <v>13670</v>
      </c>
      <c r="K9721" s="636"/>
      <c r="L9721" s="636" t="s">
        <v>15661</v>
      </c>
    </row>
    <row r="9722" spans="1:12" ht="17.100000000000001" customHeight="1">
      <c r="A9722" s="636"/>
      <c r="B9722" s="636"/>
      <c r="C9722" s="636"/>
      <c r="D9722" s="636"/>
      <c r="E9722" s="636"/>
      <c r="F9722" s="636"/>
      <c r="G9722" s="636"/>
      <c r="H9722" s="636"/>
      <c r="I9722" s="636"/>
      <c r="J9722" s="636" t="s">
        <v>13669</v>
      </c>
      <c r="K9722" s="636" t="s">
        <v>13667</v>
      </c>
      <c r="L9722" s="636" t="s">
        <v>15662</v>
      </c>
    </row>
    <row r="9723" spans="1:12" ht="36" customHeight="1">
      <c r="A9723" s="636"/>
      <c r="B9723" s="636"/>
      <c r="C9723" s="636"/>
      <c r="D9723" s="636"/>
      <c r="E9723" s="636"/>
      <c r="F9723" s="636"/>
      <c r="G9723" s="636"/>
      <c r="H9723" s="636"/>
      <c r="I9723" s="636"/>
      <c r="J9723" s="636" t="s">
        <v>13668</v>
      </c>
      <c r="K9723" s="636"/>
      <c r="L9723" s="636" t="s">
        <v>15663</v>
      </c>
    </row>
    <row r="9724" spans="1:12" ht="17.100000000000001" customHeight="1">
      <c r="A9724" s="637"/>
      <c r="B9724" s="637"/>
      <c r="C9724" s="637"/>
      <c r="D9724" s="637"/>
      <c r="E9724" s="637"/>
      <c r="F9724" s="637"/>
      <c r="G9724" s="637"/>
      <c r="H9724" s="637"/>
      <c r="I9724" s="637"/>
      <c r="J9724" s="637"/>
      <c r="K9724" s="637"/>
      <c r="L9724" s="637"/>
    </row>
    <row r="9725" spans="1:12" ht="25.5">
      <c r="A9725" s="616" t="s">
        <v>14546</v>
      </c>
      <c r="B9725" s="617" t="s">
        <v>13390</v>
      </c>
      <c r="C9725" s="616" t="s">
        <v>8</v>
      </c>
      <c r="D9725" s="616" t="s">
        <v>700</v>
      </c>
      <c r="E9725" s="618" t="s">
        <v>35</v>
      </c>
      <c r="F9725" s="617"/>
      <c r="G9725" s="617"/>
      <c r="H9725" s="617"/>
      <c r="I9725" s="617"/>
      <c r="J9725" s="617"/>
      <c r="K9725" s="617"/>
      <c r="L9725" s="617"/>
    </row>
    <row r="9726" spans="1:12" ht="17.100000000000001" customHeight="1">
      <c r="A9726" s="802" t="s">
        <v>12711</v>
      </c>
      <c r="B9726" s="802"/>
      <c r="C9726" s="802"/>
      <c r="D9726" s="802"/>
      <c r="E9726" s="802"/>
      <c r="F9726" s="802"/>
      <c r="G9726" s="802"/>
      <c r="H9726" s="802"/>
      <c r="I9726" s="612"/>
      <c r="J9726" s="612"/>
      <c r="K9726" s="612"/>
      <c r="L9726" s="612"/>
    </row>
    <row r="9727" spans="1:12" ht="24" customHeight="1">
      <c r="A9727" s="612" t="s">
        <v>13679</v>
      </c>
      <c r="B9727" s="636" t="s">
        <v>12698</v>
      </c>
      <c r="C9727" s="612" t="s">
        <v>12699</v>
      </c>
      <c r="D9727" s="612" t="s">
        <v>12700</v>
      </c>
      <c r="E9727" s="637" t="s">
        <v>12702</v>
      </c>
      <c r="F9727" s="801" t="s">
        <v>12704</v>
      </c>
      <c r="G9727" s="801"/>
      <c r="H9727" s="801" t="s">
        <v>13678</v>
      </c>
      <c r="I9727" s="801"/>
      <c r="J9727" s="801" t="s">
        <v>12705</v>
      </c>
      <c r="K9727" s="801"/>
      <c r="L9727" s="801"/>
    </row>
    <row r="9728" spans="1:12" ht="17.100000000000001" customHeight="1">
      <c r="A9728" s="626" t="s">
        <v>12709</v>
      </c>
      <c r="B9728" s="627" t="s">
        <v>13134</v>
      </c>
      <c r="C9728" s="626" t="s">
        <v>8</v>
      </c>
      <c r="D9728" s="626" t="s">
        <v>9219</v>
      </c>
      <c r="E9728" s="628" t="s">
        <v>23</v>
      </c>
      <c r="F9728" s="816" t="s">
        <v>13782</v>
      </c>
      <c r="G9728" s="816"/>
      <c r="H9728" s="816">
        <v>0.3971481</v>
      </c>
      <c r="I9728" s="816"/>
      <c r="J9728" s="817">
        <v>0.36930000000000002</v>
      </c>
      <c r="K9728" s="817"/>
      <c r="L9728" s="817"/>
    </row>
    <row r="9729" spans="1:12" ht="25.5">
      <c r="A9729" s="626" t="s">
        <v>12709</v>
      </c>
      <c r="B9729" s="627" t="s">
        <v>13133</v>
      </c>
      <c r="C9729" s="626" t="s">
        <v>8</v>
      </c>
      <c r="D9729" s="626" t="s">
        <v>9366</v>
      </c>
      <c r="E9729" s="628" t="s">
        <v>23</v>
      </c>
      <c r="F9729" s="816" t="s">
        <v>13781</v>
      </c>
      <c r="G9729" s="816"/>
      <c r="H9729" s="816">
        <v>0.3971481</v>
      </c>
      <c r="I9729" s="816"/>
      <c r="J9729" s="817">
        <v>0.21840000000000001</v>
      </c>
      <c r="K9729" s="817"/>
      <c r="L9729" s="817"/>
    </row>
    <row r="9730" spans="1:12" ht="17.100000000000001" customHeight="1">
      <c r="A9730" s="636"/>
      <c r="B9730" s="636"/>
      <c r="C9730" s="636"/>
      <c r="D9730" s="636"/>
      <c r="E9730" s="636"/>
      <c r="F9730" s="636"/>
      <c r="G9730" s="636"/>
      <c r="H9730" s="636"/>
      <c r="I9730" s="636"/>
      <c r="J9730" s="636" t="s">
        <v>13675</v>
      </c>
      <c r="K9730" s="636"/>
      <c r="L9730" s="636" t="s">
        <v>13709</v>
      </c>
    </row>
    <row r="9731" spans="1:12" ht="24" customHeight="1">
      <c r="A9731" s="802" t="s">
        <v>12710</v>
      </c>
      <c r="B9731" s="802"/>
      <c r="C9731" s="802"/>
      <c r="D9731" s="802"/>
      <c r="E9731" s="802"/>
      <c r="F9731" s="802"/>
      <c r="G9731" s="802"/>
      <c r="H9731" s="802"/>
      <c r="I9731" s="612"/>
      <c r="J9731" s="612"/>
      <c r="K9731" s="612"/>
      <c r="L9731" s="612"/>
    </row>
    <row r="9732" spans="1:12" ht="17.100000000000001" customHeight="1">
      <c r="A9732" s="612" t="s">
        <v>13679</v>
      </c>
      <c r="B9732" s="636" t="s">
        <v>12698</v>
      </c>
      <c r="C9732" s="612" t="s">
        <v>12699</v>
      </c>
      <c r="D9732" s="612" t="s">
        <v>12700</v>
      </c>
      <c r="E9732" s="637" t="s">
        <v>12702</v>
      </c>
      <c r="F9732" s="801" t="s">
        <v>12704</v>
      </c>
      <c r="G9732" s="801"/>
      <c r="H9732" s="801" t="s">
        <v>13678</v>
      </c>
      <c r="I9732" s="801"/>
      <c r="J9732" s="801" t="s">
        <v>12705</v>
      </c>
      <c r="K9732" s="801"/>
      <c r="L9732" s="801"/>
    </row>
    <row r="9733" spans="1:12" ht="25.5">
      <c r="A9733" s="626" t="s">
        <v>12709</v>
      </c>
      <c r="B9733" s="627" t="s">
        <v>13222</v>
      </c>
      <c r="C9733" s="626" t="s">
        <v>8</v>
      </c>
      <c r="D9733" s="626" t="s">
        <v>7364</v>
      </c>
      <c r="E9733" s="628" t="s">
        <v>23</v>
      </c>
      <c r="F9733" s="816" t="s">
        <v>13808</v>
      </c>
      <c r="G9733" s="816"/>
      <c r="H9733" s="816">
        <v>0.20389070000000001</v>
      </c>
      <c r="I9733" s="816"/>
      <c r="J9733" s="817">
        <v>1.0235000000000001</v>
      </c>
      <c r="K9733" s="817"/>
      <c r="L9733" s="817"/>
    </row>
    <row r="9734" spans="1:12" ht="17.100000000000001" customHeight="1">
      <c r="A9734" s="626" t="s">
        <v>12709</v>
      </c>
      <c r="B9734" s="627" t="s">
        <v>13204</v>
      </c>
      <c r="C9734" s="626" t="s">
        <v>8</v>
      </c>
      <c r="D9734" s="626" t="s">
        <v>9112</v>
      </c>
      <c r="E9734" s="628" t="s">
        <v>23</v>
      </c>
      <c r="F9734" s="816" t="s">
        <v>14479</v>
      </c>
      <c r="G9734" s="816"/>
      <c r="H9734" s="816">
        <v>0.20389070000000001</v>
      </c>
      <c r="I9734" s="816"/>
      <c r="J9734" s="817">
        <v>1.4578</v>
      </c>
      <c r="K9734" s="817"/>
      <c r="L9734" s="817"/>
    </row>
    <row r="9735" spans="1:12" ht="24" customHeight="1">
      <c r="A9735" s="636"/>
      <c r="B9735" s="636"/>
      <c r="C9735" s="636"/>
      <c r="D9735" s="636"/>
      <c r="E9735" s="636"/>
      <c r="F9735" s="636"/>
      <c r="G9735" s="636"/>
      <c r="H9735" s="636"/>
      <c r="I9735" s="636"/>
      <c r="J9735" s="636" t="s">
        <v>13675</v>
      </c>
      <c r="K9735" s="636"/>
      <c r="L9735" s="636" t="s">
        <v>14264</v>
      </c>
    </row>
    <row r="9736" spans="1:12" ht="24" customHeight="1">
      <c r="A9736" s="802" t="s">
        <v>12720</v>
      </c>
      <c r="B9736" s="802"/>
      <c r="C9736" s="802"/>
      <c r="D9736" s="802"/>
      <c r="E9736" s="802"/>
      <c r="F9736" s="802"/>
      <c r="G9736" s="802"/>
      <c r="H9736" s="802"/>
      <c r="I9736" s="612"/>
      <c r="J9736" s="612"/>
      <c r="K9736" s="612"/>
      <c r="L9736" s="612"/>
    </row>
    <row r="9737" spans="1:12" ht="17.100000000000001" customHeight="1">
      <c r="A9737" s="612" t="s">
        <v>13679</v>
      </c>
      <c r="B9737" s="636" t="s">
        <v>12698</v>
      </c>
      <c r="C9737" s="612" t="s">
        <v>12699</v>
      </c>
      <c r="D9737" s="612" t="s">
        <v>12700</v>
      </c>
      <c r="E9737" s="637" t="s">
        <v>12702</v>
      </c>
      <c r="F9737" s="801" t="s">
        <v>12704</v>
      </c>
      <c r="G9737" s="801"/>
      <c r="H9737" s="801" t="s">
        <v>13678</v>
      </c>
      <c r="I9737" s="801"/>
      <c r="J9737" s="801" t="s">
        <v>12705</v>
      </c>
      <c r="K9737" s="801"/>
      <c r="L9737" s="801"/>
    </row>
    <row r="9738" spans="1:12" ht="17.100000000000001" customHeight="1">
      <c r="A9738" s="626" t="s">
        <v>12709</v>
      </c>
      <c r="B9738" s="627" t="s">
        <v>13389</v>
      </c>
      <c r="C9738" s="626" t="s">
        <v>8</v>
      </c>
      <c r="D9738" s="626" t="s">
        <v>11737</v>
      </c>
      <c r="E9738" s="628" t="s">
        <v>35</v>
      </c>
      <c r="F9738" s="816" t="s">
        <v>13918</v>
      </c>
      <c r="G9738" s="816"/>
      <c r="H9738" s="816">
        <v>3</v>
      </c>
      <c r="I9738" s="816"/>
      <c r="J9738" s="817">
        <v>2.7</v>
      </c>
      <c r="K9738" s="817"/>
      <c r="L9738" s="817"/>
    </row>
    <row r="9739" spans="1:12" ht="17.100000000000001" customHeight="1">
      <c r="A9739" s="626" t="s">
        <v>12709</v>
      </c>
      <c r="B9739" s="627" t="s">
        <v>13387</v>
      </c>
      <c r="C9739" s="626" t="s">
        <v>8</v>
      </c>
      <c r="D9739" s="626" t="s">
        <v>9010</v>
      </c>
      <c r="E9739" s="628" t="s">
        <v>35</v>
      </c>
      <c r="F9739" s="816" t="s">
        <v>14543</v>
      </c>
      <c r="G9739" s="816"/>
      <c r="H9739" s="816">
        <v>1</v>
      </c>
      <c r="I9739" s="816"/>
      <c r="J9739" s="817">
        <v>58.51</v>
      </c>
      <c r="K9739" s="817"/>
      <c r="L9739" s="817"/>
    </row>
    <row r="9740" spans="1:12" ht="17.100000000000001" customHeight="1">
      <c r="A9740" s="636"/>
      <c r="B9740" s="636"/>
      <c r="C9740" s="636"/>
      <c r="D9740" s="636"/>
      <c r="E9740" s="636"/>
      <c r="F9740" s="636"/>
      <c r="G9740" s="636"/>
      <c r="H9740" s="636"/>
      <c r="I9740" s="636"/>
      <c r="J9740" s="636" t="s">
        <v>13675</v>
      </c>
      <c r="K9740" s="636"/>
      <c r="L9740" s="636" t="s">
        <v>14545</v>
      </c>
    </row>
    <row r="9741" spans="1:12" ht="17.100000000000001" customHeight="1">
      <c r="A9741" s="802" t="s">
        <v>12722</v>
      </c>
      <c r="B9741" s="802"/>
      <c r="C9741" s="802"/>
      <c r="D9741" s="802"/>
      <c r="E9741" s="802"/>
      <c r="F9741" s="802"/>
      <c r="G9741" s="802"/>
      <c r="H9741" s="802"/>
      <c r="I9741" s="612"/>
      <c r="J9741" s="612"/>
      <c r="K9741" s="612"/>
      <c r="L9741" s="612"/>
    </row>
    <row r="9742" spans="1:12" ht="17.100000000000001" customHeight="1">
      <c r="A9742" s="612" t="s">
        <v>13679</v>
      </c>
      <c r="B9742" s="636" t="s">
        <v>12698</v>
      </c>
      <c r="C9742" s="612" t="s">
        <v>12699</v>
      </c>
      <c r="D9742" s="612" t="s">
        <v>12700</v>
      </c>
      <c r="E9742" s="637" t="s">
        <v>12702</v>
      </c>
      <c r="F9742" s="801" t="s">
        <v>12704</v>
      </c>
      <c r="G9742" s="801"/>
      <c r="H9742" s="801" t="s">
        <v>13678</v>
      </c>
      <c r="I9742" s="801"/>
      <c r="J9742" s="801" t="s">
        <v>12705</v>
      </c>
      <c r="K9742" s="801"/>
      <c r="L9742" s="801"/>
    </row>
    <row r="9743" spans="1:12" ht="17.100000000000001" customHeight="1">
      <c r="A9743" s="626" t="s">
        <v>12709</v>
      </c>
      <c r="B9743" s="627" t="s">
        <v>12998</v>
      </c>
      <c r="C9743" s="626" t="s">
        <v>8</v>
      </c>
      <c r="D9743" s="626" t="s">
        <v>11861</v>
      </c>
      <c r="E9743" s="628" t="s">
        <v>23</v>
      </c>
      <c r="F9743" s="816" t="s">
        <v>13683</v>
      </c>
      <c r="G9743" s="816"/>
      <c r="H9743" s="816">
        <v>0.3971481</v>
      </c>
      <c r="I9743" s="816"/>
      <c r="J9743" s="817">
        <v>0.28199999999999997</v>
      </c>
      <c r="K9743" s="817"/>
      <c r="L9743" s="817"/>
    </row>
    <row r="9744" spans="1:12" ht="30" customHeight="1">
      <c r="A9744" s="636"/>
      <c r="B9744" s="636"/>
      <c r="C9744" s="636"/>
      <c r="D9744" s="636"/>
      <c r="E9744" s="636"/>
      <c r="F9744" s="636"/>
      <c r="G9744" s="636"/>
      <c r="H9744" s="636"/>
      <c r="I9744" s="636"/>
      <c r="J9744" s="636" t="s">
        <v>13675</v>
      </c>
      <c r="K9744" s="636"/>
      <c r="L9744" s="636" t="s">
        <v>13762</v>
      </c>
    </row>
    <row r="9745" spans="1:12" ht="36" customHeight="1">
      <c r="A9745" s="802" t="s">
        <v>12713</v>
      </c>
      <c r="B9745" s="802"/>
      <c r="C9745" s="802"/>
      <c r="D9745" s="802"/>
      <c r="E9745" s="802"/>
      <c r="F9745" s="802"/>
      <c r="G9745" s="802"/>
      <c r="H9745" s="802"/>
      <c r="I9745" s="612"/>
      <c r="J9745" s="612"/>
      <c r="K9745" s="612"/>
      <c r="L9745" s="612"/>
    </row>
    <row r="9746" spans="1:12" ht="14.25" customHeight="1">
      <c r="A9746" s="612" t="s">
        <v>13679</v>
      </c>
      <c r="B9746" s="636" t="s">
        <v>12698</v>
      </c>
      <c r="C9746" s="612" t="s">
        <v>12699</v>
      </c>
      <c r="D9746" s="612" t="s">
        <v>12700</v>
      </c>
      <c r="E9746" s="637" t="s">
        <v>12702</v>
      </c>
      <c r="F9746" s="801" t="s">
        <v>12704</v>
      </c>
      <c r="G9746" s="801"/>
      <c r="H9746" s="801" t="s">
        <v>13678</v>
      </c>
      <c r="I9746" s="801"/>
      <c r="J9746" s="801" t="s">
        <v>12705</v>
      </c>
      <c r="K9746" s="801"/>
      <c r="L9746" s="801"/>
    </row>
    <row r="9747" spans="1:12" ht="17.100000000000001" customHeight="1">
      <c r="A9747" s="626" t="s">
        <v>12709</v>
      </c>
      <c r="B9747" s="627" t="s">
        <v>12999</v>
      </c>
      <c r="C9747" s="626" t="s">
        <v>8</v>
      </c>
      <c r="D9747" s="626" t="s">
        <v>11251</v>
      </c>
      <c r="E9747" s="628" t="s">
        <v>23</v>
      </c>
      <c r="F9747" s="816" t="s">
        <v>13681</v>
      </c>
      <c r="G9747" s="816"/>
      <c r="H9747" s="816">
        <v>0.3971481</v>
      </c>
      <c r="I9747" s="816"/>
      <c r="J9747" s="817">
        <v>2.7799999999999998E-2</v>
      </c>
      <c r="K9747" s="817"/>
      <c r="L9747" s="817"/>
    </row>
    <row r="9748" spans="1:12" ht="60" customHeight="1">
      <c r="A9748" s="636"/>
      <c r="B9748" s="636"/>
      <c r="C9748" s="636"/>
      <c r="D9748" s="636"/>
      <c r="E9748" s="636"/>
      <c r="F9748" s="636"/>
      <c r="G9748" s="636"/>
      <c r="H9748" s="636"/>
      <c r="I9748" s="636"/>
      <c r="J9748" s="636" t="s">
        <v>13675</v>
      </c>
      <c r="K9748" s="636"/>
      <c r="L9748" s="636" t="s">
        <v>13726</v>
      </c>
    </row>
    <row r="9749" spans="1:12" ht="24" customHeight="1">
      <c r="A9749" s="802" t="s">
        <v>12712</v>
      </c>
      <c r="B9749" s="802"/>
      <c r="C9749" s="802"/>
      <c r="D9749" s="802"/>
      <c r="E9749" s="802"/>
      <c r="F9749" s="802"/>
      <c r="G9749" s="802"/>
      <c r="H9749" s="802"/>
      <c r="I9749" s="612"/>
      <c r="J9749" s="612"/>
      <c r="K9749" s="612"/>
      <c r="L9749" s="612"/>
    </row>
    <row r="9750" spans="1:12" ht="24" customHeight="1">
      <c r="A9750" s="612" t="s">
        <v>13679</v>
      </c>
      <c r="B9750" s="636" t="s">
        <v>12698</v>
      </c>
      <c r="C9750" s="612" t="s">
        <v>12699</v>
      </c>
      <c r="D9750" s="612" t="s">
        <v>12700</v>
      </c>
      <c r="E9750" s="637" t="s">
        <v>12702</v>
      </c>
      <c r="F9750" s="801" t="s">
        <v>12704</v>
      </c>
      <c r="G9750" s="801"/>
      <c r="H9750" s="801" t="s">
        <v>13678</v>
      </c>
      <c r="I9750" s="801"/>
      <c r="J9750" s="801" t="s">
        <v>12705</v>
      </c>
      <c r="K9750" s="801"/>
      <c r="L9750" s="801"/>
    </row>
    <row r="9751" spans="1:12" ht="24" customHeight="1">
      <c r="A9751" s="626" t="s">
        <v>12709</v>
      </c>
      <c r="B9751" s="627" t="s">
        <v>13002</v>
      </c>
      <c r="C9751" s="626" t="s">
        <v>8</v>
      </c>
      <c r="D9751" s="626" t="s">
        <v>9306</v>
      </c>
      <c r="E9751" s="628" t="s">
        <v>23</v>
      </c>
      <c r="F9751" s="816" t="s">
        <v>13677</v>
      </c>
      <c r="G9751" s="816"/>
      <c r="H9751" s="816">
        <v>0.3971481</v>
      </c>
      <c r="I9751" s="816"/>
      <c r="J9751" s="817">
        <v>0.13900000000000001</v>
      </c>
      <c r="K9751" s="817"/>
      <c r="L9751" s="817"/>
    </row>
    <row r="9752" spans="1:12" ht="24" customHeight="1">
      <c r="A9752" s="626" t="s">
        <v>12709</v>
      </c>
      <c r="B9752" s="627" t="s">
        <v>13004</v>
      </c>
      <c r="C9752" s="626" t="s">
        <v>8</v>
      </c>
      <c r="D9752" s="626" t="s">
        <v>7388</v>
      </c>
      <c r="E9752" s="628" t="s">
        <v>23</v>
      </c>
      <c r="F9752" s="816" t="s">
        <v>13676</v>
      </c>
      <c r="G9752" s="816"/>
      <c r="H9752" s="816">
        <v>0.3971481</v>
      </c>
      <c r="I9752" s="816"/>
      <c r="J9752" s="817">
        <v>0.87370000000000003</v>
      </c>
      <c r="K9752" s="817"/>
      <c r="L9752" s="817"/>
    </row>
    <row r="9753" spans="1:12" ht="24" customHeight="1">
      <c r="A9753" s="636"/>
      <c r="B9753" s="636"/>
      <c r="C9753" s="636"/>
      <c r="D9753" s="636"/>
      <c r="E9753" s="636"/>
      <c r="F9753" s="636"/>
      <c r="G9753" s="636"/>
      <c r="H9753" s="636"/>
      <c r="I9753" s="636"/>
      <c r="J9753" s="636" t="s">
        <v>13675</v>
      </c>
      <c r="K9753" s="636"/>
      <c r="L9753" s="636" t="s">
        <v>13863</v>
      </c>
    </row>
    <row r="9754" spans="1:12" ht="36" customHeight="1">
      <c r="A9754" s="612" t="s">
        <v>13673</v>
      </c>
      <c r="B9754" s="612"/>
      <c r="C9754" s="612"/>
      <c r="D9754" s="612"/>
      <c r="E9754" s="612"/>
      <c r="F9754" s="612"/>
      <c r="G9754" s="612"/>
      <c r="H9754" s="612"/>
      <c r="I9754" s="612"/>
      <c r="J9754" s="612"/>
      <c r="K9754" s="612"/>
      <c r="L9754" s="612"/>
    </row>
    <row r="9755" spans="1:12" ht="24" customHeight="1">
      <c r="A9755" s="636"/>
      <c r="B9755" s="636"/>
      <c r="C9755" s="636"/>
      <c r="D9755" s="636"/>
      <c r="E9755" s="636"/>
      <c r="F9755" s="636"/>
      <c r="G9755" s="636"/>
      <c r="H9755" s="636"/>
      <c r="I9755" s="636"/>
      <c r="J9755" s="636" t="s">
        <v>13672</v>
      </c>
      <c r="K9755" s="636"/>
      <c r="L9755" s="636" t="s">
        <v>15620</v>
      </c>
    </row>
    <row r="9756" spans="1:12" ht="24" customHeight="1">
      <c r="A9756" s="636"/>
      <c r="B9756" s="636"/>
      <c r="C9756" s="636"/>
      <c r="D9756" s="636"/>
      <c r="E9756" s="636"/>
      <c r="F9756" s="636"/>
      <c r="G9756" s="636"/>
      <c r="H9756" s="636"/>
      <c r="I9756" s="636"/>
      <c r="J9756" s="636" t="s">
        <v>13671</v>
      </c>
      <c r="K9756" s="636" t="s">
        <v>14461</v>
      </c>
      <c r="L9756" s="636" t="s">
        <v>15621</v>
      </c>
    </row>
    <row r="9757" spans="1:12" ht="24" customHeight="1">
      <c r="A9757" s="636"/>
      <c r="B9757" s="636"/>
      <c r="C9757" s="636"/>
      <c r="D9757" s="636"/>
      <c r="E9757" s="636"/>
      <c r="F9757" s="636"/>
      <c r="G9757" s="636"/>
      <c r="H9757" s="636"/>
      <c r="I9757" s="636"/>
      <c r="J9757" s="636" t="s">
        <v>13670</v>
      </c>
      <c r="K9757" s="636"/>
      <c r="L9757" s="636" t="s">
        <v>15622</v>
      </c>
    </row>
    <row r="9758" spans="1:12" ht="24" customHeight="1">
      <c r="A9758" s="636"/>
      <c r="B9758" s="636"/>
      <c r="C9758" s="636"/>
      <c r="D9758" s="636"/>
      <c r="E9758" s="636"/>
      <c r="F9758" s="636"/>
      <c r="G9758" s="636"/>
      <c r="H9758" s="636"/>
      <c r="I9758" s="636"/>
      <c r="J9758" s="636" t="s">
        <v>13669</v>
      </c>
      <c r="K9758" s="636" t="s">
        <v>13667</v>
      </c>
      <c r="L9758" s="636" t="s">
        <v>15623</v>
      </c>
    </row>
    <row r="9759" spans="1:12" ht="24" customHeight="1">
      <c r="A9759" s="636"/>
      <c r="B9759" s="636"/>
      <c r="C9759" s="636"/>
      <c r="D9759" s="636"/>
      <c r="E9759" s="636"/>
      <c r="F9759" s="636"/>
      <c r="G9759" s="636"/>
      <c r="H9759" s="636"/>
      <c r="I9759" s="636"/>
      <c r="J9759" s="636" t="s">
        <v>13668</v>
      </c>
      <c r="K9759" s="636"/>
      <c r="L9759" s="636" t="s">
        <v>15624</v>
      </c>
    </row>
    <row r="9760" spans="1:12" ht="36" customHeight="1">
      <c r="A9760" s="637"/>
      <c r="B9760" s="637"/>
      <c r="C9760" s="637"/>
      <c r="D9760" s="637"/>
      <c r="E9760" s="637"/>
      <c r="F9760" s="637"/>
      <c r="G9760" s="637"/>
      <c r="H9760" s="637"/>
      <c r="I9760" s="637"/>
      <c r="J9760" s="637"/>
      <c r="K9760" s="637"/>
      <c r="L9760" s="637"/>
    </row>
    <row r="9761" spans="1:12" ht="17.100000000000001" customHeight="1">
      <c r="A9761" s="616" t="s">
        <v>14544</v>
      </c>
      <c r="B9761" s="617" t="s">
        <v>13388</v>
      </c>
      <c r="C9761" s="616" t="s">
        <v>8</v>
      </c>
      <c r="D9761" s="616" t="s">
        <v>702</v>
      </c>
      <c r="E9761" s="618" t="s">
        <v>35</v>
      </c>
      <c r="F9761" s="617"/>
      <c r="G9761" s="617"/>
      <c r="H9761" s="617"/>
      <c r="I9761" s="617"/>
      <c r="J9761" s="617"/>
      <c r="K9761" s="617"/>
      <c r="L9761" s="617"/>
    </row>
    <row r="9762" spans="1:12" ht="14.25" customHeight="1">
      <c r="A9762" s="802" t="s">
        <v>12711</v>
      </c>
      <c r="B9762" s="802"/>
      <c r="C9762" s="802"/>
      <c r="D9762" s="802"/>
      <c r="E9762" s="802"/>
      <c r="F9762" s="802"/>
      <c r="G9762" s="802"/>
      <c r="H9762" s="802"/>
      <c r="I9762" s="612"/>
      <c r="J9762" s="612"/>
      <c r="K9762" s="612"/>
      <c r="L9762" s="612"/>
    </row>
    <row r="9763" spans="1:12" ht="17.100000000000001" customHeight="1">
      <c r="A9763" s="612" t="s">
        <v>13679</v>
      </c>
      <c r="B9763" s="636" t="s">
        <v>12698</v>
      </c>
      <c r="C9763" s="612" t="s">
        <v>12699</v>
      </c>
      <c r="D9763" s="612" t="s">
        <v>12700</v>
      </c>
      <c r="E9763" s="637" t="s">
        <v>12702</v>
      </c>
      <c r="F9763" s="801" t="s">
        <v>12704</v>
      </c>
      <c r="G9763" s="801"/>
      <c r="H9763" s="801" t="s">
        <v>13678</v>
      </c>
      <c r="I9763" s="801"/>
      <c r="J9763" s="801" t="s">
        <v>12705</v>
      </c>
      <c r="K9763" s="801"/>
      <c r="L9763" s="801"/>
    </row>
    <row r="9764" spans="1:12" ht="24" customHeight="1">
      <c r="A9764" s="626" t="s">
        <v>12709</v>
      </c>
      <c r="B9764" s="627" t="s">
        <v>13134</v>
      </c>
      <c r="C9764" s="626" t="s">
        <v>8</v>
      </c>
      <c r="D9764" s="626" t="s">
        <v>9219</v>
      </c>
      <c r="E9764" s="628" t="s">
        <v>23</v>
      </c>
      <c r="F9764" s="816" t="s">
        <v>13782</v>
      </c>
      <c r="G9764" s="816"/>
      <c r="H9764" s="816">
        <v>0.81104860000000001</v>
      </c>
      <c r="I9764" s="816"/>
      <c r="J9764" s="817">
        <v>0.75429999999999997</v>
      </c>
      <c r="K9764" s="817"/>
      <c r="L9764" s="817"/>
    </row>
    <row r="9765" spans="1:12" ht="24" customHeight="1">
      <c r="A9765" s="626" t="s">
        <v>12709</v>
      </c>
      <c r="B9765" s="627" t="s">
        <v>13133</v>
      </c>
      <c r="C9765" s="626" t="s">
        <v>8</v>
      </c>
      <c r="D9765" s="626" t="s">
        <v>9366</v>
      </c>
      <c r="E9765" s="628" t="s">
        <v>23</v>
      </c>
      <c r="F9765" s="816" t="s">
        <v>13781</v>
      </c>
      <c r="G9765" s="816"/>
      <c r="H9765" s="816">
        <v>0.81104860000000001</v>
      </c>
      <c r="I9765" s="816"/>
      <c r="J9765" s="817">
        <v>0.4461</v>
      </c>
      <c r="K9765" s="817"/>
      <c r="L9765" s="817"/>
    </row>
    <row r="9766" spans="1:12" ht="24" customHeight="1">
      <c r="A9766" s="636"/>
      <c r="B9766" s="636"/>
      <c r="C9766" s="636"/>
      <c r="D9766" s="636"/>
      <c r="E9766" s="636"/>
      <c r="F9766" s="636"/>
      <c r="G9766" s="636"/>
      <c r="H9766" s="636"/>
      <c r="I9766" s="636"/>
      <c r="J9766" s="636" t="s">
        <v>13675</v>
      </c>
      <c r="K9766" s="636"/>
      <c r="L9766" s="636" t="s">
        <v>13862</v>
      </c>
    </row>
    <row r="9767" spans="1:12" ht="24" customHeight="1">
      <c r="A9767" s="802" t="s">
        <v>12710</v>
      </c>
      <c r="B9767" s="802"/>
      <c r="C9767" s="802"/>
      <c r="D9767" s="802"/>
      <c r="E9767" s="802"/>
      <c r="F9767" s="802"/>
      <c r="G9767" s="802"/>
      <c r="H9767" s="802"/>
      <c r="I9767" s="612"/>
      <c r="J9767" s="612"/>
      <c r="K9767" s="612"/>
      <c r="L9767" s="612"/>
    </row>
    <row r="9768" spans="1:12" ht="24" customHeight="1">
      <c r="A9768" s="612" t="s">
        <v>13679</v>
      </c>
      <c r="B9768" s="636" t="s">
        <v>12698</v>
      </c>
      <c r="C9768" s="612" t="s">
        <v>12699</v>
      </c>
      <c r="D9768" s="612" t="s">
        <v>12700</v>
      </c>
      <c r="E9768" s="637" t="s">
        <v>12702</v>
      </c>
      <c r="F9768" s="801" t="s">
        <v>12704</v>
      </c>
      <c r="G9768" s="801"/>
      <c r="H9768" s="801" t="s">
        <v>13678</v>
      </c>
      <c r="I9768" s="801"/>
      <c r="J9768" s="801" t="s">
        <v>12705</v>
      </c>
      <c r="K9768" s="801"/>
      <c r="L9768" s="801"/>
    </row>
    <row r="9769" spans="1:12" ht="24" customHeight="1">
      <c r="A9769" s="626" t="s">
        <v>12709</v>
      </c>
      <c r="B9769" s="627" t="s">
        <v>13222</v>
      </c>
      <c r="C9769" s="626" t="s">
        <v>8</v>
      </c>
      <c r="D9769" s="626" t="s">
        <v>7364</v>
      </c>
      <c r="E9769" s="628" t="s">
        <v>23</v>
      </c>
      <c r="F9769" s="816" t="s">
        <v>13808</v>
      </c>
      <c r="G9769" s="816"/>
      <c r="H9769" s="816">
        <v>0.41577700000000001</v>
      </c>
      <c r="I9769" s="816"/>
      <c r="J9769" s="817">
        <v>2.0872000000000002</v>
      </c>
      <c r="K9769" s="817"/>
      <c r="L9769" s="817"/>
    </row>
    <row r="9770" spans="1:12" ht="24" customHeight="1">
      <c r="A9770" s="626" t="s">
        <v>12709</v>
      </c>
      <c r="B9770" s="627" t="s">
        <v>13204</v>
      </c>
      <c r="C9770" s="626" t="s">
        <v>8</v>
      </c>
      <c r="D9770" s="626" t="s">
        <v>9112</v>
      </c>
      <c r="E9770" s="628" t="s">
        <v>23</v>
      </c>
      <c r="F9770" s="816" t="s">
        <v>14479</v>
      </c>
      <c r="G9770" s="816"/>
      <c r="H9770" s="816">
        <v>0.41577700000000001</v>
      </c>
      <c r="I9770" s="816"/>
      <c r="J9770" s="817">
        <v>2.9727999999999999</v>
      </c>
      <c r="K9770" s="817"/>
      <c r="L9770" s="817"/>
    </row>
    <row r="9771" spans="1:12" ht="24" customHeight="1">
      <c r="A9771" s="636"/>
      <c r="B9771" s="636"/>
      <c r="C9771" s="636"/>
      <c r="D9771" s="636"/>
      <c r="E9771" s="636"/>
      <c r="F9771" s="636"/>
      <c r="G9771" s="636"/>
      <c r="H9771" s="636"/>
      <c r="I9771" s="636"/>
      <c r="J9771" s="636" t="s">
        <v>13675</v>
      </c>
      <c r="K9771" s="636"/>
      <c r="L9771" s="636" t="s">
        <v>13890</v>
      </c>
    </row>
    <row r="9772" spans="1:12" ht="24" customHeight="1">
      <c r="A9772" s="802" t="s">
        <v>12720</v>
      </c>
      <c r="B9772" s="802"/>
      <c r="C9772" s="802"/>
      <c r="D9772" s="802"/>
      <c r="E9772" s="802"/>
      <c r="F9772" s="802"/>
      <c r="G9772" s="802"/>
      <c r="H9772" s="802"/>
      <c r="I9772" s="612"/>
      <c r="J9772" s="612"/>
      <c r="K9772" s="612"/>
      <c r="L9772" s="612"/>
    </row>
    <row r="9773" spans="1:12" ht="17.100000000000001" customHeight="1">
      <c r="A9773" s="612" t="s">
        <v>13679</v>
      </c>
      <c r="B9773" s="636" t="s">
        <v>12698</v>
      </c>
      <c r="C9773" s="612" t="s">
        <v>12699</v>
      </c>
      <c r="D9773" s="612" t="s">
        <v>12700</v>
      </c>
      <c r="E9773" s="637" t="s">
        <v>12702</v>
      </c>
      <c r="F9773" s="801" t="s">
        <v>12704</v>
      </c>
      <c r="G9773" s="801"/>
      <c r="H9773" s="801" t="s">
        <v>13678</v>
      </c>
      <c r="I9773" s="801"/>
      <c r="J9773" s="801" t="s">
        <v>12705</v>
      </c>
      <c r="K9773" s="801"/>
      <c r="L9773" s="801"/>
    </row>
    <row r="9774" spans="1:12" ht="25.5">
      <c r="A9774" s="626" t="s">
        <v>12709</v>
      </c>
      <c r="B9774" s="627" t="s">
        <v>13387</v>
      </c>
      <c r="C9774" s="626" t="s">
        <v>8</v>
      </c>
      <c r="D9774" s="626" t="s">
        <v>9010</v>
      </c>
      <c r="E9774" s="628" t="s">
        <v>35</v>
      </c>
      <c r="F9774" s="816" t="s">
        <v>14543</v>
      </c>
      <c r="G9774" s="816"/>
      <c r="H9774" s="816">
        <v>1</v>
      </c>
      <c r="I9774" s="816"/>
      <c r="J9774" s="817">
        <v>58.51</v>
      </c>
      <c r="K9774" s="817"/>
      <c r="L9774" s="817"/>
    </row>
    <row r="9775" spans="1:12" ht="17.100000000000001" customHeight="1">
      <c r="A9775" s="626" t="s">
        <v>12709</v>
      </c>
      <c r="B9775" s="627" t="s">
        <v>13386</v>
      </c>
      <c r="C9775" s="626" t="s">
        <v>8</v>
      </c>
      <c r="D9775" s="626" t="s">
        <v>11731</v>
      </c>
      <c r="E9775" s="628" t="s">
        <v>35</v>
      </c>
      <c r="F9775" s="816" t="s">
        <v>13712</v>
      </c>
      <c r="G9775" s="816"/>
      <c r="H9775" s="816">
        <v>3</v>
      </c>
      <c r="I9775" s="816"/>
      <c r="J9775" s="817">
        <v>3.51</v>
      </c>
      <c r="K9775" s="817"/>
      <c r="L9775" s="817"/>
    </row>
    <row r="9776" spans="1:12" ht="24" customHeight="1">
      <c r="A9776" s="636"/>
      <c r="B9776" s="636"/>
      <c r="C9776" s="636"/>
      <c r="D9776" s="636"/>
      <c r="E9776" s="636"/>
      <c r="F9776" s="636"/>
      <c r="G9776" s="636"/>
      <c r="H9776" s="636"/>
      <c r="I9776" s="636"/>
      <c r="J9776" s="636" t="s">
        <v>13675</v>
      </c>
      <c r="K9776" s="636"/>
      <c r="L9776" s="636" t="s">
        <v>14542</v>
      </c>
    </row>
    <row r="9777" spans="1:12" ht="24" customHeight="1">
      <c r="A9777" s="802" t="s">
        <v>12722</v>
      </c>
      <c r="B9777" s="802"/>
      <c r="C9777" s="802"/>
      <c r="D9777" s="802"/>
      <c r="E9777" s="802"/>
      <c r="F9777" s="802"/>
      <c r="G9777" s="802"/>
      <c r="H9777" s="802"/>
      <c r="I9777" s="612"/>
      <c r="J9777" s="612"/>
      <c r="K9777" s="612"/>
      <c r="L9777" s="612"/>
    </row>
    <row r="9778" spans="1:12" ht="24" customHeight="1">
      <c r="A9778" s="612" t="s">
        <v>13679</v>
      </c>
      <c r="B9778" s="636" t="s">
        <v>12698</v>
      </c>
      <c r="C9778" s="612" t="s">
        <v>12699</v>
      </c>
      <c r="D9778" s="612" t="s">
        <v>12700</v>
      </c>
      <c r="E9778" s="637" t="s">
        <v>12702</v>
      </c>
      <c r="F9778" s="801" t="s">
        <v>12704</v>
      </c>
      <c r="G9778" s="801"/>
      <c r="H9778" s="801" t="s">
        <v>13678</v>
      </c>
      <c r="I9778" s="801"/>
      <c r="J9778" s="801" t="s">
        <v>12705</v>
      </c>
      <c r="K9778" s="801"/>
      <c r="L9778" s="801"/>
    </row>
    <row r="9779" spans="1:12" ht="24" customHeight="1">
      <c r="A9779" s="626" t="s">
        <v>12709</v>
      </c>
      <c r="B9779" s="627" t="s">
        <v>12998</v>
      </c>
      <c r="C9779" s="626" t="s">
        <v>8</v>
      </c>
      <c r="D9779" s="626" t="s">
        <v>11861</v>
      </c>
      <c r="E9779" s="628" t="s">
        <v>23</v>
      </c>
      <c r="F9779" s="816" t="s">
        <v>13683</v>
      </c>
      <c r="G9779" s="816"/>
      <c r="H9779" s="816">
        <v>0.81104860000000001</v>
      </c>
      <c r="I9779" s="816"/>
      <c r="J9779" s="817">
        <v>0.57579999999999998</v>
      </c>
      <c r="K9779" s="817"/>
      <c r="L9779" s="817"/>
    </row>
    <row r="9780" spans="1:12" ht="24" customHeight="1">
      <c r="A9780" s="636"/>
      <c r="B9780" s="636"/>
      <c r="C9780" s="636"/>
      <c r="D9780" s="636"/>
      <c r="E9780" s="636"/>
      <c r="F9780" s="636"/>
      <c r="G9780" s="636"/>
      <c r="H9780" s="636"/>
      <c r="I9780" s="636"/>
      <c r="J9780" s="636" t="s">
        <v>13675</v>
      </c>
      <c r="K9780" s="636"/>
      <c r="L9780" s="636" t="s">
        <v>13861</v>
      </c>
    </row>
    <row r="9781" spans="1:12" ht="24" customHeight="1">
      <c r="A9781" s="802" t="s">
        <v>12713</v>
      </c>
      <c r="B9781" s="802"/>
      <c r="C9781" s="802"/>
      <c r="D9781" s="802"/>
      <c r="E9781" s="802"/>
      <c r="F9781" s="802"/>
      <c r="G9781" s="802"/>
      <c r="H9781" s="802"/>
      <c r="I9781" s="612"/>
      <c r="J9781" s="612"/>
      <c r="K9781" s="612"/>
      <c r="L9781" s="612"/>
    </row>
    <row r="9782" spans="1:12" ht="24" customHeight="1">
      <c r="A9782" s="612" t="s">
        <v>13679</v>
      </c>
      <c r="B9782" s="636" t="s">
        <v>12698</v>
      </c>
      <c r="C9782" s="612" t="s">
        <v>12699</v>
      </c>
      <c r="D9782" s="612" t="s">
        <v>12700</v>
      </c>
      <c r="E9782" s="637" t="s">
        <v>12702</v>
      </c>
      <c r="F9782" s="801" t="s">
        <v>12704</v>
      </c>
      <c r="G9782" s="801"/>
      <c r="H9782" s="801" t="s">
        <v>13678</v>
      </c>
      <c r="I9782" s="801"/>
      <c r="J9782" s="801" t="s">
        <v>12705</v>
      </c>
      <c r="K9782" s="801"/>
      <c r="L9782" s="801"/>
    </row>
    <row r="9783" spans="1:12" ht="36" customHeight="1">
      <c r="A9783" s="626" t="s">
        <v>12709</v>
      </c>
      <c r="B9783" s="627" t="s">
        <v>12999</v>
      </c>
      <c r="C9783" s="626" t="s">
        <v>8</v>
      </c>
      <c r="D9783" s="626" t="s">
        <v>11251</v>
      </c>
      <c r="E9783" s="628" t="s">
        <v>23</v>
      </c>
      <c r="F9783" s="816" t="s">
        <v>13681</v>
      </c>
      <c r="G9783" s="816"/>
      <c r="H9783" s="816">
        <v>0.81104860000000001</v>
      </c>
      <c r="I9783" s="816"/>
      <c r="J9783" s="817">
        <v>5.6800000000000003E-2</v>
      </c>
      <c r="K9783" s="817"/>
      <c r="L9783" s="817"/>
    </row>
    <row r="9784" spans="1:12" ht="24" customHeight="1">
      <c r="A9784" s="636"/>
      <c r="B9784" s="636"/>
      <c r="C9784" s="636"/>
      <c r="D9784" s="636"/>
      <c r="E9784" s="636"/>
      <c r="F9784" s="636"/>
      <c r="G9784" s="636"/>
      <c r="H9784" s="636"/>
      <c r="I9784" s="636"/>
      <c r="J9784" s="636" t="s">
        <v>13675</v>
      </c>
      <c r="K9784" s="636"/>
      <c r="L9784" s="636" t="s">
        <v>13708</v>
      </c>
    </row>
    <row r="9785" spans="1:12" ht="36" customHeight="1">
      <c r="A9785" s="802" t="s">
        <v>12712</v>
      </c>
      <c r="B9785" s="802"/>
      <c r="C9785" s="802"/>
      <c r="D9785" s="802"/>
      <c r="E9785" s="802"/>
      <c r="F9785" s="802"/>
      <c r="G9785" s="802"/>
      <c r="H9785" s="802"/>
      <c r="I9785" s="612"/>
      <c r="J9785" s="612"/>
      <c r="K9785" s="612"/>
      <c r="L9785" s="612"/>
    </row>
    <row r="9786" spans="1:12" ht="24" customHeight="1">
      <c r="A9786" s="612" t="s">
        <v>13679</v>
      </c>
      <c r="B9786" s="636" t="s">
        <v>12698</v>
      </c>
      <c r="C9786" s="612" t="s">
        <v>12699</v>
      </c>
      <c r="D9786" s="612" t="s">
        <v>12700</v>
      </c>
      <c r="E9786" s="637" t="s">
        <v>12702</v>
      </c>
      <c r="F9786" s="801" t="s">
        <v>12704</v>
      </c>
      <c r="G9786" s="801"/>
      <c r="H9786" s="801" t="s">
        <v>13678</v>
      </c>
      <c r="I9786" s="801"/>
      <c r="J9786" s="801" t="s">
        <v>12705</v>
      </c>
      <c r="K9786" s="801"/>
      <c r="L9786" s="801"/>
    </row>
    <row r="9787" spans="1:12" ht="24" customHeight="1">
      <c r="A9787" s="626" t="s">
        <v>12709</v>
      </c>
      <c r="B9787" s="627" t="s">
        <v>13002</v>
      </c>
      <c r="C9787" s="626" t="s">
        <v>8</v>
      </c>
      <c r="D9787" s="626" t="s">
        <v>9306</v>
      </c>
      <c r="E9787" s="628" t="s">
        <v>23</v>
      </c>
      <c r="F9787" s="816" t="s">
        <v>13677</v>
      </c>
      <c r="G9787" s="816"/>
      <c r="H9787" s="816">
        <v>0.81104860000000001</v>
      </c>
      <c r="I9787" s="816"/>
      <c r="J9787" s="817">
        <v>0.28389999999999999</v>
      </c>
      <c r="K9787" s="817"/>
      <c r="L9787" s="817"/>
    </row>
    <row r="9788" spans="1:12" ht="24" customHeight="1">
      <c r="A9788" s="626" t="s">
        <v>12709</v>
      </c>
      <c r="B9788" s="627" t="s">
        <v>13004</v>
      </c>
      <c r="C9788" s="626" t="s">
        <v>8</v>
      </c>
      <c r="D9788" s="626" t="s">
        <v>7388</v>
      </c>
      <c r="E9788" s="628" t="s">
        <v>23</v>
      </c>
      <c r="F9788" s="816" t="s">
        <v>13676</v>
      </c>
      <c r="G9788" s="816"/>
      <c r="H9788" s="816">
        <v>0.81104860000000001</v>
      </c>
      <c r="I9788" s="816"/>
      <c r="J9788" s="817">
        <v>1.7843</v>
      </c>
      <c r="K9788" s="817"/>
      <c r="L9788" s="817"/>
    </row>
    <row r="9789" spans="1:12" ht="24" customHeight="1">
      <c r="A9789" s="636"/>
      <c r="B9789" s="636"/>
      <c r="C9789" s="636"/>
      <c r="D9789" s="636"/>
      <c r="E9789" s="636"/>
      <c r="F9789" s="636"/>
      <c r="G9789" s="636"/>
      <c r="H9789" s="636"/>
      <c r="I9789" s="636"/>
      <c r="J9789" s="636" t="s">
        <v>13675</v>
      </c>
      <c r="K9789" s="636"/>
      <c r="L9789" s="636" t="s">
        <v>13860</v>
      </c>
    </row>
    <row r="9790" spans="1:12" ht="24" customHeight="1">
      <c r="A9790" s="612" t="s">
        <v>13673</v>
      </c>
      <c r="B9790" s="612"/>
      <c r="C9790" s="612"/>
      <c r="D9790" s="612"/>
      <c r="E9790" s="612"/>
      <c r="F9790" s="612"/>
      <c r="G9790" s="612"/>
      <c r="H9790" s="612"/>
      <c r="I9790" s="612"/>
      <c r="J9790" s="612"/>
      <c r="K9790" s="612"/>
      <c r="L9790" s="612"/>
    </row>
    <row r="9791" spans="1:12" ht="24" customHeight="1">
      <c r="A9791" s="636"/>
      <c r="B9791" s="636"/>
      <c r="C9791" s="636"/>
      <c r="D9791" s="636"/>
      <c r="E9791" s="636"/>
      <c r="F9791" s="636"/>
      <c r="G9791" s="636"/>
      <c r="H9791" s="636"/>
      <c r="I9791" s="636"/>
      <c r="J9791" s="636" t="s">
        <v>13672</v>
      </c>
      <c r="K9791" s="636"/>
      <c r="L9791" s="636" t="s">
        <v>15625</v>
      </c>
    </row>
    <row r="9792" spans="1:12" ht="24" customHeight="1">
      <c r="A9792" s="636"/>
      <c r="B9792" s="636"/>
      <c r="C9792" s="636"/>
      <c r="D9792" s="636"/>
      <c r="E9792" s="636"/>
      <c r="F9792" s="636"/>
      <c r="G9792" s="636"/>
      <c r="H9792" s="636"/>
      <c r="I9792" s="636"/>
      <c r="J9792" s="636" t="s">
        <v>13671</v>
      </c>
      <c r="K9792" s="636" t="s">
        <v>14461</v>
      </c>
      <c r="L9792" s="636" t="s">
        <v>15626</v>
      </c>
    </row>
    <row r="9793" spans="1:12" ht="17.100000000000001" customHeight="1">
      <c r="A9793" s="636"/>
      <c r="B9793" s="636"/>
      <c r="C9793" s="636"/>
      <c r="D9793" s="636"/>
      <c r="E9793" s="636"/>
      <c r="F9793" s="636"/>
      <c r="G9793" s="636"/>
      <c r="H9793" s="636"/>
      <c r="I9793" s="636"/>
      <c r="J9793" s="636" t="s">
        <v>13670</v>
      </c>
      <c r="K9793" s="636"/>
      <c r="L9793" s="636" t="s">
        <v>15627</v>
      </c>
    </row>
    <row r="9794" spans="1:12">
      <c r="A9794" s="636"/>
      <c r="B9794" s="636"/>
      <c r="C9794" s="636"/>
      <c r="D9794" s="636"/>
      <c r="E9794" s="636"/>
      <c r="F9794" s="636"/>
      <c r="G9794" s="636"/>
      <c r="H9794" s="636"/>
      <c r="I9794" s="636"/>
      <c r="J9794" s="636" t="s">
        <v>13669</v>
      </c>
      <c r="K9794" s="636" t="s">
        <v>13667</v>
      </c>
      <c r="L9794" s="636" t="s">
        <v>15628</v>
      </c>
    </row>
    <row r="9795" spans="1:12" ht="17.100000000000001" customHeight="1">
      <c r="A9795" s="636"/>
      <c r="B9795" s="636"/>
      <c r="C9795" s="636"/>
      <c r="D9795" s="636"/>
      <c r="E9795" s="636"/>
      <c r="F9795" s="636"/>
      <c r="G9795" s="636"/>
      <c r="H9795" s="636"/>
      <c r="I9795" s="636"/>
      <c r="J9795" s="636" t="s">
        <v>13668</v>
      </c>
      <c r="K9795" s="636"/>
      <c r="L9795" s="636" t="s">
        <v>15629</v>
      </c>
    </row>
    <row r="9796" spans="1:12" ht="24" customHeight="1">
      <c r="A9796" s="637"/>
      <c r="B9796" s="637"/>
      <c r="C9796" s="637"/>
      <c r="D9796" s="637"/>
      <c r="E9796" s="637"/>
      <c r="F9796" s="637"/>
      <c r="G9796" s="637"/>
      <c r="H9796" s="637"/>
      <c r="I9796" s="637"/>
      <c r="J9796" s="637"/>
      <c r="K9796" s="637"/>
      <c r="L9796" s="637"/>
    </row>
    <row r="9797" spans="1:12" ht="17.100000000000001" customHeight="1">
      <c r="A9797" s="616" t="s">
        <v>13835</v>
      </c>
      <c r="B9797" s="617" t="s">
        <v>13494</v>
      </c>
      <c r="C9797" s="616" t="s">
        <v>8</v>
      </c>
      <c r="D9797" s="616" t="s">
        <v>4716</v>
      </c>
      <c r="E9797" s="618" t="s">
        <v>12730</v>
      </c>
      <c r="F9797" s="617"/>
      <c r="G9797" s="617"/>
      <c r="H9797" s="617"/>
      <c r="I9797" s="617"/>
      <c r="J9797" s="617"/>
      <c r="K9797" s="617"/>
      <c r="L9797" s="617"/>
    </row>
    <row r="9798" spans="1:12">
      <c r="A9798" s="802" t="s">
        <v>12711</v>
      </c>
      <c r="B9798" s="802"/>
      <c r="C9798" s="802"/>
      <c r="D9798" s="802"/>
      <c r="E9798" s="802"/>
      <c r="F9798" s="802"/>
      <c r="G9798" s="802"/>
      <c r="H9798" s="802"/>
      <c r="I9798" s="612"/>
      <c r="J9798" s="612"/>
      <c r="K9798" s="612"/>
      <c r="L9798" s="612"/>
    </row>
    <row r="9799" spans="1:12" ht="17.100000000000001" customHeight="1">
      <c r="A9799" s="612" t="s">
        <v>13679</v>
      </c>
      <c r="B9799" s="636" t="s">
        <v>12698</v>
      </c>
      <c r="C9799" s="612" t="s">
        <v>12699</v>
      </c>
      <c r="D9799" s="612" t="s">
        <v>12700</v>
      </c>
      <c r="E9799" s="637" t="s">
        <v>12702</v>
      </c>
      <c r="F9799" s="801" t="s">
        <v>12704</v>
      </c>
      <c r="G9799" s="801"/>
      <c r="H9799" s="801" t="s">
        <v>13678</v>
      </c>
      <c r="I9799" s="801"/>
      <c r="J9799" s="801" t="s">
        <v>12705</v>
      </c>
      <c r="K9799" s="801"/>
      <c r="L9799" s="801"/>
    </row>
    <row r="9800" spans="1:12" ht="24" customHeight="1">
      <c r="A9800" s="626" t="s">
        <v>12709</v>
      </c>
      <c r="B9800" s="627" t="s">
        <v>13048</v>
      </c>
      <c r="C9800" s="626" t="s">
        <v>8</v>
      </c>
      <c r="D9800" s="626" t="s">
        <v>9233</v>
      </c>
      <c r="E9800" s="628" t="s">
        <v>23</v>
      </c>
      <c r="F9800" s="816" t="s">
        <v>13690</v>
      </c>
      <c r="G9800" s="816"/>
      <c r="H9800" s="816">
        <v>3.9525234999999999</v>
      </c>
      <c r="I9800" s="816"/>
      <c r="J9800" s="817">
        <v>4.0316000000000001</v>
      </c>
      <c r="K9800" s="817"/>
      <c r="L9800" s="817"/>
    </row>
    <row r="9801" spans="1:12" ht="17.100000000000001" customHeight="1">
      <c r="A9801" s="626" t="s">
        <v>12709</v>
      </c>
      <c r="B9801" s="627" t="s">
        <v>13047</v>
      </c>
      <c r="C9801" s="626" t="s">
        <v>8</v>
      </c>
      <c r="D9801" s="626" t="s">
        <v>9380</v>
      </c>
      <c r="E9801" s="628" t="s">
        <v>23</v>
      </c>
      <c r="F9801" s="816" t="s">
        <v>13689</v>
      </c>
      <c r="G9801" s="816"/>
      <c r="H9801" s="816">
        <v>3.9525234999999999</v>
      </c>
      <c r="I9801" s="816"/>
      <c r="J9801" s="817">
        <v>1.502</v>
      </c>
      <c r="K9801" s="817"/>
      <c r="L9801" s="817"/>
    </row>
    <row r="9802" spans="1:12">
      <c r="A9802" s="636"/>
      <c r="B9802" s="636"/>
      <c r="C9802" s="636"/>
      <c r="D9802" s="636"/>
      <c r="E9802" s="636"/>
      <c r="F9802" s="636"/>
      <c r="G9802" s="636"/>
      <c r="H9802" s="636"/>
      <c r="I9802" s="636"/>
      <c r="J9802" s="636" t="s">
        <v>13675</v>
      </c>
      <c r="K9802" s="636"/>
      <c r="L9802" s="636" t="s">
        <v>13764</v>
      </c>
    </row>
    <row r="9803" spans="1:12" ht="17.100000000000001" customHeight="1">
      <c r="A9803" s="802" t="s">
        <v>12710</v>
      </c>
      <c r="B9803" s="802"/>
      <c r="C9803" s="802"/>
      <c r="D9803" s="802"/>
      <c r="E9803" s="802"/>
      <c r="F9803" s="802"/>
      <c r="G9803" s="802"/>
      <c r="H9803" s="802"/>
      <c r="I9803" s="612"/>
      <c r="J9803" s="612"/>
      <c r="K9803" s="612"/>
      <c r="L9803" s="612"/>
    </row>
    <row r="9804" spans="1:12" ht="24" customHeight="1">
      <c r="A9804" s="612" t="s">
        <v>13679</v>
      </c>
      <c r="B9804" s="636" t="s">
        <v>12698</v>
      </c>
      <c r="C9804" s="612" t="s">
        <v>12699</v>
      </c>
      <c r="D9804" s="612" t="s">
        <v>12700</v>
      </c>
      <c r="E9804" s="637" t="s">
        <v>12702</v>
      </c>
      <c r="F9804" s="801" t="s">
        <v>12704</v>
      </c>
      <c r="G9804" s="801"/>
      <c r="H9804" s="801" t="s">
        <v>13678</v>
      </c>
      <c r="I9804" s="801"/>
      <c r="J9804" s="801" t="s">
        <v>12705</v>
      </c>
      <c r="K9804" s="801"/>
      <c r="L9804" s="801"/>
    </row>
    <row r="9805" spans="1:12" ht="24" customHeight="1">
      <c r="A9805" s="626" t="s">
        <v>12709</v>
      </c>
      <c r="B9805" s="627" t="s">
        <v>13046</v>
      </c>
      <c r="C9805" s="626" t="s">
        <v>8</v>
      </c>
      <c r="D9805" s="626" t="s">
        <v>11281</v>
      </c>
      <c r="E9805" s="628" t="s">
        <v>23</v>
      </c>
      <c r="F9805" s="816" t="s">
        <v>13731</v>
      </c>
      <c r="G9805" s="816"/>
      <c r="H9805" s="816">
        <v>4.0103188999999997</v>
      </c>
      <c r="I9805" s="816"/>
      <c r="J9805" s="817">
        <v>20.613</v>
      </c>
      <c r="K9805" s="817"/>
      <c r="L9805" s="817"/>
    </row>
    <row r="9806" spans="1:12" ht="17.100000000000001" customHeight="1">
      <c r="A9806" s="636"/>
      <c r="B9806" s="636"/>
      <c r="C9806" s="636"/>
      <c r="D9806" s="636"/>
      <c r="E9806" s="636"/>
      <c r="F9806" s="636"/>
      <c r="G9806" s="636"/>
      <c r="H9806" s="636"/>
      <c r="I9806" s="636"/>
      <c r="J9806" s="636" t="s">
        <v>13675</v>
      </c>
      <c r="K9806" s="636"/>
      <c r="L9806" s="636" t="s">
        <v>14507</v>
      </c>
    </row>
    <row r="9807" spans="1:12" ht="17.100000000000001" customHeight="1">
      <c r="A9807" s="802" t="s">
        <v>12722</v>
      </c>
      <c r="B9807" s="802"/>
      <c r="C9807" s="802"/>
      <c r="D9807" s="802"/>
      <c r="E9807" s="802"/>
      <c r="F9807" s="802"/>
      <c r="G9807" s="802"/>
      <c r="H9807" s="802"/>
      <c r="I9807" s="612"/>
      <c r="J9807" s="612"/>
      <c r="K9807" s="612"/>
      <c r="L9807" s="612"/>
    </row>
    <row r="9808" spans="1:12" ht="17.100000000000001" customHeight="1">
      <c r="A9808" s="612" t="s">
        <v>13679</v>
      </c>
      <c r="B9808" s="636" t="s">
        <v>12698</v>
      </c>
      <c r="C9808" s="612" t="s">
        <v>12699</v>
      </c>
      <c r="D9808" s="612" t="s">
        <v>12700</v>
      </c>
      <c r="E9808" s="637" t="s">
        <v>12702</v>
      </c>
      <c r="F9808" s="801" t="s">
        <v>12704</v>
      </c>
      <c r="G9808" s="801"/>
      <c r="H9808" s="801" t="s">
        <v>13678</v>
      </c>
      <c r="I9808" s="801"/>
      <c r="J9808" s="801" t="s">
        <v>12705</v>
      </c>
      <c r="K9808" s="801"/>
      <c r="L9808" s="801"/>
    </row>
    <row r="9809" spans="1:12" ht="17.100000000000001" customHeight="1">
      <c r="A9809" s="626" t="s">
        <v>12709</v>
      </c>
      <c r="B9809" s="627" t="s">
        <v>12998</v>
      </c>
      <c r="C9809" s="626" t="s">
        <v>8</v>
      </c>
      <c r="D9809" s="626" t="s">
        <v>11861</v>
      </c>
      <c r="E9809" s="628" t="s">
        <v>23</v>
      </c>
      <c r="F9809" s="816" t="s">
        <v>13683</v>
      </c>
      <c r="G9809" s="816"/>
      <c r="H9809" s="816">
        <v>3.9525234999999999</v>
      </c>
      <c r="I9809" s="816"/>
      <c r="J9809" s="817">
        <v>2.8062999999999998</v>
      </c>
      <c r="K9809" s="817"/>
      <c r="L9809" s="817"/>
    </row>
    <row r="9810" spans="1:12" ht="17.100000000000001" customHeight="1">
      <c r="A9810" s="636"/>
      <c r="B9810" s="636"/>
      <c r="C9810" s="636"/>
      <c r="D9810" s="636"/>
      <c r="E9810" s="636"/>
      <c r="F9810" s="636"/>
      <c r="G9810" s="636"/>
      <c r="H9810" s="636"/>
      <c r="I9810" s="636"/>
      <c r="J9810" s="636" t="s">
        <v>13675</v>
      </c>
      <c r="K9810" s="636"/>
      <c r="L9810" s="636" t="s">
        <v>13763</v>
      </c>
    </row>
    <row r="9811" spans="1:12" ht="17.100000000000001" customHeight="1">
      <c r="A9811" s="802" t="s">
        <v>12713</v>
      </c>
      <c r="B9811" s="802"/>
      <c r="C9811" s="802"/>
      <c r="D9811" s="802"/>
      <c r="E9811" s="802"/>
      <c r="F9811" s="802"/>
      <c r="G9811" s="802"/>
      <c r="H9811" s="802"/>
      <c r="I9811" s="612"/>
      <c r="J9811" s="612"/>
      <c r="K9811" s="612"/>
      <c r="L9811" s="612"/>
    </row>
    <row r="9812" spans="1:12" ht="17.100000000000001" customHeight="1">
      <c r="A9812" s="612" t="s">
        <v>13679</v>
      </c>
      <c r="B9812" s="636" t="s">
        <v>12698</v>
      </c>
      <c r="C9812" s="612" t="s">
        <v>12699</v>
      </c>
      <c r="D9812" s="612" t="s">
        <v>12700</v>
      </c>
      <c r="E9812" s="637" t="s">
        <v>12702</v>
      </c>
      <c r="F9812" s="801" t="s">
        <v>12704</v>
      </c>
      <c r="G9812" s="801"/>
      <c r="H9812" s="801" t="s">
        <v>13678</v>
      </c>
      <c r="I9812" s="801"/>
      <c r="J9812" s="801" t="s">
        <v>12705</v>
      </c>
      <c r="K9812" s="801"/>
      <c r="L9812" s="801"/>
    </row>
    <row r="9813" spans="1:12" ht="30" customHeight="1">
      <c r="A9813" s="626" t="s">
        <v>12709</v>
      </c>
      <c r="B9813" s="627" t="s">
        <v>12999</v>
      </c>
      <c r="C9813" s="626" t="s">
        <v>8</v>
      </c>
      <c r="D9813" s="626" t="s">
        <v>11251</v>
      </c>
      <c r="E9813" s="628" t="s">
        <v>23</v>
      </c>
      <c r="F9813" s="816" t="s">
        <v>13681</v>
      </c>
      <c r="G9813" s="816"/>
      <c r="H9813" s="816">
        <v>3.9525234999999999</v>
      </c>
      <c r="I9813" s="816"/>
      <c r="J9813" s="817">
        <v>0.2767</v>
      </c>
      <c r="K9813" s="817"/>
      <c r="L9813" s="817"/>
    </row>
    <row r="9814" spans="1:12" ht="24" customHeight="1">
      <c r="A9814" s="636"/>
      <c r="B9814" s="636"/>
      <c r="C9814" s="636"/>
      <c r="D9814" s="636"/>
      <c r="E9814" s="636"/>
      <c r="F9814" s="636"/>
      <c r="G9814" s="636"/>
      <c r="H9814" s="636"/>
      <c r="I9814" s="636"/>
      <c r="J9814" s="636" t="s">
        <v>13675</v>
      </c>
      <c r="K9814" s="636"/>
      <c r="L9814" s="636" t="s">
        <v>13762</v>
      </c>
    </row>
    <row r="9815" spans="1:12" ht="14.25" customHeight="1">
      <c r="A9815" s="802" t="s">
        <v>12712</v>
      </c>
      <c r="B9815" s="802"/>
      <c r="C9815" s="802"/>
      <c r="D9815" s="802"/>
      <c r="E9815" s="802"/>
      <c r="F9815" s="802"/>
      <c r="G9815" s="802"/>
      <c r="H9815" s="802"/>
      <c r="I9815" s="612"/>
      <c r="J9815" s="612"/>
      <c r="K9815" s="612"/>
      <c r="L9815" s="612"/>
    </row>
    <row r="9816" spans="1:12" ht="17.100000000000001" customHeight="1">
      <c r="A9816" s="612" t="s">
        <v>13679</v>
      </c>
      <c r="B9816" s="636" t="s">
        <v>12698</v>
      </c>
      <c r="C9816" s="612" t="s">
        <v>12699</v>
      </c>
      <c r="D9816" s="612" t="s">
        <v>12700</v>
      </c>
      <c r="E9816" s="637" t="s">
        <v>12702</v>
      </c>
      <c r="F9816" s="801" t="s">
        <v>12704</v>
      </c>
      <c r="G9816" s="801"/>
      <c r="H9816" s="801" t="s">
        <v>13678</v>
      </c>
      <c r="I9816" s="801"/>
      <c r="J9816" s="801" t="s">
        <v>12705</v>
      </c>
      <c r="K9816" s="801"/>
      <c r="L9816" s="801"/>
    </row>
    <row r="9817" spans="1:12" ht="24" customHeight="1">
      <c r="A9817" s="626" t="s">
        <v>12709</v>
      </c>
      <c r="B9817" s="627" t="s">
        <v>13002</v>
      </c>
      <c r="C9817" s="626" t="s">
        <v>8</v>
      </c>
      <c r="D9817" s="626" t="s">
        <v>9306</v>
      </c>
      <c r="E9817" s="628" t="s">
        <v>23</v>
      </c>
      <c r="F9817" s="816" t="s">
        <v>13677</v>
      </c>
      <c r="G9817" s="816"/>
      <c r="H9817" s="816">
        <v>3.9525234999999999</v>
      </c>
      <c r="I9817" s="816"/>
      <c r="J9817" s="817">
        <v>1.3834</v>
      </c>
      <c r="K9817" s="817"/>
      <c r="L9817" s="817"/>
    </row>
    <row r="9818" spans="1:12" ht="24" customHeight="1">
      <c r="A9818" s="626" t="s">
        <v>12709</v>
      </c>
      <c r="B9818" s="627" t="s">
        <v>13004</v>
      </c>
      <c r="C9818" s="626" t="s">
        <v>8</v>
      </c>
      <c r="D9818" s="626" t="s">
        <v>7388</v>
      </c>
      <c r="E9818" s="628" t="s">
        <v>23</v>
      </c>
      <c r="F9818" s="816" t="s">
        <v>13676</v>
      </c>
      <c r="G9818" s="816"/>
      <c r="H9818" s="816">
        <v>3.9525234999999999</v>
      </c>
      <c r="I9818" s="816"/>
      <c r="J9818" s="817">
        <v>8.6956000000000007</v>
      </c>
      <c r="K9818" s="817"/>
      <c r="L9818" s="817"/>
    </row>
    <row r="9819" spans="1:12" ht="24" customHeight="1">
      <c r="A9819" s="636"/>
      <c r="B9819" s="636"/>
      <c r="C9819" s="636"/>
      <c r="D9819" s="636"/>
      <c r="E9819" s="636"/>
      <c r="F9819" s="636"/>
      <c r="G9819" s="636"/>
      <c r="H9819" s="636"/>
      <c r="I9819" s="636"/>
      <c r="J9819" s="636" t="s">
        <v>13675</v>
      </c>
      <c r="K9819" s="636"/>
      <c r="L9819" s="636" t="s">
        <v>13761</v>
      </c>
    </row>
    <row r="9820" spans="1:12" ht="24" customHeight="1">
      <c r="A9820" s="612" t="s">
        <v>13673</v>
      </c>
      <c r="B9820" s="612"/>
      <c r="C9820" s="612"/>
      <c r="D9820" s="612"/>
      <c r="E9820" s="612"/>
      <c r="F9820" s="612"/>
      <c r="G9820" s="612"/>
      <c r="H9820" s="612"/>
      <c r="I9820" s="612"/>
      <c r="J9820" s="612"/>
      <c r="K9820" s="612"/>
      <c r="L9820" s="612"/>
    </row>
    <row r="9821" spans="1:12" ht="24" customHeight="1">
      <c r="A9821" s="636"/>
      <c r="B9821" s="636"/>
      <c r="C9821" s="636"/>
      <c r="D9821" s="636"/>
      <c r="E9821" s="636"/>
      <c r="F9821" s="636"/>
      <c r="G9821" s="636"/>
      <c r="H9821" s="636"/>
      <c r="I9821" s="636"/>
      <c r="J9821" s="636" t="s">
        <v>13672</v>
      </c>
      <c r="K9821" s="636"/>
      <c r="L9821" s="636" t="s">
        <v>15347</v>
      </c>
    </row>
    <row r="9822" spans="1:12" ht="17.100000000000001" customHeight="1">
      <c r="A9822" s="636"/>
      <c r="B9822" s="636"/>
      <c r="C9822" s="636"/>
      <c r="D9822" s="636"/>
      <c r="E9822" s="636"/>
      <c r="F9822" s="636"/>
      <c r="G9822" s="636"/>
      <c r="H9822" s="636"/>
      <c r="I9822" s="636"/>
      <c r="J9822" s="636" t="s">
        <v>13671</v>
      </c>
      <c r="K9822" s="636" t="s">
        <v>14461</v>
      </c>
      <c r="L9822" s="636" t="s">
        <v>15348</v>
      </c>
    </row>
    <row r="9823" spans="1:12" ht="14.25" customHeight="1">
      <c r="A9823" s="636"/>
      <c r="B9823" s="636"/>
      <c r="C9823" s="636"/>
      <c r="D9823" s="636"/>
      <c r="E9823" s="636"/>
      <c r="F9823" s="636"/>
      <c r="G9823" s="636"/>
      <c r="H9823" s="636"/>
      <c r="I9823" s="636"/>
      <c r="J9823" s="636" t="s">
        <v>13670</v>
      </c>
      <c r="K9823" s="636"/>
      <c r="L9823" s="636" t="s">
        <v>15349</v>
      </c>
    </row>
    <row r="9824" spans="1:12" ht="17.100000000000001" customHeight="1">
      <c r="A9824" s="636"/>
      <c r="B9824" s="636"/>
      <c r="C9824" s="636"/>
      <c r="D9824" s="636"/>
      <c r="E9824" s="636"/>
      <c r="F9824" s="636"/>
      <c r="G9824" s="636"/>
      <c r="H9824" s="636"/>
      <c r="I9824" s="636"/>
      <c r="J9824" s="636" t="s">
        <v>13669</v>
      </c>
      <c r="K9824" s="636" t="s">
        <v>13667</v>
      </c>
      <c r="L9824" s="636" t="s">
        <v>15225</v>
      </c>
    </row>
    <row r="9825" spans="1:12" ht="24" customHeight="1">
      <c r="A9825" s="636"/>
      <c r="B9825" s="636"/>
      <c r="C9825" s="636"/>
      <c r="D9825" s="636"/>
      <c r="E9825" s="636"/>
      <c r="F9825" s="636"/>
      <c r="G9825" s="636"/>
      <c r="H9825" s="636"/>
      <c r="I9825" s="636"/>
      <c r="J9825" s="636" t="s">
        <v>13668</v>
      </c>
      <c r="K9825" s="636"/>
      <c r="L9825" s="636" t="s">
        <v>15350</v>
      </c>
    </row>
    <row r="9826" spans="1:12" ht="24" customHeight="1">
      <c r="A9826" s="637"/>
      <c r="B9826" s="637"/>
      <c r="C9826" s="637"/>
      <c r="D9826" s="637"/>
      <c r="E9826" s="637"/>
      <c r="F9826" s="637"/>
      <c r="G9826" s="637"/>
      <c r="H9826" s="637"/>
      <c r="I9826" s="637"/>
      <c r="J9826" s="637"/>
      <c r="K9826" s="637"/>
      <c r="L9826" s="637"/>
    </row>
    <row r="9827" spans="1:12" ht="24" customHeight="1">
      <c r="A9827" s="616" t="s">
        <v>13834</v>
      </c>
      <c r="B9827" s="617" t="s">
        <v>13493</v>
      </c>
      <c r="C9827" s="616" t="s">
        <v>8</v>
      </c>
      <c r="D9827" s="616" t="s">
        <v>4493</v>
      </c>
      <c r="E9827" s="618" t="s">
        <v>12730</v>
      </c>
      <c r="F9827" s="617"/>
      <c r="G9827" s="617"/>
      <c r="H9827" s="617"/>
      <c r="I9827" s="617"/>
      <c r="J9827" s="617"/>
      <c r="K9827" s="617"/>
      <c r="L9827" s="617"/>
    </row>
    <row r="9828" spans="1:12" ht="17.100000000000001" customHeight="1">
      <c r="A9828" s="802" t="s">
        <v>12711</v>
      </c>
      <c r="B9828" s="802"/>
      <c r="C9828" s="802"/>
      <c r="D9828" s="802"/>
      <c r="E9828" s="802"/>
      <c r="F9828" s="802"/>
      <c r="G9828" s="802"/>
      <c r="H9828" s="802"/>
      <c r="I9828" s="612"/>
      <c r="J9828" s="612"/>
      <c r="K9828" s="612"/>
      <c r="L9828" s="612"/>
    </row>
    <row r="9829" spans="1:12">
      <c r="A9829" s="612" t="s">
        <v>13679</v>
      </c>
      <c r="B9829" s="636" t="s">
        <v>12698</v>
      </c>
      <c r="C9829" s="612" t="s">
        <v>12699</v>
      </c>
      <c r="D9829" s="612" t="s">
        <v>12700</v>
      </c>
      <c r="E9829" s="637" t="s">
        <v>12702</v>
      </c>
      <c r="F9829" s="801" t="s">
        <v>12704</v>
      </c>
      <c r="G9829" s="801"/>
      <c r="H9829" s="801" t="s">
        <v>13678</v>
      </c>
      <c r="I9829" s="801"/>
      <c r="J9829" s="801" t="s">
        <v>12705</v>
      </c>
      <c r="K9829" s="801"/>
      <c r="L9829" s="801"/>
    </row>
    <row r="9830" spans="1:12" ht="17.100000000000001" customHeight="1">
      <c r="A9830" s="626" t="s">
        <v>12709</v>
      </c>
      <c r="B9830" s="627" t="s">
        <v>13048</v>
      </c>
      <c r="C9830" s="626" t="s">
        <v>8</v>
      </c>
      <c r="D9830" s="626" t="s">
        <v>9233</v>
      </c>
      <c r="E9830" s="628" t="s">
        <v>23</v>
      </c>
      <c r="F9830" s="816" t="s">
        <v>13690</v>
      </c>
      <c r="G9830" s="816"/>
      <c r="H9830" s="816">
        <v>2.3961701999999998</v>
      </c>
      <c r="I9830" s="816"/>
      <c r="J9830" s="817">
        <v>2.4441000000000002</v>
      </c>
      <c r="K9830" s="817"/>
      <c r="L9830" s="817"/>
    </row>
    <row r="9831" spans="1:12" ht="24" customHeight="1">
      <c r="A9831" s="626" t="s">
        <v>12709</v>
      </c>
      <c r="B9831" s="627" t="s">
        <v>13047</v>
      </c>
      <c r="C9831" s="626" t="s">
        <v>8</v>
      </c>
      <c r="D9831" s="626" t="s">
        <v>9380</v>
      </c>
      <c r="E9831" s="628" t="s">
        <v>23</v>
      </c>
      <c r="F9831" s="816" t="s">
        <v>13689</v>
      </c>
      <c r="G9831" s="816"/>
      <c r="H9831" s="816">
        <v>2.3961701999999998</v>
      </c>
      <c r="I9831" s="816"/>
      <c r="J9831" s="817">
        <v>0.91049999999999998</v>
      </c>
      <c r="K9831" s="817"/>
      <c r="L9831" s="817"/>
    </row>
    <row r="9832" spans="1:12" ht="17.100000000000001" customHeight="1">
      <c r="A9832" s="636"/>
      <c r="B9832" s="636"/>
      <c r="C9832" s="636"/>
      <c r="D9832" s="636"/>
      <c r="E9832" s="636"/>
      <c r="F9832" s="636"/>
      <c r="G9832" s="636"/>
      <c r="H9832" s="636"/>
      <c r="I9832" s="636"/>
      <c r="J9832" s="636" t="s">
        <v>13675</v>
      </c>
      <c r="K9832" s="636"/>
      <c r="L9832" s="636" t="s">
        <v>14541</v>
      </c>
    </row>
    <row r="9833" spans="1:12">
      <c r="A9833" s="802" t="s">
        <v>12710</v>
      </c>
      <c r="B9833" s="802"/>
      <c r="C9833" s="802"/>
      <c r="D9833" s="802"/>
      <c r="E9833" s="802"/>
      <c r="F9833" s="802"/>
      <c r="G9833" s="802"/>
      <c r="H9833" s="802"/>
      <c r="I9833" s="612"/>
      <c r="J9833" s="612"/>
      <c r="K9833" s="612"/>
      <c r="L9833" s="612"/>
    </row>
    <row r="9834" spans="1:12" ht="17.100000000000001" customHeight="1">
      <c r="A9834" s="612" t="s">
        <v>13679</v>
      </c>
      <c r="B9834" s="636" t="s">
        <v>12698</v>
      </c>
      <c r="C9834" s="612" t="s">
        <v>12699</v>
      </c>
      <c r="D9834" s="612" t="s">
        <v>12700</v>
      </c>
      <c r="E9834" s="637" t="s">
        <v>12702</v>
      </c>
      <c r="F9834" s="801" t="s">
        <v>12704</v>
      </c>
      <c r="G9834" s="801"/>
      <c r="H9834" s="801" t="s">
        <v>13678</v>
      </c>
      <c r="I9834" s="801"/>
      <c r="J9834" s="801" t="s">
        <v>12705</v>
      </c>
      <c r="K9834" s="801"/>
      <c r="L9834" s="801"/>
    </row>
    <row r="9835" spans="1:12" ht="24" customHeight="1">
      <c r="A9835" s="626" t="s">
        <v>12709</v>
      </c>
      <c r="B9835" s="627" t="s">
        <v>13046</v>
      </c>
      <c r="C9835" s="626" t="s">
        <v>8</v>
      </c>
      <c r="D9835" s="626" t="s">
        <v>11281</v>
      </c>
      <c r="E9835" s="628" t="s">
        <v>23</v>
      </c>
      <c r="F9835" s="816" t="s">
        <v>13731</v>
      </c>
      <c r="G9835" s="816"/>
      <c r="H9835" s="816">
        <v>2.4316437</v>
      </c>
      <c r="I9835" s="816"/>
      <c r="J9835" s="817">
        <v>12.4986</v>
      </c>
      <c r="K9835" s="817"/>
      <c r="L9835" s="817"/>
    </row>
    <row r="9836" spans="1:12" ht="17.100000000000001" customHeight="1">
      <c r="A9836" s="636"/>
      <c r="B9836" s="636"/>
      <c r="C9836" s="636"/>
      <c r="D9836" s="636"/>
      <c r="E9836" s="636"/>
      <c r="F9836" s="636"/>
      <c r="G9836" s="636"/>
      <c r="H9836" s="636"/>
      <c r="I9836" s="636"/>
      <c r="J9836" s="636" t="s">
        <v>13675</v>
      </c>
      <c r="K9836" s="636"/>
      <c r="L9836" s="636" t="s">
        <v>14540</v>
      </c>
    </row>
    <row r="9837" spans="1:12">
      <c r="A9837" s="802" t="s">
        <v>12722</v>
      </c>
      <c r="B9837" s="802"/>
      <c r="C9837" s="802"/>
      <c r="D9837" s="802"/>
      <c r="E9837" s="802"/>
      <c r="F9837" s="802"/>
      <c r="G9837" s="802"/>
      <c r="H9837" s="802"/>
      <c r="I9837" s="612"/>
      <c r="J9837" s="612"/>
      <c r="K9837" s="612"/>
      <c r="L9837" s="612"/>
    </row>
    <row r="9838" spans="1:12" ht="17.100000000000001" customHeight="1">
      <c r="A9838" s="612" t="s">
        <v>13679</v>
      </c>
      <c r="B9838" s="636" t="s">
        <v>12698</v>
      </c>
      <c r="C9838" s="612" t="s">
        <v>12699</v>
      </c>
      <c r="D9838" s="612" t="s">
        <v>12700</v>
      </c>
      <c r="E9838" s="637" t="s">
        <v>12702</v>
      </c>
      <c r="F9838" s="801" t="s">
        <v>12704</v>
      </c>
      <c r="G9838" s="801"/>
      <c r="H9838" s="801" t="s">
        <v>13678</v>
      </c>
      <c r="I9838" s="801"/>
      <c r="J9838" s="801" t="s">
        <v>12705</v>
      </c>
      <c r="K9838" s="801"/>
      <c r="L9838" s="801"/>
    </row>
    <row r="9839" spans="1:12" ht="24" customHeight="1">
      <c r="A9839" s="626" t="s">
        <v>12709</v>
      </c>
      <c r="B9839" s="627" t="s">
        <v>12998</v>
      </c>
      <c r="C9839" s="626" t="s">
        <v>8</v>
      </c>
      <c r="D9839" s="626" t="s">
        <v>11861</v>
      </c>
      <c r="E9839" s="628" t="s">
        <v>23</v>
      </c>
      <c r="F9839" s="816" t="s">
        <v>13683</v>
      </c>
      <c r="G9839" s="816"/>
      <c r="H9839" s="816">
        <v>2.3961701999999998</v>
      </c>
      <c r="I9839" s="816"/>
      <c r="J9839" s="817">
        <v>1.7013</v>
      </c>
      <c r="K9839" s="817"/>
      <c r="L9839" s="817"/>
    </row>
    <row r="9840" spans="1:12" ht="24" customHeight="1">
      <c r="A9840" s="636"/>
      <c r="B9840" s="636"/>
      <c r="C9840" s="636"/>
      <c r="D9840" s="636"/>
      <c r="E9840" s="636"/>
      <c r="F9840" s="636"/>
      <c r="G9840" s="636"/>
      <c r="H9840" s="636"/>
      <c r="I9840" s="636"/>
      <c r="J9840" s="636" t="s">
        <v>13675</v>
      </c>
      <c r="K9840" s="636"/>
      <c r="L9840" s="636" t="s">
        <v>13833</v>
      </c>
    </row>
    <row r="9841" spans="1:12" ht="17.100000000000001" customHeight="1">
      <c r="A9841" s="802" t="s">
        <v>12713</v>
      </c>
      <c r="B9841" s="802"/>
      <c r="C9841" s="802"/>
      <c r="D9841" s="802"/>
      <c r="E9841" s="802"/>
      <c r="F9841" s="802"/>
      <c r="G9841" s="802"/>
      <c r="H9841" s="802"/>
      <c r="I9841" s="612"/>
      <c r="J9841" s="612"/>
      <c r="K9841" s="612"/>
      <c r="L9841" s="612"/>
    </row>
    <row r="9842" spans="1:12" ht="17.100000000000001" customHeight="1">
      <c r="A9842" s="612" t="s">
        <v>13679</v>
      </c>
      <c r="B9842" s="636" t="s">
        <v>12698</v>
      </c>
      <c r="C9842" s="612" t="s">
        <v>12699</v>
      </c>
      <c r="D9842" s="612" t="s">
        <v>12700</v>
      </c>
      <c r="E9842" s="637" t="s">
        <v>12702</v>
      </c>
      <c r="F9842" s="801" t="s">
        <v>12704</v>
      </c>
      <c r="G9842" s="801"/>
      <c r="H9842" s="801" t="s">
        <v>13678</v>
      </c>
      <c r="I9842" s="801"/>
      <c r="J9842" s="801" t="s">
        <v>12705</v>
      </c>
      <c r="K9842" s="801"/>
      <c r="L9842" s="801"/>
    </row>
    <row r="9843" spans="1:12" ht="17.100000000000001" customHeight="1">
      <c r="A9843" s="626" t="s">
        <v>12709</v>
      </c>
      <c r="B9843" s="627" t="s">
        <v>12999</v>
      </c>
      <c r="C9843" s="626" t="s">
        <v>8</v>
      </c>
      <c r="D9843" s="626" t="s">
        <v>11251</v>
      </c>
      <c r="E9843" s="628" t="s">
        <v>23</v>
      </c>
      <c r="F9843" s="816" t="s">
        <v>13681</v>
      </c>
      <c r="G9843" s="816"/>
      <c r="H9843" s="816">
        <v>2.3961701999999998</v>
      </c>
      <c r="I9843" s="816"/>
      <c r="J9843" s="817">
        <v>0.16769999999999999</v>
      </c>
      <c r="K9843" s="817"/>
      <c r="L9843" s="817"/>
    </row>
    <row r="9844" spans="1:12" ht="17.100000000000001" customHeight="1">
      <c r="A9844" s="636"/>
      <c r="B9844" s="636"/>
      <c r="C9844" s="636"/>
      <c r="D9844" s="636"/>
      <c r="E9844" s="636"/>
      <c r="F9844" s="636"/>
      <c r="G9844" s="636"/>
      <c r="H9844" s="636"/>
      <c r="I9844" s="636"/>
      <c r="J9844" s="636" t="s">
        <v>13675</v>
      </c>
      <c r="K9844" s="636"/>
      <c r="L9844" s="636" t="s">
        <v>13832</v>
      </c>
    </row>
    <row r="9845" spans="1:12" ht="17.100000000000001" customHeight="1">
      <c r="A9845" s="802" t="s">
        <v>12712</v>
      </c>
      <c r="B9845" s="802"/>
      <c r="C9845" s="802"/>
      <c r="D9845" s="802"/>
      <c r="E9845" s="802"/>
      <c r="F9845" s="802"/>
      <c r="G9845" s="802"/>
      <c r="H9845" s="802"/>
      <c r="I9845" s="612"/>
      <c r="J9845" s="612"/>
      <c r="K9845" s="612"/>
      <c r="L9845" s="612"/>
    </row>
    <row r="9846" spans="1:12" ht="17.100000000000001" customHeight="1">
      <c r="A9846" s="612" t="s">
        <v>13679</v>
      </c>
      <c r="B9846" s="636" t="s">
        <v>12698</v>
      </c>
      <c r="C9846" s="612" t="s">
        <v>12699</v>
      </c>
      <c r="D9846" s="612" t="s">
        <v>12700</v>
      </c>
      <c r="E9846" s="637" t="s">
        <v>12702</v>
      </c>
      <c r="F9846" s="801" t="s">
        <v>12704</v>
      </c>
      <c r="G9846" s="801"/>
      <c r="H9846" s="801" t="s">
        <v>13678</v>
      </c>
      <c r="I9846" s="801"/>
      <c r="J9846" s="801" t="s">
        <v>12705</v>
      </c>
      <c r="K9846" s="801"/>
      <c r="L9846" s="801"/>
    </row>
    <row r="9847" spans="1:12" ht="17.100000000000001" customHeight="1">
      <c r="A9847" s="626" t="s">
        <v>12709</v>
      </c>
      <c r="B9847" s="627" t="s">
        <v>13002</v>
      </c>
      <c r="C9847" s="626" t="s">
        <v>8</v>
      </c>
      <c r="D9847" s="626" t="s">
        <v>9306</v>
      </c>
      <c r="E9847" s="628" t="s">
        <v>23</v>
      </c>
      <c r="F9847" s="816" t="s">
        <v>13677</v>
      </c>
      <c r="G9847" s="816"/>
      <c r="H9847" s="816">
        <v>2.3961701999999998</v>
      </c>
      <c r="I9847" s="816"/>
      <c r="J9847" s="817">
        <v>0.8387</v>
      </c>
      <c r="K9847" s="817"/>
      <c r="L9847" s="817"/>
    </row>
    <row r="9848" spans="1:12" ht="30" customHeight="1">
      <c r="A9848" s="626" t="s">
        <v>12709</v>
      </c>
      <c r="B9848" s="627" t="s">
        <v>13004</v>
      </c>
      <c r="C9848" s="626" t="s">
        <v>8</v>
      </c>
      <c r="D9848" s="626" t="s">
        <v>7388</v>
      </c>
      <c r="E9848" s="628" t="s">
        <v>23</v>
      </c>
      <c r="F9848" s="816" t="s">
        <v>13676</v>
      </c>
      <c r="G9848" s="816"/>
      <c r="H9848" s="816">
        <v>2.3961701999999998</v>
      </c>
      <c r="I9848" s="816"/>
      <c r="J9848" s="817">
        <v>5.2716000000000003</v>
      </c>
      <c r="K9848" s="817"/>
      <c r="L9848" s="817"/>
    </row>
    <row r="9849" spans="1:12" ht="36" customHeight="1">
      <c r="A9849" s="636"/>
      <c r="B9849" s="636"/>
      <c r="C9849" s="636"/>
      <c r="D9849" s="636"/>
      <c r="E9849" s="636"/>
      <c r="F9849" s="636"/>
      <c r="G9849" s="636"/>
      <c r="H9849" s="636"/>
      <c r="I9849" s="636"/>
      <c r="J9849" s="636" t="s">
        <v>13675</v>
      </c>
      <c r="K9849" s="636"/>
      <c r="L9849" s="636" t="s">
        <v>13831</v>
      </c>
    </row>
    <row r="9850" spans="1:12" ht="14.25" customHeight="1">
      <c r="A9850" s="612" t="s">
        <v>13673</v>
      </c>
      <c r="B9850" s="612"/>
      <c r="C9850" s="612"/>
      <c r="D9850" s="612"/>
      <c r="E9850" s="612"/>
      <c r="F9850" s="612"/>
      <c r="G9850" s="612"/>
      <c r="H9850" s="612"/>
      <c r="I9850" s="612"/>
      <c r="J9850" s="612"/>
      <c r="K9850" s="612"/>
      <c r="L9850" s="612"/>
    </row>
    <row r="9851" spans="1:12" ht="17.100000000000001" customHeight="1">
      <c r="A9851" s="636"/>
      <c r="B9851" s="636"/>
      <c r="C9851" s="636"/>
      <c r="D9851" s="636"/>
      <c r="E9851" s="636"/>
      <c r="F9851" s="636"/>
      <c r="G9851" s="636"/>
      <c r="H9851" s="636"/>
      <c r="I9851" s="636"/>
      <c r="J9851" s="636" t="s">
        <v>13672</v>
      </c>
      <c r="K9851" s="636"/>
      <c r="L9851" s="636" t="s">
        <v>15351</v>
      </c>
    </row>
    <row r="9852" spans="1:12" ht="24" customHeight="1">
      <c r="A9852" s="636"/>
      <c r="B9852" s="636"/>
      <c r="C9852" s="636"/>
      <c r="D9852" s="636"/>
      <c r="E9852" s="636"/>
      <c r="F9852" s="636"/>
      <c r="G9852" s="636"/>
      <c r="H9852" s="636"/>
      <c r="I9852" s="636"/>
      <c r="J9852" s="636" t="s">
        <v>13671</v>
      </c>
      <c r="K9852" s="636" t="s">
        <v>14461</v>
      </c>
      <c r="L9852" s="636" t="s">
        <v>15352</v>
      </c>
    </row>
    <row r="9853" spans="1:12" ht="24" customHeight="1">
      <c r="A9853" s="636"/>
      <c r="B9853" s="636"/>
      <c r="C9853" s="636"/>
      <c r="D9853" s="636"/>
      <c r="E9853" s="636"/>
      <c r="F9853" s="636"/>
      <c r="G9853" s="636"/>
      <c r="H9853" s="636"/>
      <c r="I9853" s="636"/>
      <c r="J9853" s="636" t="s">
        <v>13670</v>
      </c>
      <c r="K9853" s="636"/>
      <c r="L9853" s="636" t="s">
        <v>15353</v>
      </c>
    </row>
    <row r="9854" spans="1:12" ht="17.100000000000001" customHeight="1">
      <c r="A9854" s="636"/>
      <c r="B9854" s="636"/>
      <c r="C9854" s="636"/>
      <c r="D9854" s="636"/>
      <c r="E9854" s="636"/>
      <c r="F9854" s="636"/>
      <c r="G9854" s="636"/>
      <c r="H9854" s="636"/>
      <c r="I9854" s="636"/>
      <c r="J9854" s="636" t="s">
        <v>13669</v>
      </c>
      <c r="K9854" s="636" t="s">
        <v>13667</v>
      </c>
      <c r="L9854" s="636" t="s">
        <v>15354</v>
      </c>
    </row>
    <row r="9855" spans="1:12" ht="14.25" customHeight="1">
      <c r="A9855" s="636"/>
      <c r="B9855" s="636"/>
      <c r="C9855" s="636"/>
      <c r="D9855" s="636"/>
      <c r="E9855" s="636"/>
      <c r="F9855" s="636"/>
      <c r="G9855" s="636"/>
      <c r="H9855" s="636"/>
      <c r="I9855" s="636"/>
      <c r="J9855" s="636" t="s">
        <v>13668</v>
      </c>
      <c r="K9855" s="636"/>
      <c r="L9855" s="636" t="s">
        <v>15355</v>
      </c>
    </row>
    <row r="9856" spans="1:12" ht="17.100000000000001" customHeight="1">
      <c r="A9856" s="637"/>
      <c r="B9856" s="637"/>
      <c r="C9856" s="637"/>
      <c r="D9856" s="637"/>
      <c r="E9856" s="637"/>
      <c r="F9856" s="637"/>
      <c r="G9856" s="637"/>
      <c r="H9856" s="637"/>
      <c r="I9856" s="637"/>
      <c r="J9856" s="637"/>
      <c r="K9856" s="637"/>
      <c r="L9856" s="637"/>
    </row>
    <row r="9857" spans="1:12" ht="24" customHeight="1">
      <c r="A9857" s="616" t="s">
        <v>13830</v>
      </c>
      <c r="B9857" s="617" t="s">
        <v>13372</v>
      </c>
      <c r="C9857" s="616" t="s">
        <v>8</v>
      </c>
      <c r="D9857" s="616" t="s">
        <v>3122</v>
      </c>
      <c r="E9857" s="618" t="s">
        <v>17</v>
      </c>
      <c r="F9857" s="617"/>
      <c r="G9857" s="617"/>
      <c r="H9857" s="617"/>
      <c r="I9857" s="617"/>
      <c r="J9857" s="617"/>
      <c r="K9857" s="617"/>
      <c r="L9857" s="617"/>
    </row>
    <row r="9858" spans="1:12" ht="24" customHeight="1">
      <c r="A9858" s="802" t="s">
        <v>12711</v>
      </c>
      <c r="B9858" s="802"/>
      <c r="C9858" s="802"/>
      <c r="D9858" s="802"/>
      <c r="E9858" s="802"/>
      <c r="F9858" s="802"/>
      <c r="G9858" s="802"/>
      <c r="H9858" s="802"/>
      <c r="I9858" s="612"/>
      <c r="J9858" s="612"/>
      <c r="K9858" s="612"/>
      <c r="L9858" s="612"/>
    </row>
    <row r="9859" spans="1:12" ht="17.100000000000001" customHeight="1">
      <c r="A9859" s="612" t="s">
        <v>13679</v>
      </c>
      <c r="B9859" s="636" t="s">
        <v>12698</v>
      </c>
      <c r="C9859" s="612" t="s">
        <v>12699</v>
      </c>
      <c r="D9859" s="612" t="s">
        <v>12700</v>
      </c>
      <c r="E9859" s="637" t="s">
        <v>12702</v>
      </c>
      <c r="F9859" s="801" t="s">
        <v>12704</v>
      </c>
      <c r="G9859" s="801"/>
      <c r="H9859" s="801" t="s">
        <v>13678</v>
      </c>
      <c r="I9859" s="801"/>
      <c r="J9859" s="801" t="s">
        <v>12705</v>
      </c>
      <c r="K9859" s="801"/>
      <c r="L9859" s="801"/>
    </row>
    <row r="9860" spans="1:12" ht="25.5">
      <c r="A9860" s="626" t="s">
        <v>12709</v>
      </c>
      <c r="B9860" s="627" t="s">
        <v>13134</v>
      </c>
      <c r="C9860" s="626" t="s">
        <v>8</v>
      </c>
      <c r="D9860" s="626" t="s">
        <v>9219</v>
      </c>
      <c r="E9860" s="628" t="s">
        <v>23</v>
      </c>
      <c r="F9860" s="816" t="s">
        <v>13782</v>
      </c>
      <c r="G9860" s="816"/>
      <c r="H9860" s="816">
        <v>0.42168240000000001</v>
      </c>
      <c r="I9860" s="816"/>
      <c r="J9860" s="817">
        <v>0.39219999999999999</v>
      </c>
      <c r="K9860" s="817"/>
      <c r="L9860" s="817"/>
    </row>
    <row r="9861" spans="1:12" ht="17.100000000000001" customHeight="1">
      <c r="A9861" s="626" t="s">
        <v>12709</v>
      </c>
      <c r="B9861" s="627" t="s">
        <v>13133</v>
      </c>
      <c r="C9861" s="626" t="s">
        <v>8</v>
      </c>
      <c r="D9861" s="626" t="s">
        <v>9366</v>
      </c>
      <c r="E9861" s="628" t="s">
        <v>23</v>
      </c>
      <c r="F9861" s="816" t="s">
        <v>13781</v>
      </c>
      <c r="G9861" s="816"/>
      <c r="H9861" s="816">
        <v>0.42168240000000001</v>
      </c>
      <c r="I9861" s="816"/>
      <c r="J9861" s="817">
        <v>0.2319</v>
      </c>
      <c r="K9861" s="817"/>
      <c r="L9861" s="817"/>
    </row>
    <row r="9862" spans="1:12" ht="24" customHeight="1">
      <c r="A9862" s="636"/>
      <c r="B9862" s="636"/>
      <c r="C9862" s="636"/>
      <c r="D9862" s="636"/>
      <c r="E9862" s="636"/>
      <c r="F9862" s="636"/>
      <c r="G9862" s="636"/>
      <c r="H9862" s="636"/>
      <c r="I9862" s="636"/>
      <c r="J9862" s="636" t="s">
        <v>13675</v>
      </c>
      <c r="K9862" s="636"/>
      <c r="L9862" s="636" t="s">
        <v>13729</v>
      </c>
    </row>
    <row r="9863" spans="1:12" ht="48" customHeight="1">
      <c r="A9863" s="802" t="s">
        <v>12710</v>
      </c>
      <c r="B9863" s="802"/>
      <c r="C9863" s="802"/>
      <c r="D9863" s="802"/>
      <c r="E9863" s="802"/>
      <c r="F9863" s="802"/>
      <c r="G9863" s="802"/>
      <c r="H9863" s="802"/>
      <c r="I9863" s="612"/>
      <c r="J9863" s="612"/>
      <c r="K9863" s="612"/>
      <c r="L9863" s="612"/>
    </row>
    <row r="9864" spans="1:12" ht="17.100000000000001" customHeight="1">
      <c r="A9864" s="612" t="s">
        <v>13679</v>
      </c>
      <c r="B9864" s="636" t="s">
        <v>12698</v>
      </c>
      <c r="C9864" s="612" t="s">
        <v>12699</v>
      </c>
      <c r="D9864" s="612" t="s">
        <v>12700</v>
      </c>
      <c r="E9864" s="637" t="s">
        <v>12702</v>
      </c>
      <c r="F9864" s="801" t="s">
        <v>12704</v>
      </c>
      <c r="G9864" s="801"/>
      <c r="H9864" s="801" t="s">
        <v>13678</v>
      </c>
      <c r="I9864" s="801"/>
      <c r="J9864" s="801" t="s">
        <v>12705</v>
      </c>
      <c r="K9864" s="801"/>
      <c r="L9864" s="801"/>
    </row>
    <row r="9865" spans="1:12" ht="25.5">
      <c r="A9865" s="626" t="s">
        <v>12709</v>
      </c>
      <c r="B9865" s="627" t="s">
        <v>13222</v>
      </c>
      <c r="C9865" s="626" t="s">
        <v>8</v>
      </c>
      <c r="D9865" s="626" t="s">
        <v>7364</v>
      </c>
      <c r="E9865" s="628" t="s">
        <v>23</v>
      </c>
      <c r="F9865" s="816" t="s">
        <v>13808</v>
      </c>
      <c r="G9865" s="816"/>
      <c r="H9865" s="816">
        <v>0.21677260000000001</v>
      </c>
      <c r="I9865" s="816"/>
      <c r="J9865" s="817">
        <v>1.0882000000000001</v>
      </c>
      <c r="K9865" s="817"/>
      <c r="L9865" s="817"/>
    </row>
    <row r="9866" spans="1:12" ht="17.100000000000001" customHeight="1">
      <c r="A9866" s="626" t="s">
        <v>12709</v>
      </c>
      <c r="B9866" s="627" t="s">
        <v>13204</v>
      </c>
      <c r="C9866" s="626" t="s">
        <v>8</v>
      </c>
      <c r="D9866" s="626" t="s">
        <v>9112</v>
      </c>
      <c r="E9866" s="628" t="s">
        <v>23</v>
      </c>
      <c r="F9866" s="816" t="s">
        <v>14479</v>
      </c>
      <c r="G9866" s="816"/>
      <c r="H9866" s="816">
        <v>0.21677260000000001</v>
      </c>
      <c r="I9866" s="816"/>
      <c r="J9866" s="817">
        <v>1.5499000000000001</v>
      </c>
      <c r="K9866" s="817"/>
      <c r="L9866" s="817"/>
    </row>
    <row r="9867" spans="1:12" ht="24" customHeight="1">
      <c r="A9867" s="636"/>
      <c r="B9867" s="636"/>
      <c r="C9867" s="636"/>
      <c r="D9867" s="636"/>
      <c r="E9867" s="636"/>
      <c r="F9867" s="636"/>
      <c r="G9867" s="636"/>
      <c r="H9867" s="636"/>
      <c r="I9867" s="636"/>
      <c r="J9867" s="636" t="s">
        <v>13675</v>
      </c>
      <c r="K9867" s="636"/>
      <c r="L9867" s="636" t="s">
        <v>14530</v>
      </c>
    </row>
    <row r="9868" spans="1:12" ht="17.100000000000001" customHeight="1">
      <c r="A9868" s="802" t="s">
        <v>12720</v>
      </c>
      <c r="B9868" s="802"/>
      <c r="C9868" s="802"/>
      <c r="D9868" s="802"/>
      <c r="E9868" s="802"/>
      <c r="F9868" s="802"/>
      <c r="G9868" s="802"/>
      <c r="H9868" s="802"/>
      <c r="I9868" s="612"/>
      <c r="J9868" s="612"/>
      <c r="K9868" s="612"/>
      <c r="L9868" s="612"/>
    </row>
    <row r="9869" spans="1:12">
      <c r="A9869" s="612" t="s">
        <v>13679</v>
      </c>
      <c r="B9869" s="636" t="s">
        <v>12698</v>
      </c>
      <c r="C9869" s="612" t="s">
        <v>12699</v>
      </c>
      <c r="D9869" s="612" t="s">
        <v>12700</v>
      </c>
      <c r="E9869" s="637" t="s">
        <v>12702</v>
      </c>
      <c r="F9869" s="801" t="s">
        <v>12704</v>
      </c>
      <c r="G9869" s="801"/>
      <c r="H9869" s="801" t="s">
        <v>13678</v>
      </c>
      <c r="I9869" s="801"/>
      <c r="J9869" s="801" t="s">
        <v>12705</v>
      </c>
      <c r="K9869" s="801"/>
      <c r="L9869" s="801"/>
    </row>
    <row r="9870" spans="1:12" ht="17.100000000000001" customHeight="1">
      <c r="A9870" s="626" t="s">
        <v>12709</v>
      </c>
      <c r="B9870" s="627" t="s">
        <v>13370</v>
      </c>
      <c r="C9870" s="626" t="s">
        <v>8</v>
      </c>
      <c r="D9870" s="626" t="s">
        <v>9418</v>
      </c>
      <c r="E9870" s="628" t="s">
        <v>35</v>
      </c>
      <c r="F9870" s="816" t="s">
        <v>13786</v>
      </c>
      <c r="G9870" s="816"/>
      <c r="H9870" s="816">
        <v>8.9999999999999993E-3</v>
      </c>
      <c r="I9870" s="816"/>
      <c r="J9870" s="817">
        <v>0.03</v>
      </c>
      <c r="K9870" s="817"/>
      <c r="L9870" s="817"/>
    </row>
    <row r="9871" spans="1:12" ht="24" customHeight="1">
      <c r="A9871" s="626" t="s">
        <v>12709</v>
      </c>
      <c r="B9871" s="627" t="s">
        <v>13371</v>
      </c>
      <c r="C9871" s="626" t="s">
        <v>8</v>
      </c>
      <c r="D9871" s="626" t="s">
        <v>7968</v>
      </c>
      <c r="E9871" s="628" t="s">
        <v>17</v>
      </c>
      <c r="F9871" s="816" t="s">
        <v>14529</v>
      </c>
      <c r="G9871" s="816"/>
      <c r="H9871" s="816">
        <v>1.0149999999999999</v>
      </c>
      <c r="I9871" s="816"/>
      <c r="J9871" s="817">
        <v>111.46</v>
      </c>
      <c r="K9871" s="817"/>
      <c r="L9871" s="817"/>
    </row>
    <row r="9872" spans="1:12" ht="17.100000000000001" customHeight="1">
      <c r="A9872" s="636"/>
      <c r="B9872" s="636"/>
      <c r="C9872" s="636"/>
      <c r="D9872" s="636"/>
      <c r="E9872" s="636"/>
      <c r="F9872" s="636"/>
      <c r="G9872" s="636"/>
      <c r="H9872" s="636"/>
      <c r="I9872" s="636"/>
      <c r="J9872" s="636" t="s">
        <v>13675</v>
      </c>
      <c r="K9872" s="636"/>
      <c r="L9872" s="636" t="s">
        <v>14528</v>
      </c>
    </row>
    <row r="9873" spans="1:12">
      <c r="A9873" s="802" t="s">
        <v>12722</v>
      </c>
      <c r="B9873" s="802"/>
      <c r="C9873" s="802"/>
      <c r="D9873" s="802"/>
      <c r="E9873" s="802"/>
      <c r="F9873" s="802"/>
      <c r="G9873" s="802"/>
      <c r="H9873" s="802"/>
      <c r="I9873" s="612"/>
      <c r="J9873" s="612"/>
      <c r="K9873" s="612"/>
      <c r="L9873" s="612"/>
    </row>
    <row r="9874" spans="1:12" ht="17.100000000000001" customHeight="1">
      <c r="A9874" s="612" t="s">
        <v>13679</v>
      </c>
      <c r="B9874" s="636" t="s">
        <v>12698</v>
      </c>
      <c r="C9874" s="612" t="s">
        <v>12699</v>
      </c>
      <c r="D9874" s="612" t="s">
        <v>12700</v>
      </c>
      <c r="E9874" s="637" t="s">
        <v>12702</v>
      </c>
      <c r="F9874" s="801" t="s">
        <v>12704</v>
      </c>
      <c r="G9874" s="801"/>
      <c r="H9874" s="801" t="s">
        <v>13678</v>
      </c>
      <c r="I9874" s="801"/>
      <c r="J9874" s="801" t="s">
        <v>12705</v>
      </c>
      <c r="K9874" s="801"/>
      <c r="L9874" s="801"/>
    </row>
    <row r="9875" spans="1:12" ht="24" customHeight="1">
      <c r="A9875" s="626" t="s">
        <v>12709</v>
      </c>
      <c r="B9875" s="627" t="s">
        <v>12998</v>
      </c>
      <c r="C9875" s="626" t="s">
        <v>8</v>
      </c>
      <c r="D9875" s="626" t="s">
        <v>11861</v>
      </c>
      <c r="E9875" s="628" t="s">
        <v>23</v>
      </c>
      <c r="F9875" s="816" t="s">
        <v>13683</v>
      </c>
      <c r="G9875" s="816"/>
      <c r="H9875" s="816">
        <v>0.42168240000000001</v>
      </c>
      <c r="I9875" s="816"/>
      <c r="J9875" s="817">
        <v>0.2994</v>
      </c>
      <c r="K9875" s="817"/>
      <c r="L9875" s="817"/>
    </row>
    <row r="9876" spans="1:12" ht="24" customHeight="1">
      <c r="A9876" s="636"/>
      <c r="B9876" s="636"/>
      <c r="C9876" s="636"/>
      <c r="D9876" s="636"/>
      <c r="E9876" s="636"/>
      <c r="F9876" s="636"/>
      <c r="G9876" s="636"/>
      <c r="H9876" s="636"/>
      <c r="I9876" s="636"/>
      <c r="J9876" s="636" t="s">
        <v>13675</v>
      </c>
      <c r="K9876" s="636"/>
      <c r="L9876" s="636" t="s">
        <v>13758</v>
      </c>
    </row>
    <row r="9877" spans="1:12" ht="17.100000000000001" customHeight="1">
      <c r="A9877" s="802" t="s">
        <v>12713</v>
      </c>
      <c r="B9877" s="802"/>
      <c r="C9877" s="802"/>
      <c r="D9877" s="802"/>
      <c r="E9877" s="802"/>
      <c r="F9877" s="802"/>
      <c r="G9877" s="802"/>
      <c r="H9877" s="802"/>
      <c r="I9877" s="612"/>
      <c r="J9877" s="612"/>
      <c r="K9877" s="612"/>
      <c r="L9877" s="612"/>
    </row>
    <row r="9878" spans="1:12" ht="17.100000000000001" customHeight="1">
      <c r="A9878" s="612" t="s">
        <v>13679</v>
      </c>
      <c r="B9878" s="636" t="s">
        <v>12698</v>
      </c>
      <c r="C9878" s="612" t="s">
        <v>12699</v>
      </c>
      <c r="D9878" s="612" t="s">
        <v>12700</v>
      </c>
      <c r="E9878" s="637" t="s">
        <v>12702</v>
      </c>
      <c r="F9878" s="801" t="s">
        <v>12704</v>
      </c>
      <c r="G9878" s="801"/>
      <c r="H9878" s="801" t="s">
        <v>13678</v>
      </c>
      <c r="I9878" s="801"/>
      <c r="J9878" s="801" t="s">
        <v>12705</v>
      </c>
      <c r="K9878" s="801"/>
      <c r="L9878" s="801"/>
    </row>
    <row r="9879" spans="1:12" ht="17.100000000000001" customHeight="1">
      <c r="A9879" s="626" t="s">
        <v>12709</v>
      </c>
      <c r="B9879" s="627" t="s">
        <v>12999</v>
      </c>
      <c r="C9879" s="626" t="s">
        <v>8</v>
      </c>
      <c r="D9879" s="626" t="s">
        <v>11251</v>
      </c>
      <c r="E9879" s="628" t="s">
        <v>23</v>
      </c>
      <c r="F9879" s="816" t="s">
        <v>13681</v>
      </c>
      <c r="G9879" s="816"/>
      <c r="H9879" s="816">
        <v>0.42168240000000001</v>
      </c>
      <c r="I9879" s="816"/>
      <c r="J9879" s="817">
        <v>2.9499999999999998E-2</v>
      </c>
      <c r="K9879" s="817"/>
      <c r="L9879" s="817"/>
    </row>
    <row r="9880" spans="1:12" ht="17.100000000000001" customHeight="1">
      <c r="A9880" s="636"/>
      <c r="B9880" s="636"/>
      <c r="C9880" s="636"/>
      <c r="D9880" s="636"/>
      <c r="E9880" s="636"/>
      <c r="F9880" s="636"/>
      <c r="G9880" s="636"/>
      <c r="H9880" s="636"/>
      <c r="I9880" s="636"/>
      <c r="J9880" s="636" t="s">
        <v>13675</v>
      </c>
      <c r="K9880" s="636"/>
      <c r="L9880" s="636" t="s">
        <v>13726</v>
      </c>
    </row>
    <row r="9881" spans="1:12" ht="17.100000000000001" customHeight="1">
      <c r="A9881" s="802" t="s">
        <v>12712</v>
      </c>
      <c r="B9881" s="802"/>
      <c r="C9881" s="802"/>
      <c r="D9881" s="802"/>
      <c r="E9881" s="802"/>
      <c r="F9881" s="802"/>
      <c r="G9881" s="802"/>
      <c r="H9881" s="802"/>
      <c r="I9881" s="612"/>
      <c r="J9881" s="612"/>
      <c r="K9881" s="612"/>
      <c r="L9881" s="612"/>
    </row>
    <row r="9882" spans="1:12" ht="17.100000000000001" customHeight="1">
      <c r="A9882" s="612" t="s">
        <v>13679</v>
      </c>
      <c r="B9882" s="636" t="s">
        <v>12698</v>
      </c>
      <c r="C9882" s="612" t="s">
        <v>12699</v>
      </c>
      <c r="D9882" s="612" t="s">
        <v>12700</v>
      </c>
      <c r="E9882" s="637" t="s">
        <v>12702</v>
      </c>
      <c r="F9882" s="801" t="s">
        <v>12704</v>
      </c>
      <c r="G9882" s="801"/>
      <c r="H9882" s="801" t="s">
        <v>13678</v>
      </c>
      <c r="I9882" s="801"/>
      <c r="J9882" s="801" t="s">
        <v>12705</v>
      </c>
      <c r="K9882" s="801"/>
      <c r="L9882" s="801"/>
    </row>
    <row r="9883" spans="1:12" ht="17.100000000000001" customHeight="1">
      <c r="A9883" s="626" t="s">
        <v>12709</v>
      </c>
      <c r="B9883" s="627" t="s">
        <v>13002</v>
      </c>
      <c r="C9883" s="626" t="s">
        <v>8</v>
      </c>
      <c r="D9883" s="626" t="s">
        <v>9306</v>
      </c>
      <c r="E9883" s="628" t="s">
        <v>23</v>
      </c>
      <c r="F9883" s="816" t="s">
        <v>13677</v>
      </c>
      <c r="G9883" s="816"/>
      <c r="H9883" s="816">
        <v>0.42168240000000001</v>
      </c>
      <c r="I9883" s="816"/>
      <c r="J9883" s="817">
        <v>0.14760000000000001</v>
      </c>
      <c r="K9883" s="817"/>
      <c r="L9883" s="817"/>
    </row>
    <row r="9884" spans="1:12" ht="30" customHeight="1">
      <c r="A9884" s="626" t="s">
        <v>12709</v>
      </c>
      <c r="B9884" s="627" t="s">
        <v>13004</v>
      </c>
      <c r="C9884" s="626" t="s">
        <v>8</v>
      </c>
      <c r="D9884" s="626" t="s">
        <v>7388</v>
      </c>
      <c r="E9884" s="628" t="s">
        <v>23</v>
      </c>
      <c r="F9884" s="816" t="s">
        <v>13676</v>
      </c>
      <c r="G9884" s="816"/>
      <c r="H9884" s="816">
        <v>0.42168240000000001</v>
      </c>
      <c r="I9884" s="816"/>
      <c r="J9884" s="817">
        <v>0.92769999999999997</v>
      </c>
      <c r="K9884" s="817"/>
      <c r="L9884" s="817"/>
    </row>
    <row r="9885" spans="1:12" ht="36" customHeight="1">
      <c r="A9885" s="636"/>
      <c r="B9885" s="636"/>
      <c r="C9885" s="636"/>
      <c r="D9885" s="636"/>
      <c r="E9885" s="636"/>
      <c r="F9885" s="636"/>
      <c r="G9885" s="636"/>
      <c r="H9885" s="636"/>
      <c r="I9885" s="636"/>
      <c r="J9885" s="636" t="s">
        <v>13675</v>
      </c>
      <c r="K9885" s="636"/>
      <c r="L9885" s="636" t="s">
        <v>13741</v>
      </c>
    </row>
    <row r="9886" spans="1:12" ht="14.25" customHeight="1">
      <c r="A9886" s="612" t="s">
        <v>13673</v>
      </c>
      <c r="B9886" s="612"/>
      <c r="C9886" s="612"/>
      <c r="D9886" s="612"/>
      <c r="E9886" s="612"/>
      <c r="F9886" s="612"/>
      <c r="G9886" s="612"/>
      <c r="H9886" s="612"/>
      <c r="I9886" s="612"/>
      <c r="J9886" s="612"/>
      <c r="K9886" s="612"/>
      <c r="L9886" s="612"/>
    </row>
    <row r="9887" spans="1:12" ht="17.100000000000001" customHeight="1">
      <c r="A9887" s="636"/>
      <c r="B9887" s="636"/>
      <c r="C9887" s="636"/>
      <c r="D9887" s="636"/>
      <c r="E9887" s="636"/>
      <c r="F9887" s="636"/>
      <c r="G9887" s="636"/>
      <c r="H9887" s="636"/>
      <c r="I9887" s="636"/>
      <c r="J9887" s="636" t="s">
        <v>13672</v>
      </c>
      <c r="K9887" s="636"/>
      <c r="L9887" s="636" t="s">
        <v>15664</v>
      </c>
    </row>
    <row r="9888" spans="1:12" ht="24" customHeight="1">
      <c r="A9888" s="636"/>
      <c r="B9888" s="636"/>
      <c r="C9888" s="636"/>
      <c r="D9888" s="636"/>
      <c r="E9888" s="636"/>
      <c r="F9888" s="636"/>
      <c r="G9888" s="636"/>
      <c r="H9888" s="636"/>
      <c r="I9888" s="636"/>
      <c r="J9888" s="636" t="s">
        <v>13671</v>
      </c>
      <c r="K9888" s="636" t="s">
        <v>14461</v>
      </c>
      <c r="L9888" s="636" t="s">
        <v>15665</v>
      </c>
    </row>
    <row r="9889" spans="1:12" ht="24" customHeight="1">
      <c r="A9889" s="636"/>
      <c r="B9889" s="636"/>
      <c r="C9889" s="636"/>
      <c r="D9889" s="636"/>
      <c r="E9889" s="636"/>
      <c r="F9889" s="636"/>
      <c r="G9889" s="636"/>
      <c r="H9889" s="636"/>
      <c r="I9889" s="636"/>
      <c r="J9889" s="636" t="s">
        <v>13670</v>
      </c>
      <c r="K9889" s="636"/>
      <c r="L9889" s="636" t="s">
        <v>15666</v>
      </c>
    </row>
    <row r="9890" spans="1:12" ht="17.100000000000001" customHeight="1">
      <c r="A9890" s="636"/>
      <c r="B9890" s="636"/>
      <c r="C9890" s="636"/>
      <c r="D9890" s="636"/>
      <c r="E9890" s="636"/>
      <c r="F9890" s="636"/>
      <c r="G9890" s="636"/>
      <c r="H9890" s="636"/>
      <c r="I9890" s="636"/>
      <c r="J9890" s="636" t="s">
        <v>13669</v>
      </c>
      <c r="K9890" s="636" t="s">
        <v>13667</v>
      </c>
      <c r="L9890" s="636" t="s">
        <v>15667</v>
      </c>
    </row>
    <row r="9891" spans="1:12" ht="14.25" customHeight="1">
      <c r="A9891" s="636"/>
      <c r="B9891" s="636"/>
      <c r="C9891" s="636"/>
      <c r="D9891" s="636"/>
      <c r="E9891" s="636"/>
      <c r="F9891" s="636"/>
      <c r="G9891" s="636"/>
      <c r="H9891" s="636"/>
      <c r="I9891" s="636"/>
      <c r="J9891" s="636" t="s">
        <v>13668</v>
      </c>
      <c r="K9891" s="636"/>
      <c r="L9891" s="636" t="s">
        <v>15668</v>
      </c>
    </row>
    <row r="9892" spans="1:12" ht="17.100000000000001" customHeight="1">
      <c r="A9892" s="637"/>
      <c r="B9892" s="637"/>
      <c r="C9892" s="637"/>
      <c r="D9892" s="637"/>
      <c r="E9892" s="637"/>
      <c r="F9892" s="637"/>
      <c r="G9892" s="637"/>
      <c r="H9892" s="637"/>
      <c r="I9892" s="637"/>
      <c r="J9892" s="637"/>
      <c r="K9892" s="637"/>
      <c r="L9892" s="637"/>
    </row>
    <row r="9893" spans="1:12" ht="24" customHeight="1">
      <c r="A9893" s="616" t="s">
        <v>13829</v>
      </c>
      <c r="B9893" s="617" t="s">
        <v>13416</v>
      </c>
      <c r="C9893" s="616" t="s">
        <v>8</v>
      </c>
      <c r="D9893" s="616" t="s">
        <v>3116</v>
      </c>
      <c r="E9893" s="618" t="s">
        <v>17</v>
      </c>
      <c r="F9893" s="617"/>
      <c r="G9893" s="617"/>
      <c r="H9893" s="617"/>
      <c r="I9893" s="617"/>
      <c r="J9893" s="617"/>
      <c r="K9893" s="617"/>
      <c r="L9893" s="617"/>
    </row>
    <row r="9894" spans="1:12" ht="24" customHeight="1">
      <c r="A9894" s="802" t="s">
        <v>12711</v>
      </c>
      <c r="B9894" s="802"/>
      <c r="C9894" s="802"/>
      <c r="D9894" s="802"/>
      <c r="E9894" s="802"/>
      <c r="F9894" s="802"/>
      <c r="G9894" s="802"/>
      <c r="H9894" s="802"/>
      <c r="I9894" s="612"/>
      <c r="J9894" s="612"/>
      <c r="K9894" s="612"/>
      <c r="L9894" s="612"/>
    </row>
    <row r="9895" spans="1:12" ht="17.100000000000001" customHeight="1">
      <c r="A9895" s="612" t="s">
        <v>13679</v>
      </c>
      <c r="B9895" s="636" t="s">
        <v>12698</v>
      </c>
      <c r="C9895" s="612" t="s">
        <v>12699</v>
      </c>
      <c r="D9895" s="612" t="s">
        <v>12700</v>
      </c>
      <c r="E9895" s="637" t="s">
        <v>12702</v>
      </c>
      <c r="F9895" s="801" t="s">
        <v>12704</v>
      </c>
      <c r="G9895" s="801"/>
      <c r="H9895" s="801" t="s">
        <v>13678</v>
      </c>
      <c r="I9895" s="801"/>
      <c r="J9895" s="801" t="s">
        <v>12705</v>
      </c>
      <c r="K9895" s="801"/>
      <c r="L9895" s="801"/>
    </row>
    <row r="9896" spans="1:12" ht="25.5">
      <c r="A9896" s="626" t="s">
        <v>12709</v>
      </c>
      <c r="B9896" s="627" t="s">
        <v>13134</v>
      </c>
      <c r="C9896" s="626" t="s">
        <v>8</v>
      </c>
      <c r="D9896" s="626" t="s">
        <v>9219</v>
      </c>
      <c r="E9896" s="628" t="s">
        <v>23</v>
      </c>
      <c r="F9896" s="816" t="s">
        <v>13782</v>
      </c>
      <c r="G9896" s="816"/>
      <c r="H9896" s="816">
        <v>0.2547585</v>
      </c>
      <c r="I9896" s="816"/>
      <c r="J9896" s="817">
        <v>0.2369</v>
      </c>
      <c r="K9896" s="817"/>
      <c r="L9896" s="817"/>
    </row>
    <row r="9897" spans="1:12" ht="17.100000000000001" customHeight="1">
      <c r="A9897" s="626" t="s">
        <v>12709</v>
      </c>
      <c r="B9897" s="627" t="s">
        <v>13133</v>
      </c>
      <c r="C9897" s="626" t="s">
        <v>8</v>
      </c>
      <c r="D9897" s="626" t="s">
        <v>9366</v>
      </c>
      <c r="E9897" s="628" t="s">
        <v>23</v>
      </c>
      <c r="F9897" s="816" t="s">
        <v>13781</v>
      </c>
      <c r="G9897" s="816"/>
      <c r="H9897" s="816">
        <v>0.2547585</v>
      </c>
      <c r="I9897" s="816"/>
      <c r="J9897" s="817">
        <v>0.1401</v>
      </c>
      <c r="K9897" s="817"/>
      <c r="L9897" s="817"/>
    </row>
    <row r="9898" spans="1:12" ht="24" customHeight="1">
      <c r="A9898" s="636"/>
      <c r="B9898" s="636"/>
      <c r="C9898" s="636"/>
      <c r="D9898" s="636"/>
      <c r="E9898" s="636"/>
      <c r="F9898" s="636"/>
      <c r="G9898" s="636"/>
      <c r="H9898" s="636"/>
      <c r="I9898" s="636"/>
      <c r="J9898" s="636" t="s">
        <v>13675</v>
      </c>
      <c r="K9898" s="636"/>
      <c r="L9898" s="636" t="s">
        <v>13689</v>
      </c>
    </row>
    <row r="9899" spans="1:12" ht="48" customHeight="1">
      <c r="A9899" s="802" t="s">
        <v>12710</v>
      </c>
      <c r="B9899" s="802"/>
      <c r="C9899" s="802"/>
      <c r="D9899" s="802"/>
      <c r="E9899" s="802"/>
      <c r="F9899" s="802"/>
      <c r="G9899" s="802"/>
      <c r="H9899" s="802"/>
      <c r="I9899" s="612"/>
      <c r="J9899" s="612"/>
      <c r="K9899" s="612"/>
      <c r="L9899" s="612"/>
    </row>
    <row r="9900" spans="1:12" ht="17.100000000000001" customHeight="1">
      <c r="A9900" s="612" t="s">
        <v>13679</v>
      </c>
      <c r="B9900" s="636" t="s">
        <v>12698</v>
      </c>
      <c r="C9900" s="612" t="s">
        <v>12699</v>
      </c>
      <c r="D9900" s="612" t="s">
        <v>12700</v>
      </c>
      <c r="E9900" s="637" t="s">
        <v>12702</v>
      </c>
      <c r="F9900" s="801" t="s">
        <v>12704</v>
      </c>
      <c r="G9900" s="801"/>
      <c r="H9900" s="801" t="s">
        <v>13678</v>
      </c>
      <c r="I9900" s="801"/>
      <c r="J9900" s="801" t="s">
        <v>12705</v>
      </c>
      <c r="K9900" s="801"/>
      <c r="L9900" s="801"/>
    </row>
    <row r="9901" spans="1:12" ht="25.5">
      <c r="A9901" s="626" t="s">
        <v>12709</v>
      </c>
      <c r="B9901" s="627" t="s">
        <v>13222</v>
      </c>
      <c r="C9901" s="626" t="s">
        <v>8</v>
      </c>
      <c r="D9901" s="626" t="s">
        <v>7364</v>
      </c>
      <c r="E9901" s="628" t="s">
        <v>23</v>
      </c>
      <c r="F9901" s="816" t="s">
        <v>13808</v>
      </c>
      <c r="G9901" s="816"/>
      <c r="H9901" s="816">
        <v>0.13059660000000001</v>
      </c>
      <c r="I9901" s="816"/>
      <c r="J9901" s="817">
        <v>0.65559999999999996</v>
      </c>
      <c r="K9901" s="817"/>
      <c r="L9901" s="817"/>
    </row>
    <row r="9902" spans="1:12" ht="17.100000000000001" customHeight="1">
      <c r="A9902" s="626" t="s">
        <v>12709</v>
      </c>
      <c r="B9902" s="627" t="s">
        <v>13204</v>
      </c>
      <c r="C9902" s="626" t="s">
        <v>8</v>
      </c>
      <c r="D9902" s="626" t="s">
        <v>9112</v>
      </c>
      <c r="E9902" s="628" t="s">
        <v>23</v>
      </c>
      <c r="F9902" s="816" t="s">
        <v>14479</v>
      </c>
      <c r="G9902" s="816"/>
      <c r="H9902" s="816">
        <v>0.13059660000000001</v>
      </c>
      <c r="I9902" s="816"/>
      <c r="J9902" s="817">
        <v>0.93379999999999996</v>
      </c>
      <c r="K9902" s="817"/>
      <c r="L9902" s="817"/>
    </row>
    <row r="9903" spans="1:12" ht="24" customHeight="1">
      <c r="A9903" s="636"/>
      <c r="B9903" s="636"/>
      <c r="C9903" s="636"/>
      <c r="D9903" s="636"/>
      <c r="E9903" s="636"/>
      <c r="F9903" s="636"/>
      <c r="G9903" s="636"/>
      <c r="H9903" s="636"/>
      <c r="I9903" s="636"/>
      <c r="J9903" s="636" t="s">
        <v>13675</v>
      </c>
      <c r="K9903" s="636"/>
      <c r="L9903" s="636" t="s">
        <v>13847</v>
      </c>
    </row>
    <row r="9904" spans="1:12" ht="17.100000000000001" customHeight="1">
      <c r="A9904" s="802" t="s">
        <v>12720</v>
      </c>
      <c r="B9904" s="802"/>
      <c r="C9904" s="802"/>
      <c r="D9904" s="802"/>
      <c r="E9904" s="802"/>
      <c r="F9904" s="802"/>
      <c r="G9904" s="802"/>
      <c r="H9904" s="802"/>
      <c r="I9904" s="612"/>
      <c r="J9904" s="612"/>
      <c r="K9904" s="612"/>
      <c r="L9904" s="612"/>
    </row>
    <row r="9905" spans="1:12">
      <c r="A9905" s="612" t="s">
        <v>13679</v>
      </c>
      <c r="B9905" s="636" t="s">
        <v>12698</v>
      </c>
      <c r="C9905" s="612" t="s">
        <v>12699</v>
      </c>
      <c r="D9905" s="612" t="s">
        <v>12700</v>
      </c>
      <c r="E9905" s="637" t="s">
        <v>12702</v>
      </c>
      <c r="F9905" s="801" t="s">
        <v>12704</v>
      </c>
      <c r="G9905" s="801"/>
      <c r="H9905" s="801" t="s">
        <v>13678</v>
      </c>
      <c r="I9905" s="801"/>
      <c r="J9905" s="801" t="s">
        <v>12705</v>
      </c>
      <c r="K9905" s="801"/>
      <c r="L9905" s="801"/>
    </row>
    <row r="9906" spans="1:12" ht="17.100000000000001" customHeight="1">
      <c r="A9906" s="626" t="s">
        <v>12709</v>
      </c>
      <c r="B9906" s="627" t="s">
        <v>13370</v>
      </c>
      <c r="C9906" s="626" t="s">
        <v>8</v>
      </c>
      <c r="D9906" s="626" t="s">
        <v>9418</v>
      </c>
      <c r="E9906" s="628" t="s">
        <v>35</v>
      </c>
      <c r="F9906" s="816" t="s">
        <v>13786</v>
      </c>
      <c r="G9906" s="816"/>
      <c r="H9906" s="816">
        <v>8.9999999999999993E-3</v>
      </c>
      <c r="I9906" s="816"/>
      <c r="J9906" s="817">
        <v>0.03</v>
      </c>
      <c r="K9906" s="817"/>
      <c r="L9906" s="817"/>
    </row>
    <row r="9907" spans="1:12" ht="24" customHeight="1">
      <c r="A9907" s="626" t="s">
        <v>12709</v>
      </c>
      <c r="B9907" s="627" t="s">
        <v>13415</v>
      </c>
      <c r="C9907" s="626" t="s">
        <v>8</v>
      </c>
      <c r="D9907" s="626" t="s">
        <v>7980</v>
      </c>
      <c r="E9907" s="628" t="s">
        <v>17</v>
      </c>
      <c r="F9907" s="816" t="s">
        <v>14532</v>
      </c>
      <c r="G9907" s="816"/>
      <c r="H9907" s="816">
        <v>1.0149999999999999</v>
      </c>
      <c r="I9907" s="816"/>
      <c r="J9907" s="817">
        <v>56.37</v>
      </c>
      <c r="K9907" s="817"/>
      <c r="L9907" s="817"/>
    </row>
    <row r="9908" spans="1:12" ht="17.100000000000001" customHeight="1">
      <c r="A9908" s="636"/>
      <c r="B9908" s="636"/>
      <c r="C9908" s="636"/>
      <c r="D9908" s="636"/>
      <c r="E9908" s="636"/>
      <c r="F9908" s="636"/>
      <c r="G9908" s="636"/>
      <c r="H9908" s="636"/>
      <c r="I9908" s="636"/>
      <c r="J9908" s="636" t="s">
        <v>13675</v>
      </c>
      <c r="K9908" s="636"/>
      <c r="L9908" s="636" t="s">
        <v>14531</v>
      </c>
    </row>
    <row r="9909" spans="1:12">
      <c r="A9909" s="802" t="s">
        <v>12722</v>
      </c>
      <c r="B9909" s="802"/>
      <c r="C9909" s="802"/>
      <c r="D9909" s="802"/>
      <c r="E9909" s="802"/>
      <c r="F9909" s="802"/>
      <c r="G9909" s="802"/>
      <c r="H9909" s="802"/>
      <c r="I9909" s="612"/>
      <c r="J9909" s="612"/>
      <c r="K9909" s="612"/>
      <c r="L9909" s="612"/>
    </row>
    <row r="9910" spans="1:12" ht="17.100000000000001" customHeight="1">
      <c r="A9910" s="612" t="s">
        <v>13679</v>
      </c>
      <c r="B9910" s="636" t="s">
        <v>12698</v>
      </c>
      <c r="C9910" s="612" t="s">
        <v>12699</v>
      </c>
      <c r="D9910" s="612" t="s">
        <v>12700</v>
      </c>
      <c r="E9910" s="637" t="s">
        <v>12702</v>
      </c>
      <c r="F9910" s="801" t="s">
        <v>12704</v>
      </c>
      <c r="G9910" s="801"/>
      <c r="H9910" s="801" t="s">
        <v>13678</v>
      </c>
      <c r="I9910" s="801"/>
      <c r="J9910" s="801" t="s">
        <v>12705</v>
      </c>
      <c r="K9910" s="801"/>
      <c r="L9910" s="801"/>
    </row>
    <row r="9911" spans="1:12" ht="24" customHeight="1">
      <c r="A9911" s="626" t="s">
        <v>12709</v>
      </c>
      <c r="B9911" s="627" t="s">
        <v>12998</v>
      </c>
      <c r="C9911" s="626" t="s">
        <v>8</v>
      </c>
      <c r="D9911" s="626" t="s">
        <v>11861</v>
      </c>
      <c r="E9911" s="628" t="s">
        <v>23</v>
      </c>
      <c r="F9911" s="816" t="s">
        <v>13683</v>
      </c>
      <c r="G9911" s="816"/>
      <c r="H9911" s="816">
        <v>0.2547585</v>
      </c>
      <c r="I9911" s="816"/>
      <c r="J9911" s="817">
        <v>0.18090000000000001</v>
      </c>
      <c r="K9911" s="817"/>
      <c r="L9911" s="817"/>
    </row>
    <row r="9912" spans="1:12" ht="24" customHeight="1">
      <c r="A9912" s="636"/>
      <c r="B9912" s="636"/>
      <c r="C9912" s="636"/>
      <c r="D9912" s="636"/>
      <c r="E9912" s="636"/>
      <c r="F9912" s="636"/>
      <c r="G9912" s="636"/>
      <c r="H9912" s="636"/>
      <c r="I9912" s="636"/>
      <c r="J9912" s="636" t="s">
        <v>13675</v>
      </c>
      <c r="K9912" s="636"/>
      <c r="L9912" s="636" t="s">
        <v>13682</v>
      </c>
    </row>
    <row r="9913" spans="1:12" ht="17.100000000000001" customHeight="1">
      <c r="A9913" s="802" t="s">
        <v>12713</v>
      </c>
      <c r="B9913" s="802"/>
      <c r="C9913" s="802"/>
      <c r="D9913" s="802"/>
      <c r="E9913" s="802"/>
      <c r="F9913" s="802"/>
      <c r="G9913" s="802"/>
      <c r="H9913" s="802"/>
      <c r="I9913" s="612"/>
      <c r="J9913" s="612"/>
      <c r="K9913" s="612"/>
      <c r="L9913" s="612"/>
    </row>
    <row r="9914" spans="1:12" ht="17.100000000000001" customHeight="1">
      <c r="A9914" s="612" t="s">
        <v>13679</v>
      </c>
      <c r="B9914" s="636" t="s">
        <v>12698</v>
      </c>
      <c r="C9914" s="612" t="s">
        <v>12699</v>
      </c>
      <c r="D9914" s="612" t="s">
        <v>12700</v>
      </c>
      <c r="E9914" s="637" t="s">
        <v>12702</v>
      </c>
      <c r="F9914" s="801" t="s">
        <v>12704</v>
      </c>
      <c r="G9914" s="801"/>
      <c r="H9914" s="801" t="s">
        <v>13678</v>
      </c>
      <c r="I9914" s="801"/>
      <c r="J9914" s="801" t="s">
        <v>12705</v>
      </c>
      <c r="K9914" s="801"/>
      <c r="L9914" s="801"/>
    </row>
    <row r="9915" spans="1:12" ht="17.100000000000001" customHeight="1">
      <c r="A9915" s="626" t="s">
        <v>12709</v>
      </c>
      <c r="B9915" s="627" t="s">
        <v>12999</v>
      </c>
      <c r="C9915" s="626" t="s">
        <v>8</v>
      </c>
      <c r="D9915" s="626" t="s">
        <v>11251</v>
      </c>
      <c r="E9915" s="628" t="s">
        <v>23</v>
      </c>
      <c r="F9915" s="816" t="s">
        <v>13681</v>
      </c>
      <c r="G9915" s="816"/>
      <c r="H9915" s="816">
        <v>0.2547585</v>
      </c>
      <c r="I9915" s="816"/>
      <c r="J9915" s="817">
        <v>1.78E-2</v>
      </c>
      <c r="K9915" s="817"/>
      <c r="L9915" s="817"/>
    </row>
    <row r="9916" spans="1:12" ht="17.100000000000001" customHeight="1">
      <c r="A9916" s="636"/>
      <c r="B9916" s="636"/>
      <c r="C9916" s="636"/>
      <c r="D9916" s="636"/>
      <c r="E9916" s="636"/>
      <c r="F9916" s="636"/>
      <c r="G9916" s="636"/>
      <c r="H9916" s="636"/>
      <c r="I9916" s="636"/>
      <c r="J9916" s="636" t="s">
        <v>13675</v>
      </c>
      <c r="K9916" s="636"/>
      <c r="L9916" s="636" t="s">
        <v>13680</v>
      </c>
    </row>
    <row r="9917" spans="1:12" ht="17.100000000000001" customHeight="1">
      <c r="A9917" s="802" t="s">
        <v>12712</v>
      </c>
      <c r="B9917" s="802"/>
      <c r="C9917" s="802"/>
      <c r="D9917" s="802"/>
      <c r="E9917" s="802"/>
      <c r="F9917" s="802"/>
      <c r="G9917" s="802"/>
      <c r="H9917" s="802"/>
      <c r="I9917" s="612"/>
      <c r="J9917" s="612"/>
      <c r="K9917" s="612"/>
      <c r="L9917" s="612"/>
    </row>
    <row r="9918" spans="1:12" ht="17.100000000000001" customHeight="1">
      <c r="A9918" s="612" t="s">
        <v>13679</v>
      </c>
      <c r="B9918" s="636" t="s">
        <v>12698</v>
      </c>
      <c r="C9918" s="612" t="s">
        <v>12699</v>
      </c>
      <c r="D9918" s="612" t="s">
        <v>12700</v>
      </c>
      <c r="E9918" s="637" t="s">
        <v>12702</v>
      </c>
      <c r="F9918" s="801" t="s">
        <v>12704</v>
      </c>
      <c r="G9918" s="801"/>
      <c r="H9918" s="801" t="s">
        <v>13678</v>
      </c>
      <c r="I9918" s="801"/>
      <c r="J9918" s="801" t="s">
        <v>12705</v>
      </c>
      <c r="K9918" s="801"/>
      <c r="L9918" s="801"/>
    </row>
    <row r="9919" spans="1:12" ht="17.100000000000001" customHeight="1">
      <c r="A9919" s="626" t="s">
        <v>12709</v>
      </c>
      <c r="B9919" s="627" t="s">
        <v>13002</v>
      </c>
      <c r="C9919" s="626" t="s">
        <v>8</v>
      </c>
      <c r="D9919" s="626" t="s">
        <v>9306</v>
      </c>
      <c r="E9919" s="628" t="s">
        <v>23</v>
      </c>
      <c r="F9919" s="816" t="s">
        <v>13677</v>
      </c>
      <c r="G9919" s="816"/>
      <c r="H9919" s="816">
        <v>0.2547585</v>
      </c>
      <c r="I9919" s="816"/>
      <c r="J9919" s="817">
        <v>8.9200000000000002E-2</v>
      </c>
      <c r="K9919" s="817"/>
      <c r="L9919" s="817"/>
    </row>
    <row r="9920" spans="1:12" ht="30" customHeight="1">
      <c r="A9920" s="626" t="s">
        <v>12709</v>
      </c>
      <c r="B9920" s="627" t="s">
        <v>13004</v>
      </c>
      <c r="C9920" s="626" t="s">
        <v>8</v>
      </c>
      <c r="D9920" s="626" t="s">
        <v>7388</v>
      </c>
      <c r="E9920" s="628" t="s">
        <v>23</v>
      </c>
      <c r="F9920" s="816" t="s">
        <v>13676</v>
      </c>
      <c r="G9920" s="816"/>
      <c r="H9920" s="816">
        <v>0.2547585</v>
      </c>
      <c r="I9920" s="816"/>
      <c r="J9920" s="817">
        <v>0.5605</v>
      </c>
      <c r="K9920" s="817"/>
      <c r="L9920" s="817"/>
    </row>
    <row r="9921" spans="1:12" ht="36" customHeight="1">
      <c r="A9921" s="636"/>
      <c r="B9921" s="636"/>
      <c r="C9921" s="636"/>
      <c r="D9921" s="636"/>
      <c r="E9921" s="636"/>
      <c r="F9921" s="636"/>
      <c r="G9921" s="636"/>
      <c r="H9921" s="636"/>
      <c r="I9921" s="636"/>
      <c r="J9921" s="636" t="s">
        <v>13675</v>
      </c>
      <c r="K9921" s="636"/>
      <c r="L9921" s="636" t="s">
        <v>13738</v>
      </c>
    </row>
    <row r="9922" spans="1:12" ht="14.25" customHeight="1">
      <c r="A9922" s="612" t="s">
        <v>13673</v>
      </c>
      <c r="B9922" s="612"/>
      <c r="C9922" s="612"/>
      <c r="D9922" s="612"/>
      <c r="E9922" s="612"/>
      <c r="F9922" s="612"/>
      <c r="G9922" s="612"/>
      <c r="H9922" s="612"/>
      <c r="I9922" s="612"/>
      <c r="J9922" s="612"/>
      <c r="K9922" s="612"/>
      <c r="L9922" s="612"/>
    </row>
    <row r="9923" spans="1:12" ht="17.100000000000001" customHeight="1">
      <c r="A9923" s="636"/>
      <c r="B9923" s="636"/>
      <c r="C9923" s="636"/>
      <c r="D9923" s="636"/>
      <c r="E9923" s="636"/>
      <c r="F9923" s="636"/>
      <c r="G9923" s="636"/>
      <c r="H9923" s="636"/>
      <c r="I9923" s="636"/>
      <c r="J9923" s="636" t="s">
        <v>13672</v>
      </c>
      <c r="K9923" s="636"/>
      <c r="L9923" s="636" t="s">
        <v>15669</v>
      </c>
    </row>
    <row r="9924" spans="1:12" ht="24" customHeight="1">
      <c r="A9924" s="636"/>
      <c r="B9924" s="636"/>
      <c r="C9924" s="636"/>
      <c r="D9924" s="636"/>
      <c r="E9924" s="636"/>
      <c r="F9924" s="636"/>
      <c r="G9924" s="636"/>
      <c r="H9924" s="636"/>
      <c r="I9924" s="636"/>
      <c r="J9924" s="636" t="s">
        <v>13671</v>
      </c>
      <c r="K9924" s="636" t="s">
        <v>14461</v>
      </c>
      <c r="L9924" s="636" t="s">
        <v>15670</v>
      </c>
    </row>
    <row r="9925" spans="1:12" ht="24" customHeight="1">
      <c r="A9925" s="636"/>
      <c r="B9925" s="636"/>
      <c r="C9925" s="636"/>
      <c r="D9925" s="636"/>
      <c r="E9925" s="636"/>
      <c r="F9925" s="636"/>
      <c r="G9925" s="636"/>
      <c r="H9925" s="636"/>
      <c r="I9925" s="636"/>
      <c r="J9925" s="636" t="s">
        <v>13670</v>
      </c>
      <c r="K9925" s="636"/>
      <c r="L9925" s="636" t="s">
        <v>15671</v>
      </c>
    </row>
    <row r="9926" spans="1:12" ht="24" customHeight="1">
      <c r="A9926" s="636"/>
      <c r="B9926" s="636"/>
      <c r="C9926" s="636"/>
      <c r="D9926" s="636"/>
      <c r="E9926" s="636"/>
      <c r="F9926" s="636"/>
      <c r="G9926" s="636"/>
      <c r="H9926" s="636"/>
      <c r="I9926" s="636"/>
      <c r="J9926" s="636" t="s">
        <v>13669</v>
      </c>
      <c r="K9926" s="636" t="s">
        <v>13667</v>
      </c>
      <c r="L9926" s="636" t="s">
        <v>15672</v>
      </c>
    </row>
    <row r="9927" spans="1:12" ht="24" customHeight="1">
      <c r="A9927" s="636"/>
      <c r="B9927" s="636"/>
      <c r="C9927" s="636"/>
      <c r="D9927" s="636"/>
      <c r="E9927" s="636"/>
      <c r="F9927" s="636"/>
      <c r="G9927" s="636"/>
      <c r="H9927" s="636"/>
      <c r="I9927" s="636"/>
      <c r="J9927" s="636" t="s">
        <v>13668</v>
      </c>
      <c r="K9927" s="636"/>
      <c r="L9927" s="636" t="s">
        <v>15673</v>
      </c>
    </row>
    <row r="9928" spans="1:12" ht="17.100000000000001" customHeight="1">
      <c r="A9928" s="637"/>
      <c r="B9928" s="637"/>
      <c r="C9928" s="637"/>
      <c r="D9928" s="637"/>
      <c r="E9928" s="637"/>
      <c r="F9928" s="637"/>
      <c r="G9928" s="637"/>
      <c r="H9928" s="637"/>
      <c r="I9928" s="637"/>
      <c r="J9928" s="637"/>
      <c r="K9928" s="637"/>
      <c r="L9928" s="637"/>
    </row>
    <row r="9929" spans="1:12" ht="14.25" customHeight="1">
      <c r="A9929" s="616" t="s">
        <v>13828</v>
      </c>
      <c r="B9929" s="617" t="s">
        <v>13369</v>
      </c>
      <c r="C9929" s="616" t="s">
        <v>8</v>
      </c>
      <c r="D9929" s="616" t="s">
        <v>5652</v>
      </c>
      <c r="E9929" s="618" t="s">
        <v>17</v>
      </c>
      <c r="F9929" s="617"/>
      <c r="G9929" s="617"/>
      <c r="H9929" s="617"/>
      <c r="I9929" s="617"/>
      <c r="J9929" s="617"/>
      <c r="K9929" s="617"/>
      <c r="L9929" s="617"/>
    </row>
    <row r="9930" spans="1:12" ht="17.100000000000001" customHeight="1">
      <c r="A9930" s="802" t="s">
        <v>12711</v>
      </c>
      <c r="B9930" s="802"/>
      <c r="C9930" s="802"/>
      <c r="D9930" s="802"/>
      <c r="E9930" s="802"/>
      <c r="F9930" s="802"/>
      <c r="G9930" s="802"/>
      <c r="H9930" s="802"/>
      <c r="I9930" s="612"/>
      <c r="J9930" s="612"/>
      <c r="K9930" s="612"/>
      <c r="L9930" s="612"/>
    </row>
    <row r="9931" spans="1:12" ht="24" customHeight="1">
      <c r="A9931" s="612" t="s">
        <v>13679</v>
      </c>
      <c r="B9931" s="636" t="s">
        <v>12698</v>
      </c>
      <c r="C9931" s="612" t="s">
        <v>12699</v>
      </c>
      <c r="D9931" s="612" t="s">
        <v>12700</v>
      </c>
      <c r="E9931" s="637" t="s">
        <v>12702</v>
      </c>
      <c r="F9931" s="801" t="s">
        <v>12704</v>
      </c>
      <c r="G9931" s="801"/>
      <c r="H9931" s="801" t="s">
        <v>13678</v>
      </c>
      <c r="I9931" s="801"/>
      <c r="J9931" s="801" t="s">
        <v>12705</v>
      </c>
      <c r="K9931" s="801"/>
      <c r="L9931" s="801"/>
    </row>
    <row r="9932" spans="1:12" ht="24" customHeight="1">
      <c r="A9932" s="626" t="s">
        <v>12709</v>
      </c>
      <c r="B9932" s="627" t="s">
        <v>13134</v>
      </c>
      <c r="C9932" s="626" t="s">
        <v>8</v>
      </c>
      <c r="D9932" s="626" t="s">
        <v>9219</v>
      </c>
      <c r="E9932" s="628" t="s">
        <v>23</v>
      </c>
      <c r="F9932" s="816" t="s">
        <v>13782</v>
      </c>
      <c r="G9932" s="816"/>
      <c r="H9932" s="816">
        <v>0.4581501</v>
      </c>
      <c r="I9932" s="816"/>
      <c r="J9932" s="817">
        <v>0.42609999999999998</v>
      </c>
      <c r="K9932" s="817"/>
      <c r="L9932" s="817"/>
    </row>
    <row r="9933" spans="1:12" ht="24" customHeight="1">
      <c r="A9933" s="626" t="s">
        <v>12709</v>
      </c>
      <c r="B9933" s="627" t="s">
        <v>13133</v>
      </c>
      <c r="C9933" s="626" t="s">
        <v>8</v>
      </c>
      <c r="D9933" s="626" t="s">
        <v>9366</v>
      </c>
      <c r="E9933" s="628" t="s">
        <v>23</v>
      </c>
      <c r="F9933" s="816" t="s">
        <v>13781</v>
      </c>
      <c r="G9933" s="816"/>
      <c r="H9933" s="816">
        <v>0.4581501</v>
      </c>
      <c r="I9933" s="816"/>
      <c r="J9933" s="817">
        <v>0.252</v>
      </c>
      <c r="K9933" s="817"/>
      <c r="L9933" s="817"/>
    </row>
    <row r="9934" spans="1:12" ht="24" customHeight="1">
      <c r="A9934" s="636"/>
      <c r="B9934" s="636"/>
      <c r="C9934" s="636"/>
      <c r="D9934" s="636"/>
      <c r="E9934" s="636"/>
      <c r="F9934" s="636"/>
      <c r="G9934" s="636"/>
      <c r="H9934" s="636"/>
      <c r="I9934" s="636"/>
      <c r="J9934" s="636" t="s">
        <v>13675</v>
      </c>
      <c r="K9934" s="636"/>
      <c r="L9934" s="636" t="s">
        <v>13827</v>
      </c>
    </row>
    <row r="9935" spans="1:12" ht="17.100000000000001" customHeight="1">
      <c r="A9935" s="802" t="s">
        <v>12710</v>
      </c>
      <c r="B9935" s="802"/>
      <c r="C9935" s="802"/>
      <c r="D9935" s="802"/>
      <c r="E9935" s="802"/>
      <c r="F9935" s="802"/>
      <c r="G9935" s="802"/>
      <c r="H9935" s="802"/>
      <c r="I9935" s="612"/>
      <c r="J9935" s="612"/>
      <c r="K9935" s="612"/>
      <c r="L9935" s="612"/>
    </row>
    <row r="9936" spans="1:12">
      <c r="A9936" s="612" t="s">
        <v>13679</v>
      </c>
      <c r="B9936" s="636" t="s">
        <v>12698</v>
      </c>
      <c r="C9936" s="612" t="s">
        <v>12699</v>
      </c>
      <c r="D9936" s="612" t="s">
        <v>12700</v>
      </c>
      <c r="E9936" s="637" t="s">
        <v>12702</v>
      </c>
      <c r="F9936" s="801" t="s">
        <v>12704</v>
      </c>
      <c r="G9936" s="801"/>
      <c r="H9936" s="801" t="s">
        <v>13678</v>
      </c>
      <c r="I9936" s="801"/>
      <c r="J9936" s="801" t="s">
        <v>12705</v>
      </c>
      <c r="K9936" s="801"/>
      <c r="L9936" s="801"/>
    </row>
    <row r="9937" spans="1:12" ht="17.100000000000001" customHeight="1">
      <c r="A9937" s="626" t="s">
        <v>12709</v>
      </c>
      <c r="B9937" s="627" t="s">
        <v>13222</v>
      </c>
      <c r="C9937" s="626" t="s">
        <v>8</v>
      </c>
      <c r="D9937" s="626" t="s">
        <v>7364</v>
      </c>
      <c r="E9937" s="628" t="s">
        <v>23</v>
      </c>
      <c r="F9937" s="816" t="s">
        <v>13808</v>
      </c>
      <c r="G9937" s="816"/>
      <c r="H9937" s="816">
        <v>0.23542930000000001</v>
      </c>
      <c r="I9937" s="816"/>
      <c r="J9937" s="817">
        <v>1.1819</v>
      </c>
      <c r="K9937" s="817"/>
      <c r="L9937" s="817"/>
    </row>
    <row r="9938" spans="1:12" ht="24" customHeight="1">
      <c r="A9938" s="626" t="s">
        <v>12709</v>
      </c>
      <c r="B9938" s="627" t="s">
        <v>13204</v>
      </c>
      <c r="C9938" s="626" t="s">
        <v>8</v>
      </c>
      <c r="D9938" s="626" t="s">
        <v>9112</v>
      </c>
      <c r="E9938" s="628" t="s">
        <v>23</v>
      </c>
      <c r="F9938" s="816" t="s">
        <v>14479</v>
      </c>
      <c r="G9938" s="816"/>
      <c r="H9938" s="816">
        <v>0.23542930000000001</v>
      </c>
      <c r="I9938" s="816"/>
      <c r="J9938" s="817">
        <v>1.6833</v>
      </c>
      <c r="K9938" s="817"/>
      <c r="L9938" s="817"/>
    </row>
    <row r="9939" spans="1:12" ht="24" customHeight="1">
      <c r="A9939" s="636"/>
      <c r="B9939" s="636"/>
      <c r="C9939" s="636"/>
      <c r="D9939" s="636"/>
      <c r="E9939" s="636"/>
      <c r="F9939" s="636"/>
      <c r="G9939" s="636"/>
      <c r="H9939" s="636"/>
      <c r="I9939" s="636"/>
      <c r="J9939" s="636" t="s">
        <v>13675</v>
      </c>
      <c r="K9939" s="636"/>
      <c r="L9939" s="636" t="s">
        <v>14539</v>
      </c>
    </row>
    <row r="9940" spans="1:12" ht="17.100000000000001" customHeight="1">
      <c r="A9940" s="802" t="s">
        <v>12720</v>
      </c>
      <c r="B9940" s="802"/>
      <c r="C9940" s="802"/>
      <c r="D9940" s="802"/>
      <c r="E9940" s="802"/>
      <c r="F9940" s="802"/>
      <c r="G9940" s="802"/>
      <c r="H9940" s="802"/>
      <c r="I9940" s="612"/>
      <c r="J9940" s="612"/>
      <c r="K9940" s="612"/>
      <c r="L9940" s="612"/>
    </row>
    <row r="9941" spans="1:12">
      <c r="A9941" s="612" t="s">
        <v>13679</v>
      </c>
      <c r="B9941" s="636" t="s">
        <v>12698</v>
      </c>
      <c r="C9941" s="612" t="s">
        <v>12699</v>
      </c>
      <c r="D9941" s="612" t="s">
        <v>12700</v>
      </c>
      <c r="E9941" s="637" t="s">
        <v>12702</v>
      </c>
      <c r="F9941" s="801" t="s">
        <v>12704</v>
      </c>
      <c r="G9941" s="801"/>
      <c r="H9941" s="801" t="s">
        <v>13678</v>
      </c>
      <c r="I9941" s="801"/>
      <c r="J9941" s="801" t="s">
        <v>12705</v>
      </c>
      <c r="K9941" s="801"/>
      <c r="L9941" s="801"/>
    </row>
    <row r="9942" spans="1:12" ht="17.100000000000001" customHeight="1">
      <c r="A9942" s="626" t="s">
        <v>12709</v>
      </c>
      <c r="B9942" s="627" t="s">
        <v>13368</v>
      </c>
      <c r="C9942" s="626" t="s">
        <v>8</v>
      </c>
      <c r="D9942" s="626" t="s">
        <v>9166</v>
      </c>
      <c r="E9942" s="628" t="s">
        <v>17</v>
      </c>
      <c r="F9942" s="816" t="s">
        <v>13825</v>
      </c>
      <c r="G9942" s="816"/>
      <c r="H9942" s="816">
        <v>1.1000000000000001</v>
      </c>
      <c r="I9942" s="816"/>
      <c r="J9942" s="817">
        <v>11.18</v>
      </c>
      <c r="K9942" s="817"/>
      <c r="L9942" s="817"/>
    </row>
    <row r="9943" spans="1:12" ht="24" customHeight="1">
      <c r="A9943" s="636"/>
      <c r="B9943" s="636"/>
      <c r="C9943" s="636"/>
      <c r="D9943" s="636"/>
      <c r="E9943" s="636"/>
      <c r="F9943" s="636"/>
      <c r="G9943" s="636"/>
      <c r="H9943" s="636"/>
      <c r="I9943" s="636"/>
      <c r="J9943" s="636" t="s">
        <v>13675</v>
      </c>
      <c r="K9943" s="636"/>
      <c r="L9943" s="636" t="s">
        <v>13824</v>
      </c>
    </row>
    <row r="9944" spans="1:12" ht="17.100000000000001" customHeight="1">
      <c r="A9944" s="802" t="s">
        <v>12722</v>
      </c>
      <c r="B9944" s="802"/>
      <c r="C9944" s="802"/>
      <c r="D9944" s="802"/>
      <c r="E9944" s="802"/>
      <c r="F9944" s="802"/>
      <c r="G9944" s="802"/>
      <c r="H9944" s="802"/>
      <c r="I9944" s="612"/>
      <c r="J9944" s="612"/>
      <c r="K9944" s="612"/>
      <c r="L9944" s="612"/>
    </row>
    <row r="9945" spans="1:12">
      <c r="A9945" s="612" t="s">
        <v>13679</v>
      </c>
      <c r="B9945" s="636" t="s">
        <v>12698</v>
      </c>
      <c r="C9945" s="612" t="s">
        <v>12699</v>
      </c>
      <c r="D9945" s="612" t="s">
        <v>12700</v>
      </c>
      <c r="E9945" s="637" t="s">
        <v>12702</v>
      </c>
      <c r="F9945" s="801" t="s">
        <v>12704</v>
      </c>
      <c r="G9945" s="801"/>
      <c r="H9945" s="801" t="s">
        <v>13678</v>
      </c>
      <c r="I9945" s="801"/>
      <c r="J9945" s="801" t="s">
        <v>12705</v>
      </c>
      <c r="K9945" s="801"/>
      <c r="L9945" s="801"/>
    </row>
    <row r="9946" spans="1:12" ht="17.100000000000001" customHeight="1">
      <c r="A9946" s="626" t="s">
        <v>12709</v>
      </c>
      <c r="B9946" s="627" t="s">
        <v>12998</v>
      </c>
      <c r="C9946" s="626" t="s">
        <v>8</v>
      </c>
      <c r="D9946" s="626" t="s">
        <v>11861</v>
      </c>
      <c r="E9946" s="628" t="s">
        <v>23</v>
      </c>
      <c r="F9946" s="816" t="s">
        <v>13683</v>
      </c>
      <c r="G9946" s="816"/>
      <c r="H9946" s="816">
        <v>0.4581501</v>
      </c>
      <c r="I9946" s="816"/>
      <c r="J9946" s="817">
        <v>0.32529999999999998</v>
      </c>
      <c r="K9946" s="817"/>
      <c r="L9946" s="817"/>
    </row>
    <row r="9947" spans="1:12" ht="24" customHeight="1">
      <c r="A9947" s="636"/>
      <c r="B9947" s="636"/>
      <c r="C9947" s="636"/>
      <c r="D9947" s="636"/>
      <c r="E9947" s="636"/>
      <c r="F9947" s="636"/>
      <c r="G9947" s="636"/>
      <c r="H9947" s="636"/>
      <c r="I9947" s="636"/>
      <c r="J9947" s="636" t="s">
        <v>13675</v>
      </c>
      <c r="K9947" s="636"/>
      <c r="L9947" s="636" t="s">
        <v>13823</v>
      </c>
    </row>
    <row r="9948" spans="1:12" ht="17.100000000000001" customHeight="1">
      <c r="A9948" s="802" t="s">
        <v>12713</v>
      </c>
      <c r="B9948" s="802"/>
      <c r="C9948" s="802"/>
      <c r="D9948" s="802"/>
      <c r="E9948" s="802"/>
      <c r="F9948" s="802"/>
      <c r="G9948" s="802"/>
      <c r="H9948" s="802"/>
      <c r="I9948" s="612"/>
      <c r="J9948" s="612"/>
      <c r="K9948" s="612"/>
      <c r="L9948" s="612"/>
    </row>
    <row r="9949" spans="1:12">
      <c r="A9949" s="612" t="s">
        <v>13679</v>
      </c>
      <c r="B9949" s="636" t="s">
        <v>12698</v>
      </c>
      <c r="C9949" s="612" t="s">
        <v>12699</v>
      </c>
      <c r="D9949" s="612" t="s">
        <v>12700</v>
      </c>
      <c r="E9949" s="637" t="s">
        <v>12702</v>
      </c>
      <c r="F9949" s="801" t="s">
        <v>12704</v>
      </c>
      <c r="G9949" s="801"/>
      <c r="H9949" s="801" t="s">
        <v>13678</v>
      </c>
      <c r="I9949" s="801"/>
      <c r="J9949" s="801" t="s">
        <v>12705</v>
      </c>
      <c r="K9949" s="801"/>
      <c r="L9949" s="801"/>
    </row>
    <row r="9950" spans="1:12" ht="17.100000000000001" customHeight="1">
      <c r="A9950" s="626" t="s">
        <v>12709</v>
      </c>
      <c r="B9950" s="627" t="s">
        <v>12999</v>
      </c>
      <c r="C9950" s="626" t="s">
        <v>8</v>
      </c>
      <c r="D9950" s="626" t="s">
        <v>11251</v>
      </c>
      <c r="E9950" s="628" t="s">
        <v>23</v>
      </c>
      <c r="F9950" s="816" t="s">
        <v>13681</v>
      </c>
      <c r="G9950" s="816"/>
      <c r="H9950" s="816">
        <v>0.4581501</v>
      </c>
      <c r="I9950" s="816"/>
      <c r="J9950" s="817">
        <v>3.2099999999999997E-2</v>
      </c>
      <c r="K9950" s="817"/>
      <c r="L9950" s="817"/>
    </row>
    <row r="9951" spans="1:12" ht="24" customHeight="1">
      <c r="A9951" s="636"/>
      <c r="B9951" s="636"/>
      <c r="C9951" s="636"/>
      <c r="D9951" s="636"/>
      <c r="E9951" s="636"/>
      <c r="F9951" s="636"/>
      <c r="G9951" s="636"/>
      <c r="H9951" s="636"/>
      <c r="I9951" s="636"/>
      <c r="J9951" s="636" t="s">
        <v>13675</v>
      </c>
      <c r="K9951" s="636"/>
      <c r="L9951" s="636" t="s">
        <v>13726</v>
      </c>
    </row>
    <row r="9952" spans="1:12" ht="24" customHeight="1">
      <c r="A9952" s="802" t="s">
        <v>12712</v>
      </c>
      <c r="B9952" s="802"/>
      <c r="C9952" s="802"/>
      <c r="D9952" s="802"/>
      <c r="E9952" s="802"/>
      <c r="F9952" s="802"/>
      <c r="G9952" s="802"/>
      <c r="H9952" s="802"/>
      <c r="I9952" s="612"/>
      <c r="J9952" s="612"/>
      <c r="K9952" s="612"/>
      <c r="L9952" s="612"/>
    </row>
    <row r="9953" spans="1:12" ht="17.100000000000001" customHeight="1">
      <c r="A9953" s="612" t="s">
        <v>13679</v>
      </c>
      <c r="B9953" s="636" t="s">
        <v>12698</v>
      </c>
      <c r="C9953" s="612" t="s">
        <v>12699</v>
      </c>
      <c r="D9953" s="612" t="s">
        <v>12700</v>
      </c>
      <c r="E9953" s="637" t="s">
        <v>12702</v>
      </c>
      <c r="F9953" s="801" t="s">
        <v>12704</v>
      </c>
      <c r="G9953" s="801"/>
      <c r="H9953" s="801" t="s">
        <v>13678</v>
      </c>
      <c r="I9953" s="801"/>
      <c r="J9953" s="801" t="s">
        <v>12705</v>
      </c>
      <c r="K9953" s="801"/>
      <c r="L9953" s="801"/>
    </row>
    <row r="9954" spans="1:12" ht="17.100000000000001" customHeight="1">
      <c r="A9954" s="626" t="s">
        <v>12709</v>
      </c>
      <c r="B9954" s="627" t="s">
        <v>13002</v>
      </c>
      <c r="C9954" s="626" t="s">
        <v>8</v>
      </c>
      <c r="D9954" s="626" t="s">
        <v>9306</v>
      </c>
      <c r="E9954" s="628" t="s">
        <v>23</v>
      </c>
      <c r="F9954" s="816" t="s">
        <v>13677</v>
      </c>
      <c r="G9954" s="816"/>
      <c r="H9954" s="816">
        <v>0.4581501</v>
      </c>
      <c r="I9954" s="816"/>
      <c r="J9954" s="817">
        <v>0.16039999999999999</v>
      </c>
      <c r="K9954" s="817"/>
      <c r="L9954" s="817"/>
    </row>
    <row r="9955" spans="1:12" ht="17.100000000000001" customHeight="1">
      <c r="A9955" s="626" t="s">
        <v>12709</v>
      </c>
      <c r="B9955" s="627" t="s">
        <v>13004</v>
      </c>
      <c r="C9955" s="626" t="s">
        <v>8</v>
      </c>
      <c r="D9955" s="626" t="s">
        <v>7388</v>
      </c>
      <c r="E9955" s="628" t="s">
        <v>23</v>
      </c>
      <c r="F9955" s="816" t="s">
        <v>13676</v>
      </c>
      <c r="G9955" s="816"/>
      <c r="H9955" s="816">
        <v>0.4581501</v>
      </c>
      <c r="I9955" s="816"/>
      <c r="J9955" s="817">
        <v>1.0079</v>
      </c>
      <c r="K9955" s="817"/>
      <c r="L9955" s="817"/>
    </row>
    <row r="9956" spans="1:12" ht="17.100000000000001" customHeight="1">
      <c r="A9956" s="636"/>
      <c r="B9956" s="636"/>
      <c r="C9956" s="636"/>
      <c r="D9956" s="636"/>
      <c r="E9956" s="636"/>
      <c r="F9956" s="636"/>
      <c r="G9956" s="636"/>
      <c r="H9956" s="636"/>
      <c r="I9956" s="636"/>
      <c r="J9956" s="636" t="s">
        <v>13675</v>
      </c>
      <c r="K9956" s="636"/>
      <c r="L9956" s="636" t="s">
        <v>13712</v>
      </c>
    </row>
    <row r="9957" spans="1:12" ht="17.100000000000001" customHeight="1">
      <c r="A9957" s="612" t="s">
        <v>13673</v>
      </c>
      <c r="B9957" s="612"/>
      <c r="C9957" s="612"/>
      <c r="D9957" s="612"/>
      <c r="E9957" s="612"/>
      <c r="F9957" s="612"/>
      <c r="G9957" s="612"/>
      <c r="H9957" s="612"/>
      <c r="I9957" s="612"/>
      <c r="J9957" s="612"/>
      <c r="K9957" s="612"/>
      <c r="L9957" s="612"/>
    </row>
    <row r="9958" spans="1:12" ht="17.100000000000001" customHeight="1">
      <c r="A9958" s="636"/>
      <c r="B9958" s="636"/>
      <c r="C9958" s="636"/>
      <c r="D9958" s="636"/>
      <c r="E9958" s="636"/>
      <c r="F9958" s="636"/>
      <c r="G9958" s="636"/>
      <c r="H9958" s="636"/>
      <c r="I9958" s="636"/>
      <c r="J9958" s="636" t="s">
        <v>13672</v>
      </c>
      <c r="K9958" s="636"/>
      <c r="L9958" s="636" t="s">
        <v>15674</v>
      </c>
    </row>
    <row r="9959" spans="1:12" ht="17.100000000000001" customHeight="1">
      <c r="A9959" s="636"/>
      <c r="B9959" s="636"/>
      <c r="C9959" s="636"/>
      <c r="D9959" s="636"/>
      <c r="E9959" s="636"/>
      <c r="F9959" s="636"/>
      <c r="G9959" s="636"/>
      <c r="H9959" s="636"/>
      <c r="I9959" s="636"/>
      <c r="J9959" s="636" t="s">
        <v>13671</v>
      </c>
      <c r="K9959" s="636" t="s">
        <v>14461</v>
      </c>
      <c r="L9959" s="636" t="s">
        <v>15675</v>
      </c>
    </row>
    <row r="9960" spans="1:12" ht="30" customHeight="1">
      <c r="A9960" s="636"/>
      <c r="B9960" s="636"/>
      <c r="C9960" s="636"/>
      <c r="D9960" s="636"/>
      <c r="E9960" s="636"/>
      <c r="F9960" s="636"/>
      <c r="G9960" s="636"/>
      <c r="H9960" s="636"/>
      <c r="I9960" s="636"/>
      <c r="J9960" s="636" t="s">
        <v>13670</v>
      </c>
      <c r="K9960" s="636"/>
      <c r="L9960" s="636" t="s">
        <v>15676</v>
      </c>
    </row>
    <row r="9961" spans="1:12" ht="36" customHeight="1">
      <c r="A9961" s="636"/>
      <c r="B9961" s="636"/>
      <c r="C9961" s="636"/>
      <c r="D9961" s="636"/>
      <c r="E9961" s="636"/>
      <c r="F9961" s="636"/>
      <c r="G9961" s="636"/>
      <c r="H9961" s="636"/>
      <c r="I9961" s="636"/>
      <c r="J9961" s="636" t="s">
        <v>13669</v>
      </c>
      <c r="K9961" s="636" t="s">
        <v>13667</v>
      </c>
      <c r="L9961" s="636" t="s">
        <v>15677</v>
      </c>
    </row>
    <row r="9962" spans="1:12" ht="14.25" customHeight="1">
      <c r="A9962" s="636"/>
      <c r="B9962" s="636"/>
      <c r="C9962" s="636"/>
      <c r="D9962" s="636"/>
      <c r="E9962" s="636"/>
      <c r="F9962" s="636"/>
      <c r="G9962" s="636"/>
      <c r="H9962" s="636"/>
      <c r="I9962" s="636"/>
      <c r="J9962" s="636" t="s">
        <v>13668</v>
      </c>
      <c r="K9962" s="636"/>
      <c r="L9962" s="636" t="s">
        <v>15678</v>
      </c>
    </row>
    <row r="9963" spans="1:12" ht="17.100000000000001" customHeight="1">
      <c r="A9963" s="637"/>
      <c r="B9963" s="637"/>
      <c r="C9963" s="637"/>
      <c r="D9963" s="637"/>
      <c r="E9963" s="637"/>
      <c r="F9963" s="637"/>
      <c r="G9963" s="637"/>
      <c r="H9963" s="637"/>
      <c r="I9963" s="637"/>
      <c r="J9963" s="637"/>
      <c r="K9963" s="637"/>
      <c r="L9963" s="637"/>
    </row>
    <row r="9964" spans="1:12" ht="60" customHeight="1">
      <c r="A9964" s="616" t="s">
        <v>13822</v>
      </c>
      <c r="B9964" s="617" t="s">
        <v>13431</v>
      </c>
      <c r="C9964" s="616" t="s">
        <v>8</v>
      </c>
      <c r="D9964" s="616" t="s">
        <v>4892</v>
      </c>
      <c r="E9964" s="618" t="s">
        <v>35</v>
      </c>
      <c r="F9964" s="617"/>
      <c r="G9964" s="617"/>
      <c r="H9964" s="617"/>
      <c r="I9964" s="617"/>
      <c r="J9964" s="617"/>
      <c r="K9964" s="617"/>
      <c r="L9964" s="617"/>
    </row>
    <row r="9965" spans="1:12" ht="24" customHeight="1">
      <c r="A9965" s="802" t="s">
        <v>12711</v>
      </c>
      <c r="B9965" s="802"/>
      <c r="C9965" s="802"/>
      <c r="D9965" s="802"/>
      <c r="E9965" s="802"/>
      <c r="F9965" s="802"/>
      <c r="G9965" s="802"/>
      <c r="H9965" s="802"/>
      <c r="I9965" s="612"/>
      <c r="J9965" s="612"/>
      <c r="K9965" s="612"/>
      <c r="L9965" s="612"/>
    </row>
    <row r="9966" spans="1:12" ht="24" customHeight="1">
      <c r="A9966" s="612" t="s">
        <v>13679</v>
      </c>
      <c r="B9966" s="636" t="s">
        <v>12698</v>
      </c>
      <c r="C9966" s="612" t="s">
        <v>12699</v>
      </c>
      <c r="D9966" s="612" t="s">
        <v>12700</v>
      </c>
      <c r="E9966" s="637" t="s">
        <v>12702</v>
      </c>
      <c r="F9966" s="801" t="s">
        <v>12704</v>
      </c>
      <c r="G9966" s="801"/>
      <c r="H9966" s="801" t="s">
        <v>13678</v>
      </c>
      <c r="I9966" s="801"/>
      <c r="J9966" s="801" t="s">
        <v>12705</v>
      </c>
      <c r="K9966" s="801"/>
      <c r="L9966" s="801"/>
    </row>
    <row r="9967" spans="1:12" ht="24" customHeight="1">
      <c r="A9967" s="626" t="s">
        <v>12709</v>
      </c>
      <c r="B9967" s="627" t="s">
        <v>13064</v>
      </c>
      <c r="C9967" s="626" t="s">
        <v>8</v>
      </c>
      <c r="D9967" s="626" t="s">
        <v>11184</v>
      </c>
      <c r="E9967" s="628" t="s">
        <v>35</v>
      </c>
      <c r="F9967" s="816" t="s">
        <v>13801</v>
      </c>
      <c r="G9967" s="816"/>
      <c r="H9967" s="816">
        <v>7.7999999999999999E-6</v>
      </c>
      <c r="I9967" s="816"/>
      <c r="J9967" s="817">
        <v>1.9202999999999999</v>
      </c>
      <c r="K9967" s="817"/>
      <c r="L9967" s="817"/>
    </row>
    <row r="9968" spans="1:12" ht="24" customHeight="1">
      <c r="A9968" s="626" t="s">
        <v>12709</v>
      </c>
      <c r="B9968" s="627" t="s">
        <v>13003</v>
      </c>
      <c r="C9968" s="626" t="s">
        <v>8</v>
      </c>
      <c r="D9968" s="626" t="s">
        <v>9227</v>
      </c>
      <c r="E9968" s="628" t="s">
        <v>23</v>
      </c>
      <c r="F9968" s="816" t="s">
        <v>13732</v>
      </c>
      <c r="G9968" s="816"/>
      <c r="H9968" s="816">
        <v>0.41492180000000001</v>
      </c>
      <c r="I9968" s="816"/>
      <c r="J9968" s="817">
        <v>0.27379999999999999</v>
      </c>
      <c r="K9968" s="817"/>
      <c r="L9968" s="817"/>
    </row>
    <row r="9969" spans="1:12" ht="24" customHeight="1">
      <c r="A9969" s="626" t="s">
        <v>12709</v>
      </c>
      <c r="B9969" s="627" t="s">
        <v>13001</v>
      </c>
      <c r="C9969" s="626" t="s">
        <v>8</v>
      </c>
      <c r="D9969" s="626" t="s">
        <v>9374</v>
      </c>
      <c r="E9969" s="628" t="s">
        <v>23</v>
      </c>
      <c r="F9969" s="816" t="s">
        <v>13728</v>
      </c>
      <c r="G9969" s="816"/>
      <c r="H9969" s="816">
        <v>0.41492180000000001</v>
      </c>
      <c r="I9969" s="816"/>
      <c r="J9969" s="817">
        <v>4.1000000000000003E-3</v>
      </c>
      <c r="K9969" s="817"/>
      <c r="L9969" s="817"/>
    </row>
    <row r="9970" spans="1:12" ht="36" customHeight="1">
      <c r="A9970" s="626" t="s">
        <v>12709</v>
      </c>
      <c r="B9970" s="627" t="s">
        <v>12989</v>
      </c>
      <c r="C9970" s="626" t="s">
        <v>8</v>
      </c>
      <c r="D9970" s="626" t="s">
        <v>12342</v>
      </c>
      <c r="E9970" s="628" t="s">
        <v>35</v>
      </c>
      <c r="F9970" s="816" t="s">
        <v>14494</v>
      </c>
      <c r="G9970" s="816"/>
      <c r="H9970" s="816">
        <v>1.3549999999999999E-4</v>
      </c>
      <c r="I9970" s="816"/>
      <c r="J9970" s="817">
        <v>0.32819999999999999</v>
      </c>
      <c r="K9970" s="817"/>
      <c r="L9970" s="817"/>
    </row>
    <row r="9971" spans="1:12" ht="24" customHeight="1">
      <c r="A9971" s="626" t="s">
        <v>12709</v>
      </c>
      <c r="B9971" s="627" t="s">
        <v>13052</v>
      </c>
      <c r="C9971" s="626" t="s">
        <v>8</v>
      </c>
      <c r="D9971" s="626" t="s">
        <v>9229</v>
      </c>
      <c r="E9971" s="628" t="s">
        <v>23</v>
      </c>
      <c r="F9971" s="816" t="s">
        <v>13692</v>
      </c>
      <c r="G9971" s="816"/>
      <c r="H9971" s="816">
        <v>5.0538734999999999</v>
      </c>
      <c r="I9971" s="816"/>
      <c r="J9971" s="817">
        <v>4.8517000000000001</v>
      </c>
      <c r="K9971" s="817"/>
      <c r="L9971" s="817"/>
    </row>
    <row r="9972" spans="1:12" ht="24" customHeight="1">
      <c r="A9972" s="626" t="s">
        <v>12709</v>
      </c>
      <c r="B9972" s="627" t="s">
        <v>13051</v>
      </c>
      <c r="C9972" s="626" t="s">
        <v>8</v>
      </c>
      <c r="D9972" s="626" t="s">
        <v>9376</v>
      </c>
      <c r="E9972" s="628" t="s">
        <v>23</v>
      </c>
      <c r="F9972" s="816" t="s">
        <v>13691</v>
      </c>
      <c r="G9972" s="816"/>
      <c r="H9972" s="816">
        <v>5.0538734999999999</v>
      </c>
      <c r="I9972" s="816"/>
      <c r="J9972" s="817">
        <v>2.5268999999999999</v>
      </c>
      <c r="K9972" s="817"/>
      <c r="L9972" s="817"/>
    </row>
    <row r="9973" spans="1:12" ht="24" customHeight="1">
      <c r="A9973" s="626" t="s">
        <v>12709</v>
      </c>
      <c r="B9973" s="627" t="s">
        <v>13297</v>
      </c>
      <c r="C9973" s="626" t="s">
        <v>8</v>
      </c>
      <c r="D9973" s="626" t="s">
        <v>7681</v>
      </c>
      <c r="E9973" s="628" t="s">
        <v>35</v>
      </c>
      <c r="F9973" s="816" t="s">
        <v>14527</v>
      </c>
      <c r="G9973" s="816"/>
      <c r="H9973" s="816">
        <v>6.9E-6</v>
      </c>
      <c r="I9973" s="816"/>
      <c r="J9973" s="817">
        <v>0.1017</v>
      </c>
      <c r="K9973" s="817"/>
      <c r="L9973" s="817"/>
    </row>
    <row r="9974" spans="1:12" ht="24" customHeight="1">
      <c r="A9974" s="626" t="s">
        <v>12709</v>
      </c>
      <c r="B9974" s="627" t="s">
        <v>13048</v>
      </c>
      <c r="C9974" s="626" t="s">
        <v>8</v>
      </c>
      <c r="D9974" s="626" t="s">
        <v>9233</v>
      </c>
      <c r="E9974" s="628" t="s">
        <v>23</v>
      </c>
      <c r="F9974" s="816" t="s">
        <v>13690</v>
      </c>
      <c r="G9974" s="816"/>
      <c r="H9974" s="816">
        <v>4.7735468000000001</v>
      </c>
      <c r="I9974" s="816"/>
      <c r="J9974" s="817">
        <v>4.8689999999999998</v>
      </c>
      <c r="K9974" s="817"/>
      <c r="L9974" s="817"/>
    </row>
    <row r="9975" spans="1:12" ht="24" customHeight="1">
      <c r="A9975" s="626" t="s">
        <v>12709</v>
      </c>
      <c r="B9975" s="627" t="s">
        <v>13047</v>
      </c>
      <c r="C9975" s="626" t="s">
        <v>8</v>
      </c>
      <c r="D9975" s="626" t="s">
        <v>9380</v>
      </c>
      <c r="E9975" s="628" t="s">
        <v>23</v>
      </c>
      <c r="F9975" s="816" t="s">
        <v>13689</v>
      </c>
      <c r="G9975" s="816"/>
      <c r="H9975" s="816">
        <v>4.7735468000000001</v>
      </c>
      <c r="I9975" s="816"/>
      <c r="J9975" s="817">
        <v>1.8139000000000001</v>
      </c>
      <c r="K9975" s="817"/>
      <c r="L9975" s="817"/>
    </row>
    <row r="9976" spans="1:12" ht="36" customHeight="1">
      <c r="A9976" s="626" t="s">
        <v>12709</v>
      </c>
      <c r="B9976" s="627" t="s">
        <v>13032</v>
      </c>
      <c r="C9976" s="626" t="s">
        <v>8</v>
      </c>
      <c r="D9976" s="626" t="s">
        <v>9217</v>
      </c>
      <c r="E9976" s="628" t="s">
        <v>23</v>
      </c>
      <c r="F9976" s="816" t="s">
        <v>13741</v>
      </c>
      <c r="G9976" s="816"/>
      <c r="H9976" s="816">
        <v>0.1976252</v>
      </c>
      <c r="I9976" s="816"/>
      <c r="J9976" s="817">
        <v>0.21340000000000001</v>
      </c>
      <c r="K9976" s="817"/>
      <c r="L9976" s="817"/>
    </row>
    <row r="9977" spans="1:12" ht="17.100000000000001" customHeight="1">
      <c r="A9977" s="626" t="s">
        <v>12709</v>
      </c>
      <c r="B9977" s="627" t="s">
        <v>13031</v>
      </c>
      <c r="C9977" s="626" t="s">
        <v>8</v>
      </c>
      <c r="D9977" s="626" t="s">
        <v>9364</v>
      </c>
      <c r="E9977" s="628" t="s">
        <v>23</v>
      </c>
      <c r="F9977" s="816" t="s">
        <v>13740</v>
      </c>
      <c r="G9977" s="816"/>
      <c r="H9977" s="816">
        <v>0.1976252</v>
      </c>
      <c r="I9977" s="816"/>
      <c r="J9977" s="817">
        <v>6.7199999999999996E-2</v>
      </c>
      <c r="K9977" s="817"/>
      <c r="L9977" s="817"/>
    </row>
    <row r="9978" spans="1:12" ht="14.25" customHeight="1">
      <c r="A9978" s="626" t="s">
        <v>12709</v>
      </c>
      <c r="B9978" s="627" t="s">
        <v>13268</v>
      </c>
      <c r="C9978" s="626" t="s">
        <v>8</v>
      </c>
      <c r="D9978" s="626" t="s">
        <v>8451</v>
      </c>
      <c r="E9978" s="628" t="s">
        <v>35</v>
      </c>
      <c r="F9978" s="816" t="s">
        <v>14506</v>
      </c>
      <c r="G9978" s="816"/>
      <c r="H9978" s="816">
        <v>9.9999999999999995E-7</v>
      </c>
      <c r="I9978" s="816"/>
      <c r="J9978" s="817">
        <v>1.09E-2</v>
      </c>
      <c r="K9978" s="817"/>
      <c r="L9978" s="817"/>
    </row>
    <row r="9979" spans="1:12" ht="17.100000000000001" customHeight="1">
      <c r="A9979" s="626" t="s">
        <v>12709</v>
      </c>
      <c r="B9979" s="627" t="s">
        <v>13302</v>
      </c>
      <c r="C9979" s="626" t="s">
        <v>8</v>
      </c>
      <c r="D9979" s="626" t="s">
        <v>7676</v>
      </c>
      <c r="E9979" s="628" t="s">
        <v>35</v>
      </c>
      <c r="F9979" s="816" t="s">
        <v>14526</v>
      </c>
      <c r="G9979" s="816"/>
      <c r="H9979" s="816">
        <v>1.7200000000000001E-5</v>
      </c>
      <c r="I9979" s="816"/>
      <c r="J9979" s="817">
        <v>6.2300000000000001E-2</v>
      </c>
      <c r="K9979" s="817"/>
      <c r="L9979" s="817"/>
    </row>
    <row r="9980" spans="1:12" ht="24" customHeight="1">
      <c r="A9980" s="636"/>
      <c r="B9980" s="636"/>
      <c r="C9980" s="636"/>
      <c r="D9980" s="636"/>
      <c r="E9980" s="636"/>
      <c r="F9980" s="636"/>
      <c r="G9980" s="636"/>
      <c r="H9980" s="636"/>
      <c r="I9980" s="636"/>
      <c r="J9980" s="636" t="s">
        <v>13675</v>
      </c>
      <c r="K9980" s="636"/>
      <c r="L9980" s="636" t="s">
        <v>14538</v>
      </c>
    </row>
    <row r="9981" spans="1:12" ht="24" customHeight="1">
      <c r="A9981" s="802" t="s">
        <v>12710</v>
      </c>
      <c r="B9981" s="802"/>
      <c r="C9981" s="802"/>
      <c r="D9981" s="802"/>
      <c r="E9981" s="802"/>
      <c r="F9981" s="802"/>
      <c r="G9981" s="802"/>
      <c r="H9981" s="802"/>
      <c r="I9981" s="612"/>
      <c r="J9981" s="612"/>
      <c r="K9981" s="612"/>
      <c r="L9981" s="612"/>
    </row>
    <row r="9982" spans="1:12" ht="24" customHeight="1">
      <c r="A9982" s="612" t="s">
        <v>13679</v>
      </c>
      <c r="B9982" s="636" t="s">
        <v>12698</v>
      </c>
      <c r="C9982" s="612" t="s">
        <v>12699</v>
      </c>
      <c r="D9982" s="612" t="s">
        <v>12700</v>
      </c>
      <c r="E9982" s="637" t="s">
        <v>12702</v>
      </c>
      <c r="F9982" s="801" t="s">
        <v>12704</v>
      </c>
      <c r="G9982" s="801"/>
      <c r="H9982" s="801" t="s">
        <v>13678</v>
      </c>
      <c r="I9982" s="801"/>
      <c r="J9982" s="801" t="s">
        <v>12705</v>
      </c>
      <c r="K9982" s="801"/>
      <c r="L9982" s="801"/>
    </row>
    <row r="9983" spans="1:12" ht="24" customHeight="1">
      <c r="A9983" s="626" t="s">
        <v>12709</v>
      </c>
      <c r="B9983" s="627" t="s">
        <v>13114</v>
      </c>
      <c r="C9983" s="626" t="s">
        <v>8</v>
      </c>
      <c r="D9983" s="626" t="s">
        <v>10562</v>
      </c>
      <c r="E9983" s="628" t="s">
        <v>23</v>
      </c>
      <c r="F9983" s="816" t="s">
        <v>14524</v>
      </c>
      <c r="G9983" s="816"/>
      <c r="H9983" s="816">
        <v>0.1023186</v>
      </c>
      <c r="I9983" s="816"/>
      <c r="J9983" s="817">
        <v>0.6835</v>
      </c>
      <c r="K9983" s="817"/>
      <c r="L9983" s="817"/>
    </row>
    <row r="9984" spans="1:12" ht="24" customHeight="1">
      <c r="A9984" s="626" t="s">
        <v>12709</v>
      </c>
      <c r="B9984" s="627" t="s">
        <v>13103</v>
      </c>
      <c r="C9984" s="626" t="s">
        <v>8</v>
      </c>
      <c r="D9984" s="626" t="s">
        <v>10570</v>
      </c>
      <c r="E9984" s="628" t="s">
        <v>23</v>
      </c>
      <c r="F9984" s="816" t="s">
        <v>14289</v>
      </c>
      <c r="G9984" s="816"/>
      <c r="H9984" s="816">
        <v>4.4035600000000001E-2</v>
      </c>
      <c r="I9984" s="816"/>
      <c r="J9984" s="817">
        <v>0.22409999999999999</v>
      </c>
      <c r="K9984" s="817"/>
      <c r="L9984" s="817"/>
    </row>
    <row r="9985" spans="1:12" ht="24" customHeight="1">
      <c r="A9985" s="626" t="s">
        <v>12709</v>
      </c>
      <c r="B9985" s="627" t="s">
        <v>13230</v>
      </c>
      <c r="C9985" s="626" t="s">
        <v>8</v>
      </c>
      <c r="D9985" s="626" t="s">
        <v>7362</v>
      </c>
      <c r="E9985" s="628" t="s">
        <v>23</v>
      </c>
      <c r="F9985" s="816" t="s">
        <v>14514</v>
      </c>
      <c r="G9985" s="816"/>
      <c r="H9985" s="816">
        <v>5.7572199999999997E-2</v>
      </c>
      <c r="I9985" s="816"/>
      <c r="J9985" s="817">
        <v>0.27689999999999998</v>
      </c>
      <c r="K9985" s="817"/>
      <c r="L9985" s="817"/>
    </row>
    <row r="9986" spans="1:12" ht="24" customHeight="1">
      <c r="A9986" s="626" t="s">
        <v>12709</v>
      </c>
      <c r="B9986" s="627" t="s">
        <v>13224</v>
      </c>
      <c r="C9986" s="626" t="s">
        <v>8</v>
      </c>
      <c r="D9986" s="626" t="s">
        <v>7556</v>
      </c>
      <c r="E9986" s="628" t="s">
        <v>23</v>
      </c>
      <c r="F9986" s="816" t="s">
        <v>14470</v>
      </c>
      <c r="G9986" s="816"/>
      <c r="H9986" s="816">
        <v>0.36932320000000002</v>
      </c>
      <c r="I9986" s="816"/>
      <c r="J9986" s="817">
        <v>2.552</v>
      </c>
      <c r="K9986" s="817"/>
      <c r="L9986" s="817"/>
    </row>
    <row r="9987" spans="1:12" ht="24" customHeight="1">
      <c r="A9987" s="626" t="s">
        <v>12709</v>
      </c>
      <c r="B9987" s="627" t="s">
        <v>13046</v>
      </c>
      <c r="C9987" s="626" t="s">
        <v>8</v>
      </c>
      <c r="D9987" s="626" t="s">
        <v>11281</v>
      </c>
      <c r="E9987" s="628" t="s">
        <v>23</v>
      </c>
      <c r="F9987" s="816" t="s">
        <v>13731</v>
      </c>
      <c r="G9987" s="816"/>
      <c r="H9987" s="816">
        <v>4.8416218999999998</v>
      </c>
      <c r="I9987" s="816"/>
      <c r="J9987" s="817">
        <v>24.885899999999999</v>
      </c>
      <c r="K9987" s="817"/>
      <c r="L9987" s="817"/>
    </row>
    <row r="9988" spans="1:12" ht="24" customHeight="1">
      <c r="A9988" s="626" t="s">
        <v>12709</v>
      </c>
      <c r="B9988" s="627" t="s">
        <v>13116</v>
      </c>
      <c r="C9988" s="626" t="s">
        <v>8</v>
      </c>
      <c r="D9988" s="626" t="s">
        <v>10556</v>
      </c>
      <c r="E9988" s="628" t="s">
        <v>23</v>
      </c>
      <c r="F9988" s="816" t="s">
        <v>13770</v>
      </c>
      <c r="G9988" s="816"/>
      <c r="H9988" s="816">
        <v>0.27111279999999999</v>
      </c>
      <c r="I9988" s="816"/>
      <c r="J9988" s="817">
        <v>1.2931999999999999</v>
      </c>
      <c r="K9988" s="817"/>
      <c r="L9988" s="817"/>
    </row>
    <row r="9989" spans="1:12" ht="17.100000000000001" customHeight="1">
      <c r="A9989" s="626" t="s">
        <v>12709</v>
      </c>
      <c r="B9989" s="627" t="s">
        <v>13228</v>
      </c>
      <c r="C9989" s="626" t="s">
        <v>8</v>
      </c>
      <c r="D9989" s="626" t="s">
        <v>8289</v>
      </c>
      <c r="E9989" s="628" t="s">
        <v>23</v>
      </c>
      <c r="F9989" s="816" t="s">
        <v>14199</v>
      </c>
      <c r="G9989" s="816"/>
      <c r="H9989" s="816">
        <v>3.3262399999999998E-2</v>
      </c>
      <c r="I9989" s="816"/>
      <c r="J9989" s="817">
        <v>0.18090000000000001</v>
      </c>
      <c r="K9989" s="817"/>
      <c r="L9989" s="817"/>
    </row>
    <row r="9990" spans="1:12" ht="25.5">
      <c r="A9990" s="626" t="s">
        <v>12709</v>
      </c>
      <c r="B9990" s="627" t="s">
        <v>13214</v>
      </c>
      <c r="C9990" s="626" t="s">
        <v>8</v>
      </c>
      <c r="D9990" s="626" t="s">
        <v>8291</v>
      </c>
      <c r="E9990" s="628" t="s">
        <v>23</v>
      </c>
      <c r="F9990" s="816" t="s">
        <v>14513</v>
      </c>
      <c r="G9990" s="816"/>
      <c r="H9990" s="816">
        <v>0.16631190000000001</v>
      </c>
      <c r="I9990" s="816"/>
      <c r="J9990" s="817">
        <v>1.254</v>
      </c>
      <c r="K9990" s="817"/>
      <c r="L9990" s="817"/>
    </row>
    <row r="9991" spans="1:12" ht="17.100000000000001" customHeight="1">
      <c r="A9991" s="626" t="s">
        <v>12709</v>
      </c>
      <c r="B9991" s="627" t="s">
        <v>13099</v>
      </c>
      <c r="C9991" s="626" t="s">
        <v>8</v>
      </c>
      <c r="D9991" s="626" t="s">
        <v>10726</v>
      </c>
      <c r="E9991" s="628" t="s">
        <v>23</v>
      </c>
      <c r="F9991" s="816" t="s">
        <v>14470</v>
      </c>
      <c r="G9991" s="816"/>
      <c r="H9991" s="816">
        <v>4.6962133000000001</v>
      </c>
      <c r="I9991" s="816"/>
      <c r="J9991" s="817">
        <v>32.450800000000001</v>
      </c>
      <c r="K9991" s="817"/>
      <c r="L9991" s="817"/>
    </row>
    <row r="9992" spans="1:12" ht="24" customHeight="1">
      <c r="A9992" s="636"/>
      <c r="B9992" s="636"/>
      <c r="C9992" s="636"/>
      <c r="D9992" s="636"/>
      <c r="E9992" s="636"/>
      <c r="F9992" s="636"/>
      <c r="G9992" s="636"/>
      <c r="H9992" s="636"/>
      <c r="I9992" s="636"/>
      <c r="J9992" s="636" t="s">
        <v>13675</v>
      </c>
      <c r="K9992" s="636"/>
      <c r="L9992" s="636" t="s">
        <v>14537</v>
      </c>
    </row>
    <row r="9993" spans="1:12" ht="24" customHeight="1">
      <c r="A9993" s="802" t="s">
        <v>12720</v>
      </c>
      <c r="B9993" s="802"/>
      <c r="C9993" s="802"/>
      <c r="D9993" s="802"/>
      <c r="E9993" s="802"/>
      <c r="F9993" s="802"/>
      <c r="G9993" s="802"/>
      <c r="H9993" s="802"/>
      <c r="I9993" s="612"/>
      <c r="J9993" s="612"/>
      <c r="K9993" s="612"/>
      <c r="L9993" s="612"/>
    </row>
    <row r="9994" spans="1:12" ht="24" customHeight="1">
      <c r="A9994" s="612" t="s">
        <v>13679</v>
      </c>
      <c r="B9994" s="636" t="s">
        <v>12698</v>
      </c>
      <c r="C9994" s="612" t="s">
        <v>12699</v>
      </c>
      <c r="D9994" s="612" t="s">
        <v>12700</v>
      </c>
      <c r="E9994" s="637" t="s">
        <v>12702</v>
      </c>
      <c r="F9994" s="801" t="s">
        <v>12704</v>
      </c>
      <c r="G9994" s="801"/>
      <c r="H9994" s="801" t="s">
        <v>13678</v>
      </c>
      <c r="I9994" s="801"/>
      <c r="J9994" s="801" t="s">
        <v>12705</v>
      </c>
      <c r="K9994" s="801"/>
      <c r="L9994" s="801"/>
    </row>
    <row r="9995" spans="1:12" ht="24" customHeight="1">
      <c r="A9995" s="626" t="s">
        <v>12709</v>
      </c>
      <c r="B9995" s="627" t="s">
        <v>13430</v>
      </c>
      <c r="C9995" s="626" t="s">
        <v>8</v>
      </c>
      <c r="D9995" s="626" t="s">
        <v>7741</v>
      </c>
      <c r="E9995" s="628" t="s">
        <v>35</v>
      </c>
      <c r="F9995" s="816" t="s">
        <v>14536</v>
      </c>
      <c r="G9995" s="816"/>
      <c r="H9995" s="816">
        <v>22.915299999999998</v>
      </c>
      <c r="I9995" s="816"/>
      <c r="J9995" s="817">
        <v>45.37</v>
      </c>
      <c r="K9995" s="817"/>
      <c r="L9995" s="817"/>
    </row>
    <row r="9996" spans="1:12" ht="24" customHeight="1">
      <c r="A9996" s="626" t="s">
        <v>12709</v>
      </c>
      <c r="B9996" s="627" t="s">
        <v>13007</v>
      </c>
      <c r="C9996" s="626" t="s">
        <v>8</v>
      </c>
      <c r="D9996" s="626" t="s">
        <v>10549</v>
      </c>
      <c r="E9996" s="628" t="s">
        <v>58</v>
      </c>
      <c r="F9996" s="816" t="s">
        <v>14172</v>
      </c>
      <c r="G9996" s="816"/>
      <c r="H9996" s="816">
        <v>0.17216339999999999</v>
      </c>
      <c r="I9996" s="816"/>
      <c r="J9996" s="817">
        <v>0.55779999999999996</v>
      </c>
      <c r="K9996" s="817"/>
      <c r="L9996" s="817"/>
    </row>
    <row r="9997" spans="1:12" ht="24" customHeight="1">
      <c r="A9997" s="626" t="s">
        <v>12709</v>
      </c>
      <c r="B9997" s="627" t="s">
        <v>13093</v>
      </c>
      <c r="C9997" s="626" t="s">
        <v>8</v>
      </c>
      <c r="D9997" s="626" t="s">
        <v>8980</v>
      </c>
      <c r="E9997" s="628" t="s">
        <v>58</v>
      </c>
      <c r="F9997" s="816" t="s">
        <v>14502</v>
      </c>
      <c r="G9997" s="816"/>
      <c r="H9997" s="816">
        <v>2.5389000000000002E-3</v>
      </c>
      <c r="I9997" s="816"/>
      <c r="J9997" s="817">
        <v>1.23E-2</v>
      </c>
      <c r="K9997" s="817"/>
      <c r="L9997" s="817"/>
    </row>
    <row r="9998" spans="1:12" ht="24" customHeight="1">
      <c r="A9998" s="626" t="s">
        <v>12709</v>
      </c>
      <c r="B9998" s="627" t="s">
        <v>13091</v>
      </c>
      <c r="C9998" s="626" t="s">
        <v>8</v>
      </c>
      <c r="D9998" s="626" t="s">
        <v>11248</v>
      </c>
      <c r="E9998" s="628" t="s">
        <v>17</v>
      </c>
      <c r="F9998" s="816" t="s">
        <v>14501</v>
      </c>
      <c r="G9998" s="816"/>
      <c r="H9998" s="816">
        <v>0.200464</v>
      </c>
      <c r="I9998" s="816"/>
      <c r="J9998" s="817">
        <v>0.40089999999999998</v>
      </c>
      <c r="K9998" s="817"/>
      <c r="L9998" s="817"/>
    </row>
    <row r="9999" spans="1:12" ht="36" customHeight="1">
      <c r="A9999" s="626" t="s">
        <v>12709</v>
      </c>
      <c r="B9999" s="627" t="s">
        <v>13094</v>
      </c>
      <c r="C9999" s="626" t="s">
        <v>8</v>
      </c>
      <c r="D9999" s="626" t="s">
        <v>8374</v>
      </c>
      <c r="E9999" s="628" t="s">
        <v>12725</v>
      </c>
      <c r="F9999" s="816" t="s">
        <v>14522</v>
      </c>
      <c r="G9999" s="816"/>
      <c r="H9999" s="816">
        <v>5.8710900000000003E-2</v>
      </c>
      <c r="I9999" s="816"/>
      <c r="J9999" s="817">
        <v>1.5746</v>
      </c>
      <c r="K9999" s="817"/>
      <c r="L9999" s="817"/>
    </row>
    <row r="10000" spans="1:12" ht="24" customHeight="1">
      <c r="A10000" s="626" t="s">
        <v>12709</v>
      </c>
      <c r="B10000" s="627" t="s">
        <v>13092</v>
      </c>
      <c r="C10000" s="626" t="s">
        <v>8</v>
      </c>
      <c r="D10000" s="626" t="s">
        <v>11005</v>
      </c>
      <c r="E10000" s="628" t="s">
        <v>20</v>
      </c>
      <c r="F10000" s="816" t="s">
        <v>13797</v>
      </c>
      <c r="G10000" s="816"/>
      <c r="H10000" s="816">
        <v>1.17269E-2</v>
      </c>
      <c r="I10000" s="816"/>
      <c r="J10000" s="817">
        <v>0.1452</v>
      </c>
      <c r="K10000" s="817"/>
      <c r="L10000" s="817"/>
    </row>
    <row r="10001" spans="1:12" ht="36" customHeight="1">
      <c r="A10001" s="626" t="s">
        <v>12709</v>
      </c>
      <c r="B10001" s="627" t="s">
        <v>12987</v>
      </c>
      <c r="C10001" s="626" t="s">
        <v>8</v>
      </c>
      <c r="D10001" s="626" t="s">
        <v>9192</v>
      </c>
      <c r="E10001" s="628" t="s">
        <v>12923</v>
      </c>
      <c r="F10001" s="816" t="s">
        <v>13999</v>
      </c>
      <c r="G10001" s="816"/>
      <c r="H10001" s="816">
        <v>0.45580169999999998</v>
      </c>
      <c r="I10001" s="816"/>
      <c r="J10001" s="817">
        <v>0.36919999999999997</v>
      </c>
      <c r="K10001" s="817"/>
      <c r="L10001" s="817"/>
    </row>
    <row r="10002" spans="1:12" ht="24" customHeight="1">
      <c r="A10002" s="626" t="s">
        <v>12709</v>
      </c>
      <c r="B10002" s="627" t="s">
        <v>13056</v>
      </c>
      <c r="C10002" s="626" t="s">
        <v>8</v>
      </c>
      <c r="D10002" s="626" t="s">
        <v>11277</v>
      </c>
      <c r="E10002" s="628" t="s">
        <v>35</v>
      </c>
      <c r="F10002" s="816" t="s">
        <v>14498</v>
      </c>
      <c r="G10002" s="816"/>
      <c r="H10002" s="816">
        <v>3.5999999999999998E-6</v>
      </c>
      <c r="I10002" s="816"/>
      <c r="J10002" s="817">
        <v>4.4999999999999997E-3</v>
      </c>
      <c r="K10002" s="817"/>
      <c r="L10002" s="817"/>
    </row>
    <row r="10003" spans="1:12" ht="24" customHeight="1">
      <c r="A10003" s="626" t="s">
        <v>12709</v>
      </c>
      <c r="B10003" s="627" t="s">
        <v>13311</v>
      </c>
      <c r="C10003" s="626" t="s">
        <v>8</v>
      </c>
      <c r="D10003" s="626" t="s">
        <v>7522</v>
      </c>
      <c r="E10003" s="628" t="s">
        <v>20</v>
      </c>
      <c r="F10003" s="816" t="s">
        <v>14521</v>
      </c>
      <c r="G10003" s="816"/>
      <c r="H10003" s="816">
        <v>3.2392200000000003E-2</v>
      </c>
      <c r="I10003" s="816"/>
      <c r="J10003" s="817">
        <v>0.4405</v>
      </c>
      <c r="K10003" s="817"/>
      <c r="L10003" s="817"/>
    </row>
    <row r="10004" spans="1:12" ht="24" customHeight="1">
      <c r="A10004" s="626" t="s">
        <v>12709</v>
      </c>
      <c r="B10004" s="627" t="s">
        <v>13310</v>
      </c>
      <c r="C10004" s="626" t="s">
        <v>8</v>
      </c>
      <c r="D10004" s="626" t="s">
        <v>9265</v>
      </c>
      <c r="E10004" s="628" t="s">
        <v>35</v>
      </c>
      <c r="F10004" s="816" t="s">
        <v>13875</v>
      </c>
      <c r="G10004" s="816"/>
      <c r="H10004" s="816">
        <v>3.6486649</v>
      </c>
      <c r="I10004" s="816"/>
      <c r="J10004" s="817">
        <v>0.4743</v>
      </c>
      <c r="K10004" s="817"/>
      <c r="L10004" s="817"/>
    </row>
    <row r="10005" spans="1:12" ht="24" customHeight="1">
      <c r="A10005" s="626" t="s">
        <v>12709</v>
      </c>
      <c r="B10005" s="627" t="s">
        <v>13235</v>
      </c>
      <c r="C10005" s="626" t="s">
        <v>8</v>
      </c>
      <c r="D10005" s="626" t="s">
        <v>7268</v>
      </c>
      <c r="E10005" s="628" t="s">
        <v>20</v>
      </c>
      <c r="F10005" s="816" t="s">
        <v>14520</v>
      </c>
      <c r="G10005" s="816"/>
      <c r="H10005" s="816">
        <v>1.3863890000000001</v>
      </c>
      <c r="I10005" s="816"/>
      <c r="J10005" s="817">
        <v>6.7516999999999996</v>
      </c>
      <c r="K10005" s="817"/>
      <c r="L10005" s="817"/>
    </row>
    <row r="10006" spans="1:12" ht="24" customHeight="1">
      <c r="A10006" s="626" t="s">
        <v>12709</v>
      </c>
      <c r="B10006" s="627" t="s">
        <v>13250</v>
      </c>
      <c r="C10006" s="626" t="s">
        <v>8</v>
      </c>
      <c r="D10006" s="626" t="s">
        <v>7526</v>
      </c>
      <c r="E10006" s="628" t="s">
        <v>12730</v>
      </c>
      <c r="F10006" s="816" t="s">
        <v>13747</v>
      </c>
      <c r="G10006" s="816"/>
      <c r="H10006" s="816">
        <v>9.9749599999999994E-2</v>
      </c>
      <c r="I10006" s="816"/>
      <c r="J10006" s="817">
        <v>6.2343000000000002</v>
      </c>
      <c r="K10006" s="817"/>
      <c r="L10006" s="817"/>
    </row>
    <row r="10007" spans="1:12" ht="24" customHeight="1">
      <c r="A10007" s="626" t="s">
        <v>12709</v>
      </c>
      <c r="B10007" s="627" t="s">
        <v>13249</v>
      </c>
      <c r="C10007" s="626" t="s">
        <v>8</v>
      </c>
      <c r="D10007" s="626" t="s">
        <v>8420</v>
      </c>
      <c r="E10007" s="628" t="s">
        <v>20</v>
      </c>
      <c r="F10007" s="816" t="s">
        <v>13700</v>
      </c>
      <c r="G10007" s="816"/>
      <c r="H10007" s="816">
        <v>49.2970136</v>
      </c>
      <c r="I10007" s="816"/>
      <c r="J10007" s="817">
        <v>24.1555</v>
      </c>
      <c r="K10007" s="817"/>
      <c r="L10007" s="817"/>
    </row>
    <row r="10008" spans="1:12" ht="24" customHeight="1">
      <c r="A10008" s="626" t="s">
        <v>12709</v>
      </c>
      <c r="B10008" s="627" t="s">
        <v>13248</v>
      </c>
      <c r="C10008" s="626" t="s">
        <v>8</v>
      </c>
      <c r="D10008" s="626" t="s">
        <v>10712</v>
      </c>
      <c r="E10008" s="628" t="s">
        <v>12730</v>
      </c>
      <c r="F10008" s="816" t="s">
        <v>13745</v>
      </c>
      <c r="G10008" s="816"/>
      <c r="H10008" s="816">
        <v>3.1846800000000001E-2</v>
      </c>
      <c r="I10008" s="816"/>
      <c r="J10008" s="817">
        <v>2.5476999999999999</v>
      </c>
      <c r="K10008" s="817"/>
      <c r="L10008" s="817"/>
    </row>
    <row r="10009" spans="1:12" ht="17.100000000000001" customHeight="1">
      <c r="A10009" s="626" t="s">
        <v>12709</v>
      </c>
      <c r="B10009" s="627" t="s">
        <v>13153</v>
      </c>
      <c r="C10009" s="626" t="s">
        <v>8</v>
      </c>
      <c r="D10009" s="626" t="s">
        <v>10711</v>
      </c>
      <c r="E10009" s="628" t="s">
        <v>12730</v>
      </c>
      <c r="F10009" s="816" t="s">
        <v>13793</v>
      </c>
      <c r="G10009" s="816"/>
      <c r="H10009" s="816">
        <v>8.9053099999999996E-2</v>
      </c>
      <c r="I10009" s="816"/>
      <c r="J10009" s="817">
        <v>9.0968</v>
      </c>
      <c r="K10009" s="817"/>
      <c r="L10009" s="817"/>
    </row>
    <row r="10010" spans="1:12" ht="25.5">
      <c r="A10010" s="626" t="s">
        <v>12709</v>
      </c>
      <c r="B10010" s="627" t="s">
        <v>13266</v>
      </c>
      <c r="C10010" s="626" t="s">
        <v>8</v>
      </c>
      <c r="D10010" s="626" t="s">
        <v>9514</v>
      </c>
      <c r="E10010" s="628" t="s">
        <v>58</v>
      </c>
      <c r="F10010" s="816" t="s">
        <v>14009</v>
      </c>
      <c r="G10010" s="816"/>
      <c r="H10010" s="816">
        <v>5.7536999999999996E-3</v>
      </c>
      <c r="I10010" s="816"/>
      <c r="J10010" s="817">
        <v>2.1600000000000001E-2</v>
      </c>
      <c r="K10010" s="817"/>
      <c r="L10010" s="817"/>
    </row>
    <row r="10011" spans="1:12" ht="17.100000000000001" customHeight="1">
      <c r="A10011" s="626" t="s">
        <v>12709</v>
      </c>
      <c r="B10011" s="627" t="s">
        <v>13315</v>
      </c>
      <c r="C10011" s="626" t="s">
        <v>8</v>
      </c>
      <c r="D10011" s="626" t="s">
        <v>7525</v>
      </c>
      <c r="E10011" s="628" t="s">
        <v>12730</v>
      </c>
      <c r="F10011" s="816" t="s">
        <v>14519</v>
      </c>
      <c r="G10011" s="816"/>
      <c r="H10011" s="816">
        <v>1.4272E-3</v>
      </c>
      <c r="I10011" s="816"/>
      <c r="J10011" s="817">
        <v>9.4899999999999998E-2</v>
      </c>
      <c r="K10011" s="817"/>
      <c r="L10011" s="817"/>
    </row>
    <row r="10012" spans="1:12" ht="24" customHeight="1">
      <c r="A10012" s="636"/>
      <c r="B10012" s="636"/>
      <c r="C10012" s="636"/>
      <c r="D10012" s="636"/>
      <c r="E10012" s="636"/>
      <c r="F10012" s="636"/>
      <c r="G10012" s="636"/>
      <c r="H10012" s="636"/>
      <c r="I10012" s="636"/>
      <c r="J10012" s="636" t="s">
        <v>13675</v>
      </c>
      <c r="K10012" s="636"/>
      <c r="L10012" s="636" t="s">
        <v>14535</v>
      </c>
    </row>
    <row r="10013" spans="1:12" ht="17.100000000000001" customHeight="1">
      <c r="A10013" s="802" t="s">
        <v>12722</v>
      </c>
      <c r="B10013" s="802"/>
      <c r="C10013" s="802"/>
      <c r="D10013" s="802"/>
      <c r="E10013" s="802"/>
      <c r="F10013" s="802"/>
      <c r="G10013" s="802"/>
      <c r="H10013" s="802"/>
      <c r="I10013" s="612"/>
      <c r="J10013" s="612"/>
      <c r="K10013" s="612"/>
      <c r="L10013" s="612"/>
    </row>
    <row r="10014" spans="1:12">
      <c r="A10014" s="612" t="s">
        <v>13679</v>
      </c>
      <c r="B10014" s="636" t="s">
        <v>12698</v>
      </c>
      <c r="C10014" s="612" t="s">
        <v>12699</v>
      </c>
      <c r="D10014" s="612" t="s">
        <v>12700</v>
      </c>
      <c r="E10014" s="637" t="s">
        <v>12702</v>
      </c>
      <c r="F10014" s="801" t="s">
        <v>12704</v>
      </c>
      <c r="G10014" s="801"/>
      <c r="H10014" s="801" t="s">
        <v>13678</v>
      </c>
      <c r="I10014" s="801"/>
      <c r="J10014" s="801" t="s">
        <v>12705</v>
      </c>
      <c r="K10014" s="801"/>
      <c r="L10014" s="801"/>
    </row>
    <row r="10015" spans="1:12" ht="17.100000000000001" customHeight="1">
      <c r="A10015" s="626" t="s">
        <v>12709</v>
      </c>
      <c r="B10015" s="627" t="s">
        <v>12998</v>
      </c>
      <c r="C10015" s="626" t="s">
        <v>8</v>
      </c>
      <c r="D10015" s="626" t="s">
        <v>11861</v>
      </c>
      <c r="E10015" s="628" t="s">
        <v>23</v>
      </c>
      <c r="F10015" s="816" t="s">
        <v>13683</v>
      </c>
      <c r="G10015" s="816"/>
      <c r="H10015" s="816">
        <v>10.439967299999999</v>
      </c>
      <c r="I10015" s="816"/>
      <c r="J10015" s="817">
        <v>7.4123999999999999</v>
      </c>
      <c r="K10015" s="817"/>
      <c r="L10015" s="817"/>
    </row>
    <row r="10016" spans="1:12" ht="24" customHeight="1">
      <c r="A10016" s="636"/>
      <c r="B10016" s="636"/>
      <c r="C10016" s="636"/>
      <c r="D10016" s="636"/>
      <c r="E10016" s="636"/>
      <c r="F10016" s="636"/>
      <c r="G10016" s="636"/>
      <c r="H10016" s="636"/>
      <c r="I10016" s="636"/>
      <c r="J10016" s="636" t="s">
        <v>13675</v>
      </c>
      <c r="K10016" s="636"/>
      <c r="L10016" s="636" t="s">
        <v>13821</v>
      </c>
    </row>
    <row r="10017" spans="1:12" ht="17.100000000000001" customHeight="1">
      <c r="A10017" s="802" t="s">
        <v>12713</v>
      </c>
      <c r="B10017" s="802"/>
      <c r="C10017" s="802"/>
      <c r="D10017" s="802"/>
      <c r="E10017" s="802"/>
      <c r="F10017" s="802"/>
      <c r="G10017" s="802"/>
      <c r="H10017" s="802"/>
      <c r="I10017" s="612"/>
      <c r="J10017" s="612"/>
      <c r="K10017" s="612"/>
      <c r="L10017" s="612"/>
    </row>
    <row r="10018" spans="1:12">
      <c r="A10018" s="612" t="s">
        <v>13679</v>
      </c>
      <c r="B10018" s="636" t="s">
        <v>12698</v>
      </c>
      <c r="C10018" s="612" t="s">
        <v>12699</v>
      </c>
      <c r="D10018" s="612" t="s">
        <v>12700</v>
      </c>
      <c r="E10018" s="637" t="s">
        <v>12702</v>
      </c>
      <c r="F10018" s="801" t="s">
        <v>12704</v>
      </c>
      <c r="G10018" s="801"/>
      <c r="H10018" s="801" t="s">
        <v>13678</v>
      </c>
      <c r="I10018" s="801"/>
      <c r="J10018" s="801" t="s">
        <v>12705</v>
      </c>
      <c r="K10018" s="801"/>
      <c r="L10018" s="801"/>
    </row>
    <row r="10019" spans="1:12" ht="17.100000000000001" customHeight="1">
      <c r="A10019" s="626" t="s">
        <v>12709</v>
      </c>
      <c r="B10019" s="627" t="s">
        <v>12999</v>
      </c>
      <c r="C10019" s="626" t="s">
        <v>8</v>
      </c>
      <c r="D10019" s="626" t="s">
        <v>11251</v>
      </c>
      <c r="E10019" s="628" t="s">
        <v>23</v>
      </c>
      <c r="F10019" s="816" t="s">
        <v>13681</v>
      </c>
      <c r="G10019" s="816"/>
      <c r="H10019" s="816">
        <v>10.439967299999999</v>
      </c>
      <c r="I10019" s="816"/>
      <c r="J10019" s="817">
        <v>0.73080000000000001</v>
      </c>
      <c r="K10019" s="817"/>
      <c r="L10019" s="817"/>
    </row>
    <row r="10020" spans="1:12" ht="24" customHeight="1">
      <c r="A10020" s="636"/>
      <c r="B10020" s="636"/>
      <c r="C10020" s="636"/>
      <c r="D10020" s="636"/>
      <c r="E10020" s="636"/>
      <c r="F10020" s="636"/>
      <c r="G10020" s="636"/>
      <c r="H10020" s="636"/>
      <c r="I10020" s="636"/>
      <c r="J10020" s="636" t="s">
        <v>13675</v>
      </c>
      <c r="K10020" s="636"/>
      <c r="L10020" s="636" t="s">
        <v>13820</v>
      </c>
    </row>
    <row r="10021" spans="1:12" ht="24" customHeight="1">
      <c r="A10021" s="802" t="s">
        <v>12712</v>
      </c>
      <c r="B10021" s="802"/>
      <c r="C10021" s="802"/>
      <c r="D10021" s="802"/>
      <c r="E10021" s="802"/>
      <c r="F10021" s="802"/>
      <c r="G10021" s="802"/>
      <c r="H10021" s="802"/>
      <c r="I10021" s="612"/>
      <c r="J10021" s="612"/>
      <c r="K10021" s="612"/>
      <c r="L10021" s="612"/>
    </row>
    <row r="10022" spans="1:12" ht="17.100000000000001" customHeight="1">
      <c r="A10022" s="612" t="s">
        <v>13679</v>
      </c>
      <c r="B10022" s="636" t="s">
        <v>12698</v>
      </c>
      <c r="C10022" s="612" t="s">
        <v>12699</v>
      </c>
      <c r="D10022" s="612" t="s">
        <v>12700</v>
      </c>
      <c r="E10022" s="637" t="s">
        <v>12702</v>
      </c>
      <c r="F10022" s="801" t="s">
        <v>12704</v>
      </c>
      <c r="G10022" s="801"/>
      <c r="H10022" s="801" t="s">
        <v>13678</v>
      </c>
      <c r="I10022" s="801"/>
      <c r="J10022" s="801" t="s">
        <v>12705</v>
      </c>
      <c r="K10022" s="801"/>
      <c r="L10022" s="801"/>
    </row>
    <row r="10023" spans="1:12" ht="17.100000000000001" customHeight="1">
      <c r="A10023" s="626" t="s">
        <v>12709</v>
      </c>
      <c r="B10023" s="627" t="s">
        <v>13002</v>
      </c>
      <c r="C10023" s="626" t="s">
        <v>8</v>
      </c>
      <c r="D10023" s="626" t="s">
        <v>9306</v>
      </c>
      <c r="E10023" s="628" t="s">
        <v>23</v>
      </c>
      <c r="F10023" s="816" t="s">
        <v>13677</v>
      </c>
      <c r="G10023" s="816"/>
      <c r="H10023" s="816">
        <v>10.439967299999999</v>
      </c>
      <c r="I10023" s="816"/>
      <c r="J10023" s="817">
        <v>3.6539999999999999</v>
      </c>
      <c r="K10023" s="817"/>
      <c r="L10023" s="817"/>
    </row>
    <row r="10024" spans="1:12" ht="17.100000000000001" customHeight="1">
      <c r="A10024" s="626" t="s">
        <v>12709</v>
      </c>
      <c r="B10024" s="627" t="s">
        <v>13004</v>
      </c>
      <c r="C10024" s="626" t="s">
        <v>8</v>
      </c>
      <c r="D10024" s="626" t="s">
        <v>7388</v>
      </c>
      <c r="E10024" s="628" t="s">
        <v>23</v>
      </c>
      <c r="F10024" s="816" t="s">
        <v>13676</v>
      </c>
      <c r="G10024" s="816"/>
      <c r="H10024" s="816">
        <v>10.439967299999999</v>
      </c>
      <c r="I10024" s="816"/>
      <c r="J10024" s="817">
        <v>22.9679</v>
      </c>
      <c r="K10024" s="817"/>
      <c r="L10024" s="817"/>
    </row>
    <row r="10025" spans="1:12" ht="17.100000000000001" customHeight="1">
      <c r="A10025" s="636"/>
      <c r="B10025" s="636"/>
      <c r="C10025" s="636"/>
      <c r="D10025" s="636"/>
      <c r="E10025" s="636"/>
      <c r="F10025" s="636"/>
      <c r="G10025" s="636"/>
      <c r="H10025" s="636"/>
      <c r="I10025" s="636"/>
      <c r="J10025" s="636" t="s">
        <v>13675</v>
      </c>
      <c r="K10025" s="636"/>
      <c r="L10025" s="636" t="s">
        <v>13819</v>
      </c>
    </row>
    <row r="10026" spans="1:12" ht="17.100000000000001" customHeight="1">
      <c r="A10026" s="612" t="s">
        <v>13673</v>
      </c>
      <c r="B10026" s="612"/>
      <c r="C10026" s="612"/>
      <c r="D10026" s="612"/>
      <c r="E10026" s="612"/>
      <c r="F10026" s="612"/>
      <c r="G10026" s="612"/>
      <c r="H10026" s="612"/>
      <c r="I10026" s="612"/>
      <c r="J10026" s="612"/>
      <c r="K10026" s="612"/>
      <c r="L10026" s="612"/>
    </row>
    <row r="10027" spans="1:12" ht="17.100000000000001" customHeight="1">
      <c r="A10027" s="636"/>
      <c r="B10027" s="636"/>
      <c r="C10027" s="636"/>
      <c r="D10027" s="636"/>
      <c r="E10027" s="636"/>
      <c r="F10027" s="636"/>
      <c r="G10027" s="636"/>
      <c r="H10027" s="636"/>
      <c r="I10027" s="636"/>
      <c r="J10027" s="636" t="s">
        <v>13672</v>
      </c>
      <c r="K10027" s="636"/>
      <c r="L10027" s="636" t="s">
        <v>15521</v>
      </c>
    </row>
    <row r="10028" spans="1:12" ht="17.100000000000001" customHeight="1">
      <c r="A10028" s="636"/>
      <c r="B10028" s="636"/>
      <c r="C10028" s="636"/>
      <c r="D10028" s="636"/>
      <c r="E10028" s="636"/>
      <c r="F10028" s="636"/>
      <c r="G10028" s="636"/>
      <c r="H10028" s="636"/>
      <c r="I10028" s="636"/>
      <c r="J10028" s="636" t="s">
        <v>13671</v>
      </c>
      <c r="K10028" s="636" t="s">
        <v>14461</v>
      </c>
      <c r="L10028" s="636" t="s">
        <v>15522</v>
      </c>
    </row>
    <row r="10029" spans="1:12" ht="30" customHeight="1">
      <c r="A10029" s="636"/>
      <c r="B10029" s="636"/>
      <c r="C10029" s="636"/>
      <c r="D10029" s="636"/>
      <c r="E10029" s="636"/>
      <c r="F10029" s="636"/>
      <c r="G10029" s="636"/>
      <c r="H10029" s="636"/>
      <c r="I10029" s="636"/>
      <c r="J10029" s="636" t="s">
        <v>13670</v>
      </c>
      <c r="K10029" s="636"/>
      <c r="L10029" s="636" t="s">
        <v>15523</v>
      </c>
    </row>
    <row r="10030" spans="1:12" ht="36" customHeight="1">
      <c r="A10030" s="636"/>
      <c r="B10030" s="636"/>
      <c r="C10030" s="636"/>
      <c r="D10030" s="636"/>
      <c r="E10030" s="636"/>
      <c r="F10030" s="636"/>
      <c r="G10030" s="636"/>
      <c r="H10030" s="636"/>
      <c r="I10030" s="636"/>
      <c r="J10030" s="636" t="s">
        <v>13669</v>
      </c>
      <c r="K10030" s="636" t="s">
        <v>13667</v>
      </c>
      <c r="L10030" s="636" t="s">
        <v>15524</v>
      </c>
    </row>
    <row r="10031" spans="1:12" ht="14.25" customHeight="1">
      <c r="A10031" s="636"/>
      <c r="B10031" s="636"/>
      <c r="C10031" s="636"/>
      <c r="D10031" s="636"/>
      <c r="E10031" s="636"/>
      <c r="F10031" s="636"/>
      <c r="G10031" s="636"/>
      <c r="H10031" s="636"/>
      <c r="I10031" s="636"/>
      <c r="J10031" s="636" t="s">
        <v>13668</v>
      </c>
      <c r="K10031" s="636"/>
      <c r="L10031" s="636" t="s">
        <v>15525</v>
      </c>
    </row>
    <row r="10032" spans="1:12" ht="17.100000000000001" customHeight="1">
      <c r="A10032" s="637"/>
      <c r="B10032" s="637"/>
      <c r="C10032" s="637"/>
      <c r="D10032" s="637"/>
      <c r="E10032" s="637"/>
      <c r="F10032" s="637"/>
      <c r="G10032" s="637"/>
      <c r="H10032" s="637"/>
      <c r="I10032" s="637"/>
      <c r="J10032" s="637"/>
      <c r="K10032" s="637"/>
      <c r="L10032" s="637"/>
    </row>
    <row r="10033" spans="1:12" ht="24" customHeight="1">
      <c r="A10033" s="616" t="s">
        <v>13818</v>
      </c>
      <c r="B10033" s="617" t="s">
        <v>13367</v>
      </c>
      <c r="C10033" s="616" t="s">
        <v>8</v>
      </c>
      <c r="D10033" s="616" t="s">
        <v>2179</v>
      </c>
      <c r="E10033" s="618" t="s">
        <v>17</v>
      </c>
      <c r="F10033" s="617"/>
      <c r="G10033" s="617"/>
      <c r="H10033" s="617"/>
      <c r="I10033" s="617"/>
      <c r="J10033" s="617"/>
      <c r="K10033" s="617"/>
      <c r="L10033" s="617"/>
    </row>
    <row r="10034" spans="1:12" ht="24" customHeight="1">
      <c r="A10034" s="802" t="s">
        <v>12711</v>
      </c>
      <c r="B10034" s="802"/>
      <c r="C10034" s="802"/>
      <c r="D10034" s="802"/>
      <c r="E10034" s="802"/>
      <c r="F10034" s="802"/>
      <c r="G10034" s="802"/>
      <c r="H10034" s="802"/>
      <c r="I10034" s="612"/>
      <c r="J10034" s="612"/>
      <c r="K10034" s="612"/>
      <c r="L10034" s="612"/>
    </row>
    <row r="10035" spans="1:12" ht="17.100000000000001" customHeight="1">
      <c r="A10035" s="612" t="s">
        <v>13679</v>
      </c>
      <c r="B10035" s="636" t="s">
        <v>12698</v>
      </c>
      <c r="C10035" s="612" t="s">
        <v>12699</v>
      </c>
      <c r="D10035" s="612" t="s">
        <v>12700</v>
      </c>
      <c r="E10035" s="637" t="s">
        <v>12702</v>
      </c>
      <c r="F10035" s="801" t="s">
        <v>12704</v>
      </c>
      <c r="G10035" s="801"/>
      <c r="H10035" s="801" t="s">
        <v>13678</v>
      </c>
      <c r="I10035" s="801"/>
      <c r="J10035" s="801" t="s">
        <v>12705</v>
      </c>
      <c r="K10035" s="801"/>
      <c r="L10035" s="801"/>
    </row>
    <row r="10036" spans="1:12" ht="14.25" customHeight="1">
      <c r="A10036" s="626" t="s">
        <v>12709</v>
      </c>
      <c r="B10036" s="627" t="s">
        <v>13140</v>
      </c>
      <c r="C10036" s="626" t="s">
        <v>8</v>
      </c>
      <c r="D10036" s="626" t="s">
        <v>10369</v>
      </c>
      <c r="E10036" s="628" t="s">
        <v>35</v>
      </c>
      <c r="F10036" s="816" t="s">
        <v>14534</v>
      </c>
      <c r="G10036" s="816"/>
      <c r="H10036" s="816">
        <v>5.63E-5</v>
      </c>
      <c r="I10036" s="816"/>
      <c r="J10036" s="817">
        <v>1.3596999999999999</v>
      </c>
      <c r="K10036" s="817"/>
      <c r="L10036" s="817"/>
    </row>
    <row r="10037" spans="1:12" ht="17.100000000000001" customHeight="1">
      <c r="A10037" s="626" t="s">
        <v>12709</v>
      </c>
      <c r="B10037" s="627" t="s">
        <v>13003</v>
      </c>
      <c r="C10037" s="626" t="s">
        <v>8</v>
      </c>
      <c r="D10037" s="626" t="s">
        <v>9227</v>
      </c>
      <c r="E10037" s="628" t="s">
        <v>23</v>
      </c>
      <c r="F10037" s="816" t="s">
        <v>13732</v>
      </c>
      <c r="G10037" s="816"/>
      <c r="H10037" s="816">
        <v>0.58318749999999997</v>
      </c>
      <c r="I10037" s="816"/>
      <c r="J10037" s="817">
        <v>0.38490000000000002</v>
      </c>
      <c r="K10037" s="817"/>
      <c r="L10037" s="817"/>
    </row>
    <row r="10038" spans="1:12" ht="24" customHeight="1">
      <c r="A10038" s="626" t="s">
        <v>12709</v>
      </c>
      <c r="B10038" s="627" t="s">
        <v>13001</v>
      </c>
      <c r="C10038" s="626" t="s">
        <v>8</v>
      </c>
      <c r="D10038" s="626" t="s">
        <v>9374</v>
      </c>
      <c r="E10038" s="628" t="s">
        <v>23</v>
      </c>
      <c r="F10038" s="816" t="s">
        <v>13728</v>
      </c>
      <c r="G10038" s="816"/>
      <c r="H10038" s="816">
        <v>0.58318749999999997</v>
      </c>
      <c r="I10038" s="816"/>
      <c r="J10038" s="817">
        <v>5.7999999999999996E-3</v>
      </c>
      <c r="K10038" s="817"/>
      <c r="L10038" s="817"/>
    </row>
    <row r="10039" spans="1:12" ht="24" customHeight="1">
      <c r="A10039" s="626" t="s">
        <v>12709</v>
      </c>
      <c r="B10039" s="627" t="s">
        <v>13201</v>
      </c>
      <c r="C10039" s="626" t="s">
        <v>8</v>
      </c>
      <c r="D10039" s="626" t="s">
        <v>9221</v>
      </c>
      <c r="E10039" s="628" t="s">
        <v>23</v>
      </c>
      <c r="F10039" s="816" t="s">
        <v>13705</v>
      </c>
      <c r="G10039" s="816"/>
      <c r="H10039" s="816">
        <v>0.6730623</v>
      </c>
      <c r="I10039" s="816"/>
      <c r="J10039" s="817">
        <v>0.55859999999999999</v>
      </c>
      <c r="K10039" s="817"/>
      <c r="L10039" s="817"/>
    </row>
    <row r="10040" spans="1:12" ht="17.100000000000001" customHeight="1">
      <c r="A10040" s="626" t="s">
        <v>12709</v>
      </c>
      <c r="B10040" s="627" t="s">
        <v>13200</v>
      </c>
      <c r="C10040" s="626" t="s">
        <v>8</v>
      </c>
      <c r="D10040" s="626" t="s">
        <v>9368</v>
      </c>
      <c r="E10040" s="628" t="s">
        <v>23</v>
      </c>
      <c r="F10040" s="816" t="s">
        <v>13704</v>
      </c>
      <c r="G10040" s="816"/>
      <c r="H10040" s="816">
        <v>0.6730623</v>
      </c>
      <c r="I10040" s="816"/>
      <c r="J10040" s="817">
        <v>0.1615</v>
      </c>
      <c r="K10040" s="817"/>
      <c r="L10040" s="817"/>
    </row>
    <row r="10041" spans="1:12">
      <c r="A10041" s="636"/>
      <c r="B10041" s="636"/>
      <c r="C10041" s="636"/>
      <c r="D10041" s="636"/>
      <c r="E10041" s="636"/>
      <c r="F10041" s="636"/>
      <c r="G10041" s="636"/>
      <c r="H10041" s="636"/>
      <c r="I10041" s="636"/>
      <c r="J10041" s="636" t="s">
        <v>13675</v>
      </c>
      <c r="K10041" s="636"/>
      <c r="L10041" s="636" t="s">
        <v>13962</v>
      </c>
    </row>
    <row r="10042" spans="1:12" ht="17.100000000000001" customHeight="1">
      <c r="A10042" s="802" t="s">
        <v>12710</v>
      </c>
      <c r="B10042" s="802"/>
      <c r="C10042" s="802"/>
      <c r="D10042" s="802"/>
      <c r="E10042" s="802"/>
      <c r="F10042" s="802"/>
      <c r="G10042" s="802"/>
      <c r="H10042" s="802"/>
      <c r="I10042" s="612"/>
      <c r="J10042" s="612"/>
      <c r="K10042" s="612"/>
      <c r="L10042" s="612"/>
    </row>
    <row r="10043" spans="1:12" ht="48" customHeight="1">
      <c r="A10043" s="612" t="s">
        <v>13679</v>
      </c>
      <c r="B10043" s="636" t="s">
        <v>12698</v>
      </c>
      <c r="C10043" s="612" t="s">
        <v>12699</v>
      </c>
      <c r="D10043" s="612" t="s">
        <v>12700</v>
      </c>
      <c r="E10043" s="637" t="s">
        <v>12702</v>
      </c>
      <c r="F10043" s="801" t="s">
        <v>12704</v>
      </c>
      <c r="G10043" s="801"/>
      <c r="H10043" s="801" t="s">
        <v>13678</v>
      </c>
      <c r="I10043" s="801"/>
      <c r="J10043" s="801" t="s">
        <v>12705</v>
      </c>
      <c r="K10043" s="801"/>
      <c r="L10043" s="801"/>
    </row>
    <row r="10044" spans="1:12" ht="24" customHeight="1">
      <c r="A10044" s="626" t="s">
        <v>12709</v>
      </c>
      <c r="B10044" s="627" t="s">
        <v>13105</v>
      </c>
      <c r="C10044" s="626" t="s">
        <v>8</v>
      </c>
      <c r="D10044" s="626" t="s">
        <v>10572</v>
      </c>
      <c r="E10044" s="628" t="s">
        <v>23</v>
      </c>
      <c r="F10044" s="816" t="s">
        <v>14533</v>
      </c>
      <c r="G10044" s="816"/>
      <c r="H10044" s="816">
        <v>0.58618519999999996</v>
      </c>
      <c r="I10044" s="816"/>
      <c r="J10044" s="817">
        <v>2.3506</v>
      </c>
      <c r="K10044" s="817"/>
      <c r="L10044" s="817"/>
    </row>
    <row r="10045" spans="1:12" ht="17.100000000000001" customHeight="1">
      <c r="A10045" s="626" t="s">
        <v>12709</v>
      </c>
      <c r="B10045" s="627" t="s">
        <v>13220</v>
      </c>
      <c r="C10045" s="626" t="s">
        <v>8</v>
      </c>
      <c r="D10045" s="626" t="s">
        <v>7592</v>
      </c>
      <c r="E10045" s="628" t="s">
        <v>23</v>
      </c>
      <c r="F10045" s="816" t="s">
        <v>13890</v>
      </c>
      <c r="G10045" s="816"/>
      <c r="H10045" s="816">
        <v>9.1949000000000003E-2</v>
      </c>
      <c r="I10045" s="816"/>
      <c r="J10045" s="817">
        <v>0.46529999999999999</v>
      </c>
      <c r="K10045" s="817"/>
      <c r="L10045" s="817"/>
    </row>
    <row r="10046" spans="1:12" ht="25.5">
      <c r="A10046" s="626" t="s">
        <v>12709</v>
      </c>
      <c r="B10046" s="627" t="s">
        <v>13202</v>
      </c>
      <c r="C10046" s="626" t="s">
        <v>8</v>
      </c>
      <c r="D10046" s="626" t="s">
        <v>9187</v>
      </c>
      <c r="E10046" s="628" t="s">
        <v>23</v>
      </c>
      <c r="F10046" s="816" t="s">
        <v>14479</v>
      </c>
      <c r="G10046" s="816"/>
      <c r="H10046" s="816">
        <v>0.58908000000000005</v>
      </c>
      <c r="I10046" s="816"/>
      <c r="J10046" s="817">
        <v>4.2119</v>
      </c>
      <c r="K10046" s="817"/>
      <c r="L10046" s="817"/>
    </row>
    <row r="10047" spans="1:12" ht="17.100000000000001" customHeight="1">
      <c r="A10047" s="636"/>
      <c r="B10047" s="636"/>
      <c r="C10047" s="636"/>
      <c r="D10047" s="636"/>
      <c r="E10047" s="636"/>
      <c r="F10047" s="636"/>
      <c r="G10047" s="636"/>
      <c r="H10047" s="636"/>
      <c r="I10047" s="636"/>
      <c r="J10047" s="636" t="s">
        <v>13675</v>
      </c>
      <c r="K10047" s="636"/>
      <c r="L10047" s="636" t="s">
        <v>14285</v>
      </c>
    </row>
    <row r="10048" spans="1:12" ht="24" customHeight="1">
      <c r="A10048" s="802" t="s">
        <v>12722</v>
      </c>
      <c r="B10048" s="802"/>
      <c r="C10048" s="802"/>
      <c r="D10048" s="802"/>
      <c r="E10048" s="802"/>
      <c r="F10048" s="802"/>
      <c r="G10048" s="802"/>
      <c r="H10048" s="802"/>
      <c r="I10048" s="612"/>
      <c r="J10048" s="612"/>
      <c r="K10048" s="612"/>
      <c r="L10048" s="612"/>
    </row>
    <row r="10049" spans="1:12" ht="17.100000000000001" customHeight="1">
      <c r="A10049" s="612" t="s">
        <v>13679</v>
      </c>
      <c r="B10049" s="636" t="s">
        <v>12698</v>
      </c>
      <c r="C10049" s="612" t="s">
        <v>12699</v>
      </c>
      <c r="D10049" s="612" t="s">
        <v>12700</v>
      </c>
      <c r="E10049" s="637" t="s">
        <v>12702</v>
      </c>
      <c r="F10049" s="801" t="s">
        <v>12704</v>
      </c>
      <c r="G10049" s="801"/>
      <c r="H10049" s="801" t="s">
        <v>13678</v>
      </c>
      <c r="I10049" s="801"/>
      <c r="J10049" s="801" t="s">
        <v>12705</v>
      </c>
      <c r="K10049" s="801"/>
      <c r="L10049" s="801"/>
    </row>
    <row r="10050" spans="1:12" ht="25.5">
      <c r="A10050" s="626" t="s">
        <v>12709</v>
      </c>
      <c r="B10050" s="627" t="s">
        <v>12998</v>
      </c>
      <c r="C10050" s="626" t="s">
        <v>8</v>
      </c>
      <c r="D10050" s="626" t="s">
        <v>11861</v>
      </c>
      <c r="E10050" s="628" t="s">
        <v>23</v>
      </c>
      <c r="F10050" s="816" t="s">
        <v>13683</v>
      </c>
      <c r="G10050" s="816"/>
      <c r="H10050" s="816">
        <v>1.2562499</v>
      </c>
      <c r="I10050" s="816"/>
      <c r="J10050" s="817">
        <v>0.89190000000000003</v>
      </c>
      <c r="K10050" s="817"/>
      <c r="L10050" s="817"/>
    </row>
    <row r="10051" spans="1:12" ht="17.100000000000001" customHeight="1">
      <c r="A10051" s="636"/>
      <c r="B10051" s="636"/>
      <c r="C10051" s="636"/>
      <c r="D10051" s="636"/>
      <c r="E10051" s="636"/>
      <c r="F10051" s="636"/>
      <c r="G10051" s="636"/>
      <c r="H10051" s="636"/>
      <c r="I10051" s="636"/>
      <c r="J10051" s="636" t="s">
        <v>13675</v>
      </c>
      <c r="K10051" s="636"/>
      <c r="L10051" s="636" t="s">
        <v>13816</v>
      </c>
    </row>
    <row r="10052" spans="1:12" ht="24" customHeight="1">
      <c r="A10052" s="802" t="s">
        <v>12713</v>
      </c>
      <c r="B10052" s="802"/>
      <c r="C10052" s="802"/>
      <c r="D10052" s="802"/>
      <c r="E10052" s="802"/>
      <c r="F10052" s="802"/>
      <c r="G10052" s="802"/>
      <c r="H10052" s="802"/>
      <c r="I10052" s="612"/>
      <c r="J10052" s="612"/>
      <c r="K10052" s="612"/>
      <c r="L10052" s="612"/>
    </row>
    <row r="10053" spans="1:12" ht="17.100000000000001" customHeight="1">
      <c r="A10053" s="612" t="s">
        <v>13679</v>
      </c>
      <c r="B10053" s="636" t="s">
        <v>12698</v>
      </c>
      <c r="C10053" s="612" t="s">
        <v>12699</v>
      </c>
      <c r="D10053" s="612" t="s">
        <v>12700</v>
      </c>
      <c r="E10053" s="637" t="s">
        <v>12702</v>
      </c>
      <c r="F10053" s="801" t="s">
        <v>12704</v>
      </c>
      <c r="G10053" s="801"/>
      <c r="H10053" s="801" t="s">
        <v>13678</v>
      </c>
      <c r="I10053" s="801"/>
      <c r="J10053" s="801" t="s">
        <v>12705</v>
      </c>
      <c r="K10053" s="801"/>
      <c r="L10053" s="801"/>
    </row>
    <row r="10054" spans="1:12" ht="25.5">
      <c r="A10054" s="626" t="s">
        <v>12709</v>
      </c>
      <c r="B10054" s="627" t="s">
        <v>12999</v>
      </c>
      <c r="C10054" s="626" t="s">
        <v>8</v>
      </c>
      <c r="D10054" s="626" t="s">
        <v>11251</v>
      </c>
      <c r="E10054" s="628" t="s">
        <v>23</v>
      </c>
      <c r="F10054" s="816" t="s">
        <v>13681</v>
      </c>
      <c r="G10054" s="816"/>
      <c r="H10054" s="816">
        <v>1.2562499</v>
      </c>
      <c r="I10054" s="816"/>
      <c r="J10054" s="817">
        <v>8.7900000000000006E-2</v>
      </c>
      <c r="K10054" s="817"/>
      <c r="L10054" s="817"/>
    </row>
    <row r="10055" spans="1:12" ht="17.100000000000001" customHeight="1">
      <c r="A10055" s="636"/>
      <c r="B10055" s="636"/>
      <c r="C10055" s="636"/>
      <c r="D10055" s="636"/>
      <c r="E10055" s="636"/>
      <c r="F10055" s="636"/>
      <c r="G10055" s="636"/>
      <c r="H10055" s="636"/>
      <c r="I10055" s="636"/>
      <c r="J10055" s="636" t="s">
        <v>13675</v>
      </c>
      <c r="K10055" s="636"/>
      <c r="L10055" s="636" t="s">
        <v>13815</v>
      </c>
    </row>
    <row r="10056" spans="1:12" ht="24" customHeight="1">
      <c r="A10056" s="802" t="s">
        <v>12712</v>
      </c>
      <c r="B10056" s="802"/>
      <c r="C10056" s="802"/>
      <c r="D10056" s="802"/>
      <c r="E10056" s="802"/>
      <c r="F10056" s="802"/>
      <c r="G10056" s="802"/>
      <c r="H10056" s="802"/>
      <c r="I10056" s="612"/>
      <c r="J10056" s="612"/>
      <c r="K10056" s="612"/>
      <c r="L10056" s="612"/>
    </row>
    <row r="10057" spans="1:12" ht="24" customHeight="1">
      <c r="A10057" s="612" t="s">
        <v>13679</v>
      </c>
      <c r="B10057" s="636" t="s">
        <v>12698</v>
      </c>
      <c r="C10057" s="612" t="s">
        <v>12699</v>
      </c>
      <c r="D10057" s="612" t="s">
        <v>12700</v>
      </c>
      <c r="E10057" s="637" t="s">
        <v>12702</v>
      </c>
      <c r="F10057" s="801" t="s">
        <v>12704</v>
      </c>
      <c r="G10057" s="801"/>
      <c r="H10057" s="801" t="s">
        <v>13678</v>
      </c>
      <c r="I10057" s="801"/>
      <c r="J10057" s="801" t="s">
        <v>12705</v>
      </c>
      <c r="K10057" s="801"/>
      <c r="L10057" s="801"/>
    </row>
    <row r="10058" spans="1:12" ht="17.100000000000001" customHeight="1">
      <c r="A10058" s="626" t="s">
        <v>12709</v>
      </c>
      <c r="B10058" s="627" t="s">
        <v>13002</v>
      </c>
      <c r="C10058" s="626" t="s">
        <v>8</v>
      </c>
      <c r="D10058" s="626" t="s">
        <v>9306</v>
      </c>
      <c r="E10058" s="628" t="s">
        <v>23</v>
      </c>
      <c r="F10058" s="816" t="s">
        <v>13677</v>
      </c>
      <c r="G10058" s="816"/>
      <c r="H10058" s="816">
        <v>1.2562499</v>
      </c>
      <c r="I10058" s="816"/>
      <c r="J10058" s="817">
        <v>0.43969999999999998</v>
      </c>
      <c r="K10058" s="817"/>
      <c r="L10058" s="817"/>
    </row>
    <row r="10059" spans="1:12" ht="17.100000000000001" customHeight="1">
      <c r="A10059" s="626" t="s">
        <v>12709</v>
      </c>
      <c r="B10059" s="627" t="s">
        <v>13004</v>
      </c>
      <c r="C10059" s="626" t="s">
        <v>8</v>
      </c>
      <c r="D10059" s="626" t="s">
        <v>7388</v>
      </c>
      <c r="E10059" s="628" t="s">
        <v>23</v>
      </c>
      <c r="F10059" s="816" t="s">
        <v>13676</v>
      </c>
      <c r="G10059" s="816"/>
      <c r="H10059" s="816">
        <v>1.2562499</v>
      </c>
      <c r="I10059" s="816"/>
      <c r="J10059" s="817">
        <v>2.7637</v>
      </c>
      <c r="K10059" s="817"/>
      <c r="L10059" s="817"/>
    </row>
    <row r="10060" spans="1:12" ht="17.100000000000001" customHeight="1">
      <c r="A10060" s="636"/>
      <c r="B10060" s="636"/>
      <c r="C10060" s="636"/>
      <c r="D10060" s="636"/>
      <c r="E10060" s="636"/>
      <c r="F10060" s="636"/>
      <c r="G10060" s="636"/>
      <c r="H10060" s="636"/>
      <c r="I10060" s="636"/>
      <c r="J10060" s="636" t="s">
        <v>13675</v>
      </c>
      <c r="K10060" s="636"/>
      <c r="L10060" s="636" t="s">
        <v>13814</v>
      </c>
    </row>
    <row r="10061" spans="1:12" ht="17.100000000000001" customHeight="1">
      <c r="A10061" s="612" t="s">
        <v>13673</v>
      </c>
      <c r="B10061" s="612"/>
      <c r="C10061" s="612"/>
      <c r="D10061" s="612"/>
      <c r="E10061" s="612"/>
      <c r="F10061" s="612"/>
      <c r="G10061" s="612"/>
      <c r="H10061" s="612"/>
      <c r="I10061" s="612"/>
      <c r="J10061" s="612"/>
      <c r="K10061" s="612"/>
      <c r="L10061" s="612"/>
    </row>
    <row r="10062" spans="1:12" ht="17.100000000000001" customHeight="1">
      <c r="A10062" s="636"/>
      <c r="B10062" s="636"/>
      <c r="C10062" s="636"/>
      <c r="D10062" s="636"/>
      <c r="E10062" s="636"/>
      <c r="F10062" s="636"/>
      <c r="G10062" s="636"/>
      <c r="H10062" s="636"/>
      <c r="I10062" s="636"/>
      <c r="J10062" s="636" t="s">
        <v>13672</v>
      </c>
      <c r="K10062" s="636"/>
      <c r="L10062" s="636" t="s">
        <v>15646</v>
      </c>
    </row>
    <row r="10063" spans="1:12" ht="17.100000000000001" customHeight="1">
      <c r="A10063" s="636"/>
      <c r="B10063" s="636"/>
      <c r="C10063" s="636"/>
      <c r="D10063" s="636"/>
      <c r="E10063" s="636"/>
      <c r="F10063" s="636"/>
      <c r="G10063" s="636"/>
      <c r="H10063" s="636"/>
      <c r="I10063" s="636"/>
      <c r="J10063" s="636" t="s">
        <v>13671</v>
      </c>
      <c r="K10063" s="636" t="s">
        <v>14461</v>
      </c>
      <c r="L10063" s="636" t="s">
        <v>15679</v>
      </c>
    </row>
    <row r="10064" spans="1:12" ht="17.100000000000001" customHeight="1">
      <c r="A10064" s="636"/>
      <c r="B10064" s="636"/>
      <c r="C10064" s="636"/>
      <c r="D10064" s="636"/>
      <c r="E10064" s="636"/>
      <c r="F10064" s="636"/>
      <c r="G10064" s="636"/>
      <c r="H10064" s="636"/>
      <c r="I10064" s="636"/>
      <c r="J10064" s="636" t="s">
        <v>13670</v>
      </c>
      <c r="K10064" s="636"/>
      <c r="L10064" s="636" t="s">
        <v>15583</v>
      </c>
    </row>
    <row r="10065" spans="1:12" ht="30" customHeight="1">
      <c r="A10065" s="636"/>
      <c r="B10065" s="636"/>
      <c r="C10065" s="636"/>
      <c r="D10065" s="636"/>
      <c r="E10065" s="636"/>
      <c r="F10065" s="636"/>
      <c r="G10065" s="636"/>
      <c r="H10065" s="636"/>
      <c r="I10065" s="636"/>
      <c r="J10065" s="636" t="s">
        <v>13669</v>
      </c>
      <c r="K10065" s="636" t="s">
        <v>13667</v>
      </c>
      <c r="L10065" s="636" t="s">
        <v>15584</v>
      </c>
    </row>
    <row r="10066" spans="1:12" ht="24" customHeight="1">
      <c r="A10066" s="636"/>
      <c r="B10066" s="636"/>
      <c r="C10066" s="636"/>
      <c r="D10066" s="636"/>
      <c r="E10066" s="636"/>
      <c r="F10066" s="636"/>
      <c r="G10066" s="636"/>
      <c r="H10066" s="636"/>
      <c r="I10066" s="636"/>
      <c r="J10066" s="636" t="s">
        <v>13668</v>
      </c>
      <c r="K10066" s="636"/>
      <c r="L10066" s="636" t="s">
        <v>15280</v>
      </c>
    </row>
    <row r="10067" spans="1:12" ht="14.25" customHeight="1">
      <c r="A10067" s="637"/>
      <c r="B10067" s="637"/>
      <c r="C10067" s="637"/>
      <c r="D10067" s="637"/>
      <c r="E10067" s="637"/>
      <c r="F10067" s="637"/>
      <c r="G10067" s="637"/>
      <c r="H10067" s="637"/>
      <c r="I10067" s="637"/>
      <c r="J10067" s="637"/>
      <c r="K10067" s="637"/>
      <c r="L10067" s="637"/>
    </row>
    <row r="10068" spans="1:12" ht="17.100000000000001" customHeight="1">
      <c r="A10068" s="616" t="s">
        <v>13813</v>
      </c>
      <c r="B10068" s="617" t="s">
        <v>13416</v>
      </c>
      <c r="C10068" s="616" t="s">
        <v>8</v>
      </c>
      <c r="D10068" s="616" t="s">
        <v>3116</v>
      </c>
      <c r="E10068" s="618" t="s">
        <v>17</v>
      </c>
      <c r="F10068" s="617"/>
      <c r="G10068" s="617"/>
      <c r="H10068" s="617"/>
      <c r="I10068" s="617"/>
      <c r="J10068" s="617"/>
      <c r="K10068" s="617"/>
      <c r="L10068" s="617"/>
    </row>
    <row r="10069" spans="1:12" ht="24" customHeight="1">
      <c r="A10069" s="802" t="s">
        <v>12711</v>
      </c>
      <c r="B10069" s="802"/>
      <c r="C10069" s="802"/>
      <c r="D10069" s="802"/>
      <c r="E10069" s="802"/>
      <c r="F10069" s="802"/>
      <c r="G10069" s="802"/>
      <c r="H10069" s="802"/>
      <c r="I10069" s="612"/>
      <c r="J10069" s="612"/>
      <c r="K10069" s="612"/>
      <c r="L10069" s="612"/>
    </row>
    <row r="10070" spans="1:12" ht="24" customHeight="1">
      <c r="A10070" s="612" t="s">
        <v>13679</v>
      </c>
      <c r="B10070" s="636" t="s">
        <v>12698</v>
      </c>
      <c r="C10070" s="612" t="s">
        <v>12699</v>
      </c>
      <c r="D10070" s="612" t="s">
        <v>12700</v>
      </c>
      <c r="E10070" s="637" t="s">
        <v>12702</v>
      </c>
      <c r="F10070" s="801" t="s">
        <v>12704</v>
      </c>
      <c r="G10070" s="801"/>
      <c r="H10070" s="801" t="s">
        <v>13678</v>
      </c>
      <c r="I10070" s="801"/>
      <c r="J10070" s="801" t="s">
        <v>12705</v>
      </c>
      <c r="K10070" s="801"/>
      <c r="L10070" s="801"/>
    </row>
    <row r="10071" spans="1:12" ht="24" customHeight="1">
      <c r="A10071" s="626" t="s">
        <v>12709</v>
      </c>
      <c r="B10071" s="627" t="s">
        <v>13134</v>
      </c>
      <c r="C10071" s="626" t="s">
        <v>8</v>
      </c>
      <c r="D10071" s="626" t="s">
        <v>9219</v>
      </c>
      <c r="E10071" s="628" t="s">
        <v>23</v>
      </c>
      <c r="F10071" s="816" t="s">
        <v>13782</v>
      </c>
      <c r="G10071" s="816"/>
      <c r="H10071" s="816">
        <v>0.2547585</v>
      </c>
      <c r="I10071" s="816"/>
      <c r="J10071" s="817">
        <v>0.2369</v>
      </c>
      <c r="K10071" s="817"/>
      <c r="L10071" s="817"/>
    </row>
    <row r="10072" spans="1:12" ht="24" customHeight="1">
      <c r="A10072" s="626" t="s">
        <v>12709</v>
      </c>
      <c r="B10072" s="627" t="s">
        <v>13133</v>
      </c>
      <c r="C10072" s="626" t="s">
        <v>8</v>
      </c>
      <c r="D10072" s="626" t="s">
        <v>9366</v>
      </c>
      <c r="E10072" s="628" t="s">
        <v>23</v>
      </c>
      <c r="F10072" s="816" t="s">
        <v>13781</v>
      </c>
      <c r="G10072" s="816"/>
      <c r="H10072" s="816">
        <v>0.2547585</v>
      </c>
      <c r="I10072" s="816"/>
      <c r="J10072" s="817">
        <v>0.1401</v>
      </c>
      <c r="K10072" s="817"/>
      <c r="L10072" s="817"/>
    </row>
    <row r="10073" spans="1:12" ht="17.100000000000001" customHeight="1">
      <c r="A10073" s="636"/>
      <c r="B10073" s="636"/>
      <c r="C10073" s="636"/>
      <c r="D10073" s="636"/>
      <c r="E10073" s="636"/>
      <c r="F10073" s="636"/>
      <c r="G10073" s="636"/>
      <c r="H10073" s="636"/>
      <c r="I10073" s="636"/>
      <c r="J10073" s="636" t="s">
        <v>13675</v>
      </c>
      <c r="K10073" s="636"/>
      <c r="L10073" s="636" t="s">
        <v>13689</v>
      </c>
    </row>
    <row r="10074" spans="1:12" ht="14.25" customHeight="1">
      <c r="A10074" s="802" t="s">
        <v>12710</v>
      </c>
      <c r="B10074" s="802"/>
      <c r="C10074" s="802"/>
      <c r="D10074" s="802"/>
      <c r="E10074" s="802"/>
      <c r="F10074" s="802"/>
      <c r="G10074" s="802"/>
      <c r="H10074" s="802"/>
      <c r="I10074" s="612"/>
      <c r="J10074" s="612"/>
      <c r="K10074" s="612"/>
      <c r="L10074" s="612"/>
    </row>
    <row r="10075" spans="1:12" ht="17.100000000000001" customHeight="1">
      <c r="A10075" s="612" t="s">
        <v>13679</v>
      </c>
      <c r="B10075" s="636" t="s">
        <v>12698</v>
      </c>
      <c r="C10075" s="612" t="s">
        <v>12699</v>
      </c>
      <c r="D10075" s="612" t="s">
        <v>12700</v>
      </c>
      <c r="E10075" s="637" t="s">
        <v>12702</v>
      </c>
      <c r="F10075" s="801" t="s">
        <v>12704</v>
      </c>
      <c r="G10075" s="801"/>
      <c r="H10075" s="801" t="s">
        <v>13678</v>
      </c>
      <c r="I10075" s="801"/>
      <c r="J10075" s="801" t="s">
        <v>12705</v>
      </c>
      <c r="K10075" s="801"/>
      <c r="L10075" s="801"/>
    </row>
    <row r="10076" spans="1:12" ht="24" customHeight="1">
      <c r="A10076" s="626" t="s">
        <v>12709</v>
      </c>
      <c r="B10076" s="627" t="s">
        <v>13222</v>
      </c>
      <c r="C10076" s="626" t="s">
        <v>8</v>
      </c>
      <c r="D10076" s="626" t="s">
        <v>7364</v>
      </c>
      <c r="E10076" s="628" t="s">
        <v>23</v>
      </c>
      <c r="F10076" s="816" t="s">
        <v>13808</v>
      </c>
      <c r="G10076" s="816"/>
      <c r="H10076" s="816">
        <v>0.13059660000000001</v>
      </c>
      <c r="I10076" s="816"/>
      <c r="J10076" s="817">
        <v>0.65559999999999996</v>
      </c>
      <c r="K10076" s="817"/>
      <c r="L10076" s="817"/>
    </row>
    <row r="10077" spans="1:12" ht="24" customHeight="1">
      <c r="A10077" s="626" t="s">
        <v>12709</v>
      </c>
      <c r="B10077" s="627" t="s">
        <v>13204</v>
      </c>
      <c r="C10077" s="626" t="s">
        <v>8</v>
      </c>
      <c r="D10077" s="626" t="s">
        <v>9112</v>
      </c>
      <c r="E10077" s="628" t="s">
        <v>23</v>
      </c>
      <c r="F10077" s="816" t="s">
        <v>14479</v>
      </c>
      <c r="G10077" s="816"/>
      <c r="H10077" s="816">
        <v>0.13059660000000001</v>
      </c>
      <c r="I10077" s="816"/>
      <c r="J10077" s="817">
        <v>0.93379999999999996</v>
      </c>
      <c r="K10077" s="817"/>
      <c r="L10077" s="817"/>
    </row>
    <row r="10078" spans="1:12" ht="17.100000000000001" customHeight="1">
      <c r="A10078" s="636"/>
      <c r="B10078" s="636"/>
      <c r="C10078" s="636"/>
      <c r="D10078" s="636"/>
      <c r="E10078" s="636"/>
      <c r="F10078" s="636"/>
      <c r="G10078" s="636"/>
      <c r="H10078" s="636"/>
      <c r="I10078" s="636"/>
      <c r="J10078" s="636" t="s">
        <v>13675</v>
      </c>
      <c r="K10078" s="636"/>
      <c r="L10078" s="636" t="s">
        <v>13847</v>
      </c>
    </row>
    <row r="10079" spans="1:12">
      <c r="A10079" s="802" t="s">
        <v>12720</v>
      </c>
      <c r="B10079" s="802"/>
      <c r="C10079" s="802"/>
      <c r="D10079" s="802"/>
      <c r="E10079" s="802"/>
      <c r="F10079" s="802"/>
      <c r="G10079" s="802"/>
      <c r="H10079" s="802"/>
      <c r="I10079" s="612"/>
      <c r="J10079" s="612"/>
      <c r="K10079" s="612"/>
      <c r="L10079" s="612"/>
    </row>
    <row r="10080" spans="1:12" ht="17.100000000000001" customHeight="1">
      <c r="A10080" s="612" t="s">
        <v>13679</v>
      </c>
      <c r="B10080" s="636" t="s">
        <v>12698</v>
      </c>
      <c r="C10080" s="612" t="s">
        <v>12699</v>
      </c>
      <c r="D10080" s="612" t="s">
        <v>12700</v>
      </c>
      <c r="E10080" s="637" t="s">
        <v>12702</v>
      </c>
      <c r="F10080" s="801" t="s">
        <v>12704</v>
      </c>
      <c r="G10080" s="801"/>
      <c r="H10080" s="801" t="s">
        <v>13678</v>
      </c>
      <c r="I10080" s="801"/>
      <c r="J10080" s="801" t="s">
        <v>12705</v>
      </c>
      <c r="K10080" s="801"/>
      <c r="L10080" s="801"/>
    </row>
    <row r="10081" spans="1:12" ht="24" customHeight="1">
      <c r="A10081" s="626" t="s">
        <v>12709</v>
      </c>
      <c r="B10081" s="627" t="s">
        <v>13370</v>
      </c>
      <c r="C10081" s="626" t="s">
        <v>8</v>
      </c>
      <c r="D10081" s="626" t="s">
        <v>9418</v>
      </c>
      <c r="E10081" s="628" t="s">
        <v>35</v>
      </c>
      <c r="F10081" s="816" t="s">
        <v>13786</v>
      </c>
      <c r="G10081" s="816"/>
      <c r="H10081" s="816">
        <v>8.9999999999999993E-3</v>
      </c>
      <c r="I10081" s="816"/>
      <c r="J10081" s="817">
        <v>0.03</v>
      </c>
      <c r="K10081" s="817"/>
      <c r="L10081" s="817"/>
    </row>
    <row r="10082" spans="1:12" ht="36" customHeight="1">
      <c r="A10082" s="626" t="s">
        <v>12709</v>
      </c>
      <c r="B10082" s="627" t="s">
        <v>13415</v>
      </c>
      <c r="C10082" s="626" t="s">
        <v>8</v>
      </c>
      <c r="D10082" s="626" t="s">
        <v>7980</v>
      </c>
      <c r="E10082" s="628" t="s">
        <v>17</v>
      </c>
      <c r="F10082" s="816" t="s">
        <v>14532</v>
      </c>
      <c r="G10082" s="816"/>
      <c r="H10082" s="816">
        <v>1.0149999999999999</v>
      </c>
      <c r="I10082" s="816"/>
      <c r="J10082" s="817">
        <v>56.37</v>
      </c>
      <c r="K10082" s="817"/>
      <c r="L10082" s="817"/>
    </row>
    <row r="10083" spans="1:12" ht="17.100000000000001" customHeight="1">
      <c r="A10083" s="636"/>
      <c r="B10083" s="636"/>
      <c r="C10083" s="636"/>
      <c r="D10083" s="636"/>
      <c r="E10083" s="636"/>
      <c r="F10083" s="636"/>
      <c r="G10083" s="636"/>
      <c r="H10083" s="636"/>
      <c r="I10083" s="636"/>
      <c r="J10083" s="636" t="s">
        <v>13675</v>
      </c>
      <c r="K10083" s="636"/>
      <c r="L10083" s="636" t="s">
        <v>14531</v>
      </c>
    </row>
    <row r="10084" spans="1:12">
      <c r="A10084" s="802" t="s">
        <v>12722</v>
      </c>
      <c r="B10084" s="802"/>
      <c r="C10084" s="802"/>
      <c r="D10084" s="802"/>
      <c r="E10084" s="802"/>
      <c r="F10084" s="802"/>
      <c r="G10084" s="802"/>
      <c r="H10084" s="802"/>
      <c r="I10084" s="612"/>
      <c r="J10084" s="612"/>
      <c r="K10084" s="612"/>
      <c r="L10084" s="612"/>
    </row>
    <row r="10085" spans="1:12" ht="17.100000000000001" customHeight="1">
      <c r="A10085" s="612" t="s">
        <v>13679</v>
      </c>
      <c r="B10085" s="636" t="s">
        <v>12698</v>
      </c>
      <c r="C10085" s="612" t="s">
        <v>12699</v>
      </c>
      <c r="D10085" s="612" t="s">
        <v>12700</v>
      </c>
      <c r="E10085" s="637" t="s">
        <v>12702</v>
      </c>
      <c r="F10085" s="801" t="s">
        <v>12704</v>
      </c>
      <c r="G10085" s="801"/>
      <c r="H10085" s="801" t="s">
        <v>13678</v>
      </c>
      <c r="I10085" s="801"/>
      <c r="J10085" s="801" t="s">
        <v>12705</v>
      </c>
      <c r="K10085" s="801"/>
      <c r="L10085" s="801"/>
    </row>
    <row r="10086" spans="1:12" ht="24" customHeight="1">
      <c r="A10086" s="626" t="s">
        <v>12709</v>
      </c>
      <c r="B10086" s="627" t="s">
        <v>12998</v>
      </c>
      <c r="C10086" s="626" t="s">
        <v>8</v>
      </c>
      <c r="D10086" s="626" t="s">
        <v>11861</v>
      </c>
      <c r="E10086" s="628" t="s">
        <v>23</v>
      </c>
      <c r="F10086" s="816" t="s">
        <v>13683</v>
      </c>
      <c r="G10086" s="816"/>
      <c r="H10086" s="816">
        <v>0.2547585</v>
      </c>
      <c r="I10086" s="816"/>
      <c r="J10086" s="817">
        <v>0.18090000000000001</v>
      </c>
      <c r="K10086" s="817"/>
      <c r="L10086" s="817"/>
    </row>
    <row r="10087" spans="1:12" ht="17.100000000000001" customHeight="1">
      <c r="A10087" s="636"/>
      <c r="B10087" s="636"/>
      <c r="C10087" s="636"/>
      <c r="D10087" s="636"/>
      <c r="E10087" s="636"/>
      <c r="F10087" s="636"/>
      <c r="G10087" s="636"/>
      <c r="H10087" s="636"/>
      <c r="I10087" s="636"/>
      <c r="J10087" s="636" t="s">
        <v>13675</v>
      </c>
      <c r="K10087" s="636"/>
      <c r="L10087" s="636" t="s">
        <v>13682</v>
      </c>
    </row>
    <row r="10088" spans="1:12">
      <c r="A10088" s="802" t="s">
        <v>12713</v>
      </c>
      <c r="B10088" s="802"/>
      <c r="C10088" s="802"/>
      <c r="D10088" s="802"/>
      <c r="E10088" s="802"/>
      <c r="F10088" s="802"/>
      <c r="G10088" s="802"/>
      <c r="H10088" s="802"/>
      <c r="I10088" s="612"/>
      <c r="J10088" s="612"/>
      <c r="K10088" s="612"/>
      <c r="L10088" s="612"/>
    </row>
    <row r="10089" spans="1:12" ht="17.100000000000001" customHeight="1">
      <c r="A10089" s="612" t="s">
        <v>13679</v>
      </c>
      <c r="B10089" s="636" t="s">
        <v>12698</v>
      </c>
      <c r="C10089" s="612" t="s">
        <v>12699</v>
      </c>
      <c r="D10089" s="612" t="s">
        <v>12700</v>
      </c>
      <c r="E10089" s="637" t="s">
        <v>12702</v>
      </c>
      <c r="F10089" s="801" t="s">
        <v>12704</v>
      </c>
      <c r="G10089" s="801"/>
      <c r="H10089" s="801" t="s">
        <v>13678</v>
      </c>
      <c r="I10089" s="801"/>
      <c r="J10089" s="801" t="s">
        <v>12705</v>
      </c>
      <c r="K10089" s="801"/>
      <c r="L10089" s="801"/>
    </row>
    <row r="10090" spans="1:12" ht="24" customHeight="1">
      <c r="A10090" s="626" t="s">
        <v>12709</v>
      </c>
      <c r="B10090" s="627" t="s">
        <v>12999</v>
      </c>
      <c r="C10090" s="626" t="s">
        <v>8</v>
      </c>
      <c r="D10090" s="626" t="s">
        <v>11251</v>
      </c>
      <c r="E10090" s="628" t="s">
        <v>23</v>
      </c>
      <c r="F10090" s="816" t="s">
        <v>13681</v>
      </c>
      <c r="G10090" s="816"/>
      <c r="H10090" s="816">
        <v>0.2547585</v>
      </c>
      <c r="I10090" s="816"/>
      <c r="J10090" s="817">
        <v>1.78E-2</v>
      </c>
      <c r="K10090" s="817"/>
      <c r="L10090" s="817"/>
    </row>
    <row r="10091" spans="1:12" ht="17.100000000000001" customHeight="1">
      <c r="A10091" s="636"/>
      <c r="B10091" s="636"/>
      <c r="C10091" s="636"/>
      <c r="D10091" s="636"/>
      <c r="E10091" s="636"/>
      <c r="F10091" s="636"/>
      <c r="G10091" s="636"/>
      <c r="H10091" s="636"/>
      <c r="I10091" s="636"/>
      <c r="J10091" s="636" t="s">
        <v>13675</v>
      </c>
      <c r="K10091" s="636"/>
      <c r="L10091" s="636" t="s">
        <v>13680</v>
      </c>
    </row>
    <row r="10092" spans="1:12">
      <c r="A10092" s="802" t="s">
        <v>12712</v>
      </c>
      <c r="B10092" s="802"/>
      <c r="C10092" s="802"/>
      <c r="D10092" s="802"/>
      <c r="E10092" s="802"/>
      <c r="F10092" s="802"/>
      <c r="G10092" s="802"/>
      <c r="H10092" s="802"/>
      <c r="I10092" s="612"/>
      <c r="J10092" s="612"/>
      <c r="K10092" s="612"/>
      <c r="L10092" s="612"/>
    </row>
    <row r="10093" spans="1:12" ht="17.100000000000001" customHeight="1">
      <c r="A10093" s="612" t="s">
        <v>13679</v>
      </c>
      <c r="B10093" s="636" t="s">
        <v>12698</v>
      </c>
      <c r="C10093" s="612" t="s">
        <v>12699</v>
      </c>
      <c r="D10093" s="612" t="s">
        <v>12700</v>
      </c>
      <c r="E10093" s="637" t="s">
        <v>12702</v>
      </c>
      <c r="F10093" s="801" t="s">
        <v>12704</v>
      </c>
      <c r="G10093" s="801"/>
      <c r="H10093" s="801" t="s">
        <v>13678</v>
      </c>
      <c r="I10093" s="801"/>
      <c r="J10093" s="801" t="s">
        <v>12705</v>
      </c>
      <c r="K10093" s="801"/>
      <c r="L10093" s="801"/>
    </row>
    <row r="10094" spans="1:12" ht="24" customHeight="1">
      <c r="A10094" s="626" t="s">
        <v>12709</v>
      </c>
      <c r="B10094" s="627" t="s">
        <v>13002</v>
      </c>
      <c r="C10094" s="626" t="s">
        <v>8</v>
      </c>
      <c r="D10094" s="626" t="s">
        <v>9306</v>
      </c>
      <c r="E10094" s="628" t="s">
        <v>23</v>
      </c>
      <c r="F10094" s="816" t="s">
        <v>13677</v>
      </c>
      <c r="G10094" s="816"/>
      <c r="H10094" s="816">
        <v>0.2547585</v>
      </c>
      <c r="I10094" s="816"/>
      <c r="J10094" s="817">
        <v>8.9200000000000002E-2</v>
      </c>
      <c r="K10094" s="817"/>
      <c r="L10094" s="817"/>
    </row>
    <row r="10095" spans="1:12" ht="24" customHeight="1">
      <c r="A10095" s="626" t="s">
        <v>12709</v>
      </c>
      <c r="B10095" s="627" t="s">
        <v>13004</v>
      </c>
      <c r="C10095" s="626" t="s">
        <v>8</v>
      </c>
      <c r="D10095" s="626" t="s">
        <v>7388</v>
      </c>
      <c r="E10095" s="628" t="s">
        <v>23</v>
      </c>
      <c r="F10095" s="816" t="s">
        <v>13676</v>
      </c>
      <c r="G10095" s="816"/>
      <c r="H10095" s="816">
        <v>0.2547585</v>
      </c>
      <c r="I10095" s="816"/>
      <c r="J10095" s="817">
        <v>0.5605</v>
      </c>
      <c r="K10095" s="817"/>
      <c r="L10095" s="817"/>
    </row>
    <row r="10096" spans="1:12" ht="17.100000000000001" customHeight="1">
      <c r="A10096" s="636"/>
      <c r="B10096" s="636"/>
      <c r="C10096" s="636"/>
      <c r="D10096" s="636"/>
      <c r="E10096" s="636"/>
      <c r="F10096" s="636"/>
      <c r="G10096" s="636"/>
      <c r="H10096" s="636"/>
      <c r="I10096" s="636"/>
      <c r="J10096" s="636" t="s">
        <v>13675</v>
      </c>
      <c r="K10096" s="636"/>
      <c r="L10096" s="636" t="s">
        <v>13738</v>
      </c>
    </row>
    <row r="10097" spans="1:12" ht="17.100000000000001" customHeight="1">
      <c r="A10097" s="612" t="s">
        <v>13673</v>
      </c>
      <c r="B10097" s="612"/>
      <c r="C10097" s="612"/>
      <c r="D10097" s="612"/>
      <c r="E10097" s="612"/>
      <c r="F10097" s="612"/>
      <c r="G10097" s="612"/>
      <c r="H10097" s="612"/>
      <c r="I10097" s="612"/>
      <c r="J10097" s="612"/>
      <c r="K10097" s="612"/>
      <c r="L10097" s="612"/>
    </row>
    <row r="10098" spans="1:12" ht="17.100000000000001" customHeight="1">
      <c r="A10098" s="636"/>
      <c r="B10098" s="636"/>
      <c r="C10098" s="636"/>
      <c r="D10098" s="636"/>
      <c r="E10098" s="636"/>
      <c r="F10098" s="636"/>
      <c r="G10098" s="636"/>
      <c r="H10098" s="636"/>
      <c r="I10098" s="636"/>
      <c r="J10098" s="636" t="s">
        <v>13672</v>
      </c>
      <c r="K10098" s="636"/>
      <c r="L10098" s="636" t="s">
        <v>15669</v>
      </c>
    </row>
    <row r="10099" spans="1:12" ht="17.100000000000001" customHeight="1">
      <c r="A10099" s="636"/>
      <c r="B10099" s="636"/>
      <c r="C10099" s="636"/>
      <c r="D10099" s="636"/>
      <c r="E10099" s="636"/>
      <c r="F10099" s="636"/>
      <c r="G10099" s="636"/>
      <c r="H10099" s="636"/>
      <c r="I10099" s="636"/>
      <c r="J10099" s="636" t="s">
        <v>13671</v>
      </c>
      <c r="K10099" s="636" t="s">
        <v>14461</v>
      </c>
      <c r="L10099" s="636" t="s">
        <v>15670</v>
      </c>
    </row>
    <row r="10100" spans="1:12" ht="17.100000000000001" customHeight="1">
      <c r="A10100" s="636"/>
      <c r="B10100" s="636"/>
      <c r="C10100" s="636"/>
      <c r="D10100" s="636"/>
      <c r="E10100" s="636"/>
      <c r="F10100" s="636"/>
      <c r="G10100" s="636"/>
      <c r="H10100" s="636"/>
      <c r="I10100" s="636"/>
      <c r="J10100" s="636" t="s">
        <v>13670</v>
      </c>
      <c r="K10100" s="636"/>
      <c r="L10100" s="636" t="s">
        <v>15671</v>
      </c>
    </row>
    <row r="10101" spans="1:12" ht="17.100000000000001" customHeight="1">
      <c r="A10101" s="636"/>
      <c r="B10101" s="636"/>
      <c r="C10101" s="636"/>
      <c r="D10101" s="636"/>
      <c r="E10101" s="636"/>
      <c r="F10101" s="636"/>
      <c r="G10101" s="636"/>
      <c r="H10101" s="636"/>
      <c r="I10101" s="636"/>
      <c r="J10101" s="636" t="s">
        <v>13669</v>
      </c>
      <c r="K10101" s="636" t="s">
        <v>13667</v>
      </c>
      <c r="L10101" s="636" t="s">
        <v>15672</v>
      </c>
    </row>
    <row r="10102" spans="1:12" ht="17.100000000000001" customHeight="1">
      <c r="A10102" s="636"/>
      <c r="B10102" s="636"/>
      <c r="C10102" s="636"/>
      <c r="D10102" s="636"/>
      <c r="E10102" s="636"/>
      <c r="F10102" s="636"/>
      <c r="G10102" s="636"/>
      <c r="H10102" s="636"/>
      <c r="I10102" s="636"/>
      <c r="J10102" s="636" t="s">
        <v>13668</v>
      </c>
      <c r="K10102" s="636"/>
      <c r="L10102" s="636" t="s">
        <v>15673</v>
      </c>
    </row>
    <row r="10103" spans="1:12" ht="30" customHeight="1">
      <c r="A10103" s="637"/>
      <c r="B10103" s="637"/>
      <c r="C10103" s="637"/>
      <c r="D10103" s="637"/>
      <c r="E10103" s="637"/>
      <c r="F10103" s="637"/>
      <c r="G10103" s="637"/>
      <c r="H10103" s="637"/>
      <c r="I10103" s="637"/>
      <c r="J10103" s="637"/>
      <c r="K10103" s="637"/>
      <c r="L10103" s="637"/>
    </row>
    <row r="10104" spans="1:12" ht="36" customHeight="1">
      <c r="A10104" s="616" t="s">
        <v>13811</v>
      </c>
      <c r="B10104" s="617" t="s">
        <v>13372</v>
      </c>
      <c r="C10104" s="616" t="s">
        <v>8</v>
      </c>
      <c r="D10104" s="616" t="s">
        <v>3122</v>
      </c>
      <c r="E10104" s="618" t="s">
        <v>17</v>
      </c>
      <c r="F10104" s="617"/>
      <c r="G10104" s="617"/>
      <c r="H10104" s="617"/>
      <c r="I10104" s="617"/>
      <c r="J10104" s="617"/>
      <c r="K10104" s="617"/>
      <c r="L10104" s="617"/>
    </row>
    <row r="10105" spans="1:12" ht="14.25" customHeight="1">
      <c r="A10105" s="802" t="s">
        <v>12711</v>
      </c>
      <c r="B10105" s="802"/>
      <c r="C10105" s="802"/>
      <c r="D10105" s="802"/>
      <c r="E10105" s="802"/>
      <c r="F10105" s="802"/>
      <c r="G10105" s="802"/>
      <c r="H10105" s="802"/>
      <c r="I10105" s="612"/>
      <c r="J10105" s="612"/>
      <c r="K10105" s="612"/>
      <c r="L10105" s="612"/>
    </row>
    <row r="10106" spans="1:12" ht="17.100000000000001" customHeight="1">
      <c r="A10106" s="612" t="s">
        <v>13679</v>
      </c>
      <c r="B10106" s="636" t="s">
        <v>12698</v>
      </c>
      <c r="C10106" s="612" t="s">
        <v>12699</v>
      </c>
      <c r="D10106" s="612" t="s">
        <v>12700</v>
      </c>
      <c r="E10106" s="637" t="s">
        <v>12702</v>
      </c>
      <c r="F10106" s="801" t="s">
        <v>12704</v>
      </c>
      <c r="G10106" s="801"/>
      <c r="H10106" s="801" t="s">
        <v>13678</v>
      </c>
      <c r="I10106" s="801"/>
      <c r="J10106" s="801" t="s">
        <v>12705</v>
      </c>
      <c r="K10106" s="801"/>
      <c r="L10106" s="801"/>
    </row>
    <row r="10107" spans="1:12" ht="24" customHeight="1">
      <c r="A10107" s="626" t="s">
        <v>12709</v>
      </c>
      <c r="B10107" s="627" t="s">
        <v>13134</v>
      </c>
      <c r="C10107" s="626" t="s">
        <v>8</v>
      </c>
      <c r="D10107" s="626" t="s">
        <v>9219</v>
      </c>
      <c r="E10107" s="628" t="s">
        <v>23</v>
      </c>
      <c r="F10107" s="816" t="s">
        <v>13782</v>
      </c>
      <c r="G10107" s="816"/>
      <c r="H10107" s="816">
        <v>0.42168240000000001</v>
      </c>
      <c r="I10107" s="816"/>
      <c r="J10107" s="817">
        <v>0.39219999999999999</v>
      </c>
      <c r="K10107" s="817"/>
      <c r="L10107" s="817"/>
    </row>
    <row r="10108" spans="1:12" ht="24" customHeight="1">
      <c r="A10108" s="626" t="s">
        <v>12709</v>
      </c>
      <c r="B10108" s="627" t="s">
        <v>13133</v>
      </c>
      <c r="C10108" s="626" t="s">
        <v>8</v>
      </c>
      <c r="D10108" s="626" t="s">
        <v>9366</v>
      </c>
      <c r="E10108" s="628" t="s">
        <v>23</v>
      </c>
      <c r="F10108" s="816" t="s">
        <v>13781</v>
      </c>
      <c r="G10108" s="816"/>
      <c r="H10108" s="816">
        <v>0.42168240000000001</v>
      </c>
      <c r="I10108" s="816"/>
      <c r="J10108" s="817">
        <v>0.2319</v>
      </c>
      <c r="K10108" s="817"/>
      <c r="L10108" s="817"/>
    </row>
    <row r="10109" spans="1:12" ht="24" customHeight="1">
      <c r="A10109" s="636"/>
      <c r="B10109" s="636"/>
      <c r="C10109" s="636"/>
      <c r="D10109" s="636"/>
      <c r="E10109" s="636"/>
      <c r="F10109" s="636"/>
      <c r="G10109" s="636"/>
      <c r="H10109" s="636"/>
      <c r="I10109" s="636"/>
      <c r="J10109" s="636" t="s">
        <v>13675</v>
      </c>
      <c r="K10109" s="636"/>
      <c r="L10109" s="636" t="s">
        <v>13729</v>
      </c>
    </row>
    <row r="10110" spans="1:12" ht="24" customHeight="1">
      <c r="A10110" s="802" t="s">
        <v>12710</v>
      </c>
      <c r="B10110" s="802"/>
      <c r="C10110" s="802"/>
      <c r="D10110" s="802"/>
      <c r="E10110" s="802"/>
      <c r="F10110" s="802"/>
      <c r="G10110" s="802"/>
      <c r="H10110" s="802"/>
      <c r="I10110" s="612"/>
      <c r="J10110" s="612"/>
      <c r="K10110" s="612"/>
      <c r="L10110" s="612"/>
    </row>
    <row r="10111" spans="1:12" ht="24" customHeight="1">
      <c r="A10111" s="612" t="s">
        <v>13679</v>
      </c>
      <c r="B10111" s="636" t="s">
        <v>12698</v>
      </c>
      <c r="C10111" s="612" t="s">
        <v>12699</v>
      </c>
      <c r="D10111" s="612" t="s">
        <v>12700</v>
      </c>
      <c r="E10111" s="637" t="s">
        <v>12702</v>
      </c>
      <c r="F10111" s="801" t="s">
        <v>12704</v>
      </c>
      <c r="G10111" s="801"/>
      <c r="H10111" s="801" t="s">
        <v>13678</v>
      </c>
      <c r="I10111" s="801"/>
      <c r="J10111" s="801" t="s">
        <v>12705</v>
      </c>
      <c r="K10111" s="801"/>
      <c r="L10111" s="801"/>
    </row>
    <row r="10112" spans="1:12" ht="24" customHeight="1">
      <c r="A10112" s="626" t="s">
        <v>12709</v>
      </c>
      <c r="B10112" s="627" t="s">
        <v>13222</v>
      </c>
      <c r="C10112" s="626" t="s">
        <v>8</v>
      </c>
      <c r="D10112" s="626" t="s">
        <v>7364</v>
      </c>
      <c r="E10112" s="628" t="s">
        <v>23</v>
      </c>
      <c r="F10112" s="816" t="s">
        <v>13808</v>
      </c>
      <c r="G10112" s="816"/>
      <c r="H10112" s="816">
        <v>0.21677260000000001</v>
      </c>
      <c r="I10112" s="816"/>
      <c r="J10112" s="817">
        <v>1.0882000000000001</v>
      </c>
      <c r="K10112" s="817"/>
      <c r="L10112" s="817"/>
    </row>
    <row r="10113" spans="1:12" ht="24" customHeight="1">
      <c r="A10113" s="626" t="s">
        <v>12709</v>
      </c>
      <c r="B10113" s="627" t="s">
        <v>13204</v>
      </c>
      <c r="C10113" s="626" t="s">
        <v>8</v>
      </c>
      <c r="D10113" s="626" t="s">
        <v>9112</v>
      </c>
      <c r="E10113" s="628" t="s">
        <v>23</v>
      </c>
      <c r="F10113" s="816" t="s">
        <v>14479</v>
      </c>
      <c r="G10113" s="816"/>
      <c r="H10113" s="816">
        <v>0.21677260000000001</v>
      </c>
      <c r="I10113" s="816"/>
      <c r="J10113" s="817">
        <v>1.5499000000000001</v>
      </c>
      <c r="K10113" s="817"/>
      <c r="L10113" s="817"/>
    </row>
    <row r="10114" spans="1:12" ht="17.100000000000001" customHeight="1">
      <c r="A10114" s="636"/>
      <c r="B10114" s="636"/>
      <c r="C10114" s="636"/>
      <c r="D10114" s="636"/>
      <c r="E10114" s="636"/>
      <c r="F10114" s="636"/>
      <c r="G10114" s="636"/>
      <c r="H10114" s="636"/>
      <c r="I10114" s="636"/>
      <c r="J10114" s="636" t="s">
        <v>13675</v>
      </c>
      <c r="K10114" s="636"/>
      <c r="L10114" s="636" t="s">
        <v>14530</v>
      </c>
    </row>
    <row r="10115" spans="1:12" ht="14.25" customHeight="1">
      <c r="A10115" s="802" t="s">
        <v>12720</v>
      </c>
      <c r="B10115" s="802"/>
      <c r="C10115" s="802"/>
      <c r="D10115" s="802"/>
      <c r="E10115" s="802"/>
      <c r="F10115" s="802"/>
      <c r="G10115" s="802"/>
      <c r="H10115" s="802"/>
      <c r="I10115" s="612"/>
      <c r="J10115" s="612"/>
      <c r="K10115" s="612"/>
      <c r="L10115" s="612"/>
    </row>
    <row r="10116" spans="1:12" ht="17.100000000000001" customHeight="1">
      <c r="A10116" s="612" t="s">
        <v>13679</v>
      </c>
      <c r="B10116" s="636" t="s">
        <v>12698</v>
      </c>
      <c r="C10116" s="612" t="s">
        <v>12699</v>
      </c>
      <c r="D10116" s="612" t="s">
        <v>12700</v>
      </c>
      <c r="E10116" s="637" t="s">
        <v>12702</v>
      </c>
      <c r="F10116" s="801" t="s">
        <v>12704</v>
      </c>
      <c r="G10116" s="801"/>
      <c r="H10116" s="801" t="s">
        <v>13678</v>
      </c>
      <c r="I10116" s="801"/>
      <c r="J10116" s="801" t="s">
        <v>12705</v>
      </c>
      <c r="K10116" s="801"/>
      <c r="L10116" s="801"/>
    </row>
    <row r="10117" spans="1:12" ht="24" customHeight="1">
      <c r="A10117" s="626" t="s">
        <v>12709</v>
      </c>
      <c r="B10117" s="627" t="s">
        <v>13370</v>
      </c>
      <c r="C10117" s="626" t="s">
        <v>8</v>
      </c>
      <c r="D10117" s="626" t="s">
        <v>9418</v>
      </c>
      <c r="E10117" s="628" t="s">
        <v>35</v>
      </c>
      <c r="F10117" s="816" t="s">
        <v>13786</v>
      </c>
      <c r="G10117" s="816"/>
      <c r="H10117" s="816">
        <v>8.9999999999999993E-3</v>
      </c>
      <c r="I10117" s="816"/>
      <c r="J10117" s="817">
        <v>0.03</v>
      </c>
      <c r="K10117" s="817"/>
      <c r="L10117" s="817"/>
    </row>
    <row r="10118" spans="1:12" ht="24" customHeight="1">
      <c r="A10118" s="626" t="s">
        <v>12709</v>
      </c>
      <c r="B10118" s="627" t="s">
        <v>13371</v>
      </c>
      <c r="C10118" s="626" t="s">
        <v>8</v>
      </c>
      <c r="D10118" s="626" t="s">
        <v>7968</v>
      </c>
      <c r="E10118" s="628" t="s">
        <v>17</v>
      </c>
      <c r="F10118" s="816" t="s">
        <v>14529</v>
      </c>
      <c r="G10118" s="816"/>
      <c r="H10118" s="816">
        <v>1.0149999999999999</v>
      </c>
      <c r="I10118" s="816"/>
      <c r="J10118" s="817">
        <v>111.46</v>
      </c>
      <c r="K10118" s="817"/>
      <c r="L10118" s="817"/>
    </row>
    <row r="10119" spans="1:12" ht="24" customHeight="1">
      <c r="A10119" s="636"/>
      <c r="B10119" s="636"/>
      <c r="C10119" s="636"/>
      <c r="D10119" s="636"/>
      <c r="E10119" s="636"/>
      <c r="F10119" s="636"/>
      <c r="G10119" s="636"/>
      <c r="H10119" s="636"/>
      <c r="I10119" s="636"/>
      <c r="J10119" s="636" t="s">
        <v>13675</v>
      </c>
      <c r="K10119" s="636"/>
      <c r="L10119" s="636" t="s">
        <v>14528</v>
      </c>
    </row>
    <row r="10120" spans="1:12" ht="17.100000000000001" customHeight="1">
      <c r="A10120" s="802" t="s">
        <v>12722</v>
      </c>
      <c r="B10120" s="802"/>
      <c r="C10120" s="802"/>
      <c r="D10120" s="802"/>
      <c r="E10120" s="802"/>
      <c r="F10120" s="802"/>
      <c r="G10120" s="802"/>
      <c r="H10120" s="802"/>
      <c r="I10120" s="612"/>
      <c r="J10120" s="612"/>
      <c r="K10120" s="612"/>
      <c r="L10120" s="612"/>
    </row>
    <row r="10121" spans="1:12">
      <c r="A10121" s="612" t="s">
        <v>13679</v>
      </c>
      <c r="B10121" s="636" t="s">
        <v>12698</v>
      </c>
      <c r="C10121" s="612" t="s">
        <v>12699</v>
      </c>
      <c r="D10121" s="612" t="s">
        <v>12700</v>
      </c>
      <c r="E10121" s="637" t="s">
        <v>12702</v>
      </c>
      <c r="F10121" s="801" t="s">
        <v>12704</v>
      </c>
      <c r="G10121" s="801"/>
      <c r="H10121" s="801" t="s">
        <v>13678</v>
      </c>
      <c r="I10121" s="801"/>
      <c r="J10121" s="801" t="s">
        <v>12705</v>
      </c>
      <c r="K10121" s="801"/>
      <c r="L10121" s="801"/>
    </row>
    <row r="10122" spans="1:12" ht="17.100000000000001" customHeight="1">
      <c r="A10122" s="626" t="s">
        <v>12709</v>
      </c>
      <c r="B10122" s="627" t="s">
        <v>12998</v>
      </c>
      <c r="C10122" s="626" t="s">
        <v>8</v>
      </c>
      <c r="D10122" s="626" t="s">
        <v>11861</v>
      </c>
      <c r="E10122" s="628" t="s">
        <v>23</v>
      </c>
      <c r="F10122" s="816" t="s">
        <v>13683</v>
      </c>
      <c r="G10122" s="816"/>
      <c r="H10122" s="816">
        <v>0.42168240000000001</v>
      </c>
      <c r="I10122" s="816"/>
      <c r="J10122" s="817">
        <v>0.2994</v>
      </c>
      <c r="K10122" s="817"/>
      <c r="L10122" s="817"/>
    </row>
    <row r="10123" spans="1:12" ht="24" customHeight="1">
      <c r="A10123" s="636"/>
      <c r="B10123" s="636"/>
      <c r="C10123" s="636"/>
      <c r="D10123" s="636"/>
      <c r="E10123" s="636"/>
      <c r="F10123" s="636"/>
      <c r="G10123" s="636"/>
      <c r="H10123" s="636"/>
      <c r="I10123" s="636"/>
      <c r="J10123" s="636" t="s">
        <v>13675</v>
      </c>
      <c r="K10123" s="636"/>
      <c r="L10123" s="636" t="s">
        <v>13758</v>
      </c>
    </row>
    <row r="10124" spans="1:12" ht="24" customHeight="1">
      <c r="A10124" s="802" t="s">
        <v>12713</v>
      </c>
      <c r="B10124" s="802"/>
      <c r="C10124" s="802"/>
      <c r="D10124" s="802"/>
      <c r="E10124" s="802"/>
      <c r="F10124" s="802"/>
      <c r="G10124" s="802"/>
      <c r="H10124" s="802"/>
      <c r="I10124" s="612"/>
      <c r="J10124" s="612"/>
      <c r="K10124" s="612"/>
      <c r="L10124" s="612"/>
    </row>
    <row r="10125" spans="1:12" ht="24" customHeight="1">
      <c r="A10125" s="612" t="s">
        <v>13679</v>
      </c>
      <c r="B10125" s="636" t="s">
        <v>12698</v>
      </c>
      <c r="C10125" s="612" t="s">
        <v>12699</v>
      </c>
      <c r="D10125" s="612" t="s">
        <v>12700</v>
      </c>
      <c r="E10125" s="637" t="s">
        <v>12702</v>
      </c>
      <c r="F10125" s="801" t="s">
        <v>12704</v>
      </c>
      <c r="G10125" s="801"/>
      <c r="H10125" s="801" t="s">
        <v>13678</v>
      </c>
      <c r="I10125" s="801"/>
      <c r="J10125" s="801" t="s">
        <v>12705</v>
      </c>
      <c r="K10125" s="801"/>
      <c r="L10125" s="801"/>
    </row>
    <row r="10126" spans="1:12" ht="24" customHeight="1">
      <c r="A10126" s="626" t="s">
        <v>12709</v>
      </c>
      <c r="B10126" s="627" t="s">
        <v>12999</v>
      </c>
      <c r="C10126" s="626" t="s">
        <v>8</v>
      </c>
      <c r="D10126" s="626" t="s">
        <v>11251</v>
      </c>
      <c r="E10126" s="628" t="s">
        <v>23</v>
      </c>
      <c r="F10126" s="816" t="s">
        <v>13681</v>
      </c>
      <c r="G10126" s="816"/>
      <c r="H10126" s="816">
        <v>0.42168240000000001</v>
      </c>
      <c r="I10126" s="816"/>
      <c r="J10126" s="817">
        <v>2.9499999999999998E-2</v>
      </c>
      <c r="K10126" s="817"/>
      <c r="L10126" s="817"/>
    </row>
    <row r="10127" spans="1:12" ht="24" customHeight="1">
      <c r="A10127" s="636"/>
      <c r="B10127" s="636"/>
      <c r="C10127" s="636"/>
      <c r="D10127" s="636"/>
      <c r="E10127" s="636"/>
      <c r="F10127" s="636"/>
      <c r="G10127" s="636"/>
      <c r="H10127" s="636"/>
      <c r="I10127" s="636"/>
      <c r="J10127" s="636" t="s">
        <v>13675</v>
      </c>
      <c r="K10127" s="636"/>
      <c r="L10127" s="636" t="s">
        <v>13726</v>
      </c>
    </row>
    <row r="10128" spans="1:12" ht="24" customHeight="1">
      <c r="A10128" s="802" t="s">
        <v>12712</v>
      </c>
      <c r="B10128" s="802"/>
      <c r="C10128" s="802"/>
      <c r="D10128" s="802"/>
      <c r="E10128" s="802"/>
      <c r="F10128" s="802"/>
      <c r="G10128" s="802"/>
      <c r="H10128" s="802"/>
      <c r="I10128" s="612"/>
      <c r="J10128" s="612"/>
      <c r="K10128" s="612"/>
      <c r="L10128" s="612"/>
    </row>
    <row r="10129" spans="1:12" ht="17.100000000000001" customHeight="1">
      <c r="A10129" s="612" t="s">
        <v>13679</v>
      </c>
      <c r="B10129" s="636" t="s">
        <v>12698</v>
      </c>
      <c r="C10129" s="612" t="s">
        <v>12699</v>
      </c>
      <c r="D10129" s="612" t="s">
        <v>12700</v>
      </c>
      <c r="E10129" s="637" t="s">
        <v>12702</v>
      </c>
      <c r="F10129" s="801" t="s">
        <v>12704</v>
      </c>
      <c r="G10129" s="801"/>
      <c r="H10129" s="801" t="s">
        <v>13678</v>
      </c>
      <c r="I10129" s="801"/>
      <c r="J10129" s="801" t="s">
        <v>12705</v>
      </c>
      <c r="K10129" s="801"/>
      <c r="L10129" s="801"/>
    </row>
    <row r="10130" spans="1:12" ht="25.5">
      <c r="A10130" s="626" t="s">
        <v>12709</v>
      </c>
      <c r="B10130" s="627" t="s">
        <v>13002</v>
      </c>
      <c r="C10130" s="626" t="s">
        <v>8</v>
      </c>
      <c r="D10130" s="626" t="s">
        <v>9306</v>
      </c>
      <c r="E10130" s="628" t="s">
        <v>23</v>
      </c>
      <c r="F10130" s="816" t="s">
        <v>13677</v>
      </c>
      <c r="G10130" s="816"/>
      <c r="H10130" s="816">
        <v>0.42168240000000001</v>
      </c>
      <c r="I10130" s="816"/>
      <c r="J10130" s="817">
        <v>0.14760000000000001</v>
      </c>
      <c r="K10130" s="817"/>
      <c r="L10130" s="817"/>
    </row>
    <row r="10131" spans="1:12" ht="17.100000000000001" customHeight="1">
      <c r="A10131" s="626" t="s">
        <v>12709</v>
      </c>
      <c r="B10131" s="627" t="s">
        <v>13004</v>
      </c>
      <c r="C10131" s="626" t="s">
        <v>8</v>
      </c>
      <c r="D10131" s="626" t="s">
        <v>7388</v>
      </c>
      <c r="E10131" s="628" t="s">
        <v>23</v>
      </c>
      <c r="F10131" s="816" t="s">
        <v>13676</v>
      </c>
      <c r="G10131" s="816"/>
      <c r="H10131" s="816">
        <v>0.42168240000000001</v>
      </c>
      <c r="I10131" s="816"/>
      <c r="J10131" s="817">
        <v>0.92769999999999997</v>
      </c>
      <c r="K10131" s="817"/>
      <c r="L10131" s="817"/>
    </row>
    <row r="10132" spans="1:12" ht="24" customHeight="1">
      <c r="A10132" s="636"/>
      <c r="B10132" s="636"/>
      <c r="C10132" s="636"/>
      <c r="D10132" s="636"/>
      <c r="E10132" s="636"/>
      <c r="F10132" s="636"/>
      <c r="G10132" s="636"/>
      <c r="H10132" s="636"/>
      <c r="I10132" s="636"/>
      <c r="J10132" s="636" t="s">
        <v>13675</v>
      </c>
      <c r="K10132" s="636"/>
      <c r="L10132" s="636" t="s">
        <v>13741</v>
      </c>
    </row>
    <row r="10133" spans="1:12" ht="17.100000000000001" customHeight="1">
      <c r="A10133" s="612" t="s">
        <v>13673</v>
      </c>
      <c r="B10133" s="612"/>
      <c r="C10133" s="612"/>
      <c r="D10133" s="612"/>
      <c r="E10133" s="612"/>
      <c r="F10133" s="612"/>
      <c r="G10133" s="612"/>
      <c r="H10133" s="612"/>
      <c r="I10133" s="612"/>
      <c r="J10133" s="612"/>
      <c r="K10133" s="612"/>
      <c r="L10133" s="612"/>
    </row>
    <row r="10134" spans="1:12">
      <c r="A10134" s="636"/>
      <c r="B10134" s="636"/>
      <c r="C10134" s="636"/>
      <c r="D10134" s="636"/>
      <c r="E10134" s="636"/>
      <c r="F10134" s="636"/>
      <c r="G10134" s="636"/>
      <c r="H10134" s="636"/>
      <c r="I10134" s="636"/>
      <c r="J10134" s="636" t="s">
        <v>13672</v>
      </c>
      <c r="K10134" s="636"/>
      <c r="L10134" s="636" t="s">
        <v>15664</v>
      </c>
    </row>
    <row r="10135" spans="1:12" ht="17.100000000000001" customHeight="1">
      <c r="A10135" s="636"/>
      <c r="B10135" s="636"/>
      <c r="C10135" s="636"/>
      <c r="D10135" s="636"/>
      <c r="E10135" s="636"/>
      <c r="F10135" s="636"/>
      <c r="G10135" s="636"/>
      <c r="H10135" s="636"/>
      <c r="I10135" s="636"/>
      <c r="J10135" s="636" t="s">
        <v>13671</v>
      </c>
      <c r="K10135" s="636" t="s">
        <v>14461</v>
      </c>
      <c r="L10135" s="636" t="s">
        <v>15665</v>
      </c>
    </row>
    <row r="10136" spans="1:12" ht="24" customHeight="1">
      <c r="A10136" s="636"/>
      <c r="B10136" s="636"/>
      <c r="C10136" s="636"/>
      <c r="D10136" s="636"/>
      <c r="E10136" s="636"/>
      <c r="F10136" s="636"/>
      <c r="G10136" s="636"/>
      <c r="H10136" s="636"/>
      <c r="I10136" s="636"/>
      <c r="J10136" s="636" t="s">
        <v>13670</v>
      </c>
      <c r="K10136" s="636"/>
      <c r="L10136" s="636" t="s">
        <v>15666</v>
      </c>
    </row>
    <row r="10137" spans="1:12" ht="17.100000000000001" customHeight="1">
      <c r="A10137" s="636"/>
      <c r="B10137" s="636"/>
      <c r="C10137" s="636"/>
      <c r="D10137" s="636"/>
      <c r="E10137" s="636"/>
      <c r="F10137" s="636"/>
      <c r="G10137" s="636"/>
      <c r="H10137" s="636"/>
      <c r="I10137" s="636"/>
      <c r="J10137" s="636" t="s">
        <v>13669</v>
      </c>
      <c r="K10137" s="636" t="s">
        <v>13667</v>
      </c>
      <c r="L10137" s="636" t="s">
        <v>15667</v>
      </c>
    </row>
    <row r="10138" spans="1:12">
      <c r="A10138" s="636"/>
      <c r="B10138" s="636"/>
      <c r="C10138" s="636"/>
      <c r="D10138" s="636"/>
      <c r="E10138" s="636"/>
      <c r="F10138" s="636"/>
      <c r="G10138" s="636"/>
      <c r="H10138" s="636"/>
      <c r="I10138" s="636"/>
      <c r="J10138" s="636" t="s">
        <v>13668</v>
      </c>
      <c r="K10138" s="636"/>
      <c r="L10138" s="636" t="s">
        <v>15668</v>
      </c>
    </row>
    <row r="10139" spans="1:12" ht="17.100000000000001" customHeight="1">
      <c r="A10139" s="637"/>
      <c r="B10139" s="637"/>
      <c r="C10139" s="637"/>
      <c r="D10139" s="637"/>
      <c r="E10139" s="637"/>
      <c r="F10139" s="637"/>
      <c r="G10139" s="637"/>
      <c r="H10139" s="637"/>
      <c r="I10139" s="637"/>
      <c r="J10139" s="637"/>
      <c r="K10139" s="637"/>
      <c r="L10139" s="637"/>
    </row>
    <row r="10140" spans="1:12" ht="24" customHeight="1">
      <c r="A10140" s="616" t="s">
        <v>13810</v>
      </c>
      <c r="B10140" s="617" t="s">
        <v>13366</v>
      </c>
      <c r="C10140" s="616" t="s">
        <v>8</v>
      </c>
      <c r="D10140" s="616" t="s">
        <v>2489</v>
      </c>
      <c r="E10140" s="618" t="s">
        <v>17</v>
      </c>
      <c r="F10140" s="617"/>
      <c r="G10140" s="617"/>
      <c r="H10140" s="617"/>
      <c r="I10140" s="617"/>
      <c r="J10140" s="617"/>
      <c r="K10140" s="617"/>
      <c r="L10140" s="617"/>
    </row>
    <row r="10141" spans="1:12" ht="24" customHeight="1">
      <c r="A10141" s="802" t="s">
        <v>12711</v>
      </c>
      <c r="B10141" s="802"/>
      <c r="C10141" s="802"/>
      <c r="D10141" s="802"/>
      <c r="E10141" s="802"/>
      <c r="F10141" s="802"/>
      <c r="G10141" s="802"/>
      <c r="H10141" s="802"/>
      <c r="I10141" s="612"/>
      <c r="J10141" s="612"/>
      <c r="K10141" s="612"/>
      <c r="L10141" s="612"/>
    </row>
    <row r="10142" spans="1:12" ht="17.100000000000001" customHeight="1">
      <c r="A10142" s="612" t="s">
        <v>13679</v>
      </c>
      <c r="B10142" s="636" t="s">
        <v>12698</v>
      </c>
      <c r="C10142" s="612" t="s">
        <v>12699</v>
      </c>
      <c r="D10142" s="612" t="s">
        <v>12700</v>
      </c>
      <c r="E10142" s="637" t="s">
        <v>12702</v>
      </c>
      <c r="F10142" s="801" t="s">
        <v>12704</v>
      </c>
      <c r="G10142" s="801"/>
      <c r="H10142" s="801" t="s">
        <v>13678</v>
      </c>
      <c r="I10142" s="801"/>
      <c r="J10142" s="801" t="s">
        <v>12705</v>
      </c>
      <c r="K10142" s="801"/>
      <c r="L10142" s="801"/>
    </row>
    <row r="10143" spans="1:12" ht="17.100000000000001" customHeight="1">
      <c r="A10143" s="626" t="s">
        <v>12709</v>
      </c>
      <c r="B10143" s="627" t="s">
        <v>13201</v>
      </c>
      <c r="C10143" s="626" t="s">
        <v>8</v>
      </c>
      <c r="D10143" s="626" t="s">
        <v>9221</v>
      </c>
      <c r="E10143" s="628" t="s">
        <v>23</v>
      </c>
      <c r="F10143" s="816" t="s">
        <v>13705</v>
      </c>
      <c r="G10143" s="816"/>
      <c r="H10143" s="816">
        <v>7.8185000000000004E-2</v>
      </c>
      <c r="I10143" s="816"/>
      <c r="J10143" s="817">
        <v>6.4899999999999999E-2</v>
      </c>
      <c r="K10143" s="817"/>
      <c r="L10143" s="817"/>
    </row>
    <row r="10144" spans="1:12" ht="17.100000000000001" customHeight="1">
      <c r="A10144" s="626" t="s">
        <v>12709</v>
      </c>
      <c r="B10144" s="627" t="s">
        <v>13200</v>
      </c>
      <c r="C10144" s="626" t="s">
        <v>8</v>
      </c>
      <c r="D10144" s="626" t="s">
        <v>9368</v>
      </c>
      <c r="E10144" s="628" t="s">
        <v>23</v>
      </c>
      <c r="F10144" s="816" t="s">
        <v>13704</v>
      </c>
      <c r="G10144" s="816"/>
      <c r="H10144" s="816">
        <v>7.8185000000000004E-2</v>
      </c>
      <c r="I10144" s="816"/>
      <c r="J10144" s="817">
        <v>1.8800000000000001E-2</v>
      </c>
      <c r="K10144" s="817"/>
      <c r="L10144" s="817"/>
    </row>
    <row r="10145" spans="1:12" ht="17.100000000000001" customHeight="1">
      <c r="A10145" s="626" t="s">
        <v>12709</v>
      </c>
      <c r="B10145" s="627" t="s">
        <v>13134</v>
      </c>
      <c r="C10145" s="626" t="s">
        <v>8</v>
      </c>
      <c r="D10145" s="626" t="s">
        <v>9219</v>
      </c>
      <c r="E10145" s="628" t="s">
        <v>23</v>
      </c>
      <c r="F10145" s="816" t="s">
        <v>13782</v>
      </c>
      <c r="G10145" s="816"/>
      <c r="H10145" s="816">
        <v>0.12865889999999999</v>
      </c>
      <c r="I10145" s="816"/>
      <c r="J10145" s="817">
        <v>0.1197</v>
      </c>
      <c r="K10145" s="817"/>
      <c r="L10145" s="817"/>
    </row>
    <row r="10146" spans="1:12" ht="17.100000000000001" customHeight="1">
      <c r="A10146" s="626" t="s">
        <v>12709</v>
      </c>
      <c r="B10146" s="627" t="s">
        <v>13133</v>
      </c>
      <c r="C10146" s="626" t="s">
        <v>8</v>
      </c>
      <c r="D10146" s="626" t="s">
        <v>9366</v>
      </c>
      <c r="E10146" s="628" t="s">
        <v>23</v>
      </c>
      <c r="F10146" s="816" t="s">
        <v>13781</v>
      </c>
      <c r="G10146" s="816"/>
      <c r="H10146" s="816">
        <v>0.12865889999999999</v>
      </c>
      <c r="I10146" s="816"/>
      <c r="J10146" s="817">
        <v>7.0800000000000002E-2</v>
      </c>
      <c r="K10146" s="817"/>
      <c r="L10146" s="817"/>
    </row>
    <row r="10147" spans="1:12" ht="17.100000000000001" customHeight="1">
      <c r="A10147" s="636"/>
      <c r="B10147" s="636"/>
      <c r="C10147" s="636"/>
      <c r="D10147" s="636"/>
      <c r="E10147" s="636"/>
      <c r="F10147" s="636"/>
      <c r="G10147" s="636"/>
      <c r="H10147" s="636"/>
      <c r="I10147" s="636"/>
      <c r="J10147" s="636" t="s">
        <v>13675</v>
      </c>
      <c r="K10147" s="636"/>
      <c r="L10147" s="636" t="s">
        <v>13809</v>
      </c>
    </row>
    <row r="10148" spans="1:12" ht="17.100000000000001" customHeight="1">
      <c r="A10148" s="802" t="s">
        <v>12710</v>
      </c>
      <c r="B10148" s="802"/>
      <c r="C10148" s="802"/>
      <c r="D10148" s="802"/>
      <c r="E10148" s="802"/>
      <c r="F10148" s="802"/>
      <c r="G10148" s="802"/>
      <c r="H10148" s="802"/>
      <c r="I10148" s="612"/>
      <c r="J10148" s="612"/>
      <c r="K10148" s="612"/>
      <c r="L10148" s="612"/>
    </row>
    <row r="10149" spans="1:12" ht="30" customHeight="1">
      <c r="A10149" s="612" t="s">
        <v>13679</v>
      </c>
      <c r="B10149" s="636" t="s">
        <v>12698</v>
      </c>
      <c r="C10149" s="612" t="s">
        <v>12699</v>
      </c>
      <c r="D10149" s="612" t="s">
        <v>12700</v>
      </c>
      <c r="E10149" s="637" t="s">
        <v>12702</v>
      </c>
      <c r="F10149" s="801" t="s">
        <v>12704</v>
      </c>
      <c r="G10149" s="801"/>
      <c r="H10149" s="801" t="s">
        <v>13678</v>
      </c>
      <c r="I10149" s="801"/>
      <c r="J10149" s="801" t="s">
        <v>12705</v>
      </c>
      <c r="K10149" s="801"/>
      <c r="L10149" s="801"/>
    </row>
    <row r="10150" spans="1:12" ht="24" customHeight="1">
      <c r="A10150" s="626" t="s">
        <v>12709</v>
      </c>
      <c r="B10150" s="627" t="s">
        <v>13220</v>
      </c>
      <c r="C10150" s="626" t="s">
        <v>8</v>
      </c>
      <c r="D10150" s="626" t="s">
        <v>7592</v>
      </c>
      <c r="E10150" s="628" t="s">
        <v>23</v>
      </c>
      <c r="F10150" s="816" t="s">
        <v>13890</v>
      </c>
      <c r="G10150" s="816"/>
      <c r="H10150" s="816">
        <v>1.0045399999999999E-2</v>
      </c>
      <c r="I10150" s="816"/>
      <c r="J10150" s="817">
        <v>5.0799999999999998E-2</v>
      </c>
      <c r="K10150" s="817"/>
      <c r="L10150" s="817"/>
    </row>
    <row r="10151" spans="1:12" ht="14.25" customHeight="1">
      <c r="A10151" s="626" t="s">
        <v>12709</v>
      </c>
      <c r="B10151" s="627" t="s">
        <v>13202</v>
      </c>
      <c r="C10151" s="626" t="s">
        <v>8</v>
      </c>
      <c r="D10151" s="626" t="s">
        <v>9187</v>
      </c>
      <c r="E10151" s="628" t="s">
        <v>23</v>
      </c>
      <c r="F10151" s="816" t="s">
        <v>14479</v>
      </c>
      <c r="G10151" s="816"/>
      <c r="H10151" s="816">
        <v>6.9313100000000002E-2</v>
      </c>
      <c r="I10151" s="816"/>
      <c r="J10151" s="817">
        <v>0.49559999999999998</v>
      </c>
      <c r="K10151" s="817"/>
      <c r="L10151" s="817"/>
    </row>
    <row r="10152" spans="1:12" ht="17.100000000000001" customHeight="1">
      <c r="A10152" s="626" t="s">
        <v>12709</v>
      </c>
      <c r="B10152" s="627" t="s">
        <v>13222</v>
      </c>
      <c r="C10152" s="626" t="s">
        <v>8</v>
      </c>
      <c r="D10152" s="626" t="s">
        <v>7364</v>
      </c>
      <c r="E10152" s="628" t="s">
        <v>23</v>
      </c>
      <c r="F10152" s="816" t="s">
        <v>13808</v>
      </c>
      <c r="G10152" s="816"/>
      <c r="H10152" s="816">
        <v>6.6152799999999998E-2</v>
      </c>
      <c r="I10152" s="816"/>
      <c r="J10152" s="817">
        <v>0.33210000000000001</v>
      </c>
      <c r="K10152" s="817"/>
      <c r="L10152" s="817"/>
    </row>
    <row r="10153" spans="1:12" ht="24" customHeight="1">
      <c r="A10153" s="626" t="s">
        <v>12709</v>
      </c>
      <c r="B10153" s="627" t="s">
        <v>13204</v>
      </c>
      <c r="C10153" s="626" t="s">
        <v>8</v>
      </c>
      <c r="D10153" s="626" t="s">
        <v>9112</v>
      </c>
      <c r="E10153" s="628" t="s">
        <v>23</v>
      </c>
      <c r="F10153" s="816" t="s">
        <v>14479</v>
      </c>
      <c r="G10153" s="816"/>
      <c r="H10153" s="816">
        <v>6.6152799999999998E-2</v>
      </c>
      <c r="I10153" s="816"/>
      <c r="J10153" s="817">
        <v>0.47299999999999998</v>
      </c>
      <c r="K10153" s="817"/>
      <c r="L10153" s="817"/>
    </row>
    <row r="10154" spans="1:12" ht="24" customHeight="1">
      <c r="A10154" s="636"/>
      <c r="B10154" s="636"/>
      <c r="C10154" s="636"/>
      <c r="D10154" s="636"/>
      <c r="E10154" s="636"/>
      <c r="F10154" s="636"/>
      <c r="G10154" s="636"/>
      <c r="H10154" s="636"/>
      <c r="I10154" s="636"/>
      <c r="J10154" s="636" t="s">
        <v>13675</v>
      </c>
      <c r="K10154" s="636"/>
      <c r="L10154" s="636" t="s">
        <v>13791</v>
      </c>
    </row>
    <row r="10155" spans="1:12" ht="17.100000000000001" customHeight="1">
      <c r="A10155" s="802" t="s">
        <v>12720</v>
      </c>
      <c r="B10155" s="802"/>
      <c r="C10155" s="802"/>
      <c r="D10155" s="802"/>
      <c r="E10155" s="802"/>
      <c r="F10155" s="802"/>
      <c r="G10155" s="802"/>
      <c r="H10155" s="802"/>
      <c r="I10155" s="612"/>
      <c r="J10155" s="612"/>
      <c r="K10155" s="612"/>
      <c r="L10155" s="612"/>
    </row>
    <row r="10156" spans="1:12" ht="14.25" customHeight="1">
      <c r="A10156" s="612" t="s">
        <v>13679</v>
      </c>
      <c r="B10156" s="636" t="s">
        <v>12698</v>
      </c>
      <c r="C10156" s="612" t="s">
        <v>12699</v>
      </c>
      <c r="D10156" s="612" t="s">
        <v>12700</v>
      </c>
      <c r="E10156" s="637" t="s">
        <v>12702</v>
      </c>
      <c r="F10156" s="801" t="s">
        <v>12704</v>
      </c>
      <c r="G10156" s="801"/>
      <c r="H10156" s="801" t="s">
        <v>13678</v>
      </c>
      <c r="I10156" s="801"/>
      <c r="J10156" s="801" t="s">
        <v>12705</v>
      </c>
      <c r="K10156" s="801"/>
      <c r="L10156" s="801"/>
    </row>
    <row r="10157" spans="1:12" ht="17.100000000000001" customHeight="1">
      <c r="A10157" s="626" t="s">
        <v>12709</v>
      </c>
      <c r="B10157" s="627" t="s">
        <v>13365</v>
      </c>
      <c r="C10157" s="626" t="s">
        <v>8</v>
      </c>
      <c r="D10157" s="626" t="s">
        <v>9123</v>
      </c>
      <c r="E10157" s="628" t="s">
        <v>17</v>
      </c>
      <c r="F10157" s="816" t="s">
        <v>14480</v>
      </c>
      <c r="G10157" s="816"/>
      <c r="H10157" s="816">
        <v>1.0169999999999999</v>
      </c>
      <c r="I10157" s="816"/>
      <c r="J10157" s="817">
        <v>2.15</v>
      </c>
      <c r="K10157" s="817"/>
      <c r="L10157" s="817"/>
    </row>
    <row r="10158" spans="1:12" ht="24" customHeight="1">
      <c r="A10158" s="626" t="s">
        <v>12709</v>
      </c>
      <c r="B10158" s="627" t="s">
        <v>13186</v>
      </c>
      <c r="C10158" s="626" t="s">
        <v>8</v>
      </c>
      <c r="D10158" s="626" t="s">
        <v>7217</v>
      </c>
      <c r="E10158" s="628" t="s">
        <v>35</v>
      </c>
      <c r="F10158" s="816" t="s">
        <v>13805</v>
      </c>
      <c r="G10158" s="816"/>
      <c r="H10158" s="816">
        <v>0.64329449999999999</v>
      </c>
      <c r="I10158" s="816"/>
      <c r="J10158" s="817">
        <v>0.85560000000000003</v>
      </c>
      <c r="K10158" s="817"/>
      <c r="L10158" s="817"/>
    </row>
    <row r="10159" spans="1:12" ht="17.100000000000001" customHeight="1">
      <c r="A10159" s="636"/>
      <c r="B10159" s="636"/>
      <c r="C10159" s="636"/>
      <c r="D10159" s="636"/>
      <c r="E10159" s="636"/>
      <c r="F10159" s="636"/>
      <c r="G10159" s="636"/>
      <c r="H10159" s="636"/>
      <c r="I10159" s="636"/>
      <c r="J10159" s="636" t="s">
        <v>13675</v>
      </c>
      <c r="K10159" s="636"/>
      <c r="L10159" s="636" t="s">
        <v>13759</v>
      </c>
    </row>
    <row r="10160" spans="1:12">
      <c r="A10160" s="802" t="s">
        <v>12722</v>
      </c>
      <c r="B10160" s="802"/>
      <c r="C10160" s="802"/>
      <c r="D10160" s="802"/>
      <c r="E10160" s="802"/>
      <c r="F10160" s="802"/>
      <c r="G10160" s="802"/>
      <c r="H10160" s="802"/>
      <c r="I10160" s="612"/>
      <c r="J10160" s="612"/>
      <c r="K10160" s="612"/>
      <c r="L10160" s="612"/>
    </row>
    <row r="10161" spans="1:12" ht="17.100000000000001" customHeight="1">
      <c r="A10161" s="612" t="s">
        <v>13679</v>
      </c>
      <c r="B10161" s="636" t="s">
        <v>12698</v>
      </c>
      <c r="C10161" s="612" t="s">
        <v>12699</v>
      </c>
      <c r="D10161" s="612" t="s">
        <v>12700</v>
      </c>
      <c r="E10161" s="637" t="s">
        <v>12702</v>
      </c>
      <c r="F10161" s="801" t="s">
        <v>12704</v>
      </c>
      <c r="G10161" s="801"/>
      <c r="H10161" s="801" t="s">
        <v>13678</v>
      </c>
      <c r="I10161" s="801"/>
      <c r="J10161" s="801" t="s">
        <v>12705</v>
      </c>
      <c r="K10161" s="801"/>
      <c r="L10161" s="801"/>
    </row>
    <row r="10162" spans="1:12" ht="24" customHeight="1">
      <c r="A10162" s="626" t="s">
        <v>12709</v>
      </c>
      <c r="B10162" s="627" t="s">
        <v>12998</v>
      </c>
      <c r="C10162" s="626" t="s">
        <v>8</v>
      </c>
      <c r="D10162" s="626" t="s">
        <v>11861</v>
      </c>
      <c r="E10162" s="628" t="s">
        <v>23</v>
      </c>
      <c r="F10162" s="816" t="s">
        <v>13683</v>
      </c>
      <c r="G10162" s="816"/>
      <c r="H10162" s="816">
        <v>0.2068439</v>
      </c>
      <c r="I10162" s="816"/>
      <c r="J10162" s="817">
        <v>0.1469</v>
      </c>
      <c r="K10162" s="817"/>
      <c r="L10162" s="817"/>
    </row>
    <row r="10163" spans="1:12" ht="17.100000000000001" customHeight="1">
      <c r="A10163" s="636"/>
      <c r="B10163" s="636"/>
      <c r="C10163" s="636"/>
      <c r="D10163" s="636"/>
      <c r="E10163" s="636"/>
      <c r="F10163" s="636"/>
      <c r="G10163" s="636"/>
      <c r="H10163" s="636"/>
      <c r="I10163" s="636"/>
      <c r="J10163" s="636" t="s">
        <v>13675</v>
      </c>
      <c r="K10163" s="636"/>
      <c r="L10163" s="636" t="s">
        <v>13795</v>
      </c>
    </row>
    <row r="10164" spans="1:12">
      <c r="A10164" s="802" t="s">
        <v>12713</v>
      </c>
      <c r="B10164" s="802"/>
      <c r="C10164" s="802"/>
      <c r="D10164" s="802"/>
      <c r="E10164" s="802"/>
      <c r="F10164" s="802"/>
      <c r="G10164" s="802"/>
      <c r="H10164" s="802"/>
      <c r="I10164" s="612"/>
      <c r="J10164" s="612"/>
      <c r="K10164" s="612"/>
      <c r="L10164" s="612"/>
    </row>
    <row r="10165" spans="1:12" ht="17.100000000000001" customHeight="1">
      <c r="A10165" s="612" t="s">
        <v>13679</v>
      </c>
      <c r="B10165" s="636" t="s">
        <v>12698</v>
      </c>
      <c r="C10165" s="612" t="s">
        <v>12699</v>
      </c>
      <c r="D10165" s="612" t="s">
        <v>12700</v>
      </c>
      <c r="E10165" s="637" t="s">
        <v>12702</v>
      </c>
      <c r="F10165" s="801" t="s">
        <v>12704</v>
      </c>
      <c r="G10165" s="801"/>
      <c r="H10165" s="801" t="s">
        <v>13678</v>
      </c>
      <c r="I10165" s="801"/>
      <c r="J10165" s="801" t="s">
        <v>12705</v>
      </c>
      <c r="K10165" s="801"/>
      <c r="L10165" s="801"/>
    </row>
    <row r="10166" spans="1:12" ht="24" customHeight="1">
      <c r="A10166" s="626" t="s">
        <v>12709</v>
      </c>
      <c r="B10166" s="627" t="s">
        <v>12999</v>
      </c>
      <c r="C10166" s="626" t="s">
        <v>8</v>
      </c>
      <c r="D10166" s="626" t="s">
        <v>11251</v>
      </c>
      <c r="E10166" s="628" t="s">
        <v>23</v>
      </c>
      <c r="F10166" s="816" t="s">
        <v>13681</v>
      </c>
      <c r="G10166" s="816"/>
      <c r="H10166" s="816">
        <v>0.2068439</v>
      </c>
      <c r="I10166" s="816"/>
      <c r="J10166" s="817">
        <v>1.4500000000000001E-2</v>
      </c>
      <c r="K10166" s="817"/>
      <c r="L10166" s="817"/>
    </row>
    <row r="10167" spans="1:12" ht="17.100000000000001" customHeight="1">
      <c r="A10167" s="636"/>
      <c r="B10167" s="636"/>
      <c r="C10167" s="636"/>
      <c r="D10167" s="636"/>
      <c r="E10167" s="636"/>
      <c r="F10167" s="636"/>
      <c r="G10167" s="636"/>
      <c r="H10167" s="636"/>
      <c r="I10167" s="636"/>
      <c r="J10167" s="636" t="s">
        <v>13675</v>
      </c>
      <c r="K10167" s="636"/>
      <c r="L10167" s="636" t="s">
        <v>13728</v>
      </c>
    </row>
    <row r="10168" spans="1:12">
      <c r="A10168" s="802" t="s">
        <v>12712</v>
      </c>
      <c r="B10168" s="802"/>
      <c r="C10168" s="802"/>
      <c r="D10168" s="802"/>
      <c r="E10168" s="802"/>
      <c r="F10168" s="802"/>
      <c r="G10168" s="802"/>
      <c r="H10168" s="802"/>
      <c r="I10168" s="612"/>
      <c r="J10168" s="612"/>
      <c r="K10168" s="612"/>
      <c r="L10168" s="612"/>
    </row>
    <row r="10169" spans="1:12" ht="17.100000000000001" customHeight="1">
      <c r="A10169" s="612" t="s">
        <v>13679</v>
      </c>
      <c r="B10169" s="636" t="s">
        <v>12698</v>
      </c>
      <c r="C10169" s="612" t="s">
        <v>12699</v>
      </c>
      <c r="D10169" s="612" t="s">
        <v>12700</v>
      </c>
      <c r="E10169" s="637" t="s">
        <v>12702</v>
      </c>
      <c r="F10169" s="801" t="s">
        <v>12704</v>
      </c>
      <c r="G10169" s="801"/>
      <c r="H10169" s="801" t="s">
        <v>13678</v>
      </c>
      <c r="I10169" s="801"/>
      <c r="J10169" s="801" t="s">
        <v>12705</v>
      </c>
      <c r="K10169" s="801"/>
      <c r="L10169" s="801"/>
    </row>
    <row r="10170" spans="1:12" ht="24" customHeight="1">
      <c r="A10170" s="626" t="s">
        <v>12709</v>
      </c>
      <c r="B10170" s="627" t="s">
        <v>13002</v>
      </c>
      <c r="C10170" s="626" t="s">
        <v>8</v>
      </c>
      <c r="D10170" s="626" t="s">
        <v>9306</v>
      </c>
      <c r="E10170" s="628" t="s">
        <v>23</v>
      </c>
      <c r="F10170" s="816" t="s">
        <v>13677</v>
      </c>
      <c r="G10170" s="816"/>
      <c r="H10170" s="816">
        <v>0.2068439</v>
      </c>
      <c r="I10170" s="816"/>
      <c r="J10170" s="817">
        <v>7.2400000000000006E-2</v>
      </c>
      <c r="K10170" s="817"/>
      <c r="L10170" s="817"/>
    </row>
    <row r="10171" spans="1:12" ht="24" customHeight="1">
      <c r="A10171" s="626" t="s">
        <v>12709</v>
      </c>
      <c r="B10171" s="627" t="s">
        <v>13004</v>
      </c>
      <c r="C10171" s="626" t="s">
        <v>8</v>
      </c>
      <c r="D10171" s="626" t="s">
        <v>7388</v>
      </c>
      <c r="E10171" s="628" t="s">
        <v>23</v>
      </c>
      <c r="F10171" s="816" t="s">
        <v>13676</v>
      </c>
      <c r="G10171" s="816"/>
      <c r="H10171" s="816">
        <v>0.2068439</v>
      </c>
      <c r="I10171" s="816"/>
      <c r="J10171" s="817">
        <v>0.4551</v>
      </c>
      <c r="K10171" s="817"/>
      <c r="L10171" s="817"/>
    </row>
    <row r="10172" spans="1:12" ht="17.100000000000001" customHeight="1">
      <c r="A10172" s="636"/>
      <c r="B10172" s="636"/>
      <c r="C10172" s="636"/>
      <c r="D10172" s="636"/>
      <c r="E10172" s="636"/>
      <c r="F10172" s="636"/>
      <c r="G10172" s="636"/>
      <c r="H10172" s="636"/>
      <c r="I10172" s="636"/>
      <c r="J10172" s="636" t="s">
        <v>13675</v>
      </c>
      <c r="K10172" s="636"/>
      <c r="L10172" s="636" t="s">
        <v>13803</v>
      </c>
    </row>
    <row r="10173" spans="1:12" ht="17.100000000000001" customHeight="1">
      <c r="A10173" s="612" t="s">
        <v>13673</v>
      </c>
      <c r="B10173" s="612"/>
      <c r="C10173" s="612"/>
      <c r="D10173" s="612"/>
      <c r="E10173" s="612"/>
      <c r="F10173" s="612"/>
      <c r="G10173" s="612"/>
      <c r="H10173" s="612"/>
      <c r="I10173" s="612"/>
      <c r="J10173" s="612"/>
      <c r="K10173" s="612"/>
      <c r="L10173" s="612"/>
    </row>
    <row r="10174" spans="1:12" ht="17.100000000000001" customHeight="1">
      <c r="A10174" s="636"/>
      <c r="B10174" s="636"/>
      <c r="C10174" s="636"/>
      <c r="D10174" s="636"/>
      <c r="E10174" s="636"/>
      <c r="F10174" s="636"/>
      <c r="G10174" s="636"/>
      <c r="H10174" s="636"/>
      <c r="I10174" s="636"/>
      <c r="J10174" s="636" t="s">
        <v>13672</v>
      </c>
      <c r="K10174" s="636"/>
      <c r="L10174" s="636" t="s">
        <v>15680</v>
      </c>
    </row>
    <row r="10175" spans="1:12" ht="17.100000000000001" customHeight="1">
      <c r="A10175" s="636"/>
      <c r="B10175" s="636"/>
      <c r="C10175" s="636"/>
      <c r="D10175" s="636"/>
      <c r="E10175" s="636"/>
      <c r="F10175" s="636"/>
      <c r="G10175" s="636"/>
      <c r="H10175" s="636"/>
      <c r="I10175" s="636"/>
      <c r="J10175" s="636" t="s">
        <v>13671</v>
      </c>
      <c r="K10175" s="636" t="s">
        <v>14461</v>
      </c>
      <c r="L10175" s="636" t="s">
        <v>15452</v>
      </c>
    </row>
    <row r="10176" spans="1:12" ht="17.100000000000001" customHeight="1">
      <c r="A10176" s="636"/>
      <c r="B10176" s="636"/>
      <c r="C10176" s="636"/>
      <c r="D10176" s="636"/>
      <c r="E10176" s="636"/>
      <c r="F10176" s="636"/>
      <c r="G10176" s="636"/>
      <c r="H10176" s="636"/>
      <c r="I10176" s="636"/>
      <c r="J10176" s="636" t="s">
        <v>13670</v>
      </c>
      <c r="K10176" s="636"/>
      <c r="L10176" s="636" t="s">
        <v>15681</v>
      </c>
    </row>
    <row r="10177" spans="1:12" ht="17.100000000000001" customHeight="1">
      <c r="A10177" s="636"/>
      <c r="B10177" s="636"/>
      <c r="C10177" s="636"/>
      <c r="D10177" s="636"/>
      <c r="E10177" s="636"/>
      <c r="F10177" s="636"/>
      <c r="G10177" s="636"/>
      <c r="H10177" s="636"/>
      <c r="I10177" s="636"/>
      <c r="J10177" s="636" t="s">
        <v>13669</v>
      </c>
      <c r="K10177" s="636" t="s">
        <v>13667</v>
      </c>
      <c r="L10177" s="636" t="s">
        <v>14983</v>
      </c>
    </row>
    <row r="10178" spans="1:12" ht="17.100000000000001" customHeight="1">
      <c r="A10178" s="636"/>
      <c r="B10178" s="636"/>
      <c r="C10178" s="636"/>
      <c r="D10178" s="636"/>
      <c r="E10178" s="636"/>
      <c r="F10178" s="636"/>
      <c r="G10178" s="636"/>
      <c r="H10178" s="636"/>
      <c r="I10178" s="636"/>
      <c r="J10178" s="636" t="s">
        <v>13668</v>
      </c>
      <c r="K10178" s="636"/>
      <c r="L10178" s="636" t="s">
        <v>15682</v>
      </c>
    </row>
    <row r="10179" spans="1:12" ht="30" customHeight="1">
      <c r="A10179" s="637"/>
      <c r="B10179" s="637"/>
      <c r="C10179" s="637"/>
      <c r="D10179" s="637"/>
      <c r="E10179" s="637"/>
      <c r="F10179" s="637"/>
      <c r="G10179" s="637"/>
      <c r="H10179" s="637"/>
      <c r="I10179" s="637"/>
      <c r="J10179" s="637"/>
      <c r="K10179" s="637"/>
      <c r="L10179" s="637"/>
    </row>
    <row r="10180" spans="1:12" ht="48" customHeight="1">
      <c r="A10180" s="616" t="s">
        <v>13802</v>
      </c>
      <c r="B10180" s="617" t="s">
        <v>13364</v>
      </c>
      <c r="C10180" s="616" t="s">
        <v>8</v>
      </c>
      <c r="D10180" s="616" t="s">
        <v>4889</v>
      </c>
      <c r="E10180" s="618" t="s">
        <v>35</v>
      </c>
      <c r="F10180" s="617"/>
      <c r="G10180" s="617"/>
      <c r="H10180" s="617"/>
      <c r="I10180" s="617"/>
      <c r="J10180" s="617"/>
      <c r="K10180" s="617"/>
      <c r="L10180" s="617"/>
    </row>
    <row r="10181" spans="1:12" ht="14.25" customHeight="1">
      <c r="A10181" s="802" t="s">
        <v>12711</v>
      </c>
      <c r="B10181" s="802"/>
      <c r="C10181" s="802"/>
      <c r="D10181" s="802"/>
      <c r="E10181" s="802"/>
      <c r="F10181" s="802"/>
      <c r="G10181" s="802"/>
      <c r="H10181" s="802"/>
      <c r="I10181" s="612"/>
      <c r="J10181" s="612"/>
      <c r="K10181" s="612"/>
      <c r="L10181" s="612"/>
    </row>
    <row r="10182" spans="1:12" ht="17.100000000000001" customHeight="1">
      <c r="A10182" s="612" t="s">
        <v>13679</v>
      </c>
      <c r="B10182" s="636" t="s">
        <v>12698</v>
      </c>
      <c r="C10182" s="612" t="s">
        <v>12699</v>
      </c>
      <c r="D10182" s="612" t="s">
        <v>12700</v>
      </c>
      <c r="E10182" s="637" t="s">
        <v>12702</v>
      </c>
      <c r="F10182" s="801" t="s">
        <v>12704</v>
      </c>
      <c r="G10182" s="801"/>
      <c r="H10182" s="801" t="s">
        <v>13678</v>
      </c>
      <c r="I10182" s="801"/>
      <c r="J10182" s="801" t="s">
        <v>12705</v>
      </c>
      <c r="K10182" s="801"/>
      <c r="L10182" s="801"/>
    </row>
    <row r="10183" spans="1:12" ht="24" customHeight="1">
      <c r="A10183" s="626" t="s">
        <v>12709</v>
      </c>
      <c r="B10183" s="627" t="s">
        <v>13064</v>
      </c>
      <c r="C10183" s="626" t="s">
        <v>8</v>
      </c>
      <c r="D10183" s="626" t="s">
        <v>11184</v>
      </c>
      <c r="E10183" s="628" t="s">
        <v>35</v>
      </c>
      <c r="F10183" s="816" t="s">
        <v>13801</v>
      </c>
      <c r="G10183" s="816"/>
      <c r="H10183" s="816">
        <v>9.3000000000000007E-6</v>
      </c>
      <c r="I10183" s="816"/>
      <c r="J10183" s="817">
        <v>2.2896000000000001</v>
      </c>
      <c r="K10183" s="817"/>
      <c r="L10183" s="817"/>
    </row>
    <row r="10184" spans="1:12" ht="24" customHeight="1">
      <c r="A10184" s="626" t="s">
        <v>12709</v>
      </c>
      <c r="B10184" s="627" t="s">
        <v>13003</v>
      </c>
      <c r="C10184" s="626" t="s">
        <v>8</v>
      </c>
      <c r="D10184" s="626" t="s">
        <v>9227</v>
      </c>
      <c r="E10184" s="628" t="s">
        <v>23</v>
      </c>
      <c r="F10184" s="816" t="s">
        <v>13732</v>
      </c>
      <c r="G10184" s="816"/>
      <c r="H10184" s="816">
        <v>0.73578109999999997</v>
      </c>
      <c r="I10184" s="816"/>
      <c r="J10184" s="817">
        <v>0.48559999999999998</v>
      </c>
      <c r="K10184" s="817"/>
      <c r="L10184" s="817"/>
    </row>
    <row r="10185" spans="1:12" ht="24" customHeight="1">
      <c r="A10185" s="626" t="s">
        <v>12709</v>
      </c>
      <c r="B10185" s="627" t="s">
        <v>13001</v>
      </c>
      <c r="C10185" s="626" t="s">
        <v>8</v>
      </c>
      <c r="D10185" s="626" t="s">
        <v>9374</v>
      </c>
      <c r="E10185" s="628" t="s">
        <v>23</v>
      </c>
      <c r="F10185" s="816" t="s">
        <v>13728</v>
      </c>
      <c r="G10185" s="816"/>
      <c r="H10185" s="816">
        <v>0.73578109999999997</v>
      </c>
      <c r="I10185" s="816"/>
      <c r="J10185" s="817">
        <v>7.4000000000000003E-3</v>
      </c>
      <c r="K10185" s="817"/>
      <c r="L10185" s="817"/>
    </row>
    <row r="10186" spans="1:12" ht="24" customHeight="1">
      <c r="A10186" s="626" t="s">
        <v>12709</v>
      </c>
      <c r="B10186" s="627" t="s">
        <v>12989</v>
      </c>
      <c r="C10186" s="626" t="s">
        <v>8</v>
      </c>
      <c r="D10186" s="626" t="s">
        <v>12342</v>
      </c>
      <c r="E10186" s="628" t="s">
        <v>35</v>
      </c>
      <c r="F10186" s="816" t="s">
        <v>14494</v>
      </c>
      <c r="G10186" s="816"/>
      <c r="H10186" s="816">
        <v>2.117E-4</v>
      </c>
      <c r="I10186" s="816"/>
      <c r="J10186" s="817">
        <v>0.51280000000000003</v>
      </c>
      <c r="K10186" s="817"/>
      <c r="L10186" s="817"/>
    </row>
    <row r="10187" spans="1:12" ht="24" customHeight="1">
      <c r="A10187" s="626" t="s">
        <v>12709</v>
      </c>
      <c r="B10187" s="627" t="s">
        <v>13052</v>
      </c>
      <c r="C10187" s="626" t="s">
        <v>8</v>
      </c>
      <c r="D10187" s="626" t="s">
        <v>9229</v>
      </c>
      <c r="E10187" s="628" t="s">
        <v>23</v>
      </c>
      <c r="F10187" s="816" t="s">
        <v>13692</v>
      </c>
      <c r="G10187" s="816"/>
      <c r="H10187" s="816">
        <v>9.3282290000000003</v>
      </c>
      <c r="I10187" s="816"/>
      <c r="J10187" s="817">
        <v>8.9550999999999998</v>
      </c>
      <c r="K10187" s="817"/>
      <c r="L10187" s="817"/>
    </row>
    <row r="10188" spans="1:12" ht="24" customHeight="1">
      <c r="A10188" s="626" t="s">
        <v>12709</v>
      </c>
      <c r="B10188" s="627" t="s">
        <v>13051</v>
      </c>
      <c r="C10188" s="626" t="s">
        <v>8</v>
      </c>
      <c r="D10188" s="626" t="s">
        <v>9376</v>
      </c>
      <c r="E10188" s="628" t="s">
        <v>23</v>
      </c>
      <c r="F10188" s="816" t="s">
        <v>13691</v>
      </c>
      <c r="G10188" s="816"/>
      <c r="H10188" s="816">
        <v>9.3282290000000003</v>
      </c>
      <c r="I10188" s="816"/>
      <c r="J10188" s="817">
        <v>4.6641000000000004</v>
      </c>
      <c r="K10188" s="817"/>
      <c r="L10188" s="817"/>
    </row>
    <row r="10189" spans="1:12" ht="24" customHeight="1">
      <c r="A10189" s="626" t="s">
        <v>12709</v>
      </c>
      <c r="B10189" s="627" t="s">
        <v>13297</v>
      </c>
      <c r="C10189" s="626" t="s">
        <v>8</v>
      </c>
      <c r="D10189" s="626" t="s">
        <v>7681</v>
      </c>
      <c r="E10189" s="628" t="s">
        <v>35</v>
      </c>
      <c r="F10189" s="816" t="s">
        <v>14527</v>
      </c>
      <c r="G10189" s="816"/>
      <c r="H10189" s="816">
        <v>1.0699999999999999E-5</v>
      </c>
      <c r="I10189" s="816"/>
      <c r="J10189" s="817">
        <v>0.15759999999999999</v>
      </c>
      <c r="K10189" s="817"/>
      <c r="L10189" s="817"/>
    </row>
    <row r="10190" spans="1:12" ht="17.100000000000001" customHeight="1">
      <c r="A10190" s="626" t="s">
        <v>12709</v>
      </c>
      <c r="B10190" s="627" t="s">
        <v>13048</v>
      </c>
      <c r="C10190" s="626" t="s">
        <v>8</v>
      </c>
      <c r="D10190" s="626" t="s">
        <v>9233</v>
      </c>
      <c r="E10190" s="628" t="s">
        <v>23</v>
      </c>
      <c r="F10190" s="816" t="s">
        <v>13690</v>
      </c>
      <c r="G10190" s="816"/>
      <c r="H10190" s="816">
        <v>8.8661518000000008</v>
      </c>
      <c r="I10190" s="816"/>
      <c r="J10190" s="817">
        <v>9.0434999999999999</v>
      </c>
      <c r="K10190" s="817"/>
      <c r="L10190" s="817"/>
    </row>
    <row r="10191" spans="1:12" ht="14.25" customHeight="1">
      <c r="A10191" s="626" t="s">
        <v>12709</v>
      </c>
      <c r="B10191" s="627" t="s">
        <v>13047</v>
      </c>
      <c r="C10191" s="626" t="s">
        <v>8</v>
      </c>
      <c r="D10191" s="626" t="s">
        <v>9380</v>
      </c>
      <c r="E10191" s="628" t="s">
        <v>23</v>
      </c>
      <c r="F10191" s="816" t="s">
        <v>13689</v>
      </c>
      <c r="G10191" s="816"/>
      <c r="H10191" s="816">
        <v>8.8661518000000008</v>
      </c>
      <c r="I10191" s="816"/>
      <c r="J10191" s="817">
        <v>3.3691</v>
      </c>
      <c r="K10191" s="817"/>
      <c r="L10191" s="817"/>
    </row>
    <row r="10192" spans="1:12" ht="17.100000000000001" customHeight="1">
      <c r="A10192" s="626" t="s">
        <v>12709</v>
      </c>
      <c r="B10192" s="627" t="s">
        <v>13032</v>
      </c>
      <c r="C10192" s="626" t="s">
        <v>8</v>
      </c>
      <c r="D10192" s="626" t="s">
        <v>9217</v>
      </c>
      <c r="E10192" s="628" t="s">
        <v>23</v>
      </c>
      <c r="F10192" s="816" t="s">
        <v>13741</v>
      </c>
      <c r="G10192" s="816"/>
      <c r="H10192" s="816">
        <v>0.30874059999999998</v>
      </c>
      <c r="I10192" s="816"/>
      <c r="J10192" s="817">
        <v>0.33339999999999997</v>
      </c>
      <c r="K10192" s="817"/>
      <c r="L10192" s="817"/>
    </row>
    <row r="10193" spans="1:12" ht="24" customHeight="1">
      <c r="A10193" s="626" t="s">
        <v>12709</v>
      </c>
      <c r="B10193" s="627" t="s">
        <v>13031</v>
      </c>
      <c r="C10193" s="626" t="s">
        <v>8</v>
      </c>
      <c r="D10193" s="626" t="s">
        <v>9364</v>
      </c>
      <c r="E10193" s="628" t="s">
        <v>23</v>
      </c>
      <c r="F10193" s="816" t="s">
        <v>13740</v>
      </c>
      <c r="G10193" s="816"/>
      <c r="H10193" s="816">
        <v>0.30874059999999998</v>
      </c>
      <c r="I10193" s="816"/>
      <c r="J10193" s="817">
        <v>0.105</v>
      </c>
      <c r="K10193" s="817"/>
      <c r="L10193" s="817"/>
    </row>
    <row r="10194" spans="1:12" ht="24" customHeight="1">
      <c r="A10194" s="626" t="s">
        <v>12709</v>
      </c>
      <c r="B10194" s="627" t="s">
        <v>13268</v>
      </c>
      <c r="C10194" s="626" t="s">
        <v>8</v>
      </c>
      <c r="D10194" s="626" t="s">
        <v>8451</v>
      </c>
      <c r="E10194" s="628" t="s">
        <v>35</v>
      </c>
      <c r="F10194" s="816" t="s">
        <v>14506</v>
      </c>
      <c r="G10194" s="816"/>
      <c r="H10194" s="816">
        <v>6.9999999999999997E-7</v>
      </c>
      <c r="I10194" s="816"/>
      <c r="J10194" s="817">
        <v>7.6E-3</v>
      </c>
      <c r="K10194" s="817"/>
      <c r="L10194" s="817"/>
    </row>
    <row r="10195" spans="1:12" ht="24" customHeight="1">
      <c r="A10195" s="626" t="s">
        <v>12709</v>
      </c>
      <c r="B10195" s="627" t="s">
        <v>13302</v>
      </c>
      <c r="C10195" s="626" t="s">
        <v>8</v>
      </c>
      <c r="D10195" s="626" t="s">
        <v>7676</v>
      </c>
      <c r="E10195" s="628" t="s">
        <v>35</v>
      </c>
      <c r="F10195" s="816" t="s">
        <v>14526</v>
      </c>
      <c r="G10195" s="816"/>
      <c r="H10195" s="816">
        <v>3.8899999999999997E-5</v>
      </c>
      <c r="I10195" s="816"/>
      <c r="J10195" s="817">
        <v>0.1409</v>
      </c>
      <c r="K10195" s="817"/>
      <c r="L10195" s="817"/>
    </row>
    <row r="10196" spans="1:12" ht="17.100000000000001" customHeight="1">
      <c r="A10196" s="636"/>
      <c r="B10196" s="636"/>
      <c r="C10196" s="636"/>
      <c r="D10196" s="636"/>
      <c r="E10196" s="636"/>
      <c r="F10196" s="636"/>
      <c r="G10196" s="636"/>
      <c r="H10196" s="636"/>
      <c r="I10196" s="636"/>
      <c r="J10196" s="636" t="s">
        <v>13675</v>
      </c>
      <c r="K10196" s="636"/>
      <c r="L10196" s="636" t="s">
        <v>14525</v>
      </c>
    </row>
    <row r="10197" spans="1:12">
      <c r="A10197" s="802" t="s">
        <v>12710</v>
      </c>
      <c r="B10197" s="802"/>
      <c r="C10197" s="802"/>
      <c r="D10197" s="802"/>
      <c r="E10197" s="802"/>
      <c r="F10197" s="802"/>
      <c r="G10197" s="802"/>
      <c r="H10197" s="802"/>
      <c r="I10197" s="612"/>
      <c r="J10197" s="612"/>
      <c r="K10197" s="612"/>
      <c r="L10197" s="612"/>
    </row>
    <row r="10198" spans="1:12" ht="17.100000000000001" customHeight="1">
      <c r="A10198" s="612" t="s">
        <v>13679</v>
      </c>
      <c r="B10198" s="636" t="s">
        <v>12698</v>
      </c>
      <c r="C10198" s="612" t="s">
        <v>12699</v>
      </c>
      <c r="D10198" s="612" t="s">
        <v>12700</v>
      </c>
      <c r="E10198" s="637" t="s">
        <v>12702</v>
      </c>
      <c r="F10198" s="801" t="s">
        <v>12704</v>
      </c>
      <c r="G10198" s="801"/>
      <c r="H10198" s="801" t="s">
        <v>13678</v>
      </c>
      <c r="I10198" s="801"/>
      <c r="J10198" s="801" t="s">
        <v>12705</v>
      </c>
      <c r="K10198" s="801"/>
      <c r="L10198" s="801"/>
    </row>
    <row r="10199" spans="1:12" ht="24" customHeight="1">
      <c r="A10199" s="626" t="s">
        <v>12709</v>
      </c>
      <c r="B10199" s="627" t="s">
        <v>13114</v>
      </c>
      <c r="C10199" s="626" t="s">
        <v>8</v>
      </c>
      <c r="D10199" s="626" t="s">
        <v>10562</v>
      </c>
      <c r="E10199" s="628" t="s">
        <v>23</v>
      </c>
      <c r="F10199" s="816" t="s">
        <v>14524</v>
      </c>
      <c r="G10199" s="816"/>
      <c r="H10199" s="816">
        <v>0.11898110000000001</v>
      </c>
      <c r="I10199" s="816"/>
      <c r="J10199" s="817">
        <v>0.79479999999999995</v>
      </c>
      <c r="K10199" s="817"/>
      <c r="L10199" s="817"/>
    </row>
    <row r="10200" spans="1:12" ht="24" customHeight="1">
      <c r="A10200" s="626" t="s">
        <v>12709</v>
      </c>
      <c r="B10200" s="627" t="s">
        <v>13103</v>
      </c>
      <c r="C10200" s="626" t="s">
        <v>8</v>
      </c>
      <c r="D10200" s="626" t="s">
        <v>10570</v>
      </c>
      <c r="E10200" s="628" t="s">
        <v>23</v>
      </c>
      <c r="F10200" s="816" t="s">
        <v>14289</v>
      </c>
      <c r="G10200" s="816"/>
      <c r="H10200" s="816">
        <v>5.94207E-2</v>
      </c>
      <c r="I10200" s="816"/>
      <c r="J10200" s="817">
        <v>0.30249999999999999</v>
      </c>
      <c r="K10200" s="817"/>
      <c r="L10200" s="817"/>
    </row>
    <row r="10201" spans="1:12" ht="17.100000000000001" customHeight="1">
      <c r="A10201" s="626" t="s">
        <v>12709</v>
      </c>
      <c r="B10201" s="627" t="s">
        <v>13230</v>
      </c>
      <c r="C10201" s="626" t="s">
        <v>8</v>
      </c>
      <c r="D10201" s="626" t="s">
        <v>7362</v>
      </c>
      <c r="E10201" s="628" t="s">
        <v>23</v>
      </c>
      <c r="F10201" s="816" t="s">
        <v>14514</v>
      </c>
      <c r="G10201" s="816"/>
      <c r="H10201" s="816">
        <v>8.9974200000000004E-2</v>
      </c>
      <c r="I10201" s="816"/>
      <c r="J10201" s="817">
        <v>0.43280000000000002</v>
      </c>
      <c r="K10201" s="817"/>
      <c r="L10201" s="817"/>
    </row>
    <row r="10202" spans="1:12" ht="25.5">
      <c r="A10202" s="626" t="s">
        <v>12709</v>
      </c>
      <c r="B10202" s="627" t="s">
        <v>13224</v>
      </c>
      <c r="C10202" s="626" t="s">
        <v>8</v>
      </c>
      <c r="D10202" s="626" t="s">
        <v>7556</v>
      </c>
      <c r="E10202" s="628" t="s">
        <v>23</v>
      </c>
      <c r="F10202" s="816" t="s">
        <v>14470</v>
      </c>
      <c r="G10202" s="816"/>
      <c r="H10202" s="816">
        <v>0.57718139999999996</v>
      </c>
      <c r="I10202" s="816"/>
      <c r="J10202" s="817">
        <v>3.9883000000000002</v>
      </c>
      <c r="K10202" s="817"/>
      <c r="L10202" s="817"/>
    </row>
    <row r="10203" spans="1:12" ht="17.100000000000001" customHeight="1">
      <c r="A10203" s="626" t="s">
        <v>12709</v>
      </c>
      <c r="B10203" s="627" t="s">
        <v>13046</v>
      </c>
      <c r="C10203" s="626" t="s">
        <v>8</v>
      </c>
      <c r="D10203" s="626" t="s">
        <v>11281</v>
      </c>
      <c r="E10203" s="628" t="s">
        <v>23</v>
      </c>
      <c r="F10203" s="816" t="s">
        <v>13731</v>
      </c>
      <c r="G10203" s="816"/>
      <c r="H10203" s="816">
        <v>8.9957890000000003</v>
      </c>
      <c r="I10203" s="816"/>
      <c r="J10203" s="817">
        <v>46.238399999999999</v>
      </c>
      <c r="K10203" s="817"/>
      <c r="L10203" s="817"/>
    </row>
    <row r="10204" spans="1:12" ht="24" customHeight="1">
      <c r="A10204" s="626" t="s">
        <v>12709</v>
      </c>
      <c r="B10204" s="627" t="s">
        <v>13116</v>
      </c>
      <c r="C10204" s="626" t="s">
        <v>8</v>
      </c>
      <c r="D10204" s="626" t="s">
        <v>10556</v>
      </c>
      <c r="E10204" s="628" t="s">
        <v>23</v>
      </c>
      <c r="F10204" s="816" t="s">
        <v>13770</v>
      </c>
      <c r="G10204" s="816"/>
      <c r="H10204" s="816">
        <v>0.56197830000000004</v>
      </c>
      <c r="I10204" s="816"/>
      <c r="J10204" s="817">
        <v>2.6806000000000001</v>
      </c>
      <c r="K10204" s="817"/>
      <c r="L10204" s="817"/>
    </row>
    <row r="10205" spans="1:12" ht="17.100000000000001" customHeight="1">
      <c r="A10205" s="626" t="s">
        <v>12709</v>
      </c>
      <c r="B10205" s="627" t="s">
        <v>13228</v>
      </c>
      <c r="C10205" s="626" t="s">
        <v>8</v>
      </c>
      <c r="D10205" s="626" t="s">
        <v>8289</v>
      </c>
      <c r="E10205" s="628" t="s">
        <v>23</v>
      </c>
      <c r="F10205" s="816" t="s">
        <v>14199</v>
      </c>
      <c r="G10205" s="816"/>
      <c r="H10205" s="816">
        <v>5.19827E-2</v>
      </c>
      <c r="I10205" s="816"/>
      <c r="J10205" s="817">
        <v>0.2828</v>
      </c>
      <c r="K10205" s="817"/>
      <c r="L10205" s="817"/>
    </row>
    <row r="10206" spans="1:12" ht="25.5">
      <c r="A10206" s="626" t="s">
        <v>12709</v>
      </c>
      <c r="B10206" s="627" t="s">
        <v>13214</v>
      </c>
      <c r="C10206" s="626" t="s">
        <v>8</v>
      </c>
      <c r="D10206" s="626" t="s">
        <v>8291</v>
      </c>
      <c r="E10206" s="628" t="s">
        <v>23</v>
      </c>
      <c r="F10206" s="816" t="s">
        <v>14513</v>
      </c>
      <c r="G10206" s="816"/>
      <c r="H10206" s="816">
        <v>0.25991360000000002</v>
      </c>
      <c r="I10206" s="816"/>
      <c r="J10206" s="817">
        <v>1.9597</v>
      </c>
      <c r="K10206" s="817"/>
      <c r="L10206" s="817"/>
    </row>
    <row r="10207" spans="1:12" ht="17.100000000000001" customHeight="1">
      <c r="A10207" s="626" t="s">
        <v>12709</v>
      </c>
      <c r="B10207" s="627" t="s">
        <v>13099</v>
      </c>
      <c r="C10207" s="626" t="s">
        <v>8</v>
      </c>
      <c r="D10207" s="626" t="s">
        <v>10726</v>
      </c>
      <c r="E10207" s="628" t="s">
        <v>23</v>
      </c>
      <c r="F10207" s="816" t="s">
        <v>14470</v>
      </c>
      <c r="G10207" s="816"/>
      <c r="H10207" s="816">
        <v>8.7930320999999996</v>
      </c>
      <c r="I10207" s="816"/>
      <c r="J10207" s="817">
        <v>60.759900000000002</v>
      </c>
      <c r="K10207" s="817"/>
      <c r="L10207" s="817"/>
    </row>
    <row r="10208" spans="1:12" ht="24" customHeight="1">
      <c r="A10208" s="636"/>
      <c r="B10208" s="636"/>
      <c r="C10208" s="636"/>
      <c r="D10208" s="636"/>
      <c r="E10208" s="636"/>
      <c r="F10208" s="636"/>
      <c r="G10208" s="636"/>
      <c r="H10208" s="636"/>
      <c r="I10208" s="636"/>
      <c r="J10208" s="636" t="s">
        <v>13675</v>
      </c>
      <c r="K10208" s="636"/>
      <c r="L10208" s="636" t="s">
        <v>14523</v>
      </c>
    </row>
    <row r="10209" spans="1:12" ht="17.100000000000001" customHeight="1">
      <c r="A10209" s="802" t="s">
        <v>12720</v>
      </c>
      <c r="B10209" s="802"/>
      <c r="C10209" s="802"/>
      <c r="D10209" s="802"/>
      <c r="E10209" s="802"/>
      <c r="F10209" s="802"/>
      <c r="G10209" s="802"/>
      <c r="H10209" s="802"/>
      <c r="I10209" s="612"/>
      <c r="J10209" s="612"/>
      <c r="K10209" s="612"/>
      <c r="L10209" s="612"/>
    </row>
    <row r="10210" spans="1:12">
      <c r="A10210" s="612" t="s">
        <v>13679</v>
      </c>
      <c r="B10210" s="636" t="s">
        <v>12698</v>
      </c>
      <c r="C10210" s="612" t="s">
        <v>12699</v>
      </c>
      <c r="D10210" s="612" t="s">
        <v>12700</v>
      </c>
      <c r="E10210" s="637" t="s">
        <v>12702</v>
      </c>
      <c r="F10210" s="801" t="s">
        <v>12704</v>
      </c>
      <c r="G10210" s="801"/>
      <c r="H10210" s="801" t="s">
        <v>13678</v>
      </c>
      <c r="I10210" s="801"/>
      <c r="J10210" s="801" t="s">
        <v>12705</v>
      </c>
      <c r="K10210" s="801"/>
      <c r="L10210" s="801"/>
    </row>
    <row r="10211" spans="1:12" ht="17.100000000000001" customHeight="1">
      <c r="A10211" s="626" t="s">
        <v>12709</v>
      </c>
      <c r="B10211" s="627" t="s">
        <v>13363</v>
      </c>
      <c r="C10211" s="626" t="s">
        <v>8</v>
      </c>
      <c r="D10211" s="626" t="s">
        <v>11770</v>
      </c>
      <c r="E10211" s="628" t="s">
        <v>35</v>
      </c>
      <c r="F10211" s="816" t="s">
        <v>13688</v>
      </c>
      <c r="G10211" s="816"/>
      <c r="H10211" s="816">
        <v>216.49160000000001</v>
      </c>
      <c r="I10211" s="816"/>
      <c r="J10211" s="817">
        <v>77.930000000000007</v>
      </c>
      <c r="K10211" s="817"/>
      <c r="L10211" s="817"/>
    </row>
    <row r="10212" spans="1:12" ht="24" customHeight="1">
      <c r="A10212" s="626" t="s">
        <v>12709</v>
      </c>
      <c r="B10212" s="627" t="s">
        <v>13007</v>
      </c>
      <c r="C10212" s="626" t="s">
        <v>8</v>
      </c>
      <c r="D10212" s="626" t="s">
        <v>10549</v>
      </c>
      <c r="E10212" s="628" t="s">
        <v>58</v>
      </c>
      <c r="F10212" s="816" t="s">
        <v>14172</v>
      </c>
      <c r="G10212" s="816"/>
      <c r="H10212" s="816">
        <v>0.208594</v>
      </c>
      <c r="I10212" s="816"/>
      <c r="J10212" s="817">
        <v>0.67579999999999996</v>
      </c>
      <c r="K10212" s="817"/>
      <c r="L10212" s="817"/>
    </row>
    <row r="10213" spans="1:12" ht="24" customHeight="1">
      <c r="A10213" s="626" t="s">
        <v>12709</v>
      </c>
      <c r="B10213" s="627" t="s">
        <v>13093</v>
      </c>
      <c r="C10213" s="626" t="s">
        <v>8</v>
      </c>
      <c r="D10213" s="626" t="s">
        <v>8980</v>
      </c>
      <c r="E10213" s="628" t="s">
        <v>58</v>
      </c>
      <c r="F10213" s="816" t="s">
        <v>14502</v>
      </c>
      <c r="G10213" s="816"/>
      <c r="H10213" s="816">
        <v>3.9662999999999999E-3</v>
      </c>
      <c r="I10213" s="816"/>
      <c r="J10213" s="817">
        <v>1.9199999999999998E-2</v>
      </c>
      <c r="K10213" s="817"/>
      <c r="L10213" s="817"/>
    </row>
    <row r="10214" spans="1:12" ht="17.100000000000001" customHeight="1">
      <c r="A10214" s="626" t="s">
        <v>12709</v>
      </c>
      <c r="B10214" s="627" t="s">
        <v>13091</v>
      </c>
      <c r="C10214" s="626" t="s">
        <v>8</v>
      </c>
      <c r="D10214" s="626" t="s">
        <v>11248</v>
      </c>
      <c r="E10214" s="628" t="s">
        <v>17</v>
      </c>
      <c r="F10214" s="816" t="s">
        <v>14501</v>
      </c>
      <c r="G10214" s="816"/>
      <c r="H10214" s="816">
        <v>0.3131755</v>
      </c>
      <c r="I10214" s="816"/>
      <c r="J10214" s="817">
        <v>0.62639999999999996</v>
      </c>
      <c r="K10214" s="817"/>
      <c r="L10214" s="817"/>
    </row>
    <row r="10215" spans="1:12" ht="17.100000000000001" customHeight="1">
      <c r="A10215" s="626" t="s">
        <v>12709</v>
      </c>
      <c r="B10215" s="627" t="s">
        <v>13094</v>
      </c>
      <c r="C10215" s="626" t="s">
        <v>8</v>
      </c>
      <c r="D10215" s="626" t="s">
        <v>8374</v>
      </c>
      <c r="E10215" s="628" t="s">
        <v>12725</v>
      </c>
      <c r="F10215" s="816" t="s">
        <v>14522</v>
      </c>
      <c r="G10215" s="816"/>
      <c r="H10215" s="816">
        <v>9.1721200000000003E-2</v>
      </c>
      <c r="I10215" s="816"/>
      <c r="J10215" s="817">
        <v>2.46</v>
      </c>
      <c r="K10215" s="817"/>
      <c r="L10215" s="817"/>
    </row>
    <row r="10216" spans="1:12" ht="17.100000000000001" customHeight="1">
      <c r="A10216" s="626" t="s">
        <v>12709</v>
      </c>
      <c r="B10216" s="627" t="s">
        <v>13092</v>
      </c>
      <c r="C10216" s="626" t="s">
        <v>8</v>
      </c>
      <c r="D10216" s="626" t="s">
        <v>11005</v>
      </c>
      <c r="E10216" s="628" t="s">
        <v>20</v>
      </c>
      <c r="F10216" s="816" t="s">
        <v>13797</v>
      </c>
      <c r="G10216" s="816"/>
      <c r="H10216" s="816">
        <v>1.83205E-2</v>
      </c>
      <c r="I10216" s="816"/>
      <c r="J10216" s="817">
        <v>0.2268</v>
      </c>
      <c r="K10216" s="817"/>
      <c r="L10216" s="817"/>
    </row>
    <row r="10217" spans="1:12" ht="17.100000000000001" customHeight="1">
      <c r="A10217" s="626" t="s">
        <v>12709</v>
      </c>
      <c r="B10217" s="627" t="s">
        <v>12987</v>
      </c>
      <c r="C10217" s="626" t="s">
        <v>8</v>
      </c>
      <c r="D10217" s="626" t="s">
        <v>9192</v>
      </c>
      <c r="E10217" s="628" t="s">
        <v>12923</v>
      </c>
      <c r="F10217" s="816" t="s">
        <v>13999</v>
      </c>
      <c r="G10217" s="816"/>
      <c r="H10217" s="816">
        <v>0.75228329999999999</v>
      </c>
      <c r="I10217" s="816"/>
      <c r="J10217" s="817">
        <v>0.60929999999999995</v>
      </c>
      <c r="K10217" s="817"/>
      <c r="L10217" s="817"/>
    </row>
    <row r="10218" spans="1:12" ht="17.100000000000001" customHeight="1">
      <c r="A10218" s="626" t="s">
        <v>12709</v>
      </c>
      <c r="B10218" s="627" t="s">
        <v>13056</v>
      </c>
      <c r="C10218" s="626" t="s">
        <v>8</v>
      </c>
      <c r="D10218" s="626" t="s">
        <v>11277</v>
      </c>
      <c r="E10218" s="628" t="s">
        <v>35</v>
      </c>
      <c r="F10218" s="816" t="s">
        <v>14498</v>
      </c>
      <c r="G10218" s="816"/>
      <c r="H10218" s="816">
        <v>5.4999999999999999E-6</v>
      </c>
      <c r="I10218" s="816"/>
      <c r="J10218" s="817">
        <v>6.8999999999999999E-3</v>
      </c>
      <c r="K10218" s="817"/>
      <c r="L10218" s="817"/>
    </row>
    <row r="10219" spans="1:12" ht="17.100000000000001" customHeight="1">
      <c r="A10219" s="626" t="s">
        <v>12709</v>
      </c>
      <c r="B10219" s="627" t="s">
        <v>13311</v>
      </c>
      <c r="C10219" s="626" t="s">
        <v>8</v>
      </c>
      <c r="D10219" s="626" t="s">
        <v>7522</v>
      </c>
      <c r="E10219" s="628" t="s">
        <v>20</v>
      </c>
      <c r="F10219" s="816" t="s">
        <v>14521</v>
      </c>
      <c r="G10219" s="816"/>
      <c r="H10219" s="816">
        <v>5.0604900000000001E-2</v>
      </c>
      <c r="I10219" s="816"/>
      <c r="J10219" s="817">
        <v>0.68820000000000003</v>
      </c>
      <c r="K10219" s="817"/>
      <c r="L10219" s="817"/>
    </row>
    <row r="10220" spans="1:12" ht="17.100000000000001" customHeight="1">
      <c r="A10220" s="626" t="s">
        <v>12709</v>
      </c>
      <c r="B10220" s="627" t="s">
        <v>13310</v>
      </c>
      <c r="C10220" s="626" t="s">
        <v>8</v>
      </c>
      <c r="D10220" s="626" t="s">
        <v>9265</v>
      </c>
      <c r="E10220" s="628" t="s">
        <v>35</v>
      </c>
      <c r="F10220" s="816" t="s">
        <v>13875</v>
      </c>
      <c r="G10220" s="816"/>
      <c r="H10220" s="816">
        <v>5.7001378999999996</v>
      </c>
      <c r="I10220" s="816"/>
      <c r="J10220" s="817">
        <v>0.74099999999999999</v>
      </c>
      <c r="K10220" s="817"/>
      <c r="L10220" s="817"/>
    </row>
    <row r="10221" spans="1:12" ht="30" customHeight="1">
      <c r="A10221" s="626" t="s">
        <v>12709</v>
      </c>
      <c r="B10221" s="627" t="s">
        <v>13235</v>
      </c>
      <c r="C10221" s="626" t="s">
        <v>8</v>
      </c>
      <c r="D10221" s="626" t="s">
        <v>7268</v>
      </c>
      <c r="E10221" s="628" t="s">
        <v>20</v>
      </c>
      <c r="F10221" s="816" t="s">
        <v>14520</v>
      </c>
      <c r="G10221" s="816"/>
      <c r="H10221" s="816">
        <v>2.1658903999999999</v>
      </c>
      <c r="I10221" s="816"/>
      <c r="J10221" s="817">
        <v>10.5479</v>
      </c>
      <c r="K10221" s="817"/>
      <c r="L10221" s="817"/>
    </row>
    <row r="10222" spans="1:12" ht="36" customHeight="1">
      <c r="A10222" s="626" t="s">
        <v>12709</v>
      </c>
      <c r="B10222" s="627" t="s">
        <v>13250</v>
      </c>
      <c r="C10222" s="626" t="s">
        <v>8</v>
      </c>
      <c r="D10222" s="626" t="s">
        <v>7526</v>
      </c>
      <c r="E10222" s="628" t="s">
        <v>12730</v>
      </c>
      <c r="F10222" s="816" t="s">
        <v>13747</v>
      </c>
      <c r="G10222" s="816"/>
      <c r="H10222" s="816">
        <v>0.19941339999999999</v>
      </c>
      <c r="I10222" s="816"/>
      <c r="J10222" s="817">
        <v>12.4633</v>
      </c>
      <c r="K10222" s="817"/>
      <c r="L10222" s="817"/>
    </row>
    <row r="10223" spans="1:12" ht="14.25" customHeight="1">
      <c r="A10223" s="626" t="s">
        <v>12709</v>
      </c>
      <c r="B10223" s="627" t="s">
        <v>13249</v>
      </c>
      <c r="C10223" s="626" t="s">
        <v>8</v>
      </c>
      <c r="D10223" s="626" t="s">
        <v>8420</v>
      </c>
      <c r="E10223" s="628" t="s">
        <v>20</v>
      </c>
      <c r="F10223" s="816" t="s">
        <v>13700</v>
      </c>
      <c r="G10223" s="816"/>
      <c r="H10223" s="816">
        <v>96.581690199999997</v>
      </c>
      <c r="I10223" s="816"/>
      <c r="J10223" s="817">
        <v>47.325000000000003</v>
      </c>
      <c r="K10223" s="817"/>
      <c r="L10223" s="817"/>
    </row>
    <row r="10224" spans="1:12" ht="17.100000000000001" customHeight="1">
      <c r="A10224" s="626" t="s">
        <v>12709</v>
      </c>
      <c r="B10224" s="627" t="s">
        <v>13248</v>
      </c>
      <c r="C10224" s="626" t="s">
        <v>8</v>
      </c>
      <c r="D10224" s="626" t="s">
        <v>10712</v>
      </c>
      <c r="E10224" s="628" t="s">
        <v>12730</v>
      </c>
      <c r="F10224" s="816" t="s">
        <v>13745</v>
      </c>
      <c r="G10224" s="816"/>
      <c r="H10224" s="816">
        <v>4.9752699999999997E-2</v>
      </c>
      <c r="I10224" s="816"/>
      <c r="J10224" s="817">
        <v>3.9802</v>
      </c>
      <c r="K10224" s="817"/>
      <c r="L10224" s="817"/>
    </row>
    <row r="10225" spans="1:12" ht="24" customHeight="1">
      <c r="A10225" s="626" t="s">
        <v>12709</v>
      </c>
      <c r="B10225" s="627" t="s">
        <v>13153</v>
      </c>
      <c r="C10225" s="626" t="s">
        <v>8</v>
      </c>
      <c r="D10225" s="626" t="s">
        <v>10711</v>
      </c>
      <c r="E10225" s="628" t="s">
        <v>12730</v>
      </c>
      <c r="F10225" s="816" t="s">
        <v>13793</v>
      </c>
      <c r="G10225" s="816"/>
      <c r="H10225" s="816">
        <v>0.13300890000000001</v>
      </c>
      <c r="I10225" s="816"/>
      <c r="J10225" s="817">
        <v>13.5869</v>
      </c>
      <c r="K10225" s="817"/>
      <c r="L10225" s="817"/>
    </row>
    <row r="10226" spans="1:12" ht="24" customHeight="1">
      <c r="A10226" s="626" t="s">
        <v>12709</v>
      </c>
      <c r="B10226" s="627" t="s">
        <v>13266</v>
      </c>
      <c r="C10226" s="626" t="s">
        <v>8</v>
      </c>
      <c r="D10226" s="626" t="s">
        <v>9514</v>
      </c>
      <c r="E10226" s="628" t="s">
        <v>58</v>
      </c>
      <c r="F10226" s="816" t="s">
        <v>14009</v>
      </c>
      <c r="G10226" s="816"/>
      <c r="H10226" s="816">
        <v>3.9855000000000003E-3</v>
      </c>
      <c r="I10226" s="816"/>
      <c r="J10226" s="817">
        <v>1.4999999999999999E-2</v>
      </c>
      <c r="K10226" s="817"/>
      <c r="L10226" s="817"/>
    </row>
    <row r="10227" spans="1:12" ht="24" customHeight="1">
      <c r="A10227" s="626" t="s">
        <v>12709</v>
      </c>
      <c r="B10227" s="627" t="s">
        <v>13315</v>
      </c>
      <c r="C10227" s="626" t="s">
        <v>8</v>
      </c>
      <c r="D10227" s="626" t="s">
        <v>7525</v>
      </c>
      <c r="E10227" s="628" t="s">
        <v>12730</v>
      </c>
      <c r="F10227" s="816" t="s">
        <v>14519</v>
      </c>
      <c r="G10227" s="816"/>
      <c r="H10227" s="816">
        <v>1.8347000000000001E-3</v>
      </c>
      <c r="I10227" s="816"/>
      <c r="J10227" s="817">
        <v>0.122</v>
      </c>
      <c r="K10227" s="817"/>
      <c r="L10227" s="817"/>
    </row>
    <row r="10228" spans="1:12" ht="24" customHeight="1">
      <c r="A10228" s="636"/>
      <c r="B10228" s="636"/>
      <c r="C10228" s="636"/>
      <c r="D10228" s="636"/>
      <c r="E10228" s="636"/>
      <c r="F10228" s="636"/>
      <c r="G10228" s="636"/>
      <c r="H10228" s="636"/>
      <c r="I10228" s="636"/>
      <c r="J10228" s="636" t="s">
        <v>13675</v>
      </c>
      <c r="K10228" s="636"/>
      <c r="L10228" s="636" t="s">
        <v>14518</v>
      </c>
    </row>
    <row r="10229" spans="1:12" ht="17.100000000000001" customHeight="1">
      <c r="A10229" s="802" t="s">
        <v>12722</v>
      </c>
      <c r="B10229" s="802"/>
      <c r="C10229" s="802"/>
      <c r="D10229" s="802"/>
      <c r="E10229" s="802"/>
      <c r="F10229" s="802"/>
      <c r="G10229" s="802"/>
      <c r="H10229" s="802"/>
      <c r="I10229" s="612"/>
      <c r="J10229" s="612"/>
      <c r="K10229" s="612"/>
      <c r="L10229" s="612"/>
    </row>
    <row r="10230" spans="1:12" ht="14.25" customHeight="1">
      <c r="A10230" s="612" t="s">
        <v>13679</v>
      </c>
      <c r="B10230" s="636" t="s">
        <v>12698</v>
      </c>
      <c r="C10230" s="612" t="s">
        <v>12699</v>
      </c>
      <c r="D10230" s="612" t="s">
        <v>12700</v>
      </c>
      <c r="E10230" s="637" t="s">
        <v>12702</v>
      </c>
      <c r="F10230" s="801" t="s">
        <v>12704</v>
      </c>
      <c r="G10230" s="801"/>
      <c r="H10230" s="801" t="s">
        <v>13678</v>
      </c>
      <c r="I10230" s="801"/>
      <c r="J10230" s="801" t="s">
        <v>12705</v>
      </c>
      <c r="K10230" s="801"/>
      <c r="L10230" s="801"/>
    </row>
    <row r="10231" spans="1:12" ht="17.100000000000001" customHeight="1">
      <c r="A10231" s="626" t="s">
        <v>12709</v>
      </c>
      <c r="B10231" s="627" t="s">
        <v>12998</v>
      </c>
      <c r="C10231" s="626" t="s">
        <v>8</v>
      </c>
      <c r="D10231" s="626" t="s">
        <v>11861</v>
      </c>
      <c r="E10231" s="628" t="s">
        <v>23</v>
      </c>
      <c r="F10231" s="816" t="s">
        <v>13683</v>
      </c>
      <c r="G10231" s="816"/>
      <c r="H10231" s="816">
        <v>19.238902499999998</v>
      </c>
      <c r="I10231" s="816"/>
      <c r="J10231" s="817">
        <v>13.659599999999999</v>
      </c>
      <c r="K10231" s="817"/>
      <c r="L10231" s="817"/>
    </row>
    <row r="10232" spans="1:12" ht="24" customHeight="1">
      <c r="A10232" s="636"/>
      <c r="B10232" s="636"/>
      <c r="C10232" s="636"/>
      <c r="D10232" s="636"/>
      <c r="E10232" s="636"/>
      <c r="F10232" s="636"/>
      <c r="G10232" s="636"/>
      <c r="H10232" s="636"/>
      <c r="I10232" s="636"/>
      <c r="J10232" s="636" t="s">
        <v>13675</v>
      </c>
      <c r="K10232" s="636"/>
      <c r="L10232" s="636" t="s">
        <v>13792</v>
      </c>
    </row>
    <row r="10233" spans="1:12" ht="24" customHeight="1">
      <c r="A10233" s="802" t="s">
        <v>12713</v>
      </c>
      <c r="B10233" s="802"/>
      <c r="C10233" s="802"/>
      <c r="D10233" s="802"/>
      <c r="E10233" s="802"/>
      <c r="F10233" s="802"/>
      <c r="G10233" s="802"/>
      <c r="H10233" s="802"/>
      <c r="I10233" s="612"/>
      <c r="J10233" s="612"/>
      <c r="K10233" s="612"/>
      <c r="L10233" s="612"/>
    </row>
    <row r="10234" spans="1:12" ht="24" customHeight="1">
      <c r="A10234" s="612" t="s">
        <v>13679</v>
      </c>
      <c r="B10234" s="636" t="s">
        <v>12698</v>
      </c>
      <c r="C10234" s="612" t="s">
        <v>12699</v>
      </c>
      <c r="D10234" s="612" t="s">
        <v>12700</v>
      </c>
      <c r="E10234" s="637" t="s">
        <v>12702</v>
      </c>
      <c r="F10234" s="801" t="s">
        <v>12704</v>
      </c>
      <c r="G10234" s="801"/>
      <c r="H10234" s="801" t="s">
        <v>13678</v>
      </c>
      <c r="I10234" s="801"/>
      <c r="J10234" s="801" t="s">
        <v>12705</v>
      </c>
      <c r="K10234" s="801"/>
      <c r="L10234" s="801"/>
    </row>
    <row r="10235" spans="1:12" ht="17.100000000000001" customHeight="1">
      <c r="A10235" s="626" t="s">
        <v>12709</v>
      </c>
      <c r="B10235" s="627" t="s">
        <v>12999</v>
      </c>
      <c r="C10235" s="626" t="s">
        <v>8</v>
      </c>
      <c r="D10235" s="626" t="s">
        <v>11251</v>
      </c>
      <c r="E10235" s="628" t="s">
        <v>23</v>
      </c>
      <c r="F10235" s="816" t="s">
        <v>13681</v>
      </c>
      <c r="G10235" s="816"/>
      <c r="H10235" s="816">
        <v>19.238902499999998</v>
      </c>
      <c r="I10235" s="816"/>
      <c r="J10235" s="817">
        <v>1.3467</v>
      </c>
      <c r="K10235" s="817"/>
      <c r="L10235" s="817"/>
    </row>
    <row r="10236" spans="1:12">
      <c r="A10236" s="636"/>
      <c r="B10236" s="636"/>
      <c r="C10236" s="636"/>
      <c r="D10236" s="636"/>
      <c r="E10236" s="636"/>
      <c r="F10236" s="636"/>
      <c r="G10236" s="636"/>
      <c r="H10236" s="636"/>
      <c r="I10236" s="636"/>
      <c r="J10236" s="636" t="s">
        <v>13675</v>
      </c>
      <c r="K10236" s="636"/>
      <c r="L10236" s="636" t="s">
        <v>13791</v>
      </c>
    </row>
    <row r="10237" spans="1:12" ht="17.100000000000001" customHeight="1">
      <c r="A10237" s="802" t="s">
        <v>12712</v>
      </c>
      <c r="B10237" s="802"/>
      <c r="C10237" s="802"/>
      <c r="D10237" s="802"/>
      <c r="E10237" s="802"/>
      <c r="F10237" s="802"/>
      <c r="G10237" s="802"/>
      <c r="H10237" s="802"/>
      <c r="I10237" s="612"/>
      <c r="J10237" s="612"/>
      <c r="K10237" s="612"/>
      <c r="L10237" s="612"/>
    </row>
    <row r="10238" spans="1:12" ht="24" customHeight="1">
      <c r="A10238" s="612" t="s">
        <v>13679</v>
      </c>
      <c r="B10238" s="636" t="s">
        <v>12698</v>
      </c>
      <c r="C10238" s="612" t="s">
        <v>12699</v>
      </c>
      <c r="D10238" s="612" t="s">
        <v>12700</v>
      </c>
      <c r="E10238" s="637" t="s">
        <v>12702</v>
      </c>
      <c r="F10238" s="801" t="s">
        <v>12704</v>
      </c>
      <c r="G10238" s="801"/>
      <c r="H10238" s="801" t="s">
        <v>13678</v>
      </c>
      <c r="I10238" s="801"/>
      <c r="J10238" s="801" t="s">
        <v>12705</v>
      </c>
      <c r="K10238" s="801"/>
      <c r="L10238" s="801"/>
    </row>
    <row r="10239" spans="1:12" ht="24" customHeight="1">
      <c r="A10239" s="626" t="s">
        <v>12709</v>
      </c>
      <c r="B10239" s="627" t="s">
        <v>13002</v>
      </c>
      <c r="C10239" s="626" t="s">
        <v>8</v>
      </c>
      <c r="D10239" s="626" t="s">
        <v>9306</v>
      </c>
      <c r="E10239" s="628" t="s">
        <v>23</v>
      </c>
      <c r="F10239" s="816" t="s">
        <v>13677</v>
      </c>
      <c r="G10239" s="816"/>
      <c r="H10239" s="816">
        <v>19.238902499999998</v>
      </c>
      <c r="I10239" s="816"/>
      <c r="J10239" s="817">
        <v>6.7336</v>
      </c>
      <c r="K10239" s="817"/>
      <c r="L10239" s="817"/>
    </row>
    <row r="10240" spans="1:12" ht="24" customHeight="1">
      <c r="A10240" s="626" t="s">
        <v>12709</v>
      </c>
      <c r="B10240" s="627" t="s">
        <v>13004</v>
      </c>
      <c r="C10240" s="626" t="s">
        <v>8</v>
      </c>
      <c r="D10240" s="626" t="s">
        <v>7388</v>
      </c>
      <c r="E10240" s="628" t="s">
        <v>23</v>
      </c>
      <c r="F10240" s="816" t="s">
        <v>13676</v>
      </c>
      <c r="G10240" s="816"/>
      <c r="H10240" s="816">
        <v>19.238902499999998</v>
      </c>
      <c r="I10240" s="816"/>
      <c r="J10240" s="817">
        <v>42.325600000000001</v>
      </c>
      <c r="K10240" s="817"/>
      <c r="L10240" s="817"/>
    </row>
    <row r="10241" spans="1:12" ht="24" customHeight="1">
      <c r="A10241" s="636"/>
      <c r="B10241" s="636"/>
      <c r="C10241" s="636"/>
      <c r="D10241" s="636"/>
      <c r="E10241" s="636"/>
      <c r="F10241" s="636"/>
      <c r="G10241" s="636"/>
      <c r="H10241" s="636"/>
      <c r="I10241" s="636"/>
      <c r="J10241" s="636" t="s">
        <v>13675</v>
      </c>
      <c r="K10241" s="636"/>
      <c r="L10241" s="636" t="s">
        <v>13790</v>
      </c>
    </row>
    <row r="10242" spans="1:12" ht="24" customHeight="1">
      <c r="A10242" s="612" t="s">
        <v>13673</v>
      </c>
      <c r="B10242" s="612"/>
      <c r="C10242" s="612"/>
      <c r="D10242" s="612"/>
      <c r="E10242" s="612"/>
      <c r="F10242" s="612"/>
      <c r="G10242" s="612"/>
      <c r="H10242" s="612"/>
      <c r="I10242" s="612"/>
      <c r="J10242" s="612"/>
      <c r="K10242" s="612"/>
      <c r="L10242" s="612"/>
    </row>
    <row r="10243" spans="1:12" ht="24" customHeight="1">
      <c r="A10243" s="636"/>
      <c r="B10243" s="636"/>
      <c r="C10243" s="636"/>
      <c r="D10243" s="636"/>
      <c r="E10243" s="636"/>
      <c r="F10243" s="636"/>
      <c r="G10243" s="636"/>
      <c r="H10243" s="636"/>
      <c r="I10243" s="636"/>
      <c r="J10243" s="636" t="s">
        <v>13672</v>
      </c>
      <c r="K10243" s="636"/>
      <c r="L10243" s="636" t="s">
        <v>15683</v>
      </c>
    </row>
    <row r="10244" spans="1:12" ht="36" customHeight="1">
      <c r="A10244" s="636"/>
      <c r="B10244" s="636"/>
      <c r="C10244" s="636"/>
      <c r="D10244" s="636"/>
      <c r="E10244" s="636"/>
      <c r="F10244" s="636"/>
      <c r="G10244" s="636"/>
      <c r="H10244" s="636"/>
      <c r="I10244" s="636"/>
      <c r="J10244" s="636" t="s">
        <v>13671</v>
      </c>
      <c r="K10244" s="636" t="s">
        <v>14461</v>
      </c>
      <c r="L10244" s="636" t="s">
        <v>15684</v>
      </c>
    </row>
    <row r="10245" spans="1:12" ht="24" customHeight="1">
      <c r="A10245" s="636"/>
      <c r="B10245" s="636"/>
      <c r="C10245" s="636"/>
      <c r="D10245" s="636"/>
      <c r="E10245" s="636"/>
      <c r="F10245" s="636"/>
      <c r="G10245" s="636"/>
      <c r="H10245" s="636"/>
      <c r="I10245" s="636"/>
      <c r="J10245" s="636" t="s">
        <v>13670</v>
      </c>
      <c r="K10245" s="636"/>
      <c r="L10245" s="636" t="s">
        <v>15685</v>
      </c>
    </row>
    <row r="10246" spans="1:12" ht="17.100000000000001" customHeight="1">
      <c r="A10246" s="636"/>
      <c r="B10246" s="636"/>
      <c r="C10246" s="636"/>
      <c r="D10246" s="636"/>
      <c r="E10246" s="636"/>
      <c r="F10246" s="636"/>
      <c r="G10246" s="636"/>
      <c r="H10246" s="636"/>
      <c r="I10246" s="636"/>
      <c r="J10246" s="636" t="s">
        <v>13669</v>
      </c>
      <c r="K10246" s="636" t="s">
        <v>13667</v>
      </c>
      <c r="L10246" s="636" t="s">
        <v>15686</v>
      </c>
    </row>
    <row r="10247" spans="1:12">
      <c r="A10247" s="636"/>
      <c r="B10247" s="636"/>
      <c r="C10247" s="636"/>
      <c r="D10247" s="636"/>
      <c r="E10247" s="636"/>
      <c r="F10247" s="636"/>
      <c r="G10247" s="636"/>
      <c r="H10247" s="636"/>
      <c r="I10247" s="636"/>
      <c r="J10247" s="636" t="s">
        <v>13668</v>
      </c>
      <c r="K10247" s="636"/>
      <c r="L10247" s="636" t="s">
        <v>15687</v>
      </c>
    </row>
    <row r="10248" spans="1:12" ht="17.100000000000001" customHeight="1">
      <c r="A10248" s="637"/>
      <c r="B10248" s="637"/>
      <c r="C10248" s="637"/>
      <c r="D10248" s="637"/>
      <c r="E10248" s="637"/>
      <c r="F10248" s="637"/>
      <c r="G10248" s="637"/>
      <c r="H10248" s="637"/>
      <c r="I10248" s="637"/>
      <c r="J10248" s="637"/>
      <c r="K10248" s="637"/>
      <c r="L10248" s="637"/>
    </row>
    <row r="10249" spans="1:12" ht="24" customHeight="1">
      <c r="A10249" s="616" t="s">
        <v>13789</v>
      </c>
      <c r="B10249" s="617" t="s">
        <v>13429</v>
      </c>
      <c r="C10249" s="616" t="s">
        <v>8</v>
      </c>
      <c r="D10249" s="616" t="s">
        <v>2537</v>
      </c>
      <c r="E10249" s="618" t="s">
        <v>17</v>
      </c>
      <c r="F10249" s="617"/>
      <c r="G10249" s="617"/>
      <c r="H10249" s="617"/>
      <c r="I10249" s="617"/>
      <c r="J10249" s="617"/>
      <c r="K10249" s="617"/>
      <c r="L10249" s="617"/>
    </row>
    <row r="10250" spans="1:12" ht="17.100000000000001" customHeight="1">
      <c r="A10250" s="802" t="s">
        <v>12711</v>
      </c>
      <c r="B10250" s="802"/>
      <c r="C10250" s="802"/>
      <c r="D10250" s="802"/>
      <c r="E10250" s="802"/>
      <c r="F10250" s="802"/>
      <c r="G10250" s="802"/>
      <c r="H10250" s="802"/>
      <c r="I10250" s="612"/>
      <c r="J10250" s="612"/>
      <c r="K10250" s="612"/>
      <c r="L10250" s="612"/>
    </row>
    <row r="10251" spans="1:12">
      <c r="A10251" s="612" t="s">
        <v>13679</v>
      </c>
      <c r="B10251" s="636" t="s">
        <v>12698</v>
      </c>
      <c r="C10251" s="612" t="s">
        <v>12699</v>
      </c>
      <c r="D10251" s="612" t="s">
        <v>12700</v>
      </c>
      <c r="E10251" s="637" t="s">
        <v>12702</v>
      </c>
      <c r="F10251" s="801" t="s">
        <v>12704</v>
      </c>
      <c r="G10251" s="801"/>
      <c r="H10251" s="801" t="s">
        <v>13678</v>
      </c>
      <c r="I10251" s="801"/>
      <c r="J10251" s="801" t="s">
        <v>12705</v>
      </c>
      <c r="K10251" s="801"/>
      <c r="L10251" s="801"/>
    </row>
    <row r="10252" spans="1:12" ht="17.100000000000001" customHeight="1">
      <c r="A10252" s="626" t="s">
        <v>12709</v>
      </c>
      <c r="B10252" s="627" t="s">
        <v>13134</v>
      </c>
      <c r="C10252" s="626" t="s">
        <v>8</v>
      </c>
      <c r="D10252" s="626" t="s">
        <v>9219</v>
      </c>
      <c r="E10252" s="628" t="s">
        <v>23</v>
      </c>
      <c r="F10252" s="816" t="s">
        <v>13782</v>
      </c>
      <c r="G10252" s="816"/>
      <c r="H10252" s="816">
        <v>0.15286179999999999</v>
      </c>
      <c r="I10252" s="816"/>
      <c r="J10252" s="817">
        <v>0.14219999999999999</v>
      </c>
      <c r="K10252" s="817"/>
      <c r="L10252" s="817"/>
    </row>
    <row r="10253" spans="1:12" ht="24" customHeight="1">
      <c r="A10253" s="626" t="s">
        <v>12709</v>
      </c>
      <c r="B10253" s="627" t="s">
        <v>13133</v>
      </c>
      <c r="C10253" s="626" t="s">
        <v>8</v>
      </c>
      <c r="D10253" s="626" t="s">
        <v>9366</v>
      </c>
      <c r="E10253" s="628" t="s">
        <v>23</v>
      </c>
      <c r="F10253" s="816" t="s">
        <v>13781</v>
      </c>
      <c r="G10253" s="816"/>
      <c r="H10253" s="816">
        <v>0.15286179999999999</v>
      </c>
      <c r="I10253" s="816"/>
      <c r="J10253" s="817">
        <v>8.4099999999999994E-2</v>
      </c>
      <c r="K10253" s="817"/>
      <c r="L10253" s="817"/>
    </row>
    <row r="10254" spans="1:12" ht="17.100000000000001" customHeight="1">
      <c r="A10254" s="636"/>
      <c r="B10254" s="636"/>
      <c r="C10254" s="636"/>
      <c r="D10254" s="636"/>
      <c r="E10254" s="636"/>
      <c r="F10254" s="636"/>
      <c r="G10254" s="636"/>
      <c r="H10254" s="636"/>
      <c r="I10254" s="636"/>
      <c r="J10254" s="636" t="s">
        <v>13675</v>
      </c>
      <c r="K10254" s="636"/>
      <c r="L10254" s="636" t="s">
        <v>13788</v>
      </c>
    </row>
    <row r="10255" spans="1:12">
      <c r="A10255" s="802" t="s">
        <v>12710</v>
      </c>
      <c r="B10255" s="802"/>
      <c r="C10255" s="802"/>
      <c r="D10255" s="802"/>
      <c r="E10255" s="802"/>
      <c r="F10255" s="802"/>
      <c r="G10255" s="802"/>
      <c r="H10255" s="802"/>
      <c r="I10255" s="612"/>
      <c r="J10255" s="612"/>
      <c r="K10255" s="612"/>
      <c r="L10255" s="612"/>
    </row>
    <row r="10256" spans="1:12" ht="17.100000000000001" customHeight="1">
      <c r="A10256" s="612" t="s">
        <v>13679</v>
      </c>
      <c r="B10256" s="636" t="s">
        <v>12698</v>
      </c>
      <c r="C10256" s="612" t="s">
        <v>12699</v>
      </c>
      <c r="D10256" s="612" t="s">
        <v>12700</v>
      </c>
      <c r="E10256" s="637" t="s">
        <v>12702</v>
      </c>
      <c r="F10256" s="801" t="s">
        <v>12704</v>
      </c>
      <c r="G10256" s="801"/>
      <c r="H10256" s="801" t="s">
        <v>13678</v>
      </c>
      <c r="I10256" s="801"/>
      <c r="J10256" s="801" t="s">
        <v>12705</v>
      </c>
      <c r="K10256" s="801"/>
      <c r="L10256" s="801"/>
    </row>
    <row r="10257" spans="1:12" ht="24" customHeight="1">
      <c r="A10257" s="626" t="s">
        <v>12709</v>
      </c>
      <c r="B10257" s="627" t="s">
        <v>13222</v>
      </c>
      <c r="C10257" s="626" t="s">
        <v>8</v>
      </c>
      <c r="D10257" s="626" t="s">
        <v>7364</v>
      </c>
      <c r="E10257" s="628" t="s">
        <v>23</v>
      </c>
      <c r="F10257" s="816" t="s">
        <v>13808</v>
      </c>
      <c r="G10257" s="816"/>
      <c r="H10257" s="816">
        <v>7.86245E-2</v>
      </c>
      <c r="I10257" s="816"/>
      <c r="J10257" s="817">
        <v>0.3947</v>
      </c>
      <c r="K10257" s="817"/>
      <c r="L10257" s="817"/>
    </row>
    <row r="10258" spans="1:12" ht="24" customHeight="1">
      <c r="A10258" s="626" t="s">
        <v>12709</v>
      </c>
      <c r="B10258" s="627" t="s">
        <v>13204</v>
      </c>
      <c r="C10258" s="626" t="s">
        <v>8</v>
      </c>
      <c r="D10258" s="626" t="s">
        <v>9112</v>
      </c>
      <c r="E10258" s="628" t="s">
        <v>23</v>
      </c>
      <c r="F10258" s="816" t="s">
        <v>14479</v>
      </c>
      <c r="G10258" s="816"/>
      <c r="H10258" s="816">
        <v>7.86245E-2</v>
      </c>
      <c r="I10258" s="816"/>
      <c r="J10258" s="817">
        <v>0.56220000000000003</v>
      </c>
      <c r="K10258" s="817"/>
      <c r="L10258" s="817"/>
    </row>
    <row r="10259" spans="1:12" ht="17.100000000000001" customHeight="1">
      <c r="A10259" s="636"/>
      <c r="B10259" s="636"/>
      <c r="C10259" s="636"/>
      <c r="D10259" s="636"/>
      <c r="E10259" s="636"/>
      <c r="F10259" s="636"/>
      <c r="G10259" s="636"/>
      <c r="H10259" s="636"/>
      <c r="I10259" s="636"/>
      <c r="J10259" s="636" t="s">
        <v>13675</v>
      </c>
      <c r="K10259" s="636"/>
      <c r="L10259" s="636" t="s">
        <v>13692</v>
      </c>
    </row>
    <row r="10260" spans="1:12" ht="17.100000000000001" customHeight="1">
      <c r="A10260" s="802" t="s">
        <v>12720</v>
      </c>
      <c r="B10260" s="802"/>
      <c r="C10260" s="802"/>
      <c r="D10260" s="802"/>
      <c r="E10260" s="802"/>
      <c r="F10260" s="802"/>
      <c r="G10260" s="802"/>
      <c r="H10260" s="802"/>
      <c r="I10260" s="612"/>
      <c r="J10260" s="612"/>
      <c r="K10260" s="612"/>
      <c r="L10260" s="612"/>
    </row>
    <row r="10261" spans="1:12" ht="17.100000000000001" customHeight="1">
      <c r="A10261" s="612" t="s">
        <v>13679</v>
      </c>
      <c r="B10261" s="636" t="s">
        <v>12698</v>
      </c>
      <c r="C10261" s="612" t="s">
        <v>12699</v>
      </c>
      <c r="D10261" s="612" t="s">
        <v>12700</v>
      </c>
      <c r="E10261" s="637" t="s">
        <v>12702</v>
      </c>
      <c r="F10261" s="801" t="s">
        <v>12704</v>
      </c>
      <c r="G10261" s="801"/>
      <c r="H10261" s="801" t="s">
        <v>13678</v>
      </c>
      <c r="I10261" s="801"/>
      <c r="J10261" s="801" t="s">
        <v>12705</v>
      </c>
      <c r="K10261" s="801"/>
      <c r="L10261" s="801"/>
    </row>
    <row r="10262" spans="1:12" ht="17.100000000000001" customHeight="1">
      <c r="A10262" s="626" t="s">
        <v>12709</v>
      </c>
      <c r="B10262" s="627" t="s">
        <v>13428</v>
      </c>
      <c r="C10262" s="626" t="s">
        <v>8</v>
      </c>
      <c r="D10262" s="626" t="s">
        <v>7964</v>
      </c>
      <c r="E10262" s="628" t="s">
        <v>17</v>
      </c>
      <c r="F10262" s="816" t="s">
        <v>14517</v>
      </c>
      <c r="G10262" s="816"/>
      <c r="H10262" s="816">
        <v>1.19</v>
      </c>
      <c r="I10262" s="816"/>
      <c r="J10262" s="817">
        <v>7.83</v>
      </c>
      <c r="K10262" s="817"/>
      <c r="L10262" s="817"/>
    </row>
    <row r="10263" spans="1:12" ht="17.100000000000001" customHeight="1">
      <c r="A10263" s="626" t="s">
        <v>12709</v>
      </c>
      <c r="B10263" s="627" t="s">
        <v>13370</v>
      </c>
      <c r="C10263" s="626" t="s">
        <v>8</v>
      </c>
      <c r="D10263" s="626" t="s">
        <v>9418</v>
      </c>
      <c r="E10263" s="628" t="s">
        <v>35</v>
      </c>
      <c r="F10263" s="816" t="s">
        <v>13786</v>
      </c>
      <c r="G10263" s="816"/>
      <c r="H10263" s="816">
        <v>8.9999999999999993E-3</v>
      </c>
      <c r="I10263" s="816"/>
      <c r="J10263" s="817">
        <v>0.03</v>
      </c>
      <c r="K10263" s="817"/>
      <c r="L10263" s="817"/>
    </row>
    <row r="10264" spans="1:12" ht="17.100000000000001" customHeight="1">
      <c r="A10264" s="636"/>
      <c r="B10264" s="636"/>
      <c r="C10264" s="636"/>
      <c r="D10264" s="636"/>
      <c r="E10264" s="636"/>
      <c r="F10264" s="636"/>
      <c r="G10264" s="636"/>
      <c r="H10264" s="636"/>
      <c r="I10264" s="636"/>
      <c r="J10264" s="636" t="s">
        <v>13675</v>
      </c>
      <c r="K10264" s="636"/>
      <c r="L10264" s="636" t="s">
        <v>14516</v>
      </c>
    </row>
    <row r="10265" spans="1:12" ht="17.100000000000001" customHeight="1">
      <c r="A10265" s="802" t="s">
        <v>12722</v>
      </c>
      <c r="B10265" s="802"/>
      <c r="C10265" s="802"/>
      <c r="D10265" s="802"/>
      <c r="E10265" s="802"/>
      <c r="F10265" s="802"/>
      <c r="G10265" s="802"/>
      <c r="H10265" s="802"/>
      <c r="I10265" s="612"/>
      <c r="J10265" s="612"/>
      <c r="K10265" s="612"/>
      <c r="L10265" s="612"/>
    </row>
    <row r="10266" spans="1:12" ht="30" customHeight="1">
      <c r="A10266" s="612" t="s">
        <v>13679</v>
      </c>
      <c r="B10266" s="636" t="s">
        <v>12698</v>
      </c>
      <c r="C10266" s="612" t="s">
        <v>12699</v>
      </c>
      <c r="D10266" s="612" t="s">
        <v>12700</v>
      </c>
      <c r="E10266" s="637" t="s">
        <v>12702</v>
      </c>
      <c r="F10266" s="801" t="s">
        <v>12704</v>
      </c>
      <c r="G10266" s="801"/>
      <c r="H10266" s="801" t="s">
        <v>13678</v>
      </c>
      <c r="I10266" s="801"/>
      <c r="J10266" s="801" t="s">
        <v>12705</v>
      </c>
      <c r="K10266" s="801"/>
      <c r="L10266" s="801"/>
    </row>
    <row r="10267" spans="1:12" ht="24" customHeight="1">
      <c r="A10267" s="626" t="s">
        <v>12709</v>
      </c>
      <c r="B10267" s="627" t="s">
        <v>12998</v>
      </c>
      <c r="C10267" s="626" t="s">
        <v>8</v>
      </c>
      <c r="D10267" s="626" t="s">
        <v>11861</v>
      </c>
      <c r="E10267" s="628" t="s">
        <v>23</v>
      </c>
      <c r="F10267" s="816" t="s">
        <v>13683</v>
      </c>
      <c r="G10267" s="816"/>
      <c r="H10267" s="816">
        <v>0.15286179999999999</v>
      </c>
      <c r="I10267" s="816"/>
      <c r="J10267" s="817">
        <v>0.1085</v>
      </c>
      <c r="K10267" s="817"/>
      <c r="L10267" s="817"/>
    </row>
    <row r="10268" spans="1:12" ht="14.25" customHeight="1">
      <c r="A10268" s="636"/>
      <c r="B10268" s="636"/>
      <c r="C10268" s="636"/>
      <c r="D10268" s="636"/>
      <c r="E10268" s="636"/>
      <c r="F10268" s="636"/>
      <c r="G10268" s="636"/>
      <c r="H10268" s="636"/>
      <c r="I10268" s="636"/>
      <c r="J10268" s="636" t="s">
        <v>13675</v>
      </c>
      <c r="K10268" s="636"/>
      <c r="L10268" s="636" t="s">
        <v>13785</v>
      </c>
    </row>
    <row r="10269" spans="1:12" ht="17.100000000000001" customHeight="1">
      <c r="A10269" s="802" t="s">
        <v>12713</v>
      </c>
      <c r="B10269" s="802"/>
      <c r="C10269" s="802"/>
      <c r="D10269" s="802"/>
      <c r="E10269" s="802"/>
      <c r="F10269" s="802"/>
      <c r="G10269" s="802"/>
      <c r="H10269" s="802"/>
      <c r="I10269" s="612"/>
      <c r="J10269" s="612"/>
      <c r="K10269" s="612"/>
      <c r="L10269" s="612"/>
    </row>
    <row r="10270" spans="1:12" ht="24" customHeight="1">
      <c r="A10270" s="612" t="s">
        <v>13679</v>
      </c>
      <c r="B10270" s="636" t="s">
        <v>12698</v>
      </c>
      <c r="C10270" s="612" t="s">
        <v>12699</v>
      </c>
      <c r="D10270" s="612" t="s">
        <v>12700</v>
      </c>
      <c r="E10270" s="637" t="s">
        <v>12702</v>
      </c>
      <c r="F10270" s="801" t="s">
        <v>12704</v>
      </c>
      <c r="G10270" s="801"/>
      <c r="H10270" s="801" t="s">
        <v>13678</v>
      </c>
      <c r="I10270" s="801"/>
      <c r="J10270" s="801" t="s">
        <v>12705</v>
      </c>
      <c r="K10270" s="801"/>
      <c r="L10270" s="801"/>
    </row>
    <row r="10271" spans="1:12" ht="24" customHeight="1">
      <c r="A10271" s="626" t="s">
        <v>12709</v>
      </c>
      <c r="B10271" s="627" t="s">
        <v>12999</v>
      </c>
      <c r="C10271" s="626" t="s">
        <v>8</v>
      </c>
      <c r="D10271" s="626" t="s">
        <v>11251</v>
      </c>
      <c r="E10271" s="628" t="s">
        <v>23</v>
      </c>
      <c r="F10271" s="816" t="s">
        <v>13681</v>
      </c>
      <c r="G10271" s="816"/>
      <c r="H10271" s="816">
        <v>0.15286179999999999</v>
      </c>
      <c r="I10271" s="816"/>
      <c r="J10271" s="817">
        <v>1.0699999999999999E-2</v>
      </c>
      <c r="K10271" s="817"/>
      <c r="L10271" s="817"/>
    </row>
    <row r="10272" spans="1:12" ht="17.100000000000001" customHeight="1">
      <c r="A10272" s="636"/>
      <c r="B10272" s="636"/>
      <c r="C10272" s="636"/>
      <c r="D10272" s="636"/>
      <c r="E10272" s="636"/>
      <c r="F10272" s="636"/>
      <c r="G10272" s="636"/>
      <c r="H10272" s="636"/>
      <c r="I10272" s="636"/>
      <c r="J10272" s="636" t="s">
        <v>13675</v>
      </c>
      <c r="K10272" s="636"/>
      <c r="L10272" s="636" t="s">
        <v>13728</v>
      </c>
    </row>
    <row r="10273" spans="1:12" ht="14.25" customHeight="1">
      <c r="A10273" s="802" t="s">
        <v>12712</v>
      </c>
      <c r="B10273" s="802"/>
      <c r="C10273" s="802"/>
      <c r="D10273" s="802"/>
      <c r="E10273" s="802"/>
      <c r="F10273" s="802"/>
      <c r="G10273" s="802"/>
      <c r="H10273" s="802"/>
      <c r="I10273" s="612"/>
      <c r="J10273" s="612"/>
      <c r="K10273" s="612"/>
      <c r="L10273" s="612"/>
    </row>
    <row r="10274" spans="1:12" ht="17.100000000000001" customHeight="1">
      <c r="A10274" s="612" t="s">
        <v>13679</v>
      </c>
      <c r="B10274" s="636" t="s">
        <v>12698</v>
      </c>
      <c r="C10274" s="612" t="s">
        <v>12699</v>
      </c>
      <c r="D10274" s="612" t="s">
        <v>12700</v>
      </c>
      <c r="E10274" s="637" t="s">
        <v>12702</v>
      </c>
      <c r="F10274" s="801" t="s">
        <v>12704</v>
      </c>
      <c r="G10274" s="801"/>
      <c r="H10274" s="801" t="s">
        <v>13678</v>
      </c>
      <c r="I10274" s="801"/>
      <c r="J10274" s="801" t="s">
        <v>12705</v>
      </c>
      <c r="K10274" s="801"/>
      <c r="L10274" s="801"/>
    </row>
    <row r="10275" spans="1:12" ht="24" customHeight="1">
      <c r="A10275" s="626" t="s">
        <v>12709</v>
      </c>
      <c r="B10275" s="627" t="s">
        <v>13002</v>
      </c>
      <c r="C10275" s="626" t="s">
        <v>8</v>
      </c>
      <c r="D10275" s="626" t="s">
        <v>9306</v>
      </c>
      <c r="E10275" s="628" t="s">
        <v>23</v>
      </c>
      <c r="F10275" s="816" t="s">
        <v>13677</v>
      </c>
      <c r="G10275" s="816"/>
      <c r="H10275" s="816">
        <v>0.15286179999999999</v>
      </c>
      <c r="I10275" s="816"/>
      <c r="J10275" s="817">
        <v>5.3499999999999999E-2</v>
      </c>
      <c r="K10275" s="817"/>
      <c r="L10275" s="817"/>
    </row>
    <row r="10276" spans="1:12" ht="17.100000000000001" customHeight="1">
      <c r="A10276" s="626" t="s">
        <v>12709</v>
      </c>
      <c r="B10276" s="627" t="s">
        <v>13004</v>
      </c>
      <c r="C10276" s="626" t="s">
        <v>8</v>
      </c>
      <c r="D10276" s="626" t="s">
        <v>7388</v>
      </c>
      <c r="E10276" s="628" t="s">
        <v>23</v>
      </c>
      <c r="F10276" s="816" t="s">
        <v>13676</v>
      </c>
      <c r="G10276" s="816"/>
      <c r="H10276" s="816">
        <v>0.15286179999999999</v>
      </c>
      <c r="I10276" s="816"/>
      <c r="J10276" s="817">
        <v>0.33629999999999999</v>
      </c>
      <c r="K10276" s="817"/>
      <c r="L10276" s="817"/>
    </row>
    <row r="10277" spans="1:12">
      <c r="A10277" s="636"/>
      <c r="B10277" s="636"/>
      <c r="C10277" s="636"/>
      <c r="D10277" s="636"/>
      <c r="E10277" s="636"/>
      <c r="F10277" s="636"/>
      <c r="G10277" s="636"/>
      <c r="H10277" s="636"/>
      <c r="I10277" s="636"/>
      <c r="J10277" s="636" t="s">
        <v>13675</v>
      </c>
      <c r="K10277" s="636"/>
      <c r="L10277" s="636" t="s">
        <v>13784</v>
      </c>
    </row>
    <row r="10278" spans="1:12" ht="17.100000000000001" customHeight="1">
      <c r="A10278" s="612" t="s">
        <v>13673</v>
      </c>
      <c r="B10278" s="612"/>
      <c r="C10278" s="612"/>
      <c r="D10278" s="612"/>
      <c r="E10278" s="612"/>
      <c r="F10278" s="612"/>
      <c r="G10278" s="612"/>
      <c r="H10278" s="612"/>
      <c r="I10278" s="612"/>
      <c r="J10278" s="612"/>
      <c r="K10278" s="612"/>
      <c r="L10278" s="612"/>
    </row>
    <row r="10279" spans="1:12" ht="24" customHeight="1">
      <c r="A10279" s="636"/>
      <c r="B10279" s="636"/>
      <c r="C10279" s="636"/>
      <c r="D10279" s="636"/>
      <c r="E10279" s="636"/>
      <c r="F10279" s="636"/>
      <c r="G10279" s="636"/>
      <c r="H10279" s="636"/>
      <c r="I10279" s="636"/>
      <c r="J10279" s="636" t="s">
        <v>13672</v>
      </c>
      <c r="K10279" s="636"/>
      <c r="L10279" s="636" t="s">
        <v>15526</v>
      </c>
    </row>
    <row r="10280" spans="1:12" ht="24" customHeight="1">
      <c r="A10280" s="636"/>
      <c r="B10280" s="636"/>
      <c r="C10280" s="636"/>
      <c r="D10280" s="636"/>
      <c r="E10280" s="636"/>
      <c r="F10280" s="636"/>
      <c r="G10280" s="636"/>
      <c r="H10280" s="636"/>
      <c r="I10280" s="636"/>
      <c r="J10280" s="636" t="s">
        <v>13671</v>
      </c>
      <c r="K10280" s="636" t="s">
        <v>14461</v>
      </c>
      <c r="L10280" s="636" t="s">
        <v>15527</v>
      </c>
    </row>
    <row r="10281" spans="1:12" ht="24" customHeight="1">
      <c r="A10281" s="636"/>
      <c r="B10281" s="636"/>
      <c r="C10281" s="636"/>
      <c r="D10281" s="636"/>
      <c r="E10281" s="636"/>
      <c r="F10281" s="636"/>
      <c r="G10281" s="636"/>
      <c r="H10281" s="636"/>
      <c r="I10281" s="636"/>
      <c r="J10281" s="636" t="s">
        <v>13670</v>
      </c>
      <c r="K10281" s="636"/>
      <c r="L10281" s="636" t="s">
        <v>15528</v>
      </c>
    </row>
    <row r="10282" spans="1:12" ht="17.100000000000001" customHeight="1">
      <c r="A10282" s="636"/>
      <c r="B10282" s="636"/>
      <c r="C10282" s="636"/>
      <c r="D10282" s="636"/>
      <c r="E10282" s="636"/>
      <c r="F10282" s="636"/>
      <c r="G10282" s="636"/>
      <c r="H10282" s="636"/>
      <c r="I10282" s="636"/>
      <c r="J10282" s="636" t="s">
        <v>13669</v>
      </c>
      <c r="K10282" s="636" t="s">
        <v>13667</v>
      </c>
      <c r="L10282" s="636" t="s">
        <v>15529</v>
      </c>
    </row>
    <row r="10283" spans="1:12">
      <c r="A10283" s="636"/>
      <c r="B10283" s="636"/>
      <c r="C10283" s="636"/>
      <c r="D10283" s="636"/>
      <c r="E10283" s="636"/>
      <c r="F10283" s="636"/>
      <c r="G10283" s="636"/>
      <c r="H10283" s="636"/>
      <c r="I10283" s="636"/>
      <c r="J10283" s="636" t="s">
        <v>13668</v>
      </c>
      <c r="K10283" s="636"/>
      <c r="L10283" s="636" t="s">
        <v>15530</v>
      </c>
    </row>
    <row r="10284" spans="1:12" ht="17.100000000000001" customHeight="1">
      <c r="A10284" s="637"/>
      <c r="B10284" s="637"/>
      <c r="C10284" s="637"/>
      <c r="D10284" s="637"/>
      <c r="E10284" s="637"/>
      <c r="F10284" s="637"/>
      <c r="G10284" s="637"/>
      <c r="H10284" s="637"/>
      <c r="I10284" s="637"/>
      <c r="J10284" s="637"/>
      <c r="K10284" s="637"/>
      <c r="L10284" s="637"/>
    </row>
    <row r="10285" spans="1:12" ht="24" customHeight="1">
      <c r="A10285" s="616" t="s">
        <v>13783</v>
      </c>
      <c r="B10285" s="617" t="s">
        <v>13362</v>
      </c>
      <c r="C10285" s="616" t="s">
        <v>8</v>
      </c>
      <c r="D10285" s="616" t="s">
        <v>1565</v>
      </c>
      <c r="E10285" s="618" t="s">
        <v>35</v>
      </c>
      <c r="F10285" s="617"/>
      <c r="G10285" s="617"/>
      <c r="H10285" s="617"/>
      <c r="I10285" s="617"/>
      <c r="J10285" s="617"/>
      <c r="K10285" s="617"/>
      <c r="L10285" s="617"/>
    </row>
    <row r="10286" spans="1:12" ht="17.100000000000001" customHeight="1">
      <c r="A10286" s="802" t="s">
        <v>12711</v>
      </c>
      <c r="B10286" s="802"/>
      <c r="C10286" s="802"/>
      <c r="D10286" s="802"/>
      <c r="E10286" s="802"/>
      <c r="F10286" s="802"/>
      <c r="G10286" s="802"/>
      <c r="H10286" s="802"/>
      <c r="I10286" s="612"/>
      <c r="J10286" s="612"/>
      <c r="K10286" s="612"/>
      <c r="L10286" s="612"/>
    </row>
    <row r="10287" spans="1:12">
      <c r="A10287" s="612" t="s">
        <v>13679</v>
      </c>
      <c r="B10287" s="636" t="s">
        <v>12698</v>
      </c>
      <c r="C10287" s="612" t="s">
        <v>12699</v>
      </c>
      <c r="D10287" s="612" t="s">
        <v>12700</v>
      </c>
      <c r="E10287" s="637" t="s">
        <v>12702</v>
      </c>
      <c r="F10287" s="801" t="s">
        <v>12704</v>
      </c>
      <c r="G10287" s="801"/>
      <c r="H10287" s="801" t="s">
        <v>13678</v>
      </c>
      <c r="I10287" s="801"/>
      <c r="J10287" s="801" t="s">
        <v>12705</v>
      </c>
      <c r="K10287" s="801"/>
      <c r="L10287" s="801"/>
    </row>
    <row r="10288" spans="1:12" ht="17.100000000000001" customHeight="1">
      <c r="A10288" s="626" t="s">
        <v>12709</v>
      </c>
      <c r="B10288" s="627" t="s">
        <v>13134</v>
      </c>
      <c r="C10288" s="626" t="s">
        <v>8</v>
      </c>
      <c r="D10288" s="626" t="s">
        <v>9219</v>
      </c>
      <c r="E10288" s="628" t="s">
        <v>23</v>
      </c>
      <c r="F10288" s="816" t="s">
        <v>13782</v>
      </c>
      <c r="G10288" s="816"/>
      <c r="H10288" s="816">
        <v>1.4995856999999999</v>
      </c>
      <c r="I10288" s="816"/>
      <c r="J10288" s="817">
        <v>1.3946000000000001</v>
      </c>
      <c r="K10288" s="817"/>
      <c r="L10288" s="817"/>
    </row>
    <row r="10289" spans="1:12" ht="24" customHeight="1">
      <c r="A10289" s="626" t="s">
        <v>12709</v>
      </c>
      <c r="B10289" s="627" t="s">
        <v>13133</v>
      </c>
      <c r="C10289" s="626" t="s">
        <v>8</v>
      </c>
      <c r="D10289" s="626" t="s">
        <v>9366</v>
      </c>
      <c r="E10289" s="628" t="s">
        <v>23</v>
      </c>
      <c r="F10289" s="816" t="s">
        <v>13781</v>
      </c>
      <c r="G10289" s="816"/>
      <c r="H10289" s="816">
        <v>1.4995856999999999</v>
      </c>
      <c r="I10289" s="816"/>
      <c r="J10289" s="817">
        <v>0.82479999999999998</v>
      </c>
      <c r="K10289" s="817"/>
      <c r="L10289" s="817"/>
    </row>
    <row r="10290" spans="1:12" ht="17.100000000000001" customHeight="1">
      <c r="A10290" s="626" t="s">
        <v>12709</v>
      </c>
      <c r="B10290" s="627" t="s">
        <v>13048</v>
      </c>
      <c r="C10290" s="626" t="s">
        <v>8</v>
      </c>
      <c r="D10290" s="626" t="s">
        <v>9233</v>
      </c>
      <c r="E10290" s="628" t="s">
        <v>23</v>
      </c>
      <c r="F10290" s="816" t="s">
        <v>13690</v>
      </c>
      <c r="G10290" s="816"/>
      <c r="H10290" s="816">
        <v>1.4995856999999999</v>
      </c>
      <c r="I10290" s="816"/>
      <c r="J10290" s="817">
        <v>1.5296000000000001</v>
      </c>
      <c r="K10290" s="817"/>
      <c r="L10290" s="817"/>
    </row>
    <row r="10291" spans="1:12" ht="25.5">
      <c r="A10291" s="626" t="s">
        <v>12709</v>
      </c>
      <c r="B10291" s="627" t="s">
        <v>13047</v>
      </c>
      <c r="C10291" s="626" t="s">
        <v>8</v>
      </c>
      <c r="D10291" s="626" t="s">
        <v>9380</v>
      </c>
      <c r="E10291" s="628" t="s">
        <v>23</v>
      </c>
      <c r="F10291" s="816" t="s">
        <v>13689</v>
      </c>
      <c r="G10291" s="816"/>
      <c r="H10291" s="816">
        <v>1.4995856999999999</v>
      </c>
      <c r="I10291" s="816"/>
      <c r="J10291" s="817">
        <v>0.56979999999999997</v>
      </c>
      <c r="K10291" s="817"/>
      <c r="L10291" s="817"/>
    </row>
    <row r="10292" spans="1:12" ht="17.100000000000001" customHeight="1">
      <c r="A10292" s="636"/>
      <c r="B10292" s="636"/>
      <c r="C10292" s="636"/>
      <c r="D10292" s="636"/>
      <c r="E10292" s="636"/>
      <c r="F10292" s="636"/>
      <c r="G10292" s="636"/>
      <c r="H10292" s="636"/>
      <c r="I10292" s="636"/>
      <c r="J10292" s="636" t="s">
        <v>13675</v>
      </c>
      <c r="K10292" s="636"/>
      <c r="L10292" s="636" t="s">
        <v>13780</v>
      </c>
    </row>
    <row r="10293" spans="1:12" ht="24" customHeight="1">
      <c r="A10293" s="802" t="s">
        <v>12710</v>
      </c>
      <c r="B10293" s="802"/>
      <c r="C10293" s="802"/>
      <c r="D10293" s="802"/>
      <c r="E10293" s="802"/>
      <c r="F10293" s="802"/>
      <c r="G10293" s="802"/>
      <c r="H10293" s="802"/>
      <c r="I10293" s="612"/>
      <c r="J10293" s="612"/>
      <c r="K10293" s="612"/>
      <c r="L10293" s="612"/>
    </row>
    <row r="10294" spans="1:12" ht="24" customHeight="1">
      <c r="A10294" s="612" t="s">
        <v>13679</v>
      </c>
      <c r="B10294" s="636" t="s">
        <v>12698</v>
      </c>
      <c r="C10294" s="612" t="s">
        <v>12699</v>
      </c>
      <c r="D10294" s="612" t="s">
        <v>12700</v>
      </c>
      <c r="E10294" s="637" t="s">
        <v>12702</v>
      </c>
      <c r="F10294" s="801" t="s">
        <v>12704</v>
      </c>
      <c r="G10294" s="801"/>
      <c r="H10294" s="801" t="s">
        <v>13678</v>
      </c>
      <c r="I10294" s="801"/>
      <c r="J10294" s="801" t="s">
        <v>12705</v>
      </c>
      <c r="K10294" s="801"/>
      <c r="L10294" s="801"/>
    </row>
    <row r="10295" spans="1:12" ht="17.100000000000001" customHeight="1">
      <c r="A10295" s="626" t="s">
        <v>12709</v>
      </c>
      <c r="B10295" s="627" t="s">
        <v>13204</v>
      </c>
      <c r="C10295" s="626" t="s">
        <v>8</v>
      </c>
      <c r="D10295" s="626" t="s">
        <v>9112</v>
      </c>
      <c r="E10295" s="628" t="s">
        <v>23</v>
      </c>
      <c r="F10295" s="816" t="s">
        <v>14479</v>
      </c>
      <c r="G10295" s="816"/>
      <c r="H10295" s="816">
        <v>1.5381456</v>
      </c>
      <c r="I10295" s="816"/>
      <c r="J10295" s="817">
        <v>10.9977</v>
      </c>
      <c r="K10295" s="817"/>
      <c r="L10295" s="817"/>
    </row>
    <row r="10296" spans="1:12" ht="17.100000000000001" customHeight="1">
      <c r="A10296" s="626" t="s">
        <v>12709</v>
      </c>
      <c r="B10296" s="627" t="s">
        <v>13046</v>
      </c>
      <c r="C10296" s="626" t="s">
        <v>8</v>
      </c>
      <c r="D10296" s="626" t="s">
        <v>11281</v>
      </c>
      <c r="E10296" s="628" t="s">
        <v>23</v>
      </c>
      <c r="F10296" s="816" t="s">
        <v>13731</v>
      </c>
      <c r="G10296" s="816"/>
      <c r="H10296" s="816">
        <v>1.5215000000000001</v>
      </c>
      <c r="I10296" s="816"/>
      <c r="J10296" s="817">
        <v>7.8205</v>
      </c>
      <c r="K10296" s="817"/>
      <c r="L10296" s="817"/>
    </row>
    <row r="10297" spans="1:12" ht="17.100000000000001" customHeight="1">
      <c r="A10297" s="636"/>
      <c r="B10297" s="636"/>
      <c r="C10297" s="636"/>
      <c r="D10297" s="636"/>
      <c r="E10297" s="636"/>
      <c r="F10297" s="636"/>
      <c r="G10297" s="636"/>
      <c r="H10297" s="636"/>
      <c r="I10297" s="636"/>
      <c r="J10297" s="636" t="s">
        <v>13675</v>
      </c>
      <c r="K10297" s="636"/>
      <c r="L10297" s="636" t="s">
        <v>14515</v>
      </c>
    </row>
    <row r="10298" spans="1:12" ht="17.100000000000001" customHeight="1">
      <c r="A10298" s="802" t="s">
        <v>12720</v>
      </c>
      <c r="B10298" s="802"/>
      <c r="C10298" s="802"/>
      <c r="D10298" s="802"/>
      <c r="E10298" s="802"/>
      <c r="F10298" s="802"/>
      <c r="G10298" s="802"/>
      <c r="H10298" s="802"/>
      <c r="I10298" s="612"/>
      <c r="J10298" s="612"/>
      <c r="K10298" s="612"/>
      <c r="L10298" s="612"/>
    </row>
    <row r="10299" spans="1:12" ht="17.100000000000001" customHeight="1">
      <c r="A10299" s="612" t="s">
        <v>13679</v>
      </c>
      <c r="B10299" s="636" t="s">
        <v>12698</v>
      </c>
      <c r="C10299" s="612" t="s">
        <v>12699</v>
      </c>
      <c r="D10299" s="612" t="s">
        <v>12700</v>
      </c>
      <c r="E10299" s="637" t="s">
        <v>12702</v>
      </c>
      <c r="F10299" s="801" t="s">
        <v>12704</v>
      </c>
      <c r="G10299" s="801"/>
      <c r="H10299" s="801" t="s">
        <v>13678</v>
      </c>
      <c r="I10299" s="801"/>
      <c r="J10299" s="801" t="s">
        <v>12705</v>
      </c>
      <c r="K10299" s="801"/>
      <c r="L10299" s="801"/>
    </row>
    <row r="10300" spans="1:12" ht="17.100000000000001" customHeight="1">
      <c r="A10300" s="626" t="s">
        <v>12709</v>
      </c>
      <c r="B10300" s="627" t="s">
        <v>13361</v>
      </c>
      <c r="C10300" s="626" t="s">
        <v>8</v>
      </c>
      <c r="D10300" s="626" t="s">
        <v>7232</v>
      </c>
      <c r="E10300" s="628" t="s">
        <v>35</v>
      </c>
      <c r="F10300" s="816" t="s">
        <v>13779</v>
      </c>
      <c r="G10300" s="816"/>
      <c r="H10300" s="816">
        <v>1</v>
      </c>
      <c r="I10300" s="816"/>
      <c r="J10300" s="817">
        <v>15.12</v>
      </c>
      <c r="K10300" s="817"/>
      <c r="L10300" s="817"/>
    </row>
    <row r="10301" spans="1:12" ht="17.100000000000001" customHeight="1">
      <c r="A10301" s="626" t="s">
        <v>12709</v>
      </c>
      <c r="B10301" s="627" t="s">
        <v>13360</v>
      </c>
      <c r="C10301" s="626" t="s">
        <v>8</v>
      </c>
      <c r="D10301" s="626" t="s">
        <v>7551</v>
      </c>
      <c r="E10301" s="628" t="s">
        <v>35</v>
      </c>
      <c r="F10301" s="816" t="s">
        <v>13778</v>
      </c>
      <c r="G10301" s="816"/>
      <c r="H10301" s="816">
        <v>1</v>
      </c>
      <c r="I10301" s="816"/>
      <c r="J10301" s="817">
        <v>22.4</v>
      </c>
      <c r="K10301" s="817"/>
      <c r="L10301" s="817"/>
    </row>
    <row r="10302" spans="1:12" ht="30" customHeight="1">
      <c r="A10302" s="636"/>
      <c r="B10302" s="636"/>
      <c r="C10302" s="636"/>
      <c r="D10302" s="636"/>
      <c r="E10302" s="636"/>
      <c r="F10302" s="636"/>
      <c r="G10302" s="636"/>
      <c r="H10302" s="636"/>
      <c r="I10302" s="636"/>
      <c r="J10302" s="636" t="s">
        <v>13675</v>
      </c>
      <c r="K10302" s="636"/>
      <c r="L10302" s="636" t="s">
        <v>13777</v>
      </c>
    </row>
    <row r="10303" spans="1:12" ht="24" customHeight="1">
      <c r="A10303" s="802" t="s">
        <v>12722</v>
      </c>
      <c r="B10303" s="802"/>
      <c r="C10303" s="802"/>
      <c r="D10303" s="802"/>
      <c r="E10303" s="802"/>
      <c r="F10303" s="802"/>
      <c r="G10303" s="802"/>
      <c r="H10303" s="802"/>
      <c r="I10303" s="612"/>
      <c r="J10303" s="612"/>
      <c r="K10303" s="612"/>
      <c r="L10303" s="612"/>
    </row>
    <row r="10304" spans="1:12" ht="14.25" customHeight="1">
      <c r="A10304" s="612" t="s">
        <v>13679</v>
      </c>
      <c r="B10304" s="636" t="s">
        <v>12698</v>
      </c>
      <c r="C10304" s="612" t="s">
        <v>12699</v>
      </c>
      <c r="D10304" s="612" t="s">
        <v>12700</v>
      </c>
      <c r="E10304" s="637" t="s">
        <v>12702</v>
      </c>
      <c r="F10304" s="801" t="s">
        <v>12704</v>
      </c>
      <c r="G10304" s="801"/>
      <c r="H10304" s="801" t="s">
        <v>13678</v>
      </c>
      <c r="I10304" s="801"/>
      <c r="J10304" s="801" t="s">
        <v>12705</v>
      </c>
      <c r="K10304" s="801"/>
      <c r="L10304" s="801"/>
    </row>
    <row r="10305" spans="1:12" ht="17.100000000000001" customHeight="1">
      <c r="A10305" s="626" t="s">
        <v>12709</v>
      </c>
      <c r="B10305" s="627" t="s">
        <v>12998</v>
      </c>
      <c r="C10305" s="626" t="s">
        <v>8</v>
      </c>
      <c r="D10305" s="626" t="s">
        <v>11861</v>
      </c>
      <c r="E10305" s="628" t="s">
        <v>23</v>
      </c>
      <c r="F10305" s="816" t="s">
        <v>13683</v>
      </c>
      <c r="G10305" s="816"/>
      <c r="H10305" s="816">
        <v>2.9991713999999998</v>
      </c>
      <c r="I10305" s="816"/>
      <c r="J10305" s="817">
        <v>2.1294</v>
      </c>
      <c r="K10305" s="817"/>
      <c r="L10305" s="817"/>
    </row>
    <row r="10306" spans="1:12" ht="24" customHeight="1">
      <c r="A10306" s="636"/>
      <c r="B10306" s="636"/>
      <c r="C10306" s="636"/>
      <c r="D10306" s="636"/>
      <c r="E10306" s="636"/>
      <c r="F10306" s="636"/>
      <c r="G10306" s="636"/>
      <c r="H10306" s="636"/>
      <c r="I10306" s="636"/>
      <c r="J10306" s="636" t="s">
        <v>13675</v>
      </c>
      <c r="K10306" s="636"/>
      <c r="L10306" s="636" t="s">
        <v>13776</v>
      </c>
    </row>
    <row r="10307" spans="1:12" ht="24" customHeight="1">
      <c r="A10307" s="802" t="s">
        <v>12713</v>
      </c>
      <c r="B10307" s="802"/>
      <c r="C10307" s="802"/>
      <c r="D10307" s="802"/>
      <c r="E10307" s="802"/>
      <c r="F10307" s="802"/>
      <c r="G10307" s="802"/>
      <c r="H10307" s="802"/>
      <c r="I10307" s="612"/>
      <c r="J10307" s="612"/>
      <c r="K10307" s="612"/>
      <c r="L10307" s="612"/>
    </row>
    <row r="10308" spans="1:12" ht="24" customHeight="1">
      <c r="A10308" s="612" t="s">
        <v>13679</v>
      </c>
      <c r="B10308" s="636" t="s">
        <v>12698</v>
      </c>
      <c r="C10308" s="612" t="s">
        <v>12699</v>
      </c>
      <c r="D10308" s="612" t="s">
        <v>12700</v>
      </c>
      <c r="E10308" s="637" t="s">
        <v>12702</v>
      </c>
      <c r="F10308" s="801" t="s">
        <v>12704</v>
      </c>
      <c r="G10308" s="801"/>
      <c r="H10308" s="801" t="s">
        <v>13678</v>
      </c>
      <c r="I10308" s="801"/>
      <c r="J10308" s="801" t="s">
        <v>12705</v>
      </c>
      <c r="K10308" s="801"/>
      <c r="L10308" s="801"/>
    </row>
    <row r="10309" spans="1:12" ht="24" customHeight="1">
      <c r="A10309" s="626" t="s">
        <v>12709</v>
      </c>
      <c r="B10309" s="627" t="s">
        <v>12999</v>
      </c>
      <c r="C10309" s="626" t="s">
        <v>8</v>
      </c>
      <c r="D10309" s="626" t="s">
        <v>11251</v>
      </c>
      <c r="E10309" s="628" t="s">
        <v>23</v>
      </c>
      <c r="F10309" s="816" t="s">
        <v>13681</v>
      </c>
      <c r="G10309" s="816"/>
      <c r="H10309" s="816">
        <v>2.9991713999999998</v>
      </c>
      <c r="I10309" s="816"/>
      <c r="J10309" s="817">
        <v>0.2099</v>
      </c>
      <c r="K10309" s="817"/>
      <c r="L10309" s="817"/>
    </row>
    <row r="10310" spans="1:12" ht="24" customHeight="1">
      <c r="A10310" s="636"/>
      <c r="B10310" s="636"/>
      <c r="C10310" s="636"/>
      <c r="D10310" s="636"/>
      <c r="E10310" s="636"/>
      <c r="F10310" s="636"/>
      <c r="G10310" s="636"/>
      <c r="H10310" s="636"/>
      <c r="I10310" s="636"/>
      <c r="J10310" s="636" t="s">
        <v>13675</v>
      </c>
      <c r="K10310" s="636"/>
      <c r="L10310" s="636" t="s">
        <v>13775</v>
      </c>
    </row>
    <row r="10311" spans="1:12" ht="24" customHeight="1">
      <c r="A10311" s="802" t="s">
        <v>12712</v>
      </c>
      <c r="B10311" s="802"/>
      <c r="C10311" s="802"/>
      <c r="D10311" s="802"/>
      <c r="E10311" s="802"/>
      <c r="F10311" s="802"/>
      <c r="G10311" s="802"/>
      <c r="H10311" s="802"/>
      <c r="I10311" s="612"/>
      <c r="J10311" s="612"/>
      <c r="K10311" s="612"/>
      <c r="L10311" s="612"/>
    </row>
    <row r="10312" spans="1:12" ht="24" customHeight="1">
      <c r="A10312" s="612" t="s">
        <v>13679</v>
      </c>
      <c r="B10312" s="636" t="s">
        <v>12698</v>
      </c>
      <c r="C10312" s="612" t="s">
        <v>12699</v>
      </c>
      <c r="D10312" s="612" t="s">
        <v>12700</v>
      </c>
      <c r="E10312" s="637" t="s">
        <v>12702</v>
      </c>
      <c r="F10312" s="801" t="s">
        <v>12704</v>
      </c>
      <c r="G10312" s="801"/>
      <c r="H10312" s="801" t="s">
        <v>13678</v>
      </c>
      <c r="I10312" s="801"/>
      <c r="J10312" s="801" t="s">
        <v>12705</v>
      </c>
      <c r="K10312" s="801"/>
      <c r="L10312" s="801"/>
    </row>
    <row r="10313" spans="1:12" ht="17.100000000000001" customHeight="1">
      <c r="A10313" s="626" t="s">
        <v>12709</v>
      </c>
      <c r="B10313" s="627" t="s">
        <v>13002</v>
      </c>
      <c r="C10313" s="626" t="s">
        <v>8</v>
      </c>
      <c r="D10313" s="626" t="s">
        <v>9306</v>
      </c>
      <c r="E10313" s="628" t="s">
        <v>23</v>
      </c>
      <c r="F10313" s="816" t="s">
        <v>13677</v>
      </c>
      <c r="G10313" s="816"/>
      <c r="H10313" s="816">
        <v>2.9991713999999998</v>
      </c>
      <c r="I10313" s="816"/>
      <c r="J10313" s="817">
        <v>1.0497000000000001</v>
      </c>
      <c r="K10313" s="817"/>
      <c r="L10313" s="817"/>
    </row>
    <row r="10314" spans="1:12" ht="14.25" customHeight="1">
      <c r="A10314" s="626" t="s">
        <v>12709</v>
      </c>
      <c r="B10314" s="627" t="s">
        <v>13004</v>
      </c>
      <c r="C10314" s="626" t="s">
        <v>8</v>
      </c>
      <c r="D10314" s="626" t="s">
        <v>7388</v>
      </c>
      <c r="E10314" s="628" t="s">
        <v>23</v>
      </c>
      <c r="F10314" s="816" t="s">
        <v>13676</v>
      </c>
      <c r="G10314" s="816"/>
      <c r="H10314" s="816">
        <v>2.9991713999999998</v>
      </c>
      <c r="I10314" s="816"/>
      <c r="J10314" s="817">
        <v>6.5982000000000003</v>
      </c>
      <c r="K10314" s="817"/>
      <c r="L10314" s="817"/>
    </row>
    <row r="10315" spans="1:12" ht="17.100000000000001" customHeight="1">
      <c r="A10315" s="636"/>
      <c r="B10315" s="636"/>
      <c r="C10315" s="636"/>
      <c r="D10315" s="636"/>
      <c r="E10315" s="636"/>
      <c r="F10315" s="636"/>
      <c r="G10315" s="636"/>
      <c r="H10315" s="636"/>
      <c r="I10315" s="636"/>
      <c r="J10315" s="636" t="s">
        <v>13675</v>
      </c>
      <c r="K10315" s="636"/>
      <c r="L10315" s="636" t="s">
        <v>13774</v>
      </c>
    </row>
    <row r="10316" spans="1:12" ht="24" customHeight="1">
      <c r="A10316" s="612" t="s">
        <v>13673</v>
      </c>
      <c r="B10316" s="612"/>
      <c r="C10316" s="612"/>
      <c r="D10316" s="612"/>
      <c r="E10316" s="612"/>
      <c r="F10316" s="612"/>
      <c r="G10316" s="612"/>
      <c r="H10316" s="612"/>
      <c r="I10316" s="612"/>
      <c r="J10316" s="612"/>
      <c r="K10316" s="612"/>
      <c r="L10316" s="612"/>
    </row>
    <row r="10317" spans="1:12" ht="24" customHeight="1">
      <c r="A10317" s="636"/>
      <c r="B10317" s="636"/>
      <c r="C10317" s="636"/>
      <c r="D10317" s="636"/>
      <c r="E10317" s="636"/>
      <c r="F10317" s="636"/>
      <c r="G10317" s="636"/>
      <c r="H10317" s="636"/>
      <c r="I10317" s="636"/>
      <c r="J10317" s="636" t="s">
        <v>13672</v>
      </c>
      <c r="K10317" s="636"/>
      <c r="L10317" s="636" t="s">
        <v>15688</v>
      </c>
    </row>
    <row r="10318" spans="1:12" ht="24" customHeight="1">
      <c r="A10318" s="636"/>
      <c r="B10318" s="636"/>
      <c r="C10318" s="636"/>
      <c r="D10318" s="636"/>
      <c r="E10318" s="636"/>
      <c r="F10318" s="636"/>
      <c r="G10318" s="636"/>
      <c r="H10318" s="636"/>
      <c r="I10318" s="636"/>
      <c r="J10318" s="636" t="s">
        <v>13671</v>
      </c>
      <c r="K10318" s="636" t="s">
        <v>14461</v>
      </c>
      <c r="L10318" s="636" t="s">
        <v>15689</v>
      </c>
    </row>
    <row r="10319" spans="1:12" ht="17.100000000000001" customHeight="1">
      <c r="A10319" s="636"/>
      <c r="B10319" s="636"/>
      <c r="C10319" s="636"/>
      <c r="D10319" s="636"/>
      <c r="E10319" s="636"/>
      <c r="F10319" s="636"/>
      <c r="G10319" s="636"/>
      <c r="H10319" s="636"/>
      <c r="I10319" s="636"/>
      <c r="J10319" s="636" t="s">
        <v>13670</v>
      </c>
      <c r="K10319" s="636"/>
      <c r="L10319" s="636" t="s">
        <v>15690</v>
      </c>
    </row>
    <row r="10320" spans="1:12">
      <c r="A10320" s="636"/>
      <c r="B10320" s="636"/>
      <c r="C10320" s="636"/>
      <c r="D10320" s="636"/>
      <c r="E10320" s="636"/>
      <c r="F10320" s="636"/>
      <c r="G10320" s="636"/>
      <c r="H10320" s="636"/>
      <c r="I10320" s="636"/>
      <c r="J10320" s="636" t="s">
        <v>13669</v>
      </c>
      <c r="K10320" s="636" t="s">
        <v>13667</v>
      </c>
      <c r="L10320" s="636" t="s">
        <v>15691</v>
      </c>
    </row>
    <row r="10321" spans="1:12" ht="17.100000000000001" customHeight="1">
      <c r="A10321" s="636"/>
      <c r="B10321" s="636"/>
      <c r="C10321" s="636"/>
      <c r="D10321" s="636"/>
      <c r="E10321" s="636"/>
      <c r="F10321" s="636"/>
      <c r="G10321" s="636"/>
      <c r="H10321" s="636"/>
      <c r="I10321" s="636"/>
      <c r="J10321" s="636" t="s">
        <v>13668</v>
      </c>
      <c r="K10321" s="636"/>
      <c r="L10321" s="636" t="s">
        <v>15692</v>
      </c>
    </row>
    <row r="10322" spans="1:12" ht="24" customHeight="1">
      <c r="A10322" s="637"/>
      <c r="B10322" s="637"/>
      <c r="C10322" s="637"/>
      <c r="D10322" s="637"/>
      <c r="E10322" s="637"/>
      <c r="F10322" s="637"/>
      <c r="G10322" s="637"/>
      <c r="H10322" s="637"/>
      <c r="I10322" s="637"/>
      <c r="J10322" s="637"/>
      <c r="K10322" s="637"/>
      <c r="L10322" s="637"/>
    </row>
    <row r="10323" spans="1:12" ht="17.100000000000001" customHeight="1">
      <c r="A10323" s="616" t="s">
        <v>13773</v>
      </c>
      <c r="B10323" s="617" t="s">
        <v>13359</v>
      </c>
      <c r="C10323" s="616" t="s">
        <v>8</v>
      </c>
      <c r="D10323" s="616" t="s">
        <v>5432</v>
      </c>
      <c r="E10323" s="618" t="s">
        <v>17</v>
      </c>
      <c r="F10323" s="617"/>
      <c r="G10323" s="617"/>
      <c r="H10323" s="617"/>
      <c r="I10323" s="617"/>
      <c r="J10323" s="617"/>
      <c r="K10323" s="617"/>
      <c r="L10323" s="617"/>
    </row>
    <row r="10324" spans="1:12">
      <c r="A10324" s="802" t="s">
        <v>12711</v>
      </c>
      <c r="B10324" s="802"/>
      <c r="C10324" s="802"/>
      <c r="D10324" s="802"/>
      <c r="E10324" s="802"/>
      <c r="F10324" s="802"/>
      <c r="G10324" s="802"/>
      <c r="H10324" s="802"/>
      <c r="I10324" s="612"/>
      <c r="J10324" s="612"/>
      <c r="K10324" s="612"/>
      <c r="L10324" s="612"/>
    </row>
    <row r="10325" spans="1:12" ht="17.100000000000001" customHeight="1">
      <c r="A10325" s="612" t="s">
        <v>13679</v>
      </c>
      <c r="B10325" s="636" t="s">
        <v>12698</v>
      </c>
      <c r="C10325" s="612" t="s">
        <v>12699</v>
      </c>
      <c r="D10325" s="612" t="s">
        <v>12700</v>
      </c>
      <c r="E10325" s="637" t="s">
        <v>12702</v>
      </c>
      <c r="F10325" s="801" t="s">
        <v>12704</v>
      </c>
      <c r="G10325" s="801"/>
      <c r="H10325" s="801" t="s">
        <v>13678</v>
      </c>
      <c r="I10325" s="801"/>
      <c r="J10325" s="801" t="s">
        <v>12705</v>
      </c>
      <c r="K10325" s="801"/>
      <c r="L10325" s="801"/>
    </row>
    <row r="10326" spans="1:12" ht="24" customHeight="1">
      <c r="A10326" s="626" t="s">
        <v>12709</v>
      </c>
      <c r="B10326" s="627" t="s">
        <v>13180</v>
      </c>
      <c r="C10326" s="626" t="s">
        <v>8</v>
      </c>
      <c r="D10326" s="626" t="s">
        <v>9587</v>
      </c>
      <c r="E10326" s="628" t="s">
        <v>35</v>
      </c>
      <c r="F10326" s="816" t="s">
        <v>13772</v>
      </c>
      <c r="G10326" s="816"/>
      <c r="H10326" s="816">
        <v>3.0000000000000001E-6</v>
      </c>
      <c r="I10326" s="816"/>
      <c r="J10326" s="817">
        <v>1.3100000000000001E-2</v>
      </c>
      <c r="K10326" s="817"/>
      <c r="L10326" s="817"/>
    </row>
    <row r="10327" spans="1:12" ht="17.100000000000001" customHeight="1">
      <c r="A10327" s="626" t="s">
        <v>12709</v>
      </c>
      <c r="B10327" s="627" t="s">
        <v>13003</v>
      </c>
      <c r="C10327" s="626" t="s">
        <v>8</v>
      </c>
      <c r="D10327" s="626" t="s">
        <v>9227</v>
      </c>
      <c r="E10327" s="628" t="s">
        <v>23</v>
      </c>
      <c r="F10327" s="816" t="s">
        <v>13732</v>
      </c>
      <c r="G10327" s="816"/>
      <c r="H10327" s="816">
        <v>3.13388E-2</v>
      </c>
      <c r="I10327" s="816"/>
      <c r="J10327" s="817">
        <v>2.07E-2</v>
      </c>
      <c r="K10327" s="817"/>
      <c r="L10327" s="817"/>
    </row>
    <row r="10328" spans="1:12" ht="25.5">
      <c r="A10328" s="626" t="s">
        <v>12709</v>
      </c>
      <c r="B10328" s="627" t="s">
        <v>13001</v>
      </c>
      <c r="C10328" s="626" t="s">
        <v>8</v>
      </c>
      <c r="D10328" s="626" t="s">
        <v>9374</v>
      </c>
      <c r="E10328" s="628" t="s">
        <v>23</v>
      </c>
      <c r="F10328" s="816" t="s">
        <v>13728</v>
      </c>
      <c r="G10328" s="816"/>
      <c r="H10328" s="816">
        <v>3.13388E-2</v>
      </c>
      <c r="I10328" s="816"/>
      <c r="J10328" s="817">
        <v>2.9999999999999997E-4</v>
      </c>
      <c r="K10328" s="817"/>
      <c r="L10328" s="817"/>
    </row>
    <row r="10329" spans="1:12" ht="17.100000000000001" customHeight="1">
      <c r="A10329" s="626" t="s">
        <v>12709</v>
      </c>
      <c r="B10329" s="627" t="s">
        <v>13048</v>
      </c>
      <c r="C10329" s="626" t="s">
        <v>8</v>
      </c>
      <c r="D10329" s="626" t="s">
        <v>9233</v>
      </c>
      <c r="E10329" s="628" t="s">
        <v>23</v>
      </c>
      <c r="F10329" s="816" t="s">
        <v>13690</v>
      </c>
      <c r="G10329" s="816"/>
      <c r="H10329" s="816">
        <v>0.36910199999999999</v>
      </c>
      <c r="I10329" s="816"/>
      <c r="J10329" s="817">
        <v>0.3765</v>
      </c>
      <c r="K10329" s="817"/>
      <c r="L10329" s="817"/>
    </row>
    <row r="10330" spans="1:12" ht="24" customHeight="1">
      <c r="A10330" s="626" t="s">
        <v>12709</v>
      </c>
      <c r="B10330" s="627" t="s">
        <v>13047</v>
      </c>
      <c r="C10330" s="626" t="s">
        <v>8</v>
      </c>
      <c r="D10330" s="626" t="s">
        <v>9380</v>
      </c>
      <c r="E10330" s="628" t="s">
        <v>23</v>
      </c>
      <c r="F10330" s="816" t="s">
        <v>13689</v>
      </c>
      <c r="G10330" s="816"/>
      <c r="H10330" s="816">
        <v>0.36910199999999999</v>
      </c>
      <c r="I10330" s="816"/>
      <c r="J10330" s="817">
        <v>0.14030000000000001</v>
      </c>
      <c r="K10330" s="817"/>
      <c r="L10330" s="817"/>
    </row>
    <row r="10331" spans="1:12" ht="17.100000000000001" customHeight="1">
      <c r="A10331" s="626" t="s">
        <v>12709</v>
      </c>
      <c r="B10331" s="627" t="s">
        <v>13032</v>
      </c>
      <c r="C10331" s="626" t="s">
        <v>8</v>
      </c>
      <c r="D10331" s="626" t="s">
        <v>9217</v>
      </c>
      <c r="E10331" s="628" t="s">
        <v>23</v>
      </c>
      <c r="F10331" s="816" t="s">
        <v>13741</v>
      </c>
      <c r="G10331" s="816"/>
      <c r="H10331" s="816">
        <v>0.27558290000000002</v>
      </c>
      <c r="I10331" s="816"/>
      <c r="J10331" s="817">
        <v>0.29759999999999998</v>
      </c>
      <c r="K10331" s="817"/>
      <c r="L10331" s="817"/>
    </row>
    <row r="10332" spans="1:12" ht="25.5">
      <c r="A10332" s="626" t="s">
        <v>12709</v>
      </c>
      <c r="B10332" s="627" t="s">
        <v>13031</v>
      </c>
      <c r="C10332" s="626" t="s">
        <v>8</v>
      </c>
      <c r="D10332" s="626" t="s">
        <v>9364</v>
      </c>
      <c r="E10332" s="628" t="s">
        <v>23</v>
      </c>
      <c r="F10332" s="816" t="s">
        <v>13740</v>
      </c>
      <c r="G10332" s="816"/>
      <c r="H10332" s="816">
        <v>0.27558290000000002</v>
      </c>
      <c r="I10332" s="816"/>
      <c r="J10332" s="817">
        <v>9.3700000000000006E-2</v>
      </c>
      <c r="K10332" s="817"/>
      <c r="L10332" s="817"/>
    </row>
    <row r="10333" spans="1:12" ht="17.100000000000001" customHeight="1">
      <c r="A10333" s="636"/>
      <c r="B10333" s="636"/>
      <c r="C10333" s="636"/>
      <c r="D10333" s="636"/>
      <c r="E10333" s="636"/>
      <c r="F10333" s="636"/>
      <c r="G10333" s="636"/>
      <c r="H10333" s="636"/>
      <c r="I10333" s="636"/>
      <c r="J10333" s="636" t="s">
        <v>13675</v>
      </c>
      <c r="K10333" s="636"/>
      <c r="L10333" s="636" t="s">
        <v>13771</v>
      </c>
    </row>
    <row r="10334" spans="1:12" ht="24" customHeight="1">
      <c r="A10334" s="802" t="s">
        <v>12710</v>
      </c>
      <c r="B10334" s="802"/>
      <c r="C10334" s="802"/>
      <c r="D10334" s="802"/>
      <c r="E10334" s="802"/>
      <c r="F10334" s="802"/>
      <c r="G10334" s="802"/>
      <c r="H10334" s="802"/>
      <c r="I10334" s="612"/>
      <c r="J10334" s="612"/>
      <c r="K10334" s="612"/>
      <c r="L10334" s="612"/>
    </row>
    <row r="10335" spans="1:12" ht="24" customHeight="1">
      <c r="A10335" s="612" t="s">
        <v>13679</v>
      </c>
      <c r="B10335" s="636" t="s">
        <v>12698</v>
      </c>
      <c r="C10335" s="612" t="s">
        <v>12699</v>
      </c>
      <c r="D10335" s="612" t="s">
        <v>12700</v>
      </c>
      <c r="E10335" s="637" t="s">
        <v>12702</v>
      </c>
      <c r="F10335" s="801" t="s">
        <v>12704</v>
      </c>
      <c r="G10335" s="801"/>
      <c r="H10335" s="801" t="s">
        <v>13678</v>
      </c>
      <c r="I10335" s="801"/>
      <c r="J10335" s="801" t="s">
        <v>12705</v>
      </c>
      <c r="K10335" s="801"/>
      <c r="L10335" s="801"/>
    </row>
    <row r="10336" spans="1:12" ht="17.100000000000001" customHeight="1">
      <c r="A10336" s="626" t="s">
        <v>12709</v>
      </c>
      <c r="B10336" s="627" t="s">
        <v>13111</v>
      </c>
      <c r="C10336" s="626" t="s">
        <v>8</v>
      </c>
      <c r="D10336" s="626" t="s">
        <v>10564</v>
      </c>
      <c r="E10336" s="628" t="s">
        <v>23</v>
      </c>
      <c r="F10336" s="816" t="s">
        <v>14514</v>
      </c>
      <c r="G10336" s="816"/>
      <c r="H10336" s="816">
        <v>3.1747699999999997E-2</v>
      </c>
      <c r="I10336" s="816"/>
      <c r="J10336" s="817">
        <v>0.1527</v>
      </c>
      <c r="K10336" s="817"/>
      <c r="L10336" s="817"/>
    </row>
    <row r="10337" spans="1:12" ht="17.100000000000001" customHeight="1">
      <c r="A10337" s="626" t="s">
        <v>12709</v>
      </c>
      <c r="B10337" s="627" t="s">
        <v>13046</v>
      </c>
      <c r="C10337" s="626" t="s">
        <v>8</v>
      </c>
      <c r="D10337" s="626" t="s">
        <v>11281</v>
      </c>
      <c r="E10337" s="628" t="s">
        <v>23</v>
      </c>
      <c r="F10337" s="816" t="s">
        <v>13731</v>
      </c>
      <c r="G10337" s="816"/>
      <c r="H10337" s="816">
        <v>0.37513659999999999</v>
      </c>
      <c r="I10337" s="816"/>
      <c r="J10337" s="817">
        <v>1.9281999999999999</v>
      </c>
      <c r="K10337" s="817"/>
      <c r="L10337" s="817"/>
    </row>
    <row r="10338" spans="1:12" ht="17.100000000000001" customHeight="1">
      <c r="A10338" s="626" t="s">
        <v>12709</v>
      </c>
      <c r="B10338" s="627" t="s">
        <v>13030</v>
      </c>
      <c r="C10338" s="626" t="s">
        <v>8</v>
      </c>
      <c r="D10338" s="626" t="s">
        <v>11729</v>
      </c>
      <c r="E10338" s="628" t="s">
        <v>23</v>
      </c>
      <c r="F10338" s="816" t="s">
        <v>14513</v>
      </c>
      <c r="G10338" s="816"/>
      <c r="H10338" s="816">
        <v>0.27823890000000001</v>
      </c>
      <c r="I10338" s="816"/>
      <c r="J10338" s="817">
        <v>2.0979000000000001</v>
      </c>
      <c r="K10338" s="817"/>
      <c r="L10338" s="817"/>
    </row>
    <row r="10339" spans="1:12" ht="17.100000000000001" customHeight="1">
      <c r="A10339" s="636"/>
      <c r="B10339" s="636"/>
      <c r="C10339" s="636"/>
      <c r="D10339" s="636"/>
      <c r="E10339" s="636"/>
      <c r="F10339" s="636"/>
      <c r="G10339" s="636"/>
      <c r="H10339" s="636"/>
      <c r="I10339" s="636"/>
      <c r="J10339" s="636" t="s">
        <v>13675</v>
      </c>
      <c r="K10339" s="636"/>
      <c r="L10339" s="636" t="s">
        <v>13954</v>
      </c>
    </row>
    <row r="10340" spans="1:12" ht="17.100000000000001" customHeight="1">
      <c r="A10340" s="802" t="s">
        <v>12720</v>
      </c>
      <c r="B10340" s="802"/>
      <c r="C10340" s="802"/>
      <c r="D10340" s="802"/>
      <c r="E10340" s="802"/>
      <c r="F10340" s="802"/>
      <c r="G10340" s="802"/>
      <c r="H10340" s="802"/>
      <c r="I10340" s="612"/>
      <c r="J10340" s="612"/>
      <c r="K10340" s="612"/>
      <c r="L10340" s="612"/>
    </row>
    <row r="10341" spans="1:12" ht="17.100000000000001" customHeight="1">
      <c r="A10341" s="612" t="s">
        <v>13679</v>
      </c>
      <c r="B10341" s="636" t="s">
        <v>12698</v>
      </c>
      <c r="C10341" s="612" t="s">
        <v>12699</v>
      </c>
      <c r="D10341" s="612" t="s">
        <v>12700</v>
      </c>
      <c r="E10341" s="637" t="s">
        <v>12702</v>
      </c>
      <c r="F10341" s="801" t="s">
        <v>12704</v>
      </c>
      <c r="G10341" s="801"/>
      <c r="H10341" s="801" t="s">
        <v>13678</v>
      </c>
      <c r="I10341" s="801"/>
      <c r="J10341" s="801" t="s">
        <v>12705</v>
      </c>
      <c r="K10341" s="801"/>
      <c r="L10341" s="801"/>
    </row>
    <row r="10342" spans="1:12" ht="17.100000000000001" customHeight="1">
      <c r="A10342" s="626" t="s">
        <v>12709</v>
      </c>
      <c r="B10342" s="627" t="s">
        <v>13306</v>
      </c>
      <c r="C10342" s="626" t="s">
        <v>8</v>
      </c>
      <c r="D10342" s="626" t="s">
        <v>11014</v>
      </c>
      <c r="E10342" s="628" t="s">
        <v>20</v>
      </c>
      <c r="F10342" s="816" t="s">
        <v>13769</v>
      </c>
      <c r="G10342" s="816"/>
      <c r="H10342" s="816">
        <v>1.2999999999999999E-2</v>
      </c>
      <c r="I10342" s="816"/>
      <c r="J10342" s="817">
        <v>0.14000000000000001</v>
      </c>
      <c r="K10342" s="817"/>
      <c r="L10342" s="817"/>
    </row>
    <row r="10343" spans="1:12" ht="30" customHeight="1">
      <c r="A10343" s="626" t="s">
        <v>12709</v>
      </c>
      <c r="B10343" s="627" t="s">
        <v>13358</v>
      </c>
      <c r="C10343" s="626" t="s">
        <v>8</v>
      </c>
      <c r="D10343" s="626" t="s">
        <v>8175</v>
      </c>
      <c r="E10343" s="628" t="s">
        <v>17</v>
      </c>
      <c r="F10343" s="816" t="s">
        <v>14512</v>
      </c>
      <c r="G10343" s="816"/>
      <c r="H10343" s="816">
        <v>1.05</v>
      </c>
      <c r="I10343" s="816"/>
      <c r="J10343" s="817">
        <v>41.27</v>
      </c>
      <c r="K10343" s="817"/>
      <c r="L10343" s="817"/>
    </row>
    <row r="10344" spans="1:12" ht="24" customHeight="1">
      <c r="A10344" s="626" t="s">
        <v>12709</v>
      </c>
      <c r="B10344" s="627" t="s">
        <v>13357</v>
      </c>
      <c r="C10344" s="626" t="s">
        <v>8</v>
      </c>
      <c r="D10344" s="626" t="s">
        <v>11107</v>
      </c>
      <c r="E10344" s="628" t="s">
        <v>20</v>
      </c>
      <c r="F10344" s="816" t="s">
        <v>14511</v>
      </c>
      <c r="G10344" s="816"/>
      <c r="H10344" s="816">
        <v>2.3999999999999998E-3</v>
      </c>
      <c r="I10344" s="816"/>
      <c r="J10344" s="817">
        <v>0.11</v>
      </c>
      <c r="K10344" s="817"/>
      <c r="L10344" s="817"/>
    </row>
    <row r="10345" spans="1:12" ht="14.25" customHeight="1">
      <c r="A10345" s="626" t="s">
        <v>12709</v>
      </c>
      <c r="B10345" s="627" t="s">
        <v>13356</v>
      </c>
      <c r="C10345" s="626" t="s">
        <v>8</v>
      </c>
      <c r="D10345" s="626" t="s">
        <v>11261</v>
      </c>
      <c r="E10345" s="628" t="s">
        <v>12913</v>
      </c>
      <c r="F10345" s="816" t="s">
        <v>14510</v>
      </c>
      <c r="G10345" s="816"/>
      <c r="H10345" s="816">
        <v>8.1000000000000003E-2</v>
      </c>
      <c r="I10345" s="816"/>
      <c r="J10345" s="817">
        <v>1.95</v>
      </c>
      <c r="K10345" s="817"/>
      <c r="L10345" s="817"/>
    </row>
    <row r="10346" spans="1:12" ht="17.100000000000001" customHeight="1">
      <c r="A10346" s="626" t="s">
        <v>12709</v>
      </c>
      <c r="B10346" s="627" t="s">
        <v>13355</v>
      </c>
      <c r="C10346" s="626" t="s">
        <v>8</v>
      </c>
      <c r="D10346" s="626" t="s">
        <v>11303</v>
      </c>
      <c r="E10346" s="628" t="s">
        <v>20</v>
      </c>
      <c r="F10346" s="816" t="s">
        <v>14509</v>
      </c>
      <c r="G10346" s="816"/>
      <c r="H10346" s="816">
        <v>0.09</v>
      </c>
      <c r="I10346" s="816"/>
      <c r="J10346" s="817">
        <v>5.47</v>
      </c>
      <c r="K10346" s="817"/>
      <c r="L10346" s="817"/>
    </row>
    <row r="10347" spans="1:12" ht="48" customHeight="1">
      <c r="A10347" s="626" t="s">
        <v>12709</v>
      </c>
      <c r="B10347" s="627" t="s">
        <v>12987</v>
      </c>
      <c r="C10347" s="626" t="s">
        <v>8</v>
      </c>
      <c r="D10347" s="626" t="s">
        <v>9192</v>
      </c>
      <c r="E10347" s="628" t="s">
        <v>12923</v>
      </c>
      <c r="F10347" s="816" t="s">
        <v>13999</v>
      </c>
      <c r="G10347" s="816"/>
      <c r="H10347" s="816">
        <v>1.02433E-2</v>
      </c>
      <c r="I10347" s="816"/>
      <c r="J10347" s="817">
        <v>8.3000000000000001E-3</v>
      </c>
      <c r="K10347" s="817"/>
      <c r="L10347" s="817"/>
    </row>
    <row r="10348" spans="1:12" ht="24" customHeight="1">
      <c r="A10348" s="636"/>
      <c r="B10348" s="636"/>
      <c r="C10348" s="636"/>
      <c r="D10348" s="636"/>
      <c r="E10348" s="636"/>
      <c r="F10348" s="636"/>
      <c r="G10348" s="636"/>
      <c r="H10348" s="636"/>
      <c r="I10348" s="636"/>
      <c r="J10348" s="636" t="s">
        <v>13675</v>
      </c>
      <c r="K10348" s="636"/>
      <c r="L10348" s="636" t="s">
        <v>14508</v>
      </c>
    </row>
    <row r="10349" spans="1:12" ht="24" customHeight="1">
      <c r="A10349" s="802" t="s">
        <v>12722</v>
      </c>
      <c r="B10349" s="802"/>
      <c r="C10349" s="802"/>
      <c r="D10349" s="802"/>
      <c r="E10349" s="802"/>
      <c r="F10349" s="802"/>
      <c r="G10349" s="802"/>
      <c r="H10349" s="802"/>
      <c r="I10349" s="612"/>
      <c r="J10349" s="612"/>
      <c r="K10349" s="612"/>
      <c r="L10349" s="612"/>
    </row>
    <row r="10350" spans="1:12" ht="24" customHeight="1">
      <c r="A10350" s="612" t="s">
        <v>13679</v>
      </c>
      <c r="B10350" s="636" t="s">
        <v>12698</v>
      </c>
      <c r="C10350" s="612" t="s">
        <v>12699</v>
      </c>
      <c r="D10350" s="612" t="s">
        <v>12700</v>
      </c>
      <c r="E10350" s="637" t="s">
        <v>12702</v>
      </c>
      <c r="F10350" s="801" t="s">
        <v>12704</v>
      </c>
      <c r="G10350" s="801"/>
      <c r="H10350" s="801" t="s">
        <v>13678</v>
      </c>
      <c r="I10350" s="801"/>
      <c r="J10350" s="801" t="s">
        <v>12705</v>
      </c>
      <c r="K10350" s="801"/>
      <c r="L10350" s="801"/>
    </row>
    <row r="10351" spans="1:12" ht="24" customHeight="1">
      <c r="A10351" s="626" t="s">
        <v>12709</v>
      </c>
      <c r="B10351" s="627" t="s">
        <v>12998</v>
      </c>
      <c r="C10351" s="626" t="s">
        <v>8</v>
      </c>
      <c r="D10351" s="626" t="s">
        <v>11861</v>
      </c>
      <c r="E10351" s="628" t="s">
        <v>23</v>
      </c>
      <c r="F10351" s="816" t="s">
        <v>13683</v>
      </c>
      <c r="G10351" s="816"/>
      <c r="H10351" s="816">
        <v>0.67602370000000001</v>
      </c>
      <c r="I10351" s="816"/>
      <c r="J10351" s="817">
        <v>0.48</v>
      </c>
      <c r="K10351" s="817"/>
      <c r="L10351" s="817"/>
    </row>
    <row r="10352" spans="1:12" ht="17.100000000000001" customHeight="1">
      <c r="A10352" s="636"/>
      <c r="B10352" s="636"/>
      <c r="C10352" s="636"/>
      <c r="D10352" s="636"/>
      <c r="E10352" s="636"/>
      <c r="F10352" s="636"/>
      <c r="G10352" s="636"/>
      <c r="H10352" s="636"/>
      <c r="I10352" s="636"/>
      <c r="J10352" s="636" t="s">
        <v>13675</v>
      </c>
      <c r="K10352" s="636"/>
      <c r="L10352" s="636" t="s">
        <v>13768</v>
      </c>
    </row>
    <row r="10353" spans="1:12" ht="14.25" customHeight="1">
      <c r="A10353" s="802" t="s">
        <v>12713</v>
      </c>
      <c r="B10353" s="802"/>
      <c r="C10353" s="802"/>
      <c r="D10353" s="802"/>
      <c r="E10353" s="802"/>
      <c r="F10353" s="802"/>
      <c r="G10353" s="802"/>
      <c r="H10353" s="802"/>
      <c r="I10353" s="612"/>
      <c r="J10353" s="612"/>
      <c r="K10353" s="612"/>
      <c r="L10353" s="612"/>
    </row>
    <row r="10354" spans="1:12" ht="17.100000000000001" customHeight="1">
      <c r="A10354" s="612" t="s">
        <v>13679</v>
      </c>
      <c r="B10354" s="636" t="s">
        <v>12698</v>
      </c>
      <c r="C10354" s="612" t="s">
        <v>12699</v>
      </c>
      <c r="D10354" s="612" t="s">
        <v>12700</v>
      </c>
      <c r="E10354" s="637" t="s">
        <v>12702</v>
      </c>
      <c r="F10354" s="801" t="s">
        <v>12704</v>
      </c>
      <c r="G10354" s="801"/>
      <c r="H10354" s="801" t="s">
        <v>13678</v>
      </c>
      <c r="I10354" s="801"/>
      <c r="J10354" s="801" t="s">
        <v>12705</v>
      </c>
      <c r="K10354" s="801"/>
      <c r="L10354" s="801"/>
    </row>
    <row r="10355" spans="1:12" ht="24" customHeight="1">
      <c r="A10355" s="626" t="s">
        <v>12709</v>
      </c>
      <c r="B10355" s="627" t="s">
        <v>12999</v>
      </c>
      <c r="C10355" s="626" t="s">
        <v>8</v>
      </c>
      <c r="D10355" s="626" t="s">
        <v>11251</v>
      </c>
      <c r="E10355" s="628" t="s">
        <v>23</v>
      </c>
      <c r="F10355" s="816" t="s">
        <v>13681</v>
      </c>
      <c r="G10355" s="816"/>
      <c r="H10355" s="816">
        <v>0.67602370000000001</v>
      </c>
      <c r="I10355" s="816"/>
      <c r="J10355" s="817">
        <v>4.7300000000000002E-2</v>
      </c>
      <c r="K10355" s="817"/>
      <c r="L10355" s="817"/>
    </row>
    <row r="10356" spans="1:12" ht="24" customHeight="1">
      <c r="A10356" s="636"/>
      <c r="B10356" s="636"/>
      <c r="C10356" s="636"/>
      <c r="D10356" s="636"/>
      <c r="E10356" s="636"/>
      <c r="F10356" s="636"/>
      <c r="G10356" s="636"/>
      <c r="H10356" s="636"/>
      <c r="I10356" s="636"/>
      <c r="J10356" s="636" t="s">
        <v>13675</v>
      </c>
      <c r="K10356" s="636"/>
      <c r="L10356" s="636" t="s">
        <v>13767</v>
      </c>
    </row>
    <row r="10357" spans="1:12" ht="17.100000000000001" customHeight="1">
      <c r="A10357" s="802" t="s">
        <v>12712</v>
      </c>
      <c r="B10357" s="802"/>
      <c r="C10357" s="802"/>
      <c r="D10357" s="802"/>
      <c r="E10357" s="802"/>
      <c r="F10357" s="802"/>
      <c r="G10357" s="802"/>
      <c r="H10357" s="802"/>
      <c r="I10357" s="612"/>
      <c r="J10357" s="612"/>
      <c r="K10357" s="612"/>
      <c r="L10357" s="612"/>
    </row>
    <row r="10358" spans="1:12">
      <c r="A10358" s="612" t="s">
        <v>13679</v>
      </c>
      <c r="B10358" s="636" t="s">
        <v>12698</v>
      </c>
      <c r="C10358" s="612" t="s">
        <v>12699</v>
      </c>
      <c r="D10358" s="612" t="s">
        <v>12700</v>
      </c>
      <c r="E10358" s="637" t="s">
        <v>12702</v>
      </c>
      <c r="F10358" s="801" t="s">
        <v>12704</v>
      </c>
      <c r="G10358" s="801"/>
      <c r="H10358" s="801" t="s">
        <v>13678</v>
      </c>
      <c r="I10358" s="801"/>
      <c r="J10358" s="801" t="s">
        <v>12705</v>
      </c>
      <c r="K10358" s="801"/>
      <c r="L10358" s="801"/>
    </row>
    <row r="10359" spans="1:12" ht="17.100000000000001" customHeight="1">
      <c r="A10359" s="626" t="s">
        <v>12709</v>
      </c>
      <c r="B10359" s="627" t="s">
        <v>13002</v>
      </c>
      <c r="C10359" s="626" t="s">
        <v>8</v>
      </c>
      <c r="D10359" s="626" t="s">
        <v>9306</v>
      </c>
      <c r="E10359" s="628" t="s">
        <v>23</v>
      </c>
      <c r="F10359" s="816" t="s">
        <v>13677</v>
      </c>
      <c r="G10359" s="816"/>
      <c r="H10359" s="816">
        <v>0.67602370000000001</v>
      </c>
      <c r="I10359" s="816"/>
      <c r="J10359" s="817">
        <v>0.2366</v>
      </c>
      <c r="K10359" s="817"/>
      <c r="L10359" s="817"/>
    </row>
    <row r="10360" spans="1:12" ht="24" customHeight="1">
      <c r="A10360" s="626" t="s">
        <v>12709</v>
      </c>
      <c r="B10360" s="627" t="s">
        <v>13004</v>
      </c>
      <c r="C10360" s="626" t="s">
        <v>8</v>
      </c>
      <c r="D10360" s="626" t="s">
        <v>7388</v>
      </c>
      <c r="E10360" s="628" t="s">
        <v>23</v>
      </c>
      <c r="F10360" s="816" t="s">
        <v>13676</v>
      </c>
      <c r="G10360" s="816"/>
      <c r="H10360" s="816">
        <v>0.67602370000000001</v>
      </c>
      <c r="I10360" s="816"/>
      <c r="J10360" s="817">
        <v>1.4873000000000001</v>
      </c>
      <c r="K10360" s="817"/>
      <c r="L10360" s="817"/>
    </row>
    <row r="10361" spans="1:12" ht="17.100000000000001" customHeight="1">
      <c r="A10361" s="636"/>
      <c r="B10361" s="636"/>
      <c r="C10361" s="636"/>
      <c r="D10361" s="636"/>
      <c r="E10361" s="636"/>
      <c r="F10361" s="636"/>
      <c r="G10361" s="636"/>
      <c r="H10361" s="636"/>
      <c r="I10361" s="636"/>
      <c r="J10361" s="636" t="s">
        <v>13675</v>
      </c>
      <c r="K10361" s="636"/>
      <c r="L10361" s="636" t="s">
        <v>13766</v>
      </c>
    </row>
    <row r="10362" spans="1:12">
      <c r="A10362" s="612" t="s">
        <v>13673</v>
      </c>
      <c r="B10362" s="612"/>
      <c r="C10362" s="612"/>
      <c r="D10362" s="612"/>
      <c r="E10362" s="612"/>
      <c r="F10362" s="612"/>
      <c r="G10362" s="612"/>
      <c r="H10362" s="612"/>
      <c r="I10362" s="612"/>
      <c r="J10362" s="612"/>
      <c r="K10362" s="612"/>
      <c r="L10362" s="612"/>
    </row>
    <row r="10363" spans="1:12" ht="17.100000000000001" customHeight="1">
      <c r="A10363" s="636"/>
      <c r="B10363" s="636"/>
      <c r="C10363" s="636"/>
      <c r="D10363" s="636"/>
      <c r="E10363" s="636"/>
      <c r="F10363" s="636"/>
      <c r="G10363" s="636"/>
      <c r="H10363" s="636"/>
      <c r="I10363" s="636"/>
      <c r="J10363" s="636" t="s">
        <v>13672</v>
      </c>
      <c r="K10363" s="636"/>
      <c r="L10363" s="636" t="s">
        <v>15693</v>
      </c>
    </row>
    <row r="10364" spans="1:12" ht="24" customHeight="1">
      <c r="A10364" s="636"/>
      <c r="B10364" s="636"/>
      <c r="C10364" s="636"/>
      <c r="D10364" s="636"/>
      <c r="E10364" s="636"/>
      <c r="F10364" s="636"/>
      <c r="G10364" s="636"/>
      <c r="H10364" s="636"/>
      <c r="I10364" s="636"/>
      <c r="J10364" s="636" t="s">
        <v>13671</v>
      </c>
      <c r="K10364" s="636" t="s">
        <v>14461</v>
      </c>
      <c r="L10364" s="636" t="s">
        <v>15694</v>
      </c>
    </row>
    <row r="10365" spans="1:12" ht="17.100000000000001" customHeight="1">
      <c r="A10365" s="636"/>
      <c r="B10365" s="636"/>
      <c r="C10365" s="636"/>
      <c r="D10365" s="636"/>
      <c r="E10365" s="636"/>
      <c r="F10365" s="636"/>
      <c r="G10365" s="636"/>
      <c r="H10365" s="636"/>
      <c r="I10365" s="636"/>
      <c r="J10365" s="636" t="s">
        <v>13670</v>
      </c>
      <c r="K10365" s="636"/>
      <c r="L10365" s="636" t="s">
        <v>15695</v>
      </c>
    </row>
    <row r="10366" spans="1:12">
      <c r="A10366" s="636"/>
      <c r="B10366" s="636"/>
      <c r="C10366" s="636"/>
      <c r="D10366" s="636"/>
      <c r="E10366" s="636"/>
      <c r="F10366" s="636"/>
      <c r="G10366" s="636"/>
      <c r="H10366" s="636"/>
      <c r="I10366" s="636"/>
      <c r="J10366" s="636" t="s">
        <v>13669</v>
      </c>
      <c r="K10366" s="636" t="s">
        <v>13667</v>
      </c>
      <c r="L10366" s="636" t="s">
        <v>15696</v>
      </c>
    </row>
    <row r="10367" spans="1:12" ht="17.100000000000001" customHeight="1">
      <c r="A10367" s="636"/>
      <c r="B10367" s="636"/>
      <c r="C10367" s="636"/>
      <c r="D10367" s="636"/>
      <c r="E10367" s="636"/>
      <c r="F10367" s="636"/>
      <c r="G10367" s="636"/>
      <c r="H10367" s="636"/>
      <c r="I10367" s="636"/>
      <c r="J10367" s="636" t="s">
        <v>13668</v>
      </c>
      <c r="K10367" s="636"/>
      <c r="L10367" s="636" t="s">
        <v>15697</v>
      </c>
    </row>
    <row r="10368" spans="1:12" ht="24" customHeight="1">
      <c r="A10368" s="637"/>
      <c r="B10368" s="637"/>
      <c r="C10368" s="637"/>
      <c r="D10368" s="637"/>
      <c r="E10368" s="637"/>
      <c r="F10368" s="637"/>
      <c r="G10368" s="637"/>
      <c r="H10368" s="637"/>
      <c r="I10368" s="637"/>
      <c r="J10368" s="637"/>
      <c r="K10368" s="637"/>
      <c r="L10368" s="637"/>
    </row>
    <row r="10369" spans="1:12" ht="17.100000000000001" customHeight="1">
      <c r="A10369" s="616" t="s">
        <v>13765</v>
      </c>
      <c r="B10369" s="617" t="s">
        <v>13494</v>
      </c>
      <c r="C10369" s="616" t="s">
        <v>8</v>
      </c>
      <c r="D10369" s="616" t="s">
        <v>4716</v>
      </c>
      <c r="E10369" s="618" t="s">
        <v>12730</v>
      </c>
      <c r="F10369" s="617"/>
      <c r="G10369" s="617"/>
      <c r="H10369" s="617"/>
      <c r="I10369" s="617"/>
      <c r="J10369" s="617"/>
      <c r="K10369" s="617"/>
      <c r="L10369" s="617"/>
    </row>
    <row r="10370" spans="1:12">
      <c r="A10370" s="802" t="s">
        <v>12711</v>
      </c>
      <c r="B10370" s="802"/>
      <c r="C10370" s="802"/>
      <c r="D10370" s="802"/>
      <c r="E10370" s="802"/>
      <c r="F10370" s="802"/>
      <c r="G10370" s="802"/>
      <c r="H10370" s="802"/>
      <c r="I10370" s="612"/>
      <c r="J10370" s="612"/>
      <c r="K10370" s="612"/>
      <c r="L10370" s="612"/>
    </row>
    <row r="10371" spans="1:12" ht="17.100000000000001" customHeight="1">
      <c r="A10371" s="612" t="s">
        <v>13679</v>
      </c>
      <c r="B10371" s="636" t="s">
        <v>12698</v>
      </c>
      <c r="C10371" s="612" t="s">
        <v>12699</v>
      </c>
      <c r="D10371" s="612" t="s">
        <v>12700</v>
      </c>
      <c r="E10371" s="637" t="s">
        <v>12702</v>
      </c>
      <c r="F10371" s="801" t="s">
        <v>12704</v>
      </c>
      <c r="G10371" s="801"/>
      <c r="H10371" s="801" t="s">
        <v>13678</v>
      </c>
      <c r="I10371" s="801"/>
      <c r="J10371" s="801" t="s">
        <v>12705</v>
      </c>
      <c r="K10371" s="801"/>
      <c r="L10371" s="801"/>
    </row>
    <row r="10372" spans="1:12" ht="24" customHeight="1">
      <c r="A10372" s="626" t="s">
        <v>12709</v>
      </c>
      <c r="B10372" s="627" t="s">
        <v>13048</v>
      </c>
      <c r="C10372" s="626" t="s">
        <v>8</v>
      </c>
      <c r="D10372" s="626" t="s">
        <v>9233</v>
      </c>
      <c r="E10372" s="628" t="s">
        <v>23</v>
      </c>
      <c r="F10372" s="816" t="s">
        <v>13690</v>
      </c>
      <c r="G10372" s="816"/>
      <c r="H10372" s="816">
        <v>3.9525234999999999</v>
      </c>
      <c r="I10372" s="816"/>
      <c r="J10372" s="817">
        <v>4.0316000000000001</v>
      </c>
      <c r="K10372" s="817"/>
      <c r="L10372" s="817"/>
    </row>
    <row r="10373" spans="1:12" ht="24" customHeight="1">
      <c r="A10373" s="626" t="s">
        <v>12709</v>
      </c>
      <c r="B10373" s="627" t="s">
        <v>13047</v>
      </c>
      <c r="C10373" s="626" t="s">
        <v>8</v>
      </c>
      <c r="D10373" s="626" t="s">
        <v>9380</v>
      </c>
      <c r="E10373" s="628" t="s">
        <v>23</v>
      </c>
      <c r="F10373" s="816" t="s">
        <v>13689</v>
      </c>
      <c r="G10373" s="816"/>
      <c r="H10373" s="816">
        <v>3.9525234999999999</v>
      </c>
      <c r="I10373" s="816"/>
      <c r="J10373" s="817">
        <v>1.502</v>
      </c>
      <c r="K10373" s="817"/>
      <c r="L10373" s="817"/>
    </row>
    <row r="10374" spans="1:12" ht="17.100000000000001" customHeight="1">
      <c r="A10374" s="636"/>
      <c r="B10374" s="636"/>
      <c r="C10374" s="636"/>
      <c r="D10374" s="636"/>
      <c r="E10374" s="636"/>
      <c r="F10374" s="636"/>
      <c r="G10374" s="636"/>
      <c r="H10374" s="636"/>
      <c r="I10374" s="636"/>
      <c r="J10374" s="636" t="s">
        <v>13675</v>
      </c>
      <c r="K10374" s="636"/>
      <c r="L10374" s="636" t="s">
        <v>13764</v>
      </c>
    </row>
    <row r="10375" spans="1:12" ht="17.100000000000001" customHeight="1">
      <c r="A10375" s="802" t="s">
        <v>12710</v>
      </c>
      <c r="B10375" s="802"/>
      <c r="C10375" s="802"/>
      <c r="D10375" s="802"/>
      <c r="E10375" s="802"/>
      <c r="F10375" s="802"/>
      <c r="G10375" s="802"/>
      <c r="H10375" s="802"/>
      <c r="I10375" s="612"/>
      <c r="J10375" s="612"/>
      <c r="K10375" s="612"/>
      <c r="L10375" s="612"/>
    </row>
    <row r="10376" spans="1:12" ht="17.100000000000001" customHeight="1">
      <c r="A10376" s="612" t="s">
        <v>13679</v>
      </c>
      <c r="B10376" s="636" t="s">
        <v>12698</v>
      </c>
      <c r="C10376" s="612" t="s">
        <v>12699</v>
      </c>
      <c r="D10376" s="612" t="s">
        <v>12700</v>
      </c>
      <c r="E10376" s="637" t="s">
        <v>12702</v>
      </c>
      <c r="F10376" s="801" t="s">
        <v>12704</v>
      </c>
      <c r="G10376" s="801"/>
      <c r="H10376" s="801" t="s">
        <v>13678</v>
      </c>
      <c r="I10376" s="801"/>
      <c r="J10376" s="801" t="s">
        <v>12705</v>
      </c>
      <c r="K10376" s="801"/>
      <c r="L10376" s="801"/>
    </row>
    <row r="10377" spans="1:12" ht="17.100000000000001" customHeight="1">
      <c r="A10377" s="626" t="s">
        <v>12709</v>
      </c>
      <c r="B10377" s="627" t="s">
        <v>13046</v>
      </c>
      <c r="C10377" s="626" t="s">
        <v>8</v>
      </c>
      <c r="D10377" s="626" t="s">
        <v>11281</v>
      </c>
      <c r="E10377" s="628" t="s">
        <v>23</v>
      </c>
      <c r="F10377" s="816" t="s">
        <v>13731</v>
      </c>
      <c r="G10377" s="816"/>
      <c r="H10377" s="816">
        <v>4.0103188999999997</v>
      </c>
      <c r="I10377" s="816"/>
      <c r="J10377" s="817">
        <v>20.613</v>
      </c>
      <c r="K10377" s="817"/>
      <c r="L10377" s="817"/>
    </row>
    <row r="10378" spans="1:12" ht="17.100000000000001" customHeight="1">
      <c r="A10378" s="636"/>
      <c r="B10378" s="636"/>
      <c r="C10378" s="636"/>
      <c r="D10378" s="636"/>
      <c r="E10378" s="636"/>
      <c r="F10378" s="636"/>
      <c r="G10378" s="636"/>
      <c r="H10378" s="636"/>
      <c r="I10378" s="636"/>
      <c r="J10378" s="636" t="s">
        <v>13675</v>
      </c>
      <c r="K10378" s="636"/>
      <c r="L10378" s="636" t="s">
        <v>14507</v>
      </c>
    </row>
    <row r="10379" spans="1:12" ht="17.100000000000001" customHeight="1">
      <c r="A10379" s="802" t="s">
        <v>12722</v>
      </c>
      <c r="B10379" s="802"/>
      <c r="C10379" s="802"/>
      <c r="D10379" s="802"/>
      <c r="E10379" s="802"/>
      <c r="F10379" s="802"/>
      <c r="G10379" s="802"/>
      <c r="H10379" s="802"/>
      <c r="I10379" s="612"/>
      <c r="J10379" s="612"/>
      <c r="K10379" s="612"/>
      <c r="L10379" s="612"/>
    </row>
    <row r="10380" spans="1:12" ht="17.100000000000001" customHeight="1">
      <c r="A10380" s="612" t="s">
        <v>13679</v>
      </c>
      <c r="B10380" s="636" t="s">
        <v>12698</v>
      </c>
      <c r="C10380" s="612" t="s">
        <v>12699</v>
      </c>
      <c r="D10380" s="612" t="s">
        <v>12700</v>
      </c>
      <c r="E10380" s="637" t="s">
        <v>12702</v>
      </c>
      <c r="F10380" s="801" t="s">
        <v>12704</v>
      </c>
      <c r="G10380" s="801"/>
      <c r="H10380" s="801" t="s">
        <v>13678</v>
      </c>
      <c r="I10380" s="801"/>
      <c r="J10380" s="801" t="s">
        <v>12705</v>
      </c>
      <c r="K10380" s="801"/>
      <c r="L10380" s="801"/>
    </row>
    <row r="10381" spans="1:12" ht="30" customHeight="1">
      <c r="A10381" s="626" t="s">
        <v>12709</v>
      </c>
      <c r="B10381" s="627" t="s">
        <v>12998</v>
      </c>
      <c r="C10381" s="626" t="s">
        <v>8</v>
      </c>
      <c r="D10381" s="626" t="s">
        <v>11861</v>
      </c>
      <c r="E10381" s="628" t="s">
        <v>23</v>
      </c>
      <c r="F10381" s="816" t="s">
        <v>13683</v>
      </c>
      <c r="G10381" s="816"/>
      <c r="H10381" s="816">
        <v>3.9525234999999999</v>
      </c>
      <c r="I10381" s="816"/>
      <c r="J10381" s="817">
        <v>2.8062999999999998</v>
      </c>
      <c r="K10381" s="817"/>
      <c r="L10381" s="817"/>
    </row>
    <row r="10382" spans="1:12" ht="36" customHeight="1">
      <c r="A10382" s="636"/>
      <c r="B10382" s="636"/>
      <c r="C10382" s="636"/>
      <c r="D10382" s="636"/>
      <c r="E10382" s="636"/>
      <c r="F10382" s="636"/>
      <c r="G10382" s="636"/>
      <c r="H10382" s="636"/>
      <c r="I10382" s="636"/>
      <c r="J10382" s="636" t="s">
        <v>13675</v>
      </c>
      <c r="K10382" s="636"/>
      <c r="L10382" s="636" t="s">
        <v>13763</v>
      </c>
    </row>
    <row r="10383" spans="1:12" ht="14.25" customHeight="1">
      <c r="A10383" s="802" t="s">
        <v>12713</v>
      </c>
      <c r="B10383" s="802"/>
      <c r="C10383" s="802"/>
      <c r="D10383" s="802"/>
      <c r="E10383" s="802"/>
      <c r="F10383" s="802"/>
      <c r="G10383" s="802"/>
      <c r="H10383" s="802"/>
      <c r="I10383" s="612"/>
      <c r="J10383" s="612"/>
      <c r="K10383" s="612"/>
      <c r="L10383" s="612"/>
    </row>
    <row r="10384" spans="1:12" ht="17.100000000000001" customHeight="1">
      <c r="A10384" s="612" t="s">
        <v>13679</v>
      </c>
      <c r="B10384" s="636" t="s">
        <v>12698</v>
      </c>
      <c r="C10384" s="612" t="s">
        <v>12699</v>
      </c>
      <c r="D10384" s="612" t="s">
        <v>12700</v>
      </c>
      <c r="E10384" s="637" t="s">
        <v>12702</v>
      </c>
      <c r="F10384" s="801" t="s">
        <v>12704</v>
      </c>
      <c r="G10384" s="801"/>
      <c r="H10384" s="801" t="s">
        <v>13678</v>
      </c>
      <c r="I10384" s="801"/>
      <c r="J10384" s="801" t="s">
        <v>12705</v>
      </c>
      <c r="K10384" s="801"/>
      <c r="L10384" s="801"/>
    </row>
    <row r="10385" spans="1:12" ht="48" customHeight="1">
      <c r="A10385" s="626" t="s">
        <v>12709</v>
      </c>
      <c r="B10385" s="627" t="s">
        <v>12999</v>
      </c>
      <c r="C10385" s="626" t="s">
        <v>8</v>
      </c>
      <c r="D10385" s="626" t="s">
        <v>11251</v>
      </c>
      <c r="E10385" s="628" t="s">
        <v>23</v>
      </c>
      <c r="F10385" s="816" t="s">
        <v>13681</v>
      </c>
      <c r="G10385" s="816"/>
      <c r="H10385" s="816">
        <v>3.9525234999999999</v>
      </c>
      <c r="I10385" s="816"/>
      <c r="J10385" s="817">
        <v>0.2767</v>
      </c>
      <c r="K10385" s="817"/>
      <c r="L10385" s="817"/>
    </row>
    <row r="10386" spans="1:12" ht="24" customHeight="1">
      <c r="A10386" s="636"/>
      <c r="B10386" s="636"/>
      <c r="C10386" s="636"/>
      <c r="D10386" s="636"/>
      <c r="E10386" s="636"/>
      <c r="F10386" s="636"/>
      <c r="G10386" s="636"/>
      <c r="H10386" s="636"/>
      <c r="I10386" s="636"/>
      <c r="J10386" s="636" t="s">
        <v>13675</v>
      </c>
      <c r="K10386" s="636"/>
      <c r="L10386" s="636" t="s">
        <v>13762</v>
      </c>
    </row>
    <row r="10387" spans="1:12" ht="24" customHeight="1">
      <c r="A10387" s="802" t="s">
        <v>12712</v>
      </c>
      <c r="B10387" s="802"/>
      <c r="C10387" s="802"/>
      <c r="D10387" s="802"/>
      <c r="E10387" s="802"/>
      <c r="F10387" s="802"/>
      <c r="G10387" s="802"/>
      <c r="H10387" s="802"/>
      <c r="I10387" s="612"/>
      <c r="J10387" s="612"/>
      <c r="K10387" s="612"/>
      <c r="L10387" s="612"/>
    </row>
    <row r="10388" spans="1:12" ht="17.100000000000001" customHeight="1">
      <c r="A10388" s="612" t="s">
        <v>13679</v>
      </c>
      <c r="B10388" s="636" t="s">
        <v>12698</v>
      </c>
      <c r="C10388" s="612" t="s">
        <v>12699</v>
      </c>
      <c r="D10388" s="612" t="s">
        <v>12700</v>
      </c>
      <c r="E10388" s="637" t="s">
        <v>12702</v>
      </c>
      <c r="F10388" s="801" t="s">
        <v>12704</v>
      </c>
      <c r="G10388" s="801"/>
      <c r="H10388" s="801" t="s">
        <v>13678</v>
      </c>
      <c r="I10388" s="801"/>
      <c r="J10388" s="801" t="s">
        <v>12705</v>
      </c>
      <c r="K10388" s="801"/>
      <c r="L10388" s="801"/>
    </row>
    <row r="10389" spans="1:12" ht="14.25" customHeight="1">
      <c r="A10389" s="626" t="s">
        <v>12709</v>
      </c>
      <c r="B10389" s="627" t="s">
        <v>13002</v>
      </c>
      <c r="C10389" s="626" t="s">
        <v>8</v>
      </c>
      <c r="D10389" s="626" t="s">
        <v>9306</v>
      </c>
      <c r="E10389" s="628" t="s">
        <v>23</v>
      </c>
      <c r="F10389" s="816" t="s">
        <v>13677</v>
      </c>
      <c r="G10389" s="816"/>
      <c r="H10389" s="816">
        <v>3.9525234999999999</v>
      </c>
      <c r="I10389" s="816"/>
      <c r="J10389" s="817">
        <v>1.3834</v>
      </c>
      <c r="K10389" s="817"/>
      <c r="L10389" s="817"/>
    </row>
    <row r="10390" spans="1:12" ht="17.100000000000001" customHeight="1">
      <c r="A10390" s="626" t="s">
        <v>12709</v>
      </c>
      <c r="B10390" s="627" t="s">
        <v>13004</v>
      </c>
      <c r="C10390" s="626" t="s">
        <v>8</v>
      </c>
      <c r="D10390" s="626" t="s">
        <v>7388</v>
      </c>
      <c r="E10390" s="628" t="s">
        <v>23</v>
      </c>
      <c r="F10390" s="816" t="s">
        <v>13676</v>
      </c>
      <c r="G10390" s="816"/>
      <c r="H10390" s="816">
        <v>3.9525234999999999</v>
      </c>
      <c r="I10390" s="816"/>
      <c r="J10390" s="817">
        <v>8.6956000000000007</v>
      </c>
      <c r="K10390" s="817"/>
      <c r="L10390" s="817"/>
    </row>
    <row r="10391" spans="1:12" ht="24" customHeight="1">
      <c r="A10391" s="636"/>
      <c r="B10391" s="636"/>
      <c r="C10391" s="636"/>
      <c r="D10391" s="636"/>
      <c r="E10391" s="636"/>
      <c r="F10391" s="636"/>
      <c r="G10391" s="636"/>
      <c r="H10391" s="636"/>
      <c r="I10391" s="636"/>
      <c r="J10391" s="636" t="s">
        <v>13675</v>
      </c>
      <c r="K10391" s="636"/>
      <c r="L10391" s="636" t="s">
        <v>13761</v>
      </c>
    </row>
    <row r="10392" spans="1:12" ht="17.100000000000001" customHeight="1">
      <c r="A10392" s="612" t="s">
        <v>13673</v>
      </c>
      <c r="B10392" s="612"/>
      <c r="C10392" s="612"/>
      <c r="D10392" s="612"/>
      <c r="E10392" s="612"/>
      <c r="F10392" s="612"/>
      <c r="G10392" s="612"/>
      <c r="H10392" s="612"/>
      <c r="I10392" s="612"/>
      <c r="J10392" s="612"/>
      <c r="K10392" s="612"/>
      <c r="L10392" s="612"/>
    </row>
    <row r="10393" spans="1:12">
      <c r="A10393" s="636"/>
      <c r="B10393" s="636"/>
      <c r="C10393" s="636"/>
      <c r="D10393" s="636"/>
      <c r="E10393" s="636"/>
      <c r="F10393" s="636"/>
      <c r="G10393" s="636"/>
      <c r="H10393" s="636"/>
      <c r="I10393" s="636"/>
      <c r="J10393" s="636" t="s">
        <v>13672</v>
      </c>
      <c r="K10393" s="636"/>
      <c r="L10393" s="636" t="s">
        <v>15347</v>
      </c>
    </row>
    <row r="10394" spans="1:12" ht="17.100000000000001" customHeight="1">
      <c r="A10394" s="636"/>
      <c r="B10394" s="636"/>
      <c r="C10394" s="636"/>
      <c r="D10394" s="636"/>
      <c r="E10394" s="636"/>
      <c r="F10394" s="636"/>
      <c r="G10394" s="636"/>
      <c r="H10394" s="636"/>
      <c r="I10394" s="636"/>
      <c r="J10394" s="636" t="s">
        <v>13671</v>
      </c>
      <c r="K10394" s="636" t="s">
        <v>14461</v>
      </c>
      <c r="L10394" s="636" t="s">
        <v>15348</v>
      </c>
    </row>
    <row r="10395" spans="1:12" ht="24" customHeight="1">
      <c r="A10395" s="636"/>
      <c r="B10395" s="636"/>
      <c r="C10395" s="636"/>
      <c r="D10395" s="636"/>
      <c r="E10395" s="636"/>
      <c r="F10395" s="636"/>
      <c r="G10395" s="636"/>
      <c r="H10395" s="636"/>
      <c r="I10395" s="636"/>
      <c r="J10395" s="636" t="s">
        <v>13670</v>
      </c>
      <c r="K10395" s="636"/>
      <c r="L10395" s="636" t="s">
        <v>15349</v>
      </c>
    </row>
    <row r="10396" spans="1:12" ht="24" customHeight="1">
      <c r="A10396" s="636"/>
      <c r="B10396" s="636"/>
      <c r="C10396" s="636"/>
      <c r="D10396" s="636"/>
      <c r="E10396" s="636"/>
      <c r="F10396" s="636"/>
      <c r="G10396" s="636"/>
      <c r="H10396" s="636"/>
      <c r="I10396" s="636"/>
      <c r="J10396" s="636" t="s">
        <v>13669</v>
      </c>
      <c r="K10396" s="636" t="s">
        <v>13667</v>
      </c>
      <c r="L10396" s="636" t="s">
        <v>15225</v>
      </c>
    </row>
    <row r="10397" spans="1:12" ht="17.100000000000001" customHeight="1">
      <c r="A10397" s="636"/>
      <c r="B10397" s="636"/>
      <c r="C10397" s="636"/>
      <c r="D10397" s="636"/>
      <c r="E10397" s="636"/>
      <c r="F10397" s="636"/>
      <c r="G10397" s="636"/>
      <c r="H10397" s="636"/>
      <c r="I10397" s="636"/>
      <c r="J10397" s="636" t="s">
        <v>13668</v>
      </c>
      <c r="K10397" s="636"/>
      <c r="L10397" s="636" t="s">
        <v>15350</v>
      </c>
    </row>
    <row r="10398" spans="1:12">
      <c r="A10398" s="637"/>
      <c r="B10398" s="637"/>
      <c r="C10398" s="637"/>
      <c r="D10398" s="637"/>
      <c r="E10398" s="637"/>
      <c r="F10398" s="637"/>
      <c r="G10398" s="637"/>
      <c r="H10398" s="637"/>
      <c r="I10398" s="637"/>
      <c r="J10398" s="637"/>
      <c r="K10398" s="637"/>
      <c r="L10398" s="637"/>
    </row>
    <row r="10399" spans="1:12" ht="17.100000000000001" customHeight="1">
      <c r="A10399" s="616" t="s">
        <v>13760</v>
      </c>
      <c r="B10399" s="617" t="s">
        <v>13354</v>
      </c>
      <c r="C10399" s="616" t="s">
        <v>8</v>
      </c>
      <c r="D10399" s="616" t="s">
        <v>3322</v>
      </c>
      <c r="E10399" s="618" t="s">
        <v>12730</v>
      </c>
      <c r="F10399" s="617"/>
      <c r="G10399" s="617"/>
      <c r="H10399" s="617"/>
      <c r="I10399" s="617"/>
      <c r="J10399" s="617"/>
      <c r="K10399" s="617"/>
      <c r="L10399" s="617"/>
    </row>
    <row r="10400" spans="1:12" ht="24" customHeight="1">
      <c r="A10400" s="802" t="s">
        <v>12711</v>
      </c>
      <c r="B10400" s="802"/>
      <c r="C10400" s="802"/>
      <c r="D10400" s="802"/>
      <c r="E10400" s="802"/>
      <c r="F10400" s="802"/>
      <c r="G10400" s="802"/>
      <c r="H10400" s="802"/>
      <c r="I10400" s="612"/>
      <c r="J10400" s="612"/>
      <c r="K10400" s="612"/>
      <c r="L10400" s="612"/>
    </row>
    <row r="10401" spans="1:12" ht="17.100000000000001" customHeight="1">
      <c r="A10401" s="612" t="s">
        <v>13679</v>
      </c>
      <c r="B10401" s="636" t="s">
        <v>12698</v>
      </c>
      <c r="C10401" s="612" t="s">
        <v>12699</v>
      </c>
      <c r="D10401" s="612" t="s">
        <v>12700</v>
      </c>
      <c r="E10401" s="637" t="s">
        <v>12702</v>
      </c>
      <c r="F10401" s="801" t="s">
        <v>12704</v>
      </c>
      <c r="G10401" s="801"/>
      <c r="H10401" s="801" t="s">
        <v>13678</v>
      </c>
      <c r="I10401" s="801"/>
      <c r="J10401" s="801" t="s">
        <v>12705</v>
      </c>
      <c r="K10401" s="801"/>
      <c r="L10401" s="801"/>
    </row>
    <row r="10402" spans="1:12" ht="25.5">
      <c r="A10402" s="626" t="s">
        <v>12709</v>
      </c>
      <c r="B10402" s="627" t="s">
        <v>13268</v>
      </c>
      <c r="C10402" s="626" t="s">
        <v>8</v>
      </c>
      <c r="D10402" s="626" t="s">
        <v>8451</v>
      </c>
      <c r="E10402" s="628" t="s">
        <v>35</v>
      </c>
      <c r="F10402" s="816" t="s">
        <v>14506</v>
      </c>
      <c r="G10402" s="816"/>
      <c r="H10402" s="816">
        <v>5.8000000000000004E-6</v>
      </c>
      <c r="I10402" s="816"/>
      <c r="J10402" s="817">
        <v>6.3299999999999995E-2</v>
      </c>
      <c r="K10402" s="817"/>
      <c r="L10402" s="817"/>
    </row>
    <row r="10403" spans="1:12" ht="17.100000000000001" customHeight="1">
      <c r="A10403" s="626" t="s">
        <v>12709</v>
      </c>
      <c r="B10403" s="627" t="s">
        <v>13003</v>
      </c>
      <c r="C10403" s="626" t="s">
        <v>8</v>
      </c>
      <c r="D10403" s="626" t="s">
        <v>9227</v>
      </c>
      <c r="E10403" s="628" t="s">
        <v>23</v>
      </c>
      <c r="F10403" s="816" t="s">
        <v>13732</v>
      </c>
      <c r="G10403" s="816"/>
      <c r="H10403" s="816">
        <v>6.1941099999999999E-2</v>
      </c>
      <c r="I10403" s="816"/>
      <c r="J10403" s="817">
        <v>4.0899999999999999E-2</v>
      </c>
      <c r="K10403" s="817"/>
      <c r="L10403" s="817"/>
    </row>
    <row r="10404" spans="1:12" ht="24" customHeight="1">
      <c r="A10404" s="626" t="s">
        <v>12709</v>
      </c>
      <c r="B10404" s="627" t="s">
        <v>13001</v>
      </c>
      <c r="C10404" s="626" t="s">
        <v>8</v>
      </c>
      <c r="D10404" s="626" t="s">
        <v>9374</v>
      </c>
      <c r="E10404" s="628" t="s">
        <v>23</v>
      </c>
      <c r="F10404" s="816" t="s">
        <v>13728</v>
      </c>
      <c r="G10404" s="816"/>
      <c r="H10404" s="816">
        <v>6.1941099999999999E-2</v>
      </c>
      <c r="I10404" s="816"/>
      <c r="J10404" s="817">
        <v>5.9999999999999995E-4</v>
      </c>
      <c r="K10404" s="817"/>
      <c r="L10404" s="817"/>
    </row>
    <row r="10405" spans="1:12" ht="17.100000000000001" customHeight="1">
      <c r="A10405" s="626" t="s">
        <v>12709</v>
      </c>
      <c r="B10405" s="627" t="s">
        <v>13052</v>
      </c>
      <c r="C10405" s="626" t="s">
        <v>8</v>
      </c>
      <c r="D10405" s="626" t="s">
        <v>9229</v>
      </c>
      <c r="E10405" s="628" t="s">
        <v>23</v>
      </c>
      <c r="F10405" s="816" t="s">
        <v>13692</v>
      </c>
      <c r="G10405" s="816"/>
      <c r="H10405" s="816">
        <v>1.6704108</v>
      </c>
      <c r="I10405" s="816"/>
      <c r="J10405" s="817">
        <v>1.6035999999999999</v>
      </c>
      <c r="K10405" s="817"/>
      <c r="L10405" s="817"/>
    </row>
    <row r="10406" spans="1:12" ht="25.5">
      <c r="A10406" s="626" t="s">
        <v>12709</v>
      </c>
      <c r="B10406" s="627" t="s">
        <v>13051</v>
      </c>
      <c r="C10406" s="626" t="s">
        <v>8</v>
      </c>
      <c r="D10406" s="626" t="s">
        <v>9376</v>
      </c>
      <c r="E10406" s="628" t="s">
        <v>23</v>
      </c>
      <c r="F10406" s="816" t="s">
        <v>13691</v>
      </c>
      <c r="G10406" s="816"/>
      <c r="H10406" s="816">
        <v>1.6704108</v>
      </c>
      <c r="I10406" s="816"/>
      <c r="J10406" s="817">
        <v>0.83520000000000005</v>
      </c>
      <c r="K10406" s="817"/>
      <c r="L10406" s="817"/>
    </row>
    <row r="10407" spans="1:12" ht="17.100000000000001" customHeight="1">
      <c r="A10407" s="626" t="s">
        <v>12709</v>
      </c>
      <c r="B10407" s="627" t="s">
        <v>13048</v>
      </c>
      <c r="C10407" s="626" t="s">
        <v>8</v>
      </c>
      <c r="D10407" s="626" t="s">
        <v>9233</v>
      </c>
      <c r="E10407" s="628" t="s">
        <v>23</v>
      </c>
      <c r="F10407" s="816" t="s">
        <v>13690</v>
      </c>
      <c r="G10407" s="816"/>
      <c r="H10407" s="816">
        <v>2.5056161000000001</v>
      </c>
      <c r="I10407" s="816"/>
      <c r="J10407" s="817">
        <v>2.5556999999999999</v>
      </c>
      <c r="K10407" s="817"/>
      <c r="L10407" s="817"/>
    </row>
    <row r="10408" spans="1:12" ht="24" customHeight="1">
      <c r="A10408" s="626" t="s">
        <v>12709</v>
      </c>
      <c r="B10408" s="627" t="s">
        <v>13047</v>
      </c>
      <c r="C10408" s="626" t="s">
        <v>8</v>
      </c>
      <c r="D10408" s="626" t="s">
        <v>9380</v>
      </c>
      <c r="E10408" s="628" t="s">
        <v>23</v>
      </c>
      <c r="F10408" s="816" t="s">
        <v>13689</v>
      </c>
      <c r="G10408" s="816"/>
      <c r="H10408" s="816">
        <v>2.5056161000000001</v>
      </c>
      <c r="I10408" s="816"/>
      <c r="J10408" s="817">
        <v>0.95209999999999995</v>
      </c>
      <c r="K10408" s="817"/>
      <c r="L10408" s="817"/>
    </row>
    <row r="10409" spans="1:12" ht="24" customHeight="1">
      <c r="A10409" s="636"/>
      <c r="B10409" s="636"/>
      <c r="C10409" s="636"/>
      <c r="D10409" s="636"/>
      <c r="E10409" s="636"/>
      <c r="F10409" s="636"/>
      <c r="G10409" s="636"/>
      <c r="H10409" s="636"/>
      <c r="I10409" s="636"/>
      <c r="J10409" s="636" t="s">
        <v>13675</v>
      </c>
      <c r="K10409" s="636"/>
      <c r="L10409" s="636" t="s">
        <v>14204</v>
      </c>
    </row>
    <row r="10410" spans="1:12" ht="17.100000000000001" customHeight="1">
      <c r="A10410" s="802" t="s">
        <v>12710</v>
      </c>
      <c r="B10410" s="802"/>
      <c r="C10410" s="802"/>
      <c r="D10410" s="802"/>
      <c r="E10410" s="802"/>
      <c r="F10410" s="802"/>
      <c r="G10410" s="802"/>
      <c r="H10410" s="802"/>
      <c r="I10410" s="612"/>
      <c r="J10410" s="612"/>
      <c r="K10410" s="612"/>
      <c r="L10410" s="612"/>
    </row>
    <row r="10411" spans="1:12" ht="17.100000000000001" customHeight="1">
      <c r="A10411" s="612" t="s">
        <v>13679</v>
      </c>
      <c r="B10411" s="636" t="s">
        <v>12698</v>
      </c>
      <c r="C10411" s="612" t="s">
        <v>12699</v>
      </c>
      <c r="D10411" s="612" t="s">
        <v>12700</v>
      </c>
      <c r="E10411" s="637" t="s">
        <v>12702</v>
      </c>
      <c r="F10411" s="801" t="s">
        <v>12704</v>
      </c>
      <c r="G10411" s="801"/>
      <c r="H10411" s="801" t="s">
        <v>13678</v>
      </c>
      <c r="I10411" s="801"/>
      <c r="J10411" s="801" t="s">
        <v>12705</v>
      </c>
      <c r="K10411" s="801"/>
      <c r="L10411" s="801"/>
    </row>
    <row r="10412" spans="1:12" ht="17.100000000000001" customHeight="1">
      <c r="A10412" s="626" t="s">
        <v>12709</v>
      </c>
      <c r="B10412" s="627" t="s">
        <v>13103</v>
      </c>
      <c r="C10412" s="626" t="s">
        <v>8</v>
      </c>
      <c r="D10412" s="626" t="s">
        <v>10570</v>
      </c>
      <c r="E10412" s="628" t="s">
        <v>23</v>
      </c>
      <c r="F10412" s="816" t="s">
        <v>14289</v>
      </c>
      <c r="G10412" s="816"/>
      <c r="H10412" s="816">
        <v>6.2441099999999999E-2</v>
      </c>
      <c r="I10412" s="816"/>
      <c r="J10412" s="817">
        <v>0.31780000000000003</v>
      </c>
      <c r="K10412" s="817"/>
      <c r="L10412" s="817"/>
    </row>
    <row r="10413" spans="1:12" ht="17.100000000000001" customHeight="1">
      <c r="A10413" s="626" t="s">
        <v>12709</v>
      </c>
      <c r="B10413" s="627" t="s">
        <v>13099</v>
      </c>
      <c r="C10413" s="626" t="s">
        <v>8</v>
      </c>
      <c r="D10413" s="626" t="s">
        <v>10726</v>
      </c>
      <c r="E10413" s="628" t="s">
        <v>23</v>
      </c>
      <c r="F10413" s="816" t="s">
        <v>14470</v>
      </c>
      <c r="G10413" s="816"/>
      <c r="H10413" s="816">
        <v>1.6950879000000001</v>
      </c>
      <c r="I10413" s="816"/>
      <c r="J10413" s="817">
        <v>11.713100000000001</v>
      </c>
      <c r="K10413" s="817"/>
      <c r="L10413" s="817"/>
    </row>
    <row r="10414" spans="1:12" ht="17.100000000000001" customHeight="1">
      <c r="A10414" s="626" t="s">
        <v>12709</v>
      </c>
      <c r="B10414" s="627" t="s">
        <v>13046</v>
      </c>
      <c r="C10414" s="626" t="s">
        <v>8</v>
      </c>
      <c r="D10414" s="626" t="s">
        <v>11281</v>
      </c>
      <c r="E10414" s="628" t="s">
        <v>23</v>
      </c>
      <c r="F10414" s="816" t="s">
        <v>13731</v>
      </c>
      <c r="G10414" s="816"/>
      <c r="H10414" s="816">
        <v>2.5426318999999999</v>
      </c>
      <c r="I10414" s="816"/>
      <c r="J10414" s="817">
        <v>13.069100000000001</v>
      </c>
      <c r="K10414" s="817"/>
      <c r="L10414" s="817"/>
    </row>
    <row r="10415" spans="1:12" ht="17.100000000000001" customHeight="1">
      <c r="A10415" s="636"/>
      <c r="B10415" s="636"/>
      <c r="C10415" s="636"/>
      <c r="D10415" s="636"/>
      <c r="E10415" s="636"/>
      <c r="F10415" s="636"/>
      <c r="G10415" s="636"/>
      <c r="H10415" s="636"/>
      <c r="I10415" s="636"/>
      <c r="J10415" s="636" t="s">
        <v>13675</v>
      </c>
      <c r="K10415" s="636"/>
      <c r="L10415" s="636" t="s">
        <v>14505</v>
      </c>
    </row>
    <row r="10416" spans="1:12" ht="17.100000000000001" customHeight="1">
      <c r="A10416" s="802" t="s">
        <v>12720</v>
      </c>
      <c r="B10416" s="802"/>
      <c r="C10416" s="802"/>
      <c r="D10416" s="802"/>
      <c r="E10416" s="802"/>
      <c r="F10416" s="802"/>
      <c r="G10416" s="802"/>
      <c r="H10416" s="802"/>
      <c r="I10416" s="612"/>
      <c r="J10416" s="612"/>
      <c r="K10416" s="612"/>
      <c r="L10416" s="612"/>
    </row>
    <row r="10417" spans="1:12" ht="30" customHeight="1">
      <c r="A10417" s="612" t="s">
        <v>13679</v>
      </c>
      <c r="B10417" s="636" t="s">
        <v>12698</v>
      </c>
      <c r="C10417" s="612" t="s">
        <v>12699</v>
      </c>
      <c r="D10417" s="612" t="s">
        <v>12700</v>
      </c>
      <c r="E10417" s="637" t="s">
        <v>12702</v>
      </c>
      <c r="F10417" s="801" t="s">
        <v>12704</v>
      </c>
      <c r="G10417" s="801"/>
      <c r="H10417" s="801" t="s">
        <v>13678</v>
      </c>
      <c r="I10417" s="801"/>
      <c r="J10417" s="801" t="s">
        <v>12705</v>
      </c>
      <c r="K10417" s="801"/>
      <c r="L10417" s="801"/>
    </row>
    <row r="10418" spans="1:12" ht="36" customHeight="1">
      <c r="A10418" s="626" t="s">
        <v>12709</v>
      </c>
      <c r="B10418" s="627" t="s">
        <v>13250</v>
      </c>
      <c r="C10418" s="626" t="s">
        <v>8</v>
      </c>
      <c r="D10418" s="626" t="s">
        <v>7526</v>
      </c>
      <c r="E10418" s="628" t="s">
        <v>12730</v>
      </c>
      <c r="F10418" s="816" t="s">
        <v>13747</v>
      </c>
      <c r="G10418" s="816"/>
      <c r="H10418" s="816">
        <v>1.1000000000000001</v>
      </c>
      <c r="I10418" s="816"/>
      <c r="J10418" s="817">
        <v>68.75</v>
      </c>
      <c r="K10418" s="817"/>
      <c r="L10418" s="817"/>
    </row>
    <row r="10419" spans="1:12" ht="14.25" customHeight="1">
      <c r="A10419" s="626" t="s">
        <v>12709</v>
      </c>
      <c r="B10419" s="627" t="s">
        <v>13266</v>
      </c>
      <c r="C10419" s="626" t="s">
        <v>8</v>
      </c>
      <c r="D10419" s="626" t="s">
        <v>9514</v>
      </c>
      <c r="E10419" s="628" t="s">
        <v>58</v>
      </c>
      <c r="F10419" s="816" t="s">
        <v>14009</v>
      </c>
      <c r="G10419" s="816"/>
      <c r="H10419" s="816">
        <v>3.2928699999999998E-2</v>
      </c>
      <c r="I10419" s="816"/>
      <c r="J10419" s="817">
        <v>0.12379999999999999</v>
      </c>
      <c r="K10419" s="817"/>
      <c r="L10419" s="817"/>
    </row>
    <row r="10420" spans="1:12" ht="17.100000000000001" customHeight="1">
      <c r="A10420" s="636"/>
      <c r="B10420" s="636"/>
      <c r="C10420" s="636"/>
      <c r="D10420" s="636"/>
      <c r="E10420" s="636"/>
      <c r="F10420" s="636"/>
      <c r="G10420" s="636"/>
      <c r="H10420" s="636"/>
      <c r="I10420" s="636"/>
      <c r="J10420" s="636" t="s">
        <v>13675</v>
      </c>
      <c r="K10420" s="636"/>
      <c r="L10420" s="636" t="s">
        <v>14504</v>
      </c>
    </row>
    <row r="10421" spans="1:12" ht="24" customHeight="1">
      <c r="A10421" s="802" t="s">
        <v>12722</v>
      </c>
      <c r="B10421" s="802"/>
      <c r="C10421" s="802"/>
      <c r="D10421" s="802"/>
      <c r="E10421" s="802"/>
      <c r="F10421" s="802"/>
      <c r="G10421" s="802"/>
      <c r="H10421" s="802"/>
      <c r="I10421" s="612"/>
      <c r="J10421" s="612"/>
      <c r="K10421" s="612"/>
      <c r="L10421" s="612"/>
    </row>
    <row r="10422" spans="1:12" ht="24" customHeight="1">
      <c r="A10422" s="612" t="s">
        <v>13679</v>
      </c>
      <c r="B10422" s="636" t="s">
        <v>12698</v>
      </c>
      <c r="C10422" s="612" t="s">
        <v>12699</v>
      </c>
      <c r="D10422" s="612" t="s">
        <v>12700</v>
      </c>
      <c r="E10422" s="637" t="s">
        <v>12702</v>
      </c>
      <c r="F10422" s="801" t="s">
        <v>12704</v>
      </c>
      <c r="G10422" s="801"/>
      <c r="H10422" s="801" t="s">
        <v>13678</v>
      </c>
      <c r="I10422" s="801"/>
      <c r="J10422" s="801" t="s">
        <v>12705</v>
      </c>
      <c r="K10422" s="801"/>
      <c r="L10422" s="801"/>
    </row>
    <row r="10423" spans="1:12" ht="24" customHeight="1">
      <c r="A10423" s="626" t="s">
        <v>12709</v>
      </c>
      <c r="B10423" s="627" t="s">
        <v>12998</v>
      </c>
      <c r="C10423" s="626" t="s">
        <v>8</v>
      </c>
      <c r="D10423" s="626" t="s">
        <v>11861</v>
      </c>
      <c r="E10423" s="628" t="s">
        <v>23</v>
      </c>
      <c r="F10423" s="816" t="s">
        <v>13683</v>
      </c>
      <c r="G10423" s="816"/>
      <c r="H10423" s="816">
        <v>4.2379680000000004</v>
      </c>
      <c r="I10423" s="816"/>
      <c r="J10423" s="817">
        <v>3.0089999999999999</v>
      </c>
      <c r="K10423" s="817"/>
      <c r="L10423" s="817"/>
    </row>
    <row r="10424" spans="1:12" ht="24" customHeight="1">
      <c r="A10424" s="636"/>
      <c r="B10424" s="636"/>
      <c r="C10424" s="636"/>
      <c r="D10424" s="636"/>
      <c r="E10424" s="636"/>
      <c r="F10424" s="636"/>
      <c r="G10424" s="636"/>
      <c r="H10424" s="636"/>
      <c r="I10424" s="636"/>
      <c r="J10424" s="636" t="s">
        <v>13675</v>
      </c>
      <c r="K10424" s="636"/>
      <c r="L10424" s="636" t="s">
        <v>13759</v>
      </c>
    </row>
    <row r="10425" spans="1:12" ht="17.100000000000001" customHeight="1">
      <c r="A10425" s="802" t="s">
        <v>12713</v>
      </c>
      <c r="B10425" s="802"/>
      <c r="C10425" s="802"/>
      <c r="D10425" s="802"/>
      <c r="E10425" s="802"/>
      <c r="F10425" s="802"/>
      <c r="G10425" s="802"/>
      <c r="H10425" s="802"/>
      <c r="I10425" s="612"/>
      <c r="J10425" s="612"/>
      <c r="K10425" s="612"/>
      <c r="L10425" s="612"/>
    </row>
    <row r="10426" spans="1:12" ht="14.25" customHeight="1">
      <c r="A10426" s="612" t="s">
        <v>13679</v>
      </c>
      <c r="B10426" s="636" t="s">
        <v>12698</v>
      </c>
      <c r="C10426" s="612" t="s">
        <v>12699</v>
      </c>
      <c r="D10426" s="612" t="s">
        <v>12700</v>
      </c>
      <c r="E10426" s="637" t="s">
        <v>12702</v>
      </c>
      <c r="F10426" s="801" t="s">
        <v>12704</v>
      </c>
      <c r="G10426" s="801"/>
      <c r="H10426" s="801" t="s">
        <v>13678</v>
      </c>
      <c r="I10426" s="801"/>
      <c r="J10426" s="801" t="s">
        <v>12705</v>
      </c>
      <c r="K10426" s="801"/>
      <c r="L10426" s="801"/>
    </row>
    <row r="10427" spans="1:12" ht="17.100000000000001" customHeight="1">
      <c r="A10427" s="626" t="s">
        <v>12709</v>
      </c>
      <c r="B10427" s="627" t="s">
        <v>12999</v>
      </c>
      <c r="C10427" s="626" t="s">
        <v>8</v>
      </c>
      <c r="D10427" s="626" t="s">
        <v>11251</v>
      </c>
      <c r="E10427" s="628" t="s">
        <v>23</v>
      </c>
      <c r="F10427" s="816" t="s">
        <v>13681</v>
      </c>
      <c r="G10427" s="816"/>
      <c r="H10427" s="816">
        <v>4.2379680000000004</v>
      </c>
      <c r="I10427" s="816"/>
      <c r="J10427" s="817">
        <v>0.29670000000000002</v>
      </c>
      <c r="K10427" s="817"/>
      <c r="L10427" s="817"/>
    </row>
    <row r="10428" spans="1:12" ht="24" customHeight="1">
      <c r="A10428" s="636"/>
      <c r="B10428" s="636"/>
      <c r="C10428" s="636"/>
      <c r="D10428" s="636"/>
      <c r="E10428" s="636"/>
      <c r="F10428" s="636"/>
      <c r="G10428" s="636"/>
      <c r="H10428" s="636"/>
      <c r="I10428" s="636"/>
      <c r="J10428" s="636" t="s">
        <v>13675</v>
      </c>
      <c r="K10428" s="636"/>
      <c r="L10428" s="636" t="s">
        <v>13758</v>
      </c>
    </row>
    <row r="10429" spans="1:12" ht="24" customHeight="1">
      <c r="A10429" s="802" t="s">
        <v>12712</v>
      </c>
      <c r="B10429" s="802"/>
      <c r="C10429" s="802"/>
      <c r="D10429" s="802"/>
      <c r="E10429" s="802"/>
      <c r="F10429" s="802"/>
      <c r="G10429" s="802"/>
      <c r="H10429" s="802"/>
      <c r="I10429" s="612"/>
      <c r="J10429" s="612"/>
      <c r="K10429" s="612"/>
      <c r="L10429" s="612"/>
    </row>
    <row r="10430" spans="1:12" ht="17.100000000000001" customHeight="1">
      <c r="A10430" s="612" t="s">
        <v>13679</v>
      </c>
      <c r="B10430" s="636" t="s">
        <v>12698</v>
      </c>
      <c r="C10430" s="612" t="s">
        <v>12699</v>
      </c>
      <c r="D10430" s="612" t="s">
        <v>12700</v>
      </c>
      <c r="E10430" s="637" t="s">
        <v>12702</v>
      </c>
      <c r="F10430" s="801" t="s">
        <v>12704</v>
      </c>
      <c r="G10430" s="801"/>
      <c r="H10430" s="801" t="s">
        <v>13678</v>
      </c>
      <c r="I10430" s="801"/>
      <c r="J10430" s="801" t="s">
        <v>12705</v>
      </c>
      <c r="K10430" s="801"/>
      <c r="L10430" s="801"/>
    </row>
    <row r="10431" spans="1:12" ht="25.5">
      <c r="A10431" s="626" t="s">
        <v>12709</v>
      </c>
      <c r="B10431" s="627" t="s">
        <v>13002</v>
      </c>
      <c r="C10431" s="626" t="s">
        <v>8</v>
      </c>
      <c r="D10431" s="626" t="s">
        <v>9306</v>
      </c>
      <c r="E10431" s="628" t="s">
        <v>23</v>
      </c>
      <c r="F10431" s="816" t="s">
        <v>13677</v>
      </c>
      <c r="G10431" s="816"/>
      <c r="H10431" s="816">
        <v>4.2379680000000004</v>
      </c>
      <c r="I10431" s="816"/>
      <c r="J10431" s="817">
        <v>1.4833000000000001</v>
      </c>
      <c r="K10431" s="817"/>
      <c r="L10431" s="817"/>
    </row>
    <row r="10432" spans="1:12" ht="17.100000000000001" customHeight="1">
      <c r="A10432" s="626" t="s">
        <v>12709</v>
      </c>
      <c r="B10432" s="627" t="s">
        <v>13004</v>
      </c>
      <c r="C10432" s="626" t="s">
        <v>8</v>
      </c>
      <c r="D10432" s="626" t="s">
        <v>7388</v>
      </c>
      <c r="E10432" s="628" t="s">
        <v>23</v>
      </c>
      <c r="F10432" s="816" t="s">
        <v>13676</v>
      </c>
      <c r="G10432" s="816"/>
      <c r="H10432" s="816">
        <v>4.2379680000000004</v>
      </c>
      <c r="I10432" s="816"/>
      <c r="J10432" s="817">
        <v>9.3234999999999992</v>
      </c>
      <c r="K10432" s="817"/>
      <c r="L10432" s="817"/>
    </row>
    <row r="10433" spans="1:12" ht="24" customHeight="1">
      <c r="A10433" s="636"/>
      <c r="B10433" s="636"/>
      <c r="C10433" s="636"/>
      <c r="D10433" s="636"/>
      <c r="E10433" s="636"/>
      <c r="F10433" s="636"/>
      <c r="G10433" s="636"/>
      <c r="H10433" s="636"/>
      <c r="I10433" s="636"/>
      <c r="J10433" s="636" t="s">
        <v>13675</v>
      </c>
      <c r="K10433" s="636"/>
      <c r="L10433" s="636" t="s">
        <v>13757</v>
      </c>
    </row>
    <row r="10434" spans="1:12" ht="17.100000000000001" customHeight="1">
      <c r="A10434" s="612" t="s">
        <v>13673</v>
      </c>
      <c r="B10434" s="612"/>
      <c r="C10434" s="612"/>
      <c r="D10434" s="612"/>
      <c r="E10434" s="612"/>
      <c r="F10434" s="612"/>
      <c r="G10434" s="612"/>
      <c r="H10434" s="612"/>
      <c r="I10434" s="612"/>
      <c r="J10434" s="612"/>
      <c r="K10434" s="612"/>
      <c r="L10434" s="612"/>
    </row>
    <row r="10435" spans="1:12">
      <c r="A10435" s="636"/>
      <c r="B10435" s="636"/>
      <c r="C10435" s="636"/>
      <c r="D10435" s="636"/>
      <c r="E10435" s="636"/>
      <c r="F10435" s="636"/>
      <c r="G10435" s="636"/>
      <c r="H10435" s="636"/>
      <c r="I10435" s="636"/>
      <c r="J10435" s="636" t="s">
        <v>13672</v>
      </c>
      <c r="K10435" s="636"/>
      <c r="L10435" s="636" t="s">
        <v>15698</v>
      </c>
    </row>
    <row r="10436" spans="1:12" ht="17.100000000000001" customHeight="1">
      <c r="A10436" s="636"/>
      <c r="B10436" s="636"/>
      <c r="C10436" s="636"/>
      <c r="D10436" s="636"/>
      <c r="E10436" s="636"/>
      <c r="F10436" s="636"/>
      <c r="G10436" s="636"/>
      <c r="H10436" s="636"/>
      <c r="I10436" s="636"/>
      <c r="J10436" s="636" t="s">
        <v>13671</v>
      </c>
      <c r="K10436" s="636" t="s">
        <v>14461</v>
      </c>
      <c r="L10436" s="636" t="s">
        <v>15699</v>
      </c>
    </row>
    <row r="10437" spans="1:12" ht="24" customHeight="1">
      <c r="A10437" s="636"/>
      <c r="B10437" s="636"/>
      <c r="C10437" s="636"/>
      <c r="D10437" s="636"/>
      <c r="E10437" s="636"/>
      <c r="F10437" s="636"/>
      <c r="G10437" s="636"/>
      <c r="H10437" s="636"/>
      <c r="I10437" s="636"/>
      <c r="J10437" s="636" t="s">
        <v>13670</v>
      </c>
      <c r="K10437" s="636"/>
      <c r="L10437" s="636" t="s">
        <v>15700</v>
      </c>
    </row>
    <row r="10438" spans="1:12" ht="17.100000000000001" customHeight="1">
      <c r="A10438" s="636"/>
      <c r="B10438" s="636"/>
      <c r="C10438" s="636"/>
      <c r="D10438" s="636"/>
      <c r="E10438" s="636"/>
      <c r="F10438" s="636"/>
      <c r="G10438" s="636"/>
      <c r="H10438" s="636"/>
      <c r="I10438" s="636"/>
      <c r="J10438" s="636" t="s">
        <v>13669</v>
      </c>
      <c r="K10438" s="636" t="s">
        <v>13667</v>
      </c>
      <c r="L10438" s="636" t="s">
        <v>15701</v>
      </c>
    </row>
    <row r="10439" spans="1:12">
      <c r="A10439" s="636"/>
      <c r="B10439" s="636"/>
      <c r="C10439" s="636"/>
      <c r="D10439" s="636"/>
      <c r="E10439" s="636"/>
      <c r="F10439" s="636"/>
      <c r="G10439" s="636"/>
      <c r="H10439" s="636"/>
      <c r="I10439" s="636"/>
      <c r="J10439" s="636" t="s">
        <v>13668</v>
      </c>
      <c r="K10439" s="636"/>
      <c r="L10439" s="636" t="s">
        <v>15702</v>
      </c>
    </row>
    <row r="10440" spans="1:12" ht="17.100000000000001" customHeight="1">
      <c r="A10440" s="637"/>
      <c r="B10440" s="637"/>
      <c r="C10440" s="637"/>
      <c r="D10440" s="637"/>
      <c r="E10440" s="637"/>
      <c r="F10440" s="637"/>
      <c r="G10440" s="637"/>
      <c r="H10440" s="637"/>
      <c r="I10440" s="637"/>
      <c r="J10440" s="637"/>
      <c r="K10440" s="637"/>
      <c r="L10440" s="637"/>
    </row>
    <row r="10441" spans="1:12" ht="24" customHeight="1">
      <c r="A10441" s="616" t="s">
        <v>13756</v>
      </c>
      <c r="B10441" s="617" t="s">
        <v>13618</v>
      </c>
      <c r="C10441" s="616" t="s">
        <v>8</v>
      </c>
      <c r="D10441" s="616" t="s">
        <v>4002</v>
      </c>
      <c r="E10441" s="618" t="s">
        <v>12725</v>
      </c>
      <c r="F10441" s="617"/>
      <c r="G10441" s="617"/>
      <c r="H10441" s="617"/>
      <c r="I10441" s="617"/>
      <c r="J10441" s="617"/>
      <c r="K10441" s="617"/>
      <c r="L10441" s="617"/>
    </row>
    <row r="10442" spans="1:12" ht="17.100000000000001" customHeight="1">
      <c r="A10442" s="802" t="s">
        <v>12711</v>
      </c>
      <c r="B10442" s="802"/>
      <c r="C10442" s="802"/>
      <c r="D10442" s="802"/>
      <c r="E10442" s="802"/>
      <c r="F10442" s="802"/>
      <c r="G10442" s="802"/>
      <c r="H10442" s="802"/>
      <c r="I10442" s="612"/>
      <c r="J10442" s="612"/>
      <c r="K10442" s="612"/>
      <c r="L10442" s="612"/>
    </row>
    <row r="10443" spans="1:12">
      <c r="A10443" s="612" t="s">
        <v>13679</v>
      </c>
      <c r="B10443" s="636" t="s">
        <v>12698</v>
      </c>
      <c r="C10443" s="612" t="s">
        <v>12699</v>
      </c>
      <c r="D10443" s="612" t="s">
        <v>12700</v>
      </c>
      <c r="E10443" s="637" t="s">
        <v>12702</v>
      </c>
      <c r="F10443" s="801" t="s">
        <v>12704</v>
      </c>
      <c r="G10443" s="801"/>
      <c r="H10443" s="801" t="s">
        <v>13678</v>
      </c>
      <c r="I10443" s="801"/>
      <c r="J10443" s="801" t="s">
        <v>12705</v>
      </c>
      <c r="K10443" s="801"/>
      <c r="L10443" s="801"/>
    </row>
    <row r="10444" spans="1:12" ht="17.100000000000001" customHeight="1">
      <c r="A10444" s="626" t="s">
        <v>12709</v>
      </c>
      <c r="B10444" s="627" t="s">
        <v>13003</v>
      </c>
      <c r="C10444" s="626" t="s">
        <v>8</v>
      </c>
      <c r="D10444" s="626" t="s">
        <v>9227</v>
      </c>
      <c r="E10444" s="628" t="s">
        <v>23</v>
      </c>
      <c r="F10444" s="816" t="s">
        <v>13732</v>
      </c>
      <c r="G10444" s="816"/>
      <c r="H10444" s="816">
        <v>3.0922100000000001E-2</v>
      </c>
      <c r="I10444" s="816"/>
      <c r="J10444" s="817">
        <v>2.0400000000000001E-2</v>
      </c>
      <c r="K10444" s="817"/>
      <c r="L10444" s="817"/>
    </row>
    <row r="10445" spans="1:12" ht="24" customHeight="1">
      <c r="A10445" s="626" t="s">
        <v>12709</v>
      </c>
      <c r="B10445" s="627" t="s">
        <v>13001</v>
      </c>
      <c r="C10445" s="626" t="s">
        <v>8</v>
      </c>
      <c r="D10445" s="626" t="s">
        <v>9374</v>
      </c>
      <c r="E10445" s="628" t="s">
        <v>23</v>
      </c>
      <c r="F10445" s="816" t="s">
        <v>13728</v>
      </c>
      <c r="G10445" s="816"/>
      <c r="H10445" s="816">
        <v>3.0922100000000001E-2</v>
      </c>
      <c r="I10445" s="816"/>
      <c r="J10445" s="817">
        <v>2.9999999999999997E-4</v>
      </c>
      <c r="K10445" s="817"/>
      <c r="L10445" s="817"/>
    </row>
    <row r="10446" spans="1:12" ht="24" customHeight="1">
      <c r="A10446" s="626" t="s">
        <v>12709</v>
      </c>
      <c r="B10446" s="627" t="s">
        <v>13032</v>
      </c>
      <c r="C10446" s="626" t="s">
        <v>8</v>
      </c>
      <c r="D10446" s="626" t="s">
        <v>9217</v>
      </c>
      <c r="E10446" s="628" t="s">
        <v>23</v>
      </c>
      <c r="F10446" s="816" t="s">
        <v>13741</v>
      </c>
      <c r="G10446" s="816"/>
      <c r="H10446" s="816">
        <v>1.611939</v>
      </c>
      <c r="I10446" s="816"/>
      <c r="J10446" s="817">
        <v>1.7408999999999999</v>
      </c>
      <c r="K10446" s="817"/>
      <c r="L10446" s="817"/>
    </row>
    <row r="10447" spans="1:12" ht="17.100000000000001" customHeight="1">
      <c r="A10447" s="626" t="s">
        <v>12709</v>
      </c>
      <c r="B10447" s="627" t="s">
        <v>13031</v>
      </c>
      <c r="C10447" s="626" t="s">
        <v>8</v>
      </c>
      <c r="D10447" s="626" t="s">
        <v>9364</v>
      </c>
      <c r="E10447" s="628" t="s">
        <v>23</v>
      </c>
      <c r="F10447" s="816" t="s">
        <v>13740</v>
      </c>
      <c r="G10447" s="816"/>
      <c r="H10447" s="816">
        <v>1.611939</v>
      </c>
      <c r="I10447" s="816"/>
      <c r="J10447" s="817">
        <v>0.54810000000000003</v>
      </c>
      <c r="K10447" s="817"/>
      <c r="L10447" s="817"/>
    </row>
    <row r="10448" spans="1:12" ht="17.100000000000001" customHeight="1">
      <c r="A10448" s="636"/>
      <c r="B10448" s="636"/>
      <c r="C10448" s="636"/>
      <c r="D10448" s="636"/>
      <c r="E10448" s="636"/>
      <c r="F10448" s="636"/>
      <c r="G10448" s="636"/>
      <c r="H10448" s="636"/>
      <c r="I10448" s="636"/>
      <c r="J10448" s="636" t="s">
        <v>13675</v>
      </c>
      <c r="K10448" s="636"/>
      <c r="L10448" s="636" t="s">
        <v>13755</v>
      </c>
    </row>
    <row r="10449" spans="1:12" ht="17.100000000000001" customHeight="1">
      <c r="A10449" s="802" t="s">
        <v>12710</v>
      </c>
      <c r="B10449" s="802"/>
      <c r="C10449" s="802"/>
      <c r="D10449" s="802"/>
      <c r="E10449" s="802"/>
      <c r="F10449" s="802"/>
      <c r="G10449" s="802"/>
      <c r="H10449" s="802"/>
      <c r="I10449" s="612"/>
      <c r="J10449" s="612"/>
      <c r="K10449" s="612"/>
      <c r="L10449" s="612"/>
    </row>
    <row r="10450" spans="1:12" ht="17.100000000000001" customHeight="1">
      <c r="A10450" s="612" t="s">
        <v>13679</v>
      </c>
      <c r="B10450" s="636" t="s">
        <v>12698</v>
      </c>
      <c r="C10450" s="612" t="s">
        <v>12699</v>
      </c>
      <c r="D10450" s="612" t="s">
        <v>12700</v>
      </c>
      <c r="E10450" s="637" t="s">
        <v>12702</v>
      </c>
      <c r="F10450" s="801" t="s">
        <v>12704</v>
      </c>
      <c r="G10450" s="801"/>
      <c r="H10450" s="801" t="s">
        <v>13678</v>
      </c>
      <c r="I10450" s="801"/>
      <c r="J10450" s="801" t="s">
        <v>12705</v>
      </c>
      <c r="K10450" s="801"/>
      <c r="L10450" s="801"/>
    </row>
    <row r="10451" spans="1:12" ht="17.100000000000001" customHeight="1">
      <c r="A10451" s="626" t="s">
        <v>12709</v>
      </c>
      <c r="B10451" s="627" t="s">
        <v>13103</v>
      </c>
      <c r="C10451" s="626" t="s">
        <v>8</v>
      </c>
      <c r="D10451" s="626" t="s">
        <v>10570</v>
      </c>
      <c r="E10451" s="628" t="s">
        <v>23</v>
      </c>
      <c r="F10451" s="816" t="s">
        <v>14289</v>
      </c>
      <c r="G10451" s="816"/>
      <c r="H10451" s="816">
        <v>3.1223899999999999E-2</v>
      </c>
      <c r="I10451" s="816"/>
      <c r="J10451" s="817">
        <v>0.15890000000000001</v>
      </c>
      <c r="K10451" s="817"/>
      <c r="L10451" s="817"/>
    </row>
    <row r="10452" spans="1:12" ht="17.100000000000001" customHeight="1">
      <c r="A10452" s="626" t="s">
        <v>12709</v>
      </c>
      <c r="B10452" s="627" t="s">
        <v>13228</v>
      </c>
      <c r="C10452" s="626" t="s">
        <v>8</v>
      </c>
      <c r="D10452" s="626" t="s">
        <v>8289</v>
      </c>
      <c r="E10452" s="628" t="s">
        <v>23</v>
      </c>
      <c r="F10452" s="816" t="s">
        <v>14199</v>
      </c>
      <c r="G10452" s="816"/>
      <c r="H10452" s="816">
        <v>0.47548499999999999</v>
      </c>
      <c r="I10452" s="816"/>
      <c r="J10452" s="817">
        <v>2.5865999999999998</v>
      </c>
      <c r="K10452" s="817"/>
      <c r="L10452" s="817"/>
    </row>
    <row r="10453" spans="1:12" ht="17.100000000000001" customHeight="1">
      <c r="A10453" s="626" t="s">
        <v>12709</v>
      </c>
      <c r="B10453" s="627" t="s">
        <v>13212</v>
      </c>
      <c r="C10453" s="626" t="s">
        <v>8</v>
      </c>
      <c r="D10453" s="626" t="s">
        <v>8293</v>
      </c>
      <c r="E10453" s="628" t="s">
        <v>23</v>
      </c>
      <c r="F10453" s="816" t="s">
        <v>14470</v>
      </c>
      <c r="G10453" s="816"/>
      <c r="H10453" s="816">
        <v>1.1532712000000001</v>
      </c>
      <c r="I10453" s="816"/>
      <c r="J10453" s="817">
        <v>7.9691000000000001</v>
      </c>
      <c r="K10453" s="817"/>
      <c r="L10453" s="817"/>
    </row>
    <row r="10454" spans="1:12" ht="30" customHeight="1">
      <c r="A10454" s="636"/>
      <c r="B10454" s="636"/>
      <c r="C10454" s="636"/>
      <c r="D10454" s="636"/>
      <c r="E10454" s="636"/>
      <c r="F10454" s="636"/>
      <c r="G10454" s="636"/>
      <c r="H10454" s="636"/>
      <c r="I10454" s="636"/>
      <c r="J10454" s="636" t="s">
        <v>13675</v>
      </c>
      <c r="K10454" s="636"/>
      <c r="L10454" s="636" t="s">
        <v>14503</v>
      </c>
    </row>
    <row r="10455" spans="1:12" ht="24" customHeight="1">
      <c r="A10455" s="802" t="s">
        <v>12720</v>
      </c>
      <c r="B10455" s="802"/>
      <c r="C10455" s="802"/>
      <c r="D10455" s="802"/>
      <c r="E10455" s="802"/>
      <c r="F10455" s="802"/>
      <c r="G10455" s="802"/>
      <c r="H10455" s="802"/>
      <c r="I10455" s="612"/>
      <c r="J10455" s="612"/>
      <c r="K10455" s="612"/>
      <c r="L10455" s="612"/>
    </row>
    <row r="10456" spans="1:12" ht="14.25" customHeight="1">
      <c r="A10456" s="612" t="s">
        <v>13679</v>
      </c>
      <c r="B10456" s="636" t="s">
        <v>12698</v>
      </c>
      <c r="C10456" s="612" t="s">
        <v>12699</v>
      </c>
      <c r="D10456" s="612" t="s">
        <v>12700</v>
      </c>
      <c r="E10456" s="637" t="s">
        <v>12702</v>
      </c>
      <c r="F10456" s="801" t="s">
        <v>12704</v>
      </c>
      <c r="G10456" s="801"/>
      <c r="H10456" s="801" t="s">
        <v>13678</v>
      </c>
      <c r="I10456" s="801"/>
      <c r="J10456" s="801" t="s">
        <v>12705</v>
      </c>
      <c r="K10456" s="801"/>
      <c r="L10456" s="801"/>
    </row>
    <row r="10457" spans="1:12" ht="17.100000000000001" customHeight="1">
      <c r="A10457" s="626" t="s">
        <v>12709</v>
      </c>
      <c r="B10457" s="627" t="s">
        <v>13093</v>
      </c>
      <c r="C10457" s="626" t="s">
        <v>8</v>
      </c>
      <c r="D10457" s="626" t="s">
        <v>8980</v>
      </c>
      <c r="E10457" s="628" t="s">
        <v>58</v>
      </c>
      <c r="F10457" s="816" t="s">
        <v>14502</v>
      </c>
      <c r="G10457" s="816"/>
      <c r="H10457" s="816">
        <v>1.7000000000000001E-2</v>
      </c>
      <c r="I10457" s="816"/>
      <c r="J10457" s="817">
        <v>0.08</v>
      </c>
      <c r="K10457" s="817"/>
      <c r="L10457" s="817"/>
    </row>
    <row r="10458" spans="1:12" ht="24" customHeight="1">
      <c r="A10458" s="626" t="s">
        <v>12709</v>
      </c>
      <c r="B10458" s="627" t="s">
        <v>13613</v>
      </c>
      <c r="C10458" s="626" t="s">
        <v>8</v>
      </c>
      <c r="D10458" s="626" t="s">
        <v>11000</v>
      </c>
      <c r="E10458" s="628" t="s">
        <v>20</v>
      </c>
      <c r="F10458" s="816" t="s">
        <v>13753</v>
      </c>
      <c r="G10458" s="816"/>
      <c r="H10458" s="816">
        <v>3.4000000000000002E-2</v>
      </c>
      <c r="I10458" s="816"/>
      <c r="J10458" s="817">
        <v>0.46</v>
      </c>
      <c r="K10458" s="817"/>
      <c r="L10458" s="817"/>
    </row>
    <row r="10459" spans="1:12" ht="24" customHeight="1">
      <c r="A10459" s="626" t="s">
        <v>12709</v>
      </c>
      <c r="B10459" s="627" t="s">
        <v>13617</v>
      </c>
      <c r="C10459" s="626" t="s">
        <v>8</v>
      </c>
      <c r="D10459" s="626" t="s">
        <v>11010</v>
      </c>
      <c r="E10459" s="628" t="s">
        <v>20</v>
      </c>
      <c r="F10459" s="816" t="s">
        <v>13752</v>
      </c>
      <c r="G10459" s="816"/>
      <c r="H10459" s="816">
        <v>2.5999999999999999E-2</v>
      </c>
      <c r="I10459" s="816"/>
      <c r="J10459" s="817">
        <v>0.28999999999999998</v>
      </c>
      <c r="K10459" s="817"/>
      <c r="L10459" s="817"/>
    </row>
    <row r="10460" spans="1:12" ht="24" customHeight="1">
      <c r="A10460" s="626" t="s">
        <v>12709</v>
      </c>
      <c r="B10460" s="627" t="s">
        <v>13091</v>
      </c>
      <c r="C10460" s="626" t="s">
        <v>8</v>
      </c>
      <c r="D10460" s="626" t="s">
        <v>11248</v>
      </c>
      <c r="E10460" s="628" t="s">
        <v>17</v>
      </c>
      <c r="F10460" s="816" t="s">
        <v>14501</v>
      </c>
      <c r="G10460" s="816"/>
      <c r="H10460" s="816">
        <v>0.56699999999999995</v>
      </c>
      <c r="I10460" s="816"/>
      <c r="J10460" s="817">
        <v>1.1299999999999999</v>
      </c>
      <c r="K10460" s="817"/>
      <c r="L10460" s="817"/>
    </row>
    <row r="10461" spans="1:12" ht="24" customHeight="1">
      <c r="A10461" s="626" t="s">
        <v>12709</v>
      </c>
      <c r="B10461" s="627" t="s">
        <v>13189</v>
      </c>
      <c r="C10461" s="626" t="s">
        <v>8</v>
      </c>
      <c r="D10461" s="626" t="s">
        <v>11363</v>
      </c>
      <c r="E10461" s="628" t="s">
        <v>17</v>
      </c>
      <c r="F10461" s="816" t="s">
        <v>14500</v>
      </c>
      <c r="G10461" s="816"/>
      <c r="H10461" s="816">
        <v>1.008</v>
      </c>
      <c r="I10461" s="816"/>
      <c r="J10461" s="817">
        <v>8.8000000000000007</v>
      </c>
      <c r="K10461" s="817"/>
      <c r="L10461" s="817"/>
    </row>
    <row r="10462" spans="1:12" ht="17.100000000000001" customHeight="1">
      <c r="A10462" s="626" t="s">
        <v>12709</v>
      </c>
      <c r="B10462" s="627" t="s">
        <v>13194</v>
      </c>
      <c r="C10462" s="626" t="s">
        <v>8</v>
      </c>
      <c r="D10462" s="626" t="s">
        <v>10900</v>
      </c>
      <c r="E10462" s="628" t="s">
        <v>17</v>
      </c>
      <c r="F10462" s="816" t="s">
        <v>14499</v>
      </c>
      <c r="G10462" s="816"/>
      <c r="H10462" s="816">
        <v>0.60499999999999998</v>
      </c>
      <c r="I10462" s="816"/>
      <c r="J10462" s="817">
        <v>3.36</v>
      </c>
      <c r="K10462" s="817"/>
      <c r="L10462" s="817"/>
    </row>
    <row r="10463" spans="1:12" ht="14.25" customHeight="1">
      <c r="A10463" s="626" t="s">
        <v>12709</v>
      </c>
      <c r="B10463" s="627" t="s">
        <v>13056</v>
      </c>
      <c r="C10463" s="626" t="s">
        <v>8</v>
      </c>
      <c r="D10463" s="626" t="s">
        <v>11277</v>
      </c>
      <c r="E10463" s="628" t="s">
        <v>35</v>
      </c>
      <c r="F10463" s="816" t="s">
        <v>14498</v>
      </c>
      <c r="G10463" s="816"/>
      <c r="H10463" s="816">
        <v>3.4999999999999999E-6</v>
      </c>
      <c r="I10463" s="816"/>
      <c r="J10463" s="817">
        <v>4.4000000000000003E-3</v>
      </c>
      <c r="K10463" s="817"/>
      <c r="L10463" s="817"/>
    </row>
    <row r="10464" spans="1:12" ht="17.100000000000001" customHeight="1">
      <c r="A10464" s="626" t="s">
        <v>12709</v>
      </c>
      <c r="B10464" s="627" t="s">
        <v>12987</v>
      </c>
      <c r="C10464" s="626" t="s">
        <v>8</v>
      </c>
      <c r="D10464" s="626" t="s">
        <v>9192</v>
      </c>
      <c r="E10464" s="628" t="s">
        <v>12923</v>
      </c>
      <c r="F10464" s="816" t="s">
        <v>13999</v>
      </c>
      <c r="G10464" s="816"/>
      <c r="H10464" s="816">
        <v>5.37546E-2</v>
      </c>
      <c r="I10464" s="816"/>
      <c r="J10464" s="817">
        <v>4.3499999999999997E-2</v>
      </c>
      <c r="K10464" s="817"/>
      <c r="L10464" s="817"/>
    </row>
    <row r="10465" spans="1:12" ht="24" customHeight="1">
      <c r="A10465" s="636"/>
      <c r="B10465" s="636"/>
      <c r="C10465" s="636"/>
      <c r="D10465" s="636"/>
      <c r="E10465" s="636"/>
      <c r="F10465" s="636"/>
      <c r="G10465" s="636"/>
      <c r="H10465" s="636"/>
      <c r="I10465" s="636"/>
      <c r="J10465" s="636" t="s">
        <v>13675</v>
      </c>
      <c r="K10465" s="636"/>
      <c r="L10465" s="636" t="s">
        <v>14497</v>
      </c>
    </row>
    <row r="10466" spans="1:12" ht="24" customHeight="1">
      <c r="A10466" s="802" t="s">
        <v>12722</v>
      </c>
      <c r="B10466" s="802"/>
      <c r="C10466" s="802"/>
      <c r="D10466" s="802"/>
      <c r="E10466" s="802"/>
      <c r="F10466" s="802"/>
      <c r="G10466" s="802"/>
      <c r="H10466" s="802"/>
      <c r="I10466" s="612"/>
      <c r="J10466" s="612"/>
      <c r="K10466" s="612"/>
      <c r="L10466" s="612"/>
    </row>
    <row r="10467" spans="1:12" ht="17.100000000000001" customHeight="1">
      <c r="A10467" s="612" t="s">
        <v>13679</v>
      </c>
      <c r="B10467" s="636" t="s">
        <v>12698</v>
      </c>
      <c r="C10467" s="612" t="s">
        <v>12699</v>
      </c>
      <c r="D10467" s="612" t="s">
        <v>12700</v>
      </c>
      <c r="E10467" s="637" t="s">
        <v>12702</v>
      </c>
      <c r="F10467" s="801" t="s">
        <v>12704</v>
      </c>
      <c r="G10467" s="801"/>
      <c r="H10467" s="801" t="s">
        <v>13678</v>
      </c>
      <c r="I10467" s="801"/>
      <c r="J10467" s="801" t="s">
        <v>12705</v>
      </c>
      <c r="K10467" s="801"/>
      <c r="L10467" s="801"/>
    </row>
    <row r="10468" spans="1:12" ht="25.5">
      <c r="A10468" s="626" t="s">
        <v>12709</v>
      </c>
      <c r="B10468" s="627" t="s">
        <v>12998</v>
      </c>
      <c r="C10468" s="626" t="s">
        <v>8</v>
      </c>
      <c r="D10468" s="626" t="s">
        <v>11861</v>
      </c>
      <c r="E10468" s="628" t="s">
        <v>23</v>
      </c>
      <c r="F10468" s="816" t="s">
        <v>13683</v>
      </c>
      <c r="G10468" s="816"/>
      <c r="H10468" s="816">
        <v>1.6428611</v>
      </c>
      <c r="I10468" s="816"/>
      <c r="J10468" s="817">
        <v>1.1664000000000001</v>
      </c>
      <c r="K10468" s="817"/>
      <c r="L10468" s="817"/>
    </row>
    <row r="10469" spans="1:12" ht="17.100000000000001" customHeight="1">
      <c r="A10469" s="636"/>
      <c r="B10469" s="636"/>
      <c r="C10469" s="636"/>
      <c r="D10469" s="636"/>
      <c r="E10469" s="636"/>
      <c r="F10469" s="636"/>
      <c r="G10469" s="636"/>
      <c r="H10469" s="636"/>
      <c r="I10469" s="636"/>
      <c r="J10469" s="636" t="s">
        <v>13675</v>
      </c>
      <c r="K10469" s="636"/>
      <c r="L10469" s="636" t="s">
        <v>13712</v>
      </c>
    </row>
    <row r="10470" spans="1:12" ht="24" customHeight="1">
      <c r="A10470" s="802" t="s">
        <v>12713</v>
      </c>
      <c r="B10470" s="802"/>
      <c r="C10470" s="802"/>
      <c r="D10470" s="802"/>
      <c r="E10470" s="802"/>
      <c r="F10470" s="802"/>
      <c r="G10470" s="802"/>
      <c r="H10470" s="802"/>
      <c r="I10470" s="612"/>
      <c r="J10470" s="612"/>
      <c r="K10470" s="612"/>
      <c r="L10470" s="612"/>
    </row>
    <row r="10471" spans="1:12" ht="17.100000000000001" customHeight="1">
      <c r="A10471" s="612" t="s">
        <v>13679</v>
      </c>
      <c r="B10471" s="636" t="s">
        <v>12698</v>
      </c>
      <c r="C10471" s="612" t="s">
        <v>12699</v>
      </c>
      <c r="D10471" s="612" t="s">
        <v>12700</v>
      </c>
      <c r="E10471" s="637" t="s">
        <v>12702</v>
      </c>
      <c r="F10471" s="801" t="s">
        <v>12704</v>
      </c>
      <c r="G10471" s="801"/>
      <c r="H10471" s="801" t="s">
        <v>13678</v>
      </c>
      <c r="I10471" s="801"/>
      <c r="J10471" s="801" t="s">
        <v>12705</v>
      </c>
      <c r="K10471" s="801"/>
      <c r="L10471" s="801"/>
    </row>
    <row r="10472" spans="1:12" ht="25.5">
      <c r="A10472" s="626" t="s">
        <v>12709</v>
      </c>
      <c r="B10472" s="627" t="s">
        <v>12999</v>
      </c>
      <c r="C10472" s="626" t="s">
        <v>8</v>
      </c>
      <c r="D10472" s="626" t="s">
        <v>11251</v>
      </c>
      <c r="E10472" s="628" t="s">
        <v>23</v>
      </c>
      <c r="F10472" s="816" t="s">
        <v>13681</v>
      </c>
      <c r="G10472" s="816"/>
      <c r="H10472" s="816">
        <v>1.6428611</v>
      </c>
      <c r="I10472" s="816"/>
      <c r="J10472" s="817">
        <v>0.115</v>
      </c>
      <c r="K10472" s="817"/>
      <c r="L10472" s="817"/>
    </row>
    <row r="10473" spans="1:12" ht="17.100000000000001" customHeight="1">
      <c r="A10473" s="636"/>
      <c r="B10473" s="636"/>
      <c r="C10473" s="636"/>
      <c r="D10473" s="636"/>
      <c r="E10473" s="636"/>
      <c r="F10473" s="636"/>
      <c r="G10473" s="636"/>
      <c r="H10473" s="636"/>
      <c r="I10473" s="636"/>
      <c r="J10473" s="636" t="s">
        <v>13675</v>
      </c>
      <c r="K10473" s="636"/>
      <c r="L10473" s="636" t="s">
        <v>13751</v>
      </c>
    </row>
    <row r="10474" spans="1:12" ht="24" customHeight="1">
      <c r="A10474" s="802" t="s">
        <v>12712</v>
      </c>
      <c r="B10474" s="802"/>
      <c r="C10474" s="802"/>
      <c r="D10474" s="802"/>
      <c r="E10474" s="802"/>
      <c r="F10474" s="802"/>
      <c r="G10474" s="802"/>
      <c r="H10474" s="802"/>
      <c r="I10474" s="612"/>
      <c r="J10474" s="612"/>
      <c r="K10474" s="612"/>
      <c r="L10474" s="612"/>
    </row>
    <row r="10475" spans="1:12" ht="17.100000000000001" customHeight="1">
      <c r="A10475" s="612" t="s">
        <v>13679</v>
      </c>
      <c r="B10475" s="636" t="s">
        <v>12698</v>
      </c>
      <c r="C10475" s="612" t="s">
        <v>12699</v>
      </c>
      <c r="D10475" s="612" t="s">
        <v>12700</v>
      </c>
      <c r="E10475" s="637" t="s">
        <v>12702</v>
      </c>
      <c r="F10475" s="801" t="s">
        <v>12704</v>
      </c>
      <c r="G10475" s="801"/>
      <c r="H10475" s="801" t="s">
        <v>13678</v>
      </c>
      <c r="I10475" s="801"/>
      <c r="J10475" s="801" t="s">
        <v>12705</v>
      </c>
      <c r="K10475" s="801"/>
      <c r="L10475" s="801"/>
    </row>
    <row r="10476" spans="1:12" ht="25.5">
      <c r="A10476" s="626" t="s">
        <v>12709</v>
      </c>
      <c r="B10476" s="627" t="s">
        <v>13002</v>
      </c>
      <c r="C10476" s="626" t="s">
        <v>8</v>
      </c>
      <c r="D10476" s="626" t="s">
        <v>9306</v>
      </c>
      <c r="E10476" s="628" t="s">
        <v>23</v>
      </c>
      <c r="F10476" s="816" t="s">
        <v>13677</v>
      </c>
      <c r="G10476" s="816"/>
      <c r="H10476" s="816">
        <v>1.6428611</v>
      </c>
      <c r="I10476" s="816"/>
      <c r="J10476" s="817">
        <v>0.57499999999999996</v>
      </c>
      <c r="K10476" s="817"/>
      <c r="L10476" s="817"/>
    </row>
    <row r="10477" spans="1:12" ht="17.100000000000001" customHeight="1">
      <c r="A10477" s="626" t="s">
        <v>12709</v>
      </c>
      <c r="B10477" s="627" t="s">
        <v>13004</v>
      </c>
      <c r="C10477" s="626" t="s">
        <v>8</v>
      </c>
      <c r="D10477" s="626" t="s">
        <v>7388</v>
      </c>
      <c r="E10477" s="628" t="s">
        <v>23</v>
      </c>
      <c r="F10477" s="816" t="s">
        <v>13676</v>
      </c>
      <c r="G10477" s="816"/>
      <c r="H10477" s="816">
        <v>1.6428611</v>
      </c>
      <c r="I10477" s="816"/>
      <c r="J10477" s="817">
        <v>3.6143000000000001</v>
      </c>
      <c r="K10477" s="817"/>
      <c r="L10477" s="817"/>
    </row>
    <row r="10478" spans="1:12" ht="24" customHeight="1">
      <c r="A10478" s="636"/>
      <c r="B10478" s="636"/>
      <c r="C10478" s="636"/>
      <c r="D10478" s="636"/>
      <c r="E10478" s="636"/>
      <c r="F10478" s="636"/>
      <c r="G10478" s="636"/>
      <c r="H10478" s="636"/>
      <c r="I10478" s="636"/>
      <c r="J10478" s="636" t="s">
        <v>13675</v>
      </c>
      <c r="K10478" s="636"/>
      <c r="L10478" s="636" t="s">
        <v>13750</v>
      </c>
    </row>
    <row r="10479" spans="1:12" ht="17.100000000000001" customHeight="1">
      <c r="A10479" s="612" t="s">
        <v>13673</v>
      </c>
      <c r="B10479" s="612"/>
      <c r="C10479" s="612"/>
      <c r="D10479" s="612"/>
      <c r="E10479" s="612"/>
      <c r="F10479" s="612"/>
      <c r="G10479" s="612"/>
      <c r="H10479" s="612"/>
      <c r="I10479" s="612"/>
      <c r="J10479" s="612"/>
      <c r="K10479" s="612"/>
      <c r="L10479" s="612"/>
    </row>
    <row r="10480" spans="1:12">
      <c r="A10480" s="636"/>
      <c r="B10480" s="636"/>
      <c r="C10480" s="636"/>
      <c r="D10480" s="636"/>
      <c r="E10480" s="636"/>
      <c r="F10480" s="636"/>
      <c r="G10480" s="636"/>
      <c r="H10480" s="636"/>
      <c r="I10480" s="636"/>
      <c r="J10480" s="636" t="s">
        <v>13672</v>
      </c>
      <c r="K10480" s="636"/>
      <c r="L10480" s="636" t="s">
        <v>15054</v>
      </c>
    </row>
    <row r="10481" spans="1:12" ht="17.100000000000001" customHeight="1">
      <c r="A10481" s="636"/>
      <c r="B10481" s="636"/>
      <c r="C10481" s="636"/>
      <c r="D10481" s="636"/>
      <c r="E10481" s="636"/>
      <c r="F10481" s="636"/>
      <c r="G10481" s="636"/>
      <c r="H10481" s="636"/>
      <c r="I10481" s="636"/>
      <c r="J10481" s="636" t="s">
        <v>13671</v>
      </c>
      <c r="K10481" s="636" t="s">
        <v>14461</v>
      </c>
      <c r="L10481" s="636" t="s">
        <v>15055</v>
      </c>
    </row>
    <row r="10482" spans="1:12" ht="24" customHeight="1">
      <c r="A10482" s="636"/>
      <c r="B10482" s="636"/>
      <c r="C10482" s="636"/>
      <c r="D10482" s="636"/>
      <c r="E10482" s="636"/>
      <c r="F10482" s="636"/>
      <c r="G10482" s="636"/>
      <c r="H10482" s="636"/>
      <c r="I10482" s="636"/>
      <c r="J10482" s="636" t="s">
        <v>13670</v>
      </c>
      <c r="K10482" s="636"/>
      <c r="L10482" s="636" t="s">
        <v>15056</v>
      </c>
    </row>
    <row r="10483" spans="1:12" ht="24" customHeight="1">
      <c r="A10483" s="636"/>
      <c r="B10483" s="636"/>
      <c r="C10483" s="636"/>
      <c r="D10483" s="636"/>
      <c r="E10483" s="636"/>
      <c r="F10483" s="636"/>
      <c r="G10483" s="636"/>
      <c r="H10483" s="636"/>
      <c r="I10483" s="636"/>
      <c r="J10483" s="636" t="s">
        <v>13669</v>
      </c>
      <c r="K10483" s="636" t="s">
        <v>13667</v>
      </c>
      <c r="L10483" s="636" t="s">
        <v>15057</v>
      </c>
    </row>
    <row r="10484" spans="1:12" ht="17.100000000000001" customHeight="1">
      <c r="A10484" s="636"/>
      <c r="B10484" s="636"/>
      <c r="C10484" s="636"/>
      <c r="D10484" s="636"/>
      <c r="E10484" s="636"/>
      <c r="F10484" s="636"/>
      <c r="G10484" s="636"/>
      <c r="H10484" s="636"/>
      <c r="I10484" s="636"/>
      <c r="J10484" s="636" t="s">
        <v>13668</v>
      </c>
      <c r="K10484" s="636"/>
      <c r="L10484" s="636" t="s">
        <v>15058</v>
      </c>
    </row>
    <row r="10485" spans="1:12" ht="17.100000000000001" customHeight="1">
      <c r="A10485" s="637"/>
      <c r="B10485" s="637"/>
      <c r="C10485" s="637"/>
      <c r="D10485" s="637"/>
      <c r="E10485" s="637"/>
      <c r="F10485" s="637"/>
      <c r="G10485" s="637"/>
      <c r="H10485" s="637"/>
      <c r="I10485" s="637"/>
      <c r="J10485" s="637"/>
      <c r="K10485" s="637"/>
      <c r="L10485" s="637"/>
    </row>
    <row r="10486" spans="1:12" ht="17.100000000000001" customHeight="1">
      <c r="A10486" s="616" t="s">
        <v>13749</v>
      </c>
      <c r="B10486" s="617" t="s">
        <v>13549</v>
      </c>
      <c r="C10486" s="616" t="s">
        <v>8</v>
      </c>
      <c r="D10486" s="616" t="s">
        <v>3552</v>
      </c>
      <c r="E10486" s="618" t="s">
        <v>12730</v>
      </c>
      <c r="F10486" s="617"/>
      <c r="G10486" s="617"/>
      <c r="H10486" s="617"/>
      <c r="I10486" s="617"/>
      <c r="J10486" s="617"/>
      <c r="K10486" s="617"/>
      <c r="L10486" s="617"/>
    </row>
    <row r="10487" spans="1:12" ht="17.100000000000001" customHeight="1">
      <c r="A10487" s="802" t="s">
        <v>12711</v>
      </c>
      <c r="B10487" s="802"/>
      <c r="C10487" s="802"/>
      <c r="D10487" s="802"/>
      <c r="E10487" s="802"/>
      <c r="F10487" s="802"/>
      <c r="G10487" s="802"/>
      <c r="H10487" s="802"/>
      <c r="I10487" s="612"/>
      <c r="J10487" s="612"/>
      <c r="K10487" s="612"/>
      <c r="L10487" s="612"/>
    </row>
    <row r="10488" spans="1:12" ht="17.100000000000001" customHeight="1">
      <c r="A10488" s="612" t="s">
        <v>13679</v>
      </c>
      <c r="B10488" s="636" t="s">
        <v>12698</v>
      </c>
      <c r="C10488" s="612" t="s">
        <v>12699</v>
      </c>
      <c r="D10488" s="612" t="s">
        <v>12700</v>
      </c>
      <c r="E10488" s="637" t="s">
        <v>12702</v>
      </c>
      <c r="F10488" s="801" t="s">
        <v>12704</v>
      </c>
      <c r="G10488" s="801"/>
      <c r="H10488" s="801" t="s">
        <v>13678</v>
      </c>
      <c r="I10488" s="801"/>
      <c r="J10488" s="801" t="s">
        <v>12705</v>
      </c>
      <c r="K10488" s="801"/>
      <c r="L10488" s="801"/>
    </row>
    <row r="10489" spans="1:12" ht="17.100000000000001" customHeight="1">
      <c r="A10489" s="626" t="s">
        <v>12709</v>
      </c>
      <c r="B10489" s="627" t="s">
        <v>13048</v>
      </c>
      <c r="C10489" s="626" t="s">
        <v>8</v>
      </c>
      <c r="D10489" s="626" t="s">
        <v>9233</v>
      </c>
      <c r="E10489" s="628" t="s">
        <v>23</v>
      </c>
      <c r="F10489" s="816" t="s">
        <v>13690</v>
      </c>
      <c r="G10489" s="816"/>
      <c r="H10489" s="816">
        <v>10.0116323</v>
      </c>
      <c r="I10489" s="816"/>
      <c r="J10489" s="817">
        <v>10.2119</v>
      </c>
      <c r="K10489" s="817"/>
      <c r="L10489" s="817"/>
    </row>
    <row r="10490" spans="1:12" ht="17.100000000000001" customHeight="1">
      <c r="A10490" s="626" t="s">
        <v>12709</v>
      </c>
      <c r="B10490" s="627" t="s">
        <v>13047</v>
      </c>
      <c r="C10490" s="626" t="s">
        <v>8</v>
      </c>
      <c r="D10490" s="626" t="s">
        <v>9380</v>
      </c>
      <c r="E10490" s="628" t="s">
        <v>23</v>
      </c>
      <c r="F10490" s="816" t="s">
        <v>13689</v>
      </c>
      <c r="G10490" s="816"/>
      <c r="H10490" s="816">
        <v>10.0116323</v>
      </c>
      <c r="I10490" s="816"/>
      <c r="J10490" s="817">
        <v>3.8043999999999998</v>
      </c>
      <c r="K10490" s="817"/>
      <c r="L10490" s="817"/>
    </row>
    <row r="10491" spans="1:12" ht="30" customHeight="1">
      <c r="A10491" s="636"/>
      <c r="B10491" s="636"/>
      <c r="C10491" s="636"/>
      <c r="D10491" s="636"/>
      <c r="E10491" s="636"/>
      <c r="F10491" s="636"/>
      <c r="G10491" s="636"/>
      <c r="H10491" s="636"/>
      <c r="I10491" s="636"/>
      <c r="J10491" s="636" t="s">
        <v>13675</v>
      </c>
      <c r="K10491" s="636"/>
      <c r="L10491" s="636" t="s">
        <v>13748</v>
      </c>
    </row>
    <row r="10492" spans="1:12" ht="24" customHeight="1">
      <c r="A10492" s="802" t="s">
        <v>12710</v>
      </c>
      <c r="B10492" s="802"/>
      <c r="C10492" s="802"/>
      <c r="D10492" s="802"/>
      <c r="E10492" s="802"/>
      <c r="F10492" s="802"/>
      <c r="G10492" s="802"/>
      <c r="H10492" s="802"/>
      <c r="I10492" s="612"/>
      <c r="J10492" s="612"/>
      <c r="K10492" s="612"/>
      <c r="L10492" s="612"/>
    </row>
    <row r="10493" spans="1:12" ht="14.25" customHeight="1">
      <c r="A10493" s="612" t="s">
        <v>13679</v>
      </c>
      <c r="B10493" s="636" t="s">
        <v>12698</v>
      </c>
      <c r="C10493" s="612" t="s">
        <v>12699</v>
      </c>
      <c r="D10493" s="612" t="s">
        <v>12700</v>
      </c>
      <c r="E10493" s="637" t="s">
        <v>12702</v>
      </c>
      <c r="F10493" s="801" t="s">
        <v>12704</v>
      </c>
      <c r="G10493" s="801"/>
      <c r="H10493" s="801" t="s">
        <v>13678</v>
      </c>
      <c r="I10493" s="801"/>
      <c r="J10493" s="801" t="s">
        <v>12705</v>
      </c>
      <c r="K10493" s="801"/>
      <c r="L10493" s="801"/>
    </row>
    <row r="10494" spans="1:12" ht="17.100000000000001" customHeight="1">
      <c r="A10494" s="626" t="s">
        <v>12709</v>
      </c>
      <c r="B10494" s="627" t="s">
        <v>13046</v>
      </c>
      <c r="C10494" s="626" t="s">
        <v>8</v>
      </c>
      <c r="D10494" s="626" t="s">
        <v>11281</v>
      </c>
      <c r="E10494" s="628" t="s">
        <v>23</v>
      </c>
      <c r="F10494" s="816" t="s">
        <v>13731</v>
      </c>
      <c r="G10494" s="816"/>
      <c r="H10494" s="816">
        <v>10.1588435</v>
      </c>
      <c r="I10494" s="816"/>
      <c r="J10494" s="817">
        <v>52.216500000000003</v>
      </c>
      <c r="K10494" s="817"/>
      <c r="L10494" s="817"/>
    </row>
    <row r="10495" spans="1:12" ht="24" customHeight="1">
      <c r="A10495" s="636"/>
      <c r="B10495" s="636"/>
      <c r="C10495" s="636"/>
      <c r="D10495" s="636"/>
      <c r="E10495" s="636"/>
      <c r="F10495" s="636"/>
      <c r="G10495" s="636"/>
      <c r="H10495" s="636"/>
      <c r="I10495" s="636"/>
      <c r="J10495" s="636" t="s">
        <v>13675</v>
      </c>
      <c r="K10495" s="636"/>
      <c r="L10495" s="636" t="s">
        <v>14496</v>
      </c>
    </row>
    <row r="10496" spans="1:12" ht="24" customHeight="1">
      <c r="A10496" s="802" t="s">
        <v>12720</v>
      </c>
      <c r="B10496" s="802"/>
      <c r="C10496" s="802"/>
      <c r="D10496" s="802"/>
      <c r="E10496" s="802"/>
      <c r="F10496" s="802"/>
      <c r="G10496" s="802"/>
      <c r="H10496" s="802"/>
      <c r="I10496" s="612"/>
      <c r="J10496" s="612"/>
      <c r="K10496" s="612"/>
      <c r="L10496" s="612"/>
    </row>
    <row r="10497" spans="1:12" ht="24" customHeight="1">
      <c r="A10497" s="612" t="s">
        <v>13679</v>
      </c>
      <c r="B10497" s="636" t="s">
        <v>12698</v>
      </c>
      <c r="C10497" s="612" t="s">
        <v>12699</v>
      </c>
      <c r="D10497" s="612" t="s">
        <v>12700</v>
      </c>
      <c r="E10497" s="637" t="s">
        <v>12702</v>
      </c>
      <c r="F10497" s="801" t="s">
        <v>12704</v>
      </c>
      <c r="G10497" s="801"/>
      <c r="H10497" s="801" t="s">
        <v>13678</v>
      </c>
      <c r="I10497" s="801"/>
      <c r="J10497" s="801" t="s">
        <v>12705</v>
      </c>
      <c r="K10497" s="801"/>
      <c r="L10497" s="801"/>
    </row>
    <row r="10498" spans="1:12" ht="24" customHeight="1">
      <c r="A10498" s="626" t="s">
        <v>12709</v>
      </c>
      <c r="B10498" s="627" t="s">
        <v>13250</v>
      </c>
      <c r="C10498" s="626" t="s">
        <v>8</v>
      </c>
      <c r="D10498" s="626" t="s">
        <v>7526</v>
      </c>
      <c r="E10498" s="628" t="s">
        <v>12730</v>
      </c>
      <c r="F10498" s="816" t="s">
        <v>13747</v>
      </c>
      <c r="G10498" s="816"/>
      <c r="H10498" s="816">
        <v>0.81799999999999995</v>
      </c>
      <c r="I10498" s="816"/>
      <c r="J10498" s="817">
        <v>51.12</v>
      </c>
      <c r="K10498" s="817"/>
      <c r="L10498" s="817"/>
    </row>
    <row r="10499" spans="1:12" ht="17.100000000000001" customHeight="1">
      <c r="A10499" s="626" t="s">
        <v>12709</v>
      </c>
      <c r="B10499" s="627" t="s">
        <v>13249</v>
      </c>
      <c r="C10499" s="626" t="s">
        <v>8</v>
      </c>
      <c r="D10499" s="626" t="s">
        <v>8420</v>
      </c>
      <c r="E10499" s="628" t="s">
        <v>20</v>
      </c>
      <c r="F10499" s="816" t="s">
        <v>13700</v>
      </c>
      <c r="G10499" s="816"/>
      <c r="H10499" s="816">
        <v>277.72000000000003</v>
      </c>
      <c r="I10499" s="816"/>
      <c r="J10499" s="817">
        <v>136.08000000000001</v>
      </c>
      <c r="K10499" s="817"/>
      <c r="L10499" s="817"/>
    </row>
    <row r="10500" spans="1:12" ht="14.25" customHeight="1">
      <c r="A10500" s="626" t="s">
        <v>12709</v>
      </c>
      <c r="B10500" s="627" t="s">
        <v>13248</v>
      </c>
      <c r="C10500" s="626" t="s">
        <v>8</v>
      </c>
      <c r="D10500" s="626" t="s">
        <v>10712</v>
      </c>
      <c r="E10500" s="628" t="s">
        <v>12730</v>
      </c>
      <c r="F10500" s="816" t="s">
        <v>13745</v>
      </c>
      <c r="G10500" s="816"/>
      <c r="H10500" s="816">
        <v>0.58899999999999997</v>
      </c>
      <c r="I10500" s="816"/>
      <c r="J10500" s="817">
        <v>47.12</v>
      </c>
      <c r="K10500" s="817"/>
      <c r="L10500" s="817"/>
    </row>
    <row r="10501" spans="1:12" ht="17.100000000000001" customHeight="1">
      <c r="A10501" s="636"/>
      <c r="B10501" s="636"/>
      <c r="C10501" s="636"/>
      <c r="D10501" s="636"/>
      <c r="E10501" s="636"/>
      <c r="F10501" s="636"/>
      <c r="G10501" s="636"/>
      <c r="H10501" s="636"/>
      <c r="I10501" s="636"/>
      <c r="J10501" s="636" t="s">
        <v>13675</v>
      </c>
      <c r="K10501" s="636"/>
      <c r="L10501" s="636" t="s">
        <v>14495</v>
      </c>
    </row>
    <row r="10502" spans="1:12" ht="24" customHeight="1">
      <c r="A10502" s="802" t="s">
        <v>12722</v>
      </c>
      <c r="B10502" s="802"/>
      <c r="C10502" s="802"/>
      <c r="D10502" s="802"/>
      <c r="E10502" s="802"/>
      <c r="F10502" s="802"/>
      <c r="G10502" s="802"/>
      <c r="H10502" s="802"/>
      <c r="I10502" s="612"/>
      <c r="J10502" s="612"/>
      <c r="K10502" s="612"/>
      <c r="L10502" s="612"/>
    </row>
    <row r="10503" spans="1:12" ht="24" customHeight="1">
      <c r="A10503" s="612" t="s">
        <v>13679</v>
      </c>
      <c r="B10503" s="636" t="s">
        <v>12698</v>
      </c>
      <c r="C10503" s="612" t="s">
        <v>12699</v>
      </c>
      <c r="D10503" s="612" t="s">
        <v>12700</v>
      </c>
      <c r="E10503" s="637" t="s">
        <v>12702</v>
      </c>
      <c r="F10503" s="801" t="s">
        <v>12704</v>
      </c>
      <c r="G10503" s="801"/>
      <c r="H10503" s="801" t="s">
        <v>13678</v>
      </c>
      <c r="I10503" s="801"/>
      <c r="J10503" s="801" t="s">
        <v>12705</v>
      </c>
      <c r="K10503" s="801"/>
      <c r="L10503" s="801"/>
    </row>
    <row r="10504" spans="1:12" ht="17.100000000000001" customHeight="1">
      <c r="A10504" s="626" t="s">
        <v>12709</v>
      </c>
      <c r="B10504" s="627" t="s">
        <v>12998</v>
      </c>
      <c r="C10504" s="626" t="s">
        <v>8</v>
      </c>
      <c r="D10504" s="626" t="s">
        <v>11861</v>
      </c>
      <c r="E10504" s="628" t="s">
        <v>23</v>
      </c>
      <c r="F10504" s="816" t="s">
        <v>13683</v>
      </c>
      <c r="G10504" s="816"/>
      <c r="H10504" s="816">
        <v>10.0116323</v>
      </c>
      <c r="I10504" s="816"/>
      <c r="J10504" s="817">
        <v>7.1082999999999998</v>
      </c>
      <c r="K10504" s="817"/>
      <c r="L10504" s="817"/>
    </row>
    <row r="10505" spans="1:12">
      <c r="A10505" s="636"/>
      <c r="B10505" s="636"/>
      <c r="C10505" s="636"/>
      <c r="D10505" s="636"/>
      <c r="E10505" s="636"/>
      <c r="F10505" s="636"/>
      <c r="G10505" s="636"/>
      <c r="H10505" s="636"/>
      <c r="I10505" s="636"/>
      <c r="J10505" s="636" t="s">
        <v>13675</v>
      </c>
      <c r="K10505" s="636"/>
      <c r="L10505" s="636" t="s">
        <v>13744</v>
      </c>
    </row>
    <row r="10506" spans="1:12" ht="17.100000000000001" customHeight="1">
      <c r="A10506" s="802" t="s">
        <v>12713</v>
      </c>
      <c r="B10506" s="802"/>
      <c r="C10506" s="802"/>
      <c r="D10506" s="802"/>
      <c r="E10506" s="802"/>
      <c r="F10506" s="802"/>
      <c r="G10506" s="802"/>
      <c r="H10506" s="802"/>
      <c r="I10506" s="612"/>
      <c r="J10506" s="612"/>
      <c r="K10506" s="612"/>
      <c r="L10506" s="612"/>
    </row>
    <row r="10507" spans="1:12" ht="36" customHeight="1">
      <c r="A10507" s="612" t="s">
        <v>13679</v>
      </c>
      <c r="B10507" s="636" t="s">
        <v>12698</v>
      </c>
      <c r="C10507" s="612" t="s">
        <v>12699</v>
      </c>
      <c r="D10507" s="612" t="s">
        <v>12700</v>
      </c>
      <c r="E10507" s="637" t="s">
        <v>12702</v>
      </c>
      <c r="F10507" s="801" t="s">
        <v>12704</v>
      </c>
      <c r="G10507" s="801"/>
      <c r="H10507" s="801" t="s">
        <v>13678</v>
      </c>
      <c r="I10507" s="801"/>
      <c r="J10507" s="801" t="s">
        <v>12705</v>
      </c>
      <c r="K10507" s="801"/>
      <c r="L10507" s="801"/>
    </row>
    <row r="10508" spans="1:12" ht="24" customHeight="1">
      <c r="A10508" s="626" t="s">
        <v>12709</v>
      </c>
      <c r="B10508" s="627" t="s">
        <v>12999</v>
      </c>
      <c r="C10508" s="626" t="s">
        <v>8</v>
      </c>
      <c r="D10508" s="626" t="s">
        <v>11251</v>
      </c>
      <c r="E10508" s="628" t="s">
        <v>23</v>
      </c>
      <c r="F10508" s="816" t="s">
        <v>13681</v>
      </c>
      <c r="G10508" s="816"/>
      <c r="H10508" s="816">
        <v>10.0116323</v>
      </c>
      <c r="I10508" s="816"/>
      <c r="J10508" s="817">
        <v>0.70079999999999998</v>
      </c>
      <c r="K10508" s="817"/>
      <c r="L10508" s="817"/>
    </row>
    <row r="10509" spans="1:12" ht="17.100000000000001" customHeight="1">
      <c r="A10509" s="636"/>
      <c r="B10509" s="636"/>
      <c r="C10509" s="636"/>
      <c r="D10509" s="636"/>
      <c r="E10509" s="636"/>
      <c r="F10509" s="636"/>
      <c r="G10509" s="636"/>
      <c r="H10509" s="636"/>
      <c r="I10509" s="636"/>
      <c r="J10509" s="636" t="s">
        <v>13675</v>
      </c>
      <c r="K10509" s="636"/>
      <c r="L10509" s="636" t="s">
        <v>13694</v>
      </c>
    </row>
    <row r="10510" spans="1:12">
      <c r="A10510" s="802" t="s">
        <v>12712</v>
      </c>
      <c r="B10510" s="802"/>
      <c r="C10510" s="802"/>
      <c r="D10510" s="802"/>
      <c r="E10510" s="802"/>
      <c r="F10510" s="802"/>
      <c r="G10510" s="802"/>
      <c r="H10510" s="802"/>
      <c r="I10510" s="612"/>
      <c r="J10510" s="612"/>
      <c r="K10510" s="612"/>
      <c r="L10510" s="612"/>
    </row>
    <row r="10511" spans="1:12" ht="17.100000000000001" customHeight="1">
      <c r="A10511" s="612" t="s">
        <v>13679</v>
      </c>
      <c r="B10511" s="636" t="s">
        <v>12698</v>
      </c>
      <c r="C10511" s="612" t="s">
        <v>12699</v>
      </c>
      <c r="D10511" s="612" t="s">
        <v>12700</v>
      </c>
      <c r="E10511" s="637" t="s">
        <v>12702</v>
      </c>
      <c r="F10511" s="801" t="s">
        <v>12704</v>
      </c>
      <c r="G10511" s="801"/>
      <c r="H10511" s="801" t="s">
        <v>13678</v>
      </c>
      <c r="I10511" s="801"/>
      <c r="J10511" s="801" t="s">
        <v>12705</v>
      </c>
      <c r="K10511" s="801"/>
      <c r="L10511" s="801"/>
    </row>
    <row r="10512" spans="1:12" ht="24" customHeight="1">
      <c r="A10512" s="626" t="s">
        <v>12709</v>
      </c>
      <c r="B10512" s="627" t="s">
        <v>13002</v>
      </c>
      <c r="C10512" s="626" t="s">
        <v>8</v>
      </c>
      <c r="D10512" s="626" t="s">
        <v>9306</v>
      </c>
      <c r="E10512" s="628" t="s">
        <v>23</v>
      </c>
      <c r="F10512" s="816" t="s">
        <v>13677</v>
      </c>
      <c r="G10512" s="816"/>
      <c r="H10512" s="816">
        <v>10.0116323</v>
      </c>
      <c r="I10512" s="816"/>
      <c r="J10512" s="817">
        <v>3.5041000000000002</v>
      </c>
      <c r="K10512" s="817"/>
      <c r="L10512" s="817"/>
    </row>
    <row r="10513" spans="1:12" ht="17.100000000000001" customHeight="1">
      <c r="A10513" s="626" t="s">
        <v>12709</v>
      </c>
      <c r="B10513" s="627" t="s">
        <v>13004</v>
      </c>
      <c r="C10513" s="626" t="s">
        <v>8</v>
      </c>
      <c r="D10513" s="626" t="s">
        <v>7388</v>
      </c>
      <c r="E10513" s="628" t="s">
        <v>23</v>
      </c>
      <c r="F10513" s="816" t="s">
        <v>13676</v>
      </c>
      <c r="G10513" s="816"/>
      <c r="H10513" s="816">
        <v>10.0116323</v>
      </c>
      <c r="I10513" s="816"/>
      <c r="J10513" s="817">
        <v>22.025600000000001</v>
      </c>
      <c r="K10513" s="817"/>
      <c r="L10513" s="817"/>
    </row>
    <row r="10514" spans="1:12">
      <c r="A10514" s="636"/>
      <c r="B10514" s="636"/>
      <c r="C10514" s="636"/>
      <c r="D10514" s="636"/>
      <c r="E10514" s="636"/>
      <c r="F10514" s="636"/>
      <c r="G10514" s="636"/>
      <c r="H10514" s="636"/>
      <c r="I10514" s="636"/>
      <c r="J10514" s="636" t="s">
        <v>13675</v>
      </c>
      <c r="K10514" s="636"/>
      <c r="L10514" s="636" t="s">
        <v>13743</v>
      </c>
    </row>
    <row r="10515" spans="1:12" ht="17.100000000000001" customHeight="1">
      <c r="A10515" s="612" t="s">
        <v>13673</v>
      </c>
      <c r="B10515" s="612"/>
      <c r="C10515" s="612"/>
      <c r="D10515" s="612"/>
      <c r="E10515" s="612"/>
      <c r="F10515" s="612"/>
      <c r="G10515" s="612"/>
      <c r="H10515" s="612"/>
      <c r="I10515" s="612"/>
      <c r="J10515" s="612"/>
      <c r="K10515" s="612"/>
      <c r="L10515" s="612"/>
    </row>
    <row r="10516" spans="1:12" ht="24" customHeight="1">
      <c r="A10516" s="636"/>
      <c r="B10516" s="636"/>
      <c r="C10516" s="636"/>
      <c r="D10516" s="636"/>
      <c r="E10516" s="636"/>
      <c r="F10516" s="636"/>
      <c r="G10516" s="636"/>
      <c r="H10516" s="636"/>
      <c r="I10516" s="636"/>
      <c r="J10516" s="636" t="s">
        <v>13672</v>
      </c>
      <c r="K10516" s="636"/>
      <c r="L10516" s="636" t="s">
        <v>15226</v>
      </c>
    </row>
    <row r="10517" spans="1:12" ht="17.100000000000001" customHeight="1">
      <c r="A10517" s="636"/>
      <c r="B10517" s="636"/>
      <c r="C10517" s="636"/>
      <c r="D10517" s="636"/>
      <c r="E10517" s="636"/>
      <c r="F10517" s="636"/>
      <c r="G10517" s="636"/>
      <c r="H10517" s="636"/>
      <c r="I10517" s="636"/>
      <c r="J10517" s="636" t="s">
        <v>13671</v>
      </c>
      <c r="K10517" s="636" t="s">
        <v>14461</v>
      </c>
      <c r="L10517" s="636" t="s">
        <v>14978</v>
      </c>
    </row>
    <row r="10518" spans="1:12">
      <c r="A10518" s="636"/>
      <c r="B10518" s="636"/>
      <c r="C10518" s="636"/>
      <c r="D10518" s="636"/>
      <c r="E10518" s="636"/>
      <c r="F10518" s="636"/>
      <c r="G10518" s="636"/>
      <c r="H10518" s="636"/>
      <c r="I10518" s="636"/>
      <c r="J10518" s="636" t="s">
        <v>13670</v>
      </c>
      <c r="K10518" s="636"/>
      <c r="L10518" s="636" t="s">
        <v>15227</v>
      </c>
    </row>
    <row r="10519" spans="1:12" ht="17.100000000000001" customHeight="1">
      <c r="A10519" s="636"/>
      <c r="B10519" s="636"/>
      <c r="C10519" s="636"/>
      <c r="D10519" s="636"/>
      <c r="E10519" s="636"/>
      <c r="F10519" s="636"/>
      <c r="G10519" s="636"/>
      <c r="H10519" s="636"/>
      <c r="I10519" s="636"/>
      <c r="J10519" s="636" t="s">
        <v>13669</v>
      </c>
      <c r="K10519" s="636" t="s">
        <v>13667</v>
      </c>
      <c r="L10519" s="636" t="s">
        <v>15228</v>
      </c>
    </row>
    <row r="10520" spans="1:12" ht="24" customHeight="1">
      <c r="A10520" s="636"/>
      <c r="B10520" s="636"/>
      <c r="C10520" s="636"/>
      <c r="D10520" s="636"/>
      <c r="E10520" s="636"/>
      <c r="F10520" s="636"/>
      <c r="G10520" s="636"/>
      <c r="H10520" s="636"/>
      <c r="I10520" s="636"/>
      <c r="J10520" s="636" t="s">
        <v>13668</v>
      </c>
      <c r="K10520" s="636"/>
      <c r="L10520" s="636" t="s">
        <v>15229</v>
      </c>
    </row>
    <row r="10521" spans="1:12" ht="24" customHeight="1">
      <c r="A10521" s="637"/>
      <c r="B10521" s="637"/>
      <c r="C10521" s="637"/>
      <c r="D10521" s="637"/>
      <c r="E10521" s="637"/>
      <c r="F10521" s="637"/>
      <c r="G10521" s="637"/>
      <c r="H10521" s="637"/>
      <c r="I10521" s="637"/>
      <c r="J10521" s="637"/>
      <c r="K10521" s="637"/>
      <c r="L10521" s="637"/>
    </row>
    <row r="10522" spans="1:12" ht="17.100000000000001" customHeight="1">
      <c r="A10522" s="616" t="s">
        <v>13742</v>
      </c>
      <c r="B10522" s="617" t="s">
        <v>13633</v>
      </c>
      <c r="C10522" s="616" t="s">
        <v>8</v>
      </c>
      <c r="D10522" s="616" t="s">
        <v>55</v>
      </c>
      <c r="E10522" s="618" t="s">
        <v>12730</v>
      </c>
      <c r="F10522" s="617"/>
      <c r="G10522" s="617"/>
      <c r="H10522" s="617"/>
      <c r="I10522" s="617"/>
      <c r="J10522" s="617"/>
      <c r="K10522" s="617"/>
      <c r="L10522" s="617"/>
    </row>
    <row r="10523" spans="1:12" ht="17.100000000000001" customHeight="1">
      <c r="A10523" s="802" t="s">
        <v>12711</v>
      </c>
      <c r="B10523" s="802"/>
      <c r="C10523" s="802"/>
      <c r="D10523" s="802"/>
      <c r="E10523" s="802"/>
      <c r="F10523" s="802"/>
      <c r="G10523" s="802"/>
      <c r="H10523" s="802"/>
      <c r="I10523" s="612"/>
      <c r="J10523" s="612"/>
      <c r="K10523" s="612"/>
      <c r="L10523" s="612"/>
    </row>
    <row r="10524" spans="1:12" ht="17.100000000000001" customHeight="1">
      <c r="A10524" s="612" t="s">
        <v>13679</v>
      </c>
      <c r="B10524" s="636" t="s">
        <v>12698</v>
      </c>
      <c r="C10524" s="612" t="s">
        <v>12699</v>
      </c>
      <c r="D10524" s="612" t="s">
        <v>12700</v>
      </c>
      <c r="E10524" s="637" t="s">
        <v>12702</v>
      </c>
      <c r="F10524" s="801" t="s">
        <v>12704</v>
      </c>
      <c r="G10524" s="801"/>
      <c r="H10524" s="801" t="s">
        <v>13678</v>
      </c>
      <c r="I10524" s="801"/>
      <c r="J10524" s="801" t="s">
        <v>12705</v>
      </c>
      <c r="K10524" s="801"/>
      <c r="L10524" s="801"/>
    </row>
    <row r="10525" spans="1:12" ht="17.100000000000001" customHeight="1">
      <c r="A10525" s="626" t="s">
        <v>12709</v>
      </c>
      <c r="B10525" s="627" t="s">
        <v>12989</v>
      </c>
      <c r="C10525" s="626" t="s">
        <v>8</v>
      </c>
      <c r="D10525" s="626" t="s">
        <v>12342</v>
      </c>
      <c r="E10525" s="628" t="s">
        <v>35</v>
      </c>
      <c r="F10525" s="816" t="s">
        <v>14494</v>
      </c>
      <c r="G10525" s="816"/>
      <c r="H10525" s="816">
        <v>3.3110000000000002E-4</v>
      </c>
      <c r="I10525" s="816"/>
      <c r="J10525" s="817">
        <v>0.80200000000000005</v>
      </c>
      <c r="K10525" s="817"/>
      <c r="L10525" s="817"/>
    </row>
    <row r="10526" spans="1:12" ht="17.100000000000001" customHeight="1">
      <c r="A10526" s="626" t="s">
        <v>12709</v>
      </c>
      <c r="B10526" s="627" t="s">
        <v>13032</v>
      </c>
      <c r="C10526" s="626" t="s">
        <v>8</v>
      </c>
      <c r="D10526" s="626" t="s">
        <v>9217</v>
      </c>
      <c r="E10526" s="628" t="s">
        <v>23</v>
      </c>
      <c r="F10526" s="816" t="s">
        <v>13741</v>
      </c>
      <c r="G10526" s="816"/>
      <c r="H10526" s="816">
        <v>1.8448028999999999</v>
      </c>
      <c r="I10526" s="816"/>
      <c r="J10526" s="817">
        <v>1.9923999999999999</v>
      </c>
      <c r="K10526" s="817"/>
      <c r="L10526" s="817"/>
    </row>
    <row r="10527" spans="1:12" ht="17.100000000000001" customHeight="1">
      <c r="A10527" s="626" t="s">
        <v>12709</v>
      </c>
      <c r="B10527" s="627" t="s">
        <v>13031</v>
      </c>
      <c r="C10527" s="626" t="s">
        <v>8</v>
      </c>
      <c r="D10527" s="626" t="s">
        <v>9364</v>
      </c>
      <c r="E10527" s="628" t="s">
        <v>23</v>
      </c>
      <c r="F10527" s="816" t="s">
        <v>13740</v>
      </c>
      <c r="G10527" s="816"/>
      <c r="H10527" s="816">
        <v>1.8448028999999999</v>
      </c>
      <c r="I10527" s="816"/>
      <c r="J10527" s="817">
        <v>0.62719999999999998</v>
      </c>
      <c r="K10527" s="817"/>
      <c r="L10527" s="817"/>
    </row>
    <row r="10528" spans="1:12" ht="17.100000000000001" customHeight="1">
      <c r="A10528" s="626" t="s">
        <v>12709</v>
      </c>
      <c r="B10528" s="627" t="s">
        <v>13052</v>
      </c>
      <c r="C10528" s="626" t="s">
        <v>8</v>
      </c>
      <c r="D10528" s="626" t="s">
        <v>9229</v>
      </c>
      <c r="E10528" s="628" t="s">
        <v>23</v>
      </c>
      <c r="F10528" s="816" t="s">
        <v>13692</v>
      </c>
      <c r="G10528" s="816"/>
      <c r="H10528" s="816">
        <v>1.8448028999999999</v>
      </c>
      <c r="I10528" s="816"/>
      <c r="J10528" s="817">
        <v>1.7709999999999999</v>
      </c>
      <c r="K10528" s="817"/>
      <c r="L10528" s="817"/>
    </row>
    <row r="10529" spans="1:12" ht="30" customHeight="1">
      <c r="A10529" s="626" t="s">
        <v>12709</v>
      </c>
      <c r="B10529" s="627" t="s">
        <v>13051</v>
      </c>
      <c r="C10529" s="626" t="s">
        <v>8</v>
      </c>
      <c r="D10529" s="626" t="s">
        <v>9376</v>
      </c>
      <c r="E10529" s="628" t="s">
        <v>23</v>
      </c>
      <c r="F10529" s="816" t="s">
        <v>13691</v>
      </c>
      <c r="G10529" s="816"/>
      <c r="H10529" s="816">
        <v>1.8448028999999999</v>
      </c>
      <c r="I10529" s="816"/>
      <c r="J10529" s="817">
        <v>0.9224</v>
      </c>
      <c r="K10529" s="817"/>
      <c r="L10529" s="817"/>
    </row>
    <row r="10530" spans="1:12" ht="24" customHeight="1">
      <c r="A10530" s="626" t="s">
        <v>12709</v>
      </c>
      <c r="B10530" s="627" t="s">
        <v>13048</v>
      </c>
      <c r="C10530" s="626" t="s">
        <v>8</v>
      </c>
      <c r="D10530" s="626" t="s">
        <v>9233</v>
      </c>
      <c r="E10530" s="628" t="s">
        <v>23</v>
      </c>
      <c r="F10530" s="816" t="s">
        <v>13690</v>
      </c>
      <c r="G10530" s="816"/>
      <c r="H10530" s="816">
        <v>5.5344085999999999</v>
      </c>
      <c r="I10530" s="816"/>
      <c r="J10530" s="817">
        <v>5.6451000000000002</v>
      </c>
      <c r="K10530" s="817"/>
      <c r="L10530" s="817"/>
    </row>
    <row r="10531" spans="1:12" ht="14.25" customHeight="1">
      <c r="A10531" s="626" t="s">
        <v>12709</v>
      </c>
      <c r="B10531" s="627" t="s">
        <v>13047</v>
      </c>
      <c r="C10531" s="626" t="s">
        <v>8</v>
      </c>
      <c r="D10531" s="626" t="s">
        <v>9380</v>
      </c>
      <c r="E10531" s="628" t="s">
        <v>23</v>
      </c>
      <c r="F10531" s="816" t="s">
        <v>13689</v>
      </c>
      <c r="G10531" s="816"/>
      <c r="H10531" s="816">
        <v>5.5344085999999999</v>
      </c>
      <c r="I10531" s="816"/>
      <c r="J10531" s="817">
        <v>2.1031</v>
      </c>
      <c r="K10531" s="817"/>
      <c r="L10531" s="817"/>
    </row>
    <row r="10532" spans="1:12" ht="17.100000000000001" customHeight="1">
      <c r="A10532" s="636"/>
      <c r="B10532" s="636"/>
      <c r="C10532" s="636"/>
      <c r="D10532" s="636"/>
      <c r="E10532" s="636"/>
      <c r="F10532" s="636"/>
      <c r="G10532" s="636"/>
      <c r="H10532" s="636"/>
      <c r="I10532" s="636"/>
      <c r="J10532" s="636" t="s">
        <v>13675</v>
      </c>
      <c r="K10532" s="636"/>
      <c r="L10532" s="636" t="s">
        <v>14493</v>
      </c>
    </row>
    <row r="10533" spans="1:12" ht="24" customHeight="1">
      <c r="A10533" s="802" t="s">
        <v>12710</v>
      </c>
      <c r="B10533" s="802"/>
      <c r="C10533" s="802"/>
      <c r="D10533" s="802"/>
      <c r="E10533" s="802"/>
      <c r="F10533" s="802"/>
      <c r="G10533" s="802"/>
      <c r="H10533" s="802"/>
      <c r="I10533" s="612"/>
      <c r="J10533" s="612"/>
      <c r="K10533" s="612"/>
      <c r="L10533" s="612"/>
    </row>
    <row r="10534" spans="1:12" ht="24" customHeight="1">
      <c r="A10534" s="612" t="s">
        <v>13679</v>
      </c>
      <c r="B10534" s="636" t="s">
        <v>12698</v>
      </c>
      <c r="C10534" s="612" t="s">
        <v>12699</v>
      </c>
      <c r="D10534" s="612" t="s">
        <v>12700</v>
      </c>
      <c r="E10534" s="637" t="s">
        <v>12702</v>
      </c>
      <c r="F10534" s="801" t="s">
        <v>12704</v>
      </c>
      <c r="G10534" s="801"/>
      <c r="H10534" s="801" t="s">
        <v>13678</v>
      </c>
      <c r="I10534" s="801"/>
      <c r="J10534" s="801" t="s">
        <v>12705</v>
      </c>
      <c r="K10534" s="801"/>
      <c r="L10534" s="801"/>
    </row>
    <row r="10535" spans="1:12" ht="24" customHeight="1">
      <c r="A10535" s="626" t="s">
        <v>12709</v>
      </c>
      <c r="B10535" s="627" t="s">
        <v>13212</v>
      </c>
      <c r="C10535" s="626" t="s">
        <v>8</v>
      </c>
      <c r="D10535" s="626" t="s">
        <v>8293</v>
      </c>
      <c r="E10535" s="628" t="s">
        <v>23</v>
      </c>
      <c r="F10535" s="816" t="s">
        <v>14470</v>
      </c>
      <c r="G10535" s="816"/>
      <c r="H10535" s="816">
        <v>1.8599138</v>
      </c>
      <c r="I10535" s="816"/>
      <c r="J10535" s="817">
        <v>12.852</v>
      </c>
      <c r="K10535" s="817"/>
      <c r="L10535" s="817"/>
    </row>
    <row r="10536" spans="1:12" ht="24" customHeight="1">
      <c r="A10536" s="626" t="s">
        <v>12709</v>
      </c>
      <c r="B10536" s="627" t="s">
        <v>13099</v>
      </c>
      <c r="C10536" s="626" t="s">
        <v>8</v>
      </c>
      <c r="D10536" s="626" t="s">
        <v>10726</v>
      </c>
      <c r="E10536" s="628" t="s">
        <v>23</v>
      </c>
      <c r="F10536" s="816" t="s">
        <v>14470</v>
      </c>
      <c r="G10536" s="816"/>
      <c r="H10536" s="816">
        <v>1.8722776000000001</v>
      </c>
      <c r="I10536" s="816"/>
      <c r="J10536" s="817">
        <v>12.9374</v>
      </c>
      <c r="K10536" s="817"/>
      <c r="L10536" s="817"/>
    </row>
    <row r="10537" spans="1:12" ht="17.100000000000001" customHeight="1">
      <c r="A10537" s="626" t="s">
        <v>12709</v>
      </c>
      <c r="B10537" s="627" t="s">
        <v>13046</v>
      </c>
      <c r="C10537" s="626" t="s">
        <v>8</v>
      </c>
      <c r="D10537" s="626" t="s">
        <v>11281</v>
      </c>
      <c r="E10537" s="628" t="s">
        <v>23</v>
      </c>
      <c r="F10537" s="816" t="s">
        <v>13731</v>
      </c>
      <c r="G10537" s="816"/>
      <c r="H10537" s="816">
        <v>5.6168328000000001</v>
      </c>
      <c r="I10537" s="816"/>
      <c r="J10537" s="817">
        <v>28.8705</v>
      </c>
      <c r="K10537" s="817"/>
      <c r="L10537" s="817"/>
    </row>
    <row r="10538" spans="1:12" ht="14.25" customHeight="1">
      <c r="A10538" s="636"/>
      <c r="B10538" s="636"/>
      <c r="C10538" s="636"/>
      <c r="D10538" s="636"/>
      <c r="E10538" s="636"/>
      <c r="F10538" s="636"/>
      <c r="G10538" s="636"/>
      <c r="H10538" s="636"/>
      <c r="I10538" s="636"/>
      <c r="J10538" s="636" t="s">
        <v>13675</v>
      </c>
      <c r="K10538" s="636"/>
      <c r="L10538" s="636" t="s">
        <v>14492</v>
      </c>
    </row>
    <row r="10539" spans="1:12" ht="17.100000000000001" customHeight="1">
      <c r="A10539" s="802" t="s">
        <v>12720</v>
      </c>
      <c r="B10539" s="802"/>
      <c r="C10539" s="802"/>
      <c r="D10539" s="802"/>
      <c r="E10539" s="802"/>
      <c r="F10539" s="802"/>
      <c r="G10539" s="802"/>
      <c r="H10539" s="802"/>
      <c r="I10539" s="612"/>
      <c r="J10539" s="612"/>
      <c r="K10539" s="612"/>
      <c r="L10539" s="612"/>
    </row>
    <row r="10540" spans="1:12" ht="24" customHeight="1">
      <c r="A10540" s="612" t="s">
        <v>13679</v>
      </c>
      <c r="B10540" s="636" t="s">
        <v>12698</v>
      </c>
      <c r="C10540" s="612" t="s">
        <v>12699</v>
      </c>
      <c r="D10540" s="612" t="s">
        <v>12700</v>
      </c>
      <c r="E10540" s="637" t="s">
        <v>12702</v>
      </c>
      <c r="F10540" s="801" t="s">
        <v>12704</v>
      </c>
      <c r="G10540" s="801"/>
      <c r="H10540" s="801" t="s">
        <v>13678</v>
      </c>
      <c r="I10540" s="801"/>
      <c r="J10540" s="801" t="s">
        <v>12705</v>
      </c>
      <c r="K10540" s="801"/>
      <c r="L10540" s="801"/>
    </row>
    <row r="10541" spans="1:12" ht="24" customHeight="1">
      <c r="A10541" s="626" t="s">
        <v>12709</v>
      </c>
      <c r="B10541" s="627" t="s">
        <v>12987</v>
      </c>
      <c r="C10541" s="626" t="s">
        <v>8</v>
      </c>
      <c r="D10541" s="626" t="s">
        <v>9192</v>
      </c>
      <c r="E10541" s="628" t="s">
        <v>12923</v>
      </c>
      <c r="F10541" s="816" t="s">
        <v>13999</v>
      </c>
      <c r="G10541" s="816"/>
      <c r="H10541" s="816">
        <v>0.83945530000000002</v>
      </c>
      <c r="I10541" s="816"/>
      <c r="J10541" s="817">
        <v>0.68</v>
      </c>
      <c r="K10541" s="817"/>
      <c r="L10541" s="817"/>
    </row>
    <row r="10542" spans="1:12" ht="17.100000000000001" customHeight="1">
      <c r="A10542" s="636"/>
      <c r="B10542" s="636"/>
      <c r="C10542" s="636"/>
      <c r="D10542" s="636"/>
      <c r="E10542" s="636"/>
      <c r="F10542" s="636"/>
      <c r="G10542" s="636"/>
      <c r="H10542" s="636"/>
      <c r="I10542" s="636"/>
      <c r="J10542" s="636" t="s">
        <v>13675</v>
      </c>
      <c r="K10542" s="636"/>
      <c r="L10542" s="636" t="s">
        <v>13827</v>
      </c>
    </row>
    <row r="10543" spans="1:12">
      <c r="A10543" s="802" t="s">
        <v>12722</v>
      </c>
      <c r="B10543" s="802"/>
      <c r="C10543" s="802"/>
      <c r="D10543" s="802"/>
      <c r="E10543" s="802"/>
      <c r="F10543" s="802"/>
      <c r="G10543" s="802"/>
      <c r="H10543" s="802"/>
      <c r="I10543" s="612"/>
      <c r="J10543" s="612"/>
      <c r="K10543" s="612"/>
      <c r="L10543" s="612"/>
    </row>
    <row r="10544" spans="1:12" ht="17.100000000000001" customHeight="1">
      <c r="A10544" s="612" t="s">
        <v>13679</v>
      </c>
      <c r="B10544" s="636" t="s">
        <v>12698</v>
      </c>
      <c r="C10544" s="612" t="s">
        <v>12699</v>
      </c>
      <c r="D10544" s="612" t="s">
        <v>12700</v>
      </c>
      <c r="E10544" s="637" t="s">
        <v>12702</v>
      </c>
      <c r="F10544" s="801" t="s">
        <v>12704</v>
      </c>
      <c r="G10544" s="801"/>
      <c r="H10544" s="801" t="s">
        <v>13678</v>
      </c>
      <c r="I10544" s="801"/>
      <c r="J10544" s="801" t="s">
        <v>12705</v>
      </c>
      <c r="K10544" s="801"/>
      <c r="L10544" s="801"/>
    </row>
    <row r="10545" spans="1:12" ht="24" customHeight="1">
      <c r="A10545" s="626" t="s">
        <v>12709</v>
      </c>
      <c r="B10545" s="627" t="s">
        <v>12998</v>
      </c>
      <c r="C10545" s="626" t="s">
        <v>8</v>
      </c>
      <c r="D10545" s="626" t="s">
        <v>11861</v>
      </c>
      <c r="E10545" s="628" t="s">
        <v>23</v>
      </c>
      <c r="F10545" s="816" t="s">
        <v>13683</v>
      </c>
      <c r="G10545" s="816"/>
      <c r="H10545" s="816">
        <v>9.2240143000000003</v>
      </c>
      <c r="I10545" s="816"/>
      <c r="J10545" s="817">
        <v>6.5491000000000001</v>
      </c>
      <c r="K10545" s="817"/>
      <c r="L10545" s="817"/>
    </row>
    <row r="10546" spans="1:12" ht="17.100000000000001" customHeight="1">
      <c r="A10546" s="636"/>
      <c r="B10546" s="636"/>
      <c r="C10546" s="636"/>
      <c r="D10546" s="636"/>
      <c r="E10546" s="636"/>
      <c r="F10546" s="636"/>
      <c r="G10546" s="636"/>
      <c r="H10546" s="636"/>
      <c r="I10546" s="636"/>
      <c r="J10546" s="636" t="s">
        <v>13675</v>
      </c>
      <c r="K10546" s="636"/>
      <c r="L10546" s="636" t="s">
        <v>13739</v>
      </c>
    </row>
    <row r="10547" spans="1:12">
      <c r="A10547" s="802" t="s">
        <v>12713</v>
      </c>
      <c r="B10547" s="802"/>
      <c r="C10547" s="802"/>
      <c r="D10547" s="802"/>
      <c r="E10547" s="802"/>
      <c r="F10547" s="802"/>
      <c r="G10547" s="802"/>
      <c r="H10547" s="802"/>
      <c r="I10547" s="612"/>
      <c r="J10547" s="612"/>
      <c r="K10547" s="612"/>
      <c r="L10547" s="612"/>
    </row>
    <row r="10548" spans="1:12" ht="17.100000000000001" customHeight="1">
      <c r="A10548" s="612" t="s">
        <v>13679</v>
      </c>
      <c r="B10548" s="636" t="s">
        <v>12698</v>
      </c>
      <c r="C10548" s="612" t="s">
        <v>12699</v>
      </c>
      <c r="D10548" s="612" t="s">
        <v>12700</v>
      </c>
      <c r="E10548" s="637" t="s">
        <v>12702</v>
      </c>
      <c r="F10548" s="801" t="s">
        <v>12704</v>
      </c>
      <c r="G10548" s="801"/>
      <c r="H10548" s="801" t="s">
        <v>13678</v>
      </c>
      <c r="I10548" s="801"/>
      <c r="J10548" s="801" t="s">
        <v>12705</v>
      </c>
      <c r="K10548" s="801"/>
      <c r="L10548" s="801"/>
    </row>
    <row r="10549" spans="1:12" ht="24" customHeight="1">
      <c r="A10549" s="626" t="s">
        <v>12709</v>
      </c>
      <c r="B10549" s="627" t="s">
        <v>12999</v>
      </c>
      <c r="C10549" s="626" t="s">
        <v>8</v>
      </c>
      <c r="D10549" s="626" t="s">
        <v>11251</v>
      </c>
      <c r="E10549" s="628" t="s">
        <v>23</v>
      </c>
      <c r="F10549" s="816" t="s">
        <v>13681</v>
      </c>
      <c r="G10549" s="816"/>
      <c r="H10549" s="816">
        <v>9.2240143000000003</v>
      </c>
      <c r="I10549" s="816"/>
      <c r="J10549" s="817">
        <v>0.64570000000000005</v>
      </c>
      <c r="K10549" s="817"/>
      <c r="L10549" s="817"/>
    </row>
    <row r="10550" spans="1:12" ht="17.100000000000001" customHeight="1">
      <c r="A10550" s="636"/>
      <c r="B10550" s="636"/>
      <c r="C10550" s="636"/>
      <c r="D10550" s="636"/>
      <c r="E10550" s="636"/>
      <c r="F10550" s="636"/>
      <c r="G10550" s="636"/>
      <c r="H10550" s="636"/>
      <c r="I10550" s="636"/>
      <c r="J10550" s="636" t="s">
        <v>13675</v>
      </c>
      <c r="K10550" s="636"/>
      <c r="L10550" s="636" t="s">
        <v>13738</v>
      </c>
    </row>
    <row r="10551" spans="1:12">
      <c r="A10551" s="802" t="s">
        <v>12712</v>
      </c>
      <c r="B10551" s="802"/>
      <c r="C10551" s="802"/>
      <c r="D10551" s="802"/>
      <c r="E10551" s="802"/>
      <c r="F10551" s="802"/>
      <c r="G10551" s="802"/>
      <c r="H10551" s="802"/>
      <c r="I10551" s="612"/>
      <c r="J10551" s="612"/>
      <c r="K10551" s="612"/>
      <c r="L10551" s="612"/>
    </row>
    <row r="10552" spans="1:12" ht="17.100000000000001" customHeight="1">
      <c r="A10552" s="612" t="s">
        <v>13679</v>
      </c>
      <c r="B10552" s="636" t="s">
        <v>12698</v>
      </c>
      <c r="C10552" s="612" t="s">
        <v>12699</v>
      </c>
      <c r="D10552" s="612" t="s">
        <v>12700</v>
      </c>
      <c r="E10552" s="637" t="s">
        <v>12702</v>
      </c>
      <c r="F10552" s="801" t="s">
        <v>12704</v>
      </c>
      <c r="G10552" s="801"/>
      <c r="H10552" s="801" t="s">
        <v>13678</v>
      </c>
      <c r="I10552" s="801"/>
      <c r="J10552" s="801" t="s">
        <v>12705</v>
      </c>
      <c r="K10552" s="801"/>
      <c r="L10552" s="801"/>
    </row>
    <row r="10553" spans="1:12" ht="24" customHeight="1">
      <c r="A10553" s="626" t="s">
        <v>12709</v>
      </c>
      <c r="B10553" s="627" t="s">
        <v>13002</v>
      </c>
      <c r="C10553" s="626" t="s">
        <v>8</v>
      </c>
      <c r="D10553" s="626" t="s">
        <v>9306</v>
      </c>
      <c r="E10553" s="628" t="s">
        <v>23</v>
      </c>
      <c r="F10553" s="816" t="s">
        <v>13677</v>
      </c>
      <c r="G10553" s="816"/>
      <c r="H10553" s="816">
        <v>9.2240143000000003</v>
      </c>
      <c r="I10553" s="816"/>
      <c r="J10553" s="817">
        <v>3.2284000000000002</v>
      </c>
      <c r="K10553" s="817"/>
      <c r="L10553" s="817"/>
    </row>
    <row r="10554" spans="1:12" ht="17.100000000000001" customHeight="1">
      <c r="A10554" s="626" t="s">
        <v>12709</v>
      </c>
      <c r="B10554" s="627" t="s">
        <v>13004</v>
      </c>
      <c r="C10554" s="626" t="s">
        <v>8</v>
      </c>
      <c r="D10554" s="626" t="s">
        <v>7388</v>
      </c>
      <c r="E10554" s="628" t="s">
        <v>23</v>
      </c>
      <c r="F10554" s="816" t="s">
        <v>13676</v>
      </c>
      <c r="G10554" s="816"/>
      <c r="H10554" s="816">
        <v>9.2240143000000003</v>
      </c>
      <c r="I10554" s="816"/>
      <c r="J10554" s="817">
        <v>20.2928</v>
      </c>
      <c r="K10554" s="817"/>
      <c r="L10554" s="817"/>
    </row>
    <row r="10555" spans="1:12">
      <c r="A10555" s="636"/>
      <c r="B10555" s="636"/>
      <c r="C10555" s="636"/>
      <c r="D10555" s="636"/>
      <c r="E10555" s="636"/>
      <c r="F10555" s="636"/>
      <c r="G10555" s="636"/>
      <c r="H10555" s="636"/>
      <c r="I10555" s="636"/>
      <c r="J10555" s="636" t="s">
        <v>13675</v>
      </c>
      <c r="K10555" s="636"/>
      <c r="L10555" s="636" t="s">
        <v>13737</v>
      </c>
    </row>
    <row r="10556" spans="1:12" ht="17.100000000000001" customHeight="1">
      <c r="A10556" s="612" t="s">
        <v>13673</v>
      </c>
      <c r="B10556" s="612"/>
      <c r="C10556" s="612"/>
      <c r="D10556" s="612"/>
      <c r="E10556" s="612"/>
      <c r="F10556" s="612"/>
      <c r="G10556" s="612"/>
      <c r="H10556" s="612"/>
      <c r="I10556" s="612"/>
      <c r="J10556" s="612"/>
      <c r="K10556" s="612"/>
      <c r="L10556" s="612"/>
    </row>
    <row r="10557" spans="1:12" ht="24" customHeight="1">
      <c r="A10557" s="636"/>
      <c r="B10557" s="636"/>
      <c r="C10557" s="636"/>
      <c r="D10557" s="636"/>
      <c r="E10557" s="636"/>
      <c r="F10557" s="636"/>
      <c r="G10557" s="636"/>
      <c r="H10557" s="636"/>
      <c r="I10557" s="636"/>
      <c r="J10557" s="636" t="s">
        <v>13672</v>
      </c>
      <c r="K10557" s="636"/>
      <c r="L10557" s="636" t="s">
        <v>14992</v>
      </c>
    </row>
    <row r="10558" spans="1:12" ht="24" customHeight="1">
      <c r="A10558" s="636"/>
      <c r="B10558" s="636"/>
      <c r="C10558" s="636"/>
      <c r="D10558" s="636"/>
      <c r="E10558" s="636"/>
      <c r="F10558" s="636"/>
      <c r="G10558" s="636"/>
      <c r="H10558" s="636"/>
      <c r="I10558" s="636"/>
      <c r="J10558" s="636" t="s">
        <v>13671</v>
      </c>
      <c r="K10558" s="636" t="s">
        <v>14461</v>
      </c>
      <c r="L10558" s="636" t="s">
        <v>14993</v>
      </c>
    </row>
    <row r="10559" spans="1:12" ht="17.100000000000001" customHeight="1">
      <c r="A10559" s="636"/>
      <c r="B10559" s="636"/>
      <c r="C10559" s="636"/>
      <c r="D10559" s="636"/>
      <c r="E10559" s="636"/>
      <c r="F10559" s="636"/>
      <c r="G10559" s="636"/>
      <c r="H10559" s="636"/>
      <c r="I10559" s="636"/>
      <c r="J10559" s="636" t="s">
        <v>13670</v>
      </c>
      <c r="K10559" s="636"/>
      <c r="L10559" s="636" t="s">
        <v>14994</v>
      </c>
    </row>
    <row r="10560" spans="1:12" ht="17.100000000000001" customHeight="1">
      <c r="A10560" s="636"/>
      <c r="B10560" s="636"/>
      <c r="C10560" s="636"/>
      <c r="D10560" s="636"/>
      <c r="E10560" s="636"/>
      <c r="F10560" s="636"/>
      <c r="G10560" s="636"/>
      <c r="H10560" s="636"/>
      <c r="I10560" s="636"/>
      <c r="J10560" s="636" t="s">
        <v>13669</v>
      </c>
      <c r="K10560" s="636" t="s">
        <v>13667</v>
      </c>
      <c r="L10560" s="636" t="s">
        <v>14995</v>
      </c>
    </row>
    <row r="10561" spans="1:12" ht="17.100000000000001" customHeight="1">
      <c r="A10561" s="636"/>
      <c r="B10561" s="636"/>
      <c r="C10561" s="636"/>
      <c r="D10561" s="636"/>
      <c r="E10561" s="636"/>
      <c r="F10561" s="636"/>
      <c r="G10561" s="636"/>
      <c r="H10561" s="636"/>
      <c r="I10561" s="636"/>
      <c r="J10561" s="636" t="s">
        <v>13668</v>
      </c>
      <c r="K10561" s="636"/>
      <c r="L10561" s="636" t="s">
        <v>14996</v>
      </c>
    </row>
    <row r="10562" spans="1:12" ht="17.100000000000001" customHeight="1">
      <c r="A10562" s="637"/>
      <c r="B10562" s="637"/>
      <c r="C10562" s="637"/>
      <c r="D10562" s="637"/>
      <c r="E10562" s="637"/>
      <c r="F10562" s="637"/>
      <c r="G10562" s="637"/>
      <c r="H10562" s="637"/>
      <c r="I10562" s="637"/>
      <c r="J10562" s="637"/>
      <c r="K10562" s="637"/>
      <c r="L10562" s="637"/>
    </row>
    <row r="10563" spans="1:12" ht="17.100000000000001" customHeight="1">
      <c r="A10563" s="616" t="s">
        <v>13736</v>
      </c>
      <c r="B10563" s="617" t="s">
        <v>13637</v>
      </c>
      <c r="C10563" s="616" t="s">
        <v>8</v>
      </c>
      <c r="D10563" s="616" t="s">
        <v>38</v>
      </c>
      <c r="E10563" s="618" t="s">
        <v>12730</v>
      </c>
      <c r="F10563" s="617"/>
      <c r="G10563" s="617"/>
      <c r="H10563" s="617"/>
      <c r="I10563" s="617"/>
      <c r="J10563" s="617"/>
      <c r="K10563" s="617"/>
      <c r="L10563" s="617"/>
    </row>
    <row r="10564" spans="1:12" ht="17.100000000000001" customHeight="1">
      <c r="A10564" s="802" t="s">
        <v>12711</v>
      </c>
      <c r="B10564" s="802"/>
      <c r="C10564" s="802"/>
      <c r="D10564" s="802"/>
      <c r="E10564" s="802"/>
      <c r="F10564" s="802"/>
      <c r="G10564" s="802"/>
      <c r="H10564" s="802"/>
      <c r="I10564" s="612"/>
      <c r="J10564" s="612"/>
      <c r="K10564" s="612"/>
      <c r="L10564" s="612"/>
    </row>
    <row r="10565" spans="1:12" ht="17.100000000000001" customHeight="1">
      <c r="A10565" s="612" t="s">
        <v>13679</v>
      </c>
      <c r="B10565" s="636" t="s">
        <v>12698</v>
      </c>
      <c r="C10565" s="612" t="s">
        <v>12699</v>
      </c>
      <c r="D10565" s="612" t="s">
        <v>12700</v>
      </c>
      <c r="E10565" s="637" t="s">
        <v>12702</v>
      </c>
      <c r="F10565" s="801" t="s">
        <v>12704</v>
      </c>
      <c r="G10565" s="801"/>
      <c r="H10565" s="801" t="s">
        <v>13678</v>
      </c>
      <c r="I10565" s="801"/>
      <c r="J10565" s="801" t="s">
        <v>12705</v>
      </c>
      <c r="K10565" s="801"/>
      <c r="L10565" s="801"/>
    </row>
    <row r="10566" spans="1:12" ht="30" customHeight="1">
      <c r="A10566" s="626" t="s">
        <v>12709</v>
      </c>
      <c r="B10566" s="627" t="s">
        <v>13280</v>
      </c>
      <c r="C10566" s="626" t="s">
        <v>8</v>
      </c>
      <c r="D10566" s="626" t="s">
        <v>8193</v>
      </c>
      <c r="E10566" s="628" t="s">
        <v>35</v>
      </c>
      <c r="F10566" s="816" t="s">
        <v>14491</v>
      </c>
      <c r="G10566" s="816"/>
      <c r="H10566" s="816">
        <v>1.26E-5</v>
      </c>
      <c r="I10566" s="816"/>
      <c r="J10566" s="817">
        <v>3.6513</v>
      </c>
      <c r="K10566" s="817"/>
      <c r="L10566" s="817"/>
    </row>
    <row r="10567" spans="1:12" ht="48" customHeight="1">
      <c r="A10567" s="626" t="s">
        <v>12709</v>
      </c>
      <c r="B10567" s="627" t="s">
        <v>13003</v>
      </c>
      <c r="C10567" s="626" t="s">
        <v>8</v>
      </c>
      <c r="D10567" s="626" t="s">
        <v>9227</v>
      </c>
      <c r="E10567" s="628" t="s">
        <v>23</v>
      </c>
      <c r="F10567" s="816" t="s">
        <v>13732</v>
      </c>
      <c r="G10567" s="816"/>
      <c r="H10567" s="816">
        <v>0.2493167</v>
      </c>
      <c r="I10567" s="816"/>
      <c r="J10567" s="817">
        <v>0.16450000000000001</v>
      </c>
      <c r="K10567" s="817"/>
      <c r="L10567" s="817"/>
    </row>
    <row r="10568" spans="1:12" ht="14.25" customHeight="1">
      <c r="A10568" s="626" t="s">
        <v>12709</v>
      </c>
      <c r="B10568" s="627" t="s">
        <v>13001</v>
      </c>
      <c r="C10568" s="626" t="s">
        <v>8</v>
      </c>
      <c r="D10568" s="626" t="s">
        <v>9374</v>
      </c>
      <c r="E10568" s="628" t="s">
        <v>23</v>
      </c>
      <c r="F10568" s="816" t="s">
        <v>13728</v>
      </c>
      <c r="G10568" s="816"/>
      <c r="H10568" s="816">
        <v>0.2493167</v>
      </c>
      <c r="I10568" s="816"/>
      <c r="J10568" s="817">
        <v>2.5000000000000001E-3</v>
      </c>
      <c r="K10568" s="817"/>
      <c r="L10568" s="817"/>
    </row>
    <row r="10569" spans="1:12" ht="17.100000000000001" customHeight="1">
      <c r="A10569" s="626" t="s">
        <v>12709</v>
      </c>
      <c r="B10569" s="627" t="s">
        <v>13048</v>
      </c>
      <c r="C10569" s="626" t="s">
        <v>8</v>
      </c>
      <c r="D10569" s="626" t="s">
        <v>9233</v>
      </c>
      <c r="E10569" s="628" t="s">
        <v>23</v>
      </c>
      <c r="F10569" s="816" t="s">
        <v>13690</v>
      </c>
      <c r="G10569" s="816"/>
      <c r="H10569" s="816">
        <v>0.69808680000000001</v>
      </c>
      <c r="I10569" s="816"/>
      <c r="J10569" s="817">
        <v>0.71199999999999997</v>
      </c>
      <c r="K10569" s="817"/>
      <c r="L10569" s="817"/>
    </row>
    <row r="10570" spans="1:12" ht="24" customHeight="1">
      <c r="A10570" s="626" t="s">
        <v>12709</v>
      </c>
      <c r="B10570" s="627" t="s">
        <v>13047</v>
      </c>
      <c r="C10570" s="626" t="s">
        <v>8</v>
      </c>
      <c r="D10570" s="626" t="s">
        <v>9380</v>
      </c>
      <c r="E10570" s="628" t="s">
        <v>23</v>
      </c>
      <c r="F10570" s="816" t="s">
        <v>13689</v>
      </c>
      <c r="G10570" s="816"/>
      <c r="H10570" s="816">
        <v>0.69808680000000001</v>
      </c>
      <c r="I10570" s="816"/>
      <c r="J10570" s="817">
        <v>0.26529999999999998</v>
      </c>
      <c r="K10570" s="817"/>
      <c r="L10570" s="817"/>
    </row>
    <row r="10571" spans="1:12" ht="24" customHeight="1">
      <c r="A10571" s="636"/>
      <c r="B10571" s="636"/>
      <c r="C10571" s="636"/>
      <c r="D10571" s="636"/>
      <c r="E10571" s="636"/>
      <c r="F10571" s="636"/>
      <c r="G10571" s="636"/>
      <c r="H10571" s="636"/>
      <c r="I10571" s="636"/>
      <c r="J10571" s="636" t="s">
        <v>13675</v>
      </c>
      <c r="K10571" s="636"/>
      <c r="L10571" s="636" t="s">
        <v>13949</v>
      </c>
    </row>
    <row r="10572" spans="1:12" ht="24" customHeight="1">
      <c r="A10572" s="802" t="s">
        <v>12710</v>
      </c>
      <c r="B10572" s="802"/>
      <c r="C10572" s="802"/>
      <c r="D10572" s="802"/>
      <c r="E10572" s="802"/>
      <c r="F10572" s="802"/>
      <c r="G10572" s="802"/>
      <c r="H10572" s="802"/>
      <c r="I10572" s="612"/>
      <c r="J10572" s="612"/>
      <c r="K10572" s="612"/>
      <c r="L10572" s="612"/>
    </row>
    <row r="10573" spans="1:12" ht="24" customHeight="1">
      <c r="A10573" s="612" t="s">
        <v>13679</v>
      </c>
      <c r="B10573" s="636" t="s">
        <v>12698</v>
      </c>
      <c r="C10573" s="612" t="s">
        <v>12699</v>
      </c>
      <c r="D10573" s="612" t="s">
        <v>12700</v>
      </c>
      <c r="E10573" s="637" t="s">
        <v>12702</v>
      </c>
      <c r="F10573" s="801" t="s">
        <v>12704</v>
      </c>
      <c r="G10573" s="801"/>
      <c r="H10573" s="801" t="s">
        <v>13678</v>
      </c>
      <c r="I10573" s="801"/>
      <c r="J10573" s="801" t="s">
        <v>12705</v>
      </c>
      <c r="K10573" s="801"/>
      <c r="L10573" s="801"/>
    </row>
    <row r="10574" spans="1:12" ht="17.100000000000001" customHeight="1">
      <c r="A10574" s="626" t="s">
        <v>12709</v>
      </c>
      <c r="B10574" s="627" t="s">
        <v>13129</v>
      </c>
      <c r="C10574" s="626" t="s">
        <v>8</v>
      </c>
      <c r="D10574" s="626" t="s">
        <v>10467</v>
      </c>
      <c r="E10574" s="628" t="s">
        <v>23</v>
      </c>
      <c r="F10574" s="816" t="s">
        <v>14252</v>
      </c>
      <c r="G10574" s="816"/>
      <c r="H10574" s="816">
        <v>0.25041940000000001</v>
      </c>
      <c r="I10574" s="816"/>
      <c r="J10574" s="817">
        <v>1.2971999999999999</v>
      </c>
      <c r="K10574" s="817"/>
      <c r="L10574" s="817"/>
    </row>
    <row r="10575" spans="1:12" ht="14.25" customHeight="1">
      <c r="A10575" s="626" t="s">
        <v>12709</v>
      </c>
      <c r="B10575" s="627" t="s">
        <v>13046</v>
      </c>
      <c r="C10575" s="626" t="s">
        <v>8</v>
      </c>
      <c r="D10575" s="626" t="s">
        <v>11281</v>
      </c>
      <c r="E10575" s="628" t="s">
        <v>23</v>
      </c>
      <c r="F10575" s="816" t="s">
        <v>13731</v>
      </c>
      <c r="G10575" s="816"/>
      <c r="H10575" s="816">
        <v>0.70893030000000001</v>
      </c>
      <c r="I10575" s="816"/>
      <c r="J10575" s="817">
        <v>3.6438999999999999</v>
      </c>
      <c r="K10575" s="817"/>
      <c r="L10575" s="817"/>
    </row>
    <row r="10576" spans="1:12" ht="17.100000000000001" customHeight="1">
      <c r="A10576" s="636"/>
      <c r="B10576" s="636"/>
      <c r="C10576" s="636"/>
      <c r="D10576" s="636"/>
      <c r="E10576" s="636"/>
      <c r="F10576" s="636"/>
      <c r="G10576" s="636"/>
      <c r="H10576" s="636"/>
      <c r="I10576" s="636"/>
      <c r="J10576" s="636" t="s">
        <v>13675</v>
      </c>
      <c r="K10576" s="636"/>
      <c r="L10576" s="636" t="s">
        <v>14490</v>
      </c>
    </row>
    <row r="10577" spans="1:12" ht="24" customHeight="1">
      <c r="A10577" s="802" t="s">
        <v>12720</v>
      </c>
      <c r="B10577" s="802"/>
      <c r="C10577" s="802"/>
      <c r="D10577" s="802"/>
      <c r="E10577" s="802"/>
      <c r="F10577" s="802"/>
      <c r="G10577" s="802"/>
      <c r="H10577" s="802"/>
      <c r="I10577" s="612"/>
      <c r="J10577" s="612"/>
      <c r="K10577" s="612"/>
      <c r="L10577" s="612"/>
    </row>
    <row r="10578" spans="1:12" ht="24" customHeight="1">
      <c r="A10578" s="612" t="s">
        <v>13679</v>
      </c>
      <c r="B10578" s="636" t="s">
        <v>12698</v>
      </c>
      <c r="C10578" s="612" t="s">
        <v>12699</v>
      </c>
      <c r="D10578" s="612" t="s">
        <v>12700</v>
      </c>
      <c r="E10578" s="637" t="s">
        <v>12702</v>
      </c>
      <c r="F10578" s="801" t="s">
        <v>12704</v>
      </c>
      <c r="G10578" s="801"/>
      <c r="H10578" s="801" t="s">
        <v>13678</v>
      </c>
      <c r="I10578" s="801"/>
      <c r="J10578" s="801" t="s">
        <v>12705</v>
      </c>
      <c r="K10578" s="801"/>
      <c r="L10578" s="801"/>
    </row>
    <row r="10579" spans="1:12" ht="17.100000000000001" customHeight="1">
      <c r="A10579" s="626" t="s">
        <v>12709</v>
      </c>
      <c r="B10579" s="627" t="s">
        <v>13281</v>
      </c>
      <c r="C10579" s="626" t="s">
        <v>8</v>
      </c>
      <c r="D10579" s="626" t="s">
        <v>8070</v>
      </c>
      <c r="E10579" s="628" t="s">
        <v>35</v>
      </c>
      <c r="F10579" s="816" t="s">
        <v>13730</v>
      </c>
      <c r="G10579" s="816"/>
      <c r="H10579" s="816">
        <v>1.26E-5</v>
      </c>
      <c r="I10579" s="816"/>
      <c r="J10579" s="817">
        <v>0.42749999999999999</v>
      </c>
      <c r="K10579" s="817"/>
      <c r="L10579" s="817"/>
    </row>
    <row r="10580" spans="1:12">
      <c r="A10580" s="636"/>
      <c r="B10580" s="636"/>
      <c r="C10580" s="636"/>
      <c r="D10580" s="636"/>
      <c r="E10580" s="636"/>
      <c r="F10580" s="636"/>
      <c r="G10580" s="636"/>
      <c r="H10580" s="636"/>
      <c r="I10580" s="636"/>
      <c r="J10580" s="636" t="s">
        <v>13675</v>
      </c>
      <c r="K10580" s="636"/>
      <c r="L10580" s="636" t="s">
        <v>13717</v>
      </c>
    </row>
    <row r="10581" spans="1:12" ht="17.100000000000001" customHeight="1">
      <c r="A10581" s="802" t="s">
        <v>12722</v>
      </c>
      <c r="B10581" s="802"/>
      <c r="C10581" s="802"/>
      <c r="D10581" s="802"/>
      <c r="E10581" s="802"/>
      <c r="F10581" s="802"/>
      <c r="G10581" s="802"/>
      <c r="H10581" s="802"/>
      <c r="I10581" s="612"/>
      <c r="J10581" s="612"/>
      <c r="K10581" s="612"/>
      <c r="L10581" s="612"/>
    </row>
    <row r="10582" spans="1:12" ht="36" customHeight="1">
      <c r="A10582" s="612" t="s">
        <v>13679</v>
      </c>
      <c r="B10582" s="636" t="s">
        <v>12698</v>
      </c>
      <c r="C10582" s="612" t="s">
        <v>12699</v>
      </c>
      <c r="D10582" s="612" t="s">
        <v>12700</v>
      </c>
      <c r="E10582" s="637" t="s">
        <v>12702</v>
      </c>
      <c r="F10582" s="801" t="s">
        <v>12704</v>
      </c>
      <c r="G10582" s="801"/>
      <c r="H10582" s="801" t="s">
        <v>13678</v>
      </c>
      <c r="I10582" s="801"/>
      <c r="J10582" s="801" t="s">
        <v>12705</v>
      </c>
      <c r="K10582" s="801"/>
      <c r="L10582" s="801"/>
    </row>
    <row r="10583" spans="1:12" ht="60" customHeight="1">
      <c r="A10583" s="626" t="s">
        <v>12709</v>
      </c>
      <c r="B10583" s="627" t="s">
        <v>12998</v>
      </c>
      <c r="C10583" s="626" t="s">
        <v>8</v>
      </c>
      <c r="D10583" s="626" t="s">
        <v>11861</v>
      </c>
      <c r="E10583" s="628" t="s">
        <v>23</v>
      </c>
      <c r="F10583" s="816" t="s">
        <v>13683</v>
      </c>
      <c r="G10583" s="816"/>
      <c r="H10583" s="816">
        <v>0.94740360000000001</v>
      </c>
      <c r="I10583" s="816"/>
      <c r="J10583" s="817">
        <v>0.67269999999999996</v>
      </c>
      <c r="K10583" s="817"/>
      <c r="L10583" s="817"/>
    </row>
    <row r="10584" spans="1:12" ht="36" customHeight="1">
      <c r="A10584" s="636"/>
      <c r="B10584" s="636"/>
      <c r="C10584" s="636"/>
      <c r="D10584" s="636"/>
      <c r="E10584" s="636"/>
      <c r="F10584" s="636"/>
      <c r="G10584" s="636"/>
      <c r="H10584" s="636"/>
      <c r="I10584" s="636"/>
      <c r="J10584" s="636" t="s">
        <v>13675</v>
      </c>
      <c r="K10584" s="636"/>
      <c r="L10584" s="636" t="s">
        <v>13735</v>
      </c>
    </row>
    <row r="10585" spans="1:12" ht="48" customHeight="1">
      <c r="A10585" s="802" t="s">
        <v>12713</v>
      </c>
      <c r="B10585" s="802"/>
      <c r="C10585" s="802"/>
      <c r="D10585" s="802"/>
      <c r="E10585" s="802"/>
      <c r="F10585" s="802"/>
      <c r="G10585" s="802"/>
      <c r="H10585" s="802"/>
      <c r="I10585" s="612"/>
      <c r="J10585" s="612"/>
      <c r="K10585" s="612"/>
      <c r="L10585" s="612"/>
    </row>
    <row r="10586" spans="1:12" ht="36" customHeight="1">
      <c r="A10586" s="612" t="s">
        <v>13679</v>
      </c>
      <c r="B10586" s="636" t="s">
        <v>12698</v>
      </c>
      <c r="C10586" s="612" t="s">
        <v>12699</v>
      </c>
      <c r="D10586" s="612" t="s">
        <v>12700</v>
      </c>
      <c r="E10586" s="637" t="s">
        <v>12702</v>
      </c>
      <c r="F10586" s="801" t="s">
        <v>12704</v>
      </c>
      <c r="G10586" s="801"/>
      <c r="H10586" s="801" t="s">
        <v>13678</v>
      </c>
      <c r="I10586" s="801"/>
      <c r="J10586" s="801" t="s">
        <v>12705</v>
      </c>
      <c r="K10586" s="801"/>
      <c r="L10586" s="801"/>
    </row>
    <row r="10587" spans="1:12" ht="48" customHeight="1">
      <c r="A10587" s="626" t="s">
        <v>12709</v>
      </c>
      <c r="B10587" s="627" t="s">
        <v>12999</v>
      </c>
      <c r="C10587" s="626" t="s">
        <v>8</v>
      </c>
      <c r="D10587" s="626" t="s">
        <v>11251</v>
      </c>
      <c r="E10587" s="628" t="s">
        <v>23</v>
      </c>
      <c r="F10587" s="816" t="s">
        <v>13681</v>
      </c>
      <c r="G10587" s="816"/>
      <c r="H10587" s="816">
        <v>0.94740360000000001</v>
      </c>
      <c r="I10587" s="816"/>
      <c r="J10587" s="817">
        <v>6.6299999999999998E-2</v>
      </c>
      <c r="K10587" s="817"/>
      <c r="L10587" s="817"/>
    </row>
    <row r="10588" spans="1:12" ht="17.100000000000001" customHeight="1">
      <c r="A10588" s="636"/>
      <c r="B10588" s="636"/>
      <c r="C10588" s="636"/>
      <c r="D10588" s="636"/>
      <c r="E10588" s="636"/>
      <c r="F10588" s="636"/>
      <c r="G10588" s="636"/>
      <c r="H10588" s="636"/>
      <c r="I10588" s="636"/>
      <c r="J10588" s="636" t="s">
        <v>13675</v>
      </c>
      <c r="K10588" s="636"/>
      <c r="L10588" s="636" t="s">
        <v>13681</v>
      </c>
    </row>
    <row r="10589" spans="1:12">
      <c r="A10589" s="802" t="s">
        <v>12712</v>
      </c>
      <c r="B10589" s="802"/>
      <c r="C10589" s="802"/>
      <c r="D10589" s="802"/>
      <c r="E10589" s="802"/>
      <c r="F10589" s="802"/>
      <c r="G10589" s="802"/>
      <c r="H10589" s="802"/>
      <c r="I10589" s="612"/>
      <c r="J10589" s="612"/>
      <c r="K10589" s="612"/>
      <c r="L10589" s="612"/>
    </row>
    <row r="10590" spans="1:12" ht="17.100000000000001" customHeight="1">
      <c r="A10590" s="612" t="s">
        <v>13679</v>
      </c>
      <c r="B10590" s="636" t="s">
        <v>12698</v>
      </c>
      <c r="C10590" s="612" t="s">
        <v>12699</v>
      </c>
      <c r="D10590" s="612" t="s">
        <v>12700</v>
      </c>
      <c r="E10590" s="637" t="s">
        <v>12702</v>
      </c>
      <c r="F10590" s="801" t="s">
        <v>12704</v>
      </c>
      <c r="G10590" s="801"/>
      <c r="H10590" s="801" t="s">
        <v>13678</v>
      </c>
      <c r="I10590" s="801"/>
      <c r="J10590" s="801" t="s">
        <v>12705</v>
      </c>
      <c r="K10590" s="801"/>
      <c r="L10590" s="801"/>
    </row>
    <row r="10591" spans="1:12" ht="24" customHeight="1">
      <c r="A10591" s="626" t="s">
        <v>12709</v>
      </c>
      <c r="B10591" s="627" t="s">
        <v>13002</v>
      </c>
      <c r="C10591" s="626" t="s">
        <v>8</v>
      </c>
      <c r="D10591" s="626" t="s">
        <v>9306</v>
      </c>
      <c r="E10591" s="628" t="s">
        <v>23</v>
      </c>
      <c r="F10591" s="816" t="s">
        <v>13677</v>
      </c>
      <c r="G10591" s="816"/>
      <c r="H10591" s="816">
        <v>0.94740360000000001</v>
      </c>
      <c r="I10591" s="816"/>
      <c r="J10591" s="817">
        <v>0.33160000000000001</v>
      </c>
      <c r="K10591" s="817"/>
      <c r="L10591" s="817"/>
    </row>
    <row r="10592" spans="1:12" ht="17.100000000000001" customHeight="1">
      <c r="A10592" s="626" t="s">
        <v>12709</v>
      </c>
      <c r="B10592" s="627" t="s">
        <v>13004</v>
      </c>
      <c r="C10592" s="626" t="s">
        <v>8</v>
      </c>
      <c r="D10592" s="626" t="s">
        <v>7388</v>
      </c>
      <c r="E10592" s="628" t="s">
        <v>23</v>
      </c>
      <c r="F10592" s="816" t="s">
        <v>13676</v>
      </c>
      <c r="G10592" s="816"/>
      <c r="H10592" s="816">
        <v>0.94740360000000001</v>
      </c>
      <c r="I10592" s="816"/>
      <c r="J10592" s="817">
        <v>2.0842999999999998</v>
      </c>
      <c r="K10592" s="817"/>
      <c r="L10592" s="817"/>
    </row>
    <row r="10593" spans="1:12">
      <c r="A10593" s="636"/>
      <c r="B10593" s="636"/>
      <c r="C10593" s="636"/>
      <c r="D10593" s="636"/>
      <c r="E10593" s="636"/>
      <c r="F10593" s="636"/>
      <c r="G10593" s="636"/>
      <c r="H10593" s="636"/>
      <c r="I10593" s="636"/>
      <c r="J10593" s="636" t="s">
        <v>13675</v>
      </c>
      <c r="K10593" s="636"/>
      <c r="L10593" s="636" t="s">
        <v>13734</v>
      </c>
    </row>
    <row r="10594" spans="1:12" ht="17.100000000000001" customHeight="1">
      <c r="A10594" s="612" t="s">
        <v>13673</v>
      </c>
      <c r="B10594" s="612"/>
      <c r="C10594" s="612"/>
      <c r="D10594" s="612"/>
      <c r="E10594" s="612"/>
      <c r="F10594" s="612"/>
      <c r="G10594" s="612"/>
      <c r="H10594" s="612"/>
      <c r="I10594" s="612"/>
      <c r="J10594" s="612"/>
      <c r="K10594" s="612"/>
      <c r="L10594" s="612"/>
    </row>
    <row r="10595" spans="1:12" ht="24" customHeight="1">
      <c r="A10595" s="636"/>
      <c r="B10595" s="636"/>
      <c r="C10595" s="636"/>
      <c r="D10595" s="636"/>
      <c r="E10595" s="636"/>
      <c r="F10595" s="636"/>
      <c r="G10595" s="636"/>
      <c r="H10595" s="636"/>
      <c r="I10595" s="636"/>
      <c r="J10595" s="636" t="s">
        <v>13672</v>
      </c>
      <c r="K10595" s="636"/>
      <c r="L10595" s="636" t="s">
        <v>14959</v>
      </c>
    </row>
    <row r="10596" spans="1:12" ht="17.100000000000001" customHeight="1">
      <c r="A10596" s="636"/>
      <c r="B10596" s="636"/>
      <c r="C10596" s="636"/>
      <c r="D10596" s="636"/>
      <c r="E10596" s="636"/>
      <c r="F10596" s="636"/>
      <c r="G10596" s="636"/>
      <c r="H10596" s="636"/>
      <c r="I10596" s="636"/>
      <c r="J10596" s="636" t="s">
        <v>13671</v>
      </c>
      <c r="K10596" s="636" t="s">
        <v>14461</v>
      </c>
      <c r="L10596" s="636" t="s">
        <v>14960</v>
      </c>
    </row>
    <row r="10597" spans="1:12">
      <c r="A10597" s="636"/>
      <c r="B10597" s="636"/>
      <c r="C10597" s="636"/>
      <c r="D10597" s="636"/>
      <c r="E10597" s="636"/>
      <c r="F10597" s="636"/>
      <c r="G10597" s="636"/>
      <c r="H10597" s="636"/>
      <c r="I10597" s="636"/>
      <c r="J10597" s="636" t="s">
        <v>13670</v>
      </c>
      <c r="K10597" s="636"/>
      <c r="L10597" s="636" t="s">
        <v>14961</v>
      </c>
    </row>
    <row r="10598" spans="1:12" ht="17.100000000000001" customHeight="1">
      <c r="A10598" s="636"/>
      <c r="B10598" s="636"/>
      <c r="C10598" s="636"/>
      <c r="D10598" s="636"/>
      <c r="E10598" s="636"/>
      <c r="F10598" s="636"/>
      <c r="G10598" s="636"/>
      <c r="H10598" s="636"/>
      <c r="I10598" s="636"/>
      <c r="J10598" s="636" t="s">
        <v>13669</v>
      </c>
      <c r="K10598" s="636" t="s">
        <v>13667</v>
      </c>
      <c r="L10598" s="636" t="s">
        <v>14962</v>
      </c>
    </row>
    <row r="10599" spans="1:12" ht="24" customHeight="1">
      <c r="A10599" s="636"/>
      <c r="B10599" s="636"/>
      <c r="C10599" s="636"/>
      <c r="D10599" s="636"/>
      <c r="E10599" s="636"/>
      <c r="F10599" s="636"/>
      <c r="G10599" s="636"/>
      <c r="H10599" s="636"/>
      <c r="I10599" s="636"/>
      <c r="J10599" s="636" t="s">
        <v>13668</v>
      </c>
      <c r="K10599" s="636"/>
      <c r="L10599" s="636" t="s">
        <v>14963</v>
      </c>
    </row>
    <row r="10600" spans="1:12" ht="24" customHeight="1">
      <c r="A10600" s="637"/>
      <c r="B10600" s="637"/>
      <c r="C10600" s="637"/>
      <c r="D10600" s="637"/>
      <c r="E10600" s="637"/>
      <c r="F10600" s="637"/>
      <c r="G10600" s="637"/>
      <c r="H10600" s="637"/>
      <c r="I10600" s="637"/>
      <c r="J10600" s="637"/>
      <c r="K10600" s="637"/>
      <c r="L10600" s="637"/>
    </row>
    <row r="10601" spans="1:12" ht="17.100000000000001" customHeight="1">
      <c r="A10601" s="616" t="s">
        <v>13733</v>
      </c>
      <c r="B10601" s="617" t="s">
        <v>13655</v>
      </c>
      <c r="C10601" s="616" t="s">
        <v>8</v>
      </c>
      <c r="D10601" s="616" t="s">
        <v>4680</v>
      </c>
      <c r="E10601" s="618" t="s">
        <v>144</v>
      </c>
      <c r="F10601" s="617"/>
      <c r="G10601" s="617"/>
      <c r="H10601" s="617"/>
      <c r="I10601" s="617"/>
      <c r="J10601" s="617"/>
      <c r="K10601" s="617"/>
      <c r="L10601" s="617"/>
    </row>
    <row r="10602" spans="1:12" ht="17.100000000000001" customHeight="1">
      <c r="A10602" s="802" t="s">
        <v>12711</v>
      </c>
      <c r="B10602" s="802"/>
      <c r="C10602" s="802"/>
      <c r="D10602" s="802"/>
      <c r="E10602" s="802"/>
      <c r="F10602" s="802"/>
      <c r="G10602" s="802"/>
      <c r="H10602" s="802"/>
      <c r="I10602" s="612"/>
      <c r="J10602" s="612"/>
      <c r="K10602" s="612"/>
      <c r="L10602" s="612"/>
    </row>
    <row r="10603" spans="1:12" ht="17.100000000000001" customHeight="1">
      <c r="A10603" s="612" t="s">
        <v>13679</v>
      </c>
      <c r="B10603" s="636" t="s">
        <v>12698</v>
      </c>
      <c r="C10603" s="612" t="s">
        <v>12699</v>
      </c>
      <c r="D10603" s="612" t="s">
        <v>12700</v>
      </c>
      <c r="E10603" s="637" t="s">
        <v>12702</v>
      </c>
      <c r="F10603" s="801" t="s">
        <v>12704</v>
      </c>
      <c r="G10603" s="801"/>
      <c r="H10603" s="801" t="s">
        <v>13678</v>
      </c>
      <c r="I10603" s="801"/>
      <c r="J10603" s="801" t="s">
        <v>12705</v>
      </c>
      <c r="K10603" s="801"/>
      <c r="L10603" s="801"/>
    </row>
    <row r="10604" spans="1:12" ht="17.100000000000001" customHeight="1">
      <c r="A10604" s="626" t="s">
        <v>12709</v>
      </c>
      <c r="B10604" s="627" t="s">
        <v>13289</v>
      </c>
      <c r="C10604" s="626" t="s">
        <v>8</v>
      </c>
      <c r="D10604" s="626" t="s">
        <v>8192</v>
      </c>
      <c r="E10604" s="628" t="s">
        <v>35</v>
      </c>
      <c r="F10604" s="816" t="s">
        <v>14489</v>
      </c>
      <c r="G10604" s="816"/>
      <c r="H10604" s="816">
        <v>1.3999999999999999E-6</v>
      </c>
      <c r="I10604" s="816"/>
      <c r="J10604" s="817">
        <v>0.38529999999999998</v>
      </c>
      <c r="K10604" s="817"/>
      <c r="L10604" s="817"/>
    </row>
    <row r="10605" spans="1:12" ht="17.100000000000001" customHeight="1">
      <c r="A10605" s="626" t="s">
        <v>12709</v>
      </c>
      <c r="B10605" s="627" t="s">
        <v>13003</v>
      </c>
      <c r="C10605" s="626" t="s">
        <v>8</v>
      </c>
      <c r="D10605" s="626" t="s">
        <v>9227</v>
      </c>
      <c r="E10605" s="628" t="s">
        <v>23</v>
      </c>
      <c r="F10605" s="816" t="s">
        <v>13732</v>
      </c>
      <c r="G10605" s="816"/>
      <c r="H10605" s="816">
        <v>1.3021899999999999E-2</v>
      </c>
      <c r="I10605" s="816"/>
      <c r="J10605" s="817">
        <v>8.6E-3</v>
      </c>
      <c r="K10605" s="817"/>
      <c r="L10605" s="817"/>
    </row>
    <row r="10606" spans="1:12" ht="17.100000000000001" customHeight="1">
      <c r="A10606" s="626" t="s">
        <v>12709</v>
      </c>
      <c r="B10606" s="627" t="s">
        <v>13001</v>
      </c>
      <c r="C10606" s="626" t="s">
        <v>8</v>
      </c>
      <c r="D10606" s="626" t="s">
        <v>9374</v>
      </c>
      <c r="E10606" s="628" t="s">
        <v>23</v>
      </c>
      <c r="F10606" s="816" t="s">
        <v>13728</v>
      </c>
      <c r="G10606" s="816"/>
      <c r="H10606" s="816">
        <v>1.3021899999999999E-2</v>
      </c>
      <c r="I10606" s="816"/>
      <c r="J10606" s="817">
        <v>1E-4</v>
      </c>
      <c r="K10606" s="817"/>
      <c r="L10606" s="817"/>
    </row>
    <row r="10607" spans="1:12" ht="17.100000000000001" customHeight="1">
      <c r="A10607" s="636"/>
      <c r="B10607" s="636"/>
      <c r="C10607" s="636"/>
      <c r="D10607" s="636"/>
      <c r="E10607" s="636"/>
      <c r="F10607" s="636"/>
      <c r="G10607" s="636"/>
      <c r="H10607" s="636"/>
      <c r="I10607" s="636"/>
      <c r="J10607" s="636" t="s">
        <v>13675</v>
      </c>
      <c r="K10607" s="636"/>
      <c r="L10607" s="636" t="s">
        <v>13784</v>
      </c>
    </row>
    <row r="10608" spans="1:12" ht="30" customHeight="1">
      <c r="A10608" s="802" t="s">
        <v>12710</v>
      </c>
      <c r="B10608" s="802"/>
      <c r="C10608" s="802"/>
      <c r="D10608" s="802"/>
      <c r="E10608" s="802"/>
      <c r="F10608" s="802"/>
      <c r="G10608" s="802"/>
      <c r="H10608" s="802"/>
      <c r="I10608" s="612"/>
      <c r="J10608" s="612"/>
      <c r="K10608" s="612"/>
      <c r="L10608" s="612"/>
    </row>
    <row r="10609" spans="1:12" ht="60" customHeight="1">
      <c r="A10609" s="612" t="s">
        <v>13679</v>
      </c>
      <c r="B10609" s="636" t="s">
        <v>12698</v>
      </c>
      <c r="C10609" s="612" t="s">
        <v>12699</v>
      </c>
      <c r="D10609" s="612" t="s">
        <v>12700</v>
      </c>
      <c r="E10609" s="637" t="s">
        <v>12702</v>
      </c>
      <c r="F10609" s="801" t="s">
        <v>12704</v>
      </c>
      <c r="G10609" s="801"/>
      <c r="H10609" s="801" t="s">
        <v>13678</v>
      </c>
      <c r="I10609" s="801"/>
      <c r="J10609" s="801" t="s">
        <v>12705</v>
      </c>
      <c r="K10609" s="801"/>
      <c r="L10609" s="801"/>
    </row>
    <row r="10610" spans="1:12" ht="14.25" customHeight="1">
      <c r="A10610" s="626" t="s">
        <v>12709</v>
      </c>
      <c r="B10610" s="627" t="s">
        <v>13129</v>
      </c>
      <c r="C10610" s="626" t="s">
        <v>8</v>
      </c>
      <c r="D10610" s="626" t="s">
        <v>10467</v>
      </c>
      <c r="E10610" s="628" t="s">
        <v>23</v>
      </c>
      <c r="F10610" s="816" t="s">
        <v>14252</v>
      </c>
      <c r="G10610" s="816"/>
      <c r="H10610" s="816">
        <v>1.25235E-2</v>
      </c>
      <c r="I10610" s="816"/>
      <c r="J10610" s="817">
        <v>6.4899999999999999E-2</v>
      </c>
      <c r="K10610" s="817"/>
      <c r="L10610" s="817"/>
    </row>
    <row r="10611" spans="1:12" ht="17.100000000000001" customHeight="1">
      <c r="A10611" s="636"/>
      <c r="B10611" s="636"/>
      <c r="C10611" s="636"/>
      <c r="D10611" s="636"/>
      <c r="E10611" s="636"/>
      <c r="F10611" s="636"/>
      <c r="G10611" s="636"/>
      <c r="H10611" s="636"/>
      <c r="I10611" s="636"/>
      <c r="J10611" s="636" t="s">
        <v>13675</v>
      </c>
      <c r="K10611" s="636"/>
      <c r="L10611" s="636" t="s">
        <v>13708</v>
      </c>
    </row>
    <row r="10612" spans="1:12" ht="24" customHeight="1">
      <c r="A10612" s="802" t="s">
        <v>12720</v>
      </c>
      <c r="B10612" s="802"/>
      <c r="C10612" s="802"/>
      <c r="D10612" s="802"/>
      <c r="E10612" s="802"/>
      <c r="F10612" s="802"/>
      <c r="G10612" s="802"/>
      <c r="H10612" s="802"/>
      <c r="I10612" s="612"/>
      <c r="J10612" s="612"/>
      <c r="K10612" s="612"/>
      <c r="L10612" s="612"/>
    </row>
    <row r="10613" spans="1:12" ht="24" customHeight="1">
      <c r="A10613" s="612" t="s">
        <v>13679</v>
      </c>
      <c r="B10613" s="636" t="s">
        <v>12698</v>
      </c>
      <c r="C10613" s="612" t="s">
        <v>12699</v>
      </c>
      <c r="D10613" s="612" t="s">
        <v>12700</v>
      </c>
      <c r="E10613" s="637" t="s">
        <v>12702</v>
      </c>
      <c r="F10613" s="801" t="s">
        <v>12704</v>
      </c>
      <c r="G10613" s="801"/>
      <c r="H10613" s="801" t="s">
        <v>13678</v>
      </c>
      <c r="I10613" s="801"/>
      <c r="J10613" s="801" t="s">
        <v>12705</v>
      </c>
      <c r="K10613" s="801"/>
      <c r="L10613" s="801"/>
    </row>
    <row r="10614" spans="1:12" ht="17.100000000000001" customHeight="1">
      <c r="A10614" s="626" t="s">
        <v>12709</v>
      </c>
      <c r="B10614" s="627" t="s">
        <v>13281</v>
      </c>
      <c r="C10614" s="626" t="s">
        <v>8</v>
      </c>
      <c r="D10614" s="626" t="s">
        <v>8070</v>
      </c>
      <c r="E10614" s="628" t="s">
        <v>35</v>
      </c>
      <c r="F10614" s="816" t="s">
        <v>13730</v>
      </c>
      <c r="G10614" s="816"/>
      <c r="H10614" s="816">
        <v>1.3999999999999999E-6</v>
      </c>
      <c r="I10614" s="816"/>
      <c r="J10614" s="817">
        <v>4.7500000000000001E-2</v>
      </c>
      <c r="K10614" s="817"/>
      <c r="L10614" s="817"/>
    </row>
    <row r="10615" spans="1:12" ht="14.25" customHeight="1">
      <c r="A10615" s="626" t="s">
        <v>12709</v>
      </c>
      <c r="B10615" s="627" t="s">
        <v>13007</v>
      </c>
      <c r="C10615" s="626" t="s">
        <v>8</v>
      </c>
      <c r="D10615" s="626" t="s">
        <v>10549</v>
      </c>
      <c r="E10615" s="628" t="s">
        <v>58</v>
      </c>
      <c r="F10615" s="816" t="s">
        <v>14172</v>
      </c>
      <c r="G10615" s="816"/>
      <c r="H10615" s="816">
        <v>0.14194129999999999</v>
      </c>
      <c r="I10615" s="816"/>
      <c r="J10615" s="817">
        <v>0.45989999999999998</v>
      </c>
      <c r="K10615" s="817"/>
      <c r="L10615" s="817"/>
    </row>
    <row r="10616" spans="1:12" ht="17.100000000000001" customHeight="1">
      <c r="A10616" s="636"/>
      <c r="B10616" s="636"/>
      <c r="C10616" s="636"/>
      <c r="D10616" s="636"/>
      <c r="E10616" s="636"/>
      <c r="F10616" s="636"/>
      <c r="G10616" s="636"/>
      <c r="H10616" s="636"/>
      <c r="I10616" s="636"/>
      <c r="J10616" s="636" t="s">
        <v>13675</v>
      </c>
      <c r="K10616" s="636"/>
      <c r="L10616" s="636" t="s">
        <v>13746</v>
      </c>
    </row>
    <row r="10617" spans="1:12" ht="24" customHeight="1">
      <c r="A10617" s="802" t="s">
        <v>12722</v>
      </c>
      <c r="B10617" s="802"/>
      <c r="C10617" s="802"/>
      <c r="D10617" s="802"/>
      <c r="E10617" s="802"/>
      <c r="F10617" s="802"/>
      <c r="G10617" s="802"/>
      <c r="H10617" s="802"/>
      <c r="I10617" s="612"/>
      <c r="J10617" s="612"/>
      <c r="K10617" s="612"/>
      <c r="L10617" s="612"/>
    </row>
    <row r="10618" spans="1:12" ht="24" customHeight="1">
      <c r="A10618" s="612" t="s">
        <v>13679</v>
      </c>
      <c r="B10618" s="636" t="s">
        <v>12698</v>
      </c>
      <c r="C10618" s="612" t="s">
        <v>12699</v>
      </c>
      <c r="D10618" s="612" t="s">
        <v>12700</v>
      </c>
      <c r="E10618" s="637" t="s">
        <v>12702</v>
      </c>
      <c r="F10618" s="801" t="s">
        <v>12704</v>
      </c>
      <c r="G10618" s="801"/>
      <c r="H10618" s="801" t="s">
        <v>13678</v>
      </c>
      <c r="I10618" s="801"/>
      <c r="J10618" s="801" t="s">
        <v>12705</v>
      </c>
      <c r="K10618" s="801"/>
      <c r="L10618" s="801"/>
    </row>
    <row r="10619" spans="1:12" ht="17.100000000000001" customHeight="1">
      <c r="A10619" s="626" t="s">
        <v>12709</v>
      </c>
      <c r="B10619" s="627" t="s">
        <v>12998</v>
      </c>
      <c r="C10619" s="626" t="s">
        <v>8</v>
      </c>
      <c r="D10619" s="626" t="s">
        <v>11861</v>
      </c>
      <c r="E10619" s="628" t="s">
        <v>23</v>
      </c>
      <c r="F10619" s="816" t="s">
        <v>13683</v>
      </c>
      <c r="G10619" s="816"/>
      <c r="H10619" s="816">
        <v>1.3021899999999999E-2</v>
      </c>
      <c r="I10619" s="816"/>
      <c r="J10619" s="817">
        <v>9.1999999999999998E-3</v>
      </c>
      <c r="K10619" s="817"/>
      <c r="L10619" s="817"/>
    </row>
    <row r="10620" spans="1:12">
      <c r="A10620" s="636"/>
      <c r="B10620" s="636"/>
      <c r="C10620" s="636"/>
      <c r="D10620" s="636"/>
      <c r="E10620" s="636"/>
      <c r="F10620" s="636"/>
      <c r="G10620" s="636"/>
      <c r="H10620" s="636"/>
      <c r="I10620" s="636"/>
      <c r="J10620" s="636" t="s">
        <v>13675</v>
      </c>
      <c r="K10620" s="636"/>
      <c r="L10620" s="636" t="s">
        <v>13728</v>
      </c>
    </row>
    <row r="10621" spans="1:12" ht="17.100000000000001" customHeight="1">
      <c r="A10621" s="802" t="s">
        <v>12713</v>
      </c>
      <c r="B10621" s="802"/>
      <c r="C10621" s="802"/>
      <c r="D10621" s="802"/>
      <c r="E10621" s="802"/>
      <c r="F10621" s="802"/>
      <c r="G10621" s="802"/>
      <c r="H10621" s="802"/>
      <c r="I10621" s="612"/>
      <c r="J10621" s="612"/>
      <c r="K10621" s="612"/>
      <c r="L10621" s="612"/>
    </row>
    <row r="10622" spans="1:12" ht="24" customHeight="1">
      <c r="A10622" s="612" t="s">
        <v>13679</v>
      </c>
      <c r="B10622" s="636" t="s">
        <v>12698</v>
      </c>
      <c r="C10622" s="612" t="s">
        <v>12699</v>
      </c>
      <c r="D10622" s="612" t="s">
        <v>12700</v>
      </c>
      <c r="E10622" s="637" t="s">
        <v>12702</v>
      </c>
      <c r="F10622" s="801" t="s">
        <v>12704</v>
      </c>
      <c r="G10622" s="801"/>
      <c r="H10622" s="801" t="s">
        <v>13678</v>
      </c>
      <c r="I10622" s="801"/>
      <c r="J10622" s="801" t="s">
        <v>12705</v>
      </c>
      <c r="K10622" s="801"/>
      <c r="L10622" s="801"/>
    </row>
    <row r="10623" spans="1:12" ht="24" customHeight="1">
      <c r="A10623" s="626" t="s">
        <v>12709</v>
      </c>
      <c r="B10623" s="627" t="s">
        <v>12999</v>
      </c>
      <c r="C10623" s="626" t="s">
        <v>8</v>
      </c>
      <c r="D10623" s="626" t="s">
        <v>11251</v>
      </c>
      <c r="E10623" s="628" t="s">
        <v>23</v>
      </c>
      <c r="F10623" s="816" t="s">
        <v>13681</v>
      </c>
      <c r="G10623" s="816"/>
      <c r="H10623" s="816">
        <v>1.3021899999999999E-2</v>
      </c>
      <c r="I10623" s="816"/>
      <c r="J10623" s="817">
        <v>8.9999999999999998E-4</v>
      </c>
      <c r="K10623" s="817"/>
      <c r="L10623" s="817"/>
    </row>
    <row r="10624" spans="1:12" ht="24" customHeight="1">
      <c r="A10624" s="636"/>
      <c r="B10624" s="636"/>
      <c r="C10624" s="636"/>
      <c r="D10624" s="636"/>
      <c r="E10624" s="636"/>
      <c r="F10624" s="636"/>
      <c r="G10624" s="636"/>
      <c r="H10624" s="636"/>
      <c r="I10624" s="636"/>
      <c r="J10624" s="636" t="s">
        <v>13675</v>
      </c>
      <c r="K10624" s="636"/>
      <c r="L10624" s="636" t="s">
        <v>13727</v>
      </c>
    </row>
    <row r="10625" spans="1:12" ht="36" customHeight="1">
      <c r="A10625" s="802" t="s">
        <v>12712</v>
      </c>
      <c r="B10625" s="802"/>
      <c r="C10625" s="802"/>
      <c r="D10625" s="802"/>
      <c r="E10625" s="802"/>
      <c r="F10625" s="802"/>
      <c r="G10625" s="802"/>
      <c r="H10625" s="802"/>
      <c r="I10625" s="612"/>
      <c r="J10625" s="612"/>
      <c r="K10625" s="612"/>
      <c r="L10625" s="612"/>
    </row>
    <row r="10626" spans="1:12" ht="36" customHeight="1">
      <c r="A10626" s="612" t="s">
        <v>13679</v>
      </c>
      <c r="B10626" s="636" t="s">
        <v>12698</v>
      </c>
      <c r="C10626" s="612" t="s">
        <v>12699</v>
      </c>
      <c r="D10626" s="612" t="s">
        <v>12700</v>
      </c>
      <c r="E10626" s="637" t="s">
        <v>12702</v>
      </c>
      <c r="F10626" s="801" t="s">
        <v>12704</v>
      </c>
      <c r="G10626" s="801"/>
      <c r="H10626" s="801" t="s">
        <v>13678</v>
      </c>
      <c r="I10626" s="801"/>
      <c r="J10626" s="801" t="s">
        <v>12705</v>
      </c>
      <c r="K10626" s="801"/>
      <c r="L10626" s="801"/>
    </row>
    <row r="10627" spans="1:12" ht="36" customHeight="1">
      <c r="A10627" s="626" t="s">
        <v>12709</v>
      </c>
      <c r="B10627" s="627" t="s">
        <v>13002</v>
      </c>
      <c r="C10627" s="626" t="s">
        <v>8</v>
      </c>
      <c r="D10627" s="626" t="s">
        <v>9306</v>
      </c>
      <c r="E10627" s="628" t="s">
        <v>23</v>
      </c>
      <c r="F10627" s="816" t="s">
        <v>13677</v>
      </c>
      <c r="G10627" s="816"/>
      <c r="H10627" s="816">
        <v>1.3021899999999999E-2</v>
      </c>
      <c r="I10627" s="816"/>
      <c r="J10627" s="817">
        <v>4.5999999999999999E-3</v>
      </c>
      <c r="K10627" s="817"/>
      <c r="L10627" s="817"/>
    </row>
    <row r="10628" spans="1:12" ht="36" customHeight="1">
      <c r="A10628" s="626" t="s">
        <v>12709</v>
      </c>
      <c r="B10628" s="627" t="s">
        <v>13004</v>
      </c>
      <c r="C10628" s="626" t="s">
        <v>8</v>
      </c>
      <c r="D10628" s="626" t="s">
        <v>7388</v>
      </c>
      <c r="E10628" s="628" t="s">
        <v>23</v>
      </c>
      <c r="F10628" s="816" t="s">
        <v>13676</v>
      </c>
      <c r="G10628" s="816"/>
      <c r="H10628" s="816">
        <v>1.3021899999999999E-2</v>
      </c>
      <c r="I10628" s="816"/>
      <c r="J10628" s="817">
        <v>2.86E-2</v>
      </c>
      <c r="K10628" s="817"/>
      <c r="L10628" s="817"/>
    </row>
    <row r="10629" spans="1:12" ht="17.100000000000001" customHeight="1">
      <c r="A10629" s="636"/>
      <c r="B10629" s="636"/>
      <c r="C10629" s="636"/>
      <c r="D10629" s="636"/>
      <c r="E10629" s="636"/>
      <c r="F10629" s="636"/>
      <c r="G10629" s="636"/>
      <c r="H10629" s="636"/>
      <c r="I10629" s="636"/>
      <c r="J10629" s="636" t="s">
        <v>13675</v>
      </c>
      <c r="K10629" s="636"/>
      <c r="L10629" s="636" t="s">
        <v>13726</v>
      </c>
    </row>
    <row r="10630" spans="1:12">
      <c r="A10630" s="612" t="s">
        <v>13673</v>
      </c>
      <c r="B10630" s="612"/>
      <c r="C10630" s="612"/>
      <c r="D10630" s="612"/>
      <c r="E10630" s="612"/>
      <c r="F10630" s="612"/>
      <c r="G10630" s="612"/>
      <c r="H10630" s="612"/>
      <c r="I10630" s="612"/>
      <c r="J10630" s="612"/>
      <c r="K10630" s="612"/>
      <c r="L10630" s="612"/>
    </row>
    <row r="10631" spans="1:12" ht="17.100000000000001" customHeight="1">
      <c r="A10631" s="636"/>
      <c r="B10631" s="636"/>
      <c r="C10631" s="636"/>
      <c r="D10631" s="636"/>
      <c r="E10631" s="636"/>
      <c r="F10631" s="636"/>
      <c r="G10631" s="636"/>
      <c r="H10631" s="636"/>
      <c r="I10631" s="636"/>
      <c r="J10631" s="636" t="s">
        <v>13672</v>
      </c>
      <c r="K10631" s="636"/>
      <c r="L10631" s="636" t="s">
        <v>14886</v>
      </c>
    </row>
    <row r="10632" spans="1:12" ht="24" customHeight="1">
      <c r="A10632" s="636"/>
      <c r="B10632" s="636"/>
      <c r="C10632" s="636"/>
      <c r="D10632" s="636"/>
      <c r="E10632" s="636"/>
      <c r="F10632" s="636"/>
      <c r="G10632" s="636"/>
      <c r="H10632" s="636"/>
      <c r="I10632" s="636"/>
      <c r="J10632" s="636" t="s">
        <v>13671</v>
      </c>
      <c r="K10632" s="636" t="s">
        <v>14461</v>
      </c>
      <c r="L10632" s="636" t="s">
        <v>14879</v>
      </c>
    </row>
    <row r="10633" spans="1:12" ht="17.100000000000001" customHeight="1">
      <c r="A10633" s="636"/>
      <c r="B10633" s="636"/>
      <c r="C10633" s="636"/>
      <c r="D10633" s="636"/>
      <c r="E10633" s="636"/>
      <c r="F10633" s="636"/>
      <c r="G10633" s="636"/>
      <c r="H10633" s="636"/>
      <c r="I10633" s="636"/>
      <c r="J10633" s="636" t="s">
        <v>13670</v>
      </c>
      <c r="K10633" s="636"/>
      <c r="L10633" s="636" t="s">
        <v>14887</v>
      </c>
    </row>
    <row r="10634" spans="1:12">
      <c r="A10634" s="636"/>
      <c r="B10634" s="636"/>
      <c r="C10634" s="636"/>
      <c r="D10634" s="636"/>
      <c r="E10634" s="636"/>
      <c r="F10634" s="636"/>
      <c r="G10634" s="636"/>
      <c r="H10634" s="636"/>
      <c r="I10634" s="636"/>
      <c r="J10634" s="636" t="s">
        <v>13669</v>
      </c>
      <c r="K10634" s="636" t="s">
        <v>13667</v>
      </c>
      <c r="L10634" s="636" t="s">
        <v>14888</v>
      </c>
    </row>
    <row r="10635" spans="1:12" ht="17.100000000000001" customHeight="1">
      <c r="A10635" s="636"/>
      <c r="B10635" s="636"/>
      <c r="C10635" s="636"/>
      <c r="D10635" s="636"/>
      <c r="E10635" s="636"/>
      <c r="F10635" s="636"/>
      <c r="G10635" s="636"/>
      <c r="H10635" s="636"/>
      <c r="I10635" s="636"/>
      <c r="J10635" s="636" t="s">
        <v>13668</v>
      </c>
      <c r="K10635" s="636"/>
      <c r="L10635" s="636" t="s">
        <v>14889</v>
      </c>
    </row>
    <row r="10636" spans="1:12" ht="24" customHeight="1">
      <c r="A10636" s="637"/>
      <c r="B10636" s="637"/>
      <c r="C10636" s="637"/>
      <c r="D10636" s="637"/>
      <c r="E10636" s="637"/>
      <c r="F10636" s="637"/>
      <c r="G10636" s="637"/>
      <c r="H10636" s="637"/>
      <c r="I10636" s="637"/>
      <c r="J10636" s="637"/>
      <c r="K10636" s="637"/>
      <c r="L10636" s="637"/>
    </row>
    <row r="10637" spans="1:12" ht="17.100000000000001" customHeight="1">
      <c r="A10637" s="616" t="s">
        <v>13725</v>
      </c>
      <c r="B10637" s="617" t="s">
        <v>12916</v>
      </c>
      <c r="C10637" s="616" t="s">
        <v>8</v>
      </c>
      <c r="D10637" s="616" t="s">
        <v>4268</v>
      </c>
      <c r="E10637" s="618" t="s">
        <v>35</v>
      </c>
      <c r="F10637" s="617"/>
      <c r="G10637" s="617"/>
      <c r="H10637" s="617"/>
      <c r="I10637" s="617"/>
      <c r="J10637" s="617"/>
      <c r="K10637" s="617"/>
      <c r="L10637" s="617"/>
    </row>
    <row r="10638" spans="1:12">
      <c r="A10638" s="802" t="s">
        <v>12711</v>
      </c>
      <c r="B10638" s="802"/>
      <c r="C10638" s="802"/>
      <c r="D10638" s="802"/>
      <c r="E10638" s="802"/>
      <c r="F10638" s="802"/>
      <c r="G10638" s="802"/>
      <c r="H10638" s="802"/>
      <c r="I10638" s="612"/>
      <c r="J10638" s="612"/>
      <c r="K10638" s="612"/>
      <c r="L10638" s="612"/>
    </row>
    <row r="10639" spans="1:12" ht="17.100000000000001" customHeight="1">
      <c r="A10639" s="612" t="s">
        <v>13679</v>
      </c>
      <c r="B10639" s="636" t="s">
        <v>12698</v>
      </c>
      <c r="C10639" s="612" t="s">
        <v>12699</v>
      </c>
      <c r="D10639" s="612" t="s">
        <v>12700</v>
      </c>
      <c r="E10639" s="637" t="s">
        <v>12702</v>
      </c>
      <c r="F10639" s="801" t="s">
        <v>12704</v>
      </c>
      <c r="G10639" s="801"/>
      <c r="H10639" s="801" t="s">
        <v>13678</v>
      </c>
      <c r="I10639" s="801"/>
      <c r="J10639" s="801" t="s">
        <v>12705</v>
      </c>
      <c r="K10639" s="801"/>
      <c r="L10639" s="801"/>
    </row>
    <row r="10640" spans="1:12" ht="24" customHeight="1">
      <c r="A10640" s="626" t="s">
        <v>12709</v>
      </c>
      <c r="B10640" s="627" t="s">
        <v>13052</v>
      </c>
      <c r="C10640" s="626" t="s">
        <v>8</v>
      </c>
      <c r="D10640" s="626" t="s">
        <v>9229</v>
      </c>
      <c r="E10640" s="628" t="s">
        <v>23</v>
      </c>
      <c r="F10640" s="816" t="s">
        <v>13692</v>
      </c>
      <c r="G10640" s="816"/>
      <c r="H10640" s="816">
        <v>0.49948550000000003</v>
      </c>
      <c r="I10640" s="816"/>
      <c r="J10640" s="817">
        <v>0.47949999999999998</v>
      </c>
      <c r="K10640" s="817"/>
      <c r="L10640" s="817"/>
    </row>
    <row r="10641" spans="1:12" ht="24" customHeight="1">
      <c r="A10641" s="626" t="s">
        <v>12709</v>
      </c>
      <c r="B10641" s="627" t="s">
        <v>13051</v>
      </c>
      <c r="C10641" s="626" t="s">
        <v>8</v>
      </c>
      <c r="D10641" s="626" t="s">
        <v>9376</v>
      </c>
      <c r="E10641" s="628" t="s">
        <v>23</v>
      </c>
      <c r="F10641" s="816" t="s">
        <v>13691</v>
      </c>
      <c r="G10641" s="816"/>
      <c r="H10641" s="816">
        <v>0.49948550000000003</v>
      </c>
      <c r="I10641" s="816"/>
      <c r="J10641" s="817">
        <v>0.24970000000000001</v>
      </c>
      <c r="K10641" s="817"/>
      <c r="L10641" s="817"/>
    </row>
    <row r="10642" spans="1:12" ht="17.100000000000001" customHeight="1">
      <c r="A10642" s="626" t="s">
        <v>12709</v>
      </c>
      <c r="B10642" s="627" t="s">
        <v>13048</v>
      </c>
      <c r="C10642" s="626" t="s">
        <v>8</v>
      </c>
      <c r="D10642" s="626" t="s">
        <v>9233</v>
      </c>
      <c r="E10642" s="628" t="s">
        <v>23</v>
      </c>
      <c r="F10642" s="816" t="s">
        <v>13690</v>
      </c>
      <c r="G10642" s="816"/>
      <c r="H10642" s="816">
        <v>0.49948550000000003</v>
      </c>
      <c r="I10642" s="816"/>
      <c r="J10642" s="817">
        <v>0.50949999999999995</v>
      </c>
      <c r="K10642" s="817"/>
      <c r="L10642" s="817"/>
    </row>
    <row r="10643" spans="1:12" ht="17.100000000000001" customHeight="1">
      <c r="A10643" s="626" t="s">
        <v>12709</v>
      </c>
      <c r="B10643" s="627" t="s">
        <v>13047</v>
      </c>
      <c r="C10643" s="626" t="s">
        <v>8</v>
      </c>
      <c r="D10643" s="626" t="s">
        <v>9380</v>
      </c>
      <c r="E10643" s="628" t="s">
        <v>23</v>
      </c>
      <c r="F10643" s="816" t="s">
        <v>13689</v>
      </c>
      <c r="G10643" s="816"/>
      <c r="H10643" s="816">
        <v>0.49948550000000003</v>
      </c>
      <c r="I10643" s="816"/>
      <c r="J10643" s="817">
        <v>0.1898</v>
      </c>
      <c r="K10643" s="817"/>
      <c r="L10643" s="817"/>
    </row>
    <row r="10644" spans="1:12" ht="17.100000000000001" customHeight="1">
      <c r="A10644" s="636"/>
      <c r="B10644" s="636"/>
      <c r="C10644" s="636"/>
      <c r="D10644" s="636"/>
      <c r="E10644" s="636"/>
      <c r="F10644" s="636"/>
      <c r="G10644" s="636"/>
      <c r="H10644" s="636"/>
      <c r="I10644" s="636"/>
      <c r="J10644" s="636" t="s">
        <v>13675</v>
      </c>
      <c r="K10644" s="636"/>
      <c r="L10644" s="636" t="s">
        <v>13723</v>
      </c>
    </row>
    <row r="10645" spans="1:12" ht="17.100000000000001" customHeight="1">
      <c r="A10645" s="802" t="s">
        <v>12710</v>
      </c>
      <c r="B10645" s="802"/>
      <c r="C10645" s="802"/>
      <c r="D10645" s="802"/>
      <c r="E10645" s="802"/>
      <c r="F10645" s="802"/>
      <c r="G10645" s="802"/>
      <c r="H10645" s="802"/>
      <c r="I10645" s="612"/>
      <c r="J10645" s="612"/>
      <c r="K10645" s="612"/>
      <c r="L10645" s="612"/>
    </row>
    <row r="10646" spans="1:12" ht="17.100000000000001" customHeight="1">
      <c r="A10646" s="612" t="s">
        <v>13679</v>
      </c>
      <c r="B10646" s="636" t="s">
        <v>12698</v>
      </c>
      <c r="C10646" s="612" t="s">
        <v>12699</v>
      </c>
      <c r="D10646" s="612" t="s">
        <v>12700</v>
      </c>
      <c r="E10646" s="637" t="s">
        <v>12702</v>
      </c>
      <c r="F10646" s="801" t="s">
        <v>12704</v>
      </c>
      <c r="G10646" s="801"/>
      <c r="H10646" s="801" t="s">
        <v>13678</v>
      </c>
      <c r="I10646" s="801"/>
      <c r="J10646" s="801" t="s">
        <v>12705</v>
      </c>
      <c r="K10646" s="801"/>
      <c r="L10646" s="801"/>
    </row>
    <row r="10647" spans="1:12" ht="17.100000000000001" customHeight="1">
      <c r="A10647" s="626" t="s">
        <v>12709</v>
      </c>
      <c r="B10647" s="627" t="s">
        <v>13099</v>
      </c>
      <c r="C10647" s="626" t="s">
        <v>8</v>
      </c>
      <c r="D10647" s="626" t="s">
        <v>10726</v>
      </c>
      <c r="E10647" s="628" t="s">
        <v>23</v>
      </c>
      <c r="F10647" s="816" t="s">
        <v>14470</v>
      </c>
      <c r="G10647" s="816"/>
      <c r="H10647" s="816">
        <v>0.50695170000000001</v>
      </c>
      <c r="I10647" s="816"/>
      <c r="J10647" s="817">
        <v>3.5030000000000001</v>
      </c>
      <c r="K10647" s="817"/>
      <c r="L10647" s="817"/>
    </row>
    <row r="10648" spans="1:12" ht="17.100000000000001" customHeight="1">
      <c r="A10648" s="626" t="s">
        <v>12709</v>
      </c>
      <c r="B10648" s="627" t="s">
        <v>13046</v>
      </c>
      <c r="C10648" s="626" t="s">
        <v>8</v>
      </c>
      <c r="D10648" s="626" t="s">
        <v>11281</v>
      </c>
      <c r="E10648" s="628" t="s">
        <v>23</v>
      </c>
      <c r="F10648" s="816" t="s">
        <v>13731</v>
      </c>
      <c r="G10648" s="816"/>
      <c r="H10648" s="816">
        <v>0.50695170000000001</v>
      </c>
      <c r="I10648" s="816"/>
      <c r="J10648" s="817">
        <v>2.6057000000000001</v>
      </c>
      <c r="K10648" s="817"/>
      <c r="L10648" s="817"/>
    </row>
    <row r="10649" spans="1:12" ht="30" customHeight="1">
      <c r="A10649" s="636"/>
      <c r="B10649" s="636"/>
      <c r="C10649" s="636"/>
      <c r="D10649" s="636"/>
      <c r="E10649" s="636"/>
      <c r="F10649" s="636"/>
      <c r="G10649" s="636"/>
      <c r="H10649" s="636"/>
      <c r="I10649" s="636"/>
      <c r="J10649" s="636" t="s">
        <v>13675</v>
      </c>
      <c r="K10649" s="636"/>
      <c r="L10649" s="636" t="s">
        <v>13831</v>
      </c>
    </row>
    <row r="10650" spans="1:12">
      <c r="A10650" s="802" t="s">
        <v>12720</v>
      </c>
      <c r="B10650" s="802"/>
      <c r="C10650" s="802"/>
      <c r="D10650" s="802"/>
      <c r="E10650" s="802"/>
      <c r="F10650" s="802"/>
      <c r="G10650" s="802"/>
      <c r="H10650" s="802"/>
      <c r="I10650" s="612"/>
      <c r="J10650" s="612"/>
      <c r="K10650" s="612"/>
      <c r="L10650" s="612"/>
    </row>
    <row r="10651" spans="1:12" ht="14.25" customHeight="1">
      <c r="A10651" s="612" t="s">
        <v>13679</v>
      </c>
      <c r="B10651" s="636" t="s">
        <v>12698</v>
      </c>
      <c r="C10651" s="612" t="s">
        <v>12699</v>
      </c>
      <c r="D10651" s="612" t="s">
        <v>12700</v>
      </c>
      <c r="E10651" s="637" t="s">
        <v>12702</v>
      </c>
      <c r="F10651" s="801" t="s">
        <v>12704</v>
      </c>
      <c r="G10651" s="801"/>
      <c r="H10651" s="801" t="s">
        <v>13678</v>
      </c>
      <c r="I10651" s="801"/>
      <c r="J10651" s="801" t="s">
        <v>12705</v>
      </c>
      <c r="K10651" s="801"/>
      <c r="L10651" s="801"/>
    </row>
    <row r="10652" spans="1:12" ht="14.25" customHeight="1">
      <c r="A10652" s="626" t="s">
        <v>12709</v>
      </c>
      <c r="B10652" s="627" t="s">
        <v>13353</v>
      </c>
      <c r="C10652" s="626" t="s">
        <v>8</v>
      </c>
      <c r="D10652" s="626" t="s">
        <v>9310</v>
      </c>
      <c r="E10652" s="628" t="s">
        <v>35</v>
      </c>
      <c r="F10652" s="816" t="s">
        <v>14488</v>
      </c>
      <c r="G10652" s="816"/>
      <c r="H10652" s="816">
        <v>1</v>
      </c>
      <c r="I10652" s="816"/>
      <c r="J10652" s="817">
        <v>141.75</v>
      </c>
      <c r="K10652" s="817"/>
      <c r="L10652" s="817"/>
    </row>
    <row r="10653" spans="1:12">
      <c r="A10653" s="636"/>
      <c r="B10653" s="636"/>
      <c r="C10653" s="636"/>
      <c r="D10653" s="636"/>
      <c r="E10653" s="636"/>
      <c r="F10653" s="636"/>
      <c r="G10653" s="636"/>
      <c r="H10653" s="636"/>
      <c r="I10653" s="636"/>
      <c r="J10653" s="636" t="s">
        <v>13675</v>
      </c>
      <c r="K10653" s="636"/>
      <c r="L10653" s="636" t="s">
        <v>14488</v>
      </c>
    </row>
    <row r="10654" spans="1:12" ht="60" customHeight="1">
      <c r="A10654" s="802" t="s">
        <v>12722</v>
      </c>
      <c r="B10654" s="802"/>
      <c r="C10654" s="802"/>
      <c r="D10654" s="802"/>
      <c r="E10654" s="802"/>
      <c r="F10654" s="802"/>
      <c r="G10654" s="802"/>
      <c r="H10654" s="802"/>
      <c r="I10654" s="612"/>
      <c r="J10654" s="612"/>
      <c r="K10654" s="612"/>
      <c r="L10654" s="612"/>
    </row>
    <row r="10655" spans="1:12">
      <c r="A10655" s="612" t="s">
        <v>13679</v>
      </c>
      <c r="B10655" s="636" t="s">
        <v>12698</v>
      </c>
      <c r="C10655" s="612" t="s">
        <v>12699</v>
      </c>
      <c r="D10655" s="612" t="s">
        <v>12700</v>
      </c>
      <c r="E10655" s="637" t="s">
        <v>12702</v>
      </c>
      <c r="F10655" s="801" t="s">
        <v>12704</v>
      </c>
      <c r="G10655" s="801"/>
      <c r="H10655" s="801" t="s">
        <v>13678</v>
      </c>
      <c r="I10655" s="801"/>
      <c r="J10655" s="801" t="s">
        <v>12705</v>
      </c>
      <c r="K10655" s="801"/>
      <c r="L10655" s="801"/>
    </row>
    <row r="10656" spans="1:12" ht="25.5">
      <c r="A10656" s="626" t="s">
        <v>12709</v>
      </c>
      <c r="B10656" s="627" t="s">
        <v>12998</v>
      </c>
      <c r="C10656" s="626" t="s">
        <v>8</v>
      </c>
      <c r="D10656" s="626" t="s">
        <v>11861</v>
      </c>
      <c r="E10656" s="628" t="s">
        <v>23</v>
      </c>
      <c r="F10656" s="816" t="s">
        <v>13683</v>
      </c>
      <c r="G10656" s="816"/>
      <c r="H10656" s="816">
        <v>1</v>
      </c>
      <c r="I10656" s="816"/>
      <c r="J10656" s="817">
        <v>0.71</v>
      </c>
      <c r="K10656" s="817"/>
      <c r="L10656" s="817"/>
    </row>
    <row r="10657" spans="1:12">
      <c r="A10657" s="636"/>
      <c r="B10657" s="636"/>
      <c r="C10657" s="636"/>
      <c r="D10657" s="636"/>
      <c r="E10657" s="636"/>
      <c r="F10657" s="636"/>
      <c r="G10657" s="636"/>
      <c r="H10657" s="636"/>
      <c r="I10657" s="636"/>
      <c r="J10657" s="636" t="s">
        <v>13675</v>
      </c>
      <c r="K10657" s="636"/>
      <c r="L10657" s="636" t="s">
        <v>13683</v>
      </c>
    </row>
    <row r="10658" spans="1:12">
      <c r="A10658" s="802" t="s">
        <v>12713</v>
      </c>
      <c r="B10658" s="802"/>
      <c r="C10658" s="802"/>
      <c r="D10658" s="802"/>
      <c r="E10658" s="802"/>
      <c r="F10658" s="802"/>
      <c r="G10658" s="802"/>
      <c r="H10658" s="802"/>
      <c r="I10658" s="612"/>
      <c r="J10658" s="612"/>
      <c r="K10658" s="612"/>
      <c r="L10658" s="612"/>
    </row>
    <row r="10659" spans="1:12">
      <c r="A10659" s="612" t="s">
        <v>13679</v>
      </c>
      <c r="B10659" s="636" t="s">
        <v>12698</v>
      </c>
      <c r="C10659" s="612" t="s">
        <v>12699</v>
      </c>
      <c r="D10659" s="612" t="s">
        <v>12700</v>
      </c>
      <c r="E10659" s="637" t="s">
        <v>12702</v>
      </c>
      <c r="F10659" s="801" t="s">
        <v>12704</v>
      </c>
      <c r="G10659" s="801"/>
      <c r="H10659" s="801" t="s">
        <v>13678</v>
      </c>
      <c r="I10659" s="801"/>
      <c r="J10659" s="801" t="s">
        <v>12705</v>
      </c>
      <c r="K10659" s="801"/>
      <c r="L10659" s="801"/>
    </row>
    <row r="10660" spans="1:12" ht="25.5">
      <c r="A10660" s="626" t="s">
        <v>12709</v>
      </c>
      <c r="B10660" s="627" t="s">
        <v>12999</v>
      </c>
      <c r="C10660" s="626" t="s">
        <v>8</v>
      </c>
      <c r="D10660" s="626" t="s">
        <v>11251</v>
      </c>
      <c r="E10660" s="628" t="s">
        <v>23</v>
      </c>
      <c r="F10660" s="816" t="s">
        <v>13681</v>
      </c>
      <c r="G10660" s="816"/>
      <c r="H10660" s="816">
        <v>1</v>
      </c>
      <c r="I10660" s="816"/>
      <c r="J10660" s="817">
        <v>7.0000000000000007E-2</v>
      </c>
      <c r="K10660" s="817"/>
      <c r="L10660" s="817"/>
    </row>
    <row r="10661" spans="1:12">
      <c r="A10661" s="636"/>
      <c r="B10661" s="636"/>
      <c r="C10661" s="636"/>
      <c r="D10661" s="636"/>
      <c r="E10661" s="636"/>
      <c r="F10661" s="636"/>
      <c r="G10661" s="636"/>
      <c r="H10661" s="636"/>
      <c r="I10661" s="636"/>
      <c r="J10661" s="636" t="s">
        <v>13675</v>
      </c>
      <c r="K10661" s="636"/>
      <c r="L10661" s="636" t="s">
        <v>13681</v>
      </c>
    </row>
    <row r="10662" spans="1:12">
      <c r="A10662" s="802" t="s">
        <v>12712</v>
      </c>
      <c r="B10662" s="802"/>
      <c r="C10662" s="802"/>
      <c r="D10662" s="802"/>
      <c r="E10662" s="802"/>
      <c r="F10662" s="802"/>
      <c r="G10662" s="802"/>
      <c r="H10662" s="802"/>
      <c r="I10662" s="612"/>
      <c r="J10662" s="612"/>
      <c r="K10662" s="612"/>
      <c r="L10662" s="612"/>
    </row>
    <row r="10663" spans="1:12">
      <c r="A10663" s="612" t="s">
        <v>13679</v>
      </c>
      <c r="B10663" s="636" t="s">
        <v>12698</v>
      </c>
      <c r="C10663" s="612" t="s">
        <v>12699</v>
      </c>
      <c r="D10663" s="612" t="s">
        <v>12700</v>
      </c>
      <c r="E10663" s="637" t="s">
        <v>12702</v>
      </c>
      <c r="F10663" s="801" t="s">
        <v>12704</v>
      </c>
      <c r="G10663" s="801"/>
      <c r="H10663" s="801" t="s">
        <v>13678</v>
      </c>
      <c r="I10663" s="801"/>
      <c r="J10663" s="801" t="s">
        <v>12705</v>
      </c>
      <c r="K10663" s="801"/>
      <c r="L10663" s="801"/>
    </row>
    <row r="10664" spans="1:12" ht="25.5">
      <c r="A10664" s="626" t="s">
        <v>12709</v>
      </c>
      <c r="B10664" s="627" t="s">
        <v>13002</v>
      </c>
      <c r="C10664" s="626" t="s">
        <v>8</v>
      </c>
      <c r="D10664" s="626" t="s">
        <v>9306</v>
      </c>
      <c r="E10664" s="628" t="s">
        <v>23</v>
      </c>
      <c r="F10664" s="816" t="s">
        <v>13677</v>
      </c>
      <c r="G10664" s="816"/>
      <c r="H10664" s="816">
        <v>1</v>
      </c>
      <c r="I10664" s="816"/>
      <c r="J10664" s="817">
        <v>0.35</v>
      </c>
      <c r="K10664" s="817"/>
      <c r="L10664" s="817"/>
    </row>
    <row r="10665" spans="1:12" ht="25.5">
      <c r="A10665" s="626" t="s">
        <v>12709</v>
      </c>
      <c r="B10665" s="627" t="s">
        <v>13004</v>
      </c>
      <c r="C10665" s="626" t="s">
        <v>8</v>
      </c>
      <c r="D10665" s="626" t="s">
        <v>7388</v>
      </c>
      <c r="E10665" s="628" t="s">
        <v>23</v>
      </c>
      <c r="F10665" s="816" t="s">
        <v>13676</v>
      </c>
      <c r="G10665" s="816"/>
      <c r="H10665" s="816">
        <v>1</v>
      </c>
      <c r="I10665" s="816"/>
      <c r="J10665" s="817">
        <v>2.2000000000000002</v>
      </c>
      <c r="K10665" s="817"/>
      <c r="L10665" s="817"/>
    </row>
    <row r="10666" spans="1:12">
      <c r="A10666" s="636"/>
      <c r="B10666" s="636"/>
      <c r="C10666" s="636"/>
      <c r="D10666" s="636"/>
      <c r="E10666" s="636"/>
      <c r="F10666" s="636"/>
      <c r="G10666" s="636"/>
      <c r="H10666" s="636"/>
      <c r="I10666" s="636"/>
      <c r="J10666" s="636" t="s">
        <v>13675</v>
      </c>
      <c r="K10666" s="636"/>
      <c r="L10666" s="636" t="s">
        <v>13722</v>
      </c>
    </row>
    <row r="10667" spans="1:12">
      <c r="A10667" s="612" t="s">
        <v>13673</v>
      </c>
      <c r="B10667" s="612"/>
      <c r="C10667" s="612"/>
      <c r="D10667" s="612"/>
      <c r="E10667" s="612"/>
      <c r="F10667" s="612"/>
      <c r="G10667" s="612"/>
      <c r="H10667" s="612"/>
      <c r="I10667" s="612"/>
      <c r="J10667" s="612"/>
      <c r="K10667" s="612"/>
      <c r="L10667" s="612"/>
    </row>
    <row r="10668" spans="1:12">
      <c r="A10668" s="636"/>
      <c r="B10668" s="636"/>
      <c r="C10668" s="636"/>
      <c r="D10668" s="636"/>
      <c r="E10668" s="636"/>
      <c r="F10668" s="636"/>
      <c r="G10668" s="636"/>
      <c r="H10668" s="636"/>
      <c r="I10668" s="636"/>
      <c r="J10668" s="636" t="s">
        <v>13672</v>
      </c>
      <c r="K10668" s="636"/>
      <c r="L10668" s="636" t="s">
        <v>15703</v>
      </c>
    </row>
    <row r="10669" spans="1:12">
      <c r="A10669" s="636"/>
      <c r="B10669" s="636"/>
      <c r="C10669" s="636"/>
      <c r="D10669" s="636"/>
      <c r="E10669" s="636"/>
      <c r="F10669" s="636"/>
      <c r="G10669" s="636"/>
      <c r="H10669" s="636"/>
      <c r="I10669" s="636"/>
      <c r="J10669" s="636" t="s">
        <v>13671</v>
      </c>
      <c r="K10669" s="636" t="s">
        <v>14461</v>
      </c>
      <c r="L10669" s="636" t="s">
        <v>15704</v>
      </c>
    </row>
    <row r="10670" spans="1:12">
      <c r="A10670" s="636"/>
      <c r="B10670" s="636"/>
      <c r="C10670" s="636"/>
      <c r="D10670" s="636"/>
      <c r="E10670" s="636"/>
      <c r="F10670" s="636"/>
      <c r="G10670" s="636"/>
      <c r="H10670" s="636"/>
      <c r="I10670" s="636"/>
      <c r="J10670" s="636" t="s">
        <v>13670</v>
      </c>
      <c r="K10670" s="636"/>
      <c r="L10670" s="636" t="s">
        <v>15705</v>
      </c>
    </row>
    <row r="10671" spans="1:12">
      <c r="A10671" s="636"/>
      <c r="B10671" s="636"/>
      <c r="C10671" s="636"/>
      <c r="D10671" s="636"/>
      <c r="E10671" s="636"/>
      <c r="F10671" s="636"/>
      <c r="G10671" s="636"/>
      <c r="H10671" s="636"/>
      <c r="I10671" s="636"/>
      <c r="J10671" s="636" t="s">
        <v>13669</v>
      </c>
      <c r="K10671" s="636" t="s">
        <v>13667</v>
      </c>
      <c r="L10671" s="636" t="s">
        <v>15706</v>
      </c>
    </row>
    <row r="10672" spans="1:12">
      <c r="A10672" s="636"/>
      <c r="B10672" s="636"/>
      <c r="C10672" s="636"/>
      <c r="D10672" s="636"/>
      <c r="E10672" s="636"/>
      <c r="F10672" s="636"/>
      <c r="G10672" s="636"/>
      <c r="H10672" s="636"/>
      <c r="I10672" s="636"/>
      <c r="J10672" s="636" t="s">
        <v>13668</v>
      </c>
      <c r="K10672" s="636"/>
      <c r="L10672" s="636" t="s">
        <v>15707</v>
      </c>
    </row>
    <row r="10673" spans="1:12">
      <c r="A10673" s="637"/>
      <c r="B10673" s="637"/>
      <c r="C10673" s="637"/>
      <c r="D10673" s="637"/>
      <c r="E10673" s="637"/>
      <c r="F10673" s="637"/>
      <c r="G10673" s="637"/>
      <c r="H10673" s="637"/>
      <c r="I10673" s="637"/>
      <c r="J10673" s="637"/>
      <c r="K10673" s="637"/>
      <c r="L10673" s="637"/>
    </row>
    <row r="10674" spans="1:12" ht="25.5">
      <c r="A10674" s="616" t="s">
        <v>13724</v>
      </c>
      <c r="B10674" s="617" t="s">
        <v>13352</v>
      </c>
      <c r="C10674" s="616" t="s">
        <v>8</v>
      </c>
      <c r="D10674" s="616" t="s">
        <v>169</v>
      </c>
      <c r="E10674" s="618" t="s">
        <v>35</v>
      </c>
      <c r="F10674" s="617"/>
      <c r="G10674" s="617"/>
      <c r="H10674" s="617"/>
      <c r="I10674" s="617"/>
      <c r="J10674" s="617"/>
      <c r="K10674" s="617"/>
      <c r="L10674" s="617"/>
    </row>
    <row r="10675" spans="1:12">
      <c r="A10675" s="802" t="s">
        <v>12711</v>
      </c>
      <c r="B10675" s="802"/>
      <c r="C10675" s="802"/>
      <c r="D10675" s="802"/>
      <c r="E10675" s="802"/>
      <c r="F10675" s="802"/>
      <c r="G10675" s="802"/>
      <c r="H10675" s="802"/>
      <c r="I10675" s="612"/>
      <c r="J10675" s="612"/>
      <c r="K10675" s="612"/>
      <c r="L10675" s="612"/>
    </row>
    <row r="10676" spans="1:12">
      <c r="A10676" s="612" t="s">
        <v>13679</v>
      </c>
      <c r="B10676" s="636" t="s">
        <v>12698</v>
      </c>
      <c r="C10676" s="612" t="s">
        <v>12699</v>
      </c>
      <c r="D10676" s="612" t="s">
        <v>12700</v>
      </c>
      <c r="E10676" s="637" t="s">
        <v>12702</v>
      </c>
      <c r="F10676" s="801" t="s">
        <v>12704</v>
      </c>
      <c r="G10676" s="801"/>
      <c r="H10676" s="801" t="s">
        <v>13678</v>
      </c>
      <c r="I10676" s="801"/>
      <c r="J10676" s="801" t="s">
        <v>12705</v>
      </c>
      <c r="K10676" s="801"/>
      <c r="L10676" s="801"/>
    </row>
    <row r="10677" spans="1:12" ht="25.5">
      <c r="A10677" s="626" t="s">
        <v>12709</v>
      </c>
      <c r="B10677" s="627" t="s">
        <v>13052</v>
      </c>
      <c r="C10677" s="626" t="s">
        <v>8</v>
      </c>
      <c r="D10677" s="626" t="s">
        <v>9229</v>
      </c>
      <c r="E10677" s="628" t="s">
        <v>23</v>
      </c>
      <c r="F10677" s="816" t="s">
        <v>13692</v>
      </c>
      <c r="G10677" s="816"/>
      <c r="H10677" s="816">
        <v>0.49948550000000003</v>
      </c>
      <c r="I10677" s="816"/>
      <c r="J10677" s="817">
        <v>0.47949999999999998</v>
      </c>
      <c r="K10677" s="817"/>
      <c r="L10677" s="817"/>
    </row>
    <row r="10678" spans="1:12" ht="25.5">
      <c r="A10678" s="626" t="s">
        <v>12709</v>
      </c>
      <c r="B10678" s="627" t="s">
        <v>13051</v>
      </c>
      <c r="C10678" s="626" t="s">
        <v>8</v>
      </c>
      <c r="D10678" s="626" t="s">
        <v>9376</v>
      </c>
      <c r="E10678" s="628" t="s">
        <v>23</v>
      </c>
      <c r="F10678" s="816" t="s">
        <v>13691</v>
      </c>
      <c r="G10678" s="816"/>
      <c r="H10678" s="816">
        <v>0.49948550000000003</v>
      </c>
      <c r="I10678" s="816"/>
      <c r="J10678" s="817">
        <v>0.24970000000000001</v>
      </c>
      <c r="K10678" s="817"/>
      <c r="L10678" s="817"/>
    </row>
    <row r="10679" spans="1:12" ht="25.5">
      <c r="A10679" s="626" t="s">
        <v>12709</v>
      </c>
      <c r="B10679" s="627" t="s">
        <v>13048</v>
      </c>
      <c r="C10679" s="626" t="s">
        <v>8</v>
      </c>
      <c r="D10679" s="626" t="s">
        <v>9233</v>
      </c>
      <c r="E10679" s="628" t="s">
        <v>23</v>
      </c>
      <c r="F10679" s="816" t="s">
        <v>13690</v>
      </c>
      <c r="G10679" s="816"/>
      <c r="H10679" s="816">
        <v>0.49948550000000003</v>
      </c>
      <c r="I10679" s="816"/>
      <c r="J10679" s="817">
        <v>0.50949999999999995</v>
      </c>
      <c r="K10679" s="817"/>
      <c r="L10679" s="817"/>
    </row>
    <row r="10680" spans="1:12" ht="25.5">
      <c r="A10680" s="626" t="s">
        <v>12709</v>
      </c>
      <c r="B10680" s="627" t="s">
        <v>13047</v>
      </c>
      <c r="C10680" s="626" t="s">
        <v>8</v>
      </c>
      <c r="D10680" s="626" t="s">
        <v>9380</v>
      </c>
      <c r="E10680" s="628" t="s">
        <v>23</v>
      </c>
      <c r="F10680" s="816" t="s">
        <v>13689</v>
      </c>
      <c r="G10680" s="816"/>
      <c r="H10680" s="816">
        <v>0.49948550000000003</v>
      </c>
      <c r="I10680" s="816"/>
      <c r="J10680" s="817">
        <v>0.1898</v>
      </c>
      <c r="K10680" s="817"/>
      <c r="L10680" s="817"/>
    </row>
    <row r="10681" spans="1:12">
      <c r="A10681" s="636"/>
      <c r="B10681" s="636"/>
      <c r="C10681" s="636"/>
      <c r="D10681" s="636"/>
      <c r="E10681" s="636"/>
      <c r="F10681" s="636"/>
      <c r="G10681" s="636"/>
      <c r="H10681" s="636"/>
      <c r="I10681" s="636"/>
      <c r="J10681" s="636" t="s">
        <v>13675</v>
      </c>
      <c r="K10681" s="636"/>
      <c r="L10681" s="636" t="s">
        <v>13723</v>
      </c>
    </row>
    <row r="10682" spans="1:12">
      <c r="A10682" s="802" t="s">
        <v>12710</v>
      </c>
      <c r="B10682" s="802"/>
      <c r="C10682" s="802"/>
      <c r="D10682" s="802"/>
      <c r="E10682" s="802"/>
      <c r="F10682" s="802"/>
      <c r="G10682" s="802"/>
      <c r="H10682" s="802"/>
      <c r="I10682" s="612"/>
      <c r="J10682" s="612"/>
      <c r="K10682" s="612"/>
      <c r="L10682" s="612"/>
    </row>
    <row r="10683" spans="1:12">
      <c r="A10683" s="612" t="s">
        <v>13679</v>
      </c>
      <c r="B10683" s="636" t="s">
        <v>12698</v>
      </c>
      <c r="C10683" s="612" t="s">
        <v>12699</v>
      </c>
      <c r="D10683" s="612" t="s">
        <v>12700</v>
      </c>
      <c r="E10683" s="637" t="s">
        <v>12702</v>
      </c>
      <c r="F10683" s="801" t="s">
        <v>12704</v>
      </c>
      <c r="G10683" s="801"/>
      <c r="H10683" s="801" t="s">
        <v>13678</v>
      </c>
      <c r="I10683" s="801"/>
      <c r="J10683" s="801" t="s">
        <v>12705</v>
      </c>
      <c r="K10683" s="801"/>
      <c r="L10683" s="801"/>
    </row>
    <row r="10684" spans="1:12" ht="25.5">
      <c r="A10684" s="626" t="s">
        <v>12709</v>
      </c>
      <c r="B10684" s="627" t="s">
        <v>13099</v>
      </c>
      <c r="C10684" s="626" t="s">
        <v>8</v>
      </c>
      <c r="D10684" s="626" t="s">
        <v>10726</v>
      </c>
      <c r="E10684" s="628" t="s">
        <v>23</v>
      </c>
      <c r="F10684" s="816" t="s">
        <v>14470</v>
      </c>
      <c r="G10684" s="816"/>
      <c r="H10684" s="816">
        <v>0.50695170000000001</v>
      </c>
      <c r="I10684" s="816"/>
      <c r="J10684" s="817">
        <v>3.5030000000000001</v>
      </c>
      <c r="K10684" s="817"/>
      <c r="L10684" s="817"/>
    </row>
    <row r="10685" spans="1:12" ht="25.5">
      <c r="A10685" s="626" t="s">
        <v>12709</v>
      </c>
      <c r="B10685" s="627" t="s">
        <v>13046</v>
      </c>
      <c r="C10685" s="626" t="s">
        <v>8</v>
      </c>
      <c r="D10685" s="626" t="s">
        <v>11281</v>
      </c>
      <c r="E10685" s="628" t="s">
        <v>23</v>
      </c>
      <c r="F10685" s="816" t="s">
        <v>13731</v>
      </c>
      <c r="G10685" s="816"/>
      <c r="H10685" s="816">
        <v>0.50695170000000001</v>
      </c>
      <c r="I10685" s="816"/>
      <c r="J10685" s="817">
        <v>2.6057000000000001</v>
      </c>
      <c r="K10685" s="817"/>
      <c r="L10685" s="817"/>
    </row>
    <row r="10686" spans="1:12">
      <c r="A10686" s="636"/>
      <c r="B10686" s="636"/>
      <c r="C10686" s="636"/>
      <c r="D10686" s="636"/>
      <c r="E10686" s="636"/>
      <c r="F10686" s="636"/>
      <c r="G10686" s="636"/>
      <c r="H10686" s="636"/>
      <c r="I10686" s="636"/>
      <c r="J10686" s="636" t="s">
        <v>13675</v>
      </c>
      <c r="K10686" s="636"/>
      <c r="L10686" s="636" t="s">
        <v>13831</v>
      </c>
    </row>
    <row r="10687" spans="1:12">
      <c r="A10687" s="802" t="s">
        <v>12720</v>
      </c>
      <c r="B10687" s="802"/>
      <c r="C10687" s="802"/>
      <c r="D10687" s="802"/>
      <c r="E10687" s="802"/>
      <c r="F10687" s="802"/>
      <c r="G10687" s="802"/>
      <c r="H10687" s="802"/>
      <c r="I10687" s="612"/>
      <c r="J10687" s="612"/>
      <c r="K10687" s="612"/>
      <c r="L10687" s="612"/>
    </row>
    <row r="10688" spans="1:12">
      <c r="A10688" s="612" t="s">
        <v>13679</v>
      </c>
      <c r="B10688" s="636" t="s">
        <v>12698</v>
      </c>
      <c r="C10688" s="612" t="s">
        <v>12699</v>
      </c>
      <c r="D10688" s="612" t="s">
        <v>12700</v>
      </c>
      <c r="E10688" s="637" t="s">
        <v>12702</v>
      </c>
      <c r="F10688" s="801" t="s">
        <v>12704</v>
      </c>
      <c r="G10688" s="801"/>
      <c r="H10688" s="801" t="s">
        <v>13678</v>
      </c>
      <c r="I10688" s="801"/>
      <c r="J10688" s="801" t="s">
        <v>12705</v>
      </c>
      <c r="K10688" s="801"/>
      <c r="L10688" s="801"/>
    </row>
    <row r="10689" spans="1:12" ht="25.5">
      <c r="A10689" s="626" t="s">
        <v>12709</v>
      </c>
      <c r="B10689" s="627" t="s">
        <v>13351</v>
      </c>
      <c r="C10689" s="626" t="s">
        <v>8</v>
      </c>
      <c r="D10689" s="626" t="s">
        <v>9315</v>
      </c>
      <c r="E10689" s="628" t="s">
        <v>35</v>
      </c>
      <c r="F10689" s="816" t="s">
        <v>14487</v>
      </c>
      <c r="G10689" s="816"/>
      <c r="H10689" s="816">
        <v>1</v>
      </c>
      <c r="I10689" s="816"/>
      <c r="J10689" s="817">
        <v>162</v>
      </c>
      <c r="K10689" s="817"/>
      <c r="L10689" s="817"/>
    </row>
    <row r="10690" spans="1:12">
      <c r="A10690" s="636"/>
      <c r="B10690" s="636"/>
      <c r="C10690" s="636"/>
      <c r="D10690" s="636"/>
      <c r="E10690" s="636"/>
      <c r="F10690" s="636"/>
      <c r="G10690" s="636"/>
      <c r="H10690" s="636"/>
      <c r="I10690" s="636"/>
      <c r="J10690" s="636" t="s">
        <v>13675</v>
      </c>
      <c r="K10690" s="636"/>
      <c r="L10690" s="636" t="s">
        <v>14487</v>
      </c>
    </row>
    <row r="10691" spans="1:12">
      <c r="A10691" s="802" t="s">
        <v>12722</v>
      </c>
      <c r="B10691" s="802"/>
      <c r="C10691" s="802"/>
      <c r="D10691" s="802"/>
      <c r="E10691" s="802"/>
      <c r="F10691" s="802"/>
      <c r="G10691" s="802"/>
      <c r="H10691" s="802"/>
      <c r="I10691" s="612"/>
      <c r="J10691" s="612"/>
      <c r="K10691" s="612"/>
      <c r="L10691" s="612"/>
    </row>
    <row r="10692" spans="1:12">
      <c r="A10692" s="612" t="s">
        <v>13679</v>
      </c>
      <c r="B10692" s="636" t="s">
        <v>12698</v>
      </c>
      <c r="C10692" s="612" t="s">
        <v>12699</v>
      </c>
      <c r="D10692" s="612" t="s">
        <v>12700</v>
      </c>
      <c r="E10692" s="637" t="s">
        <v>12702</v>
      </c>
      <c r="F10692" s="801" t="s">
        <v>12704</v>
      </c>
      <c r="G10692" s="801"/>
      <c r="H10692" s="801" t="s">
        <v>13678</v>
      </c>
      <c r="I10692" s="801"/>
      <c r="J10692" s="801" t="s">
        <v>12705</v>
      </c>
      <c r="K10692" s="801"/>
      <c r="L10692" s="801"/>
    </row>
    <row r="10693" spans="1:12" ht="25.5">
      <c r="A10693" s="626" t="s">
        <v>12709</v>
      </c>
      <c r="B10693" s="627" t="s">
        <v>12998</v>
      </c>
      <c r="C10693" s="626" t="s">
        <v>8</v>
      </c>
      <c r="D10693" s="626" t="s">
        <v>11861</v>
      </c>
      <c r="E10693" s="628" t="s">
        <v>23</v>
      </c>
      <c r="F10693" s="816" t="s">
        <v>13683</v>
      </c>
      <c r="G10693" s="816"/>
      <c r="H10693" s="816">
        <v>1</v>
      </c>
      <c r="I10693" s="816"/>
      <c r="J10693" s="817">
        <v>0.71</v>
      </c>
      <c r="K10693" s="817"/>
      <c r="L10693" s="817"/>
    </row>
    <row r="10694" spans="1:12">
      <c r="A10694" s="636"/>
      <c r="B10694" s="636"/>
      <c r="C10694" s="636"/>
      <c r="D10694" s="636"/>
      <c r="E10694" s="636"/>
      <c r="F10694" s="636"/>
      <c r="G10694" s="636"/>
      <c r="H10694" s="636"/>
      <c r="I10694" s="636"/>
      <c r="J10694" s="636" t="s">
        <v>13675</v>
      </c>
      <c r="K10694" s="636"/>
      <c r="L10694" s="636" t="s">
        <v>13683</v>
      </c>
    </row>
    <row r="10695" spans="1:12">
      <c r="A10695" s="802" t="s">
        <v>12713</v>
      </c>
      <c r="B10695" s="802"/>
      <c r="C10695" s="802"/>
      <c r="D10695" s="802"/>
      <c r="E10695" s="802"/>
      <c r="F10695" s="802"/>
      <c r="G10695" s="802"/>
      <c r="H10695" s="802"/>
      <c r="I10695" s="612"/>
      <c r="J10695" s="612"/>
      <c r="K10695" s="612"/>
      <c r="L10695" s="612"/>
    </row>
    <row r="10696" spans="1:12">
      <c r="A10696" s="612" t="s">
        <v>13679</v>
      </c>
      <c r="B10696" s="636" t="s">
        <v>12698</v>
      </c>
      <c r="C10696" s="612" t="s">
        <v>12699</v>
      </c>
      <c r="D10696" s="612" t="s">
        <v>12700</v>
      </c>
      <c r="E10696" s="637" t="s">
        <v>12702</v>
      </c>
      <c r="F10696" s="801" t="s">
        <v>12704</v>
      </c>
      <c r="G10696" s="801"/>
      <c r="H10696" s="801" t="s">
        <v>13678</v>
      </c>
      <c r="I10696" s="801"/>
      <c r="J10696" s="801" t="s">
        <v>12705</v>
      </c>
      <c r="K10696" s="801"/>
      <c r="L10696" s="801"/>
    </row>
    <row r="10697" spans="1:12" ht="25.5">
      <c r="A10697" s="626" t="s">
        <v>12709</v>
      </c>
      <c r="B10697" s="627" t="s">
        <v>12999</v>
      </c>
      <c r="C10697" s="626" t="s">
        <v>8</v>
      </c>
      <c r="D10697" s="626" t="s">
        <v>11251</v>
      </c>
      <c r="E10697" s="628" t="s">
        <v>23</v>
      </c>
      <c r="F10697" s="816" t="s">
        <v>13681</v>
      </c>
      <c r="G10697" s="816"/>
      <c r="H10697" s="816">
        <v>1</v>
      </c>
      <c r="I10697" s="816"/>
      <c r="J10697" s="817">
        <v>7.0000000000000007E-2</v>
      </c>
      <c r="K10697" s="817"/>
      <c r="L10697" s="817"/>
    </row>
    <row r="10698" spans="1:12">
      <c r="A10698" s="636"/>
      <c r="B10698" s="636"/>
      <c r="C10698" s="636"/>
      <c r="D10698" s="636"/>
      <c r="E10698" s="636"/>
      <c r="F10698" s="636"/>
      <c r="G10698" s="636"/>
      <c r="H10698" s="636"/>
      <c r="I10698" s="636"/>
      <c r="J10698" s="636" t="s">
        <v>13675</v>
      </c>
      <c r="K10698" s="636"/>
      <c r="L10698" s="636" t="s">
        <v>13681</v>
      </c>
    </row>
    <row r="10699" spans="1:12">
      <c r="A10699" s="802" t="s">
        <v>12712</v>
      </c>
      <c r="B10699" s="802"/>
      <c r="C10699" s="802"/>
      <c r="D10699" s="802"/>
      <c r="E10699" s="802"/>
      <c r="F10699" s="802"/>
      <c r="G10699" s="802"/>
      <c r="H10699" s="802"/>
      <c r="I10699" s="612"/>
      <c r="J10699" s="612"/>
      <c r="K10699" s="612"/>
      <c r="L10699" s="612"/>
    </row>
    <row r="10700" spans="1:12">
      <c r="A10700" s="612" t="s">
        <v>13679</v>
      </c>
      <c r="B10700" s="636" t="s">
        <v>12698</v>
      </c>
      <c r="C10700" s="612" t="s">
        <v>12699</v>
      </c>
      <c r="D10700" s="612" t="s">
        <v>12700</v>
      </c>
      <c r="E10700" s="637" t="s">
        <v>12702</v>
      </c>
      <c r="F10700" s="801" t="s">
        <v>12704</v>
      </c>
      <c r="G10700" s="801"/>
      <c r="H10700" s="801" t="s">
        <v>13678</v>
      </c>
      <c r="I10700" s="801"/>
      <c r="J10700" s="801" t="s">
        <v>12705</v>
      </c>
      <c r="K10700" s="801"/>
      <c r="L10700" s="801"/>
    </row>
    <row r="10701" spans="1:12" ht="25.5">
      <c r="A10701" s="626" t="s">
        <v>12709</v>
      </c>
      <c r="B10701" s="627" t="s">
        <v>13002</v>
      </c>
      <c r="C10701" s="626" t="s">
        <v>8</v>
      </c>
      <c r="D10701" s="626" t="s">
        <v>9306</v>
      </c>
      <c r="E10701" s="628" t="s">
        <v>23</v>
      </c>
      <c r="F10701" s="816" t="s">
        <v>13677</v>
      </c>
      <c r="G10701" s="816"/>
      <c r="H10701" s="816">
        <v>1</v>
      </c>
      <c r="I10701" s="816"/>
      <c r="J10701" s="817">
        <v>0.35</v>
      </c>
      <c r="K10701" s="817"/>
      <c r="L10701" s="817"/>
    </row>
    <row r="10702" spans="1:12" ht="25.5">
      <c r="A10702" s="626" t="s">
        <v>12709</v>
      </c>
      <c r="B10702" s="627" t="s">
        <v>13004</v>
      </c>
      <c r="C10702" s="626" t="s">
        <v>8</v>
      </c>
      <c r="D10702" s="626" t="s">
        <v>7388</v>
      </c>
      <c r="E10702" s="628" t="s">
        <v>23</v>
      </c>
      <c r="F10702" s="816" t="s">
        <v>13676</v>
      </c>
      <c r="G10702" s="816"/>
      <c r="H10702" s="816">
        <v>1</v>
      </c>
      <c r="I10702" s="816"/>
      <c r="J10702" s="817">
        <v>2.2000000000000002</v>
      </c>
      <c r="K10702" s="817"/>
      <c r="L10702" s="817"/>
    </row>
    <row r="10703" spans="1:12">
      <c r="A10703" s="636"/>
      <c r="B10703" s="636"/>
      <c r="C10703" s="636"/>
      <c r="D10703" s="636"/>
      <c r="E10703" s="636"/>
      <c r="F10703" s="636"/>
      <c r="G10703" s="636"/>
      <c r="H10703" s="636"/>
      <c r="I10703" s="636"/>
      <c r="J10703" s="636" t="s">
        <v>13675</v>
      </c>
      <c r="K10703" s="636"/>
      <c r="L10703" s="636" t="s">
        <v>13722</v>
      </c>
    </row>
    <row r="10704" spans="1:12">
      <c r="A10704" s="612" t="s">
        <v>13673</v>
      </c>
      <c r="B10704" s="612"/>
      <c r="C10704" s="612"/>
      <c r="D10704" s="612"/>
      <c r="E10704" s="612"/>
      <c r="F10704" s="612"/>
      <c r="G10704" s="612"/>
      <c r="H10704" s="612"/>
      <c r="I10704" s="612"/>
      <c r="J10704" s="612"/>
      <c r="K10704" s="612"/>
      <c r="L10704" s="612"/>
    </row>
    <row r="10705" spans="1:12">
      <c r="A10705" s="636"/>
      <c r="B10705" s="636"/>
      <c r="C10705" s="636"/>
      <c r="D10705" s="636"/>
      <c r="E10705" s="636"/>
      <c r="F10705" s="636"/>
      <c r="G10705" s="636"/>
      <c r="H10705" s="636"/>
      <c r="I10705" s="636"/>
      <c r="J10705" s="636" t="s">
        <v>13672</v>
      </c>
      <c r="K10705" s="636"/>
      <c r="L10705" s="636" t="s">
        <v>15708</v>
      </c>
    </row>
    <row r="10706" spans="1:12">
      <c r="A10706" s="636"/>
      <c r="B10706" s="636"/>
      <c r="C10706" s="636"/>
      <c r="D10706" s="636"/>
      <c r="E10706" s="636"/>
      <c r="F10706" s="636"/>
      <c r="G10706" s="636"/>
      <c r="H10706" s="636"/>
      <c r="I10706" s="636"/>
      <c r="J10706" s="636" t="s">
        <v>13671</v>
      </c>
      <c r="K10706" s="636" t="s">
        <v>14461</v>
      </c>
      <c r="L10706" s="636" t="s">
        <v>15704</v>
      </c>
    </row>
    <row r="10707" spans="1:12">
      <c r="A10707" s="636"/>
      <c r="B10707" s="636"/>
      <c r="C10707" s="636"/>
      <c r="D10707" s="636"/>
      <c r="E10707" s="636"/>
      <c r="F10707" s="636"/>
      <c r="G10707" s="636"/>
      <c r="H10707" s="636"/>
      <c r="I10707" s="636"/>
      <c r="J10707" s="636" t="s">
        <v>13670</v>
      </c>
      <c r="K10707" s="636"/>
      <c r="L10707" s="636" t="s">
        <v>15709</v>
      </c>
    </row>
    <row r="10708" spans="1:12">
      <c r="A10708" s="636"/>
      <c r="B10708" s="636"/>
      <c r="C10708" s="636"/>
      <c r="D10708" s="636"/>
      <c r="E10708" s="636"/>
      <c r="F10708" s="636"/>
      <c r="G10708" s="636"/>
      <c r="H10708" s="636"/>
      <c r="I10708" s="636"/>
      <c r="J10708" s="636" t="s">
        <v>13669</v>
      </c>
      <c r="K10708" s="636" t="s">
        <v>13667</v>
      </c>
      <c r="L10708" s="636" t="s">
        <v>15710</v>
      </c>
    </row>
    <row r="10709" spans="1:12">
      <c r="A10709" s="636"/>
      <c r="B10709" s="636"/>
      <c r="C10709" s="636"/>
      <c r="D10709" s="636"/>
      <c r="E10709" s="636"/>
      <c r="F10709" s="636"/>
      <c r="G10709" s="636"/>
      <c r="H10709" s="636"/>
      <c r="I10709" s="636"/>
      <c r="J10709" s="636" t="s">
        <v>13668</v>
      </c>
      <c r="K10709" s="636"/>
      <c r="L10709" s="636" t="s">
        <v>15711</v>
      </c>
    </row>
    <row r="10710" spans="1:12">
      <c r="A10710" s="637"/>
      <c r="B10710" s="637"/>
      <c r="C10710" s="637"/>
      <c r="D10710" s="637"/>
      <c r="E10710" s="637"/>
      <c r="F10710" s="637"/>
      <c r="G10710" s="637"/>
      <c r="H10710" s="637"/>
      <c r="I10710" s="637"/>
      <c r="J10710" s="637"/>
      <c r="K10710" s="637"/>
      <c r="L10710" s="637"/>
    </row>
    <row r="10711" spans="1:12" ht="25.5">
      <c r="A10711" s="616" t="s">
        <v>13721</v>
      </c>
      <c r="B10711" s="617" t="s">
        <v>13350</v>
      </c>
      <c r="C10711" s="616" t="s">
        <v>8</v>
      </c>
      <c r="D10711" s="616" t="s">
        <v>126</v>
      </c>
      <c r="E10711" s="618" t="s">
        <v>35</v>
      </c>
      <c r="F10711" s="617"/>
      <c r="G10711" s="617"/>
      <c r="H10711" s="617"/>
      <c r="I10711" s="617"/>
      <c r="J10711" s="617"/>
      <c r="K10711" s="617"/>
      <c r="L10711" s="617"/>
    </row>
    <row r="10712" spans="1:12">
      <c r="A10712" s="802" t="s">
        <v>12711</v>
      </c>
      <c r="B10712" s="802"/>
      <c r="C10712" s="802"/>
      <c r="D10712" s="802"/>
      <c r="E10712" s="802"/>
      <c r="F10712" s="802"/>
      <c r="G10712" s="802"/>
      <c r="H10712" s="802"/>
      <c r="I10712" s="612"/>
      <c r="J10712" s="612"/>
      <c r="K10712" s="612"/>
      <c r="L10712" s="612"/>
    </row>
    <row r="10713" spans="1:12">
      <c r="A10713" s="612" t="s">
        <v>13679</v>
      </c>
      <c r="B10713" s="636" t="s">
        <v>12698</v>
      </c>
      <c r="C10713" s="612" t="s">
        <v>12699</v>
      </c>
      <c r="D10713" s="612" t="s">
        <v>12700</v>
      </c>
      <c r="E10713" s="637" t="s">
        <v>12702</v>
      </c>
      <c r="F10713" s="801" t="s">
        <v>12704</v>
      </c>
      <c r="G10713" s="801"/>
      <c r="H10713" s="801" t="s">
        <v>13678</v>
      </c>
      <c r="I10713" s="801"/>
      <c r="J10713" s="801" t="s">
        <v>12705</v>
      </c>
      <c r="K10713" s="801"/>
      <c r="L10713" s="801"/>
    </row>
    <row r="10714" spans="1:12" ht="25.5">
      <c r="A10714" s="626" t="s">
        <v>12709</v>
      </c>
      <c r="B10714" s="627" t="s">
        <v>13201</v>
      </c>
      <c r="C10714" s="626" t="s">
        <v>8</v>
      </c>
      <c r="D10714" s="626" t="s">
        <v>9221</v>
      </c>
      <c r="E10714" s="628" t="s">
        <v>23</v>
      </c>
      <c r="F10714" s="816" t="s">
        <v>13705</v>
      </c>
      <c r="G10714" s="816"/>
      <c r="H10714" s="816">
        <v>0.29953400000000002</v>
      </c>
      <c r="I10714" s="816"/>
      <c r="J10714" s="817">
        <v>0.24859999999999999</v>
      </c>
      <c r="K10714" s="817"/>
      <c r="L10714" s="817"/>
    </row>
    <row r="10715" spans="1:12" ht="25.5">
      <c r="A10715" s="626" t="s">
        <v>12709</v>
      </c>
      <c r="B10715" s="627" t="s">
        <v>13200</v>
      </c>
      <c r="C10715" s="626" t="s">
        <v>8</v>
      </c>
      <c r="D10715" s="626" t="s">
        <v>9368</v>
      </c>
      <c r="E10715" s="628" t="s">
        <v>23</v>
      </c>
      <c r="F10715" s="816" t="s">
        <v>13704</v>
      </c>
      <c r="G10715" s="816"/>
      <c r="H10715" s="816">
        <v>0.29953400000000002</v>
      </c>
      <c r="I10715" s="816"/>
      <c r="J10715" s="817">
        <v>7.1900000000000006E-2</v>
      </c>
      <c r="K10715" s="817"/>
      <c r="L10715" s="817"/>
    </row>
    <row r="10716" spans="1:12" ht="25.5">
      <c r="A10716" s="626" t="s">
        <v>12709</v>
      </c>
      <c r="B10716" s="627" t="s">
        <v>13048</v>
      </c>
      <c r="C10716" s="626" t="s">
        <v>8</v>
      </c>
      <c r="D10716" s="626" t="s">
        <v>9233</v>
      </c>
      <c r="E10716" s="628" t="s">
        <v>23</v>
      </c>
      <c r="F10716" s="816" t="s">
        <v>13690</v>
      </c>
      <c r="G10716" s="816"/>
      <c r="H10716" s="816">
        <v>0.29953400000000002</v>
      </c>
      <c r="I10716" s="816"/>
      <c r="J10716" s="817">
        <v>0.30549999999999999</v>
      </c>
      <c r="K10716" s="817"/>
      <c r="L10716" s="817"/>
    </row>
    <row r="10717" spans="1:12" ht="25.5">
      <c r="A10717" s="626" t="s">
        <v>12709</v>
      </c>
      <c r="B10717" s="627" t="s">
        <v>13047</v>
      </c>
      <c r="C10717" s="626" t="s">
        <v>8</v>
      </c>
      <c r="D10717" s="626" t="s">
        <v>9380</v>
      </c>
      <c r="E10717" s="628" t="s">
        <v>23</v>
      </c>
      <c r="F10717" s="816" t="s">
        <v>13689</v>
      </c>
      <c r="G10717" s="816"/>
      <c r="H10717" s="816">
        <v>0.29953400000000002</v>
      </c>
      <c r="I10717" s="816"/>
      <c r="J10717" s="817">
        <v>0.1138</v>
      </c>
      <c r="K10717" s="817"/>
      <c r="L10717" s="817"/>
    </row>
    <row r="10718" spans="1:12">
      <c r="A10718" s="636"/>
      <c r="B10718" s="636"/>
      <c r="C10718" s="636"/>
      <c r="D10718" s="636"/>
      <c r="E10718" s="636"/>
      <c r="F10718" s="636"/>
      <c r="G10718" s="636"/>
      <c r="H10718" s="636"/>
      <c r="I10718" s="636"/>
      <c r="J10718" s="636" t="s">
        <v>13675</v>
      </c>
      <c r="K10718" s="636"/>
      <c r="L10718" s="636" t="s">
        <v>13720</v>
      </c>
    </row>
    <row r="10719" spans="1:12">
      <c r="A10719" s="802" t="s">
        <v>12710</v>
      </c>
      <c r="B10719" s="802"/>
      <c r="C10719" s="802"/>
      <c r="D10719" s="802"/>
      <c r="E10719" s="802"/>
      <c r="F10719" s="802"/>
      <c r="G10719" s="802"/>
      <c r="H10719" s="802"/>
      <c r="I10719" s="612"/>
      <c r="J10719" s="612"/>
      <c r="K10719" s="612"/>
      <c r="L10719" s="612"/>
    </row>
    <row r="10720" spans="1:12">
      <c r="A10720" s="612" t="s">
        <v>13679</v>
      </c>
      <c r="B10720" s="636" t="s">
        <v>12698</v>
      </c>
      <c r="C10720" s="612" t="s">
        <v>12699</v>
      </c>
      <c r="D10720" s="612" t="s">
        <v>12700</v>
      </c>
      <c r="E10720" s="637" t="s">
        <v>12702</v>
      </c>
      <c r="F10720" s="801" t="s">
        <v>12704</v>
      </c>
      <c r="G10720" s="801"/>
      <c r="H10720" s="801" t="s">
        <v>13678</v>
      </c>
      <c r="I10720" s="801"/>
      <c r="J10720" s="801" t="s">
        <v>12705</v>
      </c>
      <c r="K10720" s="801"/>
      <c r="L10720" s="801"/>
    </row>
    <row r="10721" spans="1:12" ht="25.5">
      <c r="A10721" s="626" t="s">
        <v>12709</v>
      </c>
      <c r="B10721" s="627" t="s">
        <v>13202</v>
      </c>
      <c r="C10721" s="626" t="s">
        <v>8</v>
      </c>
      <c r="D10721" s="626" t="s">
        <v>9187</v>
      </c>
      <c r="E10721" s="628" t="s">
        <v>23</v>
      </c>
      <c r="F10721" s="816" t="s">
        <v>14479</v>
      </c>
      <c r="G10721" s="816"/>
      <c r="H10721" s="816">
        <v>0.303234</v>
      </c>
      <c r="I10721" s="816"/>
      <c r="J10721" s="817">
        <v>2.1680999999999999</v>
      </c>
      <c r="K10721" s="817"/>
      <c r="L10721" s="817"/>
    </row>
    <row r="10722" spans="1:12" ht="25.5">
      <c r="A10722" s="626" t="s">
        <v>12709</v>
      </c>
      <c r="B10722" s="627" t="s">
        <v>13046</v>
      </c>
      <c r="C10722" s="626" t="s">
        <v>8</v>
      </c>
      <c r="D10722" s="626" t="s">
        <v>11281</v>
      </c>
      <c r="E10722" s="628" t="s">
        <v>23</v>
      </c>
      <c r="F10722" s="816" t="s">
        <v>13731</v>
      </c>
      <c r="G10722" s="816"/>
      <c r="H10722" s="816">
        <v>0.30389300000000002</v>
      </c>
      <c r="I10722" s="816"/>
      <c r="J10722" s="817">
        <v>1.5620000000000001</v>
      </c>
      <c r="K10722" s="817"/>
      <c r="L10722" s="817"/>
    </row>
    <row r="10723" spans="1:12">
      <c r="A10723" s="636"/>
      <c r="B10723" s="636"/>
      <c r="C10723" s="636"/>
      <c r="D10723" s="636"/>
      <c r="E10723" s="636"/>
      <c r="F10723" s="636"/>
      <c r="G10723" s="636"/>
      <c r="H10723" s="636"/>
      <c r="I10723" s="636"/>
      <c r="J10723" s="636" t="s">
        <v>13675</v>
      </c>
      <c r="K10723" s="636"/>
      <c r="L10723" s="636" t="s">
        <v>14486</v>
      </c>
    </row>
    <row r="10724" spans="1:12">
      <c r="A10724" s="802" t="s">
        <v>12720</v>
      </c>
      <c r="B10724" s="802"/>
      <c r="C10724" s="802"/>
      <c r="D10724" s="802"/>
      <c r="E10724" s="802"/>
      <c r="F10724" s="802"/>
      <c r="G10724" s="802"/>
      <c r="H10724" s="802"/>
      <c r="I10724" s="612"/>
      <c r="J10724" s="612"/>
      <c r="K10724" s="612"/>
      <c r="L10724" s="612"/>
    </row>
    <row r="10725" spans="1:12">
      <c r="A10725" s="612" t="s">
        <v>13679</v>
      </c>
      <c r="B10725" s="636" t="s">
        <v>12698</v>
      </c>
      <c r="C10725" s="612" t="s">
        <v>12699</v>
      </c>
      <c r="D10725" s="612" t="s">
        <v>12700</v>
      </c>
      <c r="E10725" s="637" t="s">
        <v>12702</v>
      </c>
      <c r="F10725" s="801" t="s">
        <v>12704</v>
      </c>
      <c r="G10725" s="801"/>
      <c r="H10725" s="801" t="s">
        <v>13678</v>
      </c>
      <c r="I10725" s="801"/>
      <c r="J10725" s="801" t="s">
        <v>12705</v>
      </c>
      <c r="K10725" s="801"/>
      <c r="L10725" s="801"/>
    </row>
    <row r="10726" spans="1:12" ht="38.25">
      <c r="A10726" s="626" t="s">
        <v>12709</v>
      </c>
      <c r="B10726" s="627" t="s">
        <v>13349</v>
      </c>
      <c r="C10726" s="626" t="s">
        <v>8</v>
      </c>
      <c r="D10726" s="626" t="s">
        <v>7799</v>
      </c>
      <c r="E10726" s="628" t="s">
        <v>35</v>
      </c>
      <c r="F10726" s="816" t="s">
        <v>13718</v>
      </c>
      <c r="G10726" s="816"/>
      <c r="H10726" s="816">
        <v>1</v>
      </c>
      <c r="I10726" s="816"/>
      <c r="J10726" s="817">
        <v>0.44</v>
      </c>
      <c r="K10726" s="817"/>
      <c r="L10726" s="817"/>
    </row>
    <row r="10727" spans="1:12" ht="25.5">
      <c r="A10727" s="626" t="s">
        <v>12709</v>
      </c>
      <c r="B10727" s="627" t="s">
        <v>13348</v>
      </c>
      <c r="C10727" s="626" t="s">
        <v>8</v>
      </c>
      <c r="D10727" s="626" t="s">
        <v>9312</v>
      </c>
      <c r="E10727" s="628" t="s">
        <v>35</v>
      </c>
      <c r="F10727" s="816" t="s">
        <v>14485</v>
      </c>
      <c r="G10727" s="816"/>
      <c r="H10727" s="816">
        <v>1</v>
      </c>
      <c r="I10727" s="816"/>
      <c r="J10727" s="817">
        <v>486</v>
      </c>
      <c r="K10727" s="817"/>
      <c r="L10727" s="817"/>
    </row>
    <row r="10728" spans="1:12">
      <c r="A10728" s="636"/>
      <c r="B10728" s="636"/>
      <c r="C10728" s="636"/>
      <c r="D10728" s="636"/>
      <c r="E10728" s="636"/>
      <c r="F10728" s="636"/>
      <c r="G10728" s="636"/>
      <c r="H10728" s="636"/>
      <c r="I10728" s="636"/>
      <c r="J10728" s="636" t="s">
        <v>13675</v>
      </c>
      <c r="K10728" s="636"/>
      <c r="L10728" s="636" t="s">
        <v>14484</v>
      </c>
    </row>
    <row r="10729" spans="1:12">
      <c r="A10729" s="802" t="s">
        <v>12722</v>
      </c>
      <c r="B10729" s="802"/>
      <c r="C10729" s="802"/>
      <c r="D10729" s="802"/>
      <c r="E10729" s="802"/>
      <c r="F10729" s="802"/>
      <c r="G10729" s="802"/>
      <c r="H10729" s="802"/>
      <c r="I10729" s="612"/>
      <c r="J10729" s="612"/>
      <c r="K10729" s="612"/>
      <c r="L10729" s="612"/>
    </row>
    <row r="10730" spans="1:12">
      <c r="A10730" s="612" t="s">
        <v>13679</v>
      </c>
      <c r="B10730" s="636" t="s">
        <v>12698</v>
      </c>
      <c r="C10730" s="612" t="s">
        <v>12699</v>
      </c>
      <c r="D10730" s="612" t="s">
        <v>12700</v>
      </c>
      <c r="E10730" s="637" t="s">
        <v>12702</v>
      </c>
      <c r="F10730" s="801" t="s">
        <v>12704</v>
      </c>
      <c r="G10730" s="801"/>
      <c r="H10730" s="801" t="s">
        <v>13678</v>
      </c>
      <c r="I10730" s="801"/>
      <c r="J10730" s="801" t="s">
        <v>12705</v>
      </c>
      <c r="K10730" s="801"/>
      <c r="L10730" s="801"/>
    </row>
    <row r="10731" spans="1:12" ht="25.5">
      <c r="A10731" s="626" t="s">
        <v>12709</v>
      </c>
      <c r="B10731" s="627" t="s">
        <v>12998</v>
      </c>
      <c r="C10731" s="626" t="s">
        <v>8</v>
      </c>
      <c r="D10731" s="626" t="s">
        <v>11861</v>
      </c>
      <c r="E10731" s="628" t="s">
        <v>23</v>
      </c>
      <c r="F10731" s="816" t="s">
        <v>13683</v>
      </c>
      <c r="G10731" s="816"/>
      <c r="H10731" s="816">
        <v>0.59906800000000004</v>
      </c>
      <c r="I10731" s="816"/>
      <c r="J10731" s="817">
        <v>0.42530000000000001</v>
      </c>
      <c r="K10731" s="817"/>
      <c r="L10731" s="817"/>
    </row>
    <row r="10732" spans="1:12">
      <c r="A10732" s="636"/>
      <c r="B10732" s="636"/>
      <c r="C10732" s="636"/>
      <c r="D10732" s="636"/>
      <c r="E10732" s="636"/>
      <c r="F10732" s="636"/>
      <c r="G10732" s="636"/>
      <c r="H10732" s="636"/>
      <c r="I10732" s="636"/>
      <c r="J10732" s="636" t="s">
        <v>13675</v>
      </c>
      <c r="K10732" s="636"/>
      <c r="L10732" s="636" t="s">
        <v>13717</v>
      </c>
    </row>
    <row r="10733" spans="1:12">
      <c r="A10733" s="802" t="s">
        <v>12713</v>
      </c>
      <c r="B10733" s="802"/>
      <c r="C10733" s="802"/>
      <c r="D10733" s="802"/>
      <c r="E10733" s="802"/>
      <c r="F10733" s="802"/>
      <c r="G10733" s="802"/>
      <c r="H10733" s="802"/>
      <c r="I10733" s="612"/>
      <c r="J10733" s="612"/>
      <c r="K10733" s="612"/>
      <c r="L10733" s="612"/>
    </row>
    <row r="10734" spans="1:12">
      <c r="A10734" s="612" t="s">
        <v>13679</v>
      </c>
      <c r="B10734" s="636" t="s">
        <v>12698</v>
      </c>
      <c r="C10734" s="612" t="s">
        <v>12699</v>
      </c>
      <c r="D10734" s="612" t="s">
        <v>12700</v>
      </c>
      <c r="E10734" s="637" t="s">
        <v>12702</v>
      </c>
      <c r="F10734" s="801" t="s">
        <v>12704</v>
      </c>
      <c r="G10734" s="801"/>
      <c r="H10734" s="801" t="s">
        <v>13678</v>
      </c>
      <c r="I10734" s="801"/>
      <c r="J10734" s="801" t="s">
        <v>12705</v>
      </c>
      <c r="K10734" s="801"/>
      <c r="L10734" s="801"/>
    </row>
    <row r="10735" spans="1:12" ht="25.5">
      <c r="A10735" s="626" t="s">
        <v>12709</v>
      </c>
      <c r="B10735" s="627" t="s">
        <v>12999</v>
      </c>
      <c r="C10735" s="626" t="s">
        <v>8</v>
      </c>
      <c r="D10735" s="626" t="s">
        <v>11251</v>
      </c>
      <c r="E10735" s="628" t="s">
        <v>23</v>
      </c>
      <c r="F10735" s="816" t="s">
        <v>13681</v>
      </c>
      <c r="G10735" s="816"/>
      <c r="H10735" s="816">
        <v>0.59906800000000004</v>
      </c>
      <c r="I10735" s="816"/>
      <c r="J10735" s="817">
        <v>4.19E-2</v>
      </c>
      <c r="K10735" s="817"/>
      <c r="L10735" s="817"/>
    </row>
    <row r="10736" spans="1:12">
      <c r="A10736" s="636"/>
      <c r="B10736" s="636"/>
      <c r="C10736" s="636"/>
      <c r="D10736" s="636"/>
      <c r="E10736" s="636"/>
      <c r="F10736" s="636"/>
      <c r="G10736" s="636"/>
      <c r="H10736" s="636"/>
      <c r="I10736" s="636"/>
      <c r="J10736" s="636" t="s">
        <v>13675</v>
      </c>
      <c r="K10736" s="636"/>
      <c r="L10736" s="636" t="s">
        <v>13716</v>
      </c>
    </row>
    <row r="10737" spans="1:12">
      <c r="A10737" s="802" t="s">
        <v>12712</v>
      </c>
      <c r="B10737" s="802"/>
      <c r="C10737" s="802"/>
      <c r="D10737" s="802"/>
      <c r="E10737" s="802"/>
      <c r="F10737" s="802"/>
      <c r="G10737" s="802"/>
      <c r="H10737" s="802"/>
      <c r="I10737" s="612"/>
      <c r="J10737" s="612"/>
      <c r="K10737" s="612"/>
      <c r="L10737" s="612"/>
    </row>
    <row r="10738" spans="1:12">
      <c r="A10738" s="612" t="s">
        <v>13679</v>
      </c>
      <c r="B10738" s="636" t="s">
        <v>12698</v>
      </c>
      <c r="C10738" s="612" t="s">
        <v>12699</v>
      </c>
      <c r="D10738" s="612" t="s">
        <v>12700</v>
      </c>
      <c r="E10738" s="637" t="s">
        <v>12702</v>
      </c>
      <c r="F10738" s="801" t="s">
        <v>12704</v>
      </c>
      <c r="G10738" s="801"/>
      <c r="H10738" s="801" t="s">
        <v>13678</v>
      </c>
      <c r="I10738" s="801"/>
      <c r="J10738" s="801" t="s">
        <v>12705</v>
      </c>
      <c r="K10738" s="801"/>
      <c r="L10738" s="801"/>
    </row>
    <row r="10739" spans="1:12" ht="25.5">
      <c r="A10739" s="626" t="s">
        <v>12709</v>
      </c>
      <c r="B10739" s="627" t="s">
        <v>13002</v>
      </c>
      <c r="C10739" s="626" t="s">
        <v>8</v>
      </c>
      <c r="D10739" s="626" t="s">
        <v>9306</v>
      </c>
      <c r="E10739" s="628" t="s">
        <v>23</v>
      </c>
      <c r="F10739" s="816" t="s">
        <v>13677</v>
      </c>
      <c r="G10739" s="816"/>
      <c r="H10739" s="816">
        <v>0.59906800000000004</v>
      </c>
      <c r="I10739" s="816"/>
      <c r="J10739" s="817">
        <v>0.2097</v>
      </c>
      <c r="K10739" s="817"/>
      <c r="L10739" s="817"/>
    </row>
    <row r="10740" spans="1:12" ht="25.5">
      <c r="A10740" s="626" t="s">
        <v>12709</v>
      </c>
      <c r="B10740" s="627" t="s">
        <v>13004</v>
      </c>
      <c r="C10740" s="626" t="s">
        <v>8</v>
      </c>
      <c r="D10740" s="626" t="s">
        <v>7388</v>
      </c>
      <c r="E10740" s="628" t="s">
        <v>23</v>
      </c>
      <c r="F10740" s="816" t="s">
        <v>13676</v>
      </c>
      <c r="G10740" s="816"/>
      <c r="H10740" s="816">
        <v>0.59906800000000004</v>
      </c>
      <c r="I10740" s="816"/>
      <c r="J10740" s="817">
        <v>1.3179000000000001</v>
      </c>
      <c r="K10740" s="817"/>
      <c r="L10740" s="817"/>
    </row>
    <row r="10741" spans="1:12">
      <c r="A10741" s="636"/>
      <c r="B10741" s="636"/>
      <c r="C10741" s="636"/>
      <c r="D10741" s="636"/>
      <c r="E10741" s="636"/>
      <c r="F10741" s="636"/>
      <c r="G10741" s="636"/>
      <c r="H10741" s="636"/>
      <c r="I10741" s="636"/>
      <c r="J10741" s="636" t="s">
        <v>13675</v>
      </c>
      <c r="K10741" s="636"/>
      <c r="L10741" s="636" t="s">
        <v>13715</v>
      </c>
    </row>
    <row r="10742" spans="1:12">
      <c r="A10742" s="612" t="s">
        <v>13673</v>
      </c>
      <c r="B10742" s="612"/>
      <c r="C10742" s="612"/>
      <c r="D10742" s="612"/>
      <c r="E10742" s="612"/>
      <c r="F10742" s="612"/>
      <c r="G10742" s="612"/>
      <c r="H10742" s="612"/>
      <c r="I10742" s="612"/>
      <c r="J10742" s="612"/>
      <c r="K10742" s="612"/>
      <c r="L10742" s="612"/>
    </row>
    <row r="10743" spans="1:12">
      <c r="A10743" s="636"/>
      <c r="B10743" s="636"/>
      <c r="C10743" s="636"/>
      <c r="D10743" s="636"/>
      <c r="E10743" s="636"/>
      <c r="F10743" s="636"/>
      <c r="G10743" s="636"/>
      <c r="H10743" s="636"/>
      <c r="I10743" s="636"/>
      <c r="J10743" s="636" t="s">
        <v>13672</v>
      </c>
      <c r="K10743" s="636"/>
      <c r="L10743" s="636" t="s">
        <v>15712</v>
      </c>
    </row>
    <row r="10744" spans="1:12">
      <c r="A10744" s="636"/>
      <c r="B10744" s="636"/>
      <c r="C10744" s="636"/>
      <c r="D10744" s="636"/>
      <c r="E10744" s="636"/>
      <c r="F10744" s="636"/>
      <c r="G10744" s="636"/>
      <c r="H10744" s="636"/>
      <c r="I10744" s="636"/>
      <c r="J10744" s="636" t="s">
        <v>13671</v>
      </c>
      <c r="K10744" s="636" t="s">
        <v>14461</v>
      </c>
      <c r="L10744" s="636" t="s">
        <v>15713</v>
      </c>
    </row>
    <row r="10745" spans="1:12">
      <c r="A10745" s="636"/>
      <c r="B10745" s="636"/>
      <c r="C10745" s="636"/>
      <c r="D10745" s="636"/>
      <c r="E10745" s="636"/>
      <c r="F10745" s="636"/>
      <c r="G10745" s="636"/>
      <c r="H10745" s="636"/>
      <c r="I10745" s="636"/>
      <c r="J10745" s="636" t="s">
        <v>13670</v>
      </c>
      <c r="K10745" s="636"/>
      <c r="L10745" s="636" t="s">
        <v>15714</v>
      </c>
    </row>
    <row r="10746" spans="1:12">
      <c r="A10746" s="636"/>
      <c r="B10746" s="636"/>
      <c r="C10746" s="636"/>
      <c r="D10746" s="636"/>
      <c r="E10746" s="636"/>
      <c r="F10746" s="636"/>
      <c r="G10746" s="636"/>
      <c r="H10746" s="636"/>
      <c r="I10746" s="636"/>
      <c r="J10746" s="636" t="s">
        <v>13669</v>
      </c>
      <c r="K10746" s="636" t="s">
        <v>13667</v>
      </c>
      <c r="L10746" s="636" t="s">
        <v>15715</v>
      </c>
    </row>
    <row r="10747" spans="1:12">
      <c r="A10747" s="636"/>
      <c r="B10747" s="636"/>
      <c r="C10747" s="636"/>
      <c r="D10747" s="636"/>
      <c r="E10747" s="636"/>
      <c r="F10747" s="636"/>
      <c r="G10747" s="636"/>
      <c r="H10747" s="636"/>
      <c r="I10747" s="636"/>
      <c r="J10747" s="636" t="s">
        <v>13668</v>
      </c>
      <c r="K10747" s="636"/>
      <c r="L10747" s="636" t="s">
        <v>15716</v>
      </c>
    </row>
    <row r="10748" spans="1:12">
      <c r="A10748" s="637"/>
      <c r="B10748" s="637"/>
      <c r="C10748" s="637"/>
      <c r="D10748" s="637"/>
      <c r="E10748" s="637"/>
      <c r="F10748" s="637"/>
      <c r="G10748" s="637"/>
      <c r="H10748" s="637"/>
      <c r="I10748" s="637"/>
      <c r="J10748" s="637"/>
      <c r="K10748" s="637"/>
      <c r="L10748" s="637"/>
    </row>
    <row r="10749" spans="1:12" ht="25.5">
      <c r="A10749" s="616" t="s">
        <v>13714</v>
      </c>
      <c r="B10749" s="617" t="s">
        <v>13347</v>
      </c>
      <c r="C10749" s="616" t="s">
        <v>8</v>
      </c>
      <c r="D10749" s="616" t="s">
        <v>197</v>
      </c>
      <c r="E10749" s="618" t="s">
        <v>12725</v>
      </c>
      <c r="F10749" s="617"/>
      <c r="G10749" s="617"/>
      <c r="H10749" s="617"/>
      <c r="I10749" s="617"/>
      <c r="J10749" s="617"/>
      <c r="K10749" s="617"/>
      <c r="L10749" s="617"/>
    </row>
    <row r="10750" spans="1:12">
      <c r="A10750" s="802" t="s">
        <v>12711</v>
      </c>
      <c r="B10750" s="802"/>
      <c r="C10750" s="802"/>
      <c r="D10750" s="802"/>
      <c r="E10750" s="802"/>
      <c r="F10750" s="802"/>
      <c r="G10750" s="802"/>
      <c r="H10750" s="802"/>
      <c r="I10750" s="612"/>
      <c r="J10750" s="612"/>
      <c r="K10750" s="612"/>
      <c r="L10750" s="612"/>
    </row>
    <row r="10751" spans="1:12">
      <c r="A10751" s="612" t="s">
        <v>13679</v>
      </c>
      <c r="B10751" s="636" t="s">
        <v>12698</v>
      </c>
      <c r="C10751" s="612" t="s">
        <v>12699</v>
      </c>
      <c r="D10751" s="612" t="s">
        <v>12700</v>
      </c>
      <c r="E10751" s="637" t="s">
        <v>12702</v>
      </c>
      <c r="F10751" s="801" t="s">
        <v>12704</v>
      </c>
      <c r="G10751" s="801"/>
      <c r="H10751" s="801" t="s">
        <v>13678</v>
      </c>
      <c r="I10751" s="801"/>
      <c r="J10751" s="801" t="s">
        <v>12705</v>
      </c>
      <c r="K10751" s="801"/>
      <c r="L10751" s="801"/>
    </row>
    <row r="10752" spans="1:12" ht="25.5">
      <c r="A10752" s="626" t="s">
        <v>12709</v>
      </c>
      <c r="B10752" s="627" t="s">
        <v>13088</v>
      </c>
      <c r="C10752" s="626" t="s">
        <v>8</v>
      </c>
      <c r="D10752" s="626" t="s">
        <v>9231</v>
      </c>
      <c r="E10752" s="628" t="s">
        <v>23</v>
      </c>
      <c r="F10752" s="816" t="s">
        <v>13713</v>
      </c>
      <c r="G10752" s="816"/>
      <c r="H10752" s="816">
        <v>0.4998417</v>
      </c>
      <c r="I10752" s="816"/>
      <c r="J10752" s="817">
        <v>0.7298</v>
      </c>
      <c r="K10752" s="817"/>
      <c r="L10752" s="817"/>
    </row>
    <row r="10753" spans="1:12" ht="25.5">
      <c r="A10753" s="626" t="s">
        <v>12709</v>
      </c>
      <c r="B10753" s="627" t="s">
        <v>13087</v>
      </c>
      <c r="C10753" s="626" t="s">
        <v>8</v>
      </c>
      <c r="D10753" s="626" t="s">
        <v>9378</v>
      </c>
      <c r="E10753" s="628" t="s">
        <v>23</v>
      </c>
      <c r="F10753" s="816" t="s">
        <v>13712</v>
      </c>
      <c r="G10753" s="816"/>
      <c r="H10753" s="816">
        <v>0.4998417</v>
      </c>
      <c r="I10753" s="816"/>
      <c r="J10753" s="817">
        <v>0.58479999999999999</v>
      </c>
      <c r="K10753" s="817"/>
      <c r="L10753" s="817"/>
    </row>
    <row r="10754" spans="1:12" ht="25.5">
      <c r="A10754" s="626" t="s">
        <v>12709</v>
      </c>
      <c r="B10754" s="627" t="s">
        <v>13048</v>
      </c>
      <c r="C10754" s="626" t="s">
        <v>8</v>
      </c>
      <c r="D10754" s="626" t="s">
        <v>9233</v>
      </c>
      <c r="E10754" s="628" t="s">
        <v>23</v>
      </c>
      <c r="F10754" s="816" t="s">
        <v>13690</v>
      </c>
      <c r="G10754" s="816"/>
      <c r="H10754" s="816">
        <v>0.32989550000000001</v>
      </c>
      <c r="I10754" s="816"/>
      <c r="J10754" s="817">
        <v>0.33650000000000002</v>
      </c>
      <c r="K10754" s="817"/>
      <c r="L10754" s="817"/>
    </row>
    <row r="10755" spans="1:12" ht="25.5">
      <c r="A10755" s="626" t="s">
        <v>12709</v>
      </c>
      <c r="B10755" s="627" t="s">
        <v>13047</v>
      </c>
      <c r="C10755" s="626" t="s">
        <v>8</v>
      </c>
      <c r="D10755" s="626" t="s">
        <v>9380</v>
      </c>
      <c r="E10755" s="628" t="s">
        <v>23</v>
      </c>
      <c r="F10755" s="816" t="s">
        <v>13689</v>
      </c>
      <c r="G10755" s="816"/>
      <c r="H10755" s="816">
        <v>0.32989550000000001</v>
      </c>
      <c r="I10755" s="816"/>
      <c r="J10755" s="817">
        <v>0.12540000000000001</v>
      </c>
      <c r="K10755" s="817"/>
      <c r="L10755" s="817"/>
    </row>
    <row r="10756" spans="1:12">
      <c r="A10756" s="636"/>
      <c r="B10756" s="636"/>
      <c r="C10756" s="636"/>
      <c r="D10756" s="636"/>
      <c r="E10756" s="636"/>
      <c r="F10756" s="636"/>
      <c r="G10756" s="636"/>
      <c r="H10756" s="636"/>
      <c r="I10756" s="636"/>
      <c r="J10756" s="636" t="s">
        <v>13675</v>
      </c>
      <c r="K10756" s="636"/>
      <c r="L10756" s="636" t="s">
        <v>13857</v>
      </c>
    </row>
    <row r="10757" spans="1:12">
      <c r="A10757" s="802" t="s">
        <v>12710</v>
      </c>
      <c r="B10757" s="802"/>
      <c r="C10757" s="802"/>
      <c r="D10757" s="802"/>
      <c r="E10757" s="802"/>
      <c r="F10757" s="802"/>
      <c r="G10757" s="802"/>
      <c r="H10757" s="802"/>
      <c r="I10757" s="612"/>
      <c r="J10757" s="612"/>
      <c r="K10757" s="612"/>
      <c r="L10757" s="612"/>
    </row>
    <row r="10758" spans="1:12">
      <c r="A10758" s="612" t="s">
        <v>13679</v>
      </c>
      <c r="B10758" s="636" t="s">
        <v>12698</v>
      </c>
      <c r="C10758" s="612" t="s">
        <v>12699</v>
      </c>
      <c r="D10758" s="612" t="s">
        <v>12700</v>
      </c>
      <c r="E10758" s="637" t="s">
        <v>12702</v>
      </c>
      <c r="F10758" s="801" t="s">
        <v>12704</v>
      </c>
      <c r="G10758" s="801"/>
      <c r="H10758" s="801" t="s">
        <v>13678</v>
      </c>
      <c r="I10758" s="801"/>
      <c r="J10758" s="801" t="s">
        <v>12705</v>
      </c>
      <c r="K10758" s="801"/>
      <c r="L10758" s="801"/>
    </row>
    <row r="10759" spans="1:12" ht="25.5">
      <c r="A10759" s="626" t="s">
        <v>12709</v>
      </c>
      <c r="B10759" s="627" t="s">
        <v>13086</v>
      </c>
      <c r="C10759" s="626" t="s">
        <v>8</v>
      </c>
      <c r="D10759" s="626" t="s">
        <v>10798</v>
      </c>
      <c r="E10759" s="628" t="s">
        <v>23</v>
      </c>
      <c r="F10759" s="816" t="s">
        <v>14470</v>
      </c>
      <c r="G10759" s="816"/>
      <c r="H10759" s="816">
        <v>0.50511640000000002</v>
      </c>
      <c r="I10759" s="816"/>
      <c r="J10759" s="817">
        <v>3.4904000000000002</v>
      </c>
      <c r="K10759" s="817"/>
      <c r="L10759" s="817"/>
    </row>
    <row r="10760" spans="1:12" ht="25.5">
      <c r="A10760" s="626" t="s">
        <v>12709</v>
      </c>
      <c r="B10760" s="627" t="s">
        <v>13046</v>
      </c>
      <c r="C10760" s="626" t="s">
        <v>8</v>
      </c>
      <c r="D10760" s="626" t="s">
        <v>11281</v>
      </c>
      <c r="E10760" s="628" t="s">
        <v>23</v>
      </c>
      <c r="F10760" s="816" t="s">
        <v>13731</v>
      </c>
      <c r="G10760" s="816"/>
      <c r="H10760" s="816">
        <v>0.33482879999999998</v>
      </c>
      <c r="I10760" s="816"/>
      <c r="J10760" s="817">
        <v>1.7210000000000001</v>
      </c>
      <c r="K10760" s="817"/>
      <c r="L10760" s="817"/>
    </row>
    <row r="10761" spans="1:12">
      <c r="A10761" s="636"/>
      <c r="B10761" s="636"/>
      <c r="C10761" s="636"/>
      <c r="D10761" s="636"/>
      <c r="E10761" s="636"/>
      <c r="F10761" s="636"/>
      <c r="G10761" s="636"/>
      <c r="H10761" s="636"/>
      <c r="I10761" s="636"/>
      <c r="J10761" s="636" t="s">
        <v>13675</v>
      </c>
      <c r="K10761" s="636"/>
      <c r="L10761" s="636" t="s">
        <v>14483</v>
      </c>
    </row>
    <row r="10762" spans="1:12">
      <c r="A10762" s="802" t="s">
        <v>12720</v>
      </c>
      <c r="B10762" s="802"/>
      <c r="C10762" s="802"/>
      <c r="D10762" s="802"/>
      <c r="E10762" s="802"/>
      <c r="F10762" s="802"/>
      <c r="G10762" s="802"/>
      <c r="H10762" s="802"/>
      <c r="I10762" s="612"/>
      <c r="J10762" s="612"/>
      <c r="K10762" s="612"/>
      <c r="L10762" s="612"/>
    </row>
    <row r="10763" spans="1:12">
      <c r="A10763" s="612" t="s">
        <v>13679</v>
      </c>
      <c r="B10763" s="636" t="s">
        <v>12698</v>
      </c>
      <c r="C10763" s="612" t="s">
        <v>12699</v>
      </c>
      <c r="D10763" s="612" t="s">
        <v>12700</v>
      </c>
      <c r="E10763" s="637" t="s">
        <v>12702</v>
      </c>
      <c r="F10763" s="801" t="s">
        <v>12704</v>
      </c>
      <c r="G10763" s="801"/>
      <c r="H10763" s="801" t="s">
        <v>13678</v>
      </c>
      <c r="I10763" s="801"/>
      <c r="J10763" s="801" t="s">
        <v>12705</v>
      </c>
      <c r="K10763" s="801"/>
      <c r="L10763" s="801"/>
    </row>
    <row r="10764" spans="1:12" ht="25.5">
      <c r="A10764" s="626" t="s">
        <v>12709</v>
      </c>
      <c r="B10764" s="627" t="s">
        <v>13346</v>
      </c>
      <c r="C10764" s="626" t="s">
        <v>8</v>
      </c>
      <c r="D10764" s="626" t="s">
        <v>11779</v>
      </c>
      <c r="E10764" s="628" t="s">
        <v>58</v>
      </c>
      <c r="F10764" s="816" t="s">
        <v>14482</v>
      </c>
      <c r="G10764" s="816"/>
      <c r="H10764" s="816">
        <v>0.35</v>
      </c>
      <c r="I10764" s="816"/>
      <c r="J10764" s="817">
        <v>2.57</v>
      </c>
      <c r="K10764" s="817"/>
      <c r="L10764" s="817"/>
    </row>
    <row r="10765" spans="1:12">
      <c r="A10765" s="636"/>
      <c r="B10765" s="636"/>
      <c r="C10765" s="636"/>
      <c r="D10765" s="636"/>
      <c r="E10765" s="636"/>
      <c r="F10765" s="636"/>
      <c r="G10765" s="636"/>
      <c r="H10765" s="636"/>
      <c r="I10765" s="636"/>
      <c r="J10765" s="636" t="s">
        <v>13675</v>
      </c>
      <c r="K10765" s="636"/>
      <c r="L10765" s="636" t="s">
        <v>14481</v>
      </c>
    </row>
    <row r="10766" spans="1:12">
      <c r="A10766" s="802" t="s">
        <v>12722</v>
      </c>
      <c r="B10766" s="802"/>
      <c r="C10766" s="802"/>
      <c r="D10766" s="802"/>
      <c r="E10766" s="802"/>
      <c r="F10766" s="802"/>
      <c r="G10766" s="802"/>
      <c r="H10766" s="802"/>
      <c r="I10766" s="612"/>
      <c r="J10766" s="612"/>
      <c r="K10766" s="612"/>
      <c r="L10766" s="612"/>
    </row>
    <row r="10767" spans="1:12">
      <c r="A10767" s="612" t="s">
        <v>13679</v>
      </c>
      <c r="B10767" s="636" t="s">
        <v>12698</v>
      </c>
      <c r="C10767" s="612" t="s">
        <v>12699</v>
      </c>
      <c r="D10767" s="612" t="s">
        <v>12700</v>
      </c>
      <c r="E10767" s="637" t="s">
        <v>12702</v>
      </c>
      <c r="F10767" s="801" t="s">
        <v>12704</v>
      </c>
      <c r="G10767" s="801"/>
      <c r="H10767" s="801" t="s">
        <v>13678</v>
      </c>
      <c r="I10767" s="801"/>
      <c r="J10767" s="801" t="s">
        <v>12705</v>
      </c>
      <c r="K10767" s="801"/>
      <c r="L10767" s="801"/>
    </row>
    <row r="10768" spans="1:12" ht="25.5">
      <c r="A10768" s="626" t="s">
        <v>12709</v>
      </c>
      <c r="B10768" s="627" t="s">
        <v>12998</v>
      </c>
      <c r="C10768" s="626" t="s">
        <v>8</v>
      </c>
      <c r="D10768" s="626" t="s">
        <v>11861</v>
      </c>
      <c r="E10768" s="628" t="s">
        <v>23</v>
      </c>
      <c r="F10768" s="816" t="s">
        <v>13683</v>
      </c>
      <c r="G10768" s="816"/>
      <c r="H10768" s="816">
        <v>0.82973719999999995</v>
      </c>
      <c r="I10768" s="816"/>
      <c r="J10768" s="817">
        <v>0.58909999999999996</v>
      </c>
      <c r="K10768" s="817"/>
      <c r="L10768" s="817"/>
    </row>
    <row r="10769" spans="1:12">
      <c r="A10769" s="636"/>
      <c r="B10769" s="636"/>
      <c r="C10769" s="636"/>
      <c r="D10769" s="636"/>
      <c r="E10769" s="636"/>
      <c r="F10769" s="636"/>
      <c r="G10769" s="636"/>
      <c r="H10769" s="636"/>
      <c r="I10769" s="636"/>
      <c r="J10769" s="636" t="s">
        <v>13675</v>
      </c>
      <c r="K10769" s="636"/>
      <c r="L10769" s="636" t="s">
        <v>13709</v>
      </c>
    </row>
    <row r="10770" spans="1:12">
      <c r="A10770" s="802" t="s">
        <v>12713</v>
      </c>
      <c r="B10770" s="802"/>
      <c r="C10770" s="802"/>
      <c r="D10770" s="802"/>
      <c r="E10770" s="802"/>
      <c r="F10770" s="802"/>
      <c r="G10770" s="802"/>
      <c r="H10770" s="802"/>
      <c r="I10770" s="612"/>
      <c r="J10770" s="612"/>
      <c r="K10770" s="612"/>
      <c r="L10770" s="612"/>
    </row>
    <row r="10771" spans="1:12">
      <c r="A10771" s="612" t="s">
        <v>13679</v>
      </c>
      <c r="B10771" s="636" t="s">
        <v>12698</v>
      </c>
      <c r="C10771" s="612" t="s">
        <v>12699</v>
      </c>
      <c r="D10771" s="612" t="s">
        <v>12700</v>
      </c>
      <c r="E10771" s="637" t="s">
        <v>12702</v>
      </c>
      <c r="F10771" s="801" t="s">
        <v>12704</v>
      </c>
      <c r="G10771" s="801"/>
      <c r="H10771" s="801" t="s">
        <v>13678</v>
      </c>
      <c r="I10771" s="801"/>
      <c r="J10771" s="801" t="s">
        <v>12705</v>
      </c>
      <c r="K10771" s="801"/>
      <c r="L10771" s="801"/>
    </row>
    <row r="10772" spans="1:12" ht="25.5">
      <c r="A10772" s="626" t="s">
        <v>12709</v>
      </c>
      <c r="B10772" s="627" t="s">
        <v>12999</v>
      </c>
      <c r="C10772" s="626" t="s">
        <v>8</v>
      </c>
      <c r="D10772" s="626" t="s">
        <v>11251</v>
      </c>
      <c r="E10772" s="628" t="s">
        <v>23</v>
      </c>
      <c r="F10772" s="816" t="s">
        <v>13681</v>
      </c>
      <c r="G10772" s="816"/>
      <c r="H10772" s="816">
        <v>0.82973719999999995</v>
      </c>
      <c r="I10772" s="816"/>
      <c r="J10772" s="817">
        <v>5.8099999999999999E-2</v>
      </c>
      <c r="K10772" s="817"/>
      <c r="L10772" s="817"/>
    </row>
    <row r="10773" spans="1:12">
      <c r="A10773" s="636"/>
      <c r="B10773" s="636"/>
      <c r="C10773" s="636"/>
      <c r="D10773" s="636"/>
      <c r="E10773" s="636"/>
      <c r="F10773" s="636"/>
      <c r="G10773" s="636"/>
      <c r="H10773" s="636"/>
      <c r="I10773" s="636"/>
      <c r="J10773" s="636" t="s">
        <v>13675</v>
      </c>
      <c r="K10773" s="636"/>
      <c r="L10773" s="636" t="s">
        <v>13708</v>
      </c>
    </row>
    <row r="10774" spans="1:12">
      <c r="A10774" s="802" t="s">
        <v>12712</v>
      </c>
      <c r="B10774" s="802"/>
      <c r="C10774" s="802"/>
      <c r="D10774" s="802"/>
      <c r="E10774" s="802"/>
      <c r="F10774" s="802"/>
      <c r="G10774" s="802"/>
      <c r="H10774" s="802"/>
      <c r="I10774" s="612"/>
      <c r="J10774" s="612"/>
      <c r="K10774" s="612"/>
      <c r="L10774" s="612"/>
    </row>
    <row r="10775" spans="1:12">
      <c r="A10775" s="612" t="s">
        <v>13679</v>
      </c>
      <c r="B10775" s="636" t="s">
        <v>12698</v>
      </c>
      <c r="C10775" s="612" t="s">
        <v>12699</v>
      </c>
      <c r="D10775" s="612" t="s">
        <v>12700</v>
      </c>
      <c r="E10775" s="637" t="s">
        <v>12702</v>
      </c>
      <c r="F10775" s="801" t="s">
        <v>12704</v>
      </c>
      <c r="G10775" s="801"/>
      <c r="H10775" s="801" t="s">
        <v>13678</v>
      </c>
      <c r="I10775" s="801"/>
      <c r="J10775" s="801" t="s">
        <v>12705</v>
      </c>
      <c r="K10775" s="801"/>
      <c r="L10775" s="801"/>
    </row>
    <row r="10776" spans="1:12" ht="25.5">
      <c r="A10776" s="626" t="s">
        <v>12709</v>
      </c>
      <c r="B10776" s="627" t="s">
        <v>13002</v>
      </c>
      <c r="C10776" s="626" t="s">
        <v>8</v>
      </c>
      <c r="D10776" s="626" t="s">
        <v>9306</v>
      </c>
      <c r="E10776" s="628" t="s">
        <v>23</v>
      </c>
      <c r="F10776" s="816" t="s">
        <v>13677</v>
      </c>
      <c r="G10776" s="816"/>
      <c r="H10776" s="816">
        <v>0.82973719999999995</v>
      </c>
      <c r="I10776" s="816"/>
      <c r="J10776" s="817">
        <v>0.29039999999999999</v>
      </c>
      <c r="K10776" s="817"/>
      <c r="L10776" s="817"/>
    </row>
    <row r="10777" spans="1:12" ht="25.5">
      <c r="A10777" s="626" t="s">
        <v>12709</v>
      </c>
      <c r="B10777" s="627" t="s">
        <v>13004</v>
      </c>
      <c r="C10777" s="626" t="s">
        <v>8</v>
      </c>
      <c r="D10777" s="626" t="s">
        <v>7388</v>
      </c>
      <c r="E10777" s="628" t="s">
        <v>23</v>
      </c>
      <c r="F10777" s="816" t="s">
        <v>13676</v>
      </c>
      <c r="G10777" s="816"/>
      <c r="H10777" s="816">
        <v>0.82973719999999995</v>
      </c>
      <c r="I10777" s="816"/>
      <c r="J10777" s="817">
        <v>1.8253999999999999</v>
      </c>
      <c r="K10777" s="817"/>
      <c r="L10777" s="817"/>
    </row>
    <row r="10778" spans="1:12">
      <c r="A10778" s="636"/>
      <c r="B10778" s="636"/>
      <c r="C10778" s="636"/>
      <c r="D10778" s="636"/>
      <c r="E10778" s="636"/>
      <c r="F10778" s="636"/>
      <c r="G10778" s="636"/>
      <c r="H10778" s="636"/>
      <c r="I10778" s="636"/>
      <c r="J10778" s="636" t="s">
        <v>13675</v>
      </c>
      <c r="K10778" s="636"/>
      <c r="L10778" s="636" t="s">
        <v>14480</v>
      </c>
    </row>
    <row r="10779" spans="1:12">
      <c r="A10779" s="612" t="s">
        <v>13673</v>
      </c>
      <c r="B10779" s="612"/>
      <c r="C10779" s="612"/>
      <c r="D10779" s="612"/>
      <c r="E10779" s="612"/>
      <c r="F10779" s="612"/>
      <c r="G10779" s="612"/>
      <c r="H10779" s="612"/>
      <c r="I10779" s="612"/>
      <c r="J10779" s="612"/>
      <c r="K10779" s="612"/>
      <c r="L10779" s="612"/>
    </row>
    <row r="10780" spans="1:12">
      <c r="A10780" s="636"/>
      <c r="B10780" s="636"/>
      <c r="C10780" s="636"/>
      <c r="D10780" s="636"/>
      <c r="E10780" s="636"/>
      <c r="F10780" s="636"/>
      <c r="G10780" s="636"/>
      <c r="H10780" s="636"/>
      <c r="I10780" s="636"/>
      <c r="J10780" s="636" t="s">
        <v>13672</v>
      </c>
      <c r="K10780" s="636"/>
      <c r="L10780" s="636" t="s">
        <v>15717</v>
      </c>
    </row>
    <row r="10781" spans="1:12">
      <c r="A10781" s="636"/>
      <c r="B10781" s="636"/>
      <c r="C10781" s="636"/>
      <c r="D10781" s="636"/>
      <c r="E10781" s="636"/>
      <c r="F10781" s="636"/>
      <c r="G10781" s="636"/>
      <c r="H10781" s="636"/>
      <c r="I10781" s="636"/>
      <c r="J10781" s="636" t="s">
        <v>13671</v>
      </c>
      <c r="K10781" s="636" t="s">
        <v>14461</v>
      </c>
      <c r="L10781" s="636" t="s">
        <v>15718</v>
      </c>
    </row>
    <row r="10782" spans="1:12">
      <c r="A10782" s="636"/>
      <c r="B10782" s="636"/>
      <c r="C10782" s="636"/>
      <c r="D10782" s="636"/>
      <c r="E10782" s="636"/>
      <c r="F10782" s="636"/>
      <c r="G10782" s="636"/>
      <c r="H10782" s="636"/>
      <c r="I10782" s="636"/>
      <c r="J10782" s="636" t="s">
        <v>13670</v>
      </c>
      <c r="K10782" s="636"/>
      <c r="L10782" s="636" t="s">
        <v>15719</v>
      </c>
    </row>
    <row r="10783" spans="1:12">
      <c r="A10783" s="636"/>
      <c r="B10783" s="636"/>
      <c r="C10783" s="636"/>
      <c r="D10783" s="636"/>
      <c r="E10783" s="636"/>
      <c r="F10783" s="636"/>
      <c r="G10783" s="636"/>
      <c r="H10783" s="636"/>
      <c r="I10783" s="636"/>
      <c r="J10783" s="636" t="s">
        <v>13669</v>
      </c>
      <c r="K10783" s="636" t="s">
        <v>13667</v>
      </c>
      <c r="L10783" s="636" t="s">
        <v>15074</v>
      </c>
    </row>
    <row r="10784" spans="1:12">
      <c r="A10784" s="636"/>
      <c r="B10784" s="636"/>
      <c r="C10784" s="636"/>
      <c r="D10784" s="636"/>
      <c r="E10784" s="636"/>
      <c r="F10784" s="636"/>
      <c r="G10784" s="636"/>
      <c r="H10784" s="636"/>
      <c r="I10784" s="636"/>
      <c r="J10784" s="636" t="s">
        <v>13668</v>
      </c>
      <c r="K10784" s="636"/>
      <c r="L10784" s="636" t="s">
        <v>15720</v>
      </c>
    </row>
    <row r="10785" spans="1:12">
      <c r="A10785" s="637"/>
      <c r="B10785" s="637"/>
      <c r="C10785" s="637"/>
      <c r="D10785" s="637"/>
      <c r="E10785" s="637"/>
      <c r="F10785" s="637"/>
      <c r="G10785" s="637"/>
      <c r="H10785" s="637"/>
      <c r="I10785" s="637"/>
      <c r="J10785" s="637"/>
      <c r="K10785" s="637"/>
      <c r="L10785" s="637"/>
    </row>
    <row r="10786" spans="1:12" ht="51">
      <c r="A10786" s="616" t="s">
        <v>13706</v>
      </c>
      <c r="B10786" s="617" t="s">
        <v>13345</v>
      </c>
      <c r="C10786" s="616" t="s">
        <v>8</v>
      </c>
      <c r="D10786" s="616" t="s">
        <v>1160</v>
      </c>
      <c r="E10786" s="618" t="s">
        <v>35</v>
      </c>
      <c r="F10786" s="617"/>
      <c r="G10786" s="617"/>
      <c r="H10786" s="617"/>
      <c r="I10786" s="617"/>
      <c r="J10786" s="617"/>
      <c r="K10786" s="617"/>
      <c r="L10786" s="617"/>
    </row>
    <row r="10787" spans="1:12">
      <c r="A10787" s="802" t="s">
        <v>12711</v>
      </c>
      <c r="B10787" s="802"/>
      <c r="C10787" s="802"/>
      <c r="D10787" s="802"/>
      <c r="E10787" s="802"/>
      <c r="F10787" s="802"/>
      <c r="G10787" s="802"/>
      <c r="H10787" s="802"/>
      <c r="I10787" s="612"/>
      <c r="J10787" s="612"/>
      <c r="K10787" s="612"/>
      <c r="L10787" s="612"/>
    </row>
    <row r="10788" spans="1:12">
      <c r="A10788" s="612" t="s">
        <v>13679</v>
      </c>
      <c r="B10788" s="636" t="s">
        <v>12698</v>
      </c>
      <c r="C10788" s="612" t="s">
        <v>12699</v>
      </c>
      <c r="D10788" s="612" t="s">
        <v>12700</v>
      </c>
      <c r="E10788" s="637" t="s">
        <v>12702</v>
      </c>
      <c r="F10788" s="801" t="s">
        <v>12704</v>
      </c>
      <c r="G10788" s="801"/>
      <c r="H10788" s="801" t="s">
        <v>13678</v>
      </c>
      <c r="I10788" s="801"/>
      <c r="J10788" s="801" t="s">
        <v>12705</v>
      </c>
      <c r="K10788" s="801"/>
      <c r="L10788" s="801"/>
    </row>
    <row r="10789" spans="1:12" ht="25.5">
      <c r="A10789" s="626" t="s">
        <v>12709</v>
      </c>
      <c r="B10789" s="627" t="s">
        <v>13201</v>
      </c>
      <c r="C10789" s="626" t="s">
        <v>8</v>
      </c>
      <c r="D10789" s="626" t="s">
        <v>9221</v>
      </c>
      <c r="E10789" s="628" t="s">
        <v>23</v>
      </c>
      <c r="F10789" s="816" t="s">
        <v>13705</v>
      </c>
      <c r="G10789" s="816"/>
      <c r="H10789" s="816">
        <v>3.498424</v>
      </c>
      <c r="I10789" s="816"/>
      <c r="J10789" s="817">
        <v>2.9037000000000002</v>
      </c>
      <c r="K10789" s="817"/>
      <c r="L10789" s="817"/>
    </row>
    <row r="10790" spans="1:12" ht="25.5">
      <c r="A10790" s="626" t="s">
        <v>12709</v>
      </c>
      <c r="B10790" s="627" t="s">
        <v>13200</v>
      </c>
      <c r="C10790" s="626" t="s">
        <v>8</v>
      </c>
      <c r="D10790" s="626" t="s">
        <v>9368</v>
      </c>
      <c r="E10790" s="628" t="s">
        <v>23</v>
      </c>
      <c r="F10790" s="816" t="s">
        <v>13704</v>
      </c>
      <c r="G10790" s="816"/>
      <c r="H10790" s="816">
        <v>3.498424</v>
      </c>
      <c r="I10790" s="816"/>
      <c r="J10790" s="817">
        <v>0.83960000000000001</v>
      </c>
      <c r="K10790" s="817"/>
      <c r="L10790" s="817"/>
    </row>
    <row r="10791" spans="1:12" ht="25.5">
      <c r="A10791" s="626" t="s">
        <v>12709</v>
      </c>
      <c r="B10791" s="627" t="s">
        <v>13048</v>
      </c>
      <c r="C10791" s="626" t="s">
        <v>8</v>
      </c>
      <c r="D10791" s="626" t="s">
        <v>9233</v>
      </c>
      <c r="E10791" s="628" t="s">
        <v>23</v>
      </c>
      <c r="F10791" s="816" t="s">
        <v>13690</v>
      </c>
      <c r="G10791" s="816"/>
      <c r="H10791" s="816">
        <v>3.498424</v>
      </c>
      <c r="I10791" s="816"/>
      <c r="J10791" s="817">
        <v>3.5684</v>
      </c>
      <c r="K10791" s="817"/>
      <c r="L10791" s="817"/>
    </row>
    <row r="10792" spans="1:12" ht="25.5">
      <c r="A10792" s="626" t="s">
        <v>12709</v>
      </c>
      <c r="B10792" s="627" t="s">
        <v>13047</v>
      </c>
      <c r="C10792" s="626" t="s">
        <v>8</v>
      </c>
      <c r="D10792" s="626" t="s">
        <v>9380</v>
      </c>
      <c r="E10792" s="628" t="s">
        <v>23</v>
      </c>
      <c r="F10792" s="816" t="s">
        <v>13689</v>
      </c>
      <c r="G10792" s="816"/>
      <c r="H10792" s="816">
        <v>3.498424</v>
      </c>
      <c r="I10792" s="816"/>
      <c r="J10792" s="817">
        <v>1.3293999999999999</v>
      </c>
      <c r="K10792" s="817"/>
      <c r="L10792" s="817"/>
    </row>
    <row r="10793" spans="1:12">
      <c r="A10793" s="636"/>
      <c r="B10793" s="636"/>
      <c r="C10793" s="636"/>
      <c r="D10793" s="636"/>
      <c r="E10793" s="636"/>
      <c r="F10793" s="636"/>
      <c r="G10793" s="636"/>
      <c r="H10793" s="636"/>
      <c r="I10793" s="636"/>
      <c r="J10793" s="636" t="s">
        <v>13675</v>
      </c>
      <c r="K10793" s="636"/>
      <c r="L10793" s="636" t="s">
        <v>13703</v>
      </c>
    </row>
    <row r="10794" spans="1:12">
      <c r="A10794" s="802" t="s">
        <v>12710</v>
      </c>
      <c r="B10794" s="802"/>
      <c r="C10794" s="802"/>
      <c r="D10794" s="802"/>
      <c r="E10794" s="802"/>
      <c r="F10794" s="802"/>
      <c r="G10794" s="802"/>
      <c r="H10794" s="802"/>
      <c r="I10794" s="612"/>
      <c r="J10794" s="612"/>
      <c r="K10794" s="612"/>
      <c r="L10794" s="612"/>
    </row>
    <row r="10795" spans="1:12">
      <c r="A10795" s="612" t="s">
        <v>13679</v>
      </c>
      <c r="B10795" s="636" t="s">
        <v>12698</v>
      </c>
      <c r="C10795" s="612" t="s">
        <v>12699</v>
      </c>
      <c r="D10795" s="612" t="s">
        <v>12700</v>
      </c>
      <c r="E10795" s="637" t="s">
        <v>12702</v>
      </c>
      <c r="F10795" s="801" t="s">
        <v>12704</v>
      </c>
      <c r="G10795" s="801"/>
      <c r="H10795" s="801" t="s">
        <v>13678</v>
      </c>
      <c r="I10795" s="801"/>
      <c r="J10795" s="801" t="s">
        <v>12705</v>
      </c>
      <c r="K10795" s="801"/>
      <c r="L10795" s="801"/>
    </row>
    <row r="10796" spans="1:12" ht="25.5">
      <c r="A10796" s="626" t="s">
        <v>12709</v>
      </c>
      <c r="B10796" s="627" t="s">
        <v>13202</v>
      </c>
      <c r="C10796" s="626" t="s">
        <v>8</v>
      </c>
      <c r="D10796" s="626" t="s">
        <v>9187</v>
      </c>
      <c r="E10796" s="628" t="s">
        <v>23</v>
      </c>
      <c r="F10796" s="816" t="s">
        <v>14479</v>
      </c>
      <c r="G10796" s="816"/>
      <c r="H10796" s="816">
        <v>3.5421247999999999</v>
      </c>
      <c r="I10796" s="816"/>
      <c r="J10796" s="817">
        <v>25.3262</v>
      </c>
      <c r="K10796" s="817"/>
      <c r="L10796" s="817"/>
    </row>
    <row r="10797" spans="1:12" ht="25.5">
      <c r="A10797" s="626" t="s">
        <v>12709</v>
      </c>
      <c r="B10797" s="627" t="s">
        <v>13046</v>
      </c>
      <c r="C10797" s="626" t="s">
        <v>8</v>
      </c>
      <c r="D10797" s="626" t="s">
        <v>11281</v>
      </c>
      <c r="E10797" s="628" t="s">
        <v>23</v>
      </c>
      <c r="F10797" s="816" t="s">
        <v>13731</v>
      </c>
      <c r="G10797" s="816"/>
      <c r="H10797" s="816">
        <v>3.5498221000000001</v>
      </c>
      <c r="I10797" s="816"/>
      <c r="J10797" s="817">
        <v>18.246099999999998</v>
      </c>
      <c r="K10797" s="817"/>
      <c r="L10797" s="817"/>
    </row>
    <row r="10798" spans="1:12">
      <c r="A10798" s="636"/>
      <c r="B10798" s="636"/>
      <c r="C10798" s="636"/>
      <c r="D10798" s="636"/>
      <c r="E10798" s="636"/>
      <c r="F10798" s="636"/>
      <c r="G10798" s="636"/>
      <c r="H10798" s="636"/>
      <c r="I10798" s="636"/>
      <c r="J10798" s="636" t="s">
        <v>13675</v>
      </c>
      <c r="K10798" s="636"/>
      <c r="L10798" s="636" t="s">
        <v>14478</v>
      </c>
    </row>
    <row r="10799" spans="1:12">
      <c r="A10799" s="802" t="s">
        <v>12720</v>
      </c>
      <c r="B10799" s="802"/>
      <c r="C10799" s="802"/>
      <c r="D10799" s="802"/>
      <c r="E10799" s="802"/>
      <c r="F10799" s="802"/>
      <c r="G10799" s="802"/>
      <c r="H10799" s="802"/>
      <c r="I10799" s="612"/>
      <c r="J10799" s="612"/>
      <c r="K10799" s="612"/>
      <c r="L10799" s="612"/>
    </row>
    <row r="10800" spans="1:12">
      <c r="A10800" s="612" t="s">
        <v>13679</v>
      </c>
      <c r="B10800" s="636" t="s">
        <v>12698</v>
      </c>
      <c r="C10800" s="612" t="s">
        <v>12699</v>
      </c>
      <c r="D10800" s="612" t="s">
        <v>12700</v>
      </c>
      <c r="E10800" s="637" t="s">
        <v>12702</v>
      </c>
      <c r="F10800" s="801" t="s">
        <v>12704</v>
      </c>
      <c r="G10800" s="801"/>
      <c r="H10800" s="801" t="s">
        <v>13678</v>
      </c>
      <c r="I10800" s="801"/>
      <c r="J10800" s="801" t="s">
        <v>12705</v>
      </c>
      <c r="K10800" s="801"/>
      <c r="L10800" s="801"/>
    </row>
    <row r="10801" spans="1:12" ht="25.5">
      <c r="A10801" s="626" t="s">
        <v>12709</v>
      </c>
      <c r="B10801" s="627" t="s">
        <v>13344</v>
      </c>
      <c r="C10801" s="626" t="s">
        <v>8</v>
      </c>
      <c r="D10801" s="626" t="s">
        <v>7325</v>
      </c>
      <c r="E10801" s="628" t="s">
        <v>35</v>
      </c>
      <c r="F10801" s="816" t="s">
        <v>14477</v>
      </c>
      <c r="G10801" s="816"/>
      <c r="H10801" s="816">
        <v>1</v>
      </c>
      <c r="I10801" s="816"/>
      <c r="J10801" s="817">
        <v>53.37</v>
      </c>
      <c r="K10801" s="817"/>
      <c r="L10801" s="817"/>
    </row>
    <row r="10802" spans="1:12" ht="51">
      <c r="A10802" s="626" t="s">
        <v>12709</v>
      </c>
      <c r="B10802" s="627" t="s">
        <v>13343</v>
      </c>
      <c r="C10802" s="626" t="s">
        <v>8</v>
      </c>
      <c r="D10802" s="626" t="s">
        <v>8097</v>
      </c>
      <c r="E10802" s="628" t="s">
        <v>35</v>
      </c>
      <c r="F10802" s="816" t="s">
        <v>14476</v>
      </c>
      <c r="G10802" s="816"/>
      <c r="H10802" s="816">
        <v>1</v>
      </c>
      <c r="I10802" s="816"/>
      <c r="J10802" s="817">
        <v>226.93</v>
      </c>
      <c r="K10802" s="817"/>
      <c r="L10802" s="817"/>
    </row>
    <row r="10803" spans="1:12" ht="38.25">
      <c r="A10803" s="626" t="s">
        <v>12709</v>
      </c>
      <c r="B10803" s="627" t="s">
        <v>13342</v>
      </c>
      <c r="C10803" s="626" t="s">
        <v>8</v>
      </c>
      <c r="D10803" s="626" t="s">
        <v>9258</v>
      </c>
      <c r="E10803" s="628" t="s">
        <v>35</v>
      </c>
      <c r="F10803" s="816" t="s">
        <v>14475</v>
      </c>
      <c r="G10803" s="816"/>
      <c r="H10803" s="816">
        <v>1</v>
      </c>
      <c r="I10803" s="816"/>
      <c r="J10803" s="817">
        <v>43.67</v>
      </c>
      <c r="K10803" s="817"/>
      <c r="L10803" s="817"/>
    </row>
    <row r="10804" spans="1:12" ht="38.25">
      <c r="A10804" s="626" t="s">
        <v>12709</v>
      </c>
      <c r="B10804" s="627" t="s">
        <v>13341</v>
      </c>
      <c r="C10804" s="626" t="s">
        <v>8</v>
      </c>
      <c r="D10804" s="626" t="s">
        <v>10307</v>
      </c>
      <c r="E10804" s="628" t="s">
        <v>35</v>
      </c>
      <c r="F10804" s="816" t="s">
        <v>14474</v>
      </c>
      <c r="G10804" s="816"/>
      <c r="H10804" s="816">
        <v>1</v>
      </c>
      <c r="I10804" s="816"/>
      <c r="J10804" s="817">
        <v>283.48</v>
      </c>
      <c r="K10804" s="817"/>
      <c r="L10804" s="817"/>
    </row>
    <row r="10805" spans="1:12" ht="25.5">
      <c r="A10805" s="626" t="s">
        <v>12709</v>
      </c>
      <c r="B10805" s="627" t="s">
        <v>13340</v>
      </c>
      <c r="C10805" s="626" t="s">
        <v>8</v>
      </c>
      <c r="D10805" s="626" t="s">
        <v>11120</v>
      </c>
      <c r="E10805" s="628" t="s">
        <v>35</v>
      </c>
      <c r="F10805" s="816" t="s">
        <v>14473</v>
      </c>
      <c r="G10805" s="816"/>
      <c r="H10805" s="816">
        <v>1</v>
      </c>
      <c r="I10805" s="816"/>
      <c r="J10805" s="817">
        <v>87.02</v>
      </c>
      <c r="K10805" s="817"/>
      <c r="L10805" s="817"/>
    </row>
    <row r="10806" spans="1:12" ht="38.25">
      <c r="A10806" s="626" t="s">
        <v>12709</v>
      </c>
      <c r="B10806" s="627" t="s">
        <v>13339</v>
      </c>
      <c r="C10806" s="626" t="s">
        <v>8</v>
      </c>
      <c r="D10806" s="626" t="s">
        <v>11163</v>
      </c>
      <c r="E10806" s="628" t="s">
        <v>35</v>
      </c>
      <c r="F10806" s="816" t="s">
        <v>14472</v>
      </c>
      <c r="G10806" s="816"/>
      <c r="H10806" s="816">
        <v>1</v>
      </c>
      <c r="I10806" s="816"/>
      <c r="J10806" s="817">
        <v>121.84</v>
      </c>
      <c r="K10806" s="817"/>
      <c r="L10806" s="817"/>
    </row>
    <row r="10807" spans="1:12">
      <c r="A10807" s="636"/>
      <c r="B10807" s="636"/>
      <c r="C10807" s="636"/>
      <c r="D10807" s="636"/>
      <c r="E10807" s="636"/>
      <c r="F10807" s="636"/>
      <c r="G10807" s="636"/>
      <c r="H10807" s="636"/>
      <c r="I10807" s="636"/>
      <c r="J10807" s="636" t="s">
        <v>13675</v>
      </c>
      <c r="K10807" s="636"/>
      <c r="L10807" s="636" t="s">
        <v>14471</v>
      </c>
    </row>
    <row r="10808" spans="1:12">
      <c r="A10808" s="802" t="s">
        <v>12722</v>
      </c>
      <c r="B10808" s="802"/>
      <c r="C10808" s="802"/>
      <c r="D10808" s="802"/>
      <c r="E10808" s="802"/>
      <c r="F10808" s="802"/>
      <c r="G10808" s="802"/>
      <c r="H10808" s="802"/>
      <c r="I10808" s="612"/>
      <c r="J10808" s="612"/>
      <c r="K10808" s="612"/>
      <c r="L10808" s="612"/>
    </row>
    <row r="10809" spans="1:12">
      <c r="A10809" s="612" t="s">
        <v>13679</v>
      </c>
      <c r="B10809" s="636" t="s">
        <v>12698</v>
      </c>
      <c r="C10809" s="612" t="s">
        <v>12699</v>
      </c>
      <c r="D10809" s="612" t="s">
        <v>12700</v>
      </c>
      <c r="E10809" s="637" t="s">
        <v>12702</v>
      </c>
      <c r="F10809" s="801" t="s">
        <v>12704</v>
      </c>
      <c r="G10809" s="801"/>
      <c r="H10809" s="801" t="s">
        <v>13678</v>
      </c>
      <c r="I10809" s="801"/>
      <c r="J10809" s="801" t="s">
        <v>12705</v>
      </c>
      <c r="K10809" s="801"/>
      <c r="L10809" s="801"/>
    </row>
    <row r="10810" spans="1:12" ht="25.5">
      <c r="A10810" s="626" t="s">
        <v>12709</v>
      </c>
      <c r="B10810" s="627" t="s">
        <v>12998</v>
      </c>
      <c r="C10810" s="626" t="s">
        <v>8</v>
      </c>
      <c r="D10810" s="626" t="s">
        <v>11861</v>
      </c>
      <c r="E10810" s="628" t="s">
        <v>23</v>
      </c>
      <c r="F10810" s="816" t="s">
        <v>13683</v>
      </c>
      <c r="G10810" s="816"/>
      <c r="H10810" s="816">
        <v>6.9968478999999997</v>
      </c>
      <c r="I10810" s="816"/>
      <c r="J10810" s="817">
        <v>4.9678000000000004</v>
      </c>
      <c r="K10810" s="817"/>
      <c r="L10810" s="817"/>
    </row>
    <row r="10811" spans="1:12">
      <c r="A10811" s="636"/>
      <c r="B10811" s="636"/>
      <c r="C10811" s="636"/>
      <c r="D10811" s="636"/>
      <c r="E10811" s="636"/>
      <c r="F10811" s="636"/>
      <c r="G10811" s="636"/>
      <c r="H10811" s="636"/>
      <c r="I10811" s="636"/>
      <c r="J10811" s="636" t="s">
        <v>13675</v>
      </c>
      <c r="K10811" s="636"/>
      <c r="L10811" s="636" t="s">
        <v>13701</v>
      </c>
    </row>
    <row r="10812" spans="1:12">
      <c r="A10812" s="802" t="s">
        <v>12713</v>
      </c>
      <c r="B10812" s="802"/>
      <c r="C10812" s="802"/>
      <c r="D10812" s="802"/>
      <c r="E10812" s="802"/>
      <c r="F10812" s="802"/>
      <c r="G10812" s="802"/>
      <c r="H10812" s="802"/>
      <c r="I10812" s="612"/>
      <c r="J10812" s="612"/>
      <c r="K10812" s="612"/>
      <c r="L10812" s="612"/>
    </row>
    <row r="10813" spans="1:12">
      <c r="A10813" s="612" t="s">
        <v>13679</v>
      </c>
      <c r="B10813" s="636" t="s">
        <v>12698</v>
      </c>
      <c r="C10813" s="612" t="s">
        <v>12699</v>
      </c>
      <c r="D10813" s="612" t="s">
        <v>12700</v>
      </c>
      <c r="E10813" s="637" t="s">
        <v>12702</v>
      </c>
      <c r="F10813" s="801" t="s">
        <v>12704</v>
      </c>
      <c r="G10813" s="801"/>
      <c r="H10813" s="801" t="s">
        <v>13678</v>
      </c>
      <c r="I10813" s="801"/>
      <c r="J10813" s="801" t="s">
        <v>12705</v>
      </c>
      <c r="K10813" s="801"/>
      <c r="L10813" s="801"/>
    </row>
    <row r="10814" spans="1:12" ht="25.5">
      <c r="A10814" s="626" t="s">
        <v>12709</v>
      </c>
      <c r="B10814" s="627" t="s">
        <v>12999</v>
      </c>
      <c r="C10814" s="626" t="s">
        <v>8</v>
      </c>
      <c r="D10814" s="626" t="s">
        <v>11251</v>
      </c>
      <c r="E10814" s="628" t="s">
        <v>23</v>
      </c>
      <c r="F10814" s="816" t="s">
        <v>13681</v>
      </c>
      <c r="G10814" s="816"/>
      <c r="H10814" s="816">
        <v>6.9968478999999997</v>
      </c>
      <c r="I10814" s="816"/>
      <c r="J10814" s="817">
        <v>0.48980000000000001</v>
      </c>
      <c r="K10814" s="817"/>
      <c r="L10814" s="817"/>
    </row>
    <row r="10815" spans="1:12">
      <c r="A10815" s="636"/>
      <c r="B10815" s="636"/>
      <c r="C10815" s="636"/>
      <c r="D10815" s="636"/>
      <c r="E10815" s="636"/>
      <c r="F10815" s="636"/>
      <c r="G10815" s="636"/>
      <c r="H10815" s="636"/>
      <c r="I10815" s="636"/>
      <c r="J10815" s="636" t="s">
        <v>13675</v>
      </c>
      <c r="K10815" s="636"/>
      <c r="L10815" s="636" t="s">
        <v>13700</v>
      </c>
    </row>
    <row r="10816" spans="1:12">
      <c r="A10816" s="802" t="s">
        <v>12712</v>
      </c>
      <c r="B10816" s="802"/>
      <c r="C10816" s="802"/>
      <c r="D10816" s="802"/>
      <c r="E10816" s="802"/>
      <c r="F10816" s="802"/>
      <c r="G10816" s="802"/>
      <c r="H10816" s="802"/>
      <c r="I10816" s="612"/>
      <c r="J10816" s="612"/>
      <c r="K10816" s="612"/>
      <c r="L10816" s="612"/>
    </row>
    <row r="10817" spans="1:12">
      <c r="A10817" s="612" t="s">
        <v>13679</v>
      </c>
      <c r="B10817" s="636" t="s">
        <v>12698</v>
      </c>
      <c r="C10817" s="612" t="s">
        <v>12699</v>
      </c>
      <c r="D10817" s="612" t="s">
        <v>12700</v>
      </c>
      <c r="E10817" s="637" t="s">
        <v>12702</v>
      </c>
      <c r="F10817" s="801" t="s">
        <v>12704</v>
      </c>
      <c r="G10817" s="801"/>
      <c r="H10817" s="801" t="s">
        <v>13678</v>
      </c>
      <c r="I10817" s="801"/>
      <c r="J10817" s="801" t="s">
        <v>12705</v>
      </c>
      <c r="K10817" s="801"/>
      <c r="L10817" s="801"/>
    </row>
    <row r="10818" spans="1:12" ht="25.5">
      <c r="A10818" s="626" t="s">
        <v>12709</v>
      </c>
      <c r="B10818" s="627" t="s">
        <v>13002</v>
      </c>
      <c r="C10818" s="626" t="s">
        <v>8</v>
      </c>
      <c r="D10818" s="626" t="s">
        <v>9306</v>
      </c>
      <c r="E10818" s="628" t="s">
        <v>23</v>
      </c>
      <c r="F10818" s="816" t="s">
        <v>13677</v>
      </c>
      <c r="G10818" s="816"/>
      <c r="H10818" s="816">
        <v>6.9968478999999997</v>
      </c>
      <c r="I10818" s="816"/>
      <c r="J10818" s="817">
        <v>2.4489000000000001</v>
      </c>
      <c r="K10818" s="817"/>
      <c r="L10818" s="817"/>
    </row>
    <row r="10819" spans="1:12" ht="25.5">
      <c r="A10819" s="626" t="s">
        <v>12709</v>
      </c>
      <c r="B10819" s="627" t="s">
        <v>13004</v>
      </c>
      <c r="C10819" s="626" t="s">
        <v>8</v>
      </c>
      <c r="D10819" s="626" t="s">
        <v>7388</v>
      </c>
      <c r="E10819" s="628" t="s">
        <v>23</v>
      </c>
      <c r="F10819" s="816" t="s">
        <v>13676</v>
      </c>
      <c r="G10819" s="816"/>
      <c r="H10819" s="816">
        <v>6.9968478999999997</v>
      </c>
      <c r="I10819" s="816"/>
      <c r="J10819" s="817">
        <v>15.3931</v>
      </c>
      <c r="K10819" s="817"/>
      <c r="L10819" s="817"/>
    </row>
    <row r="10820" spans="1:12">
      <c r="A10820" s="636"/>
      <c r="B10820" s="636"/>
      <c r="C10820" s="636"/>
      <c r="D10820" s="636"/>
      <c r="E10820" s="636"/>
      <c r="F10820" s="636"/>
      <c r="G10820" s="636"/>
      <c r="H10820" s="636"/>
      <c r="I10820" s="636"/>
      <c r="J10820" s="636" t="s">
        <v>13675</v>
      </c>
      <c r="K10820" s="636"/>
      <c r="L10820" s="636" t="s">
        <v>13699</v>
      </c>
    </row>
    <row r="10821" spans="1:12">
      <c r="A10821" s="612" t="s">
        <v>13673</v>
      </c>
      <c r="B10821" s="612"/>
      <c r="C10821" s="612"/>
      <c r="D10821" s="612"/>
      <c r="E10821" s="612"/>
      <c r="F10821" s="612"/>
      <c r="G10821" s="612"/>
      <c r="H10821" s="612"/>
      <c r="I10821" s="612"/>
      <c r="J10821" s="612"/>
      <c r="K10821" s="612"/>
      <c r="L10821" s="612"/>
    </row>
    <row r="10822" spans="1:12">
      <c r="A10822" s="636"/>
      <c r="B10822" s="636"/>
      <c r="C10822" s="636"/>
      <c r="D10822" s="636"/>
      <c r="E10822" s="636"/>
      <c r="F10822" s="636"/>
      <c r="G10822" s="636"/>
      <c r="H10822" s="636"/>
      <c r="I10822" s="636"/>
      <c r="J10822" s="636" t="s">
        <v>13672</v>
      </c>
      <c r="K10822" s="636"/>
      <c r="L10822" s="636" t="s">
        <v>15721</v>
      </c>
    </row>
    <row r="10823" spans="1:12">
      <c r="A10823" s="636"/>
      <c r="B10823" s="636"/>
      <c r="C10823" s="636"/>
      <c r="D10823" s="636"/>
      <c r="E10823" s="636"/>
      <c r="F10823" s="636"/>
      <c r="G10823" s="636"/>
      <c r="H10823" s="636"/>
      <c r="I10823" s="636"/>
      <c r="J10823" s="636" t="s">
        <v>13671</v>
      </c>
      <c r="K10823" s="636" t="s">
        <v>14461</v>
      </c>
      <c r="L10823" s="636" t="s">
        <v>15722</v>
      </c>
    </row>
    <row r="10824" spans="1:12">
      <c r="A10824" s="636"/>
      <c r="B10824" s="636"/>
      <c r="C10824" s="636"/>
      <c r="D10824" s="636"/>
      <c r="E10824" s="636"/>
      <c r="F10824" s="636"/>
      <c r="G10824" s="636"/>
      <c r="H10824" s="636"/>
      <c r="I10824" s="636"/>
      <c r="J10824" s="636" t="s">
        <v>13670</v>
      </c>
      <c r="K10824" s="636"/>
      <c r="L10824" s="636" t="s">
        <v>15723</v>
      </c>
    </row>
    <row r="10825" spans="1:12">
      <c r="A10825" s="636"/>
      <c r="B10825" s="636"/>
      <c r="C10825" s="636"/>
      <c r="D10825" s="636"/>
      <c r="E10825" s="636"/>
      <c r="F10825" s="636"/>
      <c r="G10825" s="636"/>
      <c r="H10825" s="636"/>
      <c r="I10825" s="636"/>
      <c r="J10825" s="636" t="s">
        <v>13669</v>
      </c>
      <c r="K10825" s="636" t="s">
        <v>13667</v>
      </c>
      <c r="L10825" s="636" t="s">
        <v>15724</v>
      </c>
    </row>
    <row r="10826" spans="1:12">
      <c r="A10826" s="636"/>
      <c r="B10826" s="636"/>
      <c r="C10826" s="636"/>
      <c r="D10826" s="636"/>
      <c r="E10826" s="636"/>
      <c r="F10826" s="636"/>
      <c r="G10826" s="636"/>
      <c r="H10826" s="636"/>
      <c r="I10826" s="636"/>
      <c r="J10826" s="636" t="s">
        <v>13668</v>
      </c>
      <c r="K10826" s="636"/>
      <c r="L10826" s="636" t="s">
        <v>15725</v>
      </c>
    </row>
    <row r="10827" spans="1:12">
      <c r="A10827" s="637"/>
      <c r="B10827" s="637"/>
      <c r="C10827" s="637"/>
      <c r="D10827" s="637"/>
      <c r="E10827" s="637"/>
      <c r="F10827" s="637"/>
      <c r="G10827" s="637"/>
      <c r="H10827" s="637"/>
      <c r="I10827" s="637"/>
      <c r="J10827" s="637"/>
      <c r="K10827" s="637"/>
      <c r="L10827" s="637"/>
    </row>
    <row r="10828" spans="1:12" ht="51">
      <c r="A10828" s="616" t="s">
        <v>13698</v>
      </c>
      <c r="B10828" s="617" t="s">
        <v>13338</v>
      </c>
      <c r="C10828" s="616" t="s">
        <v>8</v>
      </c>
      <c r="D10828" s="616" t="s">
        <v>5582</v>
      </c>
      <c r="E10828" s="618" t="s">
        <v>17</v>
      </c>
      <c r="F10828" s="617"/>
      <c r="G10828" s="617"/>
      <c r="H10828" s="617"/>
      <c r="I10828" s="617"/>
      <c r="J10828" s="617"/>
      <c r="K10828" s="617"/>
      <c r="L10828" s="617"/>
    </row>
    <row r="10829" spans="1:12">
      <c r="A10829" s="802" t="s">
        <v>12711</v>
      </c>
      <c r="B10829" s="802"/>
      <c r="C10829" s="802"/>
      <c r="D10829" s="802"/>
      <c r="E10829" s="802"/>
      <c r="F10829" s="802"/>
      <c r="G10829" s="802"/>
      <c r="H10829" s="802"/>
      <c r="I10829" s="612"/>
      <c r="J10829" s="612"/>
      <c r="K10829" s="612"/>
      <c r="L10829" s="612"/>
    </row>
    <row r="10830" spans="1:12">
      <c r="A10830" s="612" t="s">
        <v>13679</v>
      </c>
      <c r="B10830" s="636" t="s">
        <v>12698</v>
      </c>
      <c r="C10830" s="612" t="s">
        <v>12699</v>
      </c>
      <c r="D10830" s="612" t="s">
        <v>12700</v>
      </c>
      <c r="E10830" s="637" t="s">
        <v>12702</v>
      </c>
      <c r="F10830" s="801" t="s">
        <v>12704</v>
      </c>
      <c r="G10830" s="801"/>
      <c r="H10830" s="801" t="s">
        <v>13678</v>
      </c>
      <c r="I10830" s="801"/>
      <c r="J10830" s="801" t="s">
        <v>12705</v>
      </c>
      <c r="K10830" s="801"/>
      <c r="L10830" s="801"/>
    </row>
    <row r="10831" spans="1:12" ht="25.5">
      <c r="A10831" s="626" t="s">
        <v>12709</v>
      </c>
      <c r="B10831" s="627" t="s">
        <v>13052</v>
      </c>
      <c r="C10831" s="626" t="s">
        <v>8</v>
      </c>
      <c r="D10831" s="626" t="s">
        <v>9229</v>
      </c>
      <c r="E10831" s="628" t="s">
        <v>23</v>
      </c>
      <c r="F10831" s="816" t="s">
        <v>13692</v>
      </c>
      <c r="G10831" s="816"/>
      <c r="H10831" s="816">
        <v>10.036019100000001</v>
      </c>
      <c r="I10831" s="816"/>
      <c r="J10831" s="817">
        <v>9.6346000000000007</v>
      </c>
      <c r="K10831" s="817"/>
      <c r="L10831" s="817"/>
    </row>
    <row r="10832" spans="1:12" ht="25.5">
      <c r="A10832" s="626" t="s">
        <v>12709</v>
      </c>
      <c r="B10832" s="627" t="s">
        <v>13051</v>
      </c>
      <c r="C10832" s="626" t="s">
        <v>8</v>
      </c>
      <c r="D10832" s="626" t="s">
        <v>9376</v>
      </c>
      <c r="E10832" s="628" t="s">
        <v>23</v>
      </c>
      <c r="F10832" s="816" t="s">
        <v>13691</v>
      </c>
      <c r="G10832" s="816"/>
      <c r="H10832" s="816">
        <v>10.036019100000001</v>
      </c>
      <c r="I10832" s="816"/>
      <c r="J10832" s="817">
        <v>5.0179999999999998</v>
      </c>
      <c r="K10832" s="817"/>
      <c r="L10832" s="817"/>
    </row>
    <row r="10833" spans="1:12">
      <c r="A10833" s="636"/>
      <c r="B10833" s="636"/>
      <c r="C10833" s="636"/>
      <c r="D10833" s="636"/>
      <c r="E10833" s="636"/>
      <c r="F10833" s="636"/>
      <c r="G10833" s="636"/>
      <c r="H10833" s="636"/>
      <c r="I10833" s="636"/>
      <c r="J10833" s="636" t="s">
        <v>13675</v>
      </c>
      <c r="K10833" s="636"/>
      <c r="L10833" s="636" t="s">
        <v>13697</v>
      </c>
    </row>
    <row r="10834" spans="1:12">
      <c r="A10834" s="802" t="s">
        <v>12710</v>
      </c>
      <c r="B10834" s="802"/>
      <c r="C10834" s="802"/>
      <c r="D10834" s="802"/>
      <c r="E10834" s="802"/>
      <c r="F10834" s="802"/>
      <c r="G10834" s="802"/>
      <c r="H10834" s="802"/>
      <c r="I10834" s="612"/>
      <c r="J10834" s="612"/>
      <c r="K10834" s="612"/>
      <c r="L10834" s="612"/>
    </row>
    <row r="10835" spans="1:12">
      <c r="A10835" s="612" t="s">
        <v>13679</v>
      </c>
      <c r="B10835" s="636" t="s">
        <v>12698</v>
      </c>
      <c r="C10835" s="612" t="s">
        <v>12699</v>
      </c>
      <c r="D10835" s="612" t="s">
        <v>12700</v>
      </c>
      <c r="E10835" s="637" t="s">
        <v>12702</v>
      </c>
      <c r="F10835" s="801" t="s">
        <v>12704</v>
      </c>
      <c r="G10835" s="801"/>
      <c r="H10835" s="801" t="s">
        <v>13678</v>
      </c>
      <c r="I10835" s="801"/>
      <c r="J10835" s="801" t="s">
        <v>12705</v>
      </c>
      <c r="K10835" s="801"/>
      <c r="L10835" s="801"/>
    </row>
    <row r="10836" spans="1:12" ht="25.5">
      <c r="A10836" s="626" t="s">
        <v>12709</v>
      </c>
      <c r="B10836" s="627" t="s">
        <v>13218</v>
      </c>
      <c r="C10836" s="626" t="s">
        <v>8</v>
      </c>
      <c r="D10836" s="626" t="s">
        <v>7372</v>
      </c>
      <c r="E10836" s="628" t="s">
        <v>23</v>
      </c>
      <c r="F10836" s="816" t="s">
        <v>13710</v>
      </c>
      <c r="G10836" s="816"/>
      <c r="H10836" s="816">
        <v>4.5632656000000003</v>
      </c>
      <c r="I10836" s="816"/>
      <c r="J10836" s="817">
        <v>23.592099999999999</v>
      </c>
      <c r="K10836" s="817"/>
      <c r="L10836" s="817"/>
    </row>
    <row r="10837" spans="1:12" ht="25.5">
      <c r="A10837" s="626" t="s">
        <v>12709</v>
      </c>
      <c r="B10837" s="627" t="s">
        <v>13050</v>
      </c>
      <c r="C10837" s="626" t="s">
        <v>8</v>
      </c>
      <c r="D10837" s="626" t="s">
        <v>11279</v>
      </c>
      <c r="E10837" s="628" t="s">
        <v>23</v>
      </c>
      <c r="F10837" s="816" t="s">
        <v>14470</v>
      </c>
      <c r="G10837" s="816"/>
      <c r="H10837" s="816">
        <v>5.5553676000000003</v>
      </c>
      <c r="I10837" s="816"/>
      <c r="J10837" s="817">
        <v>38.387599999999999</v>
      </c>
      <c r="K10837" s="817"/>
      <c r="L10837" s="817"/>
    </row>
    <row r="10838" spans="1:12">
      <c r="A10838" s="636"/>
      <c r="B10838" s="636"/>
      <c r="C10838" s="636"/>
      <c r="D10838" s="636"/>
      <c r="E10838" s="636"/>
      <c r="F10838" s="636"/>
      <c r="G10838" s="636"/>
      <c r="H10838" s="636"/>
      <c r="I10838" s="636"/>
      <c r="J10838" s="636" t="s">
        <v>13675</v>
      </c>
      <c r="K10838" s="636"/>
      <c r="L10838" s="636" t="s">
        <v>14469</v>
      </c>
    </row>
    <row r="10839" spans="1:12">
      <c r="A10839" s="802" t="s">
        <v>12720</v>
      </c>
      <c r="B10839" s="802"/>
      <c r="C10839" s="802"/>
      <c r="D10839" s="802"/>
      <c r="E10839" s="802"/>
      <c r="F10839" s="802"/>
      <c r="G10839" s="802"/>
      <c r="H10839" s="802"/>
      <c r="I10839" s="612"/>
      <c r="J10839" s="612"/>
      <c r="K10839" s="612"/>
      <c r="L10839" s="612"/>
    </row>
    <row r="10840" spans="1:12">
      <c r="A10840" s="612" t="s">
        <v>13679</v>
      </c>
      <c r="B10840" s="636" t="s">
        <v>12698</v>
      </c>
      <c r="C10840" s="612" t="s">
        <v>12699</v>
      </c>
      <c r="D10840" s="612" t="s">
        <v>12700</v>
      </c>
      <c r="E10840" s="637" t="s">
        <v>12702</v>
      </c>
      <c r="F10840" s="801" t="s">
        <v>12704</v>
      </c>
      <c r="G10840" s="801"/>
      <c r="H10840" s="801" t="s">
        <v>13678</v>
      </c>
      <c r="I10840" s="801"/>
      <c r="J10840" s="801" t="s">
        <v>12705</v>
      </c>
      <c r="K10840" s="801"/>
      <c r="L10840" s="801"/>
    </row>
    <row r="10841" spans="1:12" ht="25.5">
      <c r="A10841" s="626" t="s">
        <v>12709</v>
      </c>
      <c r="B10841" s="627" t="s">
        <v>13165</v>
      </c>
      <c r="C10841" s="626" t="s">
        <v>8</v>
      </c>
      <c r="D10841" s="626" t="s">
        <v>10614</v>
      </c>
      <c r="E10841" s="628" t="s">
        <v>35</v>
      </c>
      <c r="F10841" s="816" t="s">
        <v>13695</v>
      </c>
      <c r="G10841" s="816"/>
      <c r="H10841" s="816">
        <v>3.3330000000000002</v>
      </c>
      <c r="I10841" s="816"/>
      <c r="J10841" s="817">
        <v>5.49</v>
      </c>
      <c r="K10841" s="817"/>
      <c r="L10841" s="817"/>
    </row>
    <row r="10842" spans="1:12" ht="25.5">
      <c r="A10842" s="626" t="s">
        <v>12709</v>
      </c>
      <c r="B10842" s="627" t="s">
        <v>13337</v>
      </c>
      <c r="C10842" s="626" t="s">
        <v>8</v>
      </c>
      <c r="D10842" s="626" t="s">
        <v>8348</v>
      </c>
      <c r="E10842" s="628" t="s">
        <v>20</v>
      </c>
      <c r="F10842" s="816" t="s">
        <v>13987</v>
      </c>
      <c r="G10842" s="816"/>
      <c r="H10842" s="816">
        <v>0.89600000000000002</v>
      </c>
      <c r="I10842" s="816"/>
      <c r="J10842" s="817">
        <v>6.94</v>
      </c>
      <c r="K10842" s="817"/>
      <c r="L10842" s="817"/>
    </row>
    <row r="10843" spans="1:12" ht="25.5">
      <c r="A10843" s="626" t="s">
        <v>12709</v>
      </c>
      <c r="B10843" s="627" t="s">
        <v>13336</v>
      </c>
      <c r="C10843" s="626" t="s">
        <v>8</v>
      </c>
      <c r="D10843" s="626" t="s">
        <v>9117</v>
      </c>
      <c r="E10843" s="628" t="s">
        <v>20</v>
      </c>
      <c r="F10843" s="816" t="s">
        <v>14468</v>
      </c>
      <c r="G10843" s="816"/>
      <c r="H10843" s="816">
        <v>6.5000000000000002E-2</v>
      </c>
      <c r="I10843" s="816"/>
      <c r="J10843" s="817">
        <v>0.78</v>
      </c>
      <c r="K10843" s="817"/>
      <c r="L10843" s="817"/>
    </row>
    <row r="10844" spans="1:12" ht="25.5">
      <c r="A10844" s="626" t="s">
        <v>12709</v>
      </c>
      <c r="B10844" s="627" t="s">
        <v>13335</v>
      </c>
      <c r="C10844" s="626" t="s">
        <v>8</v>
      </c>
      <c r="D10844" s="626" t="s">
        <v>11912</v>
      </c>
      <c r="E10844" s="628" t="s">
        <v>17</v>
      </c>
      <c r="F10844" s="816" t="s">
        <v>14467</v>
      </c>
      <c r="G10844" s="816"/>
      <c r="H10844" s="816">
        <v>6.25</v>
      </c>
      <c r="I10844" s="816"/>
      <c r="J10844" s="817">
        <v>92.18</v>
      </c>
      <c r="K10844" s="817"/>
      <c r="L10844" s="817"/>
    </row>
    <row r="10845" spans="1:12" ht="25.5">
      <c r="A10845" s="626" t="s">
        <v>12709</v>
      </c>
      <c r="B10845" s="627" t="s">
        <v>13334</v>
      </c>
      <c r="C10845" s="626" t="s">
        <v>8</v>
      </c>
      <c r="D10845" s="626" t="s">
        <v>11913</v>
      </c>
      <c r="E10845" s="628" t="s">
        <v>17</v>
      </c>
      <c r="F10845" s="816" t="s">
        <v>14466</v>
      </c>
      <c r="G10845" s="816"/>
      <c r="H10845" s="816">
        <v>2.0230000000000001</v>
      </c>
      <c r="I10845" s="816"/>
      <c r="J10845" s="817">
        <v>40.07</v>
      </c>
      <c r="K10845" s="817"/>
      <c r="L10845" s="817"/>
    </row>
    <row r="10846" spans="1:12" ht="25.5">
      <c r="A10846" s="626" t="s">
        <v>12709</v>
      </c>
      <c r="B10846" s="627" t="s">
        <v>13333</v>
      </c>
      <c r="C10846" s="626" t="s">
        <v>8</v>
      </c>
      <c r="D10846" s="626" t="s">
        <v>11914</v>
      </c>
      <c r="E10846" s="628" t="s">
        <v>17</v>
      </c>
      <c r="F10846" s="816" t="s">
        <v>14465</v>
      </c>
      <c r="G10846" s="816"/>
      <c r="H10846" s="816">
        <v>0.92600000000000005</v>
      </c>
      <c r="I10846" s="816"/>
      <c r="J10846" s="817">
        <v>26.73</v>
      </c>
      <c r="K10846" s="817"/>
      <c r="L10846" s="817"/>
    </row>
    <row r="10847" spans="1:12" ht="25.5">
      <c r="A10847" s="626" t="s">
        <v>12709</v>
      </c>
      <c r="B10847" s="627" t="s">
        <v>13332</v>
      </c>
      <c r="C10847" s="626" t="s">
        <v>8</v>
      </c>
      <c r="D10847" s="626" t="s">
        <v>11915</v>
      </c>
      <c r="E10847" s="628" t="s">
        <v>17</v>
      </c>
      <c r="F10847" s="816" t="s">
        <v>14464</v>
      </c>
      <c r="G10847" s="816"/>
      <c r="H10847" s="816">
        <v>1.0289999999999999</v>
      </c>
      <c r="I10847" s="816"/>
      <c r="J10847" s="817">
        <v>32.82</v>
      </c>
      <c r="K10847" s="817"/>
      <c r="L10847" s="817"/>
    </row>
    <row r="10848" spans="1:12">
      <c r="A10848" s="636"/>
      <c r="B10848" s="636"/>
      <c r="C10848" s="636"/>
      <c r="D10848" s="636"/>
      <c r="E10848" s="636"/>
      <c r="F10848" s="636"/>
      <c r="G10848" s="636"/>
      <c r="H10848" s="636"/>
      <c r="I10848" s="636"/>
      <c r="J10848" s="636" t="s">
        <v>13675</v>
      </c>
      <c r="K10848" s="636"/>
      <c r="L10848" s="636" t="s">
        <v>14463</v>
      </c>
    </row>
    <row r="10849" spans="1:12">
      <c r="A10849" s="802" t="s">
        <v>12722</v>
      </c>
      <c r="B10849" s="802"/>
      <c r="C10849" s="802"/>
      <c r="D10849" s="802"/>
      <c r="E10849" s="802"/>
      <c r="F10849" s="802"/>
      <c r="G10849" s="802"/>
      <c r="H10849" s="802"/>
      <c r="I10849" s="612"/>
      <c r="J10849" s="612"/>
      <c r="K10849" s="612"/>
      <c r="L10849" s="612"/>
    </row>
    <row r="10850" spans="1:12">
      <c r="A10850" s="612" t="s">
        <v>13679</v>
      </c>
      <c r="B10850" s="636" t="s">
        <v>12698</v>
      </c>
      <c r="C10850" s="612" t="s">
        <v>12699</v>
      </c>
      <c r="D10850" s="612" t="s">
        <v>12700</v>
      </c>
      <c r="E10850" s="637" t="s">
        <v>12702</v>
      </c>
      <c r="F10850" s="801" t="s">
        <v>12704</v>
      </c>
      <c r="G10850" s="801"/>
      <c r="H10850" s="801" t="s">
        <v>13678</v>
      </c>
      <c r="I10850" s="801"/>
      <c r="J10850" s="801" t="s">
        <v>12705</v>
      </c>
      <c r="K10850" s="801"/>
      <c r="L10850" s="801"/>
    </row>
    <row r="10851" spans="1:12" ht="25.5">
      <c r="A10851" s="626" t="s">
        <v>12709</v>
      </c>
      <c r="B10851" s="627" t="s">
        <v>12998</v>
      </c>
      <c r="C10851" s="626" t="s">
        <v>8</v>
      </c>
      <c r="D10851" s="626" t="s">
        <v>11861</v>
      </c>
      <c r="E10851" s="628" t="s">
        <v>23</v>
      </c>
      <c r="F10851" s="816" t="s">
        <v>13683</v>
      </c>
      <c r="G10851" s="816"/>
      <c r="H10851" s="816">
        <v>10.036019100000001</v>
      </c>
      <c r="I10851" s="816"/>
      <c r="J10851" s="817">
        <v>7.1256000000000004</v>
      </c>
      <c r="K10851" s="817"/>
      <c r="L10851" s="817"/>
    </row>
    <row r="10852" spans="1:12">
      <c r="A10852" s="636"/>
      <c r="B10852" s="636"/>
      <c r="C10852" s="636"/>
      <c r="D10852" s="636"/>
      <c r="E10852" s="636"/>
      <c r="F10852" s="636"/>
      <c r="G10852" s="636"/>
      <c r="H10852" s="636"/>
      <c r="I10852" s="636"/>
      <c r="J10852" s="636" t="s">
        <v>13675</v>
      </c>
      <c r="K10852" s="636"/>
      <c r="L10852" s="636" t="s">
        <v>14462</v>
      </c>
    </row>
    <row r="10853" spans="1:12">
      <c r="A10853" s="802" t="s">
        <v>12713</v>
      </c>
      <c r="B10853" s="802"/>
      <c r="C10853" s="802"/>
      <c r="D10853" s="802"/>
      <c r="E10853" s="802"/>
      <c r="F10853" s="802"/>
      <c r="G10853" s="802"/>
      <c r="H10853" s="802"/>
      <c r="I10853" s="612"/>
      <c r="J10853" s="612"/>
      <c r="K10853" s="612"/>
      <c r="L10853" s="612"/>
    </row>
    <row r="10854" spans="1:12">
      <c r="A10854" s="612" t="s">
        <v>13679</v>
      </c>
      <c r="B10854" s="636" t="s">
        <v>12698</v>
      </c>
      <c r="C10854" s="612" t="s">
        <v>12699</v>
      </c>
      <c r="D10854" s="612" t="s">
        <v>12700</v>
      </c>
      <c r="E10854" s="637" t="s">
        <v>12702</v>
      </c>
      <c r="F10854" s="801" t="s">
        <v>12704</v>
      </c>
      <c r="G10854" s="801"/>
      <c r="H10854" s="801" t="s">
        <v>13678</v>
      </c>
      <c r="I10854" s="801"/>
      <c r="J10854" s="801" t="s">
        <v>12705</v>
      </c>
      <c r="K10854" s="801"/>
      <c r="L10854" s="801"/>
    </row>
    <row r="10855" spans="1:12" ht="25.5">
      <c r="A10855" s="626" t="s">
        <v>12709</v>
      </c>
      <c r="B10855" s="627" t="s">
        <v>12999</v>
      </c>
      <c r="C10855" s="626" t="s">
        <v>8</v>
      </c>
      <c r="D10855" s="626" t="s">
        <v>11251</v>
      </c>
      <c r="E10855" s="628" t="s">
        <v>23</v>
      </c>
      <c r="F10855" s="816" t="s">
        <v>13681</v>
      </c>
      <c r="G10855" s="816"/>
      <c r="H10855" s="816">
        <v>10.036019100000001</v>
      </c>
      <c r="I10855" s="816"/>
      <c r="J10855" s="817">
        <v>0.70250000000000001</v>
      </c>
      <c r="K10855" s="817"/>
      <c r="L10855" s="817"/>
    </row>
    <row r="10856" spans="1:12">
      <c r="A10856" s="636"/>
      <c r="B10856" s="636"/>
      <c r="C10856" s="636"/>
      <c r="D10856" s="636"/>
      <c r="E10856" s="636"/>
      <c r="F10856" s="636"/>
      <c r="G10856" s="636"/>
      <c r="H10856" s="636"/>
      <c r="I10856" s="636"/>
      <c r="J10856" s="636" t="s">
        <v>13675</v>
      </c>
      <c r="K10856" s="636"/>
      <c r="L10856" s="636" t="s">
        <v>13694</v>
      </c>
    </row>
    <row r="10857" spans="1:12">
      <c r="A10857" s="802" t="s">
        <v>12712</v>
      </c>
      <c r="B10857" s="802"/>
      <c r="C10857" s="802"/>
      <c r="D10857" s="802"/>
      <c r="E10857" s="802"/>
      <c r="F10857" s="802"/>
      <c r="G10857" s="802"/>
      <c r="H10857" s="802"/>
      <c r="I10857" s="612"/>
      <c r="J10857" s="612"/>
      <c r="K10857" s="612"/>
      <c r="L10857" s="612"/>
    </row>
    <row r="10858" spans="1:12">
      <c r="A10858" s="612" t="s">
        <v>13679</v>
      </c>
      <c r="B10858" s="636" t="s">
        <v>12698</v>
      </c>
      <c r="C10858" s="612" t="s">
        <v>12699</v>
      </c>
      <c r="D10858" s="612" t="s">
        <v>12700</v>
      </c>
      <c r="E10858" s="637" t="s">
        <v>12702</v>
      </c>
      <c r="F10858" s="801" t="s">
        <v>12704</v>
      </c>
      <c r="G10858" s="801"/>
      <c r="H10858" s="801" t="s">
        <v>13678</v>
      </c>
      <c r="I10858" s="801"/>
      <c r="J10858" s="801" t="s">
        <v>12705</v>
      </c>
      <c r="K10858" s="801"/>
      <c r="L10858" s="801"/>
    </row>
    <row r="10859" spans="1:12" ht="25.5">
      <c r="A10859" s="626" t="s">
        <v>12709</v>
      </c>
      <c r="B10859" s="627" t="s">
        <v>13002</v>
      </c>
      <c r="C10859" s="626" t="s">
        <v>8</v>
      </c>
      <c r="D10859" s="626" t="s">
        <v>9306</v>
      </c>
      <c r="E10859" s="628" t="s">
        <v>23</v>
      </c>
      <c r="F10859" s="816" t="s">
        <v>13677</v>
      </c>
      <c r="G10859" s="816"/>
      <c r="H10859" s="816">
        <v>10.036019100000001</v>
      </c>
      <c r="I10859" s="816"/>
      <c r="J10859" s="817">
        <v>3.5125999999999999</v>
      </c>
      <c r="K10859" s="817"/>
      <c r="L10859" s="817"/>
    </row>
    <row r="10860" spans="1:12" ht="25.5">
      <c r="A10860" s="626" t="s">
        <v>12709</v>
      </c>
      <c r="B10860" s="627" t="s">
        <v>13004</v>
      </c>
      <c r="C10860" s="626" t="s">
        <v>8</v>
      </c>
      <c r="D10860" s="626" t="s">
        <v>7388</v>
      </c>
      <c r="E10860" s="628" t="s">
        <v>23</v>
      </c>
      <c r="F10860" s="816" t="s">
        <v>13676</v>
      </c>
      <c r="G10860" s="816"/>
      <c r="H10860" s="816">
        <v>10.036019100000001</v>
      </c>
      <c r="I10860" s="816"/>
      <c r="J10860" s="817">
        <v>22.0792</v>
      </c>
      <c r="K10860" s="817"/>
      <c r="L10860" s="817"/>
    </row>
    <row r="10861" spans="1:12">
      <c r="A10861" s="636"/>
      <c r="B10861" s="636"/>
      <c r="C10861" s="636"/>
      <c r="D10861" s="636"/>
      <c r="E10861" s="636"/>
      <c r="F10861" s="636"/>
      <c r="G10861" s="636"/>
      <c r="H10861" s="636"/>
      <c r="I10861" s="636"/>
      <c r="J10861" s="636" t="s">
        <v>13675</v>
      </c>
      <c r="K10861" s="636"/>
      <c r="L10861" s="636" t="s">
        <v>13693</v>
      </c>
    </row>
    <row r="10862" spans="1:12">
      <c r="A10862" s="612" t="s">
        <v>13673</v>
      </c>
      <c r="B10862" s="612"/>
      <c r="C10862" s="612"/>
      <c r="D10862" s="612"/>
      <c r="E10862" s="612"/>
      <c r="F10862" s="612"/>
      <c r="G10862" s="612"/>
      <c r="H10862" s="612"/>
      <c r="I10862" s="612"/>
      <c r="J10862" s="612"/>
      <c r="K10862" s="612"/>
      <c r="L10862" s="612"/>
    </row>
    <row r="10863" spans="1:12">
      <c r="A10863" s="636"/>
      <c r="B10863" s="636"/>
      <c r="C10863" s="636"/>
      <c r="D10863" s="636"/>
      <c r="E10863" s="636"/>
      <c r="F10863" s="636"/>
      <c r="G10863" s="636"/>
      <c r="H10863" s="636"/>
      <c r="I10863" s="636"/>
      <c r="J10863" s="636" t="s">
        <v>13672</v>
      </c>
      <c r="K10863" s="636"/>
      <c r="L10863" s="636" t="s">
        <v>15726</v>
      </c>
    </row>
    <row r="10864" spans="1:12">
      <c r="A10864" s="636"/>
      <c r="B10864" s="636"/>
      <c r="C10864" s="636"/>
      <c r="D10864" s="636"/>
      <c r="E10864" s="636"/>
      <c r="F10864" s="636"/>
      <c r="G10864" s="636"/>
      <c r="H10864" s="636"/>
      <c r="I10864" s="636"/>
      <c r="J10864" s="636" t="s">
        <v>13671</v>
      </c>
      <c r="K10864" s="636" t="s">
        <v>14461</v>
      </c>
      <c r="L10864" s="636" t="s">
        <v>15727</v>
      </c>
    </row>
    <row r="10865" spans="1:12">
      <c r="A10865" s="636"/>
      <c r="B10865" s="636"/>
      <c r="C10865" s="636"/>
      <c r="D10865" s="636"/>
      <c r="E10865" s="636"/>
      <c r="F10865" s="636"/>
      <c r="G10865" s="636"/>
      <c r="H10865" s="636"/>
      <c r="I10865" s="636"/>
      <c r="J10865" s="636" t="s">
        <v>13670</v>
      </c>
      <c r="K10865" s="636"/>
      <c r="L10865" s="636" t="s">
        <v>15728</v>
      </c>
    </row>
    <row r="10866" spans="1:12">
      <c r="A10866" s="636"/>
      <c r="B10866" s="636"/>
      <c r="C10866" s="636"/>
      <c r="D10866" s="636"/>
      <c r="E10866" s="636"/>
      <c r="F10866" s="636"/>
      <c r="G10866" s="636"/>
      <c r="H10866" s="636"/>
      <c r="I10866" s="636"/>
      <c r="J10866" s="636" t="s">
        <v>13669</v>
      </c>
      <c r="K10866" s="636" t="s">
        <v>13667</v>
      </c>
      <c r="L10866" s="636" t="s">
        <v>15729</v>
      </c>
    </row>
    <row r="10867" spans="1:12">
      <c r="A10867" s="636"/>
      <c r="B10867" s="636"/>
      <c r="C10867" s="636"/>
      <c r="D10867" s="636"/>
      <c r="E10867" s="636"/>
      <c r="F10867" s="636"/>
      <c r="G10867" s="636"/>
      <c r="H10867" s="636"/>
      <c r="I10867" s="636"/>
      <c r="J10867" s="636" t="s">
        <v>13668</v>
      </c>
      <c r="K10867" s="636"/>
      <c r="L10867" s="636" t="s">
        <v>15730</v>
      </c>
    </row>
    <row r="10868" spans="1:12">
      <c r="A10868" s="637"/>
      <c r="B10868" s="637"/>
      <c r="C10868" s="637"/>
      <c r="D10868" s="637"/>
      <c r="E10868" s="637"/>
      <c r="F10868" s="637"/>
      <c r="G10868" s="637"/>
      <c r="H10868" s="637"/>
      <c r="I10868" s="637"/>
      <c r="J10868" s="637"/>
      <c r="K10868" s="637"/>
      <c r="L10868" s="637"/>
    </row>
    <row r="10869" spans="1:12">
      <c r="A10869" s="634"/>
      <c r="B10869" s="634"/>
      <c r="C10869" s="634"/>
      <c r="D10869" s="634"/>
      <c r="E10869" s="634"/>
      <c r="F10869" s="634"/>
      <c r="G10869" s="634"/>
      <c r="H10869" s="634"/>
      <c r="I10869" s="634"/>
      <c r="J10869" s="634"/>
      <c r="K10869" s="634"/>
      <c r="L10869" s="634"/>
    </row>
    <row r="10870" spans="1:12">
      <c r="A10870" s="801"/>
      <c r="B10870" s="801"/>
      <c r="C10870" s="801"/>
      <c r="D10870" s="635"/>
      <c r="E10870" s="636"/>
      <c r="F10870" s="636"/>
      <c r="G10870" s="636"/>
      <c r="H10870" s="802" t="s">
        <v>12924</v>
      </c>
      <c r="I10870" s="801"/>
      <c r="J10870" s="803">
        <v>711684.05</v>
      </c>
      <c r="K10870" s="801"/>
      <c r="L10870" s="801"/>
    </row>
    <row r="10871" spans="1:12">
      <c r="A10871" s="801"/>
      <c r="B10871" s="801"/>
      <c r="C10871" s="801"/>
      <c r="D10871" s="635"/>
      <c r="E10871" s="636"/>
      <c r="F10871" s="636"/>
      <c r="G10871" s="636"/>
      <c r="H10871" s="802" t="s">
        <v>12925</v>
      </c>
      <c r="I10871" s="801"/>
      <c r="J10871" s="803">
        <v>200820.65</v>
      </c>
      <c r="K10871" s="801"/>
      <c r="L10871" s="801"/>
    </row>
    <row r="10872" spans="1:12">
      <c r="A10872" s="801"/>
      <c r="B10872" s="801"/>
      <c r="C10872" s="801"/>
      <c r="D10872" s="635"/>
      <c r="E10872" s="636"/>
      <c r="F10872" s="636"/>
      <c r="G10872" s="636"/>
      <c r="H10872" s="802" t="s">
        <v>12926</v>
      </c>
      <c r="I10872" s="801"/>
      <c r="J10872" s="803">
        <v>912504.7</v>
      </c>
      <c r="K10872" s="801"/>
      <c r="L10872" s="801"/>
    </row>
  </sheetData>
  <mergeCells count="17538">
    <mergeCell ref="F16:G16"/>
    <mergeCell ref="H16:I16"/>
    <mergeCell ref="J16:L16"/>
    <mergeCell ref="A18:H18"/>
    <mergeCell ref="F19:G19"/>
    <mergeCell ref="H19:I19"/>
    <mergeCell ref="J19:L19"/>
    <mergeCell ref="F12:G12"/>
    <mergeCell ref="H12:I12"/>
    <mergeCell ref="J12:L12"/>
    <mergeCell ref="A14:H14"/>
    <mergeCell ref="F15:G15"/>
    <mergeCell ref="H15:I15"/>
    <mergeCell ref="J15:L15"/>
    <mergeCell ref="F8:G8"/>
    <mergeCell ref="H8:I8"/>
    <mergeCell ref="J8:L8"/>
    <mergeCell ref="A10:H10"/>
    <mergeCell ref="F11:G11"/>
    <mergeCell ref="H11:I11"/>
    <mergeCell ref="J11:L11"/>
    <mergeCell ref="A3:L3"/>
    <mergeCell ref="A5:H5"/>
    <mergeCell ref="F6:G6"/>
    <mergeCell ref="H6:I6"/>
    <mergeCell ref="J6:L6"/>
    <mergeCell ref="F7:G7"/>
    <mergeCell ref="H7:I7"/>
    <mergeCell ref="J7:L7"/>
    <mergeCell ref="C1:D1"/>
    <mergeCell ref="E1:G1"/>
    <mergeCell ref="H1:L1"/>
    <mergeCell ref="C2:D2"/>
    <mergeCell ref="E2:G2"/>
    <mergeCell ref="H2:L2"/>
    <mergeCell ref="F42:G42"/>
    <mergeCell ref="H42:I42"/>
    <mergeCell ref="J42:L42"/>
    <mergeCell ref="A52:H52"/>
    <mergeCell ref="F53:G53"/>
    <mergeCell ref="H53:I53"/>
    <mergeCell ref="J53:L53"/>
    <mergeCell ref="A39:H39"/>
    <mergeCell ref="F40:G40"/>
    <mergeCell ref="H40:I40"/>
    <mergeCell ref="J40:L40"/>
    <mergeCell ref="F41:G41"/>
    <mergeCell ref="H41:I41"/>
    <mergeCell ref="J41:L41"/>
    <mergeCell ref="A35:H35"/>
    <mergeCell ref="F36:G36"/>
    <mergeCell ref="H36:I36"/>
    <mergeCell ref="J36:L36"/>
    <mergeCell ref="F37:G37"/>
    <mergeCell ref="H37:I37"/>
    <mergeCell ref="J37:L37"/>
    <mergeCell ref="F32:G32"/>
    <mergeCell ref="H32:I32"/>
    <mergeCell ref="J32:L32"/>
    <mergeCell ref="F33:G33"/>
    <mergeCell ref="H33:I33"/>
    <mergeCell ref="J33:L33"/>
    <mergeCell ref="F20:G20"/>
    <mergeCell ref="H20:I20"/>
    <mergeCell ref="J20:L20"/>
    <mergeCell ref="A30:H30"/>
    <mergeCell ref="F31:G31"/>
    <mergeCell ref="H31:I31"/>
    <mergeCell ref="J31:L31"/>
    <mergeCell ref="A69:H69"/>
    <mergeCell ref="F70:G70"/>
    <mergeCell ref="H70:I70"/>
    <mergeCell ref="J70:L70"/>
    <mergeCell ref="F71:G71"/>
    <mergeCell ref="H71:I71"/>
    <mergeCell ref="J71:L71"/>
    <mergeCell ref="A65:H65"/>
    <mergeCell ref="F66:G66"/>
    <mergeCell ref="H66:I66"/>
    <mergeCell ref="J66:L66"/>
    <mergeCell ref="F67:G67"/>
    <mergeCell ref="H67:I67"/>
    <mergeCell ref="J67:L67"/>
    <mergeCell ref="A61:H61"/>
    <mergeCell ref="F62:G62"/>
    <mergeCell ref="H62:I62"/>
    <mergeCell ref="J62:L62"/>
    <mergeCell ref="F63:G63"/>
    <mergeCell ref="H63:I63"/>
    <mergeCell ref="J63:L63"/>
    <mergeCell ref="F58:G58"/>
    <mergeCell ref="H58:I58"/>
    <mergeCell ref="J58:L58"/>
    <mergeCell ref="F59:G59"/>
    <mergeCell ref="H59:I59"/>
    <mergeCell ref="J59:L59"/>
    <mergeCell ref="F94:G94"/>
    <mergeCell ref="H94:I94"/>
    <mergeCell ref="J94:L94"/>
    <mergeCell ref="F54:G54"/>
    <mergeCell ref="H54:I54"/>
    <mergeCell ref="J54:L54"/>
    <mergeCell ref="F55:G55"/>
    <mergeCell ref="H55:I55"/>
    <mergeCell ref="J55:L55"/>
    <mergeCell ref="A57:H57"/>
    <mergeCell ref="F90:G90"/>
    <mergeCell ref="H90:I90"/>
    <mergeCell ref="J90:L90"/>
    <mergeCell ref="A92:H92"/>
    <mergeCell ref="F93:G93"/>
    <mergeCell ref="H93:I93"/>
    <mergeCell ref="J93:L93"/>
    <mergeCell ref="F88:G88"/>
    <mergeCell ref="H88:I88"/>
    <mergeCell ref="J88:L88"/>
    <mergeCell ref="F89:G89"/>
    <mergeCell ref="H89:I89"/>
    <mergeCell ref="J89:L89"/>
    <mergeCell ref="F86:G86"/>
    <mergeCell ref="H86:I86"/>
    <mergeCell ref="J86:L86"/>
    <mergeCell ref="F87:G87"/>
    <mergeCell ref="H87:I87"/>
    <mergeCell ref="J87:L87"/>
    <mergeCell ref="F84:G84"/>
    <mergeCell ref="H84:I84"/>
    <mergeCell ref="J84:L84"/>
    <mergeCell ref="F85:G85"/>
    <mergeCell ref="H85:I85"/>
    <mergeCell ref="J85:L85"/>
    <mergeCell ref="F72:G72"/>
    <mergeCell ref="H72:I72"/>
    <mergeCell ref="J72:L72"/>
    <mergeCell ref="A82:H82"/>
    <mergeCell ref="F83:G83"/>
    <mergeCell ref="H83:I83"/>
    <mergeCell ref="J83:L83"/>
    <mergeCell ref="A110:H110"/>
    <mergeCell ref="F111:G111"/>
    <mergeCell ref="H111:I111"/>
    <mergeCell ref="J111:L111"/>
    <mergeCell ref="F112:G112"/>
    <mergeCell ref="H112:I112"/>
    <mergeCell ref="J112:L112"/>
    <mergeCell ref="A106:H106"/>
    <mergeCell ref="F107:G107"/>
    <mergeCell ref="H107:I107"/>
    <mergeCell ref="J107:L107"/>
    <mergeCell ref="F108:G108"/>
    <mergeCell ref="H108:I108"/>
    <mergeCell ref="J108:L108"/>
    <mergeCell ref="A102:H102"/>
    <mergeCell ref="F103:G103"/>
    <mergeCell ref="H103:I103"/>
    <mergeCell ref="J103:L103"/>
    <mergeCell ref="F104:G104"/>
    <mergeCell ref="H104:I104"/>
    <mergeCell ref="J104:L104"/>
    <mergeCell ref="F99:G99"/>
    <mergeCell ref="H99:I99"/>
    <mergeCell ref="J99:L99"/>
    <mergeCell ref="F100:G100"/>
    <mergeCell ref="H100:I100"/>
    <mergeCell ref="J100:L100"/>
    <mergeCell ref="F135:G135"/>
    <mergeCell ref="H135:I135"/>
    <mergeCell ref="J135:L135"/>
    <mergeCell ref="F95:G95"/>
    <mergeCell ref="H95:I95"/>
    <mergeCell ref="J95:L95"/>
    <mergeCell ref="F96:G96"/>
    <mergeCell ref="H96:I96"/>
    <mergeCell ref="J96:L96"/>
    <mergeCell ref="A98:H98"/>
    <mergeCell ref="A132:H132"/>
    <mergeCell ref="F133:G133"/>
    <mergeCell ref="H133:I133"/>
    <mergeCell ref="J133:L133"/>
    <mergeCell ref="F134:G134"/>
    <mergeCell ref="H134:I134"/>
    <mergeCell ref="J134:L134"/>
    <mergeCell ref="F129:G129"/>
    <mergeCell ref="H129:I129"/>
    <mergeCell ref="J129:L129"/>
    <mergeCell ref="F130:G130"/>
    <mergeCell ref="H130:I130"/>
    <mergeCell ref="J130:L130"/>
    <mergeCell ref="F127:G127"/>
    <mergeCell ref="H127:I127"/>
    <mergeCell ref="J127:L127"/>
    <mergeCell ref="F128:G128"/>
    <mergeCell ref="H128:I128"/>
    <mergeCell ref="J128:L128"/>
    <mergeCell ref="F125:G125"/>
    <mergeCell ref="H125:I125"/>
    <mergeCell ref="J125:L125"/>
    <mergeCell ref="F126:G126"/>
    <mergeCell ref="H126:I126"/>
    <mergeCell ref="J126:L126"/>
    <mergeCell ref="F113:G113"/>
    <mergeCell ref="H113:I113"/>
    <mergeCell ref="J113:L113"/>
    <mergeCell ref="A123:H123"/>
    <mergeCell ref="F124:G124"/>
    <mergeCell ref="H124:I124"/>
    <mergeCell ref="J124:L124"/>
    <mergeCell ref="A151:H151"/>
    <mergeCell ref="F152:G152"/>
    <mergeCell ref="H152:I152"/>
    <mergeCell ref="J152:L152"/>
    <mergeCell ref="F153:G153"/>
    <mergeCell ref="H153:I153"/>
    <mergeCell ref="J153:L153"/>
    <mergeCell ref="A147:H147"/>
    <mergeCell ref="F148:G148"/>
    <mergeCell ref="H148:I148"/>
    <mergeCell ref="J148:L148"/>
    <mergeCell ref="F149:G149"/>
    <mergeCell ref="H149:I149"/>
    <mergeCell ref="J149:L149"/>
    <mergeCell ref="A143:H143"/>
    <mergeCell ref="F144:G144"/>
    <mergeCell ref="H144:I144"/>
    <mergeCell ref="J144:L144"/>
    <mergeCell ref="F145:G145"/>
    <mergeCell ref="H145:I145"/>
    <mergeCell ref="J145:L145"/>
    <mergeCell ref="F140:G140"/>
    <mergeCell ref="H140:I140"/>
    <mergeCell ref="J140:L140"/>
    <mergeCell ref="F141:G141"/>
    <mergeCell ref="H141:I141"/>
    <mergeCell ref="J141:L141"/>
    <mergeCell ref="F136:G136"/>
    <mergeCell ref="H136:I136"/>
    <mergeCell ref="J136:L136"/>
    <mergeCell ref="A138:H138"/>
    <mergeCell ref="F139:G139"/>
    <mergeCell ref="H139:I139"/>
    <mergeCell ref="J139:L139"/>
    <mergeCell ref="F176:G176"/>
    <mergeCell ref="H176:I176"/>
    <mergeCell ref="J176:L176"/>
    <mergeCell ref="F177:G177"/>
    <mergeCell ref="H177:I177"/>
    <mergeCell ref="J177:L177"/>
    <mergeCell ref="F172:G172"/>
    <mergeCell ref="H172:I172"/>
    <mergeCell ref="J172:L172"/>
    <mergeCell ref="A174:H174"/>
    <mergeCell ref="F175:G175"/>
    <mergeCell ref="H175:I175"/>
    <mergeCell ref="J175:L175"/>
    <mergeCell ref="F168:G168"/>
    <mergeCell ref="H168:I168"/>
    <mergeCell ref="J168:L168"/>
    <mergeCell ref="A170:H170"/>
    <mergeCell ref="F171:G171"/>
    <mergeCell ref="H171:I171"/>
    <mergeCell ref="J171:L171"/>
    <mergeCell ref="F166:G166"/>
    <mergeCell ref="H166:I166"/>
    <mergeCell ref="J166:L166"/>
    <mergeCell ref="F167:G167"/>
    <mergeCell ref="H167:I167"/>
    <mergeCell ref="J167:L167"/>
    <mergeCell ref="F154:G154"/>
    <mergeCell ref="H154:I154"/>
    <mergeCell ref="J154:L154"/>
    <mergeCell ref="A164:H164"/>
    <mergeCell ref="F165:G165"/>
    <mergeCell ref="H165:I165"/>
    <mergeCell ref="J165:L165"/>
    <mergeCell ref="F202:G202"/>
    <mergeCell ref="H202:I202"/>
    <mergeCell ref="J202:L202"/>
    <mergeCell ref="F203:G203"/>
    <mergeCell ref="H203:I203"/>
    <mergeCell ref="J203:L203"/>
    <mergeCell ref="F190:G190"/>
    <mergeCell ref="H190:I190"/>
    <mergeCell ref="J190:L190"/>
    <mergeCell ref="A200:H200"/>
    <mergeCell ref="F201:G201"/>
    <mergeCell ref="H201:I201"/>
    <mergeCell ref="J201:L201"/>
    <mergeCell ref="A187:H187"/>
    <mergeCell ref="F188:G188"/>
    <mergeCell ref="H188:I188"/>
    <mergeCell ref="J188:L188"/>
    <mergeCell ref="F189:G189"/>
    <mergeCell ref="H189:I189"/>
    <mergeCell ref="J189:L189"/>
    <mergeCell ref="A183:H183"/>
    <mergeCell ref="F184:G184"/>
    <mergeCell ref="H184:I184"/>
    <mergeCell ref="J184:L184"/>
    <mergeCell ref="F185:G185"/>
    <mergeCell ref="H185:I185"/>
    <mergeCell ref="J185:L185"/>
    <mergeCell ref="F218:G218"/>
    <mergeCell ref="H218:I218"/>
    <mergeCell ref="J218:L218"/>
    <mergeCell ref="A179:H179"/>
    <mergeCell ref="F180:G180"/>
    <mergeCell ref="H180:I180"/>
    <mergeCell ref="J180:L180"/>
    <mergeCell ref="F181:G181"/>
    <mergeCell ref="H181:I181"/>
    <mergeCell ref="J181:L181"/>
    <mergeCell ref="F214:G214"/>
    <mergeCell ref="H214:I214"/>
    <mergeCell ref="J214:L214"/>
    <mergeCell ref="A216:H216"/>
    <mergeCell ref="F217:G217"/>
    <mergeCell ref="H217:I217"/>
    <mergeCell ref="J217:L217"/>
    <mergeCell ref="F212:G212"/>
    <mergeCell ref="H212:I212"/>
    <mergeCell ref="J212:L212"/>
    <mergeCell ref="F213:G213"/>
    <mergeCell ref="H213:I213"/>
    <mergeCell ref="J213:L213"/>
    <mergeCell ref="A209:H209"/>
    <mergeCell ref="F210:G210"/>
    <mergeCell ref="H210:I210"/>
    <mergeCell ref="J210:L210"/>
    <mergeCell ref="F211:G211"/>
    <mergeCell ref="H211:I211"/>
    <mergeCell ref="J211:L211"/>
    <mergeCell ref="F206:G206"/>
    <mergeCell ref="H206:I206"/>
    <mergeCell ref="J206:L206"/>
    <mergeCell ref="F207:G207"/>
    <mergeCell ref="H207:I207"/>
    <mergeCell ref="J207:L207"/>
    <mergeCell ref="A232:H232"/>
    <mergeCell ref="F233:G233"/>
    <mergeCell ref="H233:I233"/>
    <mergeCell ref="J233:L233"/>
    <mergeCell ref="F204:G204"/>
    <mergeCell ref="H204:I204"/>
    <mergeCell ref="J204:L204"/>
    <mergeCell ref="F205:G205"/>
    <mergeCell ref="H205:I205"/>
    <mergeCell ref="J205:L205"/>
    <mergeCell ref="A228:H228"/>
    <mergeCell ref="F229:G229"/>
    <mergeCell ref="H229:I229"/>
    <mergeCell ref="J229:L229"/>
    <mergeCell ref="F230:G230"/>
    <mergeCell ref="H230:I230"/>
    <mergeCell ref="J230:L230"/>
    <mergeCell ref="F225:G225"/>
    <mergeCell ref="H225:I225"/>
    <mergeCell ref="J225:L225"/>
    <mergeCell ref="F226:G226"/>
    <mergeCell ref="H226:I226"/>
    <mergeCell ref="J226:L226"/>
    <mergeCell ref="F223:G223"/>
    <mergeCell ref="H223:I223"/>
    <mergeCell ref="J223:L223"/>
    <mergeCell ref="F224:G224"/>
    <mergeCell ref="H224:I224"/>
    <mergeCell ref="J224:L224"/>
    <mergeCell ref="F221:G221"/>
    <mergeCell ref="H221:I221"/>
    <mergeCell ref="J221:L221"/>
    <mergeCell ref="F222:G222"/>
    <mergeCell ref="H222:I222"/>
    <mergeCell ref="J222:L222"/>
    <mergeCell ref="F219:G219"/>
    <mergeCell ref="H219:I219"/>
    <mergeCell ref="J219:L219"/>
    <mergeCell ref="F220:G220"/>
    <mergeCell ref="H220:I220"/>
    <mergeCell ref="J220:L220"/>
    <mergeCell ref="F254:G254"/>
    <mergeCell ref="H254:I254"/>
    <mergeCell ref="J254:L254"/>
    <mergeCell ref="A256:H256"/>
    <mergeCell ref="F257:G257"/>
    <mergeCell ref="H257:I257"/>
    <mergeCell ref="J257:L257"/>
    <mergeCell ref="F252:G252"/>
    <mergeCell ref="H252:I252"/>
    <mergeCell ref="J252:L252"/>
    <mergeCell ref="F253:G253"/>
    <mergeCell ref="H253:I253"/>
    <mergeCell ref="J253:L253"/>
    <mergeCell ref="A249:H249"/>
    <mergeCell ref="F250:G250"/>
    <mergeCell ref="H250:I250"/>
    <mergeCell ref="J250:L250"/>
    <mergeCell ref="F251:G251"/>
    <mergeCell ref="H251:I251"/>
    <mergeCell ref="J251:L251"/>
    <mergeCell ref="F238:G238"/>
    <mergeCell ref="H238:I238"/>
    <mergeCell ref="J238:L238"/>
    <mergeCell ref="F239:G239"/>
    <mergeCell ref="H239:I239"/>
    <mergeCell ref="J239:L239"/>
    <mergeCell ref="F234:G234"/>
    <mergeCell ref="H234:I234"/>
    <mergeCell ref="J234:L234"/>
    <mergeCell ref="A236:H236"/>
    <mergeCell ref="F237:G237"/>
    <mergeCell ref="H237:I237"/>
    <mergeCell ref="J237:L237"/>
    <mergeCell ref="F272:G272"/>
    <mergeCell ref="H272:I272"/>
    <mergeCell ref="J272:L272"/>
    <mergeCell ref="A282:H282"/>
    <mergeCell ref="F283:G283"/>
    <mergeCell ref="H283:I283"/>
    <mergeCell ref="J283:L283"/>
    <mergeCell ref="A269:H269"/>
    <mergeCell ref="F270:G270"/>
    <mergeCell ref="H270:I270"/>
    <mergeCell ref="J270:L270"/>
    <mergeCell ref="F271:G271"/>
    <mergeCell ref="H271:I271"/>
    <mergeCell ref="J271:L271"/>
    <mergeCell ref="A265:H265"/>
    <mergeCell ref="F266:G266"/>
    <mergeCell ref="H266:I266"/>
    <mergeCell ref="J266:L266"/>
    <mergeCell ref="F267:G267"/>
    <mergeCell ref="H267:I267"/>
    <mergeCell ref="J267:L267"/>
    <mergeCell ref="A261:H261"/>
    <mergeCell ref="F262:G262"/>
    <mergeCell ref="H262:I262"/>
    <mergeCell ref="J262:L262"/>
    <mergeCell ref="F263:G263"/>
    <mergeCell ref="H263:I263"/>
    <mergeCell ref="J263:L263"/>
    <mergeCell ref="F258:G258"/>
    <mergeCell ref="H258:I258"/>
    <mergeCell ref="J258:L258"/>
    <mergeCell ref="F259:G259"/>
    <mergeCell ref="H259:I259"/>
    <mergeCell ref="J259:L259"/>
    <mergeCell ref="F296:G296"/>
    <mergeCell ref="H296:I296"/>
    <mergeCell ref="J296:L296"/>
    <mergeCell ref="A298:H298"/>
    <mergeCell ref="F299:G299"/>
    <mergeCell ref="H299:I299"/>
    <mergeCell ref="J299:L299"/>
    <mergeCell ref="F292:G292"/>
    <mergeCell ref="H292:I292"/>
    <mergeCell ref="J292:L292"/>
    <mergeCell ref="A294:H294"/>
    <mergeCell ref="F295:G295"/>
    <mergeCell ref="H295:I295"/>
    <mergeCell ref="J295:L295"/>
    <mergeCell ref="A289:H289"/>
    <mergeCell ref="F290:G290"/>
    <mergeCell ref="H290:I290"/>
    <mergeCell ref="J290:L290"/>
    <mergeCell ref="F291:G291"/>
    <mergeCell ref="H291:I291"/>
    <mergeCell ref="J291:L291"/>
    <mergeCell ref="F286:G286"/>
    <mergeCell ref="H286:I286"/>
    <mergeCell ref="J286:L286"/>
    <mergeCell ref="F287:G287"/>
    <mergeCell ref="H287:I287"/>
    <mergeCell ref="J287:L287"/>
    <mergeCell ref="F284:G284"/>
    <mergeCell ref="H284:I284"/>
    <mergeCell ref="J284:L284"/>
    <mergeCell ref="F285:G285"/>
    <mergeCell ref="H285:I285"/>
    <mergeCell ref="J285:L285"/>
    <mergeCell ref="F320:G320"/>
    <mergeCell ref="H320:I320"/>
    <mergeCell ref="J320:L320"/>
    <mergeCell ref="A322:H322"/>
    <mergeCell ref="F323:G323"/>
    <mergeCell ref="H323:I323"/>
    <mergeCell ref="J323:L323"/>
    <mergeCell ref="F318:G318"/>
    <mergeCell ref="H318:I318"/>
    <mergeCell ref="J318:L318"/>
    <mergeCell ref="F319:G319"/>
    <mergeCell ref="H319:I319"/>
    <mergeCell ref="J319:L319"/>
    <mergeCell ref="A315:H315"/>
    <mergeCell ref="F316:G316"/>
    <mergeCell ref="H316:I316"/>
    <mergeCell ref="J316:L316"/>
    <mergeCell ref="F317:G317"/>
    <mergeCell ref="H317:I317"/>
    <mergeCell ref="J317:L317"/>
    <mergeCell ref="F304:G304"/>
    <mergeCell ref="H304:I304"/>
    <mergeCell ref="J304:L304"/>
    <mergeCell ref="F305:G305"/>
    <mergeCell ref="H305:I305"/>
    <mergeCell ref="J305:L305"/>
    <mergeCell ref="F300:G300"/>
    <mergeCell ref="H300:I300"/>
    <mergeCell ref="J300:L300"/>
    <mergeCell ref="A302:H302"/>
    <mergeCell ref="F303:G303"/>
    <mergeCell ref="H303:I303"/>
    <mergeCell ref="J303:L303"/>
    <mergeCell ref="F338:G338"/>
    <mergeCell ref="H338:I338"/>
    <mergeCell ref="J338:L338"/>
    <mergeCell ref="A348:H348"/>
    <mergeCell ref="F349:G349"/>
    <mergeCell ref="H349:I349"/>
    <mergeCell ref="J349:L349"/>
    <mergeCell ref="A335:H335"/>
    <mergeCell ref="F336:G336"/>
    <mergeCell ref="H336:I336"/>
    <mergeCell ref="J336:L336"/>
    <mergeCell ref="F337:G337"/>
    <mergeCell ref="H337:I337"/>
    <mergeCell ref="J337:L337"/>
    <mergeCell ref="A331:H331"/>
    <mergeCell ref="F332:G332"/>
    <mergeCell ref="H332:I332"/>
    <mergeCell ref="J332:L332"/>
    <mergeCell ref="F333:G333"/>
    <mergeCell ref="H333:I333"/>
    <mergeCell ref="J333:L333"/>
    <mergeCell ref="F328:G328"/>
    <mergeCell ref="H328:I328"/>
    <mergeCell ref="J328:L328"/>
    <mergeCell ref="F329:G329"/>
    <mergeCell ref="H329:I329"/>
    <mergeCell ref="J329:L329"/>
    <mergeCell ref="F364:G364"/>
    <mergeCell ref="H364:I364"/>
    <mergeCell ref="J364:L364"/>
    <mergeCell ref="F324:G324"/>
    <mergeCell ref="H324:I324"/>
    <mergeCell ref="J324:L324"/>
    <mergeCell ref="F325:G325"/>
    <mergeCell ref="H325:I325"/>
    <mergeCell ref="J325:L325"/>
    <mergeCell ref="A327:H327"/>
    <mergeCell ref="F362:G362"/>
    <mergeCell ref="H362:I362"/>
    <mergeCell ref="J362:L362"/>
    <mergeCell ref="F363:G363"/>
    <mergeCell ref="H363:I363"/>
    <mergeCell ref="J363:L363"/>
    <mergeCell ref="F358:G358"/>
    <mergeCell ref="H358:I358"/>
    <mergeCell ref="J358:L358"/>
    <mergeCell ref="A360:H360"/>
    <mergeCell ref="F361:G361"/>
    <mergeCell ref="H361:I361"/>
    <mergeCell ref="J361:L361"/>
    <mergeCell ref="A355:H355"/>
    <mergeCell ref="F356:G356"/>
    <mergeCell ref="H356:I356"/>
    <mergeCell ref="J356:L356"/>
    <mergeCell ref="F357:G357"/>
    <mergeCell ref="H357:I357"/>
    <mergeCell ref="J357:L357"/>
    <mergeCell ref="F352:G352"/>
    <mergeCell ref="H352:I352"/>
    <mergeCell ref="J352:L352"/>
    <mergeCell ref="F353:G353"/>
    <mergeCell ref="H353:I353"/>
    <mergeCell ref="J353:L353"/>
    <mergeCell ref="F350:G350"/>
    <mergeCell ref="H350:I350"/>
    <mergeCell ref="J350:L350"/>
    <mergeCell ref="F351:G351"/>
    <mergeCell ref="H351:I351"/>
    <mergeCell ref="J351:L351"/>
    <mergeCell ref="F389:G389"/>
    <mergeCell ref="H389:I389"/>
    <mergeCell ref="J389:L389"/>
    <mergeCell ref="F390:G390"/>
    <mergeCell ref="H390:I390"/>
    <mergeCell ref="J390:L390"/>
    <mergeCell ref="F377:G377"/>
    <mergeCell ref="H377:I377"/>
    <mergeCell ref="J377:L377"/>
    <mergeCell ref="A387:H387"/>
    <mergeCell ref="F388:G388"/>
    <mergeCell ref="H388:I388"/>
    <mergeCell ref="J388:L388"/>
    <mergeCell ref="A374:H374"/>
    <mergeCell ref="F375:G375"/>
    <mergeCell ref="H375:I375"/>
    <mergeCell ref="J375:L375"/>
    <mergeCell ref="F376:G376"/>
    <mergeCell ref="H376:I376"/>
    <mergeCell ref="J376:L376"/>
    <mergeCell ref="J368:L368"/>
    <mergeCell ref="A370:H370"/>
    <mergeCell ref="F371:G371"/>
    <mergeCell ref="H371:I371"/>
    <mergeCell ref="J371:L371"/>
    <mergeCell ref="F372:G372"/>
    <mergeCell ref="H372:I372"/>
    <mergeCell ref="J372:L372"/>
    <mergeCell ref="A407:H407"/>
    <mergeCell ref="F408:G408"/>
    <mergeCell ref="H408:I408"/>
    <mergeCell ref="J408:L408"/>
    <mergeCell ref="A366:H366"/>
    <mergeCell ref="F367:G367"/>
    <mergeCell ref="H367:I367"/>
    <mergeCell ref="J367:L367"/>
    <mergeCell ref="F368:G368"/>
    <mergeCell ref="H368:I368"/>
    <mergeCell ref="A403:H403"/>
    <mergeCell ref="F404:G404"/>
    <mergeCell ref="H404:I404"/>
    <mergeCell ref="J404:L404"/>
    <mergeCell ref="F405:G405"/>
    <mergeCell ref="H405:I405"/>
    <mergeCell ref="J405:L405"/>
    <mergeCell ref="A399:H399"/>
    <mergeCell ref="F400:G400"/>
    <mergeCell ref="H400:I400"/>
    <mergeCell ref="J400:L400"/>
    <mergeCell ref="F401:G401"/>
    <mergeCell ref="H401:I401"/>
    <mergeCell ref="J401:L401"/>
    <mergeCell ref="J395:L395"/>
    <mergeCell ref="F396:G396"/>
    <mergeCell ref="H396:I396"/>
    <mergeCell ref="J396:L396"/>
    <mergeCell ref="F397:G397"/>
    <mergeCell ref="H397:I397"/>
    <mergeCell ref="J397:L397"/>
    <mergeCell ref="A432:H432"/>
    <mergeCell ref="F391:G391"/>
    <mergeCell ref="H391:I391"/>
    <mergeCell ref="J391:L391"/>
    <mergeCell ref="F392:G392"/>
    <mergeCell ref="H392:I392"/>
    <mergeCell ref="J392:L392"/>
    <mergeCell ref="A394:H394"/>
    <mergeCell ref="F395:G395"/>
    <mergeCell ref="H395:I395"/>
    <mergeCell ref="F429:G429"/>
    <mergeCell ref="H429:I429"/>
    <mergeCell ref="J429:L429"/>
    <mergeCell ref="F430:G430"/>
    <mergeCell ref="H430:I430"/>
    <mergeCell ref="J430:L430"/>
    <mergeCell ref="F425:G425"/>
    <mergeCell ref="H425:I425"/>
    <mergeCell ref="J425:L425"/>
    <mergeCell ref="A427:H427"/>
    <mergeCell ref="F428:G428"/>
    <mergeCell ref="H428:I428"/>
    <mergeCell ref="J428:L428"/>
    <mergeCell ref="F423:G423"/>
    <mergeCell ref="H423:I423"/>
    <mergeCell ref="J423:L423"/>
    <mergeCell ref="F424:G424"/>
    <mergeCell ref="H424:I424"/>
    <mergeCell ref="J424:L424"/>
    <mergeCell ref="A420:H420"/>
    <mergeCell ref="F421:G421"/>
    <mergeCell ref="H421:I421"/>
    <mergeCell ref="J421:L421"/>
    <mergeCell ref="F422:G422"/>
    <mergeCell ref="H422:I422"/>
    <mergeCell ref="J422:L422"/>
    <mergeCell ref="F409:G409"/>
    <mergeCell ref="H409:I409"/>
    <mergeCell ref="J409:L409"/>
    <mergeCell ref="F410:G410"/>
    <mergeCell ref="H410:I410"/>
    <mergeCell ref="J410:L410"/>
    <mergeCell ref="A446:H446"/>
    <mergeCell ref="F447:G447"/>
    <mergeCell ref="H447:I447"/>
    <mergeCell ref="J447:L447"/>
    <mergeCell ref="F448:G448"/>
    <mergeCell ref="H448:I448"/>
    <mergeCell ref="J448:L448"/>
    <mergeCell ref="A442:H442"/>
    <mergeCell ref="F443:G443"/>
    <mergeCell ref="H443:I443"/>
    <mergeCell ref="J443:L443"/>
    <mergeCell ref="F444:G444"/>
    <mergeCell ref="H444:I444"/>
    <mergeCell ref="J444:L444"/>
    <mergeCell ref="A438:H438"/>
    <mergeCell ref="F439:G439"/>
    <mergeCell ref="H439:I439"/>
    <mergeCell ref="J439:L439"/>
    <mergeCell ref="F440:G440"/>
    <mergeCell ref="H440:I440"/>
    <mergeCell ref="J440:L440"/>
    <mergeCell ref="F435:G435"/>
    <mergeCell ref="H435:I435"/>
    <mergeCell ref="J435:L435"/>
    <mergeCell ref="F436:G436"/>
    <mergeCell ref="H436:I436"/>
    <mergeCell ref="J436:L436"/>
    <mergeCell ref="F433:G433"/>
    <mergeCell ref="H433:I433"/>
    <mergeCell ref="J433:L433"/>
    <mergeCell ref="F434:G434"/>
    <mergeCell ref="H434:I434"/>
    <mergeCell ref="J434:L434"/>
    <mergeCell ref="F469:G469"/>
    <mergeCell ref="H469:I469"/>
    <mergeCell ref="J469:L469"/>
    <mergeCell ref="A471:H471"/>
    <mergeCell ref="F472:G472"/>
    <mergeCell ref="H472:I472"/>
    <mergeCell ref="J472:L472"/>
    <mergeCell ref="A466:H466"/>
    <mergeCell ref="F467:G467"/>
    <mergeCell ref="H467:I467"/>
    <mergeCell ref="J467:L467"/>
    <mergeCell ref="F468:G468"/>
    <mergeCell ref="H468:I468"/>
    <mergeCell ref="J468:L468"/>
    <mergeCell ref="F463:G463"/>
    <mergeCell ref="H463:I463"/>
    <mergeCell ref="J463:L463"/>
    <mergeCell ref="F464:G464"/>
    <mergeCell ref="H464:I464"/>
    <mergeCell ref="J464:L464"/>
    <mergeCell ref="F461:G461"/>
    <mergeCell ref="H461:I461"/>
    <mergeCell ref="J461:L461"/>
    <mergeCell ref="F462:G462"/>
    <mergeCell ref="H462:I462"/>
    <mergeCell ref="J462:L462"/>
    <mergeCell ref="F449:G449"/>
    <mergeCell ref="H449:I449"/>
    <mergeCell ref="J449:L449"/>
    <mergeCell ref="A459:H459"/>
    <mergeCell ref="F460:G460"/>
    <mergeCell ref="H460:I460"/>
    <mergeCell ref="J460:L460"/>
    <mergeCell ref="F495:G495"/>
    <mergeCell ref="H495:I495"/>
    <mergeCell ref="J495:L495"/>
    <mergeCell ref="F496:G496"/>
    <mergeCell ref="H496:I496"/>
    <mergeCell ref="J496:L496"/>
    <mergeCell ref="A492:H492"/>
    <mergeCell ref="F493:G493"/>
    <mergeCell ref="H493:I493"/>
    <mergeCell ref="J493:L493"/>
    <mergeCell ref="F494:G494"/>
    <mergeCell ref="H494:I494"/>
    <mergeCell ref="J494:L494"/>
    <mergeCell ref="F481:G481"/>
    <mergeCell ref="H481:I481"/>
    <mergeCell ref="J481:L481"/>
    <mergeCell ref="F482:G482"/>
    <mergeCell ref="H482:I482"/>
    <mergeCell ref="J482:L482"/>
    <mergeCell ref="F477:G477"/>
    <mergeCell ref="H477:I477"/>
    <mergeCell ref="J477:L477"/>
    <mergeCell ref="A479:H479"/>
    <mergeCell ref="F480:G480"/>
    <mergeCell ref="H480:I480"/>
    <mergeCell ref="J480:L480"/>
    <mergeCell ref="F473:G473"/>
    <mergeCell ref="H473:I473"/>
    <mergeCell ref="J473:L473"/>
    <mergeCell ref="A475:H475"/>
    <mergeCell ref="F476:G476"/>
    <mergeCell ref="H476:I476"/>
    <mergeCell ref="J476:L476"/>
    <mergeCell ref="A512:H512"/>
    <mergeCell ref="F513:G513"/>
    <mergeCell ref="H513:I513"/>
    <mergeCell ref="J513:L513"/>
    <mergeCell ref="F514:G514"/>
    <mergeCell ref="H514:I514"/>
    <mergeCell ref="J514:L514"/>
    <mergeCell ref="A508:H508"/>
    <mergeCell ref="F509:G509"/>
    <mergeCell ref="H509:I509"/>
    <mergeCell ref="J509:L509"/>
    <mergeCell ref="F510:G510"/>
    <mergeCell ref="H510:I510"/>
    <mergeCell ref="J510:L510"/>
    <mergeCell ref="A504:H504"/>
    <mergeCell ref="F505:G505"/>
    <mergeCell ref="H505:I505"/>
    <mergeCell ref="J505:L505"/>
    <mergeCell ref="F506:G506"/>
    <mergeCell ref="H506:I506"/>
    <mergeCell ref="J506:L506"/>
    <mergeCell ref="F501:G501"/>
    <mergeCell ref="H501:I501"/>
    <mergeCell ref="J501:L501"/>
    <mergeCell ref="F502:G502"/>
    <mergeCell ref="H502:I502"/>
    <mergeCell ref="J502:L502"/>
    <mergeCell ref="F497:G497"/>
    <mergeCell ref="H497:I497"/>
    <mergeCell ref="J497:L497"/>
    <mergeCell ref="A499:H499"/>
    <mergeCell ref="F500:G500"/>
    <mergeCell ref="H500:I500"/>
    <mergeCell ref="J500:L500"/>
    <mergeCell ref="F535:G535"/>
    <mergeCell ref="H535:I535"/>
    <mergeCell ref="J535:L535"/>
    <mergeCell ref="A537:H537"/>
    <mergeCell ref="F538:G538"/>
    <mergeCell ref="H538:I538"/>
    <mergeCell ref="J538:L538"/>
    <mergeCell ref="A532:H532"/>
    <mergeCell ref="F533:G533"/>
    <mergeCell ref="H533:I533"/>
    <mergeCell ref="J533:L533"/>
    <mergeCell ref="F534:G534"/>
    <mergeCell ref="H534:I534"/>
    <mergeCell ref="J534:L534"/>
    <mergeCell ref="F529:G529"/>
    <mergeCell ref="H529:I529"/>
    <mergeCell ref="J529:L529"/>
    <mergeCell ref="F530:G530"/>
    <mergeCell ref="H530:I530"/>
    <mergeCell ref="J530:L530"/>
    <mergeCell ref="F527:G527"/>
    <mergeCell ref="H527:I527"/>
    <mergeCell ref="J527:L527"/>
    <mergeCell ref="F528:G528"/>
    <mergeCell ref="H528:I528"/>
    <mergeCell ref="J528:L528"/>
    <mergeCell ref="F515:G515"/>
    <mergeCell ref="H515:I515"/>
    <mergeCell ref="J515:L515"/>
    <mergeCell ref="A525:H525"/>
    <mergeCell ref="F526:G526"/>
    <mergeCell ref="H526:I526"/>
    <mergeCell ref="J526:L526"/>
    <mergeCell ref="A562:H562"/>
    <mergeCell ref="F563:G563"/>
    <mergeCell ref="H563:I563"/>
    <mergeCell ref="J563:L563"/>
    <mergeCell ref="F564:G564"/>
    <mergeCell ref="H564:I564"/>
    <mergeCell ref="J564:L564"/>
    <mergeCell ref="F551:G551"/>
    <mergeCell ref="H551:I551"/>
    <mergeCell ref="J551:L551"/>
    <mergeCell ref="F552:G552"/>
    <mergeCell ref="H552:I552"/>
    <mergeCell ref="J552:L552"/>
    <mergeCell ref="F547:G547"/>
    <mergeCell ref="H547:I547"/>
    <mergeCell ref="J547:L547"/>
    <mergeCell ref="A549:H549"/>
    <mergeCell ref="F550:G550"/>
    <mergeCell ref="H550:I550"/>
    <mergeCell ref="J550:L550"/>
    <mergeCell ref="F543:G543"/>
    <mergeCell ref="H543:I543"/>
    <mergeCell ref="J543:L543"/>
    <mergeCell ref="A545:H545"/>
    <mergeCell ref="F546:G546"/>
    <mergeCell ref="H546:I546"/>
    <mergeCell ref="J546:L546"/>
    <mergeCell ref="F539:G539"/>
    <mergeCell ref="H539:I539"/>
    <mergeCell ref="J539:L539"/>
    <mergeCell ref="A541:H541"/>
    <mergeCell ref="F542:G542"/>
    <mergeCell ref="H542:I542"/>
    <mergeCell ref="J542:L542"/>
    <mergeCell ref="A578:H578"/>
    <mergeCell ref="F579:G579"/>
    <mergeCell ref="H579:I579"/>
    <mergeCell ref="J579:L579"/>
    <mergeCell ref="F580:G580"/>
    <mergeCell ref="H580:I580"/>
    <mergeCell ref="J580:L580"/>
    <mergeCell ref="A574:H574"/>
    <mergeCell ref="F575:G575"/>
    <mergeCell ref="H575:I575"/>
    <mergeCell ref="J575:L575"/>
    <mergeCell ref="F576:G576"/>
    <mergeCell ref="H576:I576"/>
    <mergeCell ref="J576:L576"/>
    <mergeCell ref="F571:G571"/>
    <mergeCell ref="H571:I571"/>
    <mergeCell ref="J571:L571"/>
    <mergeCell ref="F572:G572"/>
    <mergeCell ref="H572:I572"/>
    <mergeCell ref="J572:L572"/>
    <mergeCell ref="F567:G567"/>
    <mergeCell ref="H567:I567"/>
    <mergeCell ref="J567:L567"/>
    <mergeCell ref="A569:H569"/>
    <mergeCell ref="F570:G570"/>
    <mergeCell ref="H570:I570"/>
    <mergeCell ref="J570:L570"/>
    <mergeCell ref="F565:G565"/>
    <mergeCell ref="H565:I565"/>
    <mergeCell ref="J565:L565"/>
    <mergeCell ref="F566:G566"/>
    <mergeCell ref="H566:I566"/>
    <mergeCell ref="J566:L566"/>
    <mergeCell ref="A602:H602"/>
    <mergeCell ref="F603:G603"/>
    <mergeCell ref="H603:I603"/>
    <mergeCell ref="J603:L603"/>
    <mergeCell ref="F604:G604"/>
    <mergeCell ref="H604:I604"/>
    <mergeCell ref="J604:L604"/>
    <mergeCell ref="F599:G599"/>
    <mergeCell ref="H599:I599"/>
    <mergeCell ref="J599:L599"/>
    <mergeCell ref="F600:G600"/>
    <mergeCell ref="H600:I600"/>
    <mergeCell ref="J600:L600"/>
    <mergeCell ref="F597:G597"/>
    <mergeCell ref="H597:I597"/>
    <mergeCell ref="J597:L597"/>
    <mergeCell ref="F598:G598"/>
    <mergeCell ref="H598:I598"/>
    <mergeCell ref="J598:L598"/>
    <mergeCell ref="F585:G585"/>
    <mergeCell ref="H585:I585"/>
    <mergeCell ref="J585:L585"/>
    <mergeCell ref="A595:H595"/>
    <mergeCell ref="F596:G596"/>
    <mergeCell ref="H596:I596"/>
    <mergeCell ref="J596:L596"/>
    <mergeCell ref="A582:H582"/>
    <mergeCell ref="F583:G583"/>
    <mergeCell ref="H583:I583"/>
    <mergeCell ref="J583:L583"/>
    <mergeCell ref="F584:G584"/>
    <mergeCell ref="H584:I584"/>
    <mergeCell ref="J584:L584"/>
    <mergeCell ref="A628:H628"/>
    <mergeCell ref="F629:G629"/>
    <mergeCell ref="H629:I629"/>
    <mergeCell ref="J629:L629"/>
    <mergeCell ref="F630:G630"/>
    <mergeCell ref="H630:I630"/>
    <mergeCell ref="J630:L630"/>
    <mergeCell ref="F617:G617"/>
    <mergeCell ref="H617:I617"/>
    <mergeCell ref="J617:L617"/>
    <mergeCell ref="F618:G618"/>
    <mergeCell ref="H618:I618"/>
    <mergeCell ref="J618:L618"/>
    <mergeCell ref="F613:G613"/>
    <mergeCell ref="H613:I613"/>
    <mergeCell ref="J613:L613"/>
    <mergeCell ref="A615:H615"/>
    <mergeCell ref="F616:G616"/>
    <mergeCell ref="H616:I616"/>
    <mergeCell ref="J616:L616"/>
    <mergeCell ref="F609:G609"/>
    <mergeCell ref="H609:I609"/>
    <mergeCell ref="J609:L609"/>
    <mergeCell ref="A611:H611"/>
    <mergeCell ref="F612:G612"/>
    <mergeCell ref="H612:I612"/>
    <mergeCell ref="J612:L612"/>
    <mergeCell ref="F605:G605"/>
    <mergeCell ref="H605:I605"/>
    <mergeCell ref="J605:L605"/>
    <mergeCell ref="A607:H607"/>
    <mergeCell ref="F608:G608"/>
    <mergeCell ref="H608:I608"/>
    <mergeCell ref="J608:L608"/>
    <mergeCell ref="A646:H646"/>
    <mergeCell ref="F647:G647"/>
    <mergeCell ref="H647:I647"/>
    <mergeCell ref="J647:L647"/>
    <mergeCell ref="F648:G648"/>
    <mergeCell ref="H648:I648"/>
    <mergeCell ref="J648:L648"/>
    <mergeCell ref="A642:H642"/>
    <mergeCell ref="F643:G643"/>
    <mergeCell ref="H643:I643"/>
    <mergeCell ref="J643:L643"/>
    <mergeCell ref="F644:G644"/>
    <mergeCell ref="H644:I644"/>
    <mergeCell ref="J644:L644"/>
    <mergeCell ref="A638:H638"/>
    <mergeCell ref="F639:G639"/>
    <mergeCell ref="H639:I639"/>
    <mergeCell ref="J639:L639"/>
    <mergeCell ref="F640:G640"/>
    <mergeCell ref="H640:I640"/>
    <mergeCell ref="J640:L640"/>
    <mergeCell ref="F635:G635"/>
    <mergeCell ref="H635:I635"/>
    <mergeCell ref="J635:L635"/>
    <mergeCell ref="F636:G636"/>
    <mergeCell ref="H636:I636"/>
    <mergeCell ref="J636:L636"/>
    <mergeCell ref="F671:G671"/>
    <mergeCell ref="H671:I671"/>
    <mergeCell ref="J671:L671"/>
    <mergeCell ref="F631:G631"/>
    <mergeCell ref="H631:I631"/>
    <mergeCell ref="J631:L631"/>
    <mergeCell ref="F632:G632"/>
    <mergeCell ref="H632:I632"/>
    <mergeCell ref="J632:L632"/>
    <mergeCell ref="A634:H634"/>
    <mergeCell ref="F669:G669"/>
    <mergeCell ref="H669:I669"/>
    <mergeCell ref="J669:L669"/>
    <mergeCell ref="F670:G670"/>
    <mergeCell ref="H670:I670"/>
    <mergeCell ref="J670:L670"/>
    <mergeCell ref="F667:G667"/>
    <mergeCell ref="H667:I667"/>
    <mergeCell ref="J667:L667"/>
    <mergeCell ref="F668:G668"/>
    <mergeCell ref="H668:I668"/>
    <mergeCell ref="J668:L668"/>
    <mergeCell ref="F665:G665"/>
    <mergeCell ref="H665:I665"/>
    <mergeCell ref="J665:L665"/>
    <mergeCell ref="F666:G666"/>
    <mergeCell ref="H666:I666"/>
    <mergeCell ref="J666:L666"/>
    <mergeCell ref="J652:L652"/>
    <mergeCell ref="F653:G653"/>
    <mergeCell ref="H653:I653"/>
    <mergeCell ref="J653:L653"/>
    <mergeCell ref="A663:H663"/>
    <mergeCell ref="F664:G664"/>
    <mergeCell ref="H664:I664"/>
    <mergeCell ref="J664:L664"/>
    <mergeCell ref="A688:H688"/>
    <mergeCell ref="F689:G689"/>
    <mergeCell ref="H689:I689"/>
    <mergeCell ref="J689:L689"/>
    <mergeCell ref="A650:H650"/>
    <mergeCell ref="F651:G651"/>
    <mergeCell ref="H651:I651"/>
    <mergeCell ref="J651:L651"/>
    <mergeCell ref="F652:G652"/>
    <mergeCell ref="H652:I652"/>
    <mergeCell ref="A684:H684"/>
    <mergeCell ref="F685:G685"/>
    <mergeCell ref="H685:I685"/>
    <mergeCell ref="J685:L685"/>
    <mergeCell ref="F686:G686"/>
    <mergeCell ref="H686:I686"/>
    <mergeCell ref="J686:L686"/>
    <mergeCell ref="A680:H680"/>
    <mergeCell ref="F681:G681"/>
    <mergeCell ref="H681:I681"/>
    <mergeCell ref="J681:L681"/>
    <mergeCell ref="F682:G682"/>
    <mergeCell ref="H682:I682"/>
    <mergeCell ref="J682:L682"/>
    <mergeCell ref="J676:L676"/>
    <mergeCell ref="F677:G677"/>
    <mergeCell ref="H677:I677"/>
    <mergeCell ref="J677:L677"/>
    <mergeCell ref="F678:G678"/>
    <mergeCell ref="H678:I678"/>
    <mergeCell ref="J678:L678"/>
    <mergeCell ref="A713:H713"/>
    <mergeCell ref="F672:G672"/>
    <mergeCell ref="H672:I672"/>
    <mergeCell ref="J672:L672"/>
    <mergeCell ref="A674:H674"/>
    <mergeCell ref="F675:G675"/>
    <mergeCell ref="H675:I675"/>
    <mergeCell ref="J675:L675"/>
    <mergeCell ref="F676:G676"/>
    <mergeCell ref="H676:I676"/>
    <mergeCell ref="F710:G710"/>
    <mergeCell ref="H710:I710"/>
    <mergeCell ref="J710:L710"/>
    <mergeCell ref="F711:G711"/>
    <mergeCell ref="H711:I711"/>
    <mergeCell ref="J711:L711"/>
    <mergeCell ref="F708:G708"/>
    <mergeCell ref="H708:I708"/>
    <mergeCell ref="J708:L708"/>
    <mergeCell ref="F709:G709"/>
    <mergeCell ref="H709:I709"/>
    <mergeCell ref="J709:L709"/>
    <mergeCell ref="A705:H705"/>
    <mergeCell ref="F706:G706"/>
    <mergeCell ref="H706:I706"/>
    <mergeCell ref="J706:L706"/>
    <mergeCell ref="F707:G707"/>
    <mergeCell ref="H707:I707"/>
    <mergeCell ref="J707:L707"/>
    <mergeCell ref="F694:G694"/>
    <mergeCell ref="H694:I694"/>
    <mergeCell ref="J694:L694"/>
    <mergeCell ref="F695:G695"/>
    <mergeCell ref="H695:I695"/>
    <mergeCell ref="J695:L695"/>
    <mergeCell ref="F690:G690"/>
    <mergeCell ref="H690:I690"/>
    <mergeCell ref="J690:L690"/>
    <mergeCell ref="A692:H692"/>
    <mergeCell ref="F693:G693"/>
    <mergeCell ref="H693:I693"/>
    <mergeCell ref="J693:L693"/>
    <mergeCell ref="F728:G728"/>
    <mergeCell ref="H728:I728"/>
    <mergeCell ref="J728:L728"/>
    <mergeCell ref="A730:H730"/>
    <mergeCell ref="F731:G731"/>
    <mergeCell ref="H731:I731"/>
    <mergeCell ref="J731:L731"/>
    <mergeCell ref="F724:G724"/>
    <mergeCell ref="H724:I724"/>
    <mergeCell ref="J724:L724"/>
    <mergeCell ref="A726:H726"/>
    <mergeCell ref="F727:G727"/>
    <mergeCell ref="H727:I727"/>
    <mergeCell ref="J727:L727"/>
    <mergeCell ref="F720:G720"/>
    <mergeCell ref="H720:I720"/>
    <mergeCell ref="J720:L720"/>
    <mergeCell ref="A722:H722"/>
    <mergeCell ref="F723:G723"/>
    <mergeCell ref="H723:I723"/>
    <mergeCell ref="J723:L723"/>
    <mergeCell ref="F716:G716"/>
    <mergeCell ref="H716:I716"/>
    <mergeCell ref="J716:L716"/>
    <mergeCell ref="A718:H718"/>
    <mergeCell ref="F719:G719"/>
    <mergeCell ref="H719:I719"/>
    <mergeCell ref="J719:L719"/>
    <mergeCell ref="F714:G714"/>
    <mergeCell ref="H714:I714"/>
    <mergeCell ref="J714:L714"/>
    <mergeCell ref="F715:G715"/>
    <mergeCell ref="H715:I715"/>
    <mergeCell ref="J715:L715"/>
    <mergeCell ref="J785:L785"/>
    <mergeCell ref="F782:G782"/>
    <mergeCell ref="A753:H753"/>
    <mergeCell ref="F754:G754"/>
    <mergeCell ref="H754:I754"/>
    <mergeCell ref="J754:L754"/>
    <mergeCell ref="F755:G755"/>
    <mergeCell ref="H755:I755"/>
    <mergeCell ref="J755:L755"/>
    <mergeCell ref="A749:H749"/>
    <mergeCell ref="F750:G750"/>
    <mergeCell ref="H750:I750"/>
    <mergeCell ref="J750:L750"/>
    <mergeCell ref="F751:G751"/>
    <mergeCell ref="H751:I751"/>
    <mergeCell ref="J751:L751"/>
    <mergeCell ref="F746:G746"/>
    <mergeCell ref="H746:I746"/>
    <mergeCell ref="J746:L746"/>
    <mergeCell ref="F747:G747"/>
    <mergeCell ref="H747:I747"/>
    <mergeCell ref="J747:L747"/>
    <mergeCell ref="A743:H743"/>
    <mergeCell ref="F744:G744"/>
    <mergeCell ref="H744:I744"/>
    <mergeCell ref="J744:L744"/>
    <mergeCell ref="F745:G745"/>
    <mergeCell ref="H745:I745"/>
    <mergeCell ref="J745:L745"/>
    <mergeCell ref="F732:G732"/>
    <mergeCell ref="H732:I732"/>
    <mergeCell ref="J732:L732"/>
    <mergeCell ref="F733:G733"/>
    <mergeCell ref="H733:I733"/>
    <mergeCell ref="J733:L733"/>
    <mergeCell ref="J811:L811"/>
    <mergeCell ref="F812:G812"/>
    <mergeCell ref="A779:H779"/>
    <mergeCell ref="F780:G780"/>
    <mergeCell ref="H780:I780"/>
    <mergeCell ref="J780:L780"/>
    <mergeCell ref="F781:G781"/>
    <mergeCell ref="H781:I781"/>
    <mergeCell ref="J781:L781"/>
    <mergeCell ref="F768:G768"/>
    <mergeCell ref="H768:I768"/>
    <mergeCell ref="J768:L768"/>
    <mergeCell ref="F769:G769"/>
    <mergeCell ref="H769:I769"/>
    <mergeCell ref="J769:L769"/>
    <mergeCell ref="F764:G764"/>
    <mergeCell ref="H764:I764"/>
    <mergeCell ref="J764:L764"/>
    <mergeCell ref="A766:H766"/>
    <mergeCell ref="F767:G767"/>
    <mergeCell ref="H767:I767"/>
    <mergeCell ref="J767:L767"/>
    <mergeCell ref="F760:G760"/>
    <mergeCell ref="H760:I760"/>
    <mergeCell ref="J760:L760"/>
    <mergeCell ref="A762:H762"/>
    <mergeCell ref="F763:G763"/>
    <mergeCell ref="H763:I763"/>
    <mergeCell ref="J763:L763"/>
    <mergeCell ref="F796:G796"/>
    <mergeCell ref="H796:I796"/>
    <mergeCell ref="J796:L796"/>
    <mergeCell ref="F756:G756"/>
    <mergeCell ref="H756:I756"/>
    <mergeCell ref="J756:L756"/>
    <mergeCell ref="A758:H758"/>
    <mergeCell ref="F759:G759"/>
    <mergeCell ref="H759:I759"/>
    <mergeCell ref="J759:L759"/>
    <mergeCell ref="F792:G792"/>
    <mergeCell ref="H792:I792"/>
    <mergeCell ref="J792:L792"/>
    <mergeCell ref="A794:H794"/>
    <mergeCell ref="F795:G795"/>
    <mergeCell ref="H795:I795"/>
    <mergeCell ref="J795:L795"/>
    <mergeCell ref="F790:G790"/>
    <mergeCell ref="H790:I790"/>
    <mergeCell ref="J790:L790"/>
    <mergeCell ref="F791:G791"/>
    <mergeCell ref="H791:I791"/>
    <mergeCell ref="J791:L791"/>
    <mergeCell ref="F786:G786"/>
    <mergeCell ref="H786:I786"/>
    <mergeCell ref="J786:L786"/>
    <mergeCell ref="A788:H788"/>
    <mergeCell ref="F789:G789"/>
    <mergeCell ref="H789:I789"/>
    <mergeCell ref="J789:L789"/>
    <mergeCell ref="F784:G784"/>
    <mergeCell ref="H784:I784"/>
    <mergeCell ref="J784:L784"/>
    <mergeCell ref="F785:G785"/>
    <mergeCell ref="H785:I785"/>
    <mergeCell ref="A850:H850"/>
    <mergeCell ref="F851:G851"/>
    <mergeCell ref="H851:I851"/>
    <mergeCell ref="F838:G838"/>
    <mergeCell ref="H838:I838"/>
    <mergeCell ref="J838:L838"/>
    <mergeCell ref="F833:G833"/>
    <mergeCell ref="H833:I833"/>
    <mergeCell ref="J833:L833"/>
    <mergeCell ref="F834:G834"/>
    <mergeCell ref="H834:I834"/>
    <mergeCell ref="J834:L834"/>
    <mergeCell ref="F829:G829"/>
    <mergeCell ref="H829:I829"/>
    <mergeCell ref="J829:L829"/>
    <mergeCell ref="H825:I825"/>
    <mergeCell ref="J825:L825"/>
    <mergeCell ref="F828:G828"/>
    <mergeCell ref="H828:I828"/>
    <mergeCell ref="J828:L828"/>
    <mergeCell ref="F823:G823"/>
    <mergeCell ref="H823:I823"/>
    <mergeCell ref="J823:L823"/>
    <mergeCell ref="F824:G824"/>
    <mergeCell ref="H824:I824"/>
    <mergeCell ref="J824:L824"/>
    <mergeCell ref="F825:G825"/>
    <mergeCell ref="F843:G843"/>
    <mergeCell ref="H843:I843"/>
    <mergeCell ref="J843:L843"/>
    <mergeCell ref="H782:I782"/>
    <mergeCell ref="J782:L782"/>
    <mergeCell ref="F783:G783"/>
    <mergeCell ref="H783:I783"/>
    <mergeCell ref="J783:L783"/>
    <mergeCell ref="F810:G810"/>
    <mergeCell ref="H810:I810"/>
    <mergeCell ref="J810:L810"/>
    <mergeCell ref="F797:G797"/>
    <mergeCell ref="H797:I797"/>
    <mergeCell ref="J797:L797"/>
    <mergeCell ref="F798:G798"/>
    <mergeCell ref="H798:I798"/>
    <mergeCell ref="J798:L798"/>
    <mergeCell ref="F799:G799"/>
    <mergeCell ref="H799:I799"/>
    <mergeCell ref="J799:L799"/>
    <mergeCell ref="A801:H801"/>
    <mergeCell ref="F802:G802"/>
    <mergeCell ref="H802:I802"/>
    <mergeCell ref="J802:L802"/>
    <mergeCell ref="F803:G803"/>
    <mergeCell ref="H803:I803"/>
    <mergeCell ref="J803:L803"/>
    <mergeCell ref="A805:H805"/>
    <mergeCell ref="F806:G806"/>
    <mergeCell ref="H806:I806"/>
    <mergeCell ref="J806:L806"/>
    <mergeCell ref="F807:G807"/>
    <mergeCell ref="H807:I807"/>
    <mergeCell ref="J807:L807"/>
    <mergeCell ref="A809:H809"/>
    <mergeCell ref="F811:G811"/>
    <mergeCell ref="H811:I811"/>
    <mergeCell ref="F914:G914"/>
    <mergeCell ref="H914:I914"/>
    <mergeCell ref="J914:L914"/>
    <mergeCell ref="F915:G915"/>
    <mergeCell ref="H915:I915"/>
    <mergeCell ref="J915:L915"/>
    <mergeCell ref="F913:G913"/>
    <mergeCell ref="H913:I913"/>
    <mergeCell ref="J913:L913"/>
    <mergeCell ref="F908:G908"/>
    <mergeCell ref="H908:I908"/>
    <mergeCell ref="J908:L908"/>
    <mergeCell ref="F907:G907"/>
    <mergeCell ref="H907:I907"/>
    <mergeCell ref="J907:L907"/>
    <mergeCell ref="F902:G902"/>
    <mergeCell ref="H902:I902"/>
    <mergeCell ref="J902:L902"/>
    <mergeCell ref="F903:G903"/>
    <mergeCell ref="H903:I903"/>
    <mergeCell ref="J903:L903"/>
    <mergeCell ref="F910:G910"/>
    <mergeCell ref="H910:I910"/>
    <mergeCell ref="J910:L910"/>
    <mergeCell ref="A912:H912"/>
    <mergeCell ref="F916:G916"/>
    <mergeCell ref="H916:I916"/>
    <mergeCell ref="J916:L916"/>
    <mergeCell ref="F917:G917"/>
    <mergeCell ref="H917:I917"/>
    <mergeCell ref="J917:L917"/>
    <mergeCell ref="F877:G877"/>
    <mergeCell ref="H877:I877"/>
    <mergeCell ref="J877:L877"/>
    <mergeCell ref="F901:G901"/>
    <mergeCell ref="H901:I901"/>
    <mergeCell ref="J901:L901"/>
    <mergeCell ref="F899:G899"/>
    <mergeCell ref="H899:I899"/>
    <mergeCell ref="J899:L899"/>
    <mergeCell ref="F900:G900"/>
    <mergeCell ref="H900:I900"/>
    <mergeCell ref="J900:L900"/>
    <mergeCell ref="F898:G898"/>
    <mergeCell ref="H898:I898"/>
    <mergeCell ref="J898:L898"/>
    <mergeCell ref="F885:G885"/>
    <mergeCell ref="H885:I885"/>
    <mergeCell ref="J885:L885"/>
    <mergeCell ref="F886:G886"/>
    <mergeCell ref="H886:I886"/>
    <mergeCell ref="J886:L886"/>
    <mergeCell ref="F982:G982"/>
    <mergeCell ref="H982:I982"/>
    <mergeCell ref="J982:L982"/>
    <mergeCell ref="F969:G969"/>
    <mergeCell ref="H969:I969"/>
    <mergeCell ref="J969:L969"/>
    <mergeCell ref="F961:G961"/>
    <mergeCell ref="H961:I961"/>
    <mergeCell ref="J961:L961"/>
    <mergeCell ref="F962:G962"/>
    <mergeCell ref="H962:I962"/>
    <mergeCell ref="J962:L962"/>
    <mergeCell ref="A964:H964"/>
    <mergeCell ref="F965:G965"/>
    <mergeCell ref="H965:I965"/>
    <mergeCell ref="J965:L965"/>
    <mergeCell ref="F966:G966"/>
    <mergeCell ref="H966:I966"/>
    <mergeCell ref="J966:L966"/>
    <mergeCell ref="A968:H968"/>
    <mergeCell ref="F970:G970"/>
    <mergeCell ref="H970:I970"/>
    <mergeCell ref="J970:L970"/>
    <mergeCell ref="F971:G971"/>
    <mergeCell ref="H971:I971"/>
    <mergeCell ref="J971:L971"/>
    <mergeCell ref="A981:H981"/>
    <mergeCell ref="F941:G941"/>
    <mergeCell ref="H941:I941"/>
    <mergeCell ref="J941:L941"/>
    <mergeCell ref="F928:G928"/>
    <mergeCell ref="H928:I928"/>
    <mergeCell ref="J928:L928"/>
    <mergeCell ref="F956:G956"/>
    <mergeCell ref="H956:I956"/>
    <mergeCell ref="J956:L956"/>
    <mergeCell ref="F955:G955"/>
    <mergeCell ref="H955:I955"/>
    <mergeCell ref="J955:L955"/>
    <mergeCell ref="F950:G950"/>
    <mergeCell ref="H950:I950"/>
    <mergeCell ref="J950:L950"/>
    <mergeCell ref="F951:G951"/>
    <mergeCell ref="H951:I951"/>
    <mergeCell ref="J951:L951"/>
    <mergeCell ref="F946:G946"/>
    <mergeCell ref="H946:I946"/>
    <mergeCell ref="J946:L946"/>
    <mergeCell ref="A948:H948"/>
    <mergeCell ref="F949:G949"/>
    <mergeCell ref="H949:I949"/>
    <mergeCell ref="J949:L949"/>
    <mergeCell ref="F944:G944"/>
    <mergeCell ref="H944:I944"/>
    <mergeCell ref="J944:L944"/>
    <mergeCell ref="F945:G945"/>
    <mergeCell ref="H945:I945"/>
    <mergeCell ref="J945:L945"/>
    <mergeCell ref="F942:G942"/>
    <mergeCell ref="H942:I942"/>
    <mergeCell ref="F1006:G1006"/>
    <mergeCell ref="H1006:I1006"/>
    <mergeCell ref="J1006:L1006"/>
    <mergeCell ref="A1005:H1005"/>
    <mergeCell ref="F1007:G1007"/>
    <mergeCell ref="H1007:I1007"/>
    <mergeCell ref="J1007:L1007"/>
    <mergeCell ref="A1009:H1009"/>
    <mergeCell ref="F1010:G1010"/>
    <mergeCell ref="H1010:I1010"/>
    <mergeCell ref="J1010:L1010"/>
    <mergeCell ref="F1011:G1011"/>
    <mergeCell ref="H1011:I1011"/>
    <mergeCell ref="J1011:L1011"/>
    <mergeCell ref="F1012:G1012"/>
    <mergeCell ref="H1012:I1012"/>
    <mergeCell ref="J1012:L1012"/>
    <mergeCell ref="A1022:H1022"/>
    <mergeCell ref="F993:G993"/>
    <mergeCell ref="H993:I993"/>
    <mergeCell ref="J993:L993"/>
    <mergeCell ref="F992:G992"/>
    <mergeCell ref="H992:I992"/>
    <mergeCell ref="J992:L992"/>
    <mergeCell ref="F987:G987"/>
    <mergeCell ref="H987:I987"/>
    <mergeCell ref="J987:L987"/>
    <mergeCell ref="F985:G985"/>
    <mergeCell ref="H985:I985"/>
    <mergeCell ref="J985:L985"/>
    <mergeCell ref="F986:G986"/>
    <mergeCell ref="H986:I986"/>
    <mergeCell ref="J986:L986"/>
    <mergeCell ref="F1023:G1023"/>
    <mergeCell ref="H1023:I1023"/>
    <mergeCell ref="J1023:L1023"/>
    <mergeCell ref="F1024:G1024"/>
    <mergeCell ref="H1024:I1024"/>
    <mergeCell ref="J1024:L1024"/>
    <mergeCell ref="F1025:G1025"/>
    <mergeCell ref="H1025:I1025"/>
    <mergeCell ref="J1025:L1025"/>
    <mergeCell ref="A1027:H1027"/>
    <mergeCell ref="F1035:G1035"/>
    <mergeCell ref="H1035:I1035"/>
    <mergeCell ref="J1035:L1035"/>
    <mergeCell ref="F1036:G1036"/>
    <mergeCell ref="H1036:I1036"/>
    <mergeCell ref="J1036:L1036"/>
    <mergeCell ref="A1038:H1038"/>
    <mergeCell ref="F1039:G1039"/>
    <mergeCell ref="H1039:I1039"/>
    <mergeCell ref="J1039:L1039"/>
    <mergeCell ref="F1040:G1040"/>
    <mergeCell ref="H1040:I1040"/>
    <mergeCell ref="J1040:L1040"/>
    <mergeCell ref="A1042:H1042"/>
    <mergeCell ref="F1044:G1044"/>
    <mergeCell ref="H1044:I1044"/>
    <mergeCell ref="J1044:L1044"/>
    <mergeCell ref="A1046:H1046"/>
    <mergeCell ref="F1047:G1047"/>
    <mergeCell ref="H1047:I1047"/>
    <mergeCell ref="J1047:L1047"/>
    <mergeCell ref="F1048:G1048"/>
    <mergeCell ref="H1048:I1048"/>
    <mergeCell ref="J1048:L1048"/>
    <mergeCell ref="F1065:G1065"/>
    <mergeCell ref="H1065:I1065"/>
    <mergeCell ref="J1065:L1065"/>
    <mergeCell ref="F1066:G1066"/>
    <mergeCell ref="H1066:I1066"/>
    <mergeCell ref="J1066:L1066"/>
    <mergeCell ref="F1061:G1061"/>
    <mergeCell ref="H1061:I1061"/>
    <mergeCell ref="J1061:L1061"/>
    <mergeCell ref="F1060:G1060"/>
    <mergeCell ref="H1060:I1060"/>
    <mergeCell ref="J1060:L1060"/>
    <mergeCell ref="F1062:G1062"/>
    <mergeCell ref="H1062:I1062"/>
    <mergeCell ref="J1062:L1062"/>
    <mergeCell ref="F1043:G1043"/>
    <mergeCell ref="H1043:I1043"/>
    <mergeCell ref="J1043:L1043"/>
    <mergeCell ref="A1064:H1064"/>
    <mergeCell ref="A1032:H1032"/>
    <mergeCell ref="F1033:G1033"/>
    <mergeCell ref="H1033:I1033"/>
    <mergeCell ref="J1033:L1033"/>
    <mergeCell ref="F1034:G1034"/>
    <mergeCell ref="H1034:I1034"/>
    <mergeCell ref="J1034:L1034"/>
    <mergeCell ref="F1029:G1029"/>
    <mergeCell ref="H1029:I1029"/>
    <mergeCell ref="J1029:L1029"/>
    <mergeCell ref="F1030:G1030"/>
    <mergeCell ref="H1030:I1030"/>
    <mergeCell ref="J1030:L1030"/>
    <mergeCell ref="F1028:G1028"/>
    <mergeCell ref="H1028:I1028"/>
    <mergeCell ref="J1028:L1028"/>
    <mergeCell ref="F1049:G1049"/>
    <mergeCell ref="H1049:I1049"/>
    <mergeCell ref="J1049:L1049"/>
    <mergeCell ref="A1059:H1059"/>
    <mergeCell ref="A1153:H1153"/>
    <mergeCell ref="F1155:G1155"/>
    <mergeCell ref="H1155:I1155"/>
    <mergeCell ref="J1155:L1155"/>
    <mergeCell ref="A1157:H1157"/>
    <mergeCell ref="F1158:G1158"/>
    <mergeCell ref="H1158:I1158"/>
    <mergeCell ref="J1158:L1158"/>
    <mergeCell ref="F1159:G1159"/>
    <mergeCell ref="H1159:I1159"/>
    <mergeCell ref="J1159:L1159"/>
    <mergeCell ref="F1160:G1160"/>
    <mergeCell ref="H1160:I1160"/>
    <mergeCell ref="J1160:L1160"/>
    <mergeCell ref="A1170:H1170"/>
    <mergeCell ref="F1171:G1171"/>
    <mergeCell ref="H1171:I1171"/>
    <mergeCell ref="J1171:L1171"/>
    <mergeCell ref="A1175:H1175"/>
    <mergeCell ref="F1176:G1176"/>
    <mergeCell ref="H1176:I1176"/>
    <mergeCell ref="J1176:L1176"/>
    <mergeCell ref="A1106:H1106"/>
    <mergeCell ref="F1107:G1107"/>
    <mergeCell ref="H1107:I1107"/>
    <mergeCell ref="J1107:L1107"/>
    <mergeCell ref="F1108:G1108"/>
    <mergeCell ref="H1108:I1108"/>
    <mergeCell ref="J1108:L1108"/>
    <mergeCell ref="F1103:G1103"/>
    <mergeCell ref="H1103:I1103"/>
    <mergeCell ref="J1103:L1103"/>
    <mergeCell ref="F1104:G1104"/>
    <mergeCell ref="H1104:I1104"/>
    <mergeCell ref="J1104:L1104"/>
    <mergeCell ref="F1109:G1109"/>
    <mergeCell ref="H1109:I1109"/>
    <mergeCell ref="J1109:L1109"/>
    <mergeCell ref="F1110:G1110"/>
    <mergeCell ref="H1110:I1110"/>
    <mergeCell ref="J1110:L1110"/>
    <mergeCell ref="A1112:H1112"/>
    <mergeCell ref="F1113:G1113"/>
    <mergeCell ref="H1113:I1113"/>
    <mergeCell ref="J1113:L1113"/>
    <mergeCell ref="F1114:G1114"/>
    <mergeCell ref="H1114:I1114"/>
    <mergeCell ref="J1114:L1114"/>
    <mergeCell ref="A1116:H1116"/>
    <mergeCell ref="F1118:G1118"/>
    <mergeCell ref="H1118:I1118"/>
    <mergeCell ref="J1118:L1118"/>
    <mergeCell ref="A1120:H1120"/>
    <mergeCell ref="F1121:G1121"/>
    <mergeCell ref="H1121:I1121"/>
    <mergeCell ref="J1121:L1121"/>
    <mergeCell ref="F1122:G1122"/>
    <mergeCell ref="H1122:I1122"/>
    <mergeCell ref="J1122:L1122"/>
    <mergeCell ref="A1133:H1133"/>
    <mergeCell ref="F1136:G1136"/>
    <mergeCell ref="H1136:I1136"/>
    <mergeCell ref="J1136:L1136"/>
    <mergeCell ref="A1138:H1138"/>
    <mergeCell ref="F1253:G1253"/>
    <mergeCell ref="H1253:I1253"/>
    <mergeCell ref="J1253:L1253"/>
    <mergeCell ref="F1256:G1256"/>
    <mergeCell ref="H1256:I1256"/>
    <mergeCell ref="J1256:L1256"/>
    <mergeCell ref="F1228:G1228"/>
    <mergeCell ref="H1228:I1228"/>
    <mergeCell ref="J1228:L1228"/>
    <mergeCell ref="F1229:G1229"/>
    <mergeCell ref="H1229:I1229"/>
    <mergeCell ref="J1229:L1229"/>
    <mergeCell ref="A1231:H1231"/>
    <mergeCell ref="F1232:G1232"/>
    <mergeCell ref="H1232:I1232"/>
    <mergeCell ref="J1232:L1232"/>
    <mergeCell ref="F1233:G1233"/>
    <mergeCell ref="H1233:I1233"/>
    <mergeCell ref="J1233:L1233"/>
    <mergeCell ref="A1235:H1235"/>
    <mergeCell ref="F1237:G1237"/>
    <mergeCell ref="H1237:I1237"/>
    <mergeCell ref="J1237:L1237"/>
    <mergeCell ref="A1239:H1239"/>
    <mergeCell ref="F1240:G1240"/>
    <mergeCell ref="H1240:I1240"/>
    <mergeCell ref="J1240:L1240"/>
    <mergeCell ref="F1241:G1241"/>
    <mergeCell ref="H1241:I1241"/>
    <mergeCell ref="J1241:L1241"/>
    <mergeCell ref="F1242:G1242"/>
    <mergeCell ref="H1242:I1242"/>
    <mergeCell ref="J1242:L1242"/>
    <mergeCell ref="A1252:H1252"/>
    <mergeCell ref="F1254:G1254"/>
    <mergeCell ref="H1254:I1254"/>
    <mergeCell ref="J1254:L1254"/>
    <mergeCell ref="F1236:G1236"/>
    <mergeCell ref="H1236:I1236"/>
    <mergeCell ref="J1236:L1236"/>
    <mergeCell ref="F1315:G1315"/>
    <mergeCell ref="H1315:I1315"/>
    <mergeCell ref="J1315:L1315"/>
    <mergeCell ref="F1311:G1311"/>
    <mergeCell ref="H1311:I1311"/>
    <mergeCell ref="J1311:L1311"/>
    <mergeCell ref="F1306:G1306"/>
    <mergeCell ref="H1306:I1306"/>
    <mergeCell ref="J1306:L1306"/>
    <mergeCell ref="F1307:G1307"/>
    <mergeCell ref="H1307:I1307"/>
    <mergeCell ref="J1307:L1307"/>
    <mergeCell ref="F1302:G1302"/>
    <mergeCell ref="H1302:I1302"/>
    <mergeCell ref="J1302:L1302"/>
    <mergeCell ref="F1299:G1299"/>
    <mergeCell ref="H1299:I1299"/>
    <mergeCell ref="J1299:L1299"/>
    <mergeCell ref="F1294:G1294"/>
    <mergeCell ref="H1294:I1294"/>
    <mergeCell ref="J1294:L1294"/>
    <mergeCell ref="F1292:G1292"/>
    <mergeCell ref="H1292:I1292"/>
    <mergeCell ref="J1292:L1292"/>
    <mergeCell ref="F1293:G1293"/>
    <mergeCell ref="H1293:I1293"/>
    <mergeCell ref="J1293:L1293"/>
    <mergeCell ref="F1290:G1290"/>
    <mergeCell ref="H1290:I1290"/>
    <mergeCell ref="J1290:L1290"/>
    <mergeCell ref="F1291:G1291"/>
    <mergeCell ref="H1291:I1291"/>
    <mergeCell ref="J1291:L1291"/>
    <mergeCell ref="F1301:G1301"/>
    <mergeCell ref="H1301:I1301"/>
    <mergeCell ref="J1301:L1301"/>
    <mergeCell ref="A1304:H1304"/>
    <mergeCell ref="F1305:G1305"/>
    <mergeCell ref="H1305:I1305"/>
    <mergeCell ref="J1305:L1305"/>
    <mergeCell ref="F1308:G1308"/>
    <mergeCell ref="H1308:I1308"/>
    <mergeCell ref="J1308:L1308"/>
    <mergeCell ref="A1310:H1310"/>
    <mergeCell ref="F1312:G1312"/>
    <mergeCell ref="H1312:I1312"/>
    <mergeCell ref="J1312:L1312"/>
    <mergeCell ref="A1314:H1314"/>
    <mergeCell ref="F1334:G1334"/>
    <mergeCell ref="H1334:I1334"/>
    <mergeCell ref="J1334:L1334"/>
    <mergeCell ref="F1337:G1337"/>
    <mergeCell ref="H1337:I1337"/>
    <mergeCell ref="J1337:L1337"/>
    <mergeCell ref="F1333:G1333"/>
    <mergeCell ref="H1333:I1333"/>
    <mergeCell ref="J1333:L1333"/>
    <mergeCell ref="F1316:G1316"/>
    <mergeCell ref="H1316:I1316"/>
    <mergeCell ref="J1316:L1316"/>
    <mergeCell ref="A1318:H1318"/>
    <mergeCell ref="F1319:G1319"/>
    <mergeCell ref="H1319:I1319"/>
    <mergeCell ref="J1319:L1319"/>
    <mergeCell ref="F1320:G1320"/>
    <mergeCell ref="H1320:I1320"/>
    <mergeCell ref="J1320:L1320"/>
    <mergeCell ref="F1321:G1321"/>
    <mergeCell ref="H1321:I1321"/>
    <mergeCell ref="J1321:L1321"/>
    <mergeCell ref="A1331:H1331"/>
    <mergeCell ref="F1332:G1332"/>
    <mergeCell ref="H1332:I1332"/>
    <mergeCell ref="J1332:L1332"/>
    <mergeCell ref="F1335:G1335"/>
    <mergeCell ref="H1335:I1335"/>
    <mergeCell ref="J1335:L1335"/>
    <mergeCell ref="F1336:G1336"/>
    <mergeCell ref="H1336:I1336"/>
    <mergeCell ref="J1336:L1336"/>
    <mergeCell ref="A1339:H1339"/>
    <mergeCell ref="A1384:H1384"/>
    <mergeCell ref="F1386:G1386"/>
    <mergeCell ref="H1386:I1386"/>
    <mergeCell ref="F1380:G1380"/>
    <mergeCell ref="H1380:I1380"/>
    <mergeCell ref="J1380:L1380"/>
    <mergeCell ref="F1376:G1376"/>
    <mergeCell ref="H1376:I1376"/>
    <mergeCell ref="J1376:L1376"/>
    <mergeCell ref="F1372:G1372"/>
    <mergeCell ref="H1372:I1372"/>
    <mergeCell ref="J1372:L1372"/>
    <mergeCell ref="A1369:H1369"/>
    <mergeCell ref="F1370:G1370"/>
    <mergeCell ref="H1370:I1370"/>
    <mergeCell ref="J1370:L1370"/>
    <mergeCell ref="F1371:G1371"/>
    <mergeCell ref="H1371:I1371"/>
    <mergeCell ref="J1371:L1371"/>
    <mergeCell ref="A1375:H1375"/>
    <mergeCell ref="F1377:G1377"/>
    <mergeCell ref="H1377:I1377"/>
    <mergeCell ref="J1377:L1377"/>
    <mergeCell ref="A1379:H1379"/>
    <mergeCell ref="F1381:G1381"/>
    <mergeCell ref="H1381:I1381"/>
    <mergeCell ref="J1381:L1381"/>
    <mergeCell ref="F1382:G1382"/>
    <mergeCell ref="H1382:I1382"/>
    <mergeCell ref="J1382:L1382"/>
    <mergeCell ref="F1350:G1350"/>
    <mergeCell ref="H1350:I1350"/>
    <mergeCell ref="J1350:L1350"/>
    <mergeCell ref="J1406:L1406"/>
    <mergeCell ref="F1385:G1385"/>
    <mergeCell ref="H1385:I1385"/>
    <mergeCell ref="J1385:L1385"/>
    <mergeCell ref="F1419:G1419"/>
    <mergeCell ref="H1419:I1419"/>
    <mergeCell ref="J1419:L1419"/>
    <mergeCell ref="F1415:G1415"/>
    <mergeCell ref="H1415:I1415"/>
    <mergeCell ref="J1415:L1415"/>
    <mergeCell ref="F1413:G1413"/>
    <mergeCell ref="H1413:I1413"/>
    <mergeCell ref="J1413:L1413"/>
    <mergeCell ref="F1414:G1414"/>
    <mergeCell ref="H1414:I1414"/>
    <mergeCell ref="J1414:L1414"/>
    <mergeCell ref="H1409:I1409"/>
    <mergeCell ref="J1409:L1409"/>
    <mergeCell ref="J1386:L1386"/>
    <mergeCell ref="A1388:H1388"/>
    <mergeCell ref="F1389:G1389"/>
    <mergeCell ref="H1389:I1389"/>
    <mergeCell ref="J1389:L1389"/>
    <mergeCell ref="F1390:G1390"/>
    <mergeCell ref="H1390:I1390"/>
    <mergeCell ref="J1390:L1390"/>
    <mergeCell ref="A1392:H1392"/>
    <mergeCell ref="F1393:G1393"/>
    <mergeCell ref="H1393:I1393"/>
    <mergeCell ref="J1393:L1393"/>
    <mergeCell ref="F1394:G1394"/>
    <mergeCell ref="H1394:I1394"/>
    <mergeCell ref="J1394:L1394"/>
    <mergeCell ref="F1395:G1395"/>
    <mergeCell ref="H1395:I1395"/>
    <mergeCell ref="J1395:L1395"/>
    <mergeCell ref="F1410:G1410"/>
    <mergeCell ref="H1410:I1410"/>
    <mergeCell ref="J1410:L1410"/>
    <mergeCell ref="A1412:H1412"/>
    <mergeCell ref="A1417:H1417"/>
    <mergeCell ref="F1418:G1418"/>
    <mergeCell ref="H1418:I1418"/>
    <mergeCell ref="J1418:L1418"/>
    <mergeCell ref="A1405:H1405"/>
    <mergeCell ref="F1406:G1406"/>
    <mergeCell ref="H1406:I1406"/>
    <mergeCell ref="F1484:G1484"/>
    <mergeCell ref="H1484:I1484"/>
    <mergeCell ref="J1484:L1484"/>
    <mergeCell ref="F1485:G1485"/>
    <mergeCell ref="H1485:I1485"/>
    <mergeCell ref="J1485:L1485"/>
    <mergeCell ref="F1483:G1483"/>
    <mergeCell ref="H1483:I1483"/>
    <mergeCell ref="J1483:L1483"/>
    <mergeCell ref="F1470:G1470"/>
    <mergeCell ref="H1470:I1470"/>
    <mergeCell ref="J1470:L1470"/>
    <mergeCell ref="F1472:G1472"/>
    <mergeCell ref="H1472:I1472"/>
    <mergeCell ref="J1472:L1472"/>
    <mergeCell ref="A1482:H1482"/>
    <mergeCell ref="F1456:G1456"/>
    <mergeCell ref="H1456:I1456"/>
    <mergeCell ref="J1456:L1456"/>
    <mergeCell ref="F1457:G1457"/>
    <mergeCell ref="H1457:I1457"/>
    <mergeCell ref="J1457:L1457"/>
    <mergeCell ref="F1455:G1455"/>
    <mergeCell ref="H1455:I1455"/>
    <mergeCell ref="J1455:L1455"/>
    <mergeCell ref="F1450:G1450"/>
    <mergeCell ref="H1450:I1450"/>
    <mergeCell ref="J1450:L1450"/>
    <mergeCell ref="F1449:G1449"/>
    <mergeCell ref="H1449:I1449"/>
    <mergeCell ref="J1449:L1449"/>
    <mergeCell ref="F1445:G1445"/>
    <mergeCell ref="H1445:I1445"/>
    <mergeCell ref="J1445:L1445"/>
    <mergeCell ref="F1452:G1452"/>
    <mergeCell ref="H1452:I1452"/>
    <mergeCell ref="J1452:L1452"/>
    <mergeCell ref="A1454:H1454"/>
    <mergeCell ref="F1458:G1458"/>
    <mergeCell ref="H1458:I1458"/>
    <mergeCell ref="J1458:L1458"/>
    <mergeCell ref="F1459:G1459"/>
    <mergeCell ref="H1459:I1459"/>
    <mergeCell ref="J1459:L1459"/>
    <mergeCell ref="A1461:H1461"/>
    <mergeCell ref="F1462:G1462"/>
    <mergeCell ref="H1462:I1462"/>
    <mergeCell ref="J1462:L1462"/>
    <mergeCell ref="F1463:G1463"/>
    <mergeCell ref="H1463:I1463"/>
    <mergeCell ref="J1463:L1463"/>
    <mergeCell ref="A1465:H1465"/>
    <mergeCell ref="F1466:G1466"/>
    <mergeCell ref="H1466:I1466"/>
    <mergeCell ref="J1466:L1466"/>
    <mergeCell ref="F1467:G1467"/>
    <mergeCell ref="H1467:I1467"/>
    <mergeCell ref="J1467:L1467"/>
    <mergeCell ref="A1469:H1469"/>
    <mergeCell ref="F1471:G1471"/>
    <mergeCell ref="H1471:I1471"/>
    <mergeCell ref="J1471:L1471"/>
    <mergeCell ref="F1498:G1498"/>
    <mergeCell ref="H1498:I1498"/>
    <mergeCell ref="J1498:L1498"/>
    <mergeCell ref="F1497:G1497"/>
    <mergeCell ref="H1497:I1497"/>
    <mergeCell ref="J1497:L1497"/>
    <mergeCell ref="F1492:G1492"/>
    <mergeCell ref="H1492:I1492"/>
    <mergeCell ref="J1492:L1492"/>
    <mergeCell ref="F1493:G1493"/>
    <mergeCell ref="H1493:I1493"/>
    <mergeCell ref="J1493:L1493"/>
    <mergeCell ref="F1488:G1488"/>
    <mergeCell ref="H1488:I1488"/>
    <mergeCell ref="J1488:L1488"/>
    <mergeCell ref="A1490:H1490"/>
    <mergeCell ref="F1491:G1491"/>
    <mergeCell ref="H1491:I1491"/>
    <mergeCell ref="J1491:L1491"/>
    <mergeCell ref="F1486:G1486"/>
    <mergeCell ref="H1486:I1486"/>
    <mergeCell ref="J1486:L1486"/>
    <mergeCell ref="F1487:G1487"/>
    <mergeCell ref="H1487:I1487"/>
    <mergeCell ref="J1487:L1487"/>
    <mergeCell ref="A1495:H1495"/>
    <mergeCell ref="F1496:G1496"/>
    <mergeCell ref="H1496:I1496"/>
    <mergeCell ref="J1496:L1496"/>
    <mergeCell ref="F1499:G1499"/>
    <mergeCell ref="H1499:I1499"/>
    <mergeCell ref="J1499:L1499"/>
    <mergeCell ref="F1500:G1500"/>
    <mergeCell ref="H1500:I1500"/>
    <mergeCell ref="J1500:L1500"/>
    <mergeCell ref="F1524:G1524"/>
    <mergeCell ref="H1524:I1524"/>
    <mergeCell ref="J1524:L1524"/>
    <mergeCell ref="F1527:G1527"/>
    <mergeCell ref="H1527:I1527"/>
    <mergeCell ref="J1527:L1527"/>
    <mergeCell ref="F1511:G1511"/>
    <mergeCell ref="H1511:I1511"/>
    <mergeCell ref="J1511:L1511"/>
    <mergeCell ref="A1502:H1502"/>
    <mergeCell ref="F1503:G1503"/>
    <mergeCell ref="H1503:I1503"/>
    <mergeCell ref="J1503:L1503"/>
    <mergeCell ref="F1504:G1504"/>
    <mergeCell ref="H1504:I1504"/>
    <mergeCell ref="J1504:L1504"/>
    <mergeCell ref="A1506:H1506"/>
    <mergeCell ref="F1507:G1507"/>
    <mergeCell ref="H1507:I1507"/>
    <mergeCell ref="J1507:L1507"/>
    <mergeCell ref="F1508:G1508"/>
    <mergeCell ref="H1508:I1508"/>
    <mergeCell ref="J1508:L1508"/>
    <mergeCell ref="A1510:H1510"/>
    <mergeCell ref="F1512:G1512"/>
    <mergeCell ref="H1512:I1512"/>
    <mergeCell ref="J1512:L1512"/>
    <mergeCell ref="F1513:G1513"/>
    <mergeCell ref="H1513:I1513"/>
    <mergeCell ref="J1513:L1513"/>
    <mergeCell ref="A1523:H1523"/>
    <mergeCell ref="F1525:G1525"/>
    <mergeCell ref="H1525:I1525"/>
    <mergeCell ref="J1525:L1525"/>
    <mergeCell ref="F1526:G1526"/>
    <mergeCell ref="H1526:I1526"/>
    <mergeCell ref="J1526:L1526"/>
    <mergeCell ref="F1534:G1534"/>
    <mergeCell ref="H1534:I1534"/>
    <mergeCell ref="J1534:L1534"/>
    <mergeCell ref="F1535:G1535"/>
    <mergeCell ref="H1535:I1535"/>
    <mergeCell ref="J1535:L1535"/>
    <mergeCell ref="F1528:G1528"/>
    <mergeCell ref="H1528:I1528"/>
    <mergeCell ref="J1528:L1528"/>
    <mergeCell ref="F1529:G1529"/>
    <mergeCell ref="H1529:I1529"/>
    <mergeCell ref="J1529:L1529"/>
    <mergeCell ref="F1530:G1530"/>
    <mergeCell ref="H1530:I1530"/>
    <mergeCell ref="J1530:L1530"/>
    <mergeCell ref="F1531:G1531"/>
    <mergeCell ref="H1531:I1531"/>
    <mergeCell ref="J1531:L1531"/>
    <mergeCell ref="A1533:H1533"/>
    <mergeCell ref="F1536:G1536"/>
    <mergeCell ref="H1536:I1536"/>
    <mergeCell ref="J1536:L1536"/>
    <mergeCell ref="F1537:G1537"/>
    <mergeCell ref="H1537:I1537"/>
    <mergeCell ref="J1537:L1537"/>
    <mergeCell ref="A1539:H1539"/>
    <mergeCell ref="F1540:G1540"/>
    <mergeCell ref="H1540:I1540"/>
    <mergeCell ref="J1540:L1540"/>
    <mergeCell ref="F1541:G1541"/>
    <mergeCell ref="H1541:I1541"/>
    <mergeCell ref="J1541:L1541"/>
    <mergeCell ref="A1543:H1543"/>
    <mergeCell ref="F1608:G1608"/>
    <mergeCell ref="H1608:I1608"/>
    <mergeCell ref="J1608:L1608"/>
    <mergeCell ref="F1609:G1609"/>
    <mergeCell ref="H1609:I1609"/>
    <mergeCell ref="J1609:L1609"/>
    <mergeCell ref="F1607:G1607"/>
    <mergeCell ref="H1607:I1607"/>
    <mergeCell ref="J1607:L1607"/>
    <mergeCell ref="F1602:G1602"/>
    <mergeCell ref="H1602:I1602"/>
    <mergeCell ref="J1602:L1602"/>
    <mergeCell ref="F1603:G1603"/>
    <mergeCell ref="H1603:I1603"/>
    <mergeCell ref="J1603:L1603"/>
    <mergeCell ref="F1585:G1585"/>
    <mergeCell ref="H1585:I1585"/>
    <mergeCell ref="J1585:L1585"/>
    <mergeCell ref="F1576:G1576"/>
    <mergeCell ref="H1576:I1576"/>
    <mergeCell ref="J1576:L1576"/>
    <mergeCell ref="F1572:G1572"/>
    <mergeCell ref="H1572:I1572"/>
    <mergeCell ref="J1572:L1572"/>
    <mergeCell ref="A1574:H1574"/>
    <mergeCell ref="F1575:G1575"/>
    <mergeCell ref="H1575:I1575"/>
    <mergeCell ref="J1575:L1575"/>
    <mergeCell ref="F1582:G1582"/>
    <mergeCell ref="H1582:I1582"/>
    <mergeCell ref="J1582:L1582"/>
    <mergeCell ref="A1584:H1584"/>
    <mergeCell ref="F1586:G1586"/>
    <mergeCell ref="H1586:I1586"/>
    <mergeCell ref="J1586:L1586"/>
    <mergeCell ref="A1588:H1588"/>
    <mergeCell ref="F1589:G1589"/>
    <mergeCell ref="H1589:I1589"/>
    <mergeCell ref="J1589:L1589"/>
    <mergeCell ref="F1590:G1590"/>
    <mergeCell ref="H1590:I1590"/>
    <mergeCell ref="J1590:L1590"/>
    <mergeCell ref="F1591:G1591"/>
    <mergeCell ref="H1591:I1591"/>
    <mergeCell ref="J1591:L1591"/>
    <mergeCell ref="A1601:H1601"/>
    <mergeCell ref="F1604:G1604"/>
    <mergeCell ref="H1604:I1604"/>
    <mergeCell ref="J1604:L1604"/>
    <mergeCell ref="A1606:H1606"/>
    <mergeCell ref="J1645:L1645"/>
    <mergeCell ref="F1640:G1640"/>
    <mergeCell ref="H1640:I1640"/>
    <mergeCell ref="J1640:L1640"/>
    <mergeCell ref="F1639:G1639"/>
    <mergeCell ref="H1639:I1639"/>
    <mergeCell ref="J1639:L1639"/>
    <mergeCell ref="F1641:G1641"/>
    <mergeCell ref="H1641:I1641"/>
    <mergeCell ref="J1641:L1641"/>
    <mergeCell ref="A1643:H1643"/>
    <mergeCell ref="F1651:G1651"/>
    <mergeCell ref="H1651:I1651"/>
    <mergeCell ref="J1651:L1651"/>
    <mergeCell ref="F1652:G1652"/>
    <mergeCell ref="H1652:I1652"/>
    <mergeCell ref="J1652:L1652"/>
    <mergeCell ref="F1716:G1716"/>
    <mergeCell ref="H1716:I1716"/>
    <mergeCell ref="J1716:L1716"/>
    <mergeCell ref="F1702:G1702"/>
    <mergeCell ref="H1702:I1702"/>
    <mergeCell ref="J1702:L1702"/>
    <mergeCell ref="F1731:G1731"/>
    <mergeCell ref="H1731:I1731"/>
    <mergeCell ref="J1731:L1731"/>
    <mergeCell ref="F1727:G1727"/>
    <mergeCell ref="H1727:I1727"/>
    <mergeCell ref="J1727:L1727"/>
    <mergeCell ref="F1730:G1730"/>
    <mergeCell ref="H1730:I1730"/>
    <mergeCell ref="J1730:L1730"/>
    <mergeCell ref="F1726:G1726"/>
    <mergeCell ref="H1726:I1726"/>
    <mergeCell ref="J1726:L1726"/>
    <mergeCell ref="F1721:G1721"/>
    <mergeCell ref="H1721:I1721"/>
    <mergeCell ref="F1677:G1677"/>
    <mergeCell ref="H1677:I1677"/>
    <mergeCell ref="J1677:L1677"/>
    <mergeCell ref="F1659:G1659"/>
    <mergeCell ref="H1659:I1659"/>
    <mergeCell ref="J1659:L1659"/>
    <mergeCell ref="F1688:G1688"/>
    <mergeCell ref="H1688:I1688"/>
    <mergeCell ref="J1688:L1688"/>
    <mergeCell ref="F1689:G1689"/>
    <mergeCell ref="H1689:I1689"/>
    <mergeCell ref="J1689:L1689"/>
    <mergeCell ref="F1686:G1686"/>
    <mergeCell ref="H1686:I1686"/>
    <mergeCell ref="J1686:L1686"/>
    <mergeCell ref="F1687:G1687"/>
    <mergeCell ref="H1687:I1687"/>
    <mergeCell ref="J1687:L1687"/>
    <mergeCell ref="F1683:G1683"/>
    <mergeCell ref="H1683:I1683"/>
    <mergeCell ref="J1683:L1683"/>
    <mergeCell ref="F1678:G1678"/>
    <mergeCell ref="H1678:I1678"/>
    <mergeCell ref="J1678:L1678"/>
    <mergeCell ref="F1783:G1783"/>
    <mergeCell ref="H1783:I1783"/>
    <mergeCell ref="J1783:L1783"/>
    <mergeCell ref="F1774:G1774"/>
    <mergeCell ref="H1774:I1774"/>
    <mergeCell ref="J1774:L1774"/>
    <mergeCell ref="F1788:G1788"/>
    <mergeCell ref="H1788:I1788"/>
    <mergeCell ref="J1788:L1788"/>
    <mergeCell ref="A1662:H1662"/>
    <mergeCell ref="F1663:G1663"/>
    <mergeCell ref="H1663:I1663"/>
    <mergeCell ref="J1663:L1663"/>
    <mergeCell ref="F1664:G1664"/>
    <mergeCell ref="H1664:I1664"/>
    <mergeCell ref="J1664:L1664"/>
    <mergeCell ref="F1665:G1665"/>
    <mergeCell ref="H1665:I1665"/>
    <mergeCell ref="J1665:L1665"/>
    <mergeCell ref="A1675:H1675"/>
    <mergeCell ref="F1676:G1676"/>
    <mergeCell ref="H1676:I1676"/>
    <mergeCell ref="J1676:L1676"/>
    <mergeCell ref="A1680:H1680"/>
    <mergeCell ref="F1681:G1681"/>
    <mergeCell ref="H1681:I1681"/>
    <mergeCell ref="J1681:L1681"/>
    <mergeCell ref="F1682:G1682"/>
    <mergeCell ref="H1682:I1682"/>
    <mergeCell ref="J1682:L1682"/>
    <mergeCell ref="A1685:H1685"/>
    <mergeCell ref="A1691:H1691"/>
    <mergeCell ref="F1692:G1692"/>
    <mergeCell ref="H1692:I1692"/>
    <mergeCell ref="J1692:L1692"/>
    <mergeCell ref="F1693:G1693"/>
    <mergeCell ref="H1693:I1693"/>
    <mergeCell ref="J1693:L1693"/>
    <mergeCell ref="F1746:G1746"/>
    <mergeCell ref="H1746:I1746"/>
    <mergeCell ref="F1789:G1789"/>
    <mergeCell ref="H1789:I1789"/>
    <mergeCell ref="J1789:L1789"/>
    <mergeCell ref="F1770:G1770"/>
    <mergeCell ref="H1770:I1770"/>
    <mergeCell ref="J1770:L1770"/>
    <mergeCell ref="A1772:H1772"/>
    <mergeCell ref="F1773:G1773"/>
    <mergeCell ref="H1773:I1773"/>
    <mergeCell ref="J1773:L1773"/>
    <mergeCell ref="F1769:G1769"/>
    <mergeCell ref="H1769:I1769"/>
    <mergeCell ref="J1769:L1769"/>
    <mergeCell ref="F1764:G1764"/>
    <mergeCell ref="H1764:I1764"/>
    <mergeCell ref="J1764:L1764"/>
    <mergeCell ref="F1760:G1760"/>
    <mergeCell ref="H1760:I1760"/>
    <mergeCell ref="J1760:L1760"/>
    <mergeCell ref="F1761:G1761"/>
    <mergeCell ref="H1761:I1761"/>
    <mergeCell ref="J1761:L1761"/>
    <mergeCell ref="F1758:G1758"/>
    <mergeCell ref="H1758:I1758"/>
    <mergeCell ref="J1758:L1758"/>
    <mergeCell ref="F1759:G1759"/>
    <mergeCell ref="H1759:I1759"/>
    <mergeCell ref="J1759:L1759"/>
    <mergeCell ref="H1812:I1812"/>
    <mergeCell ref="J1812:L1812"/>
    <mergeCell ref="F1808:G1808"/>
    <mergeCell ref="H1808:I1808"/>
    <mergeCell ref="J1808:L1808"/>
    <mergeCell ref="F1804:G1804"/>
    <mergeCell ref="H1804:I1804"/>
    <mergeCell ref="J1804:L1804"/>
    <mergeCell ref="A1806:H1806"/>
    <mergeCell ref="F1807:G1807"/>
    <mergeCell ref="H1807:I1807"/>
    <mergeCell ref="J1807:L1807"/>
    <mergeCell ref="F1802:G1802"/>
    <mergeCell ref="H1802:I1802"/>
    <mergeCell ref="J1802:L1802"/>
    <mergeCell ref="F1803:G1803"/>
    <mergeCell ref="H1803:I1803"/>
    <mergeCell ref="J1803:L1803"/>
    <mergeCell ref="A1799:H1799"/>
    <mergeCell ref="F1800:G1800"/>
    <mergeCell ref="H1800:I1800"/>
    <mergeCell ref="J1800:L1800"/>
    <mergeCell ref="F1801:G1801"/>
    <mergeCell ref="H1801:I1801"/>
    <mergeCell ref="J1801:L1801"/>
    <mergeCell ref="F1809:G1809"/>
    <mergeCell ref="H1809:I1809"/>
    <mergeCell ref="J1809:L1809"/>
    <mergeCell ref="A1811:H1811"/>
    <mergeCell ref="F1763:G1763"/>
    <mergeCell ref="H1763:I1763"/>
    <mergeCell ref="J1763:L1763"/>
    <mergeCell ref="A1766:H1766"/>
    <mergeCell ref="F1767:G1767"/>
    <mergeCell ref="H1767:I1767"/>
    <mergeCell ref="J1767:L1767"/>
    <mergeCell ref="F1812:G1812"/>
    <mergeCell ref="A1938:H1938"/>
    <mergeCell ref="F1885:G1885"/>
    <mergeCell ref="H1885:I1885"/>
    <mergeCell ref="J1885:L1885"/>
    <mergeCell ref="F1920:G1920"/>
    <mergeCell ref="H1920:I1920"/>
    <mergeCell ref="J1920:L1920"/>
    <mergeCell ref="F1882:G1882"/>
    <mergeCell ref="H1882:I1882"/>
    <mergeCell ref="J1882:L1882"/>
    <mergeCell ref="F1916:G1916"/>
    <mergeCell ref="H1916:I1916"/>
    <mergeCell ref="J1916:L1916"/>
    <mergeCell ref="A1918:H1918"/>
    <mergeCell ref="F1919:G1919"/>
    <mergeCell ref="H1919:I1919"/>
    <mergeCell ref="J1919:L1919"/>
    <mergeCell ref="F1914:G1914"/>
    <mergeCell ref="H1914:I1914"/>
    <mergeCell ref="J1914:L1914"/>
    <mergeCell ref="F1915:G1915"/>
    <mergeCell ref="H1915:I1915"/>
    <mergeCell ref="J1915:L1915"/>
    <mergeCell ref="F1912:G1912"/>
    <mergeCell ref="H1912:I1912"/>
    <mergeCell ref="J1912:L1912"/>
    <mergeCell ref="F1913:G1913"/>
    <mergeCell ref="H1913:I1913"/>
    <mergeCell ref="J1913:L1913"/>
    <mergeCell ref="F1911:G1911"/>
    <mergeCell ref="H1911:I1911"/>
    <mergeCell ref="J1911:L1911"/>
    <mergeCell ref="F1898:G1898"/>
    <mergeCell ref="H1898:I1898"/>
    <mergeCell ref="F1925:G1925"/>
    <mergeCell ref="H1925:I1925"/>
    <mergeCell ref="J1925:L1925"/>
    <mergeCell ref="F1926:G1926"/>
    <mergeCell ref="H1926:I1926"/>
    <mergeCell ref="J1926:L1926"/>
    <mergeCell ref="F1921:G1921"/>
    <mergeCell ref="H1921:I1921"/>
    <mergeCell ref="J1921:L1921"/>
    <mergeCell ref="A1910:H1910"/>
    <mergeCell ref="A1923:H1923"/>
    <mergeCell ref="F1924:G1924"/>
    <mergeCell ref="H1924:I1924"/>
    <mergeCell ref="J1924:L1924"/>
    <mergeCell ref="F1927:G1927"/>
    <mergeCell ref="H1927:I1927"/>
    <mergeCell ref="J1927:L1927"/>
    <mergeCell ref="F1928:G1928"/>
    <mergeCell ref="H1928:I1928"/>
    <mergeCell ref="J1928:L1928"/>
    <mergeCell ref="A1930:H1930"/>
    <mergeCell ref="F1931:G1931"/>
    <mergeCell ref="H1931:I1931"/>
    <mergeCell ref="J1931:L1931"/>
    <mergeCell ref="F1932:G1932"/>
    <mergeCell ref="H1932:I1932"/>
    <mergeCell ref="J1932:L1932"/>
    <mergeCell ref="A1934:H1934"/>
    <mergeCell ref="F1935:G1935"/>
    <mergeCell ref="H1935:I1935"/>
    <mergeCell ref="J1935:L1935"/>
    <mergeCell ref="F1936:G1936"/>
    <mergeCell ref="H1936:I1936"/>
    <mergeCell ref="J1936:L1936"/>
    <mergeCell ref="F1962:G1962"/>
    <mergeCell ref="H1962:I1962"/>
    <mergeCell ref="J1962:L1962"/>
    <mergeCell ref="F1957:G1957"/>
    <mergeCell ref="H1957:I1957"/>
    <mergeCell ref="J1957:L1957"/>
    <mergeCell ref="F1955:G1955"/>
    <mergeCell ref="H1955:I1955"/>
    <mergeCell ref="J1955:L1955"/>
    <mergeCell ref="F1956:G1956"/>
    <mergeCell ref="H1956:I1956"/>
    <mergeCell ref="J1956:L1956"/>
    <mergeCell ref="F1952:G1952"/>
    <mergeCell ref="H1952:I1952"/>
    <mergeCell ref="J1952:L1952"/>
    <mergeCell ref="F1939:G1939"/>
    <mergeCell ref="H1939:I1939"/>
    <mergeCell ref="J1939:L1939"/>
    <mergeCell ref="F1940:G1940"/>
    <mergeCell ref="H1940:I1940"/>
    <mergeCell ref="J1940:L1940"/>
    <mergeCell ref="F1941:G1941"/>
    <mergeCell ref="H1941:I1941"/>
    <mergeCell ref="J1941:L1941"/>
    <mergeCell ref="A1951:H1951"/>
    <mergeCell ref="F1953:G1953"/>
    <mergeCell ref="H1953:I1953"/>
    <mergeCell ref="J1953:L1953"/>
    <mergeCell ref="F1954:G1954"/>
    <mergeCell ref="H1954:I1954"/>
    <mergeCell ref="J1954:L1954"/>
    <mergeCell ref="F1958:G1958"/>
    <mergeCell ref="H1958:I1958"/>
    <mergeCell ref="J1958:L1958"/>
    <mergeCell ref="F1959:G1959"/>
    <mergeCell ref="H1959:I1959"/>
    <mergeCell ref="J1959:L1959"/>
    <mergeCell ref="A1961:H1961"/>
    <mergeCell ref="F1963:G1963"/>
    <mergeCell ref="H1963:I1963"/>
    <mergeCell ref="J1963:L1963"/>
    <mergeCell ref="F1964:G1964"/>
    <mergeCell ref="H1964:I1964"/>
    <mergeCell ref="J1964:L1964"/>
    <mergeCell ref="F1965:G1965"/>
    <mergeCell ref="H1965:I1965"/>
    <mergeCell ref="J1965:L1965"/>
    <mergeCell ref="A1967:H1967"/>
    <mergeCell ref="F1968:G1968"/>
    <mergeCell ref="H1968:I1968"/>
    <mergeCell ref="J1968:L1968"/>
    <mergeCell ref="F1969:G1969"/>
    <mergeCell ref="H1969:I1969"/>
    <mergeCell ref="J1969:L1969"/>
    <mergeCell ref="A1971:H1971"/>
    <mergeCell ref="F1972:G1972"/>
    <mergeCell ref="H1972:I1972"/>
    <mergeCell ref="J1972:L1972"/>
    <mergeCell ref="F1973:G1973"/>
    <mergeCell ref="H1973:I1973"/>
    <mergeCell ref="J1973:L1973"/>
    <mergeCell ref="A1975:H1975"/>
    <mergeCell ref="F1977:G1977"/>
    <mergeCell ref="H1977:I1977"/>
    <mergeCell ref="J1977:L1977"/>
    <mergeCell ref="A1979:H1979"/>
    <mergeCell ref="F1980:G1980"/>
    <mergeCell ref="H1980:I1980"/>
    <mergeCell ref="J1980:L1980"/>
    <mergeCell ref="F1981:G1981"/>
    <mergeCell ref="H1981:I1981"/>
    <mergeCell ref="F2035:G2035"/>
    <mergeCell ref="H2035:I2035"/>
    <mergeCell ref="J2035:L2035"/>
    <mergeCell ref="F2036:G2036"/>
    <mergeCell ref="H2036:I2036"/>
    <mergeCell ref="J2036:L2036"/>
    <mergeCell ref="F2031:G2031"/>
    <mergeCell ref="H2031:I2031"/>
    <mergeCell ref="J2031:L2031"/>
    <mergeCell ref="F2032:G2032"/>
    <mergeCell ref="H2032:I2032"/>
    <mergeCell ref="J2032:L2032"/>
    <mergeCell ref="A2034:H2034"/>
    <mergeCell ref="F1998:G1998"/>
    <mergeCell ref="H1998:I1998"/>
    <mergeCell ref="J1998:L1998"/>
    <mergeCell ref="F1993:G1993"/>
    <mergeCell ref="H1993:I1993"/>
    <mergeCell ref="J1993:L1993"/>
    <mergeCell ref="F1994:G1994"/>
    <mergeCell ref="H1994:I1994"/>
    <mergeCell ref="J1994:L1994"/>
    <mergeCell ref="F1976:G1976"/>
    <mergeCell ref="H1976:I1976"/>
    <mergeCell ref="J1976:L1976"/>
    <mergeCell ref="J1981:L1981"/>
    <mergeCell ref="F1982:G1982"/>
    <mergeCell ref="H1982:I1982"/>
    <mergeCell ref="J1982:L1982"/>
    <mergeCell ref="A1992:H1992"/>
    <mergeCell ref="F1995:G1995"/>
    <mergeCell ref="H1995:I1995"/>
    <mergeCell ref="J1995:L1995"/>
    <mergeCell ref="A1997:H1997"/>
    <mergeCell ref="F2005:G2005"/>
    <mergeCell ref="H2005:I2005"/>
    <mergeCell ref="J2005:L2005"/>
    <mergeCell ref="F2006:G2006"/>
    <mergeCell ref="H2006:I2006"/>
    <mergeCell ref="J2006:L2006"/>
    <mergeCell ref="A2008:H2008"/>
    <mergeCell ref="F2009:G2009"/>
    <mergeCell ref="H2009:I2009"/>
    <mergeCell ref="J2009:L2009"/>
    <mergeCell ref="F2010:G2010"/>
    <mergeCell ref="H2010:I2010"/>
    <mergeCell ref="J2010:L2010"/>
    <mergeCell ref="F2030:G2030"/>
    <mergeCell ref="H2030:I2030"/>
    <mergeCell ref="J2030:L2030"/>
    <mergeCell ref="F2013:G2013"/>
    <mergeCell ref="H2013:I2013"/>
    <mergeCell ref="J2013:L2013"/>
    <mergeCell ref="F2019:G2019"/>
    <mergeCell ref="H2019:I2019"/>
    <mergeCell ref="J2019:L2019"/>
    <mergeCell ref="A2029:H2029"/>
    <mergeCell ref="A2002:H2002"/>
    <mergeCell ref="F2003:G2003"/>
    <mergeCell ref="H2003:I2003"/>
    <mergeCell ref="J2003:L2003"/>
    <mergeCell ref="F2004:G2004"/>
    <mergeCell ref="H2004:I2004"/>
    <mergeCell ref="J2004:L2004"/>
    <mergeCell ref="F1999:G1999"/>
    <mergeCell ref="H1999:I1999"/>
    <mergeCell ref="J1999:L1999"/>
    <mergeCell ref="F2000:G2000"/>
    <mergeCell ref="H2000:I2000"/>
    <mergeCell ref="J2000:L2000"/>
    <mergeCell ref="A2012:H2012"/>
    <mergeCell ref="F2014:G2014"/>
    <mergeCell ref="H2014:I2014"/>
    <mergeCell ref="J2014:L2014"/>
    <mergeCell ref="A2016:H2016"/>
    <mergeCell ref="F2017:G2017"/>
    <mergeCell ref="H2017:I2017"/>
    <mergeCell ref="J2017:L2017"/>
    <mergeCell ref="F2018:G2018"/>
    <mergeCell ref="H2018:I2018"/>
    <mergeCell ref="J2018:L2018"/>
    <mergeCell ref="F2108:G2108"/>
    <mergeCell ref="H2108:I2108"/>
    <mergeCell ref="J2108:L2108"/>
    <mergeCell ref="F2106:G2106"/>
    <mergeCell ref="H2106:I2106"/>
    <mergeCell ref="J2106:L2106"/>
    <mergeCell ref="F2107:G2107"/>
    <mergeCell ref="H2107:I2107"/>
    <mergeCell ref="J2107:L2107"/>
    <mergeCell ref="F2105:G2105"/>
    <mergeCell ref="H2105:I2105"/>
    <mergeCell ref="J2105:L2105"/>
    <mergeCell ref="F2092:G2092"/>
    <mergeCell ref="H2092:I2092"/>
    <mergeCell ref="J2092:L2092"/>
    <mergeCell ref="F2093:G2093"/>
    <mergeCell ref="H2093:I2093"/>
    <mergeCell ref="J2093:L2093"/>
    <mergeCell ref="F2088:G2088"/>
    <mergeCell ref="H2088:I2088"/>
    <mergeCell ref="J2088:L2088"/>
    <mergeCell ref="A2103:H2103"/>
    <mergeCell ref="F2104:G2104"/>
    <mergeCell ref="H2104:I2104"/>
    <mergeCell ref="J2104:L2104"/>
    <mergeCell ref="A2110:H2110"/>
    <mergeCell ref="F2068:G2068"/>
    <mergeCell ref="H2068:I2068"/>
    <mergeCell ref="J2068:L2068"/>
    <mergeCell ref="F2069:G2069"/>
    <mergeCell ref="H2069:I2069"/>
    <mergeCell ref="J2069:L2069"/>
    <mergeCell ref="F2050:G2050"/>
    <mergeCell ref="H2050:I2050"/>
    <mergeCell ref="J2050:L2050"/>
    <mergeCell ref="F2084:G2084"/>
    <mergeCell ref="H2084:I2084"/>
    <mergeCell ref="J2084:L2084"/>
    <mergeCell ref="F2080:G2080"/>
    <mergeCell ref="H2080:I2080"/>
    <mergeCell ref="J2080:L2080"/>
    <mergeCell ref="F2078:G2078"/>
    <mergeCell ref="H2078:I2078"/>
    <mergeCell ref="J2078:L2078"/>
    <mergeCell ref="F2079:G2079"/>
    <mergeCell ref="H2079:I2079"/>
    <mergeCell ref="J2079:L2079"/>
    <mergeCell ref="F2077:G2077"/>
    <mergeCell ref="H2077:I2077"/>
    <mergeCell ref="J2077:L2077"/>
    <mergeCell ref="A2090:H2090"/>
    <mergeCell ref="F2091:G2091"/>
    <mergeCell ref="H2091:I2091"/>
    <mergeCell ref="J2091:L2091"/>
    <mergeCell ref="F2051:G2051"/>
    <mergeCell ref="H2051:I2051"/>
    <mergeCell ref="J2051:L2051"/>
    <mergeCell ref="A2053:H2053"/>
    <mergeCell ref="F2054:G2054"/>
    <mergeCell ref="H2054:I2054"/>
    <mergeCell ref="J2054:L2054"/>
    <mergeCell ref="F2055:G2055"/>
    <mergeCell ref="H2055:I2055"/>
    <mergeCell ref="J2055:L2055"/>
    <mergeCell ref="F2149:G2149"/>
    <mergeCell ref="H2149:I2149"/>
    <mergeCell ref="J2149:L2149"/>
    <mergeCell ref="F2150:G2150"/>
    <mergeCell ref="H2150:I2150"/>
    <mergeCell ref="J2150:L2150"/>
    <mergeCell ref="F2148:G2148"/>
    <mergeCell ref="H2148:I2148"/>
    <mergeCell ref="J2148:L2148"/>
    <mergeCell ref="F2135:G2135"/>
    <mergeCell ref="H2135:I2135"/>
    <mergeCell ref="J2135:L2135"/>
    <mergeCell ref="F2137:G2137"/>
    <mergeCell ref="H2137:I2137"/>
    <mergeCell ref="J2137:L2137"/>
    <mergeCell ref="A2147:H2147"/>
    <mergeCell ref="F2121:G2121"/>
    <mergeCell ref="H2121:I2121"/>
    <mergeCell ref="J2121:L2121"/>
    <mergeCell ref="F2122:G2122"/>
    <mergeCell ref="H2122:I2122"/>
    <mergeCell ref="J2122:L2122"/>
    <mergeCell ref="F2119:G2119"/>
    <mergeCell ref="H2119:I2119"/>
    <mergeCell ref="J2119:L2119"/>
    <mergeCell ref="F2120:G2120"/>
    <mergeCell ref="H2120:I2120"/>
    <mergeCell ref="J2120:L2120"/>
    <mergeCell ref="F2118:G2118"/>
    <mergeCell ref="H2118:I2118"/>
    <mergeCell ref="J2118:L2118"/>
    <mergeCell ref="F2113:G2113"/>
    <mergeCell ref="H2113:I2113"/>
    <mergeCell ref="J2113:L2113"/>
    <mergeCell ref="F2114:G2114"/>
    <mergeCell ref="H2114:I2114"/>
    <mergeCell ref="J2114:L2114"/>
    <mergeCell ref="F2163:G2163"/>
    <mergeCell ref="H2163:I2163"/>
    <mergeCell ref="J2163:L2163"/>
    <mergeCell ref="F2162:G2162"/>
    <mergeCell ref="H2162:I2162"/>
    <mergeCell ref="J2162:L2162"/>
    <mergeCell ref="F2157:G2157"/>
    <mergeCell ref="H2157:I2157"/>
    <mergeCell ref="J2157:L2157"/>
    <mergeCell ref="F2158:G2158"/>
    <mergeCell ref="H2158:I2158"/>
    <mergeCell ref="J2158:L2158"/>
    <mergeCell ref="F2153:G2153"/>
    <mergeCell ref="H2153:I2153"/>
    <mergeCell ref="J2153:L2153"/>
    <mergeCell ref="A2155:H2155"/>
    <mergeCell ref="F2156:G2156"/>
    <mergeCell ref="H2156:I2156"/>
    <mergeCell ref="J2156:L2156"/>
    <mergeCell ref="F2151:G2151"/>
    <mergeCell ref="H2151:I2151"/>
    <mergeCell ref="J2151:L2151"/>
    <mergeCell ref="F2152:G2152"/>
    <mergeCell ref="H2152:I2152"/>
    <mergeCell ref="J2152:L2152"/>
    <mergeCell ref="A2160:H2160"/>
    <mergeCell ref="F2161:G2161"/>
    <mergeCell ref="H2161:I2161"/>
    <mergeCell ref="J2161:L2161"/>
    <mergeCell ref="F2164:G2164"/>
    <mergeCell ref="H2164:I2164"/>
    <mergeCell ref="J2164:L2164"/>
    <mergeCell ref="F2165:G2165"/>
    <mergeCell ref="H2165:I2165"/>
    <mergeCell ref="J2165:L2165"/>
    <mergeCell ref="F2189:G2189"/>
    <mergeCell ref="H2189:I2189"/>
    <mergeCell ref="J2189:L2189"/>
    <mergeCell ref="F2192:G2192"/>
    <mergeCell ref="H2192:I2192"/>
    <mergeCell ref="J2192:L2192"/>
    <mergeCell ref="F2176:G2176"/>
    <mergeCell ref="H2176:I2176"/>
    <mergeCell ref="J2176:L2176"/>
    <mergeCell ref="A2167:H2167"/>
    <mergeCell ref="F2168:G2168"/>
    <mergeCell ref="H2168:I2168"/>
    <mergeCell ref="J2168:L2168"/>
    <mergeCell ref="F2169:G2169"/>
    <mergeCell ref="H2169:I2169"/>
    <mergeCell ref="J2169:L2169"/>
    <mergeCell ref="A2171:H2171"/>
    <mergeCell ref="F2172:G2172"/>
    <mergeCell ref="H2172:I2172"/>
    <mergeCell ref="J2172:L2172"/>
    <mergeCell ref="F2173:G2173"/>
    <mergeCell ref="H2173:I2173"/>
    <mergeCell ref="J2173:L2173"/>
    <mergeCell ref="A2175:H2175"/>
    <mergeCell ref="F2177:G2177"/>
    <mergeCell ref="H2177:I2177"/>
    <mergeCell ref="J2177:L2177"/>
    <mergeCell ref="F2178:G2178"/>
    <mergeCell ref="H2178:I2178"/>
    <mergeCell ref="J2178:L2178"/>
    <mergeCell ref="A2188:H2188"/>
    <mergeCell ref="F2190:G2190"/>
    <mergeCell ref="H2190:I2190"/>
    <mergeCell ref="J2190:L2190"/>
    <mergeCell ref="F2191:G2191"/>
    <mergeCell ref="H2191:I2191"/>
    <mergeCell ref="J2191:L2191"/>
    <mergeCell ref="F2199:G2199"/>
    <mergeCell ref="H2199:I2199"/>
    <mergeCell ref="J2199:L2199"/>
    <mergeCell ref="F2200:G2200"/>
    <mergeCell ref="H2200:I2200"/>
    <mergeCell ref="J2200:L2200"/>
    <mergeCell ref="F2193:G2193"/>
    <mergeCell ref="H2193:I2193"/>
    <mergeCell ref="J2193:L2193"/>
    <mergeCell ref="F2194:G2194"/>
    <mergeCell ref="H2194:I2194"/>
    <mergeCell ref="J2194:L2194"/>
    <mergeCell ref="F2195:G2195"/>
    <mergeCell ref="H2195:I2195"/>
    <mergeCell ref="J2195:L2195"/>
    <mergeCell ref="F2196:G2196"/>
    <mergeCell ref="H2196:I2196"/>
    <mergeCell ref="J2196:L2196"/>
    <mergeCell ref="A2198:H2198"/>
    <mergeCell ref="F2201:G2201"/>
    <mergeCell ref="H2201:I2201"/>
    <mergeCell ref="J2201:L2201"/>
    <mergeCell ref="F2202:G2202"/>
    <mergeCell ref="H2202:I2202"/>
    <mergeCell ref="J2202:L2202"/>
    <mergeCell ref="A2204:H2204"/>
    <mergeCell ref="F2205:G2205"/>
    <mergeCell ref="H2205:I2205"/>
    <mergeCell ref="J2205:L2205"/>
    <mergeCell ref="F2206:G2206"/>
    <mergeCell ref="H2206:I2206"/>
    <mergeCell ref="J2206:L2206"/>
    <mergeCell ref="A2208:H2208"/>
    <mergeCell ref="F2273:G2273"/>
    <mergeCell ref="H2273:I2273"/>
    <mergeCell ref="J2273:L2273"/>
    <mergeCell ref="F2274:G2274"/>
    <mergeCell ref="H2274:I2274"/>
    <mergeCell ref="J2274:L2274"/>
    <mergeCell ref="F2272:G2272"/>
    <mergeCell ref="H2272:I2272"/>
    <mergeCell ref="J2272:L2272"/>
    <mergeCell ref="F2267:G2267"/>
    <mergeCell ref="H2267:I2267"/>
    <mergeCell ref="J2267:L2267"/>
    <mergeCell ref="F2268:G2268"/>
    <mergeCell ref="H2268:I2268"/>
    <mergeCell ref="J2268:L2268"/>
    <mergeCell ref="F2250:G2250"/>
    <mergeCell ref="H2250:I2250"/>
    <mergeCell ref="J2250:L2250"/>
    <mergeCell ref="F2241:G2241"/>
    <mergeCell ref="H2241:I2241"/>
    <mergeCell ref="J2241:L2241"/>
    <mergeCell ref="F2237:G2237"/>
    <mergeCell ref="H2237:I2237"/>
    <mergeCell ref="J2237:L2237"/>
    <mergeCell ref="A2239:H2239"/>
    <mergeCell ref="F2240:G2240"/>
    <mergeCell ref="H2240:I2240"/>
    <mergeCell ref="J2240:L2240"/>
    <mergeCell ref="F2235:G2235"/>
    <mergeCell ref="H2235:I2235"/>
    <mergeCell ref="J2235:L2235"/>
    <mergeCell ref="F2236:G2236"/>
    <mergeCell ref="H2236:I2236"/>
    <mergeCell ref="J2236:L2236"/>
    <mergeCell ref="F2247:G2247"/>
    <mergeCell ref="H2247:I2247"/>
    <mergeCell ref="J2247:L2247"/>
    <mergeCell ref="A2249:H2249"/>
    <mergeCell ref="F2251:G2251"/>
    <mergeCell ref="H2251:I2251"/>
    <mergeCell ref="J2251:L2251"/>
    <mergeCell ref="A2253:H2253"/>
    <mergeCell ref="F2254:G2254"/>
    <mergeCell ref="H2254:I2254"/>
    <mergeCell ref="J2254:L2254"/>
    <mergeCell ref="F2255:G2255"/>
    <mergeCell ref="H2255:I2255"/>
    <mergeCell ref="J2255:L2255"/>
    <mergeCell ref="F2256:G2256"/>
    <mergeCell ref="H2256:I2256"/>
    <mergeCell ref="J2256:L2256"/>
    <mergeCell ref="A2266:H2266"/>
    <mergeCell ref="F2269:G2269"/>
    <mergeCell ref="H2269:I2269"/>
    <mergeCell ref="J2269:L2269"/>
    <mergeCell ref="A2271:H2271"/>
    <mergeCell ref="H2350:I2350"/>
    <mergeCell ref="J2350:L2350"/>
    <mergeCell ref="F2351:G2351"/>
    <mergeCell ref="H2351:I2351"/>
    <mergeCell ref="J2351:L2351"/>
    <mergeCell ref="F2348:G2348"/>
    <mergeCell ref="H2348:I2348"/>
    <mergeCell ref="J2348:L2348"/>
    <mergeCell ref="F2349:G2349"/>
    <mergeCell ref="H2349:I2349"/>
    <mergeCell ref="J2349:L2349"/>
    <mergeCell ref="F2344:G2344"/>
    <mergeCell ref="H2344:I2344"/>
    <mergeCell ref="J2344:L2344"/>
    <mergeCell ref="F2330:G2330"/>
    <mergeCell ref="H2330:I2330"/>
    <mergeCell ref="J2330:L2330"/>
    <mergeCell ref="A2340:H2340"/>
    <mergeCell ref="F2341:G2341"/>
    <mergeCell ref="H2341:I2341"/>
    <mergeCell ref="J2341:L2341"/>
    <mergeCell ref="F2342:G2342"/>
    <mergeCell ref="H2342:I2342"/>
    <mergeCell ref="J2342:L2342"/>
    <mergeCell ref="F2343:G2343"/>
    <mergeCell ref="H2343:I2343"/>
    <mergeCell ref="J2343:L2343"/>
    <mergeCell ref="A2347:H2347"/>
    <mergeCell ref="A2353:H2353"/>
    <mergeCell ref="F2354:G2354"/>
    <mergeCell ref="H2354:I2354"/>
    <mergeCell ref="J2354:L2354"/>
    <mergeCell ref="F2355:G2355"/>
    <mergeCell ref="F2345:G2345"/>
    <mergeCell ref="H2345:I2345"/>
    <mergeCell ref="J2345:L2345"/>
    <mergeCell ref="F2403:G2403"/>
    <mergeCell ref="H2403:I2403"/>
    <mergeCell ref="J2403:L2403"/>
    <mergeCell ref="F2404:G2404"/>
    <mergeCell ref="H2404:I2404"/>
    <mergeCell ref="J2404:L2404"/>
    <mergeCell ref="F2391:G2391"/>
    <mergeCell ref="H2391:I2391"/>
    <mergeCell ref="J2391:L2391"/>
    <mergeCell ref="F2392:G2392"/>
    <mergeCell ref="H2392:I2392"/>
    <mergeCell ref="J2392:L2392"/>
    <mergeCell ref="F2387:G2387"/>
    <mergeCell ref="H2387:I2387"/>
    <mergeCell ref="J2387:L2387"/>
    <mergeCell ref="F2390:G2390"/>
    <mergeCell ref="H2390:I2390"/>
    <mergeCell ref="J2390:L2390"/>
    <mergeCell ref="F2393:G2393"/>
    <mergeCell ref="H2393:I2393"/>
    <mergeCell ref="J2393:L2393"/>
    <mergeCell ref="F2394:G2394"/>
    <mergeCell ref="H2394:I2394"/>
    <mergeCell ref="J2394:L2394"/>
    <mergeCell ref="F2395:G2395"/>
    <mergeCell ref="H2395:I2395"/>
    <mergeCell ref="J2395:L2395"/>
    <mergeCell ref="F2396:G2396"/>
    <mergeCell ref="H2396:I2396"/>
    <mergeCell ref="J2396:L2396"/>
    <mergeCell ref="A2398:H2398"/>
    <mergeCell ref="F2399:G2399"/>
    <mergeCell ref="H2399:I2399"/>
    <mergeCell ref="J2399:L2399"/>
    <mergeCell ref="F2400:G2400"/>
    <mergeCell ref="H2400:I2400"/>
    <mergeCell ref="J2400:L2400"/>
    <mergeCell ref="F2401:G2401"/>
    <mergeCell ref="H2401:I2401"/>
    <mergeCell ref="J2401:L2401"/>
    <mergeCell ref="F2402:G2402"/>
    <mergeCell ref="H2402:I2402"/>
    <mergeCell ref="J2402:L2402"/>
    <mergeCell ref="F2450:G2450"/>
    <mergeCell ref="H2450:I2450"/>
    <mergeCell ref="J2450:L2450"/>
    <mergeCell ref="F2416:G2416"/>
    <mergeCell ref="H2416:I2416"/>
    <mergeCell ref="J2416:L2416"/>
    <mergeCell ref="F2417:G2417"/>
    <mergeCell ref="H2417:I2417"/>
    <mergeCell ref="J2417:L2417"/>
    <mergeCell ref="F2412:G2412"/>
    <mergeCell ref="H2412:I2412"/>
    <mergeCell ref="J2412:L2412"/>
    <mergeCell ref="F2415:G2415"/>
    <mergeCell ref="H2415:I2415"/>
    <mergeCell ref="J2415:L2415"/>
    <mergeCell ref="F2410:G2410"/>
    <mergeCell ref="H2410:I2410"/>
    <mergeCell ref="J2410:L2410"/>
    <mergeCell ref="F2411:G2411"/>
    <mergeCell ref="H2411:I2411"/>
    <mergeCell ref="J2411:L2411"/>
    <mergeCell ref="H2407:I2407"/>
    <mergeCell ref="J2407:L2407"/>
    <mergeCell ref="F2430:G2430"/>
    <mergeCell ref="H2430:I2430"/>
    <mergeCell ref="J2430:L2430"/>
    <mergeCell ref="F2405:G2405"/>
    <mergeCell ref="H2405:I2405"/>
    <mergeCell ref="J2405:L2405"/>
    <mergeCell ref="F2406:G2406"/>
    <mergeCell ref="H2406:I2406"/>
    <mergeCell ref="J2406:L2406"/>
    <mergeCell ref="F2407:G2407"/>
    <mergeCell ref="F2429:G2429"/>
    <mergeCell ref="H2429:I2429"/>
    <mergeCell ref="J2429:L2429"/>
    <mergeCell ref="F2426:G2426"/>
    <mergeCell ref="H2426:I2426"/>
    <mergeCell ref="J2426:L2426"/>
    <mergeCell ref="F2422:G2422"/>
    <mergeCell ref="H2422:I2422"/>
    <mergeCell ref="J2422:L2422"/>
    <mergeCell ref="F2420:G2420"/>
    <mergeCell ref="H2420:I2420"/>
    <mergeCell ref="J2420:L2420"/>
    <mergeCell ref="F2421:G2421"/>
    <mergeCell ref="H2421:I2421"/>
    <mergeCell ref="J2421:L2421"/>
    <mergeCell ref="F2418:G2418"/>
    <mergeCell ref="H2418:I2418"/>
    <mergeCell ref="J2419:L2419"/>
    <mergeCell ref="H2433:I2433"/>
    <mergeCell ref="J2433:L2433"/>
    <mergeCell ref="F2434:G2434"/>
    <mergeCell ref="H2434:I2434"/>
    <mergeCell ref="J2434:L2434"/>
    <mergeCell ref="F2435:G2435"/>
    <mergeCell ref="H2435:I2435"/>
    <mergeCell ref="J2435:L2435"/>
    <mergeCell ref="F2433:G2433"/>
    <mergeCell ref="F2470:G2470"/>
    <mergeCell ref="H2470:I2470"/>
    <mergeCell ref="J2470:L2470"/>
    <mergeCell ref="F2475:G2475"/>
    <mergeCell ref="H2475:I2475"/>
    <mergeCell ref="F2466:G2466"/>
    <mergeCell ref="H2466:I2466"/>
    <mergeCell ref="J2466:L2466"/>
    <mergeCell ref="F2464:G2464"/>
    <mergeCell ref="H2464:I2464"/>
    <mergeCell ref="J2464:L2464"/>
    <mergeCell ref="F2465:G2465"/>
    <mergeCell ref="H2465:I2465"/>
    <mergeCell ref="J2465:L2465"/>
    <mergeCell ref="F2452:G2452"/>
    <mergeCell ref="H2452:I2452"/>
    <mergeCell ref="J2452:L2452"/>
    <mergeCell ref="F2462:G2462"/>
    <mergeCell ref="H2462:I2462"/>
    <mergeCell ref="J2462:L2462"/>
    <mergeCell ref="F2463:G2463"/>
    <mergeCell ref="H2463:I2463"/>
    <mergeCell ref="J2463:L2463"/>
    <mergeCell ref="F2461:G2461"/>
    <mergeCell ref="H2461:I2461"/>
    <mergeCell ref="J2461:L2461"/>
    <mergeCell ref="F2453:G2453"/>
    <mergeCell ref="H2453:I2453"/>
    <mergeCell ref="J2453:L2453"/>
    <mergeCell ref="F2454:G2454"/>
    <mergeCell ref="H2454:I2454"/>
    <mergeCell ref="J2454:L2454"/>
    <mergeCell ref="F2455:G2455"/>
    <mergeCell ref="H2455:I2455"/>
    <mergeCell ref="J2455:L2455"/>
    <mergeCell ref="J2475:L2475"/>
    <mergeCell ref="F2539:G2539"/>
    <mergeCell ref="H2539:I2539"/>
    <mergeCell ref="J2539:L2539"/>
    <mergeCell ref="F2540:G2540"/>
    <mergeCell ref="H2540:I2540"/>
    <mergeCell ref="J2540:L2540"/>
    <mergeCell ref="F2535:G2535"/>
    <mergeCell ref="H2535:I2535"/>
    <mergeCell ref="J2535:L2535"/>
    <mergeCell ref="A2537:H2537"/>
    <mergeCell ref="F2538:G2538"/>
    <mergeCell ref="H2538:I2538"/>
    <mergeCell ref="J2538:L2538"/>
    <mergeCell ref="F2531:G2531"/>
    <mergeCell ref="H2531:I2531"/>
    <mergeCell ref="J2531:L2531"/>
    <mergeCell ref="A2533:H2533"/>
    <mergeCell ref="F2534:G2534"/>
    <mergeCell ref="H2534:I2534"/>
    <mergeCell ref="J2534:L2534"/>
    <mergeCell ref="F2527:G2527"/>
    <mergeCell ref="H2527:I2527"/>
    <mergeCell ref="J2527:L2527"/>
    <mergeCell ref="A2529:H2529"/>
    <mergeCell ref="F2530:G2530"/>
    <mergeCell ref="H2530:I2530"/>
    <mergeCell ref="J2530:L2530"/>
    <mergeCell ref="F2562:G2562"/>
    <mergeCell ref="H2562:I2562"/>
    <mergeCell ref="J2562:L2562"/>
    <mergeCell ref="F2508:G2508"/>
    <mergeCell ref="H2508:I2508"/>
    <mergeCell ref="J2508:L2508"/>
    <mergeCell ref="F2509:G2509"/>
    <mergeCell ref="H2509:I2509"/>
    <mergeCell ref="J2509:L2509"/>
    <mergeCell ref="F2524:G2524"/>
    <mergeCell ref="H2524:I2524"/>
    <mergeCell ref="J2524:L2524"/>
    <mergeCell ref="F2522:G2522"/>
    <mergeCell ref="H2522:I2522"/>
    <mergeCell ref="J2522:L2522"/>
    <mergeCell ref="F2523:G2523"/>
    <mergeCell ref="H2523:I2523"/>
    <mergeCell ref="J2523:L2523"/>
    <mergeCell ref="F2516:G2516"/>
    <mergeCell ref="H2516:I2516"/>
    <mergeCell ref="J2516:L2516"/>
    <mergeCell ref="F2517:G2517"/>
    <mergeCell ref="H2517:I2517"/>
    <mergeCell ref="J2517:L2517"/>
    <mergeCell ref="F2510:G2510"/>
    <mergeCell ref="A2564:H2564"/>
    <mergeCell ref="F2525:G2525"/>
    <mergeCell ref="H2525:I2525"/>
    <mergeCell ref="J2525:L2525"/>
    <mergeCell ref="F2526:G2526"/>
    <mergeCell ref="H2526:I2526"/>
    <mergeCell ref="J2526:L2526"/>
    <mergeCell ref="F2560:G2560"/>
    <mergeCell ref="H2560:I2560"/>
    <mergeCell ref="J2560:L2560"/>
    <mergeCell ref="F2561:G2561"/>
    <mergeCell ref="H2561:I2561"/>
    <mergeCell ref="J2561:L2561"/>
    <mergeCell ref="F2556:G2556"/>
    <mergeCell ref="H2556:I2556"/>
    <mergeCell ref="J2556:L2556"/>
    <mergeCell ref="A2558:H2558"/>
    <mergeCell ref="F2559:G2559"/>
    <mergeCell ref="H2559:I2559"/>
    <mergeCell ref="J2559:L2559"/>
    <mergeCell ref="J2553:L2553"/>
    <mergeCell ref="F2554:G2554"/>
    <mergeCell ref="H2554:I2554"/>
    <mergeCell ref="J2554:L2554"/>
    <mergeCell ref="F2555:G2555"/>
    <mergeCell ref="H2555:I2555"/>
    <mergeCell ref="J2555:L2555"/>
    <mergeCell ref="A2580:H2580"/>
    <mergeCell ref="A2550:H2550"/>
    <mergeCell ref="F2551:G2551"/>
    <mergeCell ref="H2551:I2551"/>
    <mergeCell ref="J2551:L2551"/>
    <mergeCell ref="F2552:G2552"/>
    <mergeCell ref="H2552:I2552"/>
    <mergeCell ref="J2552:L2552"/>
    <mergeCell ref="F2553:G2553"/>
    <mergeCell ref="H2553:I2553"/>
    <mergeCell ref="A2576:H2576"/>
    <mergeCell ref="F2577:G2577"/>
    <mergeCell ref="H2577:I2577"/>
    <mergeCell ref="J2577:L2577"/>
    <mergeCell ref="F2578:G2578"/>
    <mergeCell ref="H2578:I2578"/>
    <mergeCell ref="J2578:L2578"/>
    <mergeCell ref="A2572:H2572"/>
    <mergeCell ref="F2573:G2573"/>
    <mergeCell ref="H2573:I2573"/>
    <mergeCell ref="J2573:L2573"/>
    <mergeCell ref="F2574:G2574"/>
    <mergeCell ref="H2574:I2574"/>
    <mergeCell ref="J2574:L2574"/>
    <mergeCell ref="F2569:G2569"/>
    <mergeCell ref="H2569:I2569"/>
    <mergeCell ref="J2569:L2569"/>
    <mergeCell ref="F2570:G2570"/>
    <mergeCell ref="H2570:I2570"/>
    <mergeCell ref="J2570:L2570"/>
    <mergeCell ref="F2567:G2567"/>
    <mergeCell ref="H2567:I2567"/>
    <mergeCell ref="J2567:L2567"/>
    <mergeCell ref="F2568:G2568"/>
    <mergeCell ref="H2568:I2568"/>
    <mergeCell ref="J2568:L2568"/>
    <mergeCell ref="F2565:G2565"/>
    <mergeCell ref="H2565:I2565"/>
    <mergeCell ref="J2565:L2565"/>
    <mergeCell ref="F2566:G2566"/>
    <mergeCell ref="H2566:I2566"/>
    <mergeCell ref="J2566:L2566"/>
    <mergeCell ref="A2601:H2601"/>
    <mergeCell ref="F2602:G2602"/>
    <mergeCell ref="H2602:I2602"/>
    <mergeCell ref="J2602:L2602"/>
    <mergeCell ref="F2603:G2603"/>
    <mergeCell ref="H2603:I2603"/>
    <mergeCell ref="J2603:L2603"/>
    <mergeCell ref="F2598:G2598"/>
    <mergeCell ref="H2598:I2598"/>
    <mergeCell ref="J2598:L2598"/>
    <mergeCell ref="F2599:G2599"/>
    <mergeCell ref="H2599:I2599"/>
    <mergeCell ref="J2599:L2599"/>
    <mergeCell ref="F2596:G2596"/>
    <mergeCell ref="H2596:I2596"/>
    <mergeCell ref="J2596:L2596"/>
    <mergeCell ref="F2597:G2597"/>
    <mergeCell ref="H2597:I2597"/>
    <mergeCell ref="J2597:L2597"/>
    <mergeCell ref="A2593:H2593"/>
    <mergeCell ref="F2594:G2594"/>
    <mergeCell ref="H2594:I2594"/>
    <mergeCell ref="J2594:L2594"/>
    <mergeCell ref="F2595:G2595"/>
    <mergeCell ref="H2595:I2595"/>
    <mergeCell ref="J2595:L2595"/>
    <mergeCell ref="A2619:H2619"/>
    <mergeCell ref="F2581:G2581"/>
    <mergeCell ref="H2581:I2581"/>
    <mergeCell ref="J2581:L2581"/>
    <mergeCell ref="F2582:G2582"/>
    <mergeCell ref="H2582:I2582"/>
    <mergeCell ref="J2582:L2582"/>
    <mergeCell ref="F2583:G2583"/>
    <mergeCell ref="H2583:I2583"/>
    <mergeCell ref="J2583:L2583"/>
    <mergeCell ref="A2615:H2615"/>
    <mergeCell ref="F2616:G2616"/>
    <mergeCell ref="H2616:I2616"/>
    <mergeCell ref="J2616:L2616"/>
    <mergeCell ref="F2617:G2617"/>
    <mergeCell ref="H2617:I2617"/>
    <mergeCell ref="J2617:L2617"/>
    <mergeCell ref="F2612:G2612"/>
    <mergeCell ref="H2612:I2612"/>
    <mergeCell ref="J2612:L2612"/>
    <mergeCell ref="F2613:G2613"/>
    <mergeCell ref="H2613:I2613"/>
    <mergeCell ref="J2613:L2613"/>
    <mergeCell ref="F2610:G2610"/>
    <mergeCell ref="H2610:I2610"/>
    <mergeCell ref="J2610:L2610"/>
    <mergeCell ref="F2611:G2611"/>
    <mergeCell ref="H2611:I2611"/>
    <mergeCell ref="J2611:L2611"/>
    <mergeCell ref="F2608:G2608"/>
    <mergeCell ref="H2608:I2608"/>
    <mergeCell ref="J2608:L2608"/>
    <mergeCell ref="F2609:G2609"/>
    <mergeCell ref="H2609:I2609"/>
    <mergeCell ref="J2609:L2609"/>
    <mergeCell ref="F2642:G2642"/>
    <mergeCell ref="H2642:I2642"/>
    <mergeCell ref="J2642:L2642"/>
    <mergeCell ref="F2604:G2604"/>
    <mergeCell ref="H2604:I2604"/>
    <mergeCell ref="J2604:L2604"/>
    <mergeCell ref="F2605:G2605"/>
    <mergeCell ref="H2605:I2605"/>
    <mergeCell ref="J2605:L2605"/>
    <mergeCell ref="A2607:H2607"/>
    <mergeCell ref="F2640:G2640"/>
    <mergeCell ref="H2640:I2640"/>
    <mergeCell ref="J2640:L2640"/>
    <mergeCell ref="F2641:G2641"/>
    <mergeCell ref="H2641:I2641"/>
    <mergeCell ref="J2641:L2641"/>
    <mergeCell ref="F2638:G2638"/>
    <mergeCell ref="H2638:I2638"/>
    <mergeCell ref="J2638:L2638"/>
    <mergeCell ref="F2639:G2639"/>
    <mergeCell ref="H2639:I2639"/>
    <mergeCell ref="J2639:L2639"/>
    <mergeCell ref="F2626:G2626"/>
    <mergeCell ref="H2626:I2626"/>
    <mergeCell ref="J2626:L2626"/>
    <mergeCell ref="A2636:H2636"/>
    <mergeCell ref="F2637:G2637"/>
    <mergeCell ref="H2637:I2637"/>
    <mergeCell ref="J2637:L2637"/>
    <mergeCell ref="A2623:H2623"/>
    <mergeCell ref="F2624:G2624"/>
    <mergeCell ref="H2624:I2624"/>
    <mergeCell ref="J2624:L2624"/>
    <mergeCell ref="F2625:G2625"/>
    <mergeCell ref="H2625:I2625"/>
    <mergeCell ref="J2625:L2625"/>
    <mergeCell ref="F2620:G2620"/>
    <mergeCell ref="H2620:I2620"/>
    <mergeCell ref="J2620:L2620"/>
    <mergeCell ref="F2621:G2621"/>
    <mergeCell ref="H2621:I2621"/>
    <mergeCell ref="J2621:L2621"/>
    <mergeCell ref="F2647:G2647"/>
    <mergeCell ref="H2647:I2647"/>
    <mergeCell ref="J2647:L2647"/>
    <mergeCell ref="F2648:G2648"/>
    <mergeCell ref="H2648:I2648"/>
    <mergeCell ref="J2648:L2648"/>
    <mergeCell ref="A2644:H2644"/>
    <mergeCell ref="F2645:G2645"/>
    <mergeCell ref="H2645:I2645"/>
    <mergeCell ref="J2645:L2645"/>
    <mergeCell ref="F2646:G2646"/>
    <mergeCell ref="H2646:I2646"/>
    <mergeCell ref="J2646:L2646"/>
    <mergeCell ref="F2655:G2655"/>
    <mergeCell ref="H2655:I2655"/>
    <mergeCell ref="J2655:L2655"/>
    <mergeCell ref="F2656:G2656"/>
    <mergeCell ref="H2656:I2656"/>
    <mergeCell ref="J2656:L2656"/>
    <mergeCell ref="A2658:H2658"/>
    <mergeCell ref="F2659:G2659"/>
    <mergeCell ref="H2659:I2659"/>
    <mergeCell ref="J2659:L2659"/>
    <mergeCell ref="F2660:G2660"/>
    <mergeCell ref="H2660:I2660"/>
    <mergeCell ref="J2660:L2660"/>
    <mergeCell ref="A2662:H2662"/>
    <mergeCell ref="F2663:G2663"/>
    <mergeCell ref="H2663:I2663"/>
    <mergeCell ref="J2663:L2663"/>
    <mergeCell ref="F2664:G2664"/>
    <mergeCell ref="H2664:I2664"/>
    <mergeCell ref="J2664:L2664"/>
    <mergeCell ref="J2667:L2667"/>
    <mergeCell ref="F2653:G2653"/>
    <mergeCell ref="H2653:I2653"/>
    <mergeCell ref="J2653:L2653"/>
    <mergeCell ref="F2654:G2654"/>
    <mergeCell ref="H2654:I2654"/>
    <mergeCell ref="J2654:L2654"/>
    <mergeCell ref="A2650:H2650"/>
    <mergeCell ref="F2651:G2651"/>
    <mergeCell ref="H2651:I2651"/>
    <mergeCell ref="J2651:L2651"/>
    <mergeCell ref="F2652:G2652"/>
    <mergeCell ref="H2652:I2652"/>
    <mergeCell ref="J2652:L2652"/>
    <mergeCell ref="A2666:H2666"/>
    <mergeCell ref="F2667:G2667"/>
    <mergeCell ref="H2667:I2667"/>
    <mergeCell ref="F2668:G2668"/>
    <mergeCell ref="H2668:I2668"/>
    <mergeCell ref="J2668:L2668"/>
    <mergeCell ref="F2669:G2669"/>
    <mergeCell ref="H2669:I2669"/>
    <mergeCell ref="J2669:L2669"/>
    <mergeCell ref="A2679:H2679"/>
    <mergeCell ref="F2682:G2682"/>
    <mergeCell ref="H2682:I2682"/>
    <mergeCell ref="J2682:L2682"/>
    <mergeCell ref="F2683:G2683"/>
    <mergeCell ref="H2683:I2683"/>
    <mergeCell ref="J2683:L2683"/>
    <mergeCell ref="F2696:G2696"/>
    <mergeCell ref="H2696:I2696"/>
    <mergeCell ref="J2696:L2696"/>
    <mergeCell ref="F2691:G2691"/>
    <mergeCell ref="H2691:I2691"/>
    <mergeCell ref="J2691:L2691"/>
    <mergeCell ref="A2693:H2693"/>
    <mergeCell ref="J2834:L2834"/>
    <mergeCell ref="F2769:G2769"/>
    <mergeCell ref="H2769:I2769"/>
    <mergeCell ref="J2769:L2769"/>
    <mergeCell ref="A2773:H2773"/>
    <mergeCell ref="A2779:H2779"/>
    <mergeCell ref="F2780:G2780"/>
    <mergeCell ref="H2780:I2780"/>
    <mergeCell ref="J2780:L2780"/>
    <mergeCell ref="A2783:H2783"/>
    <mergeCell ref="A2787:H2787"/>
    <mergeCell ref="H2747:I2747"/>
    <mergeCell ref="J2747:L2747"/>
    <mergeCell ref="F2777:G2777"/>
    <mergeCell ref="H2777:I2777"/>
    <mergeCell ref="J2777:L2777"/>
    <mergeCell ref="F2742:G2742"/>
    <mergeCell ref="H2742:I2742"/>
    <mergeCell ref="J2742:L2742"/>
    <mergeCell ref="A2744:H2744"/>
    <mergeCell ref="F2745:G2745"/>
    <mergeCell ref="H2745:I2745"/>
    <mergeCell ref="J2745:L2745"/>
    <mergeCell ref="F2775:G2775"/>
    <mergeCell ref="H2775:I2775"/>
    <mergeCell ref="J2775:L2775"/>
    <mergeCell ref="F2776:G2776"/>
    <mergeCell ref="H2776:I2776"/>
    <mergeCell ref="J2776:L2776"/>
    <mergeCell ref="F2774:G2774"/>
    <mergeCell ref="H2774:I2774"/>
    <mergeCell ref="J2774:L2774"/>
    <mergeCell ref="F2771:G2771"/>
    <mergeCell ref="H2771:I2771"/>
    <mergeCell ref="J2771:L2771"/>
    <mergeCell ref="F2770:G2770"/>
    <mergeCell ref="H2770:I2770"/>
    <mergeCell ref="J2770:L2770"/>
    <mergeCell ref="F2764:G2764"/>
    <mergeCell ref="H2764:I2764"/>
    <mergeCell ref="J2764:L2764"/>
    <mergeCell ref="F2762:G2762"/>
    <mergeCell ref="H2762:I2762"/>
    <mergeCell ref="J2762:L2762"/>
    <mergeCell ref="F2763:G2763"/>
    <mergeCell ref="H2763:I2763"/>
    <mergeCell ref="J2763:L2763"/>
    <mergeCell ref="F2760:G2760"/>
    <mergeCell ref="H2760:I2760"/>
    <mergeCell ref="J2760:L2760"/>
    <mergeCell ref="F2761:G2761"/>
    <mergeCell ref="H2761:I2761"/>
    <mergeCell ref="J2761:L2761"/>
    <mergeCell ref="A2757:H2757"/>
    <mergeCell ref="F2758:G2758"/>
    <mergeCell ref="H2758:I2758"/>
    <mergeCell ref="J2758:L2758"/>
    <mergeCell ref="F2781:G2781"/>
    <mergeCell ref="H2781:I2781"/>
    <mergeCell ref="F2804:G2804"/>
    <mergeCell ref="H2804:I2804"/>
    <mergeCell ref="J2804:L2804"/>
    <mergeCell ref="F2805:G2805"/>
    <mergeCell ref="H2805:I2805"/>
    <mergeCell ref="J2805:L2805"/>
    <mergeCell ref="F2803:G2803"/>
    <mergeCell ref="H2803:I2803"/>
    <mergeCell ref="J2803:L2803"/>
    <mergeCell ref="F2829:G2829"/>
    <mergeCell ref="H2829:I2829"/>
    <mergeCell ref="J2829:L2829"/>
    <mergeCell ref="F2830:G2830"/>
    <mergeCell ref="H2830:I2830"/>
    <mergeCell ref="J2830:L2830"/>
    <mergeCell ref="F2825:G2825"/>
    <mergeCell ref="H2825:I2825"/>
    <mergeCell ref="J2825:L2825"/>
    <mergeCell ref="F2828:G2828"/>
    <mergeCell ref="H2828:I2828"/>
    <mergeCell ref="J2828:L2828"/>
    <mergeCell ref="F2824:G2824"/>
    <mergeCell ref="H2824:I2824"/>
    <mergeCell ref="J2824:L2824"/>
    <mergeCell ref="F2819:G2819"/>
    <mergeCell ref="H2819:I2819"/>
    <mergeCell ref="J2819:L2819"/>
    <mergeCell ref="F2790:G2790"/>
    <mergeCell ref="H2790:I2790"/>
    <mergeCell ref="J2790:L2790"/>
    <mergeCell ref="F2788:G2788"/>
    <mergeCell ref="H2788:I2788"/>
    <mergeCell ref="J2788:L2788"/>
    <mergeCell ref="F2789:G2789"/>
    <mergeCell ref="H2789:I2789"/>
    <mergeCell ref="J2789:L2789"/>
    <mergeCell ref="F2784:G2784"/>
    <mergeCell ref="H2784:I2784"/>
    <mergeCell ref="J2784:L2784"/>
    <mergeCell ref="F2785:G2785"/>
    <mergeCell ref="H2785:I2785"/>
    <mergeCell ref="J2785:L2785"/>
    <mergeCell ref="J2781:L2781"/>
    <mergeCell ref="A2823:H2823"/>
    <mergeCell ref="F2826:G2826"/>
    <mergeCell ref="H2826:I2826"/>
    <mergeCell ref="J2826:L2826"/>
    <mergeCell ref="F2827:G2827"/>
    <mergeCell ref="H2827:I2827"/>
    <mergeCell ref="J2827:L2827"/>
    <mergeCell ref="A2800:H2800"/>
    <mergeCell ref="F2801:G2801"/>
    <mergeCell ref="H2801:I2801"/>
    <mergeCell ref="J2801:L2801"/>
    <mergeCell ref="F2802:G2802"/>
    <mergeCell ref="H2802:I2802"/>
    <mergeCell ref="J2802:L2802"/>
    <mergeCell ref="F2806:G2806"/>
    <mergeCell ref="H2806:I2806"/>
    <mergeCell ref="J2806:L2806"/>
    <mergeCell ref="F2807:G2807"/>
    <mergeCell ref="H2807:I2807"/>
    <mergeCell ref="F2831:G2831"/>
    <mergeCell ref="H2831:I2831"/>
    <mergeCell ref="J2831:L2831"/>
    <mergeCell ref="F2832:G2832"/>
    <mergeCell ref="H2832:I2832"/>
    <mergeCell ref="J2832:L2832"/>
    <mergeCell ref="F2835:G2835"/>
    <mergeCell ref="H2835:I2835"/>
    <mergeCell ref="J2835:L2835"/>
    <mergeCell ref="A2837:H2837"/>
    <mergeCell ref="F2839:G2839"/>
    <mergeCell ref="H2839:I2839"/>
    <mergeCell ref="J2839:L2839"/>
    <mergeCell ref="A2841:H2841"/>
    <mergeCell ref="F2905:G2905"/>
    <mergeCell ref="H2905:I2905"/>
    <mergeCell ref="J2905:L2905"/>
    <mergeCell ref="F2906:G2906"/>
    <mergeCell ref="H2906:I2906"/>
    <mergeCell ref="J2906:L2906"/>
    <mergeCell ref="F2885:G2885"/>
    <mergeCell ref="H2885:I2885"/>
    <mergeCell ref="J2885:L2885"/>
    <mergeCell ref="F2898:G2898"/>
    <mergeCell ref="H2898:I2898"/>
    <mergeCell ref="J2898:L2898"/>
    <mergeCell ref="F2899:G2899"/>
    <mergeCell ref="H2899:I2899"/>
    <mergeCell ref="J2899:L2899"/>
    <mergeCell ref="F2900:G2900"/>
    <mergeCell ref="H2900:I2900"/>
    <mergeCell ref="J2900:L2900"/>
    <mergeCell ref="F2901:G2901"/>
    <mergeCell ref="H2901:I2901"/>
    <mergeCell ref="J2901:L2901"/>
    <mergeCell ref="A2903:H2903"/>
    <mergeCell ref="F2904:G2904"/>
    <mergeCell ref="H2904:I2904"/>
    <mergeCell ref="J2904:L2904"/>
    <mergeCell ref="F2846:G2846"/>
    <mergeCell ref="H2846:I2846"/>
    <mergeCell ref="J2846:L2846"/>
    <mergeCell ref="F2847:G2847"/>
    <mergeCell ref="H2847:I2847"/>
    <mergeCell ref="J2847:L2847"/>
    <mergeCell ref="F2848:G2848"/>
    <mergeCell ref="H2848:I2848"/>
    <mergeCell ref="J2848:L2848"/>
    <mergeCell ref="A2858:H2858"/>
    <mergeCell ref="A2845:H2845"/>
    <mergeCell ref="F2843:G2843"/>
    <mergeCell ref="H2843:I2843"/>
    <mergeCell ref="J2843:L2843"/>
    <mergeCell ref="F2842:G2842"/>
    <mergeCell ref="H2842:I2842"/>
    <mergeCell ref="J2842:L2842"/>
    <mergeCell ref="F2838:G2838"/>
    <mergeCell ref="H2838:I2838"/>
    <mergeCell ref="J2838:L2838"/>
    <mergeCell ref="F2833:G2833"/>
    <mergeCell ref="H2833:I2833"/>
    <mergeCell ref="J2833:L2833"/>
    <mergeCell ref="F2834:G2834"/>
    <mergeCell ref="H2834:I2834"/>
    <mergeCell ref="A2908:H2908"/>
    <mergeCell ref="F2866:G2866"/>
    <mergeCell ref="H2866:I2866"/>
    <mergeCell ref="J2866:L2866"/>
    <mergeCell ref="F2863:G2863"/>
    <mergeCell ref="H2863:I2863"/>
    <mergeCell ref="J2863:L2863"/>
    <mergeCell ref="F2859:G2859"/>
    <mergeCell ref="H2859:I2859"/>
    <mergeCell ref="J2859:L2859"/>
    <mergeCell ref="F2860:G2860"/>
    <mergeCell ref="H2860:I2860"/>
    <mergeCell ref="J2860:L2860"/>
    <mergeCell ref="A2883:H2883"/>
    <mergeCell ref="F2884:G2884"/>
    <mergeCell ref="H2884:I2884"/>
    <mergeCell ref="J2884:L2884"/>
    <mergeCell ref="F2880:G2880"/>
    <mergeCell ref="H2880:I2880"/>
    <mergeCell ref="J2880:L2880"/>
    <mergeCell ref="F2881:G2881"/>
    <mergeCell ref="H2881:I2881"/>
    <mergeCell ref="J2881:L2881"/>
    <mergeCell ref="F2876:G2876"/>
    <mergeCell ref="H2876:I2876"/>
    <mergeCell ref="J2876:L2876"/>
    <mergeCell ref="F2877:G2877"/>
    <mergeCell ref="H2877:I2877"/>
    <mergeCell ref="J2877:L2877"/>
    <mergeCell ref="F2872:G2872"/>
    <mergeCell ref="H2872:I2872"/>
    <mergeCell ref="J2872:L2872"/>
    <mergeCell ref="F2873:G2873"/>
    <mergeCell ref="F2861:G2861"/>
    <mergeCell ref="H2861:I2861"/>
    <mergeCell ref="J2861:L2861"/>
    <mergeCell ref="F2862:G2862"/>
    <mergeCell ref="H2862:I2862"/>
    <mergeCell ref="J2862:L2862"/>
    <mergeCell ref="A2865:H2865"/>
    <mergeCell ref="F2867:G2867"/>
    <mergeCell ref="H2867:I2867"/>
    <mergeCell ref="J2867:L2867"/>
    <mergeCell ref="F2868:G2868"/>
    <mergeCell ref="H2868:I2868"/>
    <mergeCell ref="J2868:L2868"/>
    <mergeCell ref="A2870:H2870"/>
    <mergeCell ref="A2875:H2875"/>
    <mergeCell ref="A2879:H2879"/>
    <mergeCell ref="F2886:G2886"/>
    <mergeCell ref="H2886:I2886"/>
    <mergeCell ref="J2886:L2886"/>
    <mergeCell ref="A2896:H2896"/>
    <mergeCell ref="F2897:G2897"/>
    <mergeCell ref="H2897:I2897"/>
    <mergeCell ref="J2897:L2897"/>
    <mergeCell ref="H2873:I2873"/>
    <mergeCell ref="J2873:L2873"/>
    <mergeCell ref="F2871:G2871"/>
    <mergeCell ref="H2871:I2871"/>
    <mergeCell ref="J2871:L2871"/>
    <mergeCell ref="F2924:G2924"/>
    <mergeCell ref="H2924:I2924"/>
    <mergeCell ref="J2924:L2924"/>
    <mergeCell ref="F2920:G2920"/>
    <mergeCell ref="H2920:I2920"/>
    <mergeCell ref="J2920:L2920"/>
    <mergeCell ref="F2917:G2917"/>
    <mergeCell ref="H2917:I2917"/>
    <mergeCell ref="J2917:L2917"/>
    <mergeCell ref="F2913:G2913"/>
    <mergeCell ref="H2913:I2913"/>
    <mergeCell ref="J2913:L2913"/>
    <mergeCell ref="F2909:G2909"/>
    <mergeCell ref="H2909:I2909"/>
    <mergeCell ref="J2909:L2909"/>
    <mergeCell ref="F2912:G2912"/>
    <mergeCell ref="H2912:I2912"/>
    <mergeCell ref="J2912:L2912"/>
    <mergeCell ref="F2910:G2910"/>
    <mergeCell ref="H2910:I2910"/>
    <mergeCell ref="J2910:L2910"/>
    <mergeCell ref="F2911:G2911"/>
    <mergeCell ref="H2911:I2911"/>
    <mergeCell ref="J2911:L2911"/>
    <mergeCell ref="A2915:H2915"/>
    <mergeCell ref="F2916:G2916"/>
    <mergeCell ref="H2916:I2916"/>
    <mergeCell ref="J2916:L2916"/>
    <mergeCell ref="A2919:H2919"/>
    <mergeCell ref="F2921:G2921"/>
    <mergeCell ref="H2921:I2921"/>
    <mergeCell ref="J2921:L2921"/>
    <mergeCell ref="A2923:H2923"/>
    <mergeCell ref="F2963:G2963"/>
    <mergeCell ref="H2963:I2963"/>
    <mergeCell ref="J2963:L2963"/>
    <mergeCell ref="F2959:G2959"/>
    <mergeCell ref="H2959:I2959"/>
    <mergeCell ref="J2959:L2959"/>
    <mergeCell ref="F2956:G2956"/>
    <mergeCell ref="H2956:I2956"/>
    <mergeCell ref="J2956:L2956"/>
    <mergeCell ref="F2951:G2951"/>
    <mergeCell ref="H2951:I2951"/>
    <mergeCell ref="J2951:L2951"/>
    <mergeCell ref="F2952:G2952"/>
    <mergeCell ref="H2952:I2952"/>
    <mergeCell ref="J2952:L2952"/>
    <mergeCell ref="A2958:H2958"/>
    <mergeCell ref="F2960:G2960"/>
    <mergeCell ref="H2960:I2960"/>
    <mergeCell ref="J2960:L2960"/>
    <mergeCell ref="A2962:H2962"/>
    <mergeCell ref="F2964:G2964"/>
    <mergeCell ref="H2964:I2964"/>
    <mergeCell ref="J2964:L2964"/>
    <mergeCell ref="F2965:G2965"/>
    <mergeCell ref="H2965:I2965"/>
    <mergeCell ref="J2965:L2965"/>
    <mergeCell ref="F2945:G2945"/>
    <mergeCell ref="H2945:I2945"/>
    <mergeCell ref="J2945:L2945"/>
    <mergeCell ref="F2946:G2946"/>
    <mergeCell ref="H2946:I2946"/>
    <mergeCell ref="J2946:L2946"/>
    <mergeCell ref="A2943:H2943"/>
    <mergeCell ref="F2944:G2944"/>
    <mergeCell ref="H2944:I2944"/>
    <mergeCell ref="J2944:L2944"/>
    <mergeCell ref="F2998:G2998"/>
    <mergeCell ref="H2998:I2998"/>
    <mergeCell ref="J2998:L2998"/>
    <mergeCell ref="F2995:G2995"/>
    <mergeCell ref="H2995:I2995"/>
    <mergeCell ref="J2995:L2995"/>
    <mergeCell ref="F2991:G2991"/>
    <mergeCell ref="H2991:I2991"/>
    <mergeCell ref="J2991:L2991"/>
    <mergeCell ref="A2993:H2993"/>
    <mergeCell ref="F2994:G2994"/>
    <mergeCell ref="H2994:I2994"/>
    <mergeCell ref="J2994:L2994"/>
    <mergeCell ref="A2997:H2997"/>
    <mergeCell ref="F3004:G3004"/>
    <mergeCell ref="H3004:I3004"/>
    <mergeCell ref="J3004:L3004"/>
    <mergeCell ref="F2990:G2990"/>
    <mergeCell ref="H2990:I2990"/>
    <mergeCell ref="J2990:L2990"/>
    <mergeCell ref="F2985:G2985"/>
    <mergeCell ref="H2985:I2985"/>
    <mergeCell ref="J2985:L2985"/>
    <mergeCell ref="A2982:H2982"/>
    <mergeCell ref="F2983:G2983"/>
    <mergeCell ref="H2983:I2983"/>
    <mergeCell ref="J2983:L2983"/>
    <mergeCell ref="F2984:G2984"/>
    <mergeCell ref="H2984:I2984"/>
    <mergeCell ref="J2984:L2984"/>
    <mergeCell ref="A2975:H2975"/>
    <mergeCell ref="F2976:G2976"/>
    <mergeCell ref="H2976:I2976"/>
    <mergeCell ref="J2976:L2976"/>
    <mergeCell ref="F2977:G2977"/>
    <mergeCell ref="H2977:I2977"/>
    <mergeCell ref="J2977:L2977"/>
    <mergeCell ref="F2978:G2978"/>
    <mergeCell ref="H2978:I2978"/>
    <mergeCell ref="J2978:L2978"/>
    <mergeCell ref="F2979:G2979"/>
    <mergeCell ref="H2979:I2979"/>
    <mergeCell ref="J2979:L2979"/>
    <mergeCell ref="F2980:G2980"/>
    <mergeCell ref="H2980:I2980"/>
    <mergeCell ref="J2980:L2980"/>
    <mergeCell ref="A2987:H2987"/>
    <mergeCell ref="F2988:G2988"/>
    <mergeCell ref="H2988:I2988"/>
    <mergeCell ref="J2988:L2988"/>
    <mergeCell ref="F2989:G2989"/>
    <mergeCell ref="H2989:I2989"/>
    <mergeCell ref="J2989:L2989"/>
    <mergeCell ref="A3060:H3060"/>
    <mergeCell ref="F3061:G3061"/>
    <mergeCell ref="H3061:I3061"/>
    <mergeCell ref="J3061:L3061"/>
    <mergeCell ref="F3062:G3062"/>
    <mergeCell ref="H3062:I3062"/>
    <mergeCell ref="J3062:L3062"/>
    <mergeCell ref="F3063:G3063"/>
    <mergeCell ref="H3063:I3063"/>
    <mergeCell ref="J3063:L3063"/>
    <mergeCell ref="A3065:H3065"/>
    <mergeCell ref="F3066:G3066"/>
    <mergeCell ref="H3066:I3066"/>
    <mergeCell ref="J3066:L3066"/>
    <mergeCell ref="A3072:H3072"/>
    <mergeCell ref="F3068:G3068"/>
    <mergeCell ref="H3068:I3068"/>
    <mergeCell ref="J3068:L3068"/>
    <mergeCell ref="F3069:G3069"/>
    <mergeCell ref="H3069:I3069"/>
    <mergeCell ref="J3069:L3069"/>
    <mergeCell ref="F3067:G3067"/>
    <mergeCell ref="H3067:I3067"/>
    <mergeCell ref="H3073:I3073"/>
    <mergeCell ref="F3003:G3003"/>
    <mergeCell ref="H3003:I3003"/>
    <mergeCell ref="J3003:L3003"/>
    <mergeCell ref="F2999:G2999"/>
    <mergeCell ref="H2999:I2999"/>
    <mergeCell ref="J2999:L2999"/>
    <mergeCell ref="A3001:H3001"/>
    <mergeCell ref="F3002:G3002"/>
    <mergeCell ref="H3002:I3002"/>
    <mergeCell ref="J3002:L3002"/>
    <mergeCell ref="F3266:G3266"/>
    <mergeCell ref="H3266:I3266"/>
    <mergeCell ref="F3197:G3197"/>
    <mergeCell ref="H3197:I3197"/>
    <mergeCell ref="J3197:L3197"/>
    <mergeCell ref="H3194:I3194"/>
    <mergeCell ref="J3194:L3194"/>
    <mergeCell ref="F3195:G3195"/>
    <mergeCell ref="H3195:I3195"/>
    <mergeCell ref="J3195:L3195"/>
    <mergeCell ref="F3196:G3196"/>
    <mergeCell ref="H3196:I3196"/>
    <mergeCell ref="J3196:L3196"/>
    <mergeCell ref="F3194:G3194"/>
    <mergeCell ref="F3209:G3209"/>
    <mergeCell ref="H3209:I3209"/>
    <mergeCell ref="J3209:L3209"/>
    <mergeCell ref="F3210:G3210"/>
    <mergeCell ref="H3210:I3210"/>
    <mergeCell ref="J3210:L3210"/>
    <mergeCell ref="A3193:H3193"/>
    <mergeCell ref="A3199:H3199"/>
    <mergeCell ref="H3151:I3151"/>
    <mergeCell ref="J3151:L3151"/>
    <mergeCell ref="F3190:G3190"/>
    <mergeCell ref="H3190:I3190"/>
    <mergeCell ref="J3190:L3190"/>
    <mergeCell ref="F3191:G3191"/>
    <mergeCell ref="H3191:I3191"/>
    <mergeCell ref="J3191:L3191"/>
    <mergeCell ref="A3188:H3188"/>
    <mergeCell ref="F3189:G3189"/>
    <mergeCell ref="H3189:I3189"/>
    <mergeCell ref="J3189:L3189"/>
    <mergeCell ref="F3169:G3169"/>
    <mergeCell ref="H3169:I3169"/>
    <mergeCell ref="J3169:L3169"/>
    <mergeCell ref="A3168:H3168"/>
    <mergeCell ref="F3170:G3170"/>
    <mergeCell ref="H3170:I3170"/>
    <mergeCell ref="J3170:L3170"/>
    <mergeCell ref="F3171:G3171"/>
    <mergeCell ref="H3171:I3171"/>
    <mergeCell ref="J3171:L3171"/>
    <mergeCell ref="A3181:H3181"/>
    <mergeCell ref="F3182:G3182"/>
    <mergeCell ref="H3182:I3182"/>
    <mergeCell ref="J3182:L3182"/>
    <mergeCell ref="F3183:G3183"/>
    <mergeCell ref="H3183:I3183"/>
    <mergeCell ref="J3183:L3183"/>
    <mergeCell ref="F3184:G3184"/>
    <mergeCell ref="H3184:I3184"/>
    <mergeCell ref="J3184:L3184"/>
    <mergeCell ref="F3185:G3185"/>
    <mergeCell ref="H3185:I3185"/>
    <mergeCell ref="J3185:L3185"/>
    <mergeCell ref="F3186:G3186"/>
    <mergeCell ref="H3186:I3186"/>
    <mergeCell ref="J3186:L3186"/>
    <mergeCell ref="F3165:G3165"/>
    <mergeCell ref="H3165:I3165"/>
    <mergeCell ref="J3165:L3165"/>
    <mergeCell ref="F3162:G3162"/>
    <mergeCell ref="F3264:G3264"/>
    <mergeCell ref="H3264:I3264"/>
    <mergeCell ref="J3264:L3264"/>
    <mergeCell ref="F3265:G3265"/>
    <mergeCell ref="H3265:I3265"/>
    <mergeCell ref="J3265:L3265"/>
    <mergeCell ref="F3243:G3243"/>
    <mergeCell ref="H3243:I3243"/>
    <mergeCell ref="J3243:L3243"/>
    <mergeCell ref="F3205:G3205"/>
    <mergeCell ref="H3205:I3205"/>
    <mergeCell ref="J3205:L3205"/>
    <mergeCell ref="A3207:H3207"/>
    <mergeCell ref="F3208:G3208"/>
    <mergeCell ref="H3208:I3208"/>
    <mergeCell ref="J3208:L3208"/>
    <mergeCell ref="A3238:H3238"/>
    <mergeCell ref="F3239:G3239"/>
    <mergeCell ref="H3239:I3239"/>
    <mergeCell ref="J3239:L3239"/>
    <mergeCell ref="F3240:G3240"/>
    <mergeCell ref="H3240:I3240"/>
    <mergeCell ref="J3240:L3240"/>
    <mergeCell ref="F3228:G3228"/>
    <mergeCell ref="H3228:I3228"/>
    <mergeCell ref="J3228:L3228"/>
    <mergeCell ref="A3259:H3259"/>
    <mergeCell ref="F3222:G3222"/>
    <mergeCell ref="H3222:I3222"/>
    <mergeCell ref="J3222:L3222"/>
    <mergeCell ref="F3223:G3223"/>
    <mergeCell ref="H3223:I3223"/>
    <mergeCell ref="J3223:L3223"/>
    <mergeCell ref="F3248:G3248"/>
    <mergeCell ref="H3248:I3248"/>
    <mergeCell ref="J3248:L3248"/>
    <mergeCell ref="F3249:G3249"/>
    <mergeCell ref="A3242:H3242"/>
    <mergeCell ref="F3244:G3244"/>
    <mergeCell ref="H3244:I3244"/>
    <mergeCell ref="J3244:L3244"/>
    <mergeCell ref="A3246:H3246"/>
    <mergeCell ref="F3262:G3262"/>
    <mergeCell ref="H3262:I3262"/>
    <mergeCell ref="J3262:L3262"/>
    <mergeCell ref="F3263:G3263"/>
    <mergeCell ref="H3263:I3263"/>
    <mergeCell ref="J3263:L3263"/>
    <mergeCell ref="F3284:G3284"/>
    <mergeCell ref="H3284:I3284"/>
    <mergeCell ref="J3284:L3284"/>
    <mergeCell ref="F3285:G3285"/>
    <mergeCell ref="H3285:I3285"/>
    <mergeCell ref="J3285:L3285"/>
    <mergeCell ref="A3278:H3278"/>
    <mergeCell ref="F3279:G3279"/>
    <mergeCell ref="H3279:I3279"/>
    <mergeCell ref="J3279:L3279"/>
    <mergeCell ref="F3280:G3280"/>
    <mergeCell ref="H3280:I3280"/>
    <mergeCell ref="J3280:L3280"/>
    <mergeCell ref="A3288:H3288"/>
    <mergeCell ref="F3289:G3289"/>
    <mergeCell ref="H3289:I3289"/>
    <mergeCell ref="J3289:L3289"/>
    <mergeCell ref="F3290:G3290"/>
    <mergeCell ref="H3290:I3290"/>
    <mergeCell ref="J3290:L3290"/>
    <mergeCell ref="A3292:H3292"/>
    <mergeCell ref="F3282:G3282"/>
    <mergeCell ref="H3282:I3282"/>
    <mergeCell ref="J3282:L3282"/>
    <mergeCell ref="F3283:G3283"/>
    <mergeCell ref="H3283:I3283"/>
    <mergeCell ref="J3283:L3283"/>
    <mergeCell ref="F3281:G3281"/>
    <mergeCell ref="H3281:I3281"/>
    <mergeCell ref="J3281:L3281"/>
    <mergeCell ref="F3268:G3268"/>
    <mergeCell ref="H3268:I3268"/>
    <mergeCell ref="J3268:L3268"/>
    <mergeCell ref="F3269:G3269"/>
    <mergeCell ref="H3269:I3269"/>
    <mergeCell ref="J3269:L3269"/>
    <mergeCell ref="F3352:G3352"/>
    <mergeCell ref="H3352:I3352"/>
    <mergeCell ref="J3352:L3352"/>
    <mergeCell ref="F3363:G3363"/>
    <mergeCell ref="H3363:I3363"/>
    <mergeCell ref="J3363:L3363"/>
    <mergeCell ref="F3379:G3379"/>
    <mergeCell ref="H3379:I3379"/>
    <mergeCell ref="J3379:L3379"/>
    <mergeCell ref="F3374:G3374"/>
    <mergeCell ref="H3374:I3374"/>
    <mergeCell ref="J3374:L3374"/>
    <mergeCell ref="F3375:G3375"/>
    <mergeCell ref="H3375:I3375"/>
    <mergeCell ref="J3375:L3375"/>
    <mergeCell ref="F3370:G3370"/>
    <mergeCell ref="H3370:I3370"/>
    <mergeCell ref="J3370:L3370"/>
    <mergeCell ref="F3368:G3368"/>
    <mergeCell ref="H3368:I3368"/>
    <mergeCell ref="F3339:G3339"/>
    <mergeCell ref="H3339:I3339"/>
    <mergeCell ref="J3339:L3339"/>
    <mergeCell ref="A3351:H3351"/>
    <mergeCell ref="F3353:G3353"/>
    <mergeCell ref="H3353:I3353"/>
    <mergeCell ref="J3353:L3353"/>
    <mergeCell ref="F3354:G3354"/>
    <mergeCell ref="H3354:I3354"/>
    <mergeCell ref="J3354:L3354"/>
    <mergeCell ref="F3355:G3355"/>
    <mergeCell ref="H3355:I3355"/>
    <mergeCell ref="J3355:L3355"/>
    <mergeCell ref="F3356:G3356"/>
    <mergeCell ref="H3356:I3356"/>
    <mergeCell ref="J3356:L3356"/>
    <mergeCell ref="F3357:G3357"/>
    <mergeCell ref="H3357:I3357"/>
    <mergeCell ref="J3357:L3357"/>
    <mergeCell ref="F3358:G3358"/>
    <mergeCell ref="H3358:I3358"/>
    <mergeCell ref="J3358:L3358"/>
    <mergeCell ref="F3359:G3359"/>
    <mergeCell ref="H3359:I3359"/>
    <mergeCell ref="J3359:L3359"/>
    <mergeCell ref="A3361:H3361"/>
    <mergeCell ref="F3362:G3362"/>
    <mergeCell ref="H3362:I3362"/>
    <mergeCell ref="J3362:L3362"/>
    <mergeCell ref="A3367:H3367"/>
    <mergeCell ref="F3371:G3371"/>
    <mergeCell ref="H3371:I3371"/>
    <mergeCell ref="J3371:L3371"/>
    <mergeCell ref="A3373:H3373"/>
    <mergeCell ref="A3377:H3377"/>
    <mergeCell ref="F3378:G3378"/>
    <mergeCell ref="H3378:I3378"/>
    <mergeCell ref="J3378:L3378"/>
    <mergeCell ref="J3368:L3368"/>
    <mergeCell ref="F3369:G3369"/>
    <mergeCell ref="H3369:I3369"/>
    <mergeCell ref="J3369:L3369"/>
    <mergeCell ref="F3465:G3465"/>
    <mergeCell ref="H3465:I3465"/>
    <mergeCell ref="J3465:L3465"/>
    <mergeCell ref="F3462:G3462"/>
    <mergeCell ref="H3462:I3462"/>
    <mergeCell ref="J3462:L3462"/>
    <mergeCell ref="A3456:H3456"/>
    <mergeCell ref="F3457:G3457"/>
    <mergeCell ref="H3457:I3457"/>
    <mergeCell ref="J3457:L3457"/>
    <mergeCell ref="F3458:G3458"/>
    <mergeCell ref="H3458:I3458"/>
    <mergeCell ref="J3458:L3458"/>
    <mergeCell ref="A3460:H3460"/>
    <mergeCell ref="A3464:H3464"/>
    <mergeCell ref="F3466:G3466"/>
    <mergeCell ref="H3466:I3466"/>
    <mergeCell ref="J3466:L3466"/>
    <mergeCell ref="F3467:G3467"/>
    <mergeCell ref="H3467:I3467"/>
    <mergeCell ref="J3467:L3467"/>
    <mergeCell ref="A3477:H3477"/>
    <mergeCell ref="F3435:G3435"/>
    <mergeCell ref="H3435:I3435"/>
    <mergeCell ref="J3435:L3435"/>
    <mergeCell ref="F3446:G3446"/>
    <mergeCell ref="H3446:I3446"/>
    <mergeCell ref="J3446:L3446"/>
    <mergeCell ref="F3434:G3434"/>
    <mergeCell ref="H3434:I3434"/>
    <mergeCell ref="J3434:L3434"/>
    <mergeCell ref="F3461:G3461"/>
    <mergeCell ref="H3461:I3461"/>
    <mergeCell ref="J3461:L3461"/>
    <mergeCell ref="F3453:G3453"/>
    <mergeCell ref="H3453:I3453"/>
    <mergeCell ref="J3453:L3453"/>
    <mergeCell ref="F3454:G3454"/>
    <mergeCell ref="H3454:I3454"/>
    <mergeCell ref="J3454:L3454"/>
    <mergeCell ref="F3450:G3450"/>
    <mergeCell ref="H3450:I3450"/>
    <mergeCell ref="J3450:L3450"/>
    <mergeCell ref="F3447:G3447"/>
    <mergeCell ref="F3534:G3534"/>
    <mergeCell ref="H3534:I3534"/>
    <mergeCell ref="J3534:L3534"/>
    <mergeCell ref="A3538:H3538"/>
    <mergeCell ref="F3536:G3536"/>
    <mergeCell ref="H3536:I3536"/>
    <mergeCell ref="F3500:G3500"/>
    <mergeCell ref="H3500:I3500"/>
    <mergeCell ref="J3500:L3500"/>
    <mergeCell ref="F3501:G3501"/>
    <mergeCell ref="H3501:I3501"/>
    <mergeCell ref="J3501:L3501"/>
    <mergeCell ref="F3496:G3496"/>
    <mergeCell ref="H3496:I3496"/>
    <mergeCell ref="J3496:L3496"/>
    <mergeCell ref="F3492:G3492"/>
    <mergeCell ref="H3492:I3492"/>
    <mergeCell ref="J3492:L3492"/>
    <mergeCell ref="F3490:G3490"/>
    <mergeCell ref="H3490:I3490"/>
    <mergeCell ref="J3490:L3490"/>
    <mergeCell ref="F3491:G3491"/>
    <mergeCell ref="H3491:I3491"/>
    <mergeCell ref="J3491:L3491"/>
    <mergeCell ref="F3478:G3478"/>
    <mergeCell ref="H3478:I3478"/>
    <mergeCell ref="J3478:L3478"/>
    <mergeCell ref="F3479:G3479"/>
    <mergeCell ref="H3479:I3479"/>
    <mergeCell ref="J3479:L3479"/>
    <mergeCell ref="F3480:G3480"/>
    <mergeCell ref="H3480:I3480"/>
    <mergeCell ref="J3480:L3480"/>
    <mergeCell ref="F3481:G3481"/>
    <mergeCell ref="H3481:I3481"/>
    <mergeCell ref="J3481:L3481"/>
    <mergeCell ref="F3482:G3482"/>
    <mergeCell ref="H3482:I3482"/>
    <mergeCell ref="J3482:L3482"/>
    <mergeCell ref="A3484:H3484"/>
    <mergeCell ref="F3485:G3485"/>
    <mergeCell ref="H3485:I3485"/>
    <mergeCell ref="J3485:L3485"/>
    <mergeCell ref="F3486:G3486"/>
    <mergeCell ref="H3486:I3486"/>
    <mergeCell ref="J3486:L3486"/>
    <mergeCell ref="F3487:G3487"/>
    <mergeCell ref="H3487:I3487"/>
    <mergeCell ref="J3487:L3487"/>
    <mergeCell ref="A3489:H3489"/>
    <mergeCell ref="F3493:G3493"/>
    <mergeCell ref="H3493:I3493"/>
    <mergeCell ref="J3493:L3493"/>
    <mergeCell ref="A3495:H3495"/>
    <mergeCell ref="F3497:G3497"/>
    <mergeCell ref="H3497:I3497"/>
    <mergeCell ref="J3497:L3497"/>
    <mergeCell ref="A3499:H3499"/>
    <mergeCell ref="F3506:G3506"/>
    <mergeCell ref="H3506:I3506"/>
    <mergeCell ref="J3506:L3506"/>
    <mergeCell ref="A3516:H3516"/>
    <mergeCell ref="F3518:G3518"/>
    <mergeCell ref="H3518:I3518"/>
    <mergeCell ref="J3518:L3518"/>
    <mergeCell ref="F3519:G3519"/>
    <mergeCell ref="H3519:I3519"/>
    <mergeCell ref="J3519:L3519"/>
    <mergeCell ref="F3520:G3520"/>
    <mergeCell ref="H3520:I3520"/>
    <mergeCell ref="J3520:L3520"/>
    <mergeCell ref="F3521:G3521"/>
    <mergeCell ref="H3521:I3521"/>
    <mergeCell ref="J3521:L3521"/>
    <mergeCell ref="A3523:H3523"/>
    <mergeCell ref="F3524:G3524"/>
    <mergeCell ref="H3524:I3524"/>
    <mergeCell ref="J3524:L3524"/>
    <mergeCell ref="F3525:G3525"/>
    <mergeCell ref="H3525:I3525"/>
    <mergeCell ref="J3525:L3525"/>
    <mergeCell ref="F3526:G3526"/>
    <mergeCell ref="H3526:I3526"/>
    <mergeCell ref="J3526:L3526"/>
    <mergeCell ref="F3527:G3527"/>
    <mergeCell ref="H3527:I3527"/>
    <mergeCell ref="J3527:L3527"/>
    <mergeCell ref="A3529:H3529"/>
    <mergeCell ref="F3533:G3533"/>
    <mergeCell ref="H3533:I3533"/>
    <mergeCell ref="J3533:L3533"/>
    <mergeCell ref="F3582:G3582"/>
    <mergeCell ref="H3582:I3582"/>
    <mergeCell ref="J3582:L3582"/>
    <mergeCell ref="F3578:G3578"/>
    <mergeCell ref="H3578:I3578"/>
    <mergeCell ref="J3578:L3578"/>
    <mergeCell ref="F3574:G3574"/>
    <mergeCell ref="H3574:I3574"/>
    <mergeCell ref="J3574:L3574"/>
    <mergeCell ref="F3572:G3572"/>
    <mergeCell ref="H3572:I3572"/>
    <mergeCell ref="J3572:L3572"/>
    <mergeCell ref="F3573:G3573"/>
    <mergeCell ref="H3573:I3573"/>
    <mergeCell ref="J3573:L3573"/>
    <mergeCell ref="F3579:G3579"/>
    <mergeCell ref="H3579:I3579"/>
    <mergeCell ref="J3579:L3579"/>
    <mergeCell ref="A3581:H3581"/>
    <mergeCell ref="F3583:G3583"/>
    <mergeCell ref="H3583:I3583"/>
    <mergeCell ref="J3583:L3583"/>
    <mergeCell ref="A3585:H3585"/>
    <mergeCell ref="F3566:G3566"/>
    <mergeCell ref="H3566:I3566"/>
    <mergeCell ref="J3566:L3566"/>
    <mergeCell ref="F3567:G3567"/>
    <mergeCell ref="H3567:I3567"/>
    <mergeCell ref="J3567:L3567"/>
    <mergeCell ref="F3548:G3548"/>
    <mergeCell ref="H3548:I3548"/>
    <mergeCell ref="J3548:L3548"/>
    <mergeCell ref="F3549:G3549"/>
    <mergeCell ref="H3549:I3549"/>
    <mergeCell ref="J3549:L3549"/>
    <mergeCell ref="F3575:G3575"/>
    <mergeCell ref="H3575:I3575"/>
    <mergeCell ref="J3575:L3575"/>
    <mergeCell ref="A3577:H3577"/>
    <mergeCell ref="J3645:L3645"/>
    <mergeCell ref="F3602:G3602"/>
    <mergeCell ref="H3602:I3602"/>
    <mergeCell ref="J3602:L3602"/>
    <mergeCell ref="F3603:G3603"/>
    <mergeCell ref="H3603:I3603"/>
    <mergeCell ref="J3603:L3603"/>
    <mergeCell ref="F3586:G3586"/>
    <mergeCell ref="H3586:I3586"/>
    <mergeCell ref="J3586:L3586"/>
    <mergeCell ref="F3587:G3587"/>
    <mergeCell ref="H3587:I3587"/>
    <mergeCell ref="J3587:L3587"/>
    <mergeCell ref="F3588:G3588"/>
    <mergeCell ref="H3588:I3588"/>
    <mergeCell ref="J3588:L3588"/>
    <mergeCell ref="A3598:H3598"/>
    <mergeCell ref="F3599:G3599"/>
    <mergeCell ref="H3599:I3599"/>
    <mergeCell ref="J3599:L3599"/>
    <mergeCell ref="F3600:G3600"/>
    <mergeCell ref="H3600:I3600"/>
    <mergeCell ref="J3600:L3600"/>
    <mergeCell ref="F3601:G3601"/>
    <mergeCell ref="H3601:I3601"/>
    <mergeCell ref="J3601:L3601"/>
    <mergeCell ref="A3605:H3605"/>
    <mergeCell ref="F3607:G3607"/>
    <mergeCell ref="H3607:I3607"/>
    <mergeCell ref="J3607:L3607"/>
    <mergeCell ref="F3608:G3608"/>
    <mergeCell ref="H3608:I3608"/>
    <mergeCell ref="J3608:L3608"/>
    <mergeCell ref="F3623:G3623"/>
    <mergeCell ref="H3623:I3623"/>
    <mergeCell ref="J3623:L3623"/>
    <mergeCell ref="F3619:G3619"/>
    <mergeCell ref="H3619:I3619"/>
    <mergeCell ref="J3619:L3619"/>
    <mergeCell ref="F3615:G3615"/>
    <mergeCell ref="H3615:I3615"/>
    <mergeCell ref="J3615:L3615"/>
    <mergeCell ref="F3611:G3611"/>
    <mergeCell ref="H3611:I3611"/>
    <mergeCell ref="J3611:L3611"/>
    <mergeCell ref="A3610:H3610"/>
    <mergeCell ref="F3612:G3612"/>
    <mergeCell ref="H3612:I3612"/>
    <mergeCell ref="J3612:L3612"/>
    <mergeCell ref="A3614:H3614"/>
    <mergeCell ref="F3616:G3616"/>
    <mergeCell ref="H3616:I3616"/>
    <mergeCell ref="J3616:L3616"/>
    <mergeCell ref="A3618:H3618"/>
    <mergeCell ref="F3620:G3620"/>
    <mergeCell ref="H3620:I3620"/>
    <mergeCell ref="J3620:L3620"/>
    <mergeCell ref="A3622:H3622"/>
    <mergeCell ref="F3624:G3624"/>
    <mergeCell ref="H3624:I3624"/>
    <mergeCell ref="J3624:L3624"/>
    <mergeCell ref="F3625:G3625"/>
    <mergeCell ref="H3625:I3625"/>
    <mergeCell ref="J3625:L3625"/>
    <mergeCell ref="F3606:G3606"/>
    <mergeCell ref="H3606:I3606"/>
    <mergeCell ref="J3606:L3606"/>
    <mergeCell ref="A3647:H3647"/>
    <mergeCell ref="F3649:G3649"/>
    <mergeCell ref="H3649:I3649"/>
    <mergeCell ref="J3649:L3649"/>
    <mergeCell ref="F3676:G3676"/>
    <mergeCell ref="H3676:I3676"/>
    <mergeCell ref="J3676:L3676"/>
    <mergeCell ref="A3651:H3651"/>
    <mergeCell ref="F3648:G3648"/>
    <mergeCell ref="H3648:I3648"/>
    <mergeCell ref="J3648:L3648"/>
    <mergeCell ref="F3643:G3643"/>
    <mergeCell ref="H3643:I3643"/>
    <mergeCell ref="J3643:L3643"/>
    <mergeCell ref="F3640:G3640"/>
    <mergeCell ref="H3640:I3640"/>
    <mergeCell ref="J3640:L3640"/>
    <mergeCell ref="F3639:G3639"/>
    <mergeCell ref="H3639:I3639"/>
    <mergeCell ref="J3639:L3639"/>
    <mergeCell ref="A3635:H3635"/>
    <mergeCell ref="F3636:G3636"/>
    <mergeCell ref="H3636:I3636"/>
    <mergeCell ref="J3636:L3636"/>
    <mergeCell ref="F3637:G3637"/>
    <mergeCell ref="H3637:I3637"/>
    <mergeCell ref="J3637:L3637"/>
    <mergeCell ref="F3638:G3638"/>
    <mergeCell ref="H3638:I3638"/>
    <mergeCell ref="J3638:L3638"/>
    <mergeCell ref="A3642:H3642"/>
    <mergeCell ref="F3644:G3644"/>
    <mergeCell ref="H3644:I3644"/>
    <mergeCell ref="J3644:L3644"/>
    <mergeCell ref="F3645:G3645"/>
    <mergeCell ref="H3645:I3645"/>
    <mergeCell ref="J3710:L3710"/>
    <mergeCell ref="F3711:G3711"/>
    <mergeCell ref="H3711:I3711"/>
    <mergeCell ref="J3711:L3711"/>
    <mergeCell ref="F3698:G3698"/>
    <mergeCell ref="H3698:I3698"/>
    <mergeCell ref="F3677:G3677"/>
    <mergeCell ref="H3677:I3677"/>
    <mergeCell ref="J3677:L3677"/>
    <mergeCell ref="F3660:G3660"/>
    <mergeCell ref="H3660:I3660"/>
    <mergeCell ref="J3660:L3660"/>
    <mergeCell ref="F3656:G3656"/>
    <mergeCell ref="H3656:I3656"/>
    <mergeCell ref="J3656:L3656"/>
    <mergeCell ref="F3652:G3652"/>
    <mergeCell ref="H3652:I3652"/>
    <mergeCell ref="J3652:L3652"/>
    <mergeCell ref="F3653:G3653"/>
    <mergeCell ref="H3653:I3653"/>
    <mergeCell ref="J3653:L3653"/>
    <mergeCell ref="A3655:H3655"/>
    <mergeCell ref="F3657:G3657"/>
    <mergeCell ref="H3657:I3657"/>
    <mergeCell ref="J3657:L3657"/>
    <mergeCell ref="A3659:H3659"/>
    <mergeCell ref="F3661:G3661"/>
    <mergeCell ref="H3661:I3661"/>
    <mergeCell ref="J3661:L3661"/>
    <mergeCell ref="F3662:G3662"/>
    <mergeCell ref="H3662:I3662"/>
    <mergeCell ref="J3662:L3662"/>
    <mergeCell ref="A3672:H3672"/>
    <mergeCell ref="F3673:G3673"/>
    <mergeCell ref="H3673:I3673"/>
    <mergeCell ref="J3673:L3673"/>
    <mergeCell ref="F3674:G3674"/>
    <mergeCell ref="H3674:I3674"/>
    <mergeCell ref="J3674:L3674"/>
    <mergeCell ref="F3675:G3675"/>
    <mergeCell ref="H3675:I3675"/>
    <mergeCell ref="J3675:L3675"/>
    <mergeCell ref="H3796:I3796"/>
    <mergeCell ref="J3796:L3796"/>
    <mergeCell ref="F3783:G3783"/>
    <mergeCell ref="H3783:I3783"/>
    <mergeCell ref="J3783:L3783"/>
    <mergeCell ref="F3811:G3811"/>
    <mergeCell ref="H3811:I3811"/>
    <mergeCell ref="J3811:L3811"/>
    <mergeCell ref="F3807:G3807"/>
    <mergeCell ref="H3807:I3807"/>
    <mergeCell ref="J3807:L3807"/>
    <mergeCell ref="F3804:G3804"/>
    <mergeCell ref="H3804:I3804"/>
    <mergeCell ref="J3804:L3804"/>
    <mergeCell ref="F3799:G3799"/>
    <mergeCell ref="H3799:I3799"/>
    <mergeCell ref="J3799:L3799"/>
    <mergeCell ref="F3800:G3800"/>
    <mergeCell ref="H3800:I3800"/>
    <mergeCell ref="J3800:L3800"/>
    <mergeCell ref="F3797:G3797"/>
    <mergeCell ref="H3797:I3797"/>
    <mergeCell ref="J3829:L3829"/>
    <mergeCell ref="A3789:H3789"/>
    <mergeCell ref="F3790:G3790"/>
    <mergeCell ref="H3790:I3790"/>
    <mergeCell ref="J3790:L3790"/>
    <mergeCell ref="F3791:G3791"/>
    <mergeCell ref="H3791:I3791"/>
    <mergeCell ref="J3791:L3791"/>
    <mergeCell ref="F3792:G3792"/>
    <mergeCell ref="H3792:I3792"/>
    <mergeCell ref="J3792:L3792"/>
    <mergeCell ref="F3793:G3793"/>
    <mergeCell ref="A3905:H3905"/>
    <mergeCell ref="F3906:G3906"/>
    <mergeCell ref="H3906:I3906"/>
    <mergeCell ref="J3906:L3906"/>
    <mergeCell ref="F3907:G3907"/>
    <mergeCell ref="H3907:I3907"/>
    <mergeCell ref="J3907:L3907"/>
    <mergeCell ref="F3908:G3908"/>
    <mergeCell ref="H3908:I3908"/>
    <mergeCell ref="J3908:L3908"/>
    <mergeCell ref="A3910:H3910"/>
    <mergeCell ref="F3912:G3912"/>
    <mergeCell ref="H3912:I3912"/>
    <mergeCell ref="J3912:L3912"/>
    <mergeCell ref="F3877:G3877"/>
    <mergeCell ref="H3877:I3877"/>
    <mergeCell ref="J3877:L3877"/>
    <mergeCell ref="F3872:G3872"/>
    <mergeCell ref="H3872:I3872"/>
    <mergeCell ref="J3872:L3872"/>
    <mergeCell ref="A3864:H3864"/>
    <mergeCell ref="F3865:G3865"/>
    <mergeCell ref="H3865:I3865"/>
    <mergeCell ref="J3865:L3865"/>
    <mergeCell ref="F3866:G3866"/>
    <mergeCell ref="H3866:I3866"/>
    <mergeCell ref="J3866:L3866"/>
    <mergeCell ref="F3867:G3867"/>
    <mergeCell ref="H3867:I3867"/>
    <mergeCell ref="J3867:L3867"/>
    <mergeCell ref="F3868:G3868"/>
    <mergeCell ref="H3868:I3868"/>
    <mergeCell ref="J3868:L3868"/>
    <mergeCell ref="F3869:G3869"/>
    <mergeCell ref="H3869:I3869"/>
    <mergeCell ref="J3869:L3869"/>
    <mergeCell ref="F3870:G3870"/>
    <mergeCell ref="H3870:I3870"/>
    <mergeCell ref="J3870:L3870"/>
    <mergeCell ref="F3871:G3871"/>
    <mergeCell ref="H3871:I3871"/>
    <mergeCell ref="J3871:L3871"/>
    <mergeCell ref="A3874:H3874"/>
    <mergeCell ref="F3875:G3875"/>
    <mergeCell ref="H3875:I3875"/>
    <mergeCell ref="J3875:L3875"/>
    <mergeCell ref="F3876:G3876"/>
    <mergeCell ref="H3876:I3876"/>
    <mergeCell ref="J3876:L3876"/>
    <mergeCell ref="F3893:G3893"/>
    <mergeCell ref="H3893:I3893"/>
    <mergeCell ref="J3893:L3893"/>
    <mergeCell ref="F3889:G3889"/>
    <mergeCell ref="H3889:I3889"/>
    <mergeCell ref="J3889:L3889"/>
    <mergeCell ref="F3885:G3885"/>
    <mergeCell ref="H3885:I3885"/>
    <mergeCell ref="J3885:L3885"/>
    <mergeCell ref="F3882:G3882"/>
    <mergeCell ref="H3882:I3882"/>
    <mergeCell ref="J3882:L3882"/>
    <mergeCell ref="F3878:G3878"/>
    <mergeCell ref="H3878:I3878"/>
    <mergeCell ref="J3878:L3878"/>
    <mergeCell ref="A3880:H3880"/>
    <mergeCell ref="F3881:G3881"/>
    <mergeCell ref="H3881:I3881"/>
    <mergeCell ref="J3881:L3881"/>
    <mergeCell ref="A3884:H3884"/>
    <mergeCell ref="F3886:G3886"/>
    <mergeCell ref="H3886:I3886"/>
    <mergeCell ref="J3886:L3886"/>
    <mergeCell ref="A3888:H3888"/>
    <mergeCell ref="F3890:G3890"/>
    <mergeCell ref="H3890:I3890"/>
    <mergeCell ref="J3890:L3890"/>
    <mergeCell ref="A3892:H3892"/>
    <mergeCell ref="F3894:G3894"/>
    <mergeCell ref="H3894:I3894"/>
    <mergeCell ref="J3894:L3894"/>
    <mergeCell ref="F3895:G3895"/>
    <mergeCell ref="H3895:I3895"/>
    <mergeCell ref="J3895:L3895"/>
    <mergeCell ref="H3993:I3993"/>
    <mergeCell ref="J3993:L3993"/>
    <mergeCell ref="F3991:G3991"/>
    <mergeCell ref="H3991:I3991"/>
    <mergeCell ref="F3930:G3930"/>
    <mergeCell ref="H3930:I3930"/>
    <mergeCell ref="J3930:L3930"/>
    <mergeCell ref="F3926:G3926"/>
    <mergeCell ref="H3926:I3926"/>
    <mergeCell ref="J3926:L3926"/>
    <mergeCell ref="F3922:G3922"/>
    <mergeCell ref="H3922:I3922"/>
    <mergeCell ref="J3922:L3922"/>
    <mergeCell ref="F3960:G3960"/>
    <mergeCell ref="H3960:I3960"/>
    <mergeCell ref="J3960:L3960"/>
    <mergeCell ref="F3956:G3956"/>
    <mergeCell ref="H3956:I3956"/>
    <mergeCell ref="J3956:L3956"/>
    <mergeCell ref="A3958:H3958"/>
    <mergeCell ref="F3959:G3959"/>
    <mergeCell ref="H3959:I3959"/>
    <mergeCell ref="J3959:L3959"/>
    <mergeCell ref="F3954:G3954"/>
    <mergeCell ref="H3954:I3954"/>
    <mergeCell ref="J3954:L3954"/>
    <mergeCell ref="F3955:G3955"/>
    <mergeCell ref="H3955:I3955"/>
    <mergeCell ref="J3955:L3955"/>
    <mergeCell ref="F3950:G3950"/>
    <mergeCell ref="H3950:I3950"/>
    <mergeCell ref="J3950:L3950"/>
    <mergeCell ref="A3952:H3952"/>
    <mergeCell ref="F3953:G3953"/>
    <mergeCell ref="H3953:I3953"/>
    <mergeCell ref="J3953:L3953"/>
    <mergeCell ref="F3923:G3923"/>
    <mergeCell ref="F3969:G3969"/>
    <mergeCell ref="H3969:I3969"/>
    <mergeCell ref="J3969:L3969"/>
    <mergeCell ref="A3979:H3979"/>
    <mergeCell ref="H3923:I3923"/>
    <mergeCell ref="J3923:L3923"/>
    <mergeCell ref="A3925:H3925"/>
    <mergeCell ref="F3927:G3927"/>
    <mergeCell ref="H3927:I3927"/>
    <mergeCell ref="J3927:L3927"/>
    <mergeCell ref="A3929:H3929"/>
    <mergeCell ref="F3931:G3931"/>
    <mergeCell ref="H3931:I3931"/>
    <mergeCell ref="J3931:L3931"/>
    <mergeCell ref="F3932:G3932"/>
    <mergeCell ref="H3932:I3932"/>
    <mergeCell ref="J3932:L3932"/>
    <mergeCell ref="A3942:H3942"/>
    <mergeCell ref="F3943:G3943"/>
    <mergeCell ref="H3943:I3943"/>
    <mergeCell ref="J3943:L3943"/>
    <mergeCell ref="F3944:G3944"/>
    <mergeCell ref="H3944:I3944"/>
    <mergeCell ref="J3944:L3944"/>
    <mergeCell ref="F3945:G3945"/>
    <mergeCell ref="H3945:I3945"/>
    <mergeCell ref="J3945:L3945"/>
    <mergeCell ref="F4033:G4033"/>
    <mergeCell ref="H4033:I4033"/>
    <mergeCell ref="J4033:L4033"/>
    <mergeCell ref="F4020:G4020"/>
    <mergeCell ref="H4020:I4020"/>
    <mergeCell ref="J4020:L4020"/>
    <mergeCell ref="F4021:G4021"/>
    <mergeCell ref="H4021:I4021"/>
    <mergeCell ref="J4021:L4021"/>
    <mergeCell ref="F4032:G4032"/>
    <mergeCell ref="H4032:I4032"/>
    <mergeCell ref="J4032:L4032"/>
    <mergeCell ref="F4038:G4038"/>
    <mergeCell ref="H4038:I4038"/>
    <mergeCell ref="J4038:L4038"/>
    <mergeCell ref="A4040:H4040"/>
    <mergeCell ref="J3991:L3991"/>
    <mergeCell ref="F3992:G3992"/>
    <mergeCell ref="H3992:I3992"/>
    <mergeCell ref="J3992:L3992"/>
    <mergeCell ref="F3980:G3980"/>
    <mergeCell ref="H3980:I3980"/>
    <mergeCell ref="J3980:L3980"/>
    <mergeCell ref="F4017:G4017"/>
    <mergeCell ref="H4017:I4017"/>
    <mergeCell ref="J4017:L4017"/>
    <mergeCell ref="F4006:G4006"/>
    <mergeCell ref="H4006:I4006"/>
    <mergeCell ref="J4006:L4006"/>
    <mergeCell ref="F3981:G3981"/>
    <mergeCell ref="H3981:I3981"/>
    <mergeCell ref="J3981:L3981"/>
    <mergeCell ref="F3982:G3982"/>
    <mergeCell ref="H3982:I3982"/>
    <mergeCell ref="J3982:L3982"/>
    <mergeCell ref="A3984:H3984"/>
    <mergeCell ref="F3985:G3985"/>
    <mergeCell ref="H3985:I3985"/>
    <mergeCell ref="J3985:L3985"/>
    <mergeCell ref="F3986:G3986"/>
    <mergeCell ref="H3986:I3986"/>
    <mergeCell ref="J3986:L3986"/>
    <mergeCell ref="F3987:G3987"/>
    <mergeCell ref="H3987:I3987"/>
    <mergeCell ref="J3987:L3987"/>
    <mergeCell ref="A3989:H3989"/>
    <mergeCell ref="F3990:G3990"/>
    <mergeCell ref="H3990:I3990"/>
    <mergeCell ref="J3990:L3990"/>
    <mergeCell ref="A3995:H3995"/>
    <mergeCell ref="F4001:G4001"/>
    <mergeCell ref="H4001:I4001"/>
    <mergeCell ref="J4001:L4001"/>
    <mergeCell ref="F3997:G3997"/>
    <mergeCell ref="H3997:I3997"/>
    <mergeCell ref="J3997:L3997"/>
    <mergeCell ref="A3999:H3999"/>
    <mergeCell ref="F4000:G4000"/>
    <mergeCell ref="H4000:I4000"/>
    <mergeCell ref="J4000:L4000"/>
    <mergeCell ref="F3996:G3996"/>
    <mergeCell ref="H3996:I3996"/>
    <mergeCell ref="J3996:L3996"/>
    <mergeCell ref="F3993:G3993"/>
    <mergeCell ref="F4050:G4050"/>
    <mergeCell ref="H4050:I4050"/>
    <mergeCell ref="J4050:L4050"/>
    <mergeCell ref="F4046:G4046"/>
    <mergeCell ref="H4046:I4046"/>
    <mergeCell ref="J4046:L4046"/>
    <mergeCell ref="A4048:H4048"/>
    <mergeCell ref="F4049:G4049"/>
    <mergeCell ref="H4049:I4049"/>
    <mergeCell ref="J4049:L4049"/>
    <mergeCell ref="F4042:G4042"/>
    <mergeCell ref="H4042:I4042"/>
    <mergeCell ref="J4042:L4042"/>
    <mergeCell ref="A4044:H4044"/>
    <mergeCell ref="F4045:G4045"/>
    <mergeCell ref="H4045:I4045"/>
    <mergeCell ref="J4045:L4045"/>
    <mergeCell ref="F4051:G4051"/>
    <mergeCell ref="H4051:I4051"/>
    <mergeCell ref="J4051:L4051"/>
    <mergeCell ref="F4041:G4041"/>
    <mergeCell ref="H4041:I4041"/>
    <mergeCell ref="J4041:L4041"/>
    <mergeCell ref="F4036:G4036"/>
    <mergeCell ref="H4036:I4036"/>
    <mergeCell ref="J4036:L4036"/>
    <mergeCell ref="F4037:G4037"/>
    <mergeCell ref="H4037:I4037"/>
    <mergeCell ref="J4037:L4037"/>
    <mergeCell ref="F4034:G4034"/>
    <mergeCell ref="H4034:I4034"/>
    <mergeCell ref="J4034:L4034"/>
    <mergeCell ref="F4035:G4035"/>
    <mergeCell ref="H4035:I4035"/>
    <mergeCell ref="J4035:L4035"/>
    <mergeCell ref="F4105:G4105"/>
    <mergeCell ref="H4105:I4105"/>
    <mergeCell ref="J4105:L4105"/>
    <mergeCell ref="F4106:G4106"/>
    <mergeCell ref="H4106:I4106"/>
    <mergeCell ref="J4106:L4106"/>
    <mergeCell ref="F4107:G4107"/>
    <mergeCell ref="H4107:I4107"/>
    <mergeCell ref="J4107:L4107"/>
    <mergeCell ref="F4080:G4080"/>
    <mergeCell ref="H4080:I4080"/>
    <mergeCell ref="J4080:L4080"/>
    <mergeCell ref="A4082:H4082"/>
    <mergeCell ref="F4083:G4083"/>
    <mergeCell ref="H4083:I4083"/>
    <mergeCell ref="J4083:L4083"/>
    <mergeCell ref="F4078:G4078"/>
    <mergeCell ref="H4078:I4078"/>
    <mergeCell ref="J4078:L4078"/>
    <mergeCell ref="F4079:G4079"/>
    <mergeCell ref="H4079:I4079"/>
    <mergeCell ref="J4079:L4079"/>
    <mergeCell ref="F4074:G4074"/>
    <mergeCell ref="H4074:I4074"/>
    <mergeCell ref="J4074:L4074"/>
    <mergeCell ref="F4072:G4072"/>
    <mergeCell ref="H4072:I4072"/>
    <mergeCell ref="J4072:L4072"/>
    <mergeCell ref="F4073:G4073"/>
    <mergeCell ref="H4073:I4073"/>
    <mergeCell ref="J4073:L4073"/>
    <mergeCell ref="F4071:G4071"/>
    <mergeCell ref="H4071:I4071"/>
    <mergeCell ref="J4071:L4071"/>
    <mergeCell ref="F4124:G4124"/>
    <mergeCell ref="H4124:I4124"/>
    <mergeCell ref="J4124:L4124"/>
    <mergeCell ref="F4120:G4120"/>
    <mergeCell ref="H4120:I4120"/>
    <mergeCell ref="J4120:L4120"/>
    <mergeCell ref="F4111:G4111"/>
    <mergeCell ref="H4111:I4111"/>
    <mergeCell ref="J4111:L4111"/>
    <mergeCell ref="A4110:H4110"/>
    <mergeCell ref="F4112:G4112"/>
    <mergeCell ref="H4112:I4112"/>
    <mergeCell ref="J4112:L4112"/>
    <mergeCell ref="F4113:G4113"/>
    <mergeCell ref="H4113:I4113"/>
    <mergeCell ref="J4113:L4113"/>
    <mergeCell ref="A4115:H4115"/>
    <mergeCell ref="F4116:G4116"/>
    <mergeCell ref="H4116:I4116"/>
    <mergeCell ref="J4116:L4116"/>
    <mergeCell ref="F4117:G4117"/>
    <mergeCell ref="H4117:I4117"/>
    <mergeCell ref="J4117:L4117"/>
    <mergeCell ref="A4119:H4119"/>
    <mergeCell ref="F4121:G4121"/>
    <mergeCell ref="H4121:I4121"/>
    <mergeCell ref="J4121:L4121"/>
    <mergeCell ref="A4123:H4123"/>
    <mergeCell ref="F4125:G4125"/>
    <mergeCell ref="H4125:I4125"/>
    <mergeCell ref="J4125:L4125"/>
    <mergeCell ref="A4127:H4127"/>
    <mergeCell ref="F4108:G4108"/>
    <mergeCell ref="H4108:I4108"/>
    <mergeCell ref="J4108:L4108"/>
    <mergeCell ref="F4151:G4151"/>
    <mergeCell ref="H4151:I4151"/>
    <mergeCell ref="J4151:L4151"/>
    <mergeCell ref="F4146:G4146"/>
    <mergeCell ref="H4146:I4146"/>
    <mergeCell ref="J4146:L4146"/>
    <mergeCell ref="F4144:G4144"/>
    <mergeCell ref="H4144:I4144"/>
    <mergeCell ref="J4144:L4144"/>
    <mergeCell ref="F4145:G4145"/>
    <mergeCell ref="H4145:I4145"/>
    <mergeCell ref="J4145:L4145"/>
    <mergeCell ref="F4128:G4128"/>
    <mergeCell ref="H4128:I4128"/>
    <mergeCell ref="J4128:L4128"/>
    <mergeCell ref="F4129:G4129"/>
    <mergeCell ref="H4129:I4129"/>
    <mergeCell ref="J4129:L4129"/>
    <mergeCell ref="F4130:G4130"/>
    <mergeCell ref="H4130:I4130"/>
    <mergeCell ref="J4130:L4130"/>
    <mergeCell ref="A4140:H4140"/>
    <mergeCell ref="F4141:G4141"/>
    <mergeCell ref="H4141:I4141"/>
    <mergeCell ref="J4141:L4141"/>
    <mergeCell ref="F4142:G4142"/>
    <mergeCell ref="H4142:I4142"/>
    <mergeCell ref="J4142:L4142"/>
    <mergeCell ref="F4143:G4143"/>
    <mergeCell ref="H4143:I4143"/>
    <mergeCell ref="J4143:L4143"/>
    <mergeCell ref="A4148:H4148"/>
    <mergeCell ref="F4149:G4149"/>
    <mergeCell ref="H4149:I4149"/>
    <mergeCell ref="J4149:L4149"/>
    <mergeCell ref="F4150:G4150"/>
    <mergeCell ref="H4150:I4150"/>
    <mergeCell ref="J4150:L4150"/>
    <mergeCell ref="F4222:G4222"/>
    <mergeCell ref="H4222:I4222"/>
    <mergeCell ref="J4222:L4222"/>
    <mergeCell ref="F4249:G4249"/>
    <mergeCell ref="H4249:I4249"/>
    <mergeCell ref="J4249:L4249"/>
    <mergeCell ref="J4235:L4235"/>
    <mergeCell ref="F4236:G4236"/>
    <mergeCell ref="H4236:I4236"/>
    <mergeCell ref="J4236:L4236"/>
    <mergeCell ref="F4237:G4237"/>
    <mergeCell ref="H4237:I4237"/>
    <mergeCell ref="J4237:L4237"/>
    <mergeCell ref="F4219:G4219"/>
    <mergeCell ref="H4219:I4219"/>
    <mergeCell ref="J4219:L4219"/>
    <mergeCell ref="A4221:H4221"/>
    <mergeCell ref="A4226:H4226"/>
    <mergeCell ref="F4227:G4227"/>
    <mergeCell ref="H4227:I4227"/>
    <mergeCell ref="J4227:L4227"/>
    <mergeCell ref="F4228:G4228"/>
    <mergeCell ref="H4228:I4228"/>
    <mergeCell ref="J4228:L4228"/>
    <mergeCell ref="A4230:H4230"/>
    <mergeCell ref="F4232:G4232"/>
    <mergeCell ref="H4232:I4232"/>
    <mergeCell ref="J4232:L4232"/>
    <mergeCell ref="F4179:G4179"/>
    <mergeCell ref="H4179:I4179"/>
    <mergeCell ref="J4179:L4179"/>
    <mergeCell ref="F4204:G4204"/>
    <mergeCell ref="H4204:I4204"/>
    <mergeCell ref="J4204:L4204"/>
    <mergeCell ref="F4195:G4195"/>
    <mergeCell ref="H4195:I4195"/>
    <mergeCell ref="J4195:L4195"/>
    <mergeCell ref="F4231:G4231"/>
    <mergeCell ref="H4231:I4231"/>
    <mergeCell ref="J4231:L4231"/>
    <mergeCell ref="F4194:G4194"/>
    <mergeCell ref="H4194:I4194"/>
    <mergeCell ref="J4194:L4194"/>
    <mergeCell ref="F4223:G4223"/>
    <mergeCell ref="H4223:I4223"/>
    <mergeCell ref="J4223:L4223"/>
    <mergeCell ref="F4224:G4224"/>
    <mergeCell ref="H4224:I4224"/>
    <mergeCell ref="J4224:L4224"/>
    <mergeCell ref="F4190:G4190"/>
    <mergeCell ref="H4190:I4190"/>
    <mergeCell ref="J4190:L4190"/>
    <mergeCell ref="F4189:G4189"/>
    <mergeCell ref="H4189:I4189"/>
    <mergeCell ref="J4189:L4189"/>
    <mergeCell ref="F4182:G4182"/>
    <mergeCell ref="H4182:I4182"/>
    <mergeCell ref="J4182:L4182"/>
    <mergeCell ref="F4180:G4180"/>
    <mergeCell ref="H4180:I4180"/>
    <mergeCell ref="J4180:L4180"/>
    <mergeCell ref="F4181:G4181"/>
    <mergeCell ref="H4181:I4181"/>
    <mergeCell ref="J4181:L4181"/>
    <mergeCell ref="F4235:G4235"/>
    <mergeCell ref="H4235:I4235"/>
    <mergeCell ref="F4268:G4268"/>
    <mergeCell ref="H4268:I4268"/>
    <mergeCell ref="J4268:L4268"/>
    <mergeCell ref="F4266:G4266"/>
    <mergeCell ref="H4266:I4266"/>
    <mergeCell ref="J4266:L4266"/>
    <mergeCell ref="F4267:G4267"/>
    <mergeCell ref="H4267:I4267"/>
    <mergeCell ref="J4267:L4267"/>
    <mergeCell ref="F4264:G4264"/>
    <mergeCell ref="H4264:I4264"/>
    <mergeCell ref="J4264:L4264"/>
    <mergeCell ref="F4265:G4265"/>
    <mergeCell ref="H4265:I4265"/>
    <mergeCell ref="J4265:L4265"/>
    <mergeCell ref="F4250:G4250"/>
    <mergeCell ref="H4250:I4250"/>
    <mergeCell ref="J4250:L4250"/>
    <mergeCell ref="F4251:G4251"/>
    <mergeCell ref="H4251:I4251"/>
    <mergeCell ref="J4251:L4251"/>
    <mergeCell ref="A4234:H4234"/>
    <mergeCell ref="A4247:H4247"/>
    <mergeCell ref="F4248:G4248"/>
    <mergeCell ref="H4248:I4248"/>
    <mergeCell ref="J4248:L4248"/>
    <mergeCell ref="F4252:G4252"/>
    <mergeCell ref="H4252:I4252"/>
    <mergeCell ref="J4252:L4252"/>
    <mergeCell ref="F4253:G4253"/>
    <mergeCell ref="H4253:I4253"/>
    <mergeCell ref="J4253:L4253"/>
    <mergeCell ref="F4254:G4254"/>
    <mergeCell ref="H4254:I4254"/>
    <mergeCell ref="J4254:L4254"/>
    <mergeCell ref="F4255:G4255"/>
    <mergeCell ref="H4255:I4255"/>
    <mergeCell ref="J4255:L4255"/>
    <mergeCell ref="A4257:H4257"/>
    <mergeCell ref="F4258:G4258"/>
    <mergeCell ref="H4258:I4258"/>
    <mergeCell ref="J4258:L4258"/>
    <mergeCell ref="F4259:G4259"/>
    <mergeCell ref="H4259:I4259"/>
    <mergeCell ref="J4259:L4259"/>
    <mergeCell ref="F4260:G4260"/>
    <mergeCell ref="H4260:I4260"/>
    <mergeCell ref="J4260:L4260"/>
    <mergeCell ref="F4261:G4261"/>
    <mergeCell ref="H4261:I4261"/>
    <mergeCell ref="J4261:L4261"/>
    <mergeCell ref="A4263:H4263"/>
    <mergeCell ref="F4313:G4313"/>
    <mergeCell ref="H4313:I4313"/>
    <mergeCell ref="J4313:L4313"/>
    <mergeCell ref="F4309:G4309"/>
    <mergeCell ref="H4309:I4309"/>
    <mergeCell ref="J4309:L4309"/>
    <mergeCell ref="F4305:G4305"/>
    <mergeCell ref="H4305:I4305"/>
    <mergeCell ref="J4305:L4305"/>
    <mergeCell ref="F4308:G4308"/>
    <mergeCell ref="H4308:I4308"/>
    <mergeCell ref="J4308:L4308"/>
    <mergeCell ref="F4292:G4292"/>
    <mergeCell ref="H4292:I4292"/>
    <mergeCell ref="J4292:L4292"/>
    <mergeCell ref="F4296:G4296"/>
    <mergeCell ref="H4296:I4296"/>
    <mergeCell ref="J4296:L4296"/>
    <mergeCell ref="F4297:G4297"/>
    <mergeCell ref="H4297:I4297"/>
    <mergeCell ref="J4297:L4297"/>
    <mergeCell ref="A4299:H4299"/>
    <mergeCell ref="F4300:G4300"/>
    <mergeCell ref="H4300:I4300"/>
    <mergeCell ref="J4300:L4300"/>
    <mergeCell ref="F4301:G4301"/>
    <mergeCell ref="H4301:I4301"/>
    <mergeCell ref="J4301:L4301"/>
    <mergeCell ref="F4302:G4302"/>
    <mergeCell ref="H4302:I4302"/>
    <mergeCell ref="J4302:L4302"/>
    <mergeCell ref="A4304:H4304"/>
    <mergeCell ref="F4306:G4306"/>
    <mergeCell ref="H4306:I4306"/>
    <mergeCell ref="J4306:L4306"/>
    <mergeCell ref="F4307:G4307"/>
    <mergeCell ref="H4307:I4307"/>
    <mergeCell ref="J4307:L4307"/>
    <mergeCell ref="A4311:H4311"/>
    <mergeCell ref="F4312:G4312"/>
    <mergeCell ref="H4312:I4312"/>
    <mergeCell ref="J4312:L4312"/>
    <mergeCell ref="J4390:L4390"/>
    <mergeCell ref="F4385:G4385"/>
    <mergeCell ref="H4385:I4385"/>
    <mergeCell ref="J4385:L4385"/>
    <mergeCell ref="F4386:G4386"/>
    <mergeCell ref="H4386:I4386"/>
    <mergeCell ref="J4386:L4386"/>
    <mergeCell ref="F4381:G4381"/>
    <mergeCell ref="H4381:I4381"/>
    <mergeCell ref="J4381:L4381"/>
    <mergeCell ref="F4353:G4353"/>
    <mergeCell ref="H4353:I4353"/>
    <mergeCell ref="J4353:L4353"/>
    <mergeCell ref="F4350:G4350"/>
    <mergeCell ref="H4350:I4350"/>
    <mergeCell ref="J4350:L4350"/>
    <mergeCell ref="F4345:G4345"/>
    <mergeCell ref="H4345:I4345"/>
    <mergeCell ref="J4345:L4345"/>
    <mergeCell ref="F4346:G4346"/>
    <mergeCell ref="H4346:I4346"/>
    <mergeCell ref="J4346:L4346"/>
    <mergeCell ref="F4340:G4340"/>
    <mergeCell ref="H4340:I4340"/>
    <mergeCell ref="J4340:L4340"/>
    <mergeCell ref="F4320:G4320"/>
    <mergeCell ref="H4320:I4320"/>
    <mergeCell ref="J4320:L4320"/>
    <mergeCell ref="F4316:G4316"/>
    <mergeCell ref="H4316:I4316"/>
    <mergeCell ref="J4316:L4316"/>
    <mergeCell ref="A4315:H4315"/>
    <mergeCell ref="F4317:G4317"/>
    <mergeCell ref="H4317:I4317"/>
    <mergeCell ref="J4317:L4317"/>
    <mergeCell ref="A4319:H4319"/>
    <mergeCell ref="F4321:G4321"/>
    <mergeCell ref="H4321:I4321"/>
    <mergeCell ref="J4321:L4321"/>
    <mergeCell ref="F4322:G4322"/>
    <mergeCell ref="H4322:I4322"/>
    <mergeCell ref="J4322:L4322"/>
    <mergeCell ref="A4332:H4332"/>
    <mergeCell ref="F4333:G4333"/>
    <mergeCell ref="H4333:I4333"/>
    <mergeCell ref="J4333:L4333"/>
    <mergeCell ref="F4334:G4334"/>
    <mergeCell ref="H4334:I4334"/>
    <mergeCell ref="J4334:L4334"/>
    <mergeCell ref="F4335:G4335"/>
    <mergeCell ref="H4335:I4335"/>
    <mergeCell ref="J4335:L4335"/>
    <mergeCell ref="F4336:G4336"/>
    <mergeCell ref="H4336:I4336"/>
    <mergeCell ref="J4336:L4336"/>
    <mergeCell ref="F4337:G4337"/>
    <mergeCell ref="H4337:I4337"/>
    <mergeCell ref="J4337:L4337"/>
    <mergeCell ref="F4338:G4338"/>
    <mergeCell ref="H4338:I4338"/>
    <mergeCell ref="J4338:L4338"/>
    <mergeCell ref="F4339:G4339"/>
    <mergeCell ref="H4339:I4339"/>
    <mergeCell ref="J4339:L4339"/>
    <mergeCell ref="F4422:G4422"/>
    <mergeCell ref="H4422:I4422"/>
    <mergeCell ref="J4422:L4422"/>
    <mergeCell ref="F4423:G4423"/>
    <mergeCell ref="H4423:I4423"/>
    <mergeCell ref="J4423:L4423"/>
    <mergeCell ref="F4451:G4451"/>
    <mergeCell ref="H4451:I4451"/>
    <mergeCell ref="J4451:L4451"/>
    <mergeCell ref="F4452:G4452"/>
    <mergeCell ref="H4452:I4452"/>
    <mergeCell ref="J4452:L4452"/>
    <mergeCell ref="F4448:G4448"/>
    <mergeCell ref="H4448:I4448"/>
    <mergeCell ref="J4448:L4448"/>
    <mergeCell ref="F4437:G4437"/>
    <mergeCell ref="H4437:I4437"/>
    <mergeCell ref="J4437:L4437"/>
    <mergeCell ref="F4421:G4421"/>
    <mergeCell ref="H4421:I4421"/>
    <mergeCell ref="J4421:L4421"/>
    <mergeCell ref="A4426:H4426"/>
    <mergeCell ref="A4434:H4434"/>
    <mergeCell ref="F4435:G4435"/>
    <mergeCell ref="H4435:I4435"/>
    <mergeCell ref="J4435:L4435"/>
    <mergeCell ref="F4436:G4436"/>
    <mergeCell ref="H4436:I4436"/>
    <mergeCell ref="J4436:L4436"/>
    <mergeCell ref="A4447:H4447"/>
    <mergeCell ref="F4449:G4449"/>
    <mergeCell ref="H4449:I4449"/>
    <mergeCell ref="J4449:L4449"/>
    <mergeCell ref="F4450:G4450"/>
    <mergeCell ref="H4450:I4450"/>
    <mergeCell ref="J4450:L4450"/>
    <mergeCell ref="F4432:G4432"/>
    <mergeCell ref="H4432:I4432"/>
    <mergeCell ref="J4432:L4432"/>
    <mergeCell ref="F4428:G4428"/>
    <mergeCell ref="H4428:I4428"/>
    <mergeCell ref="J4428:L4428"/>
    <mergeCell ref="A4430:H4430"/>
    <mergeCell ref="F4431:G4431"/>
    <mergeCell ref="H4431:I4431"/>
    <mergeCell ref="J4431:L4431"/>
    <mergeCell ref="F4427:G4427"/>
    <mergeCell ref="H4427:I4427"/>
    <mergeCell ref="J4427:L4427"/>
    <mergeCell ref="F4424:G4424"/>
    <mergeCell ref="H4424:I4424"/>
    <mergeCell ref="J4424:L4424"/>
    <mergeCell ref="F4473:G4473"/>
    <mergeCell ref="H4473:I4473"/>
    <mergeCell ref="J4473:L4473"/>
    <mergeCell ref="A4475:H4475"/>
    <mergeCell ref="F4476:G4476"/>
    <mergeCell ref="H4476:I4476"/>
    <mergeCell ref="J4476:L4476"/>
    <mergeCell ref="F4472:G4472"/>
    <mergeCell ref="H4472:I4472"/>
    <mergeCell ref="J4472:L4472"/>
    <mergeCell ref="F4467:G4467"/>
    <mergeCell ref="H4467:I4467"/>
    <mergeCell ref="J4467:L4467"/>
    <mergeCell ref="F4468:G4468"/>
    <mergeCell ref="H4468:I4468"/>
    <mergeCell ref="J4468:L4468"/>
    <mergeCell ref="F4465:G4465"/>
    <mergeCell ref="H4465:I4465"/>
    <mergeCell ref="J4465:L4465"/>
    <mergeCell ref="F4466:G4466"/>
    <mergeCell ref="H4466:I4466"/>
    <mergeCell ref="J4466:L4466"/>
    <mergeCell ref="F4464:G4464"/>
    <mergeCell ref="H4464:I4464"/>
    <mergeCell ref="J4464:L4464"/>
    <mergeCell ref="A4454:H4454"/>
    <mergeCell ref="F4455:G4455"/>
    <mergeCell ref="H4455:I4455"/>
    <mergeCell ref="J4455:L4455"/>
    <mergeCell ref="F4456:G4456"/>
    <mergeCell ref="H4456:I4456"/>
    <mergeCell ref="J4456:L4456"/>
    <mergeCell ref="F4457:G4457"/>
    <mergeCell ref="H4457:I4457"/>
    <mergeCell ref="J4457:L4457"/>
    <mergeCell ref="F4458:G4458"/>
    <mergeCell ref="H4458:I4458"/>
    <mergeCell ref="J4458:L4458"/>
    <mergeCell ref="A4460:H4460"/>
    <mergeCell ref="F4461:G4461"/>
    <mergeCell ref="H4461:I4461"/>
    <mergeCell ref="J4461:L4461"/>
    <mergeCell ref="F4462:G4462"/>
    <mergeCell ref="H4462:I4462"/>
    <mergeCell ref="J4462:L4462"/>
    <mergeCell ref="F4463:G4463"/>
    <mergeCell ref="H4463:I4463"/>
    <mergeCell ref="J4463:L4463"/>
    <mergeCell ref="F4469:G4469"/>
    <mergeCell ref="H4469:I4469"/>
    <mergeCell ref="J4469:L4469"/>
    <mergeCell ref="A4471:H4471"/>
    <mergeCell ref="F4502:G4502"/>
    <mergeCell ref="H4502:I4502"/>
    <mergeCell ref="J4502:L4502"/>
    <mergeCell ref="F4481:G4481"/>
    <mergeCell ref="H4481:I4481"/>
    <mergeCell ref="J4481:L4481"/>
    <mergeCell ref="F4477:G4477"/>
    <mergeCell ref="H4477:I4477"/>
    <mergeCell ref="J4477:L4477"/>
    <mergeCell ref="A4479:H4479"/>
    <mergeCell ref="F4480:G4480"/>
    <mergeCell ref="H4480:I4480"/>
    <mergeCell ref="J4480:L4480"/>
    <mergeCell ref="F4482:G4482"/>
    <mergeCell ref="H4482:I4482"/>
    <mergeCell ref="J4482:L4482"/>
    <mergeCell ref="A4492:H4492"/>
    <mergeCell ref="F4493:G4493"/>
    <mergeCell ref="H4493:I4493"/>
    <mergeCell ref="J4493:L4493"/>
    <mergeCell ref="F4494:G4494"/>
    <mergeCell ref="H4494:I4494"/>
    <mergeCell ref="J4494:L4494"/>
    <mergeCell ref="F4495:G4495"/>
    <mergeCell ref="H4495:I4495"/>
    <mergeCell ref="J4495:L4495"/>
    <mergeCell ref="F4496:G4496"/>
    <mergeCell ref="H4496:I4496"/>
    <mergeCell ref="J4496:L4496"/>
    <mergeCell ref="F4497:G4497"/>
    <mergeCell ref="H4497:I4497"/>
    <mergeCell ref="J4497:L4497"/>
    <mergeCell ref="F4498:G4498"/>
    <mergeCell ref="H4498:I4498"/>
    <mergeCell ref="J4498:L4498"/>
    <mergeCell ref="F4499:G4499"/>
    <mergeCell ref="H4499:I4499"/>
    <mergeCell ref="J4499:L4499"/>
    <mergeCell ref="A4501:H4501"/>
    <mergeCell ref="F4515:G4515"/>
    <mergeCell ref="H4515:I4515"/>
    <mergeCell ref="J4515:L4515"/>
    <mergeCell ref="A4517:H4517"/>
    <mergeCell ref="F4518:G4518"/>
    <mergeCell ref="H4518:I4518"/>
    <mergeCell ref="J4518:L4518"/>
    <mergeCell ref="F4511:G4511"/>
    <mergeCell ref="H4511:I4511"/>
    <mergeCell ref="J4511:L4511"/>
    <mergeCell ref="A4513:H4513"/>
    <mergeCell ref="F4514:G4514"/>
    <mergeCell ref="H4514:I4514"/>
    <mergeCell ref="J4514:L4514"/>
    <mergeCell ref="F4509:G4509"/>
    <mergeCell ref="H4509:I4509"/>
    <mergeCell ref="J4509:L4509"/>
    <mergeCell ref="F4510:G4510"/>
    <mergeCell ref="H4510:I4510"/>
    <mergeCell ref="J4510:L4510"/>
    <mergeCell ref="F4505:G4505"/>
    <mergeCell ref="H4505:I4505"/>
    <mergeCell ref="J4505:L4505"/>
    <mergeCell ref="F4503:G4503"/>
    <mergeCell ref="H4503:I4503"/>
    <mergeCell ref="J4503:L4503"/>
    <mergeCell ref="F4504:G4504"/>
    <mergeCell ref="H4504:I4504"/>
    <mergeCell ref="J4504:L4504"/>
    <mergeCell ref="A4507:H4507"/>
    <mergeCell ref="F4508:G4508"/>
    <mergeCell ref="H4508:I4508"/>
    <mergeCell ref="J4508:L4508"/>
    <mergeCell ref="F4542:G4542"/>
    <mergeCell ref="H4542:I4542"/>
    <mergeCell ref="J4542:L4542"/>
    <mergeCell ref="F4539:G4539"/>
    <mergeCell ref="H4539:I4539"/>
    <mergeCell ref="J4539:L4539"/>
    <mergeCell ref="F4523:G4523"/>
    <mergeCell ref="H4523:I4523"/>
    <mergeCell ref="J4523:L4523"/>
    <mergeCell ref="F4519:G4519"/>
    <mergeCell ref="H4519:I4519"/>
    <mergeCell ref="J4519:L4519"/>
    <mergeCell ref="A4521:H4521"/>
    <mergeCell ref="F4522:G4522"/>
    <mergeCell ref="H4522:I4522"/>
    <mergeCell ref="J4522:L4522"/>
    <mergeCell ref="F4524:G4524"/>
    <mergeCell ref="H4524:I4524"/>
    <mergeCell ref="J4524:L4524"/>
    <mergeCell ref="A4534:H4534"/>
    <mergeCell ref="F4535:G4535"/>
    <mergeCell ref="H4535:I4535"/>
    <mergeCell ref="J4535:L4535"/>
    <mergeCell ref="F4536:G4536"/>
    <mergeCell ref="H4536:I4536"/>
    <mergeCell ref="J4536:L4536"/>
    <mergeCell ref="F4537:G4537"/>
    <mergeCell ref="H4537:I4537"/>
    <mergeCell ref="J4537:L4537"/>
    <mergeCell ref="F4538:G4538"/>
    <mergeCell ref="H4538:I4538"/>
    <mergeCell ref="J4538:L4538"/>
    <mergeCell ref="A4541:H4541"/>
    <mergeCell ref="F4574:G4574"/>
    <mergeCell ref="H4574:I4574"/>
    <mergeCell ref="J4574:L4574"/>
    <mergeCell ref="A4579:H4579"/>
    <mergeCell ref="F4581:G4581"/>
    <mergeCell ref="H4581:I4581"/>
    <mergeCell ref="J4581:L4581"/>
    <mergeCell ref="F4582:G4582"/>
    <mergeCell ref="H4582:I4582"/>
    <mergeCell ref="J4582:L4582"/>
    <mergeCell ref="A4584:H4584"/>
    <mergeCell ref="F4586:G4586"/>
    <mergeCell ref="H4586:I4586"/>
    <mergeCell ref="J4586:L4586"/>
    <mergeCell ref="F4559:G4559"/>
    <mergeCell ref="H4559:I4559"/>
    <mergeCell ref="J4559:L4559"/>
    <mergeCell ref="F4555:G4555"/>
    <mergeCell ref="H4555:I4555"/>
    <mergeCell ref="J4555:L4555"/>
    <mergeCell ref="F4551:G4551"/>
    <mergeCell ref="H4551:I4551"/>
    <mergeCell ref="J4551:L4551"/>
    <mergeCell ref="F4585:G4585"/>
    <mergeCell ref="H4585:I4585"/>
    <mergeCell ref="J4585:L4585"/>
    <mergeCell ref="F4580:G4580"/>
    <mergeCell ref="H4580:I4580"/>
    <mergeCell ref="J4580:L4580"/>
    <mergeCell ref="F4577:G4577"/>
    <mergeCell ref="H4577:I4577"/>
    <mergeCell ref="J4577:L4577"/>
    <mergeCell ref="F4575:G4575"/>
    <mergeCell ref="H4575:I4575"/>
    <mergeCell ref="J4575:L4575"/>
    <mergeCell ref="F4576:G4576"/>
    <mergeCell ref="H4576:I4576"/>
    <mergeCell ref="J4576:L4576"/>
    <mergeCell ref="F4589:G4589"/>
    <mergeCell ref="H4589:I4589"/>
    <mergeCell ref="F4622:G4622"/>
    <mergeCell ref="H4622:I4622"/>
    <mergeCell ref="J4622:L4622"/>
    <mergeCell ref="F4620:G4620"/>
    <mergeCell ref="H4620:I4620"/>
    <mergeCell ref="J4620:L4620"/>
    <mergeCell ref="F4621:G4621"/>
    <mergeCell ref="H4621:I4621"/>
    <mergeCell ref="J4621:L4621"/>
    <mergeCell ref="A4615:H4615"/>
    <mergeCell ref="F4616:G4616"/>
    <mergeCell ref="H4616:I4616"/>
    <mergeCell ref="J4616:L4616"/>
    <mergeCell ref="F4617:G4617"/>
    <mergeCell ref="H4617:I4617"/>
    <mergeCell ref="J4617:L4617"/>
    <mergeCell ref="A4588:H4588"/>
    <mergeCell ref="A4592:H4592"/>
    <mergeCell ref="F4593:G4593"/>
    <mergeCell ref="H4593:I4593"/>
    <mergeCell ref="J4593:L4593"/>
    <mergeCell ref="F4594:G4594"/>
    <mergeCell ref="H4594:I4594"/>
    <mergeCell ref="J4594:L4594"/>
    <mergeCell ref="A4596:H4596"/>
    <mergeCell ref="F4597:G4597"/>
    <mergeCell ref="H4597:I4597"/>
    <mergeCell ref="J4597:L4597"/>
    <mergeCell ref="F4598:G4598"/>
    <mergeCell ref="H4598:I4598"/>
    <mergeCell ref="J4598:L4598"/>
    <mergeCell ref="A4609:H4609"/>
    <mergeCell ref="F4610:G4610"/>
    <mergeCell ref="H4610:I4610"/>
    <mergeCell ref="J4610:L4610"/>
    <mergeCell ref="F4611:G4611"/>
    <mergeCell ref="H4611:I4611"/>
    <mergeCell ref="J4611:L4611"/>
    <mergeCell ref="F4612:G4612"/>
    <mergeCell ref="F4599:G4599"/>
    <mergeCell ref="H4599:I4599"/>
    <mergeCell ref="J4599:L4599"/>
    <mergeCell ref="J4589:L4589"/>
    <mergeCell ref="F4590:G4590"/>
    <mergeCell ref="H4590:I4590"/>
    <mergeCell ref="J4590:L4590"/>
    <mergeCell ref="H4612:I4612"/>
    <mergeCell ref="J4612:L4612"/>
    <mergeCell ref="F4613:G4613"/>
    <mergeCell ref="H4613:I4613"/>
    <mergeCell ref="J4613:L4613"/>
    <mergeCell ref="A4619:H4619"/>
    <mergeCell ref="F4692:G4692"/>
    <mergeCell ref="H4692:I4692"/>
    <mergeCell ref="J4692:L4692"/>
    <mergeCell ref="F4667:G4667"/>
    <mergeCell ref="H4667:I4667"/>
    <mergeCell ref="J4667:L4667"/>
    <mergeCell ref="F4663:G4663"/>
    <mergeCell ref="H4663:I4663"/>
    <mergeCell ref="J4663:L4663"/>
    <mergeCell ref="F4659:G4659"/>
    <mergeCell ref="H4659:I4659"/>
    <mergeCell ref="J4659:L4659"/>
    <mergeCell ref="F4662:G4662"/>
    <mergeCell ref="H4662:I4662"/>
    <mergeCell ref="J4662:L4662"/>
    <mergeCell ref="F4646:G4646"/>
    <mergeCell ref="H4646:I4646"/>
    <mergeCell ref="J4646:L4646"/>
    <mergeCell ref="F4651:G4651"/>
    <mergeCell ref="H4651:I4651"/>
    <mergeCell ref="J4651:L4651"/>
    <mergeCell ref="A4653:H4653"/>
    <mergeCell ref="F4654:G4654"/>
    <mergeCell ref="H4654:I4654"/>
    <mergeCell ref="J4654:L4654"/>
    <mergeCell ref="F4655:G4655"/>
    <mergeCell ref="H4655:I4655"/>
    <mergeCell ref="J4655:L4655"/>
    <mergeCell ref="F4656:G4656"/>
    <mergeCell ref="H4656:I4656"/>
    <mergeCell ref="J4656:L4656"/>
    <mergeCell ref="A4658:H4658"/>
    <mergeCell ref="F4660:G4660"/>
    <mergeCell ref="H4660:I4660"/>
    <mergeCell ref="J4660:L4660"/>
    <mergeCell ref="F4661:G4661"/>
    <mergeCell ref="H4661:I4661"/>
    <mergeCell ref="J4661:L4661"/>
    <mergeCell ref="A4665:H4665"/>
    <mergeCell ref="F4666:G4666"/>
    <mergeCell ref="H4666:I4666"/>
    <mergeCell ref="J4666:L4666"/>
    <mergeCell ref="F4674:G4674"/>
    <mergeCell ref="H4674:I4674"/>
    <mergeCell ref="J4674:L4674"/>
    <mergeCell ref="F4670:G4670"/>
    <mergeCell ref="H4670:I4670"/>
    <mergeCell ref="J4670:L4670"/>
    <mergeCell ref="A4669:H4669"/>
    <mergeCell ref="F4671:G4671"/>
    <mergeCell ref="H4671:I4671"/>
    <mergeCell ref="J4671:L4671"/>
    <mergeCell ref="A4673:H4673"/>
    <mergeCell ref="F4675:G4675"/>
    <mergeCell ref="H4675:I4675"/>
    <mergeCell ref="J4675:L4675"/>
    <mergeCell ref="F4676:G4676"/>
    <mergeCell ref="H4676:I4676"/>
    <mergeCell ref="J4676:L4676"/>
    <mergeCell ref="A4686:H4686"/>
    <mergeCell ref="F4687:G4687"/>
    <mergeCell ref="H4687:I4687"/>
    <mergeCell ref="J4687:L4687"/>
    <mergeCell ref="F4688:G4688"/>
    <mergeCell ref="H4688:I4688"/>
    <mergeCell ref="J4688:L4688"/>
    <mergeCell ref="F4689:G4689"/>
    <mergeCell ref="H4689:I4689"/>
    <mergeCell ref="J4689:L4689"/>
    <mergeCell ref="F4690:G4690"/>
    <mergeCell ref="H4690:I4690"/>
    <mergeCell ref="J4690:L4690"/>
    <mergeCell ref="F4691:G4691"/>
    <mergeCell ref="H4691:I4691"/>
    <mergeCell ref="J4691:L4691"/>
    <mergeCell ref="F4776:G4776"/>
    <mergeCell ref="H4776:I4776"/>
    <mergeCell ref="J4776:L4776"/>
    <mergeCell ref="F4777:G4777"/>
    <mergeCell ref="H4777:I4777"/>
    <mergeCell ref="J4777:L4777"/>
    <mergeCell ref="F4778:G4778"/>
    <mergeCell ref="H4778:I4778"/>
    <mergeCell ref="J4778:L4778"/>
    <mergeCell ref="F4802:G4802"/>
    <mergeCell ref="H4802:I4802"/>
    <mergeCell ref="J4802:L4802"/>
    <mergeCell ref="F4791:G4791"/>
    <mergeCell ref="H4791:I4791"/>
    <mergeCell ref="J4791:L4791"/>
    <mergeCell ref="A4737:H4737"/>
    <mergeCell ref="F4738:G4738"/>
    <mergeCell ref="H4738:I4738"/>
    <mergeCell ref="J4738:L4738"/>
    <mergeCell ref="A4774:H4774"/>
    <mergeCell ref="F4775:G4775"/>
    <mergeCell ref="H4775:I4775"/>
    <mergeCell ref="J4775:L4775"/>
    <mergeCell ref="F4754:G4754"/>
    <mergeCell ref="H4754:I4754"/>
    <mergeCell ref="J4754:L4754"/>
    <mergeCell ref="F4733:G4733"/>
    <mergeCell ref="H4733:I4733"/>
    <mergeCell ref="J4733:L4733"/>
    <mergeCell ref="F4734:G4734"/>
    <mergeCell ref="H4734:I4734"/>
    <mergeCell ref="J4734:L4734"/>
    <mergeCell ref="F4715:G4715"/>
    <mergeCell ref="H4715:I4715"/>
    <mergeCell ref="J4715:L4715"/>
    <mergeCell ref="F4749:G4749"/>
    <mergeCell ref="H4749:I4749"/>
    <mergeCell ref="J4749:L4749"/>
    <mergeCell ref="F4748:G4748"/>
    <mergeCell ref="H4748:I4748"/>
    <mergeCell ref="J4748:L4748"/>
    <mergeCell ref="F4745:G4745"/>
    <mergeCell ref="H4745:I4745"/>
    <mergeCell ref="J4745:L4745"/>
    <mergeCell ref="F4741:G4741"/>
    <mergeCell ref="H4741:I4741"/>
    <mergeCell ref="J4741:L4741"/>
    <mergeCell ref="A4743:H4743"/>
    <mergeCell ref="F4744:G4744"/>
    <mergeCell ref="H4744:I4744"/>
    <mergeCell ref="J4744:L4744"/>
    <mergeCell ref="F4739:G4739"/>
    <mergeCell ref="H4739:I4739"/>
    <mergeCell ref="F4868:G4868"/>
    <mergeCell ref="H4868:I4868"/>
    <mergeCell ref="J4868:L4868"/>
    <mergeCell ref="F4869:G4869"/>
    <mergeCell ref="H4869:I4869"/>
    <mergeCell ref="J4869:L4869"/>
    <mergeCell ref="F4859:G4859"/>
    <mergeCell ref="H4859:I4859"/>
    <mergeCell ref="J4859:L4859"/>
    <mergeCell ref="A4861:H4861"/>
    <mergeCell ref="F4862:G4862"/>
    <mergeCell ref="H4862:I4862"/>
    <mergeCell ref="J4862:L4862"/>
    <mergeCell ref="F4863:G4863"/>
    <mergeCell ref="H4863:I4863"/>
    <mergeCell ref="J4863:L4863"/>
    <mergeCell ref="F4864:G4864"/>
    <mergeCell ref="H4864:I4864"/>
    <mergeCell ref="J4864:L4864"/>
    <mergeCell ref="A4871:H4871"/>
    <mergeCell ref="F4873:G4873"/>
    <mergeCell ref="H4873:I4873"/>
    <mergeCell ref="J4873:L4873"/>
    <mergeCell ref="A4875:H4875"/>
    <mergeCell ref="A4879:H4879"/>
    <mergeCell ref="F4880:G4880"/>
    <mergeCell ref="H4880:I4880"/>
    <mergeCell ref="J4880:L4880"/>
    <mergeCell ref="J4833:L4833"/>
    <mergeCell ref="F4829:G4829"/>
    <mergeCell ref="H4829:I4829"/>
    <mergeCell ref="J4829:L4829"/>
    <mergeCell ref="F4866:G4866"/>
    <mergeCell ref="H4866:I4866"/>
    <mergeCell ref="J4866:L4866"/>
    <mergeCell ref="F4867:G4867"/>
    <mergeCell ref="H4867:I4867"/>
    <mergeCell ref="J4867:L4867"/>
    <mergeCell ref="F4865:G4865"/>
    <mergeCell ref="H4865:I4865"/>
    <mergeCell ref="J4865:L4865"/>
    <mergeCell ref="F4852:G4852"/>
    <mergeCell ref="H4852:I4852"/>
    <mergeCell ref="J4852:L4852"/>
    <mergeCell ref="F4853:G4853"/>
    <mergeCell ref="H4853:I4853"/>
    <mergeCell ref="J4853:L4853"/>
    <mergeCell ref="F4848:G4848"/>
    <mergeCell ref="H4848:I4848"/>
    <mergeCell ref="J4848:L4848"/>
    <mergeCell ref="F4849:G4849"/>
    <mergeCell ref="H4849:I4849"/>
    <mergeCell ref="J4849:L4849"/>
    <mergeCell ref="F4834:G4834"/>
    <mergeCell ref="H4834:I4834"/>
    <mergeCell ref="J4834:L4834"/>
    <mergeCell ref="F4835:G4835"/>
    <mergeCell ref="F4897:G4897"/>
    <mergeCell ref="H4897:I4897"/>
    <mergeCell ref="J4897:L4897"/>
    <mergeCell ref="F4898:G4898"/>
    <mergeCell ref="H4898:I4898"/>
    <mergeCell ref="J4898:L4898"/>
    <mergeCell ref="F4893:G4893"/>
    <mergeCell ref="H4893:I4893"/>
    <mergeCell ref="J4893:L4893"/>
    <mergeCell ref="F4896:G4896"/>
    <mergeCell ref="H4896:I4896"/>
    <mergeCell ref="J4896:L4896"/>
    <mergeCell ref="A4892:H4892"/>
    <mergeCell ref="F4894:G4894"/>
    <mergeCell ref="H4894:I4894"/>
    <mergeCell ref="J4894:L4894"/>
    <mergeCell ref="F4895:G4895"/>
    <mergeCell ref="H4895:I4895"/>
    <mergeCell ref="J4895:L4895"/>
    <mergeCell ref="F4882:G4882"/>
    <mergeCell ref="H4882:I4882"/>
    <mergeCell ref="J4882:L4882"/>
    <mergeCell ref="F4881:G4881"/>
    <mergeCell ref="H4881:I4881"/>
    <mergeCell ref="J4881:L4881"/>
    <mergeCell ref="F4876:G4876"/>
    <mergeCell ref="H4876:I4876"/>
    <mergeCell ref="J4876:L4876"/>
    <mergeCell ref="F4877:G4877"/>
    <mergeCell ref="H4877:I4877"/>
    <mergeCell ref="J4877:L4877"/>
    <mergeCell ref="F4872:G4872"/>
    <mergeCell ref="H4872:I4872"/>
    <mergeCell ref="J4872:L4872"/>
    <mergeCell ref="F4924:G4924"/>
    <mergeCell ref="H4924:I4924"/>
    <mergeCell ref="J4924:L4924"/>
    <mergeCell ref="A4935:H4935"/>
    <mergeCell ref="F4936:G4936"/>
    <mergeCell ref="H4936:I4936"/>
    <mergeCell ref="J4936:L4936"/>
    <mergeCell ref="F4937:G4937"/>
    <mergeCell ref="H4937:I4937"/>
    <mergeCell ref="J4937:L4937"/>
    <mergeCell ref="F4938:G4938"/>
    <mergeCell ref="H4938:I4938"/>
    <mergeCell ref="J4938:L4938"/>
    <mergeCell ref="F4939:G4939"/>
    <mergeCell ref="H4939:I4939"/>
    <mergeCell ref="J4939:L4939"/>
    <mergeCell ref="F4940:G4940"/>
    <mergeCell ref="H4940:I4940"/>
    <mergeCell ref="J4940:L4940"/>
    <mergeCell ref="F4941:G4941"/>
    <mergeCell ref="H4941:I4941"/>
    <mergeCell ref="J4941:L4941"/>
    <mergeCell ref="F4942:G4942"/>
    <mergeCell ref="H4942:I4942"/>
    <mergeCell ref="J4942:L4942"/>
    <mergeCell ref="F4943:G4943"/>
    <mergeCell ref="H4943:I4943"/>
    <mergeCell ref="J4943:L4943"/>
    <mergeCell ref="F4916:G4916"/>
    <mergeCell ref="H4916:I4916"/>
    <mergeCell ref="J4916:L4916"/>
    <mergeCell ref="F4911:G4911"/>
    <mergeCell ref="H4911:I4911"/>
    <mergeCell ref="J4911:L4911"/>
    <mergeCell ref="F4912:G4912"/>
    <mergeCell ref="H4912:I4912"/>
    <mergeCell ref="J4912:L4912"/>
    <mergeCell ref="F4949:G4949"/>
    <mergeCell ref="H4949:I4949"/>
    <mergeCell ref="J4949:L4949"/>
    <mergeCell ref="A4951:H4951"/>
    <mergeCell ref="F4952:G4952"/>
    <mergeCell ref="H4952:I4952"/>
    <mergeCell ref="J4952:L4952"/>
    <mergeCell ref="F4954:G4954"/>
    <mergeCell ref="H4954:I4954"/>
    <mergeCell ref="J4954:L4954"/>
    <mergeCell ref="F4955:G4955"/>
    <mergeCell ref="H4955:I4955"/>
    <mergeCell ref="J4955:L4955"/>
    <mergeCell ref="A4958:H4958"/>
    <mergeCell ref="F4960:G4960"/>
    <mergeCell ref="H4960:I4960"/>
    <mergeCell ref="J4960:L4960"/>
    <mergeCell ref="A4962:H4962"/>
    <mergeCell ref="F4964:G4964"/>
    <mergeCell ref="H4964:I4964"/>
    <mergeCell ref="J4964:L4964"/>
    <mergeCell ref="A4966:H4966"/>
    <mergeCell ref="F4947:G4947"/>
    <mergeCell ref="H4947:I4947"/>
    <mergeCell ref="J4947:L4947"/>
    <mergeCell ref="F4948:G4948"/>
    <mergeCell ref="H4948:I4948"/>
    <mergeCell ref="J4948:L4948"/>
    <mergeCell ref="A4945:H4945"/>
    <mergeCell ref="F4946:G4946"/>
    <mergeCell ref="H4946:I4946"/>
    <mergeCell ref="J4946:L4946"/>
    <mergeCell ref="F4925:G4925"/>
    <mergeCell ref="H4925:I4925"/>
    <mergeCell ref="J4925:L4925"/>
    <mergeCell ref="F4967:G4967"/>
    <mergeCell ref="H4967:I4967"/>
    <mergeCell ref="J4967:L4967"/>
    <mergeCell ref="F4968:G4968"/>
    <mergeCell ref="H4968:I4968"/>
    <mergeCell ref="J4968:L4968"/>
    <mergeCell ref="F4969:G4969"/>
    <mergeCell ref="H4969:I4969"/>
    <mergeCell ref="J4969:L4969"/>
    <mergeCell ref="A4979:H4979"/>
    <mergeCell ref="F4980:G4980"/>
    <mergeCell ref="H4980:I4980"/>
    <mergeCell ref="J4980:L4980"/>
    <mergeCell ref="F4981:G4981"/>
    <mergeCell ref="H4981:I4981"/>
    <mergeCell ref="J4981:L4981"/>
    <mergeCell ref="F4982:G4982"/>
    <mergeCell ref="H4982:I4982"/>
    <mergeCell ref="J4982:L4982"/>
    <mergeCell ref="A4986:H4986"/>
    <mergeCell ref="F4988:G4988"/>
    <mergeCell ref="H4988:I4988"/>
    <mergeCell ref="J4988:L4988"/>
    <mergeCell ref="F4989:G4989"/>
    <mergeCell ref="H4989:I4989"/>
    <mergeCell ref="J4989:L4989"/>
    <mergeCell ref="F4963:G4963"/>
    <mergeCell ref="H4963:I4963"/>
    <mergeCell ref="J4963:L4963"/>
    <mergeCell ref="F4959:G4959"/>
    <mergeCell ref="H4959:I4959"/>
    <mergeCell ref="J4959:L4959"/>
    <mergeCell ref="F4953:G4953"/>
    <mergeCell ref="H4953:I4953"/>
    <mergeCell ref="J4953:L4953"/>
    <mergeCell ref="F4956:G4956"/>
    <mergeCell ref="H4956:I4956"/>
    <mergeCell ref="J4956:L4956"/>
    <mergeCell ref="F4996:G4996"/>
    <mergeCell ref="H4996:I4996"/>
    <mergeCell ref="J4996:L4996"/>
    <mergeCell ref="F4992:G4992"/>
    <mergeCell ref="H4992:I4992"/>
    <mergeCell ref="J4992:L4992"/>
    <mergeCell ref="A4991:H4991"/>
    <mergeCell ref="F4993:G4993"/>
    <mergeCell ref="H4993:I4993"/>
    <mergeCell ref="J4993:L4993"/>
    <mergeCell ref="A4995:H4995"/>
    <mergeCell ref="A4999:H4999"/>
    <mergeCell ref="F5000:G5000"/>
    <mergeCell ref="H5000:I5000"/>
    <mergeCell ref="J5000:L5000"/>
    <mergeCell ref="F5001:G5001"/>
    <mergeCell ref="H5001:I5001"/>
    <mergeCell ref="J5001:L5001"/>
    <mergeCell ref="A5003:H5003"/>
    <mergeCell ref="F5004:G5004"/>
    <mergeCell ref="H5004:I5004"/>
    <mergeCell ref="J5004:L5004"/>
    <mergeCell ref="F5005:G5005"/>
    <mergeCell ref="H5005:I5005"/>
    <mergeCell ref="J5005:L5005"/>
    <mergeCell ref="F4987:G4987"/>
    <mergeCell ref="H4987:I4987"/>
    <mergeCell ref="J4987:L4987"/>
    <mergeCell ref="F4983:G4983"/>
    <mergeCell ref="H4983:I4983"/>
    <mergeCell ref="J4983:L4983"/>
    <mergeCell ref="F4984:G4984"/>
    <mergeCell ref="H4984:I4984"/>
    <mergeCell ref="J4984:L4984"/>
    <mergeCell ref="A5022:H5022"/>
    <mergeCell ref="F5023:G5023"/>
    <mergeCell ref="H5023:I5023"/>
    <mergeCell ref="J5023:L5023"/>
    <mergeCell ref="F5024:G5024"/>
    <mergeCell ref="H5024:I5024"/>
    <mergeCell ref="J5024:L5024"/>
    <mergeCell ref="A5016:H5016"/>
    <mergeCell ref="F5017:G5017"/>
    <mergeCell ref="H5017:I5017"/>
    <mergeCell ref="J5017:L5017"/>
    <mergeCell ref="F5018:G5018"/>
    <mergeCell ref="H5018:I5018"/>
    <mergeCell ref="J5018:L5018"/>
    <mergeCell ref="F5019:G5019"/>
    <mergeCell ref="H5019:I5019"/>
    <mergeCell ref="J5019:L5019"/>
    <mergeCell ref="F5020:G5020"/>
    <mergeCell ref="H5020:I5020"/>
    <mergeCell ref="J5020:L5020"/>
    <mergeCell ref="A5026:H5026"/>
    <mergeCell ref="F5028:G5028"/>
    <mergeCell ref="H5028:I5028"/>
    <mergeCell ref="J5028:L5028"/>
    <mergeCell ref="F5029:G5029"/>
    <mergeCell ref="H5029:I5029"/>
    <mergeCell ref="J5029:L5029"/>
    <mergeCell ref="F5006:G5006"/>
    <mergeCell ref="H5006:I5006"/>
    <mergeCell ref="J5006:L5006"/>
    <mergeCell ref="F4997:G4997"/>
    <mergeCell ref="H4997:I4997"/>
    <mergeCell ref="J4997:L4997"/>
    <mergeCell ref="F5043:G5043"/>
    <mergeCell ref="H5043:I5043"/>
    <mergeCell ref="J5043:L5043"/>
    <mergeCell ref="A5032:H5032"/>
    <mergeCell ref="F5033:G5033"/>
    <mergeCell ref="H5033:I5033"/>
    <mergeCell ref="J5033:L5033"/>
    <mergeCell ref="F5034:G5034"/>
    <mergeCell ref="H5034:I5034"/>
    <mergeCell ref="J5034:L5034"/>
    <mergeCell ref="A5036:H5036"/>
    <mergeCell ref="F5037:G5037"/>
    <mergeCell ref="H5037:I5037"/>
    <mergeCell ref="J5037:L5037"/>
    <mergeCell ref="F5038:G5038"/>
    <mergeCell ref="H5038:I5038"/>
    <mergeCell ref="J5038:L5038"/>
    <mergeCell ref="A5040:H5040"/>
    <mergeCell ref="F5041:G5041"/>
    <mergeCell ref="H5041:I5041"/>
    <mergeCell ref="J5041:L5041"/>
    <mergeCell ref="F5042:G5042"/>
    <mergeCell ref="H5042:I5042"/>
    <mergeCell ref="J5042:L5042"/>
    <mergeCell ref="F5027:G5027"/>
    <mergeCell ref="H5027:I5027"/>
    <mergeCell ref="J5027:L5027"/>
    <mergeCell ref="F5030:G5030"/>
    <mergeCell ref="H5030:I5030"/>
    <mergeCell ref="J5030:L5030"/>
    <mergeCell ref="F5067:G5067"/>
    <mergeCell ref="H5067:I5067"/>
    <mergeCell ref="J5067:L5067"/>
    <mergeCell ref="F5063:G5063"/>
    <mergeCell ref="H5063:I5063"/>
    <mergeCell ref="J5063:L5063"/>
    <mergeCell ref="F5061:G5061"/>
    <mergeCell ref="H5061:I5061"/>
    <mergeCell ref="J5061:L5061"/>
    <mergeCell ref="F5062:G5062"/>
    <mergeCell ref="H5062:I5062"/>
    <mergeCell ref="J5062:L5062"/>
    <mergeCell ref="A5053:H5053"/>
    <mergeCell ref="F5054:G5054"/>
    <mergeCell ref="H5054:I5054"/>
    <mergeCell ref="J5054:L5054"/>
    <mergeCell ref="F5055:G5055"/>
    <mergeCell ref="H5055:I5055"/>
    <mergeCell ref="J5055:L5055"/>
    <mergeCell ref="F5056:G5056"/>
    <mergeCell ref="H5056:I5056"/>
    <mergeCell ref="J5056:L5056"/>
    <mergeCell ref="F5057:G5057"/>
    <mergeCell ref="H5057:I5057"/>
    <mergeCell ref="J5057:L5057"/>
    <mergeCell ref="F5058:G5058"/>
    <mergeCell ref="H5058:I5058"/>
    <mergeCell ref="F5094:G5094"/>
    <mergeCell ref="H5094:I5094"/>
    <mergeCell ref="J5094:L5094"/>
    <mergeCell ref="F5080:G5080"/>
    <mergeCell ref="H5080:I5080"/>
    <mergeCell ref="J5080:L5080"/>
    <mergeCell ref="A5073:H5073"/>
    <mergeCell ref="F5074:G5074"/>
    <mergeCell ref="H5074:I5074"/>
    <mergeCell ref="J5074:L5074"/>
    <mergeCell ref="F5075:G5075"/>
    <mergeCell ref="H5075:I5075"/>
    <mergeCell ref="J5075:L5075"/>
    <mergeCell ref="A5077:H5077"/>
    <mergeCell ref="F5078:G5078"/>
    <mergeCell ref="H5078:I5078"/>
    <mergeCell ref="J5078:L5078"/>
    <mergeCell ref="F5079:G5079"/>
    <mergeCell ref="H5079:I5079"/>
    <mergeCell ref="J5079:L5079"/>
    <mergeCell ref="A5090:H5090"/>
    <mergeCell ref="F5091:G5091"/>
    <mergeCell ref="H5091:I5091"/>
    <mergeCell ref="J5091:L5091"/>
    <mergeCell ref="F5092:G5092"/>
    <mergeCell ref="H5092:I5092"/>
    <mergeCell ref="J5092:L5092"/>
    <mergeCell ref="F5100:G5100"/>
    <mergeCell ref="H5100:I5100"/>
    <mergeCell ref="J5100:L5100"/>
    <mergeCell ref="A5102:H5102"/>
    <mergeCell ref="A5106:H5106"/>
    <mergeCell ref="A5069:H5069"/>
    <mergeCell ref="F5070:G5070"/>
    <mergeCell ref="H5070:I5070"/>
    <mergeCell ref="J5070:L5070"/>
    <mergeCell ref="F5071:G5071"/>
    <mergeCell ref="H5071:I5071"/>
    <mergeCell ref="J5071:L5071"/>
    <mergeCell ref="F5103:G5103"/>
    <mergeCell ref="H5103:I5103"/>
    <mergeCell ref="J5103:L5103"/>
    <mergeCell ref="F5104:G5104"/>
    <mergeCell ref="H5104:I5104"/>
    <mergeCell ref="J5104:L5104"/>
    <mergeCell ref="J5147:L5147"/>
    <mergeCell ref="F5143:G5143"/>
    <mergeCell ref="H5143:I5143"/>
    <mergeCell ref="J5143:L5143"/>
    <mergeCell ref="A5142:H5142"/>
    <mergeCell ref="F5144:G5144"/>
    <mergeCell ref="H5144:I5144"/>
    <mergeCell ref="J5144:L5144"/>
    <mergeCell ref="A5146:H5146"/>
    <mergeCell ref="F5148:G5148"/>
    <mergeCell ref="H5148:I5148"/>
    <mergeCell ref="J5148:L5148"/>
    <mergeCell ref="F5149:G5149"/>
    <mergeCell ref="H5149:I5149"/>
    <mergeCell ref="J5149:L5149"/>
    <mergeCell ref="A5159:H5159"/>
    <mergeCell ref="F5160:G5160"/>
    <mergeCell ref="H5160:I5160"/>
    <mergeCell ref="J5160:L5160"/>
    <mergeCell ref="F5161:G5161"/>
    <mergeCell ref="H5161:I5161"/>
    <mergeCell ref="J5161:L5161"/>
    <mergeCell ref="F5162:G5162"/>
    <mergeCell ref="H5162:I5162"/>
    <mergeCell ref="J5162:L5162"/>
    <mergeCell ref="F5163:G5163"/>
    <mergeCell ref="H5163:I5163"/>
    <mergeCell ref="J5163:L5163"/>
    <mergeCell ref="F5113:G5113"/>
    <mergeCell ref="H5113:I5113"/>
    <mergeCell ref="J5113:L5113"/>
    <mergeCell ref="F5139:G5139"/>
    <mergeCell ref="H5139:I5139"/>
    <mergeCell ref="J5139:L5139"/>
    <mergeCell ref="F5133:G5133"/>
    <mergeCell ref="H5133:I5133"/>
    <mergeCell ref="J5133:L5133"/>
    <mergeCell ref="F5134:G5134"/>
    <mergeCell ref="H5134:I5134"/>
    <mergeCell ref="J5134:L5134"/>
    <mergeCell ref="A5128:H5128"/>
    <mergeCell ref="F5129:G5129"/>
    <mergeCell ref="H5129:I5129"/>
    <mergeCell ref="J5129:L5129"/>
    <mergeCell ref="F5130:G5130"/>
    <mergeCell ref="H5130:I5130"/>
    <mergeCell ref="J5130:L5130"/>
    <mergeCell ref="F5221:G5221"/>
    <mergeCell ref="H5221:I5221"/>
    <mergeCell ref="J5221:L5221"/>
    <mergeCell ref="F5217:G5217"/>
    <mergeCell ref="H5217:I5217"/>
    <mergeCell ref="J5217:L5217"/>
    <mergeCell ref="F5213:G5213"/>
    <mergeCell ref="H5213:I5213"/>
    <mergeCell ref="J5213:L5213"/>
    <mergeCell ref="F5208:G5208"/>
    <mergeCell ref="H5208:I5208"/>
    <mergeCell ref="J5208:L5208"/>
    <mergeCell ref="F5210:G5210"/>
    <mergeCell ref="H5210:I5210"/>
    <mergeCell ref="J5210:L5210"/>
    <mergeCell ref="A5212:H5212"/>
    <mergeCell ref="F5214:G5214"/>
    <mergeCell ref="H5214:I5214"/>
    <mergeCell ref="J5214:L5214"/>
    <mergeCell ref="A5216:H5216"/>
    <mergeCell ref="F5218:G5218"/>
    <mergeCell ref="H5218:I5218"/>
    <mergeCell ref="J5218:L5218"/>
    <mergeCell ref="A5220:H5220"/>
    <mergeCell ref="F5222:G5222"/>
    <mergeCell ref="H5222:I5222"/>
    <mergeCell ref="J5222:L5222"/>
    <mergeCell ref="F5223:G5223"/>
    <mergeCell ref="H5223:I5223"/>
    <mergeCell ref="J5223:L5223"/>
    <mergeCell ref="F5204:G5204"/>
    <mergeCell ref="H5204:I5204"/>
    <mergeCell ref="J5204:L5204"/>
    <mergeCell ref="F5205:G5205"/>
    <mergeCell ref="H5205:I5205"/>
    <mergeCell ref="J5205:L5205"/>
    <mergeCell ref="F5248:G5248"/>
    <mergeCell ref="H5248:I5248"/>
    <mergeCell ref="J5248:L5248"/>
    <mergeCell ref="F5244:G5244"/>
    <mergeCell ref="H5244:I5244"/>
    <mergeCell ref="J5244:L5244"/>
    <mergeCell ref="A5246:H5246"/>
    <mergeCell ref="F5247:G5247"/>
    <mergeCell ref="H5247:I5247"/>
    <mergeCell ref="J5247:L5247"/>
    <mergeCell ref="A5241:H5241"/>
    <mergeCell ref="F5242:G5242"/>
    <mergeCell ref="H5242:I5242"/>
    <mergeCell ref="J5242:L5242"/>
    <mergeCell ref="F5243:G5243"/>
    <mergeCell ref="H5243:I5243"/>
    <mergeCell ref="J5243:L5243"/>
    <mergeCell ref="F5238:G5238"/>
    <mergeCell ref="H5238:I5238"/>
    <mergeCell ref="J5238:L5238"/>
    <mergeCell ref="F5239:G5239"/>
    <mergeCell ref="H5239:I5239"/>
    <mergeCell ref="J5239:L5239"/>
    <mergeCell ref="F5237:G5237"/>
    <mergeCell ref="H5237:I5237"/>
    <mergeCell ref="J5237:L5237"/>
    <mergeCell ref="A5233:H5233"/>
    <mergeCell ref="F5234:G5234"/>
    <mergeCell ref="H5234:I5234"/>
    <mergeCell ref="J5234:L5234"/>
    <mergeCell ref="F5235:G5235"/>
    <mergeCell ref="H5235:I5235"/>
    <mergeCell ref="J5235:L5235"/>
    <mergeCell ref="F5236:G5236"/>
    <mergeCell ref="H5236:I5236"/>
    <mergeCell ref="J5236:L5236"/>
    <mergeCell ref="A5313:H5313"/>
    <mergeCell ref="F5314:G5314"/>
    <mergeCell ref="H5314:I5314"/>
    <mergeCell ref="J5314:L5314"/>
    <mergeCell ref="F5315:G5315"/>
    <mergeCell ref="H5315:I5315"/>
    <mergeCell ref="J5315:L5315"/>
    <mergeCell ref="F5310:G5310"/>
    <mergeCell ref="H5310:I5310"/>
    <mergeCell ref="J5310:L5310"/>
    <mergeCell ref="F5311:G5311"/>
    <mergeCell ref="H5311:I5311"/>
    <mergeCell ref="J5311:L5311"/>
    <mergeCell ref="A5308:H5308"/>
    <mergeCell ref="F5309:G5309"/>
    <mergeCell ref="H5309:I5309"/>
    <mergeCell ref="J5309:L5309"/>
    <mergeCell ref="F5306:G5306"/>
    <mergeCell ref="H5306:I5306"/>
    <mergeCell ref="J5306:L5306"/>
    <mergeCell ref="F5292:G5292"/>
    <mergeCell ref="H5292:I5292"/>
    <mergeCell ref="J5292:L5292"/>
    <mergeCell ref="F5293:G5293"/>
    <mergeCell ref="H5293:I5293"/>
    <mergeCell ref="J5293:L5293"/>
    <mergeCell ref="F5288:G5288"/>
    <mergeCell ref="H5288:I5288"/>
    <mergeCell ref="J5288:L5288"/>
    <mergeCell ref="F5284:G5284"/>
    <mergeCell ref="H5284:I5284"/>
    <mergeCell ref="J5284:L5284"/>
    <mergeCell ref="F5280:G5280"/>
    <mergeCell ref="H5280:I5280"/>
    <mergeCell ref="J5280:L5280"/>
    <mergeCell ref="A5282:H5282"/>
    <mergeCell ref="F5283:G5283"/>
    <mergeCell ref="H5283:I5283"/>
    <mergeCell ref="J5283:L5283"/>
    <mergeCell ref="A5339:H5339"/>
    <mergeCell ref="F5340:G5340"/>
    <mergeCell ref="H5340:I5340"/>
    <mergeCell ref="J5340:L5340"/>
    <mergeCell ref="F5341:G5341"/>
    <mergeCell ref="H5341:I5341"/>
    <mergeCell ref="F5327:G5327"/>
    <mergeCell ref="H5327:I5327"/>
    <mergeCell ref="J5327:L5327"/>
    <mergeCell ref="F5323:G5323"/>
    <mergeCell ref="H5323:I5323"/>
    <mergeCell ref="J5323:L5323"/>
    <mergeCell ref="F5320:G5320"/>
    <mergeCell ref="H5320:I5320"/>
    <mergeCell ref="J5320:L5320"/>
    <mergeCell ref="A5322:H5322"/>
    <mergeCell ref="F5324:G5324"/>
    <mergeCell ref="H5324:I5324"/>
    <mergeCell ref="J5324:L5324"/>
    <mergeCell ref="A5326:H5326"/>
    <mergeCell ref="F5328:G5328"/>
    <mergeCell ref="H5328:I5328"/>
    <mergeCell ref="J5328:L5328"/>
    <mergeCell ref="F5329:G5329"/>
    <mergeCell ref="H5329:I5329"/>
    <mergeCell ref="J5329:L5329"/>
    <mergeCell ref="F5316:G5316"/>
    <mergeCell ref="H5316:I5316"/>
    <mergeCell ref="J5316:L5316"/>
    <mergeCell ref="A5318:H5318"/>
    <mergeCell ref="F5319:G5319"/>
    <mergeCell ref="H5319:I5319"/>
    <mergeCell ref="J5319:L5319"/>
    <mergeCell ref="J5341:L5341"/>
    <mergeCell ref="H5383:I5383"/>
    <mergeCell ref="J5383:L5383"/>
    <mergeCell ref="F5384:G5384"/>
    <mergeCell ref="H5384:I5384"/>
    <mergeCell ref="J5384:L5384"/>
    <mergeCell ref="A5387:H5387"/>
    <mergeCell ref="F5388:G5388"/>
    <mergeCell ref="H5388:I5388"/>
    <mergeCell ref="J5388:L5388"/>
    <mergeCell ref="F5389:G5389"/>
    <mergeCell ref="H5389:I5389"/>
    <mergeCell ref="J5389:L5389"/>
    <mergeCell ref="A5398:H5398"/>
    <mergeCell ref="F5400:G5400"/>
    <mergeCell ref="F5358:G5358"/>
    <mergeCell ref="H5358:I5358"/>
    <mergeCell ref="J5358:L5358"/>
    <mergeCell ref="F5354:G5354"/>
    <mergeCell ref="H5354:I5354"/>
    <mergeCell ref="J5354:L5354"/>
    <mergeCell ref="A5356:H5356"/>
    <mergeCell ref="F5357:G5357"/>
    <mergeCell ref="H5357:I5357"/>
    <mergeCell ref="J5357:L5357"/>
    <mergeCell ref="F5352:G5352"/>
    <mergeCell ref="H5352:I5352"/>
    <mergeCell ref="J5352:L5352"/>
    <mergeCell ref="F5353:G5353"/>
    <mergeCell ref="H5353:I5353"/>
    <mergeCell ref="J5353:L5353"/>
    <mergeCell ref="J5347:L5347"/>
    <mergeCell ref="F5385:G5385"/>
    <mergeCell ref="H5385:I5385"/>
    <mergeCell ref="J5385:L5385"/>
    <mergeCell ref="F5347:G5347"/>
    <mergeCell ref="H5347:I5347"/>
    <mergeCell ref="F5365:G5365"/>
    <mergeCell ref="H5365:I5365"/>
    <mergeCell ref="J5365:L5365"/>
    <mergeCell ref="F5472:G5472"/>
    <mergeCell ref="H5472:I5472"/>
    <mergeCell ref="J5472:L5472"/>
    <mergeCell ref="F5468:G5468"/>
    <mergeCell ref="H5468:I5468"/>
    <mergeCell ref="J5468:L5468"/>
    <mergeCell ref="A5470:H5470"/>
    <mergeCell ref="F5471:G5471"/>
    <mergeCell ref="H5471:I5471"/>
    <mergeCell ref="J5471:L5471"/>
    <mergeCell ref="A5478:H5478"/>
    <mergeCell ref="F5480:G5480"/>
    <mergeCell ref="H5480:I5480"/>
    <mergeCell ref="J5480:L5480"/>
    <mergeCell ref="F5481:G5481"/>
    <mergeCell ref="H5481:I5481"/>
    <mergeCell ref="J5481:L5481"/>
    <mergeCell ref="F5466:G5466"/>
    <mergeCell ref="H5466:I5466"/>
    <mergeCell ref="J5466:L5466"/>
    <mergeCell ref="F5467:G5467"/>
    <mergeCell ref="H5467:I5467"/>
    <mergeCell ref="J5467:L5467"/>
    <mergeCell ref="F5461:G5461"/>
    <mergeCell ref="H5461:I5461"/>
    <mergeCell ref="J5461:L5461"/>
    <mergeCell ref="F5441:G5441"/>
    <mergeCell ref="H5441:I5441"/>
    <mergeCell ref="J5441:L5441"/>
    <mergeCell ref="F5443:G5443"/>
    <mergeCell ref="H5443:I5443"/>
    <mergeCell ref="J5443:L5443"/>
    <mergeCell ref="A5453:H5453"/>
    <mergeCell ref="F5454:G5454"/>
    <mergeCell ref="H5454:I5454"/>
    <mergeCell ref="J5454:L5454"/>
    <mergeCell ref="F5455:G5455"/>
    <mergeCell ref="H5455:I5455"/>
    <mergeCell ref="J5455:L5455"/>
    <mergeCell ref="F5456:G5456"/>
    <mergeCell ref="H5456:I5456"/>
    <mergeCell ref="J5456:L5456"/>
    <mergeCell ref="A5458:H5458"/>
    <mergeCell ref="F5459:G5459"/>
    <mergeCell ref="H5459:I5459"/>
    <mergeCell ref="J5459:L5459"/>
    <mergeCell ref="F5460:G5460"/>
    <mergeCell ref="H5460:I5460"/>
    <mergeCell ref="J5460:L5460"/>
    <mergeCell ref="A5463:H5463"/>
    <mergeCell ref="F5464:G5464"/>
    <mergeCell ref="H5464:I5464"/>
    <mergeCell ref="J5464:L5464"/>
    <mergeCell ref="F5465:G5465"/>
    <mergeCell ref="H5465:I5465"/>
    <mergeCell ref="J5465:L5465"/>
    <mergeCell ref="A5474:H5474"/>
    <mergeCell ref="F5476:G5476"/>
    <mergeCell ref="F5499:G5499"/>
    <mergeCell ref="H5499:I5499"/>
    <mergeCell ref="J5499:L5499"/>
    <mergeCell ref="A5491:H5491"/>
    <mergeCell ref="F5492:G5492"/>
    <mergeCell ref="H5492:I5492"/>
    <mergeCell ref="J5492:L5492"/>
    <mergeCell ref="F5493:G5493"/>
    <mergeCell ref="H5493:I5493"/>
    <mergeCell ref="J5493:L5493"/>
    <mergeCell ref="F5494:G5494"/>
    <mergeCell ref="H5494:I5494"/>
    <mergeCell ref="J5494:L5494"/>
    <mergeCell ref="A5496:H5496"/>
    <mergeCell ref="F5497:G5497"/>
    <mergeCell ref="H5497:I5497"/>
    <mergeCell ref="J5497:L5497"/>
    <mergeCell ref="F5498:G5498"/>
    <mergeCell ref="H5498:I5498"/>
    <mergeCell ref="J5498:L5498"/>
    <mergeCell ref="A5501:H5501"/>
    <mergeCell ref="F5502:G5502"/>
    <mergeCell ref="H5502:I5502"/>
    <mergeCell ref="J5502:L5502"/>
    <mergeCell ref="F5503:G5503"/>
    <mergeCell ref="H5503:I5503"/>
    <mergeCell ref="J5503:L5503"/>
    <mergeCell ref="F5479:G5479"/>
    <mergeCell ref="H5479:I5479"/>
    <mergeCell ref="J5479:L5479"/>
    <mergeCell ref="F5475:G5475"/>
    <mergeCell ref="H5475:I5475"/>
    <mergeCell ref="J5475:L5475"/>
    <mergeCell ref="H5476:I5476"/>
    <mergeCell ref="J5476:L5476"/>
    <mergeCell ref="F5531:G5531"/>
    <mergeCell ref="H5531:I5531"/>
    <mergeCell ref="F5517:G5517"/>
    <mergeCell ref="H5517:I5517"/>
    <mergeCell ref="J5517:L5517"/>
    <mergeCell ref="F5513:G5513"/>
    <mergeCell ref="H5513:I5513"/>
    <mergeCell ref="J5513:L5513"/>
    <mergeCell ref="F5510:G5510"/>
    <mergeCell ref="H5510:I5510"/>
    <mergeCell ref="J5510:L5510"/>
    <mergeCell ref="A5512:H5512"/>
    <mergeCell ref="F5514:G5514"/>
    <mergeCell ref="H5514:I5514"/>
    <mergeCell ref="J5514:L5514"/>
    <mergeCell ref="A5516:H5516"/>
    <mergeCell ref="F5518:G5518"/>
    <mergeCell ref="H5518:I5518"/>
    <mergeCell ref="J5518:L5518"/>
    <mergeCell ref="F5519:G5519"/>
    <mergeCell ref="H5519:I5519"/>
    <mergeCell ref="J5519:L5519"/>
    <mergeCell ref="F5506:G5506"/>
    <mergeCell ref="H5506:I5506"/>
    <mergeCell ref="J5506:L5506"/>
    <mergeCell ref="A5508:H5508"/>
    <mergeCell ref="F5509:G5509"/>
    <mergeCell ref="H5509:I5509"/>
    <mergeCell ref="J5509:L5509"/>
    <mergeCell ref="F5504:G5504"/>
    <mergeCell ref="H5504:I5504"/>
    <mergeCell ref="J5504:L5504"/>
    <mergeCell ref="F5505:G5505"/>
    <mergeCell ref="H5505:I5505"/>
    <mergeCell ref="J5505:L5505"/>
    <mergeCell ref="J5531:L5531"/>
    <mergeCell ref="A5529:H5529"/>
    <mergeCell ref="F5530:G5530"/>
    <mergeCell ref="H5530:I5530"/>
    <mergeCell ref="J5530:L5530"/>
    <mergeCell ref="F5589:G5589"/>
    <mergeCell ref="H5589:I5589"/>
    <mergeCell ref="J5589:L5589"/>
    <mergeCell ref="F5586:G5586"/>
    <mergeCell ref="H5586:I5586"/>
    <mergeCell ref="J5586:L5586"/>
    <mergeCell ref="F5582:G5582"/>
    <mergeCell ref="H5582:I5582"/>
    <mergeCell ref="J5582:L5582"/>
    <mergeCell ref="A5584:H5584"/>
    <mergeCell ref="F5585:G5585"/>
    <mergeCell ref="H5585:I5585"/>
    <mergeCell ref="J5585:L5585"/>
    <mergeCell ref="F5580:G5580"/>
    <mergeCell ref="H5580:I5580"/>
    <mergeCell ref="J5580:L5580"/>
    <mergeCell ref="F5581:G5581"/>
    <mergeCell ref="H5581:I5581"/>
    <mergeCell ref="J5581:L5581"/>
    <mergeCell ref="F5569:G5569"/>
    <mergeCell ref="H5569:I5569"/>
    <mergeCell ref="J5569:L5569"/>
    <mergeCell ref="F5570:G5570"/>
    <mergeCell ref="H5570:I5570"/>
    <mergeCell ref="J5570:L5570"/>
    <mergeCell ref="A5572:H5572"/>
    <mergeCell ref="F5573:G5573"/>
    <mergeCell ref="H5573:I5573"/>
    <mergeCell ref="J5573:L5573"/>
    <mergeCell ref="F5574:G5574"/>
    <mergeCell ref="H5574:I5574"/>
    <mergeCell ref="J5574:L5574"/>
    <mergeCell ref="A5577:H5577"/>
    <mergeCell ref="F5578:G5578"/>
    <mergeCell ref="H5578:I5578"/>
    <mergeCell ref="J5578:L5578"/>
    <mergeCell ref="F5579:G5579"/>
    <mergeCell ref="H5579:I5579"/>
    <mergeCell ref="J5579:L5579"/>
    <mergeCell ref="A5588:H5588"/>
    <mergeCell ref="F5575:G5575"/>
    <mergeCell ref="H5575:I5575"/>
    <mergeCell ref="J5575:L5575"/>
    <mergeCell ref="F5631:G5631"/>
    <mergeCell ref="H5631:I5631"/>
    <mergeCell ref="J5631:L5631"/>
    <mergeCell ref="F5627:G5627"/>
    <mergeCell ref="H5627:I5627"/>
    <mergeCell ref="J5627:L5627"/>
    <mergeCell ref="F5624:G5624"/>
    <mergeCell ref="H5624:I5624"/>
    <mergeCell ref="J5624:L5624"/>
    <mergeCell ref="F5620:G5620"/>
    <mergeCell ref="H5620:I5620"/>
    <mergeCell ref="J5620:L5620"/>
    <mergeCell ref="A5622:H5622"/>
    <mergeCell ref="F5623:G5623"/>
    <mergeCell ref="H5623:I5623"/>
    <mergeCell ref="J5623:L5623"/>
    <mergeCell ref="F5618:G5618"/>
    <mergeCell ref="H5618:I5618"/>
    <mergeCell ref="J5618:L5618"/>
    <mergeCell ref="F5619:G5619"/>
    <mergeCell ref="H5619:I5619"/>
    <mergeCell ref="J5619:L5619"/>
    <mergeCell ref="A5626:H5626"/>
    <mergeCell ref="F5628:G5628"/>
    <mergeCell ref="H5628:I5628"/>
    <mergeCell ref="J5628:L5628"/>
    <mergeCell ref="A5630:H5630"/>
    <mergeCell ref="F5613:G5613"/>
    <mergeCell ref="H5613:I5613"/>
    <mergeCell ref="J5613:L5613"/>
    <mergeCell ref="F5593:G5593"/>
    <mergeCell ref="H5593:I5593"/>
    <mergeCell ref="J5593:L5593"/>
    <mergeCell ref="F5736:G5736"/>
    <mergeCell ref="H5736:I5736"/>
    <mergeCell ref="J5736:L5736"/>
    <mergeCell ref="F5732:G5732"/>
    <mergeCell ref="H5732:I5732"/>
    <mergeCell ref="J5732:L5732"/>
    <mergeCell ref="F5728:G5728"/>
    <mergeCell ref="H5728:I5728"/>
    <mergeCell ref="J5728:L5728"/>
    <mergeCell ref="A5730:H5730"/>
    <mergeCell ref="F5731:G5731"/>
    <mergeCell ref="H5731:I5731"/>
    <mergeCell ref="J5731:L5731"/>
    <mergeCell ref="A5734:H5734"/>
    <mergeCell ref="F5735:G5735"/>
    <mergeCell ref="H5735:I5735"/>
    <mergeCell ref="J5735:L5735"/>
    <mergeCell ref="A5738:H5738"/>
    <mergeCell ref="F5739:G5739"/>
    <mergeCell ref="H5739:I5739"/>
    <mergeCell ref="J5739:L5739"/>
    <mergeCell ref="F5727:G5727"/>
    <mergeCell ref="H5727:I5727"/>
    <mergeCell ref="J5727:L5727"/>
    <mergeCell ref="F5722:G5722"/>
    <mergeCell ref="H5722:I5722"/>
    <mergeCell ref="J5722:L5722"/>
    <mergeCell ref="F5723:G5723"/>
    <mergeCell ref="H5723:I5723"/>
    <mergeCell ref="J5723:L5723"/>
    <mergeCell ref="H5687:I5687"/>
    <mergeCell ref="J5687:L5687"/>
    <mergeCell ref="F5670:G5670"/>
    <mergeCell ref="H5670:I5670"/>
    <mergeCell ref="J5670:L5670"/>
    <mergeCell ref="A5681:H5681"/>
    <mergeCell ref="F5682:G5682"/>
    <mergeCell ref="H5682:I5682"/>
    <mergeCell ref="J5682:L5682"/>
    <mergeCell ref="F5683:G5683"/>
    <mergeCell ref="H5683:I5683"/>
    <mergeCell ref="J5683:L5683"/>
    <mergeCell ref="F5684:G5684"/>
    <mergeCell ref="H5684:I5684"/>
    <mergeCell ref="J5684:L5684"/>
    <mergeCell ref="A5686:H5686"/>
    <mergeCell ref="A5761:H5761"/>
    <mergeCell ref="F5762:G5762"/>
    <mergeCell ref="H5762:I5762"/>
    <mergeCell ref="J5762:L5762"/>
    <mergeCell ref="F5763:G5763"/>
    <mergeCell ref="H5763:I5763"/>
    <mergeCell ref="J5763:L5763"/>
    <mergeCell ref="F5758:G5758"/>
    <mergeCell ref="H5758:I5758"/>
    <mergeCell ref="J5758:L5758"/>
    <mergeCell ref="F5759:G5759"/>
    <mergeCell ref="H5759:I5759"/>
    <mergeCell ref="J5759:L5759"/>
    <mergeCell ref="A5756:H5756"/>
    <mergeCell ref="F5757:G5757"/>
    <mergeCell ref="H5757:I5757"/>
    <mergeCell ref="J5757:L5757"/>
    <mergeCell ref="A5751:H5751"/>
    <mergeCell ref="F5752:G5752"/>
    <mergeCell ref="H5752:I5752"/>
    <mergeCell ref="J5752:L5752"/>
    <mergeCell ref="F5753:G5753"/>
    <mergeCell ref="H5753:I5753"/>
    <mergeCell ref="J5753:L5753"/>
    <mergeCell ref="F5754:G5754"/>
    <mergeCell ref="H5754:I5754"/>
    <mergeCell ref="J5754:L5754"/>
    <mergeCell ref="F5740:G5740"/>
    <mergeCell ref="H5740:I5740"/>
    <mergeCell ref="J5740:L5740"/>
    <mergeCell ref="F5741:G5741"/>
    <mergeCell ref="H5741:I5741"/>
    <mergeCell ref="J5741:L5741"/>
    <mergeCell ref="F5830:G5830"/>
    <mergeCell ref="H5830:I5830"/>
    <mergeCell ref="J5830:L5830"/>
    <mergeCell ref="F5831:G5831"/>
    <mergeCell ref="H5831:I5831"/>
    <mergeCell ref="J5831:L5831"/>
    <mergeCell ref="A5828:H5828"/>
    <mergeCell ref="F5829:G5829"/>
    <mergeCell ref="H5829:I5829"/>
    <mergeCell ref="J5829:L5829"/>
    <mergeCell ref="F5826:G5826"/>
    <mergeCell ref="H5826:I5826"/>
    <mergeCell ref="J5826:L5826"/>
    <mergeCell ref="F5812:G5812"/>
    <mergeCell ref="H5812:I5812"/>
    <mergeCell ref="J5812:L5812"/>
    <mergeCell ref="F5813:G5813"/>
    <mergeCell ref="H5813:I5813"/>
    <mergeCell ref="J5813:L5813"/>
    <mergeCell ref="F5808:G5808"/>
    <mergeCell ref="H5808:I5808"/>
    <mergeCell ref="J5808:L5808"/>
    <mergeCell ref="F5804:G5804"/>
    <mergeCell ref="H5804:I5804"/>
    <mergeCell ref="J5804:L5804"/>
    <mergeCell ref="F5800:G5800"/>
    <mergeCell ref="H5800:I5800"/>
    <mergeCell ref="J5800:L5800"/>
    <mergeCell ref="A5802:H5802"/>
    <mergeCell ref="F5803:G5803"/>
    <mergeCell ref="H5803:I5803"/>
    <mergeCell ref="J5803:L5803"/>
    <mergeCell ref="A5797:H5797"/>
    <mergeCell ref="F5798:G5798"/>
    <mergeCell ref="H5798:I5798"/>
    <mergeCell ref="J5798:L5798"/>
    <mergeCell ref="F5799:G5799"/>
    <mergeCell ref="H5799:I5799"/>
    <mergeCell ref="J5799:L5799"/>
    <mergeCell ref="F5825:G5825"/>
    <mergeCell ref="H5825:I5825"/>
    <mergeCell ref="J5825:L5825"/>
    <mergeCell ref="F5847:G5847"/>
    <mergeCell ref="H5847:I5847"/>
    <mergeCell ref="J5847:L5847"/>
    <mergeCell ref="F5843:G5843"/>
    <mergeCell ref="H5843:I5843"/>
    <mergeCell ref="J5843:L5843"/>
    <mergeCell ref="F5840:G5840"/>
    <mergeCell ref="H5840:I5840"/>
    <mergeCell ref="J5840:L5840"/>
    <mergeCell ref="A5842:H5842"/>
    <mergeCell ref="F5844:G5844"/>
    <mergeCell ref="H5844:I5844"/>
    <mergeCell ref="J5844:L5844"/>
    <mergeCell ref="A5846:H5846"/>
    <mergeCell ref="F5848:G5848"/>
    <mergeCell ref="H5848:I5848"/>
    <mergeCell ref="J5848:L5848"/>
    <mergeCell ref="F5849:G5849"/>
    <mergeCell ref="H5849:I5849"/>
    <mergeCell ref="J5849:L5849"/>
    <mergeCell ref="F5836:G5836"/>
    <mergeCell ref="H5836:I5836"/>
    <mergeCell ref="J5836:L5836"/>
    <mergeCell ref="A5838:H5838"/>
    <mergeCell ref="F5839:G5839"/>
    <mergeCell ref="H5839:I5839"/>
    <mergeCell ref="J5839:L5839"/>
    <mergeCell ref="A5833:H5833"/>
    <mergeCell ref="F5834:G5834"/>
    <mergeCell ref="H5834:I5834"/>
    <mergeCell ref="J5834:L5834"/>
    <mergeCell ref="F5835:G5835"/>
    <mergeCell ref="H5835:I5835"/>
    <mergeCell ref="J5835:L5835"/>
    <mergeCell ref="F5872:G5872"/>
    <mergeCell ref="H5872:I5872"/>
    <mergeCell ref="J5872:L5872"/>
    <mergeCell ref="F5873:G5873"/>
    <mergeCell ref="H5873:I5873"/>
    <mergeCell ref="J5873:L5873"/>
    <mergeCell ref="F5867:G5867"/>
    <mergeCell ref="H5867:I5867"/>
    <mergeCell ref="J5867:L5867"/>
    <mergeCell ref="A5859:H5859"/>
    <mergeCell ref="F5860:G5860"/>
    <mergeCell ref="H5860:I5860"/>
    <mergeCell ref="J5860:L5860"/>
    <mergeCell ref="F5861:G5861"/>
    <mergeCell ref="H5861:I5861"/>
    <mergeCell ref="J5861:L5861"/>
    <mergeCell ref="F5862:G5862"/>
    <mergeCell ref="H5862:I5862"/>
    <mergeCell ref="J5862:L5862"/>
    <mergeCell ref="A5864:H5864"/>
    <mergeCell ref="F5865:G5865"/>
    <mergeCell ref="H5865:I5865"/>
    <mergeCell ref="J5865:L5865"/>
    <mergeCell ref="F5866:G5866"/>
    <mergeCell ref="H5866:I5866"/>
    <mergeCell ref="J5866:L5866"/>
    <mergeCell ref="A5869:H5869"/>
    <mergeCell ref="F5870:G5870"/>
    <mergeCell ref="H5870:I5870"/>
    <mergeCell ref="J5870:L5870"/>
    <mergeCell ref="F5871:G5871"/>
    <mergeCell ref="H5871:I5871"/>
    <mergeCell ref="J5871:L5871"/>
    <mergeCell ref="A5880:H5880"/>
    <mergeCell ref="F5882:G5882"/>
    <mergeCell ref="H5882:I5882"/>
    <mergeCell ref="J5882:L5882"/>
    <mergeCell ref="A5884:H5884"/>
    <mergeCell ref="F5886:G5886"/>
    <mergeCell ref="H5886:I5886"/>
    <mergeCell ref="J5886:L5886"/>
    <mergeCell ref="F5887:G5887"/>
    <mergeCell ref="H5887:I5887"/>
    <mergeCell ref="J5887:L5887"/>
    <mergeCell ref="A5897:H5897"/>
    <mergeCell ref="F5898:G5898"/>
    <mergeCell ref="H5898:I5898"/>
    <mergeCell ref="J5898:L5898"/>
    <mergeCell ref="F5899:G5899"/>
    <mergeCell ref="H5899:I5899"/>
    <mergeCell ref="J5899:L5899"/>
    <mergeCell ref="F5900:G5900"/>
    <mergeCell ref="H5900:I5900"/>
    <mergeCell ref="J5900:L5900"/>
    <mergeCell ref="A5902:H5902"/>
    <mergeCell ref="F5903:G5903"/>
    <mergeCell ref="H5903:I5903"/>
    <mergeCell ref="J5903:L5903"/>
    <mergeCell ref="F5904:G5904"/>
    <mergeCell ref="H5904:I5904"/>
    <mergeCell ref="J5904:L5904"/>
    <mergeCell ref="F5878:G5878"/>
    <mergeCell ref="H5878:I5878"/>
    <mergeCell ref="J5878:L5878"/>
    <mergeCell ref="F5874:G5874"/>
    <mergeCell ref="H5874:I5874"/>
    <mergeCell ref="J5874:L5874"/>
    <mergeCell ref="A5876:H5876"/>
    <mergeCell ref="F5877:G5877"/>
    <mergeCell ref="H5877:I5877"/>
    <mergeCell ref="J5877:L5877"/>
    <mergeCell ref="F5912:G5912"/>
    <mergeCell ref="H5912:I5912"/>
    <mergeCell ref="J5912:L5912"/>
    <mergeCell ref="A5914:H5914"/>
    <mergeCell ref="F5915:G5915"/>
    <mergeCell ref="H5915:I5915"/>
    <mergeCell ref="J5915:L5915"/>
    <mergeCell ref="F5910:G5910"/>
    <mergeCell ref="H5910:I5910"/>
    <mergeCell ref="J5910:L5910"/>
    <mergeCell ref="F5911:G5911"/>
    <mergeCell ref="H5911:I5911"/>
    <mergeCell ref="J5911:L5911"/>
    <mergeCell ref="A5907:H5907"/>
    <mergeCell ref="F5908:G5908"/>
    <mergeCell ref="H5908:I5908"/>
    <mergeCell ref="J5908:L5908"/>
    <mergeCell ref="F5909:G5909"/>
    <mergeCell ref="H5909:I5909"/>
    <mergeCell ref="J5909:L5909"/>
    <mergeCell ref="A5918:H5918"/>
    <mergeCell ref="F5919:G5919"/>
    <mergeCell ref="H5919:I5919"/>
    <mergeCell ref="J5919:L5919"/>
    <mergeCell ref="F5905:G5905"/>
    <mergeCell ref="H5905:I5905"/>
    <mergeCell ref="J5905:L5905"/>
    <mergeCell ref="F5885:G5885"/>
    <mergeCell ref="H5885:I5885"/>
    <mergeCell ref="J5885:L5885"/>
    <mergeCell ref="F5881:G5881"/>
    <mergeCell ref="H5881:I5881"/>
    <mergeCell ref="J5881:L5881"/>
    <mergeCell ref="J5948:L5948"/>
    <mergeCell ref="A5950:H5950"/>
    <mergeCell ref="F5951:G5951"/>
    <mergeCell ref="H5951:I5951"/>
    <mergeCell ref="J5951:L5951"/>
    <mergeCell ref="A5945:H5945"/>
    <mergeCell ref="F5946:G5946"/>
    <mergeCell ref="H5946:I5946"/>
    <mergeCell ref="J5946:L5946"/>
    <mergeCell ref="F5947:G5947"/>
    <mergeCell ref="H5947:I5947"/>
    <mergeCell ref="J5947:L5947"/>
    <mergeCell ref="F5942:G5942"/>
    <mergeCell ref="H5942:I5942"/>
    <mergeCell ref="J5942:L5942"/>
    <mergeCell ref="F5943:G5943"/>
    <mergeCell ref="H5943:I5943"/>
    <mergeCell ref="J5943:L5943"/>
    <mergeCell ref="A5940:H5940"/>
    <mergeCell ref="F5941:G5941"/>
    <mergeCell ref="H5941:I5941"/>
    <mergeCell ref="J5941:L5941"/>
    <mergeCell ref="F5924:G5924"/>
    <mergeCell ref="H5924:I5924"/>
    <mergeCell ref="J5924:L5924"/>
    <mergeCell ref="F5925:G5925"/>
    <mergeCell ref="H5925:I5925"/>
    <mergeCell ref="J5925:L5925"/>
    <mergeCell ref="F5920:G5920"/>
    <mergeCell ref="H5920:I5920"/>
    <mergeCell ref="J5920:L5920"/>
    <mergeCell ref="F5916:G5916"/>
    <mergeCell ref="H5916:I5916"/>
    <mergeCell ref="J5916:L5916"/>
    <mergeCell ref="A5922:H5922"/>
    <mergeCell ref="F5923:G5923"/>
    <mergeCell ref="H5923:I5923"/>
    <mergeCell ref="J5923:L5923"/>
    <mergeCell ref="A5935:H5935"/>
    <mergeCell ref="F5936:G5936"/>
    <mergeCell ref="H5936:I5936"/>
    <mergeCell ref="J5936:L5936"/>
    <mergeCell ref="F5937:G5937"/>
    <mergeCell ref="H5937:I5937"/>
    <mergeCell ref="J5937:L5937"/>
    <mergeCell ref="F5938:G5938"/>
    <mergeCell ref="H5938:I5938"/>
    <mergeCell ref="J5938:L5938"/>
    <mergeCell ref="F5996:G5996"/>
    <mergeCell ref="H5996:I5996"/>
    <mergeCell ref="J5996:L5996"/>
    <mergeCell ref="F5997:G5997"/>
    <mergeCell ref="H5997:I5997"/>
    <mergeCell ref="J5997:L5997"/>
    <mergeCell ref="F5992:G5992"/>
    <mergeCell ref="H5992:I5992"/>
    <mergeCell ref="J5992:L5992"/>
    <mergeCell ref="F5991:G5991"/>
    <mergeCell ref="H5991:I5991"/>
    <mergeCell ref="J5991:L5991"/>
    <mergeCell ref="A5994:H5994"/>
    <mergeCell ref="F5995:G5995"/>
    <mergeCell ref="H5995:I5995"/>
    <mergeCell ref="J5995:L5995"/>
    <mergeCell ref="A6007:H6007"/>
    <mergeCell ref="F6008:G6008"/>
    <mergeCell ref="H6008:I6008"/>
    <mergeCell ref="J6008:L6008"/>
    <mergeCell ref="F6009:G6009"/>
    <mergeCell ref="H6009:I6009"/>
    <mergeCell ref="J6009:L6009"/>
    <mergeCell ref="F6010:G6010"/>
    <mergeCell ref="H6010:I6010"/>
    <mergeCell ref="J6010:L6010"/>
    <mergeCell ref="F5988:G5988"/>
    <mergeCell ref="H5988:I5988"/>
    <mergeCell ref="J5988:L5988"/>
    <mergeCell ref="F5984:G5984"/>
    <mergeCell ref="H5984:I5984"/>
    <mergeCell ref="J5984:L5984"/>
    <mergeCell ref="A5986:H5986"/>
    <mergeCell ref="F5987:G5987"/>
    <mergeCell ref="H5987:I5987"/>
    <mergeCell ref="J5987:L5987"/>
    <mergeCell ref="F6027:G6027"/>
    <mergeCell ref="H6027:I6027"/>
    <mergeCell ref="J6027:L6027"/>
    <mergeCell ref="F6024:G6024"/>
    <mergeCell ref="H6024:I6024"/>
    <mergeCell ref="J6024:L6024"/>
    <mergeCell ref="F6020:G6020"/>
    <mergeCell ref="H6020:I6020"/>
    <mergeCell ref="J6020:L6020"/>
    <mergeCell ref="A6022:H6022"/>
    <mergeCell ref="F6023:G6023"/>
    <mergeCell ref="H6023:I6023"/>
    <mergeCell ref="J6023:L6023"/>
    <mergeCell ref="A6017:H6017"/>
    <mergeCell ref="F6018:G6018"/>
    <mergeCell ref="H6018:I6018"/>
    <mergeCell ref="J6018:L6018"/>
    <mergeCell ref="F6019:G6019"/>
    <mergeCell ref="H6019:I6019"/>
    <mergeCell ref="J6019:L6019"/>
    <mergeCell ref="A6026:H6026"/>
    <mergeCell ref="F6028:G6028"/>
    <mergeCell ref="H6028:I6028"/>
    <mergeCell ref="J6028:L6028"/>
    <mergeCell ref="A6030:H6030"/>
    <mergeCell ref="F6014:G6014"/>
    <mergeCell ref="H6014:I6014"/>
    <mergeCell ref="J6014:L6014"/>
    <mergeCell ref="F6015:G6015"/>
    <mergeCell ref="H6015:I6015"/>
    <mergeCell ref="J6015:L6015"/>
    <mergeCell ref="A6012:H6012"/>
    <mergeCell ref="F6013:G6013"/>
    <mergeCell ref="H6013:I6013"/>
    <mergeCell ref="J6013:L6013"/>
    <mergeCell ref="F6069:G6069"/>
    <mergeCell ref="H6069:I6069"/>
    <mergeCell ref="J6069:L6069"/>
    <mergeCell ref="F6065:G6065"/>
    <mergeCell ref="H6065:I6065"/>
    <mergeCell ref="J6065:L6065"/>
    <mergeCell ref="F6062:G6062"/>
    <mergeCell ref="H6062:I6062"/>
    <mergeCell ref="J6062:L6062"/>
    <mergeCell ref="F6058:G6058"/>
    <mergeCell ref="H6058:I6058"/>
    <mergeCell ref="J6058:L6058"/>
    <mergeCell ref="A6060:H6060"/>
    <mergeCell ref="F6061:G6061"/>
    <mergeCell ref="H6061:I6061"/>
    <mergeCell ref="J6061:L6061"/>
    <mergeCell ref="A6068:H6068"/>
    <mergeCell ref="F6070:G6070"/>
    <mergeCell ref="H6070:I6070"/>
    <mergeCell ref="J6070:L6070"/>
    <mergeCell ref="F6071:G6071"/>
    <mergeCell ref="H6071:I6071"/>
    <mergeCell ref="J6071:L6071"/>
    <mergeCell ref="F6056:G6056"/>
    <mergeCell ref="H6056:I6056"/>
    <mergeCell ref="J6056:L6056"/>
    <mergeCell ref="F6057:G6057"/>
    <mergeCell ref="H6057:I6057"/>
    <mergeCell ref="J6057:L6057"/>
    <mergeCell ref="F6051:G6051"/>
    <mergeCell ref="H6051:I6051"/>
    <mergeCell ref="J6051:L6051"/>
    <mergeCell ref="F6031:G6031"/>
    <mergeCell ref="H6031:I6031"/>
    <mergeCell ref="J6031:L6031"/>
    <mergeCell ref="A6064:H6064"/>
    <mergeCell ref="F6066:G6066"/>
    <mergeCell ref="H6066:I6066"/>
    <mergeCell ref="J6066:L6066"/>
    <mergeCell ref="F6094:G6094"/>
    <mergeCell ref="H6094:I6094"/>
    <mergeCell ref="J6094:L6094"/>
    <mergeCell ref="F6095:G6095"/>
    <mergeCell ref="H6095:I6095"/>
    <mergeCell ref="J6095:L6095"/>
    <mergeCell ref="F6089:G6089"/>
    <mergeCell ref="H6089:I6089"/>
    <mergeCell ref="J6089:L6089"/>
    <mergeCell ref="A6081:H6081"/>
    <mergeCell ref="F6082:G6082"/>
    <mergeCell ref="H6082:I6082"/>
    <mergeCell ref="J6082:L6082"/>
    <mergeCell ref="F6083:G6083"/>
    <mergeCell ref="H6083:I6083"/>
    <mergeCell ref="J6083:L6083"/>
    <mergeCell ref="F6084:G6084"/>
    <mergeCell ref="H6084:I6084"/>
    <mergeCell ref="J6084:L6084"/>
    <mergeCell ref="A6086:H6086"/>
    <mergeCell ref="F6087:G6087"/>
    <mergeCell ref="H6087:I6087"/>
    <mergeCell ref="J6087:L6087"/>
    <mergeCell ref="F6088:G6088"/>
    <mergeCell ref="H6088:I6088"/>
    <mergeCell ref="J6088:L6088"/>
    <mergeCell ref="A6091:H6091"/>
    <mergeCell ref="F6092:G6092"/>
    <mergeCell ref="H6092:I6092"/>
    <mergeCell ref="J6092:L6092"/>
    <mergeCell ref="F6093:G6093"/>
    <mergeCell ref="H6093:I6093"/>
    <mergeCell ref="J6093:L6093"/>
    <mergeCell ref="A6119:H6119"/>
    <mergeCell ref="F6120:G6120"/>
    <mergeCell ref="H6120:I6120"/>
    <mergeCell ref="J6120:L6120"/>
    <mergeCell ref="F6121:G6121"/>
    <mergeCell ref="H6121:I6121"/>
    <mergeCell ref="F6107:G6107"/>
    <mergeCell ref="H6107:I6107"/>
    <mergeCell ref="J6107:L6107"/>
    <mergeCell ref="F6103:G6103"/>
    <mergeCell ref="H6103:I6103"/>
    <mergeCell ref="J6103:L6103"/>
    <mergeCell ref="F6100:G6100"/>
    <mergeCell ref="H6100:I6100"/>
    <mergeCell ref="J6100:L6100"/>
    <mergeCell ref="A6102:H6102"/>
    <mergeCell ref="F6104:G6104"/>
    <mergeCell ref="H6104:I6104"/>
    <mergeCell ref="J6104:L6104"/>
    <mergeCell ref="A6106:H6106"/>
    <mergeCell ref="F6108:G6108"/>
    <mergeCell ref="H6108:I6108"/>
    <mergeCell ref="J6108:L6108"/>
    <mergeCell ref="F6109:G6109"/>
    <mergeCell ref="H6109:I6109"/>
    <mergeCell ref="J6109:L6109"/>
    <mergeCell ref="F6096:G6096"/>
    <mergeCell ref="H6096:I6096"/>
    <mergeCell ref="J6096:L6096"/>
    <mergeCell ref="A6098:H6098"/>
    <mergeCell ref="F6099:G6099"/>
    <mergeCell ref="H6099:I6099"/>
    <mergeCell ref="J6099:L6099"/>
    <mergeCell ref="J6121:L6121"/>
    <mergeCell ref="F6179:G6179"/>
    <mergeCell ref="H6179:I6179"/>
    <mergeCell ref="J6179:L6179"/>
    <mergeCell ref="F6176:G6176"/>
    <mergeCell ref="H6176:I6176"/>
    <mergeCell ref="J6176:L6176"/>
    <mergeCell ref="F6172:G6172"/>
    <mergeCell ref="H6172:I6172"/>
    <mergeCell ref="J6172:L6172"/>
    <mergeCell ref="A6174:H6174"/>
    <mergeCell ref="F6175:G6175"/>
    <mergeCell ref="H6175:I6175"/>
    <mergeCell ref="J6175:L6175"/>
    <mergeCell ref="F6170:G6170"/>
    <mergeCell ref="H6170:I6170"/>
    <mergeCell ref="J6170:L6170"/>
    <mergeCell ref="F6171:G6171"/>
    <mergeCell ref="H6171:I6171"/>
    <mergeCell ref="J6171:L6171"/>
    <mergeCell ref="F6159:G6159"/>
    <mergeCell ref="H6159:I6159"/>
    <mergeCell ref="J6159:L6159"/>
    <mergeCell ref="F6160:G6160"/>
    <mergeCell ref="H6160:I6160"/>
    <mergeCell ref="J6160:L6160"/>
    <mergeCell ref="A6162:H6162"/>
    <mergeCell ref="F6163:G6163"/>
    <mergeCell ref="H6163:I6163"/>
    <mergeCell ref="J6163:L6163"/>
    <mergeCell ref="F6164:G6164"/>
    <mergeCell ref="H6164:I6164"/>
    <mergeCell ref="J6164:L6164"/>
    <mergeCell ref="A6167:H6167"/>
    <mergeCell ref="F6168:G6168"/>
    <mergeCell ref="H6168:I6168"/>
    <mergeCell ref="J6168:L6168"/>
    <mergeCell ref="F6169:G6169"/>
    <mergeCell ref="H6169:I6169"/>
    <mergeCell ref="J6169:L6169"/>
    <mergeCell ref="A6178:H6178"/>
    <mergeCell ref="F6165:G6165"/>
    <mergeCell ref="H6165:I6165"/>
    <mergeCell ref="J6165:L6165"/>
    <mergeCell ref="F6222:G6222"/>
    <mergeCell ref="H6222:I6222"/>
    <mergeCell ref="J6222:L6222"/>
    <mergeCell ref="F6218:G6218"/>
    <mergeCell ref="H6218:I6218"/>
    <mergeCell ref="J6218:L6218"/>
    <mergeCell ref="A6220:H6220"/>
    <mergeCell ref="F6221:G6221"/>
    <mergeCell ref="H6221:I6221"/>
    <mergeCell ref="J6221:L6221"/>
    <mergeCell ref="F6214:G6214"/>
    <mergeCell ref="H6214:I6214"/>
    <mergeCell ref="J6214:L6214"/>
    <mergeCell ref="A6216:H6216"/>
    <mergeCell ref="F6217:G6217"/>
    <mergeCell ref="H6217:I6217"/>
    <mergeCell ref="J6217:L6217"/>
    <mergeCell ref="F6210:G6210"/>
    <mergeCell ref="H6210:I6210"/>
    <mergeCell ref="J6210:L6210"/>
    <mergeCell ref="A6212:H6212"/>
    <mergeCell ref="F6213:G6213"/>
    <mergeCell ref="H6213:I6213"/>
    <mergeCell ref="J6213:L6213"/>
    <mergeCell ref="F6208:G6208"/>
    <mergeCell ref="H6208:I6208"/>
    <mergeCell ref="J6208:L6208"/>
    <mergeCell ref="F6209:G6209"/>
    <mergeCell ref="H6209:I6209"/>
    <mergeCell ref="J6209:L6209"/>
    <mergeCell ref="F6223:G6223"/>
    <mergeCell ref="H6223:I6223"/>
    <mergeCell ref="J6223:L6223"/>
    <mergeCell ref="A6247:H6247"/>
    <mergeCell ref="F6248:G6248"/>
    <mergeCell ref="H6248:I6248"/>
    <mergeCell ref="J6248:L6248"/>
    <mergeCell ref="F6249:G6249"/>
    <mergeCell ref="H6249:I6249"/>
    <mergeCell ref="J6249:L6249"/>
    <mergeCell ref="F6244:G6244"/>
    <mergeCell ref="H6244:I6244"/>
    <mergeCell ref="J6244:L6244"/>
    <mergeCell ref="F6245:G6245"/>
    <mergeCell ref="H6245:I6245"/>
    <mergeCell ref="J6245:L6245"/>
    <mergeCell ref="F6240:G6240"/>
    <mergeCell ref="H6240:I6240"/>
    <mergeCell ref="J6240:L6240"/>
    <mergeCell ref="F6239:G6239"/>
    <mergeCell ref="H6239:I6239"/>
    <mergeCell ref="J6239:L6239"/>
    <mergeCell ref="A6233:H6233"/>
    <mergeCell ref="F6234:G6234"/>
    <mergeCell ref="H6234:I6234"/>
    <mergeCell ref="J6234:L6234"/>
    <mergeCell ref="F6235:G6235"/>
    <mergeCell ref="H6235:I6235"/>
    <mergeCell ref="J6235:L6235"/>
    <mergeCell ref="F6236:G6236"/>
    <mergeCell ref="H6236:I6236"/>
    <mergeCell ref="J6236:L6236"/>
    <mergeCell ref="A6238:H6238"/>
    <mergeCell ref="F6241:G6241"/>
    <mergeCell ref="H6241:I6241"/>
    <mergeCell ref="J6241:L6241"/>
    <mergeCell ref="A6243:H6243"/>
    <mergeCell ref="F6274:G6274"/>
    <mergeCell ref="H6274:I6274"/>
    <mergeCell ref="J6274:L6274"/>
    <mergeCell ref="F6275:G6275"/>
    <mergeCell ref="H6275:I6275"/>
    <mergeCell ref="J6275:L6275"/>
    <mergeCell ref="A6255:H6255"/>
    <mergeCell ref="F6256:G6256"/>
    <mergeCell ref="H6256:I6256"/>
    <mergeCell ref="J6256:L6256"/>
    <mergeCell ref="F6257:G6257"/>
    <mergeCell ref="H6257:I6257"/>
    <mergeCell ref="J6257:L6257"/>
    <mergeCell ref="A6251:H6251"/>
    <mergeCell ref="F6252:G6252"/>
    <mergeCell ref="H6252:I6252"/>
    <mergeCell ref="J6252:L6252"/>
    <mergeCell ref="F6253:G6253"/>
    <mergeCell ref="H6253:I6253"/>
    <mergeCell ref="J6253:L6253"/>
    <mergeCell ref="F6258:G6258"/>
    <mergeCell ref="H6258:I6258"/>
    <mergeCell ref="J6258:L6258"/>
    <mergeCell ref="A6268:H6268"/>
    <mergeCell ref="F6269:G6269"/>
    <mergeCell ref="H6269:I6269"/>
    <mergeCell ref="J6269:L6269"/>
    <mergeCell ref="F6270:G6270"/>
    <mergeCell ref="H6270:I6270"/>
    <mergeCell ref="J6270:L6270"/>
    <mergeCell ref="F6271:G6271"/>
    <mergeCell ref="H6271:I6271"/>
    <mergeCell ref="J6271:L6271"/>
    <mergeCell ref="A6273:H6273"/>
    <mergeCell ref="A6339:H6339"/>
    <mergeCell ref="F6340:G6340"/>
    <mergeCell ref="H6340:I6340"/>
    <mergeCell ref="J6340:L6340"/>
    <mergeCell ref="F6341:G6341"/>
    <mergeCell ref="H6341:I6341"/>
    <mergeCell ref="F6327:G6327"/>
    <mergeCell ref="H6327:I6327"/>
    <mergeCell ref="J6327:L6327"/>
    <mergeCell ref="F6323:G6323"/>
    <mergeCell ref="H6323:I6323"/>
    <mergeCell ref="J6323:L6323"/>
    <mergeCell ref="F6320:G6320"/>
    <mergeCell ref="H6320:I6320"/>
    <mergeCell ref="J6320:L6320"/>
    <mergeCell ref="F6316:G6316"/>
    <mergeCell ref="H6316:I6316"/>
    <mergeCell ref="J6316:L6316"/>
    <mergeCell ref="A6318:H6318"/>
    <mergeCell ref="F6319:G6319"/>
    <mergeCell ref="H6319:I6319"/>
    <mergeCell ref="J6319:L6319"/>
    <mergeCell ref="A6313:H6313"/>
    <mergeCell ref="F6314:G6314"/>
    <mergeCell ref="H6314:I6314"/>
    <mergeCell ref="J6314:L6314"/>
    <mergeCell ref="F6315:G6315"/>
    <mergeCell ref="H6315:I6315"/>
    <mergeCell ref="J6315:L6315"/>
    <mergeCell ref="F6310:G6310"/>
    <mergeCell ref="H6310:I6310"/>
    <mergeCell ref="J6310:L6310"/>
    <mergeCell ref="F6311:G6311"/>
    <mergeCell ref="H6311:I6311"/>
    <mergeCell ref="J6311:L6311"/>
    <mergeCell ref="J6341:L6341"/>
    <mergeCell ref="F6399:G6399"/>
    <mergeCell ref="H6399:I6399"/>
    <mergeCell ref="J6399:L6399"/>
    <mergeCell ref="F6396:G6396"/>
    <mergeCell ref="H6396:I6396"/>
    <mergeCell ref="J6396:L6396"/>
    <mergeCell ref="F6392:G6392"/>
    <mergeCell ref="H6392:I6392"/>
    <mergeCell ref="J6392:L6392"/>
    <mergeCell ref="A6394:H6394"/>
    <mergeCell ref="F6395:G6395"/>
    <mergeCell ref="H6395:I6395"/>
    <mergeCell ref="J6395:L6395"/>
    <mergeCell ref="F6390:G6390"/>
    <mergeCell ref="H6390:I6390"/>
    <mergeCell ref="J6390:L6390"/>
    <mergeCell ref="F6391:G6391"/>
    <mergeCell ref="H6391:I6391"/>
    <mergeCell ref="J6391:L6391"/>
    <mergeCell ref="F6379:G6379"/>
    <mergeCell ref="H6379:I6379"/>
    <mergeCell ref="J6379:L6379"/>
    <mergeCell ref="F6380:G6380"/>
    <mergeCell ref="H6380:I6380"/>
    <mergeCell ref="J6380:L6380"/>
    <mergeCell ref="A6382:H6382"/>
    <mergeCell ref="F6383:G6383"/>
    <mergeCell ref="H6383:I6383"/>
    <mergeCell ref="J6383:L6383"/>
    <mergeCell ref="F6384:G6384"/>
    <mergeCell ref="H6384:I6384"/>
    <mergeCell ref="J6384:L6384"/>
    <mergeCell ref="A6387:H6387"/>
    <mergeCell ref="F6388:G6388"/>
    <mergeCell ref="H6388:I6388"/>
    <mergeCell ref="J6388:L6388"/>
    <mergeCell ref="F6389:G6389"/>
    <mergeCell ref="H6389:I6389"/>
    <mergeCell ref="J6389:L6389"/>
    <mergeCell ref="A6398:H6398"/>
    <mergeCell ref="F6385:G6385"/>
    <mergeCell ref="H6385:I6385"/>
    <mergeCell ref="J6385:L6385"/>
    <mergeCell ref="F6437:G6437"/>
    <mergeCell ref="H6437:I6437"/>
    <mergeCell ref="J6437:L6437"/>
    <mergeCell ref="F6433:G6433"/>
    <mergeCell ref="H6433:I6433"/>
    <mergeCell ref="J6433:L6433"/>
    <mergeCell ref="F6428:G6428"/>
    <mergeCell ref="H6428:I6428"/>
    <mergeCell ref="J6428:L6428"/>
    <mergeCell ref="F6429:G6429"/>
    <mergeCell ref="H6429:I6429"/>
    <mergeCell ref="J6429:L6429"/>
    <mergeCell ref="F6430:G6430"/>
    <mergeCell ref="H6430:I6430"/>
    <mergeCell ref="J6430:L6430"/>
    <mergeCell ref="A6432:H6432"/>
    <mergeCell ref="F6434:G6434"/>
    <mergeCell ref="H6434:I6434"/>
    <mergeCell ref="J6434:L6434"/>
    <mergeCell ref="A6436:H6436"/>
    <mergeCell ref="F6438:G6438"/>
    <mergeCell ref="H6438:I6438"/>
    <mergeCell ref="J6438:L6438"/>
    <mergeCell ref="A6440:H6440"/>
    <mergeCell ref="F6443:G6443"/>
    <mergeCell ref="H6443:I6443"/>
    <mergeCell ref="J6443:L6443"/>
    <mergeCell ref="A6453:H6453"/>
    <mergeCell ref="F6423:G6423"/>
    <mergeCell ref="H6423:I6423"/>
    <mergeCell ref="J6423:L6423"/>
    <mergeCell ref="F6403:G6403"/>
    <mergeCell ref="H6403:I6403"/>
    <mergeCell ref="J6403:L6403"/>
    <mergeCell ref="F6463:G6463"/>
    <mergeCell ref="H6463:I6463"/>
    <mergeCell ref="J6463:L6463"/>
    <mergeCell ref="F6459:G6459"/>
    <mergeCell ref="H6459:I6459"/>
    <mergeCell ref="J6459:L6459"/>
    <mergeCell ref="F6454:G6454"/>
    <mergeCell ref="H6454:I6454"/>
    <mergeCell ref="J6454:L6454"/>
    <mergeCell ref="F6455:G6455"/>
    <mergeCell ref="H6455:I6455"/>
    <mergeCell ref="J6455:L6455"/>
    <mergeCell ref="F6456:G6456"/>
    <mergeCell ref="H6456:I6456"/>
    <mergeCell ref="J6456:L6456"/>
    <mergeCell ref="A6458:H6458"/>
    <mergeCell ref="F6460:G6460"/>
    <mergeCell ref="H6460:I6460"/>
    <mergeCell ref="J6460:L6460"/>
    <mergeCell ref="A6462:H6462"/>
    <mergeCell ref="F6464:G6464"/>
    <mergeCell ref="H6464:I6464"/>
    <mergeCell ref="J6464:L6464"/>
    <mergeCell ref="A6466:H6466"/>
    <mergeCell ref="F6468:G6468"/>
    <mergeCell ref="H6468:I6468"/>
    <mergeCell ref="J6468:L6468"/>
    <mergeCell ref="A6470:H6470"/>
    <mergeCell ref="F6442:G6442"/>
    <mergeCell ref="H6442:I6442"/>
    <mergeCell ref="J6442:L6442"/>
    <mergeCell ref="F6441:G6441"/>
    <mergeCell ref="H6441:I6441"/>
    <mergeCell ref="J6441:L6441"/>
    <mergeCell ref="F6493:G6493"/>
    <mergeCell ref="H6493:I6493"/>
    <mergeCell ref="J6493:L6493"/>
    <mergeCell ref="F6489:G6489"/>
    <mergeCell ref="H6489:I6489"/>
    <mergeCell ref="J6489:L6489"/>
    <mergeCell ref="F6484:G6484"/>
    <mergeCell ref="H6484:I6484"/>
    <mergeCell ref="J6484:L6484"/>
    <mergeCell ref="F6485:G6485"/>
    <mergeCell ref="H6485:I6485"/>
    <mergeCell ref="J6485:L6485"/>
    <mergeCell ref="F6472:G6472"/>
    <mergeCell ref="H6472:I6472"/>
    <mergeCell ref="J6472:L6472"/>
    <mergeCell ref="F6473:G6473"/>
    <mergeCell ref="H6473:I6473"/>
    <mergeCell ref="J6473:L6473"/>
    <mergeCell ref="A6483:H6483"/>
    <mergeCell ref="F6486:G6486"/>
    <mergeCell ref="H6486:I6486"/>
    <mergeCell ref="J6486:L6486"/>
    <mergeCell ref="A6488:H6488"/>
    <mergeCell ref="F6490:G6490"/>
    <mergeCell ref="H6490:I6490"/>
    <mergeCell ref="J6490:L6490"/>
    <mergeCell ref="A6492:H6492"/>
    <mergeCell ref="F6471:G6471"/>
    <mergeCell ref="H6471:I6471"/>
    <mergeCell ref="J6471:L6471"/>
    <mergeCell ref="F6467:G6467"/>
    <mergeCell ref="H6467:I6467"/>
    <mergeCell ref="J6467:L6467"/>
    <mergeCell ref="J6529:L6529"/>
    <mergeCell ref="F6524:G6524"/>
    <mergeCell ref="H6524:I6524"/>
    <mergeCell ref="J6524:L6524"/>
    <mergeCell ref="F6523:G6523"/>
    <mergeCell ref="H6523:I6523"/>
    <mergeCell ref="J6523:L6523"/>
    <mergeCell ref="A6536:H6536"/>
    <mergeCell ref="F6520:G6520"/>
    <mergeCell ref="H6520:I6520"/>
    <mergeCell ref="J6520:L6520"/>
    <mergeCell ref="A6518:H6518"/>
    <mergeCell ref="F6519:G6519"/>
    <mergeCell ref="H6519:I6519"/>
    <mergeCell ref="J6519:L6519"/>
    <mergeCell ref="F6502:G6502"/>
    <mergeCell ref="H6502:I6502"/>
    <mergeCell ref="J6502:L6502"/>
    <mergeCell ref="F6503:G6503"/>
    <mergeCell ref="H6503:I6503"/>
    <mergeCell ref="J6503:L6503"/>
    <mergeCell ref="F6498:G6498"/>
    <mergeCell ref="H6498:I6498"/>
    <mergeCell ref="J6498:L6498"/>
    <mergeCell ref="F6494:G6494"/>
    <mergeCell ref="H6494:I6494"/>
    <mergeCell ref="J6494:L6494"/>
    <mergeCell ref="A6496:H6496"/>
    <mergeCell ref="F6497:G6497"/>
    <mergeCell ref="H6497:I6497"/>
    <mergeCell ref="J6497:L6497"/>
    <mergeCell ref="A6500:H6500"/>
    <mergeCell ref="F6501:G6501"/>
    <mergeCell ref="H6501:I6501"/>
    <mergeCell ref="J6501:L6501"/>
    <mergeCell ref="A6513:H6513"/>
    <mergeCell ref="F6514:G6514"/>
    <mergeCell ref="H6514:I6514"/>
    <mergeCell ref="J6514:L6514"/>
    <mergeCell ref="F6515:G6515"/>
    <mergeCell ref="H6515:I6515"/>
    <mergeCell ref="J6515:L6515"/>
    <mergeCell ref="F6516:G6516"/>
    <mergeCell ref="H6516:I6516"/>
    <mergeCell ref="J6516:L6516"/>
    <mergeCell ref="A6522:H6522"/>
    <mergeCell ref="F6525:G6525"/>
    <mergeCell ref="H6525:I6525"/>
    <mergeCell ref="J6525:L6525"/>
    <mergeCell ref="F6526:G6526"/>
    <mergeCell ref="H6526:I6526"/>
    <mergeCell ref="J6526:L6526"/>
    <mergeCell ref="A6528:H6528"/>
    <mergeCell ref="F6530:G6530"/>
    <mergeCell ref="H6530:I6530"/>
    <mergeCell ref="J6530:L6530"/>
    <mergeCell ref="A6532:H6532"/>
    <mergeCell ref="F6534:G6534"/>
    <mergeCell ref="H6534:I6534"/>
    <mergeCell ref="J6534:L6534"/>
    <mergeCell ref="F6533:G6533"/>
    <mergeCell ref="H6533:I6533"/>
    <mergeCell ref="A6587:H6587"/>
    <mergeCell ref="F6588:G6588"/>
    <mergeCell ref="H6588:I6588"/>
    <mergeCell ref="J6588:L6588"/>
    <mergeCell ref="F6589:G6589"/>
    <mergeCell ref="H6589:I6589"/>
    <mergeCell ref="F6576:G6576"/>
    <mergeCell ref="H6576:I6576"/>
    <mergeCell ref="J6576:L6576"/>
    <mergeCell ref="F6577:G6577"/>
    <mergeCell ref="H6577:I6577"/>
    <mergeCell ref="J6577:L6577"/>
    <mergeCell ref="F6572:G6572"/>
    <mergeCell ref="H6572:I6572"/>
    <mergeCell ref="J6572:L6572"/>
    <mergeCell ref="F6568:G6568"/>
    <mergeCell ref="H6568:I6568"/>
    <mergeCell ref="J6568:L6568"/>
    <mergeCell ref="F6564:G6564"/>
    <mergeCell ref="H6564:I6564"/>
    <mergeCell ref="J6564:L6564"/>
    <mergeCell ref="A6566:H6566"/>
    <mergeCell ref="F6567:G6567"/>
    <mergeCell ref="H6567:I6567"/>
    <mergeCell ref="J6567:L6567"/>
    <mergeCell ref="F6560:G6560"/>
    <mergeCell ref="H6560:I6560"/>
    <mergeCell ref="J6560:L6560"/>
    <mergeCell ref="A6562:H6562"/>
    <mergeCell ref="F6563:G6563"/>
    <mergeCell ref="H6563:I6563"/>
    <mergeCell ref="J6563:L6563"/>
    <mergeCell ref="F6558:G6558"/>
    <mergeCell ref="H6558:I6558"/>
    <mergeCell ref="J6558:L6558"/>
    <mergeCell ref="F6559:G6559"/>
    <mergeCell ref="H6559:I6559"/>
    <mergeCell ref="J6559:L6559"/>
    <mergeCell ref="A6574:H6574"/>
    <mergeCell ref="F6575:G6575"/>
    <mergeCell ref="H6575:I6575"/>
    <mergeCell ref="J6575:L6575"/>
    <mergeCell ref="J6589:L6589"/>
    <mergeCell ref="A6648:H6648"/>
    <mergeCell ref="F6650:G6650"/>
    <mergeCell ref="H6650:I6650"/>
    <mergeCell ref="J6650:L6650"/>
    <mergeCell ref="F6651:G6651"/>
    <mergeCell ref="H6651:I6651"/>
    <mergeCell ref="J6651:L6651"/>
    <mergeCell ref="A6661:H6661"/>
    <mergeCell ref="F6662:G6662"/>
    <mergeCell ref="H6662:I6662"/>
    <mergeCell ref="J6662:L6662"/>
    <mergeCell ref="F6663:G6663"/>
    <mergeCell ref="H6663:I6663"/>
    <mergeCell ref="J6663:L6663"/>
    <mergeCell ref="F6664:G6664"/>
    <mergeCell ref="H6664:I6664"/>
    <mergeCell ref="J6664:L6664"/>
    <mergeCell ref="A6666:H6666"/>
    <mergeCell ref="F6667:G6667"/>
    <mergeCell ref="H6667:I6667"/>
    <mergeCell ref="J6667:L6667"/>
    <mergeCell ref="F6668:G6668"/>
    <mergeCell ref="H6668:I6668"/>
    <mergeCell ref="J6668:L6668"/>
    <mergeCell ref="A6671:H6671"/>
    <mergeCell ref="F6607:G6607"/>
    <mergeCell ref="H6607:I6607"/>
    <mergeCell ref="J6607:L6607"/>
    <mergeCell ref="F6645:G6645"/>
    <mergeCell ref="H6645:I6645"/>
    <mergeCell ref="J6645:L6645"/>
    <mergeCell ref="F6642:G6642"/>
    <mergeCell ref="H6642:I6642"/>
    <mergeCell ref="J6642:L6642"/>
    <mergeCell ref="F6638:G6638"/>
    <mergeCell ref="H6638:I6638"/>
    <mergeCell ref="J6638:L6638"/>
    <mergeCell ref="A6640:H6640"/>
    <mergeCell ref="F6641:G6641"/>
    <mergeCell ref="H6641:I6641"/>
    <mergeCell ref="J6641:L6641"/>
    <mergeCell ref="F6636:G6636"/>
    <mergeCell ref="H6636:I6636"/>
    <mergeCell ref="J6636:L6636"/>
    <mergeCell ref="F6637:G6637"/>
    <mergeCell ref="H6637:I6637"/>
    <mergeCell ref="J6637:L6637"/>
    <mergeCell ref="F6630:G6630"/>
    <mergeCell ref="H6630:I6630"/>
    <mergeCell ref="J6630:L6630"/>
    <mergeCell ref="A6633:H6633"/>
    <mergeCell ref="F6634:G6634"/>
    <mergeCell ref="H6634:I6634"/>
    <mergeCell ref="J6634:L6634"/>
    <mergeCell ref="F6635:G6635"/>
    <mergeCell ref="H6635:I6635"/>
    <mergeCell ref="J6635:L6635"/>
    <mergeCell ref="A6644:H6644"/>
    <mergeCell ref="F6646:G6646"/>
    <mergeCell ref="H6646:I6646"/>
    <mergeCell ref="J6646:L6646"/>
    <mergeCell ref="F6631:G6631"/>
    <mergeCell ref="H6631:I6631"/>
    <mergeCell ref="J6631:L6631"/>
    <mergeCell ref="F6706:G6706"/>
    <mergeCell ref="H6706:I6706"/>
    <mergeCell ref="J6706:L6706"/>
    <mergeCell ref="F6707:G6707"/>
    <mergeCell ref="H6707:I6707"/>
    <mergeCell ref="J6707:L6707"/>
    <mergeCell ref="A6709:H6709"/>
    <mergeCell ref="F6710:G6710"/>
    <mergeCell ref="H6710:I6710"/>
    <mergeCell ref="J6710:L6710"/>
    <mergeCell ref="F6689:G6689"/>
    <mergeCell ref="H6689:I6689"/>
    <mergeCell ref="J6689:L6689"/>
    <mergeCell ref="F6680:G6680"/>
    <mergeCell ref="H6680:I6680"/>
    <mergeCell ref="J6680:L6680"/>
    <mergeCell ref="F6676:G6676"/>
    <mergeCell ref="H6676:I6676"/>
    <mergeCell ref="J6676:L6676"/>
    <mergeCell ref="A6678:H6678"/>
    <mergeCell ref="F6679:G6679"/>
    <mergeCell ref="H6679:I6679"/>
    <mergeCell ref="J6679:L6679"/>
    <mergeCell ref="F6674:G6674"/>
    <mergeCell ref="H6674:I6674"/>
    <mergeCell ref="J6674:L6674"/>
    <mergeCell ref="F6675:G6675"/>
    <mergeCell ref="H6675:I6675"/>
    <mergeCell ref="J6675:L6675"/>
    <mergeCell ref="F6669:G6669"/>
    <mergeCell ref="H6669:I6669"/>
    <mergeCell ref="J6669:L6669"/>
    <mergeCell ref="F6649:G6649"/>
    <mergeCell ref="H6649:I6649"/>
    <mergeCell ref="J6649:L6649"/>
    <mergeCell ref="F6672:G6672"/>
    <mergeCell ref="H6672:I6672"/>
    <mergeCell ref="J6672:L6672"/>
    <mergeCell ref="F6673:G6673"/>
    <mergeCell ref="H6673:I6673"/>
    <mergeCell ref="J6673:L6673"/>
    <mergeCell ref="A6682:H6682"/>
    <mergeCell ref="F6683:G6683"/>
    <mergeCell ref="H6683:I6683"/>
    <mergeCell ref="J6683:L6683"/>
    <mergeCell ref="F6684:G6684"/>
    <mergeCell ref="H6684:I6684"/>
    <mergeCell ref="J6684:L6684"/>
    <mergeCell ref="A6686:H6686"/>
    <mergeCell ref="F6687:G6687"/>
    <mergeCell ref="H6687:I6687"/>
    <mergeCell ref="J6687:L6687"/>
    <mergeCell ref="F6688:G6688"/>
    <mergeCell ref="H6688:I6688"/>
    <mergeCell ref="J6688:L6688"/>
    <mergeCell ref="A6699:H6699"/>
    <mergeCell ref="F6700:G6700"/>
    <mergeCell ref="H6700:I6700"/>
    <mergeCell ref="J6700:L6700"/>
    <mergeCell ref="F6701:G6701"/>
    <mergeCell ref="H6701:I6701"/>
    <mergeCell ref="J6701:L6701"/>
    <mergeCell ref="F6702:G6702"/>
    <mergeCell ref="H6702:I6702"/>
    <mergeCell ref="F6724:G6724"/>
    <mergeCell ref="H6724:I6724"/>
    <mergeCell ref="J6724:L6724"/>
    <mergeCell ref="F6720:G6720"/>
    <mergeCell ref="H6720:I6720"/>
    <mergeCell ref="J6720:L6720"/>
    <mergeCell ref="A6715:H6715"/>
    <mergeCell ref="F6716:G6716"/>
    <mergeCell ref="H6716:I6716"/>
    <mergeCell ref="J6716:L6716"/>
    <mergeCell ref="F6717:G6717"/>
    <mergeCell ref="H6717:I6717"/>
    <mergeCell ref="J6717:L6717"/>
    <mergeCell ref="A6719:H6719"/>
    <mergeCell ref="F6721:G6721"/>
    <mergeCell ref="H6721:I6721"/>
    <mergeCell ref="J6721:L6721"/>
    <mergeCell ref="A6723:H6723"/>
    <mergeCell ref="F6725:G6725"/>
    <mergeCell ref="H6725:I6725"/>
    <mergeCell ref="J6725:L6725"/>
    <mergeCell ref="F6726:G6726"/>
    <mergeCell ref="H6726:I6726"/>
    <mergeCell ref="J6726:L6726"/>
    <mergeCell ref="F6712:G6712"/>
    <mergeCell ref="H6712:I6712"/>
    <mergeCell ref="J6712:L6712"/>
    <mergeCell ref="F6713:G6713"/>
    <mergeCell ref="H6713:I6713"/>
    <mergeCell ref="J6713:L6713"/>
    <mergeCell ref="F6711:G6711"/>
    <mergeCell ref="H6711:I6711"/>
    <mergeCell ref="J6711:L6711"/>
    <mergeCell ref="F6750:G6750"/>
    <mergeCell ref="H6750:I6750"/>
    <mergeCell ref="J6750:L6750"/>
    <mergeCell ref="F6751:G6751"/>
    <mergeCell ref="H6751:I6751"/>
    <mergeCell ref="J6751:L6751"/>
    <mergeCell ref="F6749:G6749"/>
    <mergeCell ref="H6749:I6749"/>
    <mergeCell ref="J6749:L6749"/>
    <mergeCell ref="F6744:G6744"/>
    <mergeCell ref="H6744:I6744"/>
    <mergeCell ref="J6744:L6744"/>
    <mergeCell ref="A6736:H6736"/>
    <mergeCell ref="F6737:G6737"/>
    <mergeCell ref="H6737:I6737"/>
    <mergeCell ref="J6737:L6737"/>
    <mergeCell ref="F6738:G6738"/>
    <mergeCell ref="H6738:I6738"/>
    <mergeCell ref="J6738:L6738"/>
    <mergeCell ref="F6739:G6739"/>
    <mergeCell ref="H6739:I6739"/>
    <mergeCell ref="J6739:L6739"/>
    <mergeCell ref="A6741:H6741"/>
    <mergeCell ref="F6742:G6742"/>
    <mergeCell ref="H6742:I6742"/>
    <mergeCell ref="J6742:L6742"/>
    <mergeCell ref="F6743:G6743"/>
    <mergeCell ref="H6743:I6743"/>
    <mergeCell ref="J6743:L6743"/>
    <mergeCell ref="A6746:H6746"/>
    <mergeCell ref="F6747:G6747"/>
    <mergeCell ref="H6747:I6747"/>
    <mergeCell ref="J6747:L6747"/>
    <mergeCell ref="F6748:G6748"/>
    <mergeCell ref="H6748:I6748"/>
    <mergeCell ref="J6748:L6748"/>
    <mergeCell ref="F6764:G6764"/>
    <mergeCell ref="H6764:I6764"/>
    <mergeCell ref="J6764:L6764"/>
    <mergeCell ref="A6757:H6757"/>
    <mergeCell ref="F6758:G6758"/>
    <mergeCell ref="H6758:I6758"/>
    <mergeCell ref="J6758:L6758"/>
    <mergeCell ref="F6759:G6759"/>
    <mergeCell ref="H6759:I6759"/>
    <mergeCell ref="J6759:L6759"/>
    <mergeCell ref="A6761:H6761"/>
    <mergeCell ref="F6762:G6762"/>
    <mergeCell ref="H6762:I6762"/>
    <mergeCell ref="J6762:L6762"/>
    <mergeCell ref="F6763:G6763"/>
    <mergeCell ref="H6763:I6763"/>
    <mergeCell ref="J6763:L6763"/>
    <mergeCell ref="A6774:H6774"/>
    <mergeCell ref="F6775:G6775"/>
    <mergeCell ref="H6775:I6775"/>
    <mergeCell ref="J6775:L6775"/>
    <mergeCell ref="F6776:G6776"/>
    <mergeCell ref="H6776:I6776"/>
    <mergeCell ref="J6776:L6776"/>
    <mergeCell ref="F6777:G6777"/>
    <mergeCell ref="H6777:I6777"/>
    <mergeCell ref="J6777:L6777"/>
    <mergeCell ref="A6779:H6779"/>
    <mergeCell ref="F6780:G6780"/>
    <mergeCell ref="H6780:I6780"/>
    <mergeCell ref="J6780:L6780"/>
    <mergeCell ref="A6753:H6753"/>
    <mergeCell ref="F6754:G6754"/>
    <mergeCell ref="H6754:I6754"/>
    <mergeCell ref="J6754:L6754"/>
    <mergeCell ref="F6755:G6755"/>
    <mergeCell ref="H6755:I6755"/>
    <mergeCell ref="J6755:L6755"/>
    <mergeCell ref="F6792:G6792"/>
    <mergeCell ref="H6792:I6792"/>
    <mergeCell ref="J6792:L6792"/>
    <mergeCell ref="F6788:G6788"/>
    <mergeCell ref="H6788:I6788"/>
    <mergeCell ref="J6788:L6788"/>
    <mergeCell ref="A6790:H6790"/>
    <mergeCell ref="F6791:G6791"/>
    <mergeCell ref="H6791:I6791"/>
    <mergeCell ref="J6791:L6791"/>
    <mergeCell ref="F6786:G6786"/>
    <mergeCell ref="H6786:I6786"/>
    <mergeCell ref="J6786:L6786"/>
    <mergeCell ref="F6787:G6787"/>
    <mergeCell ref="H6787:I6787"/>
    <mergeCell ref="J6787:L6787"/>
    <mergeCell ref="F6782:G6782"/>
    <mergeCell ref="H6782:I6782"/>
    <mergeCell ref="J6782:L6782"/>
    <mergeCell ref="A6784:H6784"/>
    <mergeCell ref="F6785:G6785"/>
    <mergeCell ref="H6785:I6785"/>
    <mergeCell ref="J6785:L6785"/>
    <mergeCell ref="A6794:H6794"/>
    <mergeCell ref="F6795:G6795"/>
    <mergeCell ref="H6795:I6795"/>
    <mergeCell ref="J6795:L6795"/>
    <mergeCell ref="F6796:G6796"/>
    <mergeCell ref="H6796:I6796"/>
    <mergeCell ref="J6796:L6796"/>
    <mergeCell ref="F6781:G6781"/>
    <mergeCell ref="H6781:I6781"/>
    <mergeCell ref="J6781:L6781"/>
    <mergeCell ref="F6818:G6818"/>
    <mergeCell ref="H6818:I6818"/>
    <mergeCell ref="J6818:L6818"/>
    <mergeCell ref="F6819:G6819"/>
    <mergeCell ref="H6819:I6819"/>
    <mergeCell ref="J6819:L6819"/>
    <mergeCell ref="F6801:G6801"/>
    <mergeCell ref="H6801:I6801"/>
    <mergeCell ref="J6801:L6801"/>
    <mergeCell ref="A6798:H6798"/>
    <mergeCell ref="F6799:G6799"/>
    <mergeCell ref="H6799:I6799"/>
    <mergeCell ref="J6799:L6799"/>
    <mergeCell ref="F6800:G6800"/>
    <mergeCell ref="H6800:I6800"/>
    <mergeCell ref="J6800:L6800"/>
    <mergeCell ref="A6811:H6811"/>
    <mergeCell ref="F6812:G6812"/>
    <mergeCell ref="H6812:I6812"/>
    <mergeCell ref="J6812:L6812"/>
    <mergeCell ref="F6813:G6813"/>
    <mergeCell ref="H6813:I6813"/>
    <mergeCell ref="J6813:L6813"/>
    <mergeCell ref="F6814:G6814"/>
    <mergeCell ref="H6814:I6814"/>
    <mergeCell ref="J6814:L6814"/>
    <mergeCell ref="A6816:H6816"/>
    <mergeCell ref="F6817:G6817"/>
    <mergeCell ref="H6817:I6817"/>
    <mergeCell ref="J6817:L6817"/>
    <mergeCell ref="A6821:H6821"/>
    <mergeCell ref="F6822:G6822"/>
    <mergeCell ref="H6822:I6822"/>
    <mergeCell ref="J6822:L6822"/>
    <mergeCell ref="F6838:G6838"/>
    <mergeCell ref="H6838:I6838"/>
    <mergeCell ref="J6838:L6838"/>
    <mergeCell ref="A6827:H6827"/>
    <mergeCell ref="F6828:G6828"/>
    <mergeCell ref="H6828:I6828"/>
    <mergeCell ref="J6828:L6828"/>
    <mergeCell ref="F6829:G6829"/>
    <mergeCell ref="H6829:I6829"/>
    <mergeCell ref="J6829:L6829"/>
    <mergeCell ref="F6824:G6824"/>
    <mergeCell ref="H6824:I6824"/>
    <mergeCell ref="J6824:L6824"/>
    <mergeCell ref="F6825:G6825"/>
    <mergeCell ref="H6825:I6825"/>
    <mergeCell ref="J6825:L6825"/>
    <mergeCell ref="A6831:H6831"/>
    <mergeCell ref="F6832:G6832"/>
    <mergeCell ref="H6832:I6832"/>
    <mergeCell ref="J6832:L6832"/>
    <mergeCell ref="F6833:G6833"/>
    <mergeCell ref="H6833:I6833"/>
    <mergeCell ref="J6833:L6833"/>
    <mergeCell ref="A6835:H6835"/>
    <mergeCell ref="F6836:G6836"/>
    <mergeCell ref="H6836:I6836"/>
    <mergeCell ref="J6836:L6836"/>
    <mergeCell ref="F6837:G6837"/>
    <mergeCell ref="H6837:I6837"/>
    <mergeCell ref="J6837:L6837"/>
    <mergeCell ref="F6823:G6823"/>
    <mergeCell ref="H6823:I6823"/>
    <mergeCell ref="J6823:L6823"/>
    <mergeCell ref="F6865:G6865"/>
    <mergeCell ref="H6865:I6865"/>
    <mergeCell ref="J6865:L6865"/>
    <mergeCell ref="F6860:G6860"/>
    <mergeCell ref="H6860:I6860"/>
    <mergeCell ref="J6860:L6860"/>
    <mergeCell ref="F6861:G6861"/>
    <mergeCell ref="H6861:I6861"/>
    <mergeCell ref="J6861:L6861"/>
    <mergeCell ref="F6856:G6856"/>
    <mergeCell ref="H6856:I6856"/>
    <mergeCell ref="J6856:L6856"/>
    <mergeCell ref="F6855:G6855"/>
    <mergeCell ref="H6855:I6855"/>
    <mergeCell ref="J6855:L6855"/>
    <mergeCell ref="A6848:H6848"/>
    <mergeCell ref="F6849:G6849"/>
    <mergeCell ref="H6849:I6849"/>
    <mergeCell ref="J6849:L6849"/>
    <mergeCell ref="F6850:G6850"/>
    <mergeCell ref="H6850:I6850"/>
    <mergeCell ref="J6850:L6850"/>
    <mergeCell ref="F6851:G6851"/>
    <mergeCell ref="H6851:I6851"/>
    <mergeCell ref="J6851:L6851"/>
    <mergeCell ref="A6853:H6853"/>
    <mergeCell ref="F6854:G6854"/>
    <mergeCell ref="H6854:I6854"/>
    <mergeCell ref="J6854:L6854"/>
    <mergeCell ref="A6858:H6858"/>
    <mergeCell ref="F6859:G6859"/>
    <mergeCell ref="H6859:I6859"/>
    <mergeCell ref="J6859:L6859"/>
    <mergeCell ref="F6924:G6924"/>
    <mergeCell ref="H6924:I6924"/>
    <mergeCell ref="J6924:L6924"/>
    <mergeCell ref="F6925:G6925"/>
    <mergeCell ref="H6925:I6925"/>
    <mergeCell ref="J6925:L6925"/>
    <mergeCell ref="A6927:H6927"/>
    <mergeCell ref="F6928:G6928"/>
    <mergeCell ref="H6928:I6928"/>
    <mergeCell ref="J6928:L6928"/>
    <mergeCell ref="F6929:G6929"/>
    <mergeCell ref="H6929:I6929"/>
    <mergeCell ref="J6929:L6929"/>
    <mergeCell ref="A6901:H6901"/>
    <mergeCell ref="F6902:G6902"/>
    <mergeCell ref="H6902:I6902"/>
    <mergeCell ref="J6902:L6902"/>
    <mergeCell ref="F6903:G6903"/>
    <mergeCell ref="H6903:I6903"/>
    <mergeCell ref="J6903:L6903"/>
    <mergeCell ref="F6898:G6898"/>
    <mergeCell ref="H6898:I6898"/>
    <mergeCell ref="J6898:L6898"/>
    <mergeCell ref="F6899:G6899"/>
    <mergeCell ref="H6899:I6899"/>
    <mergeCell ref="J6899:L6899"/>
    <mergeCell ref="F6897:G6897"/>
    <mergeCell ref="H6897:I6897"/>
    <mergeCell ref="J6897:L6897"/>
    <mergeCell ref="F6892:G6892"/>
    <mergeCell ref="H6892:I6892"/>
    <mergeCell ref="J6892:L6892"/>
    <mergeCell ref="F6893:G6893"/>
    <mergeCell ref="H6893:I6893"/>
    <mergeCell ref="J6893:L6893"/>
    <mergeCell ref="A6922:H6922"/>
    <mergeCell ref="F6923:G6923"/>
    <mergeCell ref="H6923:I6923"/>
    <mergeCell ref="J6923:L6923"/>
    <mergeCell ref="F6944:G6944"/>
    <mergeCell ref="H6944:I6944"/>
    <mergeCell ref="J6944:L6944"/>
    <mergeCell ref="A6939:H6939"/>
    <mergeCell ref="F6940:G6940"/>
    <mergeCell ref="H6940:I6940"/>
    <mergeCell ref="J6940:L6940"/>
    <mergeCell ref="F6941:G6941"/>
    <mergeCell ref="H6941:I6941"/>
    <mergeCell ref="J6941:L6941"/>
    <mergeCell ref="F6936:G6936"/>
    <mergeCell ref="H6936:I6936"/>
    <mergeCell ref="J6936:L6936"/>
    <mergeCell ref="F6937:G6937"/>
    <mergeCell ref="H6937:I6937"/>
    <mergeCell ref="J6937:L6937"/>
    <mergeCell ref="F6935:G6935"/>
    <mergeCell ref="H6935:I6935"/>
    <mergeCell ref="J6935:L6935"/>
    <mergeCell ref="A6932:H6932"/>
    <mergeCell ref="F6933:G6933"/>
    <mergeCell ref="H6933:I6933"/>
    <mergeCell ref="J6933:L6933"/>
    <mergeCell ref="F6934:G6934"/>
    <mergeCell ref="H6934:I6934"/>
    <mergeCell ref="J6934:L6934"/>
    <mergeCell ref="A6943:H6943"/>
    <mergeCell ref="F6945:G6945"/>
    <mergeCell ref="H6945:I6945"/>
    <mergeCell ref="J6945:L6945"/>
    <mergeCell ref="A6947:H6947"/>
    <mergeCell ref="F6930:G6930"/>
    <mergeCell ref="H6930:I6930"/>
    <mergeCell ref="J6930:L6930"/>
    <mergeCell ref="F6974:G6974"/>
    <mergeCell ref="H6974:I6974"/>
    <mergeCell ref="J6974:L6974"/>
    <mergeCell ref="F6975:G6975"/>
    <mergeCell ref="H6975:I6975"/>
    <mergeCell ref="J6975:L6975"/>
    <mergeCell ref="A6981:H6981"/>
    <mergeCell ref="F6982:G6982"/>
    <mergeCell ref="H6982:I6982"/>
    <mergeCell ref="J6982:L6982"/>
    <mergeCell ref="A6985:H6985"/>
    <mergeCell ref="F6986:G6986"/>
    <mergeCell ref="H6986:I6986"/>
    <mergeCell ref="J6986:L6986"/>
    <mergeCell ref="F6973:G6973"/>
    <mergeCell ref="H6973:I6973"/>
    <mergeCell ref="J6973:L6973"/>
    <mergeCell ref="F6968:G6968"/>
    <mergeCell ref="H6968:I6968"/>
    <mergeCell ref="J6968:L6968"/>
    <mergeCell ref="F6948:G6948"/>
    <mergeCell ref="H6948:I6948"/>
    <mergeCell ref="J6948:L6948"/>
    <mergeCell ref="F6949:G6949"/>
    <mergeCell ref="H6949:I6949"/>
    <mergeCell ref="J6949:L6949"/>
    <mergeCell ref="F6950:G6950"/>
    <mergeCell ref="H6950:I6950"/>
    <mergeCell ref="J6950:L6950"/>
    <mergeCell ref="A6960:H6960"/>
    <mergeCell ref="F6961:G6961"/>
    <mergeCell ref="H6961:I6961"/>
    <mergeCell ref="J6961:L6961"/>
    <mergeCell ref="F6962:G6962"/>
    <mergeCell ref="H6962:I6962"/>
    <mergeCell ref="J6962:L6962"/>
    <mergeCell ref="F6963:G6963"/>
    <mergeCell ref="H6963:I6963"/>
    <mergeCell ref="J6963:L6963"/>
    <mergeCell ref="A6965:H6965"/>
    <mergeCell ref="F6966:G6966"/>
    <mergeCell ref="H6966:I6966"/>
    <mergeCell ref="J6966:L6966"/>
    <mergeCell ref="F6967:G6967"/>
    <mergeCell ref="H6967:I6967"/>
    <mergeCell ref="J6967:L6967"/>
    <mergeCell ref="A6970:H6970"/>
    <mergeCell ref="F6971:G6971"/>
    <mergeCell ref="H6971:I6971"/>
    <mergeCell ref="J6971:L6971"/>
    <mergeCell ref="F6972:G6972"/>
    <mergeCell ref="H6972:I6972"/>
    <mergeCell ref="J6972:L6972"/>
    <mergeCell ref="A7003:H7003"/>
    <mergeCell ref="F7004:G7004"/>
    <mergeCell ref="H7004:I7004"/>
    <mergeCell ref="J7004:L7004"/>
    <mergeCell ref="F7005:G7005"/>
    <mergeCell ref="H7005:I7005"/>
    <mergeCell ref="J7005:L7005"/>
    <mergeCell ref="A6998:H6998"/>
    <mergeCell ref="F6999:G6999"/>
    <mergeCell ref="H6999:I6999"/>
    <mergeCell ref="J6999:L6999"/>
    <mergeCell ref="F7000:G7000"/>
    <mergeCell ref="H7000:I7000"/>
    <mergeCell ref="J7000:L7000"/>
    <mergeCell ref="F7001:G7001"/>
    <mergeCell ref="H7001:I7001"/>
    <mergeCell ref="J7001:L7001"/>
    <mergeCell ref="F6988:G6988"/>
    <mergeCell ref="H6988:I6988"/>
    <mergeCell ref="J6988:L6988"/>
    <mergeCell ref="F6987:G6987"/>
    <mergeCell ref="H6987:I6987"/>
    <mergeCell ref="J6987:L6987"/>
    <mergeCell ref="F6983:G6983"/>
    <mergeCell ref="H6983:I6983"/>
    <mergeCell ref="J6983:L6983"/>
    <mergeCell ref="A6977:H6977"/>
    <mergeCell ref="F6978:G6978"/>
    <mergeCell ref="H6978:I6978"/>
    <mergeCell ref="J6978:L6978"/>
    <mergeCell ref="F6979:G6979"/>
    <mergeCell ref="H6979:I6979"/>
    <mergeCell ref="J6979:L6979"/>
    <mergeCell ref="F7022:G7022"/>
    <mergeCell ref="H7022:I7022"/>
    <mergeCell ref="J7022:L7022"/>
    <mergeCell ref="F7018:G7018"/>
    <mergeCell ref="H7018:I7018"/>
    <mergeCell ref="J7018:L7018"/>
    <mergeCell ref="A7017:H7017"/>
    <mergeCell ref="F7019:G7019"/>
    <mergeCell ref="H7019:I7019"/>
    <mergeCell ref="J7019:L7019"/>
    <mergeCell ref="A7021:H7021"/>
    <mergeCell ref="F7023:G7023"/>
    <mergeCell ref="H7023:I7023"/>
    <mergeCell ref="J7023:L7023"/>
    <mergeCell ref="F7024:G7024"/>
    <mergeCell ref="H7024:I7024"/>
    <mergeCell ref="J7024:L7024"/>
    <mergeCell ref="A7013:H7013"/>
    <mergeCell ref="F7014:G7014"/>
    <mergeCell ref="H7014:I7014"/>
    <mergeCell ref="J7014:L7014"/>
    <mergeCell ref="F7015:G7015"/>
    <mergeCell ref="H7015:I7015"/>
    <mergeCell ref="J7015:L7015"/>
    <mergeCell ref="F7010:G7010"/>
    <mergeCell ref="H7010:I7010"/>
    <mergeCell ref="J7010:L7010"/>
    <mergeCell ref="F7011:G7011"/>
    <mergeCell ref="H7011:I7011"/>
    <mergeCell ref="J7011:L7011"/>
    <mergeCell ref="F7006:G7006"/>
    <mergeCell ref="H7006:I7006"/>
    <mergeCell ref="J7006:L7006"/>
    <mergeCell ref="A7008:H7008"/>
    <mergeCell ref="F7009:G7009"/>
    <mergeCell ref="H7009:I7009"/>
    <mergeCell ref="J7009:L7009"/>
    <mergeCell ref="F7080:G7080"/>
    <mergeCell ref="H7080:I7080"/>
    <mergeCell ref="J7080:L7080"/>
    <mergeCell ref="A7072:H7072"/>
    <mergeCell ref="F7073:G7073"/>
    <mergeCell ref="H7073:I7073"/>
    <mergeCell ref="J7073:L7073"/>
    <mergeCell ref="F7074:G7074"/>
    <mergeCell ref="H7074:I7074"/>
    <mergeCell ref="J7074:L7074"/>
    <mergeCell ref="F7075:G7075"/>
    <mergeCell ref="H7075:I7075"/>
    <mergeCell ref="J7075:L7075"/>
    <mergeCell ref="A7077:H7077"/>
    <mergeCell ref="F7078:G7078"/>
    <mergeCell ref="H7078:I7078"/>
    <mergeCell ref="J7078:L7078"/>
    <mergeCell ref="F7079:G7079"/>
    <mergeCell ref="H7079:I7079"/>
    <mergeCell ref="J7079:L7079"/>
    <mergeCell ref="A7051:H7051"/>
    <mergeCell ref="F7052:G7052"/>
    <mergeCell ref="H7052:I7052"/>
    <mergeCell ref="J7052:L7052"/>
    <mergeCell ref="F7053:G7053"/>
    <mergeCell ref="H7053:I7053"/>
    <mergeCell ref="J7053:L7053"/>
    <mergeCell ref="F7048:G7048"/>
    <mergeCell ref="H7048:I7048"/>
    <mergeCell ref="J7048:L7048"/>
    <mergeCell ref="F7049:G7049"/>
    <mergeCell ref="H7049:I7049"/>
    <mergeCell ref="J7049:L7049"/>
    <mergeCell ref="A7089:H7089"/>
    <mergeCell ref="F7090:G7090"/>
    <mergeCell ref="H7090:I7090"/>
    <mergeCell ref="J7090:L7090"/>
    <mergeCell ref="F7091:G7091"/>
    <mergeCell ref="H7091:I7091"/>
    <mergeCell ref="J7091:L7091"/>
    <mergeCell ref="F7086:G7086"/>
    <mergeCell ref="H7086:I7086"/>
    <mergeCell ref="J7086:L7086"/>
    <mergeCell ref="F7087:G7087"/>
    <mergeCell ref="H7087:I7087"/>
    <mergeCell ref="J7087:L7087"/>
    <mergeCell ref="F7085:G7085"/>
    <mergeCell ref="H7085:I7085"/>
    <mergeCell ref="J7085:L7085"/>
    <mergeCell ref="A7082:H7082"/>
    <mergeCell ref="F7083:G7083"/>
    <mergeCell ref="H7083:I7083"/>
    <mergeCell ref="J7083:L7083"/>
    <mergeCell ref="F7084:G7084"/>
    <mergeCell ref="H7084:I7084"/>
    <mergeCell ref="J7084:L7084"/>
    <mergeCell ref="A7093:H7093"/>
    <mergeCell ref="F7094:G7094"/>
    <mergeCell ref="H7094:I7094"/>
    <mergeCell ref="J7094:L7094"/>
    <mergeCell ref="F7095:G7095"/>
    <mergeCell ref="H7095:I7095"/>
    <mergeCell ref="J7095:L7095"/>
    <mergeCell ref="A7097:H7097"/>
    <mergeCell ref="F7141:G7141"/>
    <mergeCell ref="H7141:I7141"/>
    <mergeCell ref="J7141:L7141"/>
    <mergeCell ref="F7134:G7134"/>
    <mergeCell ref="H7134:I7134"/>
    <mergeCell ref="J7134:L7134"/>
    <mergeCell ref="F7130:G7130"/>
    <mergeCell ref="H7130:I7130"/>
    <mergeCell ref="J7130:L7130"/>
    <mergeCell ref="F7133:G7133"/>
    <mergeCell ref="H7133:I7133"/>
    <mergeCell ref="J7133:L7133"/>
    <mergeCell ref="F7128:G7128"/>
    <mergeCell ref="H7128:I7128"/>
    <mergeCell ref="J7128:L7128"/>
    <mergeCell ref="F7129:G7129"/>
    <mergeCell ref="H7129:I7129"/>
    <mergeCell ref="J7129:L7129"/>
    <mergeCell ref="F7124:G7124"/>
    <mergeCell ref="H7124:I7124"/>
    <mergeCell ref="J7124:L7124"/>
    <mergeCell ref="A7126:H7126"/>
    <mergeCell ref="F7127:G7127"/>
    <mergeCell ref="H7127:I7127"/>
    <mergeCell ref="J7127:L7127"/>
    <mergeCell ref="F7132:G7132"/>
    <mergeCell ref="H7132:I7132"/>
    <mergeCell ref="J7132:L7132"/>
    <mergeCell ref="F7135:G7135"/>
    <mergeCell ref="H7135:I7135"/>
    <mergeCell ref="J7135:L7135"/>
    <mergeCell ref="F7136:G7136"/>
    <mergeCell ref="H7136:I7136"/>
    <mergeCell ref="J7136:L7136"/>
    <mergeCell ref="A7138:H7138"/>
    <mergeCell ref="F7139:G7139"/>
    <mergeCell ref="H7139:I7139"/>
    <mergeCell ref="J7139:L7139"/>
    <mergeCell ref="F7140:G7140"/>
    <mergeCell ref="H7140:I7140"/>
    <mergeCell ref="J7140:L7140"/>
    <mergeCell ref="F7144:G7144"/>
    <mergeCell ref="H7144:I7144"/>
    <mergeCell ref="J7144:L7144"/>
    <mergeCell ref="F7145:G7145"/>
    <mergeCell ref="H7145:I7145"/>
    <mergeCell ref="J7145:L7145"/>
    <mergeCell ref="F7146:G7146"/>
    <mergeCell ref="H7146:I7146"/>
    <mergeCell ref="J7146:L7146"/>
    <mergeCell ref="F7147:G7147"/>
    <mergeCell ref="H7147:I7147"/>
    <mergeCell ref="J7147:L7147"/>
    <mergeCell ref="F7148:G7148"/>
    <mergeCell ref="H7148:I7148"/>
    <mergeCell ref="J7148:L7148"/>
    <mergeCell ref="F7149:G7149"/>
    <mergeCell ref="H7149:I7149"/>
    <mergeCell ref="J7149:L7149"/>
    <mergeCell ref="F7150:G7150"/>
    <mergeCell ref="H7150:I7150"/>
    <mergeCell ref="J7150:L7150"/>
    <mergeCell ref="F7142:G7142"/>
    <mergeCell ref="H7142:I7142"/>
    <mergeCell ref="J7142:L7142"/>
    <mergeCell ref="F7143:G7143"/>
    <mergeCell ref="H7143:I7143"/>
    <mergeCell ref="J7143:L7143"/>
    <mergeCell ref="F7151:G7151"/>
    <mergeCell ref="H7151:I7151"/>
    <mergeCell ref="J7151:L7151"/>
    <mergeCell ref="F7152:G7152"/>
    <mergeCell ref="H7152:I7152"/>
    <mergeCell ref="J7152:L7152"/>
    <mergeCell ref="F7153:G7153"/>
    <mergeCell ref="H7153:I7153"/>
    <mergeCell ref="J7153:L7153"/>
    <mergeCell ref="F7204:G7204"/>
    <mergeCell ref="H7204:I7204"/>
    <mergeCell ref="J7204:L7204"/>
    <mergeCell ref="F7163:G7163"/>
    <mergeCell ref="H7163:I7163"/>
    <mergeCell ref="J7163:L7163"/>
    <mergeCell ref="A7166:H7166"/>
    <mergeCell ref="F7164:G7164"/>
    <mergeCell ref="H7164:I7164"/>
    <mergeCell ref="J7164:L7164"/>
    <mergeCell ref="A7162:H7162"/>
    <mergeCell ref="F7160:G7160"/>
    <mergeCell ref="H7160:I7160"/>
    <mergeCell ref="J7160:L7160"/>
    <mergeCell ref="F7156:G7156"/>
    <mergeCell ref="H7156:I7156"/>
    <mergeCell ref="J7156:L7156"/>
    <mergeCell ref="A7158:H7158"/>
    <mergeCell ref="F7159:G7159"/>
    <mergeCell ref="H7159:I7159"/>
    <mergeCell ref="J7159:L7159"/>
    <mergeCell ref="F7154:G7154"/>
    <mergeCell ref="H7154:I7154"/>
    <mergeCell ref="J7154:L7154"/>
    <mergeCell ref="F7155:G7155"/>
    <mergeCell ref="H7155:I7155"/>
    <mergeCell ref="J7155:L7155"/>
    <mergeCell ref="F7205:G7205"/>
    <mergeCell ref="H7205:I7205"/>
    <mergeCell ref="J7205:L7205"/>
    <mergeCell ref="F7197:G7197"/>
    <mergeCell ref="H7197:I7197"/>
    <mergeCell ref="J7197:L7197"/>
    <mergeCell ref="F7192:G7192"/>
    <mergeCell ref="H7192:I7192"/>
    <mergeCell ref="J7192:L7192"/>
    <mergeCell ref="F7193:G7193"/>
    <mergeCell ref="H7193:I7193"/>
    <mergeCell ref="J7193:L7193"/>
    <mergeCell ref="F7200:G7200"/>
    <mergeCell ref="H7200:I7200"/>
    <mergeCell ref="J7200:L7200"/>
    <mergeCell ref="F7201:G7201"/>
    <mergeCell ref="H7201:I7201"/>
    <mergeCell ref="J7201:L7201"/>
    <mergeCell ref="A7203:H7203"/>
    <mergeCell ref="F7180:G7180"/>
    <mergeCell ref="H7180:I7180"/>
    <mergeCell ref="J7180:L7180"/>
    <mergeCell ref="F7181:G7181"/>
    <mergeCell ref="H7181:I7181"/>
    <mergeCell ref="J7181:L7181"/>
    <mergeCell ref="F7168:G7168"/>
    <mergeCell ref="H7168:I7168"/>
    <mergeCell ref="J7168:L7168"/>
    <mergeCell ref="F7167:G7167"/>
    <mergeCell ref="H7167:I7167"/>
    <mergeCell ref="J7167:L7167"/>
    <mergeCell ref="F7242:G7242"/>
    <mergeCell ref="H7242:I7242"/>
    <mergeCell ref="J7242:L7242"/>
    <mergeCell ref="F7169:G7169"/>
    <mergeCell ref="H7169:I7169"/>
    <mergeCell ref="J7169:L7169"/>
    <mergeCell ref="A7179:H7179"/>
    <mergeCell ref="F7182:G7182"/>
    <mergeCell ref="H7182:I7182"/>
    <mergeCell ref="J7182:L7182"/>
    <mergeCell ref="A7184:H7184"/>
    <mergeCell ref="F7185:G7185"/>
    <mergeCell ref="H7185:I7185"/>
    <mergeCell ref="J7185:L7185"/>
    <mergeCell ref="F7186:G7186"/>
    <mergeCell ref="H7186:I7186"/>
    <mergeCell ref="J7186:L7186"/>
    <mergeCell ref="F7187:G7187"/>
    <mergeCell ref="H7187:I7187"/>
    <mergeCell ref="J7187:L7187"/>
    <mergeCell ref="A7189:H7189"/>
    <mergeCell ref="F7190:G7190"/>
    <mergeCell ref="H7190:I7190"/>
    <mergeCell ref="J7190:L7190"/>
    <mergeCell ref="F7191:G7191"/>
    <mergeCell ref="H7191:I7191"/>
    <mergeCell ref="J7191:L7191"/>
    <mergeCell ref="A7195:H7195"/>
    <mergeCell ref="F7196:G7196"/>
    <mergeCell ref="H7196:I7196"/>
    <mergeCell ref="J7196:L7196"/>
    <mergeCell ref="A7199:H7199"/>
    <mergeCell ref="F7206:G7206"/>
    <mergeCell ref="F7243:G7243"/>
    <mergeCell ref="H7243:I7243"/>
    <mergeCell ref="J7243:L7243"/>
    <mergeCell ref="F7238:G7238"/>
    <mergeCell ref="H7238:I7238"/>
    <mergeCell ref="J7238:L7238"/>
    <mergeCell ref="F7234:G7234"/>
    <mergeCell ref="H7234:I7234"/>
    <mergeCell ref="J7234:L7234"/>
    <mergeCell ref="F7276:G7276"/>
    <mergeCell ref="H7276:I7276"/>
    <mergeCell ref="J7276:L7276"/>
    <mergeCell ref="F7272:G7272"/>
    <mergeCell ref="H7272:I7272"/>
    <mergeCell ref="J7272:L7272"/>
    <mergeCell ref="J7264:L7264"/>
    <mergeCell ref="F7265:G7265"/>
    <mergeCell ref="H7265:I7265"/>
    <mergeCell ref="J7265:L7265"/>
    <mergeCell ref="F7268:G7268"/>
    <mergeCell ref="H7268:I7268"/>
    <mergeCell ref="J7268:L7268"/>
    <mergeCell ref="F7241:G7241"/>
    <mergeCell ref="H7241:I7241"/>
    <mergeCell ref="J7241:L7241"/>
    <mergeCell ref="A7253:H7253"/>
    <mergeCell ref="F7230:G7230"/>
    <mergeCell ref="H7230:I7230"/>
    <mergeCell ref="J7230:L7230"/>
    <mergeCell ref="F7218:G7218"/>
    <mergeCell ref="H7218:I7218"/>
    <mergeCell ref="J7218:L7218"/>
    <mergeCell ref="F7229:G7229"/>
    <mergeCell ref="H7229:I7229"/>
    <mergeCell ref="J7229:L7229"/>
    <mergeCell ref="F7254:G7254"/>
    <mergeCell ref="H7254:I7254"/>
    <mergeCell ref="J7254:L7254"/>
    <mergeCell ref="F7255:G7255"/>
    <mergeCell ref="H7255:I7255"/>
    <mergeCell ref="J7255:L7255"/>
    <mergeCell ref="F7256:G7256"/>
    <mergeCell ref="H7256:I7256"/>
    <mergeCell ref="J7256:L7256"/>
    <mergeCell ref="A7301:H7301"/>
    <mergeCell ref="F7260:G7260"/>
    <mergeCell ref="H7260:I7260"/>
    <mergeCell ref="J7260:L7260"/>
    <mergeCell ref="F7261:G7261"/>
    <mergeCell ref="H7261:I7261"/>
    <mergeCell ref="J7261:L7261"/>
    <mergeCell ref="A7263:H7263"/>
    <mergeCell ref="F7264:G7264"/>
    <mergeCell ref="H7264:I7264"/>
    <mergeCell ref="F7298:G7298"/>
    <mergeCell ref="H7298:I7298"/>
    <mergeCell ref="J7298:L7298"/>
    <mergeCell ref="F7299:G7299"/>
    <mergeCell ref="H7299:I7299"/>
    <mergeCell ref="J7299:L7299"/>
    <mergeCell ref="F7294:G7294"/>
    <mergeCell ref="H7294:I7294"/>
    <mergeCell ref="J7294:L7294"/>
    <mergeCell ref="A7296:H7296"/>
    <mergeCell ref="F7297:G7297"/>
    <mergeCell ref="H7297:I7297"/>
    <mergeCell ref="J7297:L7297"/>
    <mergeCell ref="F7292:G7292"/>
    <mergeCell ref="H7292:I7292"/>
    <mergeCell ref="J7292:L7292"/>
    <mergeCell ref="F7293:G7293"/>
    <mergeCell ref="H7293:I7293"/>
    <mergeCell ref="J7293:L7293"/>
    <mergeCell ref="A7291:H7291"/>
    <mergeCell ref="A7258:H7258"/>
    <mergeCell ref="F7259:G7259"/>
    <mergeCell ref="H7259:I7259"/>
    <mergeCell ref="J7259:L7259"/>
    <mergeCell ref="F7266:G7266"/>
    <mergeCell ref="H7266:I7266"/>
    <mergeCell ref="J7266:L7266"/>
    <mergeCell ref="F7267:G7267"/>
    <mergeCell ref="H7267:I7267"/>
    <mergeCell ref="J7267:L7267"/>
    <mergeCell ref="A7270:H7270"/>
    <mergeCell ref="F7271:G7271"/>
    <mergeCell ref="H7271:I7271"/>
    <mergeCell ref="J7271:L7271"/>
    <mergeCell ref="A7274:H7274"/>
    <mergeCell ref="F7275:G7275"/>
    <mergeCell ref="H7275:I7275"/>
    <mergeCell ref="J7275:L7275"/>
    <mergeCell ref="A7278:H7278"/>
    <mergeCell ref="F7279:G7279"/>
    <mergeCell ref="H7279:I7279"/>
    <mergeCell ref="J7279:L7279"/>
    <mergeCell ref="F7280:G7280"/>
    <mergeCell ref="H7280:I7280"/>
    <mergeCell ref="J7280:L7280"/>
    <mergeCell ref="F7281:G7281"/>
    <mergeCell ref="H7281:I7281"/>
    <mergeCell ref="J7281:L7281"/>
    <mergeCell ref="F7330:G7330"/>
    <mergeCell ref="H7330:I7330"/>
    <mergeCell ref="J7330:L7330"/>
    <mergeCell ref="F7329:G7329"/>
    <mergeCell ref="H7329:I7329"/>
    <mergeCell ref="J7329:L7329"/>
    <mergeCell ref="A7328:H7328"/>
    <mergeCell ref="F7331:G7331"/>
    <mergeCell ref="H7331:I7331"/>
    <mergeCell ref="J7331:L7331"/>
    <mergeCell ref="A7333:H7333"/>
    <mergeCell ref="F7335:G7335"/>
    <mergeCell ref="H7335:I7335"/>
    <mergeCell ref="J7335:L7335"/>
    <mergeCell ref="A7337:H7337"/>
    <mergeCell ref="F7316:G7316"/>
    <mergeCell ref="H7316:I7316"/>
    <mergeCell ref="J7316:L7316"/>
    <mergeCell ref="F7302:G7302"/>
    <mergeCell ref="H7302:I7302"/>
    <mergeCell ref="J7302:L7302"/>
    <mergeCell ref="F7303:G7303"/>
    <mergeCell ref="H7303:I7303"/>
    <mergeCell ref="J7303:L7303"/>
    <mergeCell ref="F7304:G7304"/>
    <mergeCell ref="H7304:I7304"/>
    <mergeCell ref="J7304:L7304"/>
    <mergeCell ref="F7305:G7305"/>
    <mergeCell ref="H7305:I7305"/>
    <mergeCell ref="J7305:L7305"/>
    <mergeCell ref="A7307:H7307"/>
    <mergeCell ref="F7308:G7308"/>
    <mergeCell ref="H7308:I7308"/>
    <mergeCell ref="J7308:L7308"/>
    <mergeCell ref="F7309:G7309"/>
    <mergeCell ref="H7309:I7309"/>
    <mergeCell ref="J7309:L7309"/>
    <mergeCell ref="A7311:H7311"/>
    <mergeCell ref="F7312:G7312"/>
    <mergeCell ref="H7312:I7312"/>
    <mergeCell ref="J7312:L7312"/>
    <mergeCell ref="F7313:G7313"/>
    <mergeCell ref="H7313:I7313"/>
    <mergeCell ref="J7313:L7313"/>
    <mergeCell ref="A7315:H7315"/>
    <mergeCell ref="F7317:G7317"/>
    <mergeCell ref="H7317:I7317"/>
    <mergeCell ref="J7317:L7317"/>
    <mergeCell ref="F7318:G7318"/>
    <mergeCell ref="H7318:I7318"/>
    <mergeCell ref="J7318:L7318"/>
    <mergeCell ref="A7345:H7345"/>
    <mergeCell ref="F7346:G7346"/>
    <mergeCell ref="H7346:I7346"/>
    <mergeCell ref="J7346:L7346"/>
    <mergeCell ref="F7347:G7347"/>
    <mergeCell ref="H7347:I7347"/>
    <mergeCell ref="J7347:L7347"/>
    <mergeCell ref="F7378:G7378"/>
    <mergeCell ref="H7378:I7378"/>
    <mergeCell ref="J7378:L7378"/>
    <mergeCell ref="F7376:G7376"/>
    <mergeCell ref="H7376:I7376"/>
    <mergeCell ref="J7376:L7376"/>
    <mergeCell ref="F7377:G7377"/>
    <mergeCell ref="H7377:I7377"/>
    <mergeCell ref="J7377:L7377"/>
    <mergeCell ref="F7372:G7372"/>
    <mergeCell ref="H7372:I7372"/>
    <mergeCell ref="J7372:L7372"/>
    <mergeCell ref="A7341:H7341"/>
    <mergeCell ref="F7342:G7342"/>
    <mergeCell ref="H7342:I7342"/>
    <mergeCell ref="J7342:L7342"/>
    <mergeCell ref="F7343:G7343"/>
    <mergeCell ref="H7343:I7343"/>
    <mergeCell ref="J7343:L7343"/>
    <mergeCell ref="F7338:G7338"/>
    <mergeCell ref="H7338:I7338"/>
    <mergeCell ref="J7338:L7338"/>
    <mergeCell ref="F7339:G7339"/>
    <mergeCell ref="H7339:I7339"/>
    <mergeCell ref="J7339:L7339"/>
    <mergeCell ref="F7334:G7334"/>
    <mergeCell ref="H7334:I7334"/>
    <mergeCell ref="J7334:L7334"/>
    <mergeCell ref="F7348:G7348"/>
    <mergeCell ref="H7348:I7348"/>
    <mergeCell ref="J7348:L7348"/>
    <mergeCell ref="A7358:H7358"/>
    <mergeCell ref="F7359:G7359"/>
    <mergeCell ref="H7359:I7359"/>
    <mergeCell ref="J7359:L7359"/>
    <mergeCell ref="F7360:G7360"/>
    <mergeCell ref="H7360:I7360"/>
    <mergeCell ref="J7360:L7360"/>
    <mergeCell ref="F7361:G7361"/>
    <mergeCell ref="H7361:I7361"/>
    <mergeCell ref="J7361:L7361"/>
    <mergeCell ref="A7363:H7363"/>
    <mergeCell ref="A7367:H7367"/>
    <mergeCell ref="F7368:G7368"/>
    <mergeCell ref="H7368:I7368"/>
    <mergeCell ref="J7368:L7368"/>
    <mergeCell ref="F7369:G7369"/>
    <mergeCell ref="H7369:I7369"/>
    <mergeCell ref="J7369:L7369"/>
    <mergeCell ref="A7371:H7371"/>
    <mergeCell ref="F7373:G7373"/>
    <mergeCell ref="H7373:I7373"/>
    <mergeCell ref="J7373:L7373"/>
    <mergeCell ref="A7375:H7375"/>
    <mergeCell ref="F7443:G7443"/>
    <mergeCell ref="H7443:I7443"/>
    <mergeCell ref="J7443:L7443"/>
    <mergeCell ref="A7445:H7445"/>
    <mergeCell ref="F7446:G7446"/>
    <mergeCell ref="H7446:I7446"/>
    <mergeCell ref="J7446:L7446"/>
    <mergeCell ref="F7447:G7447"/>
    <mergeCell ref="H7447:I7447"/>
    <mergeCell ref="J7447:L7447"/>
    <mergeCell ref="A7449:H7449"/>
    <mergeCell ref="F7450:G7450"/>
    <mergeCell ref="H7450:I7450"/>
    <mergeCell ref="J7450:L7450"/>
    <mergeCell ref="F7414:G7414"/>
    <mergeCell ref="H7414:I7414"/>
    <mergeCell ref="J7414:L7414"/>
    <mergeCell ref="F7410:G7410"/>
    <mergeCell ref="H7410:I7410"/>
    <mergeCell ref="J7410:L7410"/>
    <mergeCell ref="F7438:G7438"/>
    <mergeCell ref="H7438:I7438"/>
    <mergeCell ref="J7438:L7438"/>
    <mergeCell ref="F7439:G7439"/>
    <mergeCell ref="H7439:I7439"/>
    <mergeCell ref="J7439:L7439"/>
    <mergeCell ref="F7434:G7434"/>
    <mergeCell ref="H7434:I7434"/>
    <mergeCell ref="J7434:L7434"/>
    <mergeCell ref="F7430:G7430"/>
    <mergeCell ref="H7430:I7430"/>
    <mergeCell ref="J7430:L7430"/>
    <mergeCell ref="F7427:G7427"/>
    <mergeCell ref="H7427:I7427"/>
    <mergeCell ref="J7427:L7427"/>
    <mergeCell ref="F7433:G7433"/>
    <mergeCell ref="H7433:I7433"/>
    <mergeCell ref="J7433:L7433"/>
    <mergeCell ref="A7436:H7436"/>
    <mergeCell ref="F7437:G7437"/>
    <mergeCell ref="H7437:I7437"/>
    <mergeCell ref="J7437:L7437"/>
    <mergeCell ref="F7415:G7415"/>
    <mergeCell ref="H7415:I7415"/>
    <mergeCell ref="J7415:L7415"/>
    <mergeCell ref="F7416:G7416"/>
    <mergeCell ref="H7416:I7416"/>
    <mergeCell ref="J7416:L7416"/>
    <mergeCell ref="F7411:G7411"/>
    <mergeCell ref="H7411:I7411"/>
    <mergeCell ref="F7492:G7492"/>
    <mergeCell ref="H7492:I7492"/>
    <mergeCell ref="J7492:L7492"/>
    <mergeCell ref="F7493:G7493"/>
    <mergeCell ref="H7493:I7493"/>
    <mergeCell ref="J7493:L7493"/>
    <mergeCell ref="A7469:H7469"/>
    <mergeCell ref="F7470:G7470"/>
    <mergeCell ref="H7470:I7470"/>
    <mergeCell ref="J7470:L7470"/>
    <mergeCell ref="F7471:G7471"/>
    <mergeCell ref="H7471:I7471"/>
    <mergeCell ref="J7471:L7471"/>
    <mergeCell ref="A7474:H7474"/>
    <mergeCell ref="F7475:G7475"/>
    <mergeCell ref="H7475:I7475"/>
    <mergeCell ref="J7475:L7475"/>
    <mergeCell ref="F7479:G7479"/>
    <mergeCell ref="H7479:I7479"/>
    <mergeCell ref="J7479:L7479"/>
    <mergeCell ref="F7480:G7480"/>
    <mergeCell ref="H7480:I7480"/>
    <mergeCell ref="J7480:L7480"/>
    <mergeCell ref="A7482:H7482"/>
    <mergeCell ref="F7483:G7483"/>
    <mergeCell ref="H7483:I7483"/>
    <mergeCell ref="J7483:L7483"/>
    <mergeCell ref="F7484:G7484"/>
    <mergeCell ref="H7484:I7484"/>
    <mergeCell ref="J7484:L7484"/>
    <mergeCell ref="A7486:H7486"/>
    <mergeCell ref="F7487:G7487"/>
    <mergeCell ref="H7487:I7487"/>
    <mergeCell ref="J7487:L7487"/>
    <mergeCell ref="J7583:L7583"/>
    <mergeCell ref="F7565:G7565"/>
    <mergeCell ref="H7565:I7565"/>
    <mergeCell ref="J7565:L7565"/>
    <mergeCell ref="F7554:G7554"/>
    <mergeCell ref="H7554:I7554"/>
    <mergeCell ref="J7554:L7554"/>
    <mergeCell ref="A7556:H7556"/>
    <mergeCell ref="F7557:G7557"/>
    <mergeCell ref="H7557:I7557"/>
    <mergeCell ref="J7557:L7557"/>
    <mergeCell ref="F7558:G7558"/>
    <mergeCell ref="H7558:I7558"/>
    <mergeCell ref="J7558:L7558"/>
    <mergeCell ref="A7560:H7560"/>
    <mergeCell ref="F7561:G7561"/>
    <mergeCell ref="H7561:I7561"/>
    <mergeCell ref="J7561:L7561"/>
    <mergeCell ref="F7562:G7562"/>
    <mergeCell ref="H7562:I7562"/>
    <mergeCell ref="J7562:L7562"/>
    <mergeCell ref="A7564:H7564"/>
    <mergeCell ref="F7566:G7566"/>
    <mergeCell ref="H7566:I7566"/>
    <mergeCell ref="J7566:L7566"/>
    <mergeCell ref="A7568:H7568"/>
    <mergeCell ref="F7569:G7569"/>
    <mergeCell ref="H7569:I7569"/>
    <mergeCell ref="J7569:L7569"/>
    <mergeCell ref="F7570:G7570"/>
    <mergeCell ref="H7570:I7570"/>
    <mergeCell ref="J7532:L7532"/>
    <mergeCell ref="F7533:G7533"/>
    <mergeCell ref="H7533:I7533"/>
    <mergeCell ref="J7533:L7533"/>
    <mergeCell ref="F7534:G7534"/>
    <mergeCell ref="H7534:I7534"/>
    <mergeCell ref="J7534:L7534"/>
    <mergeCell ref="F7532:G7532"/>
    <mergeCell ref="H7532:I7532"/>
    <mergeCell ref="F7552:G7552"/>
    <mergeCell ref="H7552:I7552"/>
    <mergeCell ref="J7552:L7552"/>
    <mergeCell ref="F7549:G7549"/>
    <mergeCell ref="H7549:I7549"/>
    <mergeCell ref="J7549:L7549"/>
    <mergeCell ref="F7547:G7547"/>
    <mergeCell ref="H7547:I7547"/>
    <mergeCell ref="J7547:L7547"/>
    <mergeCell ref="F7548:G7548"/>
    <mergeCell ref="H7548:I7548"/>
    <mergeCell ref="J7548:L7548"/>
    <mergeCell ref="F7545:G7545"/>
    <mergeCell ref="H7545:I7545"/>
    <mergeCell ref="J7570:L7570"/>
    <mergeCell ref="F7571:G7571"/>
    <mergeCell ref="H7571:I7571"/>
    <mergeCell ref="J7571:L7571"/>
    <mergeCell ref="A7581:H7581"/>
    <mergeCell ref="F7582:G7582"/>
    <mergeCell ref="H7582:I7582"/>
    <mergeCell ref="J7582:L7582"/>
    <mergeCell ref="F7659:G7659"/>
    <mergeCell ref="H7659:I7659"/>
    <mergeCell ref="J7659:L7659"/>
    <mergeCell ref="F7658:G7658"/>
    <mergeCell ref="H7658:I7658"/>
    <mergeCell ref="J7658:L7658"/>
    <mergeCell ref="F7645:G7645"/>
    <mergeCell ref="H7645:I7645"/>
    <mergeCell ref="J7645:L7645"/>
    <mergeCell ref="F7646:G7646"/>
    <mergeCell ref="H7646:I7646"/>
    <mergeCell ref="J7646:L7646"/>
    <mergeCell ref="F7641:G7641"/>
    <mergeCell ref="H7641:I7641"/>
    <mergeCell ref="J7641:L7641"/>
    <mergeCell ref="F7642:G7642"/>
    <mergeCell ref="H7642:I7642"/>
    <mergeCell ref="J7642:L7642"/>
    <mergeCell ref="A7648:H7648"/>
    <mergeCell ref="F7649:G7649"/>
    <mergeCell ref="H7649:I7649"/>
    <mergeCell ref="J7649:L7649"/>
    <mergeCell ref="F7650:G7650"/>
    <mergeCell ref="H7650:I7650"/>
    <mergeCell ref="J7650:L7650"/>
    <mergeCell ref="A7652:H7652"/>
    <mergeCell ref="F7653:G7653"/>
    <mergeCell ref="H7653:I7653"/>
    <mergeCell ref="J7653:L7653"/>
    <mergeCell ref="F7654:G7654"/>
    <mergeCell ref="H7654:I7654"/>
    <mergeCell ref="J7654:L7654"/>
    <mergeCell ref="A7656:H7656"/>
    <mergeCell ref="F7657:G7657"/>
    <mergeCell ref="H7657:I7657"/>
    <mergeCell ref="J7657:L7657"/>
    <mergeCell ref="F7796:G7796"/>
    <mergeCell ref="H7796:I7796"/>
    <mergeCell ref="J7796:L7796"/>
    <mergeCell ref="F7797:G7797"/>
    <mergeCell ref="H7797:I7797"/>
    <mergeCell ref="J7797:L7797"/>
    <mergeCell ref="A7794:H7794"/>
    <mergeCell ref="F7795:G7795"/>
    <mergeCell ref="H7795:I7795"/>
    <mergeCell ref="J7795:L7795"/>
    <mergeCell ref="A7815:H7815"/>
    <mergeCell ref="F7784:G7784"/>
    <mergeCell ref="H7784:I7784"/>
    <mergeCell ref="J7784:L7784"/>
    <mergeCell ref="F7782:G7782"/>
    <mergeCell ref="H7782:I7782"/>
    <mergeCell ref="J7782:L7782"/>
    <mergeCell ref="F7783:G7783"/>
    <mergeCell ref="H7783:I7783"/>
    <mergeCell ref="J7783:L7783"/>
    <mergeCell ref="F7778:G7778"/>
    <mergeCell ref="H7778:I7778"/>
    <mergeCell ref="J7778:L7778"/>
    <mergeCell ref="F7760:G7760"/>
    <mergeCell ref="H7760:I7760"/>
    <mergeCell ref="J7760:L7760"/>
    <mergeCell ref="F7771:G7771"/>
    <mergeCell ref="H7771:I7771"/>
    <mergeCell ref="J7771:L7771"/>
    <mergeCell ref="F7767:G7767"/>
    <mergeCell ref="H7767:I7767"/>
    <mergeCell ref="J7767:L7767"/>
    <mergeCell ref="F7768:G7768"/>
    <mergeCell ref="H7768:I7768"/>
    <mergeCell ref="J7768:L7768"/>
    <mergeCell ref="F7769:G7769"/>
    <mergeCell ref="H7769:I7769"/>
    <mergeCell ref="J7769:L7769"/>
    <mergeCell ref="F7770:G7770"/>
    <mergeCell ref="H7770:I7770"/>
    <mergeCell ref="J7770:L7770"/>
    <mergeCell ref="A7773:H7773"/>
    <mergeCell ref="F7774:G7774"/>
    <mergeCell ref="H7774:I7774"/>
    <mergeCell ref="J7774:L7774"/>
    <mergeCell ref="F7775:G7775"/>
    <mergeCell ref="H7775:I7775"/>
    <mergeCell ref="J7775:L7775"/>
    <mergeCell ref="A7777:H7777"/>
    <mergeCell ref="F7779:G7779"/>
    <mergeCell ref="H7779:I7779"/>
    <mergeCell ref="J7779:L7779"/>
    <mergeCell ref="A7781:H7781"/>
    <mergeCell ref="F7798:G7798"/>
    <mergeCell ref="H7798:I7798"/>
    <mergeCell ref="J7798:L7798"/>
    <mergeCell ref="F7799:G7799"/>
    <mergeCell ref="H7799:I7799"/>
    <mergeCell ref="J7799:L7799"/>
    <mergeCell ref="A7801:H7801"/>
    <mergeCell ref="F7802:G7802"/>
    <mergeCell ref="H7802:I7802"/>
    <mergeCell ref="J7802:L7802"/>
    <mergeCell ref="F7803:G7803"/>
    <mergeCell ref="F7850:G7850"/>
    <mergeCell ref="H7850:I7850"/>
    <mergeCell ref="J7850:L7850"/>
    <mergeCell ref="F7851:G7851"/>
    <mergeCell ref="H7851:I7851"/>
    <mergeCell ref="J7851:L7851"/>
    <mergeCell ref="F7834:G7834"/>
    <mergeCell ref="H7834:I7834"/>
    <mergeCell ref="J7834:L7834"/>
    <mergeCell ref="F7845:G7845"/>
    <mergeCell ref="H7845:I7845"/>
    <mergeCell ref="J7845:L7845"/>
    <mergeCell ref="F7844:G7844"/>
    <mergeCell ref="H7844:I7844"/>
    <mergeCell ref="J7844:L7844"/>
    <mergeCell ref="A7847:H7847"/>
    <mergeCell ref="F7848:G7848"/>
    <mergeCell ref="H7848:I7848"/>
    <mergeCell ref="J7848:L7848"/>
    <mergeCell ref="F7849:G7849"/>
    <mergeCell ref="H7849:I7849"/>
    <mergeCell ref="J7849:L7849"/>
    <mergeCell ref="F7853:G7853"/>
    <mergeCell ref="H7853:I7853"/>
    <mergeCell ref="J7853:L7853"/>
    <mergeCell ref="A7855:H7855"/>
    <mergeCell ref="F7833:G7833"/>
    <mergeCell ref="H7833:I7833"/>
    <mergeCell ref="J7833:L7833"/>
    <mergeCell ref="F7820:G7820"/>
    <mergeCell ref="H7820:I7820"/>
    <mergeCell ref="J7820:L7820"/>
    <mergeCell ref="F7821:G7821"/>
    <mergeCell ref="H7821:I7821"/>
    <mergeCell ref="J7821:L7821"/>
    <mergeCell ref="F7835:G7835"/>
    <mergeCell ref="H7835:I7835"/>
    <mergeCell ref="J7835:L7835"/>
    <mergeCell ref="F7836:G7836"/>
    <mergeCell ref="H7836:I7836"/>
    <mergeCell ref="J7836:L7836"/>
    <mergeCell ref="F7837:G7837"/>
    <mergeCell ref="H7837:I7837"/>
    <mergeCell ref="J7837:L7837"/>
    <mergeCell ref="F7838:G7838"/>
    <mergeCell ref="H7838:I7838"/>
    <mergeCell ref="J7838:L7838"/>
    <mergeCell ref="F7839:G7839"/>
    <mergeCell ref="H7839:I7839"/>
    <mergeCell ref="J7839:L7839"/>
    <mergeCell ref="A7841:H7841"/>
    <mergeCell ref="F7842:G7842"/>
    <mergeCell ref="H7842:I7842"/>
    <mergeCell ref="J7842:L7842"/>
    <mergeCell ref="F7843:G7843"/>
    <mergeCell ref="H7843:I7843"/>
    <mergeCell ref="J7843:L7843"/>
    <mergeCell ref="F7865:G7865"/>
    <mergeCell ref="H7865:I7865"/>
    <mergeCell ref="J7865:L7865"/>
    <mergeCell ref="F7861:G7861"/>
    <mergeCell ref="H7861:I7861"/>
    <mergeCell ref="J7861:L7861"/>
    <mergeCell ref="A7859:H7859"/>
    <mergeCell ref="F7860:G7860"/>
    <mergeCell ref="H7860:I7860"/>
    <mergeCell ref="J7860:L7860"/>
    <mergeCell ref="A7863:H7863"/>
    <mergeCell ref="F7864:G7864"/>
    <mergeCell ref="H7864:I7864"/>
    <mergeCell ref="J7864:L7864"/>
    <mergeCell ref="A7876:H7876"/>
    <mergeCell ref="F7877:G7877"/>
    <mergeCell ref="H7877:I7877"/>
    <mergeCell ref="J7877:L7877"/>
    <mergeCell ref="F7878:G7878"/>
    <mergeCell ref="H7878:I7878"/>
    <mergeCell ref="J7878:L7878"/>
    <mergeCell ref="F7879:G7879"/>
    <mergeCell ref="H7879:I7879"/>
    <mergeCell ref="J7879:L7879"/>
    <mergeCell ref="F7856:G7856"/>
    <mergeCell ref="H7856:I7856"/>
    <mergeCell ref="J7856:L7856"/>
    <mergeCell ref="F7857:G7857"/>
    <mergeCell ref="H7857:I7857"/>
    <mergeCell ref="J7857:L7857"/>
    <mergeCell ref="F7852:G7852"/>
    <mergeCell ref="H7852:I7852"/>
    <mergeCell ref="J7852:L7852"/>
    <mergeCell ref="F7895:G7895"/>
    <mergeCell ref="H7895:I7895"/>
    <mergeCell ref="J7895:L7895"/>
    <mergeCell ref="F7892:G7892"/>
    <mergeCell ref="H7892:I7892"/>
    <mergeCell ref="J7892:L7892"/>
    <mergeCell ref="F7888:G7888"/>
    <mergeCell ref="H7888:I7888"/>
    <mergeCell ref="J7888:L7888"/>
    <mergeCell ref="F7884:G7884"/>
    <mergeCell ref="H7884:I7884"/>
    <mergeCell ref="J7884:L7884"/>
    <mergeCell ref="A7886:H7886"/>
    <mergeCell ref="F7887:G7887"/>
    <mergeCell ref="H7887:I7887"/>
    <mergeCell ref="J7887:L7887"/>
    <mergeCell ref="A7890:H7890"/>
    <mergeCell ref="F7891:G7891"/>
    <mergeCell ref="H7891:I7891"/>
    <mergeCell ref="J7891:L7891"/>
    <mergeCell ref="A7894:H7894"/>
    <mergeCell ref="F7896:G7896"/>
    <mergeCell ref="H7896:I7896"/>
    <mergeCell ref="J7896:L7896"/>
    <mergeCell ref="A7898:H7898"/>
    <mergeCell ref="A7881:H7881"/>
    <mergeCell ref="F7882:G7882"/>
    <mergeCell ref="H7882:I7882"/>
    <mergeCell ref="J7882:L7882"/>
    <mergeCell ref="F7883:G7883"/>
    <mergeCell ref="H7883:I7883"/>
    <mergeCell ref="J7883:L7883"/>
    <mergeCell ref="F7866:G7866"/>
    <mergeCell ref="H7866:I7866"/>
    <mergeCell ref="J7866:L7866"/>
    <mergeCell ref="F7922:G7922"/>
    <mergeCell ref="H7922:I7922"/>
    <mergeCell ref="J7922:L7922"/>
    <mergeCell ref="F7923:G7923"/>
    <mergeCell ref="H7923:I7923"/>
    <mergeCell ref="J7923:L7923"/>
    <mergeCell ref="F7919:G7919"/>
    <mergeCell ref="H7919:I7919"/>
    <mergeCell ref="J7919:L7919"/>
    <mergeCell ref="F7899:G7899"/>
    <mergeCell ref="H7899:I7899"/>
    <mergeCell ref="J7899:L7899"/>
    <mergeCell ref="F7900:G7900"/>
    <mergeCell ref="H7900:I7900"/>
    <mergeCell ref="J7900:L7900"/>
    <mergeCell ref="F7901:G7901"/>
    <mergeCell ref="H7901:I7901"/>
    <mergeCell ref="J7901:L7901"/>
    <mergeCell ref="A7911:H7911"/>
    <mergeCell ref="F7912:G7912"/>
    <mergeCell ref="H7912:I7912"/>
    <mergeCell ref="J7912:L7912"/>
    <mergeCell ref="F7913:G7913"/>
    <mergeCell ref="H7913:I7913"/>
    <mergeCell ref="J7913:L7913"/>
    <mergeCell ref="F7914:G7914"/>
    <mergeCell ref="H7914:I7914"/>
    <mergeCell ref="J7914:L7914"/>
    <mergeCell ref="F7915:G7915"/>
    <mergeCell ref="H7915:I7915"/>
    <mergeCell ref="J7915:L7915"/>
    <mergeCell ref="F7916:G7916"/>
    <mergeCell ref="H7916:I7916"/>
    <mergeCell ref="J7916:L7916"/>
    <mergeCell ref="F7917:G7917"/>
    <mergeCell ref="H7917:I7917"/>
    <mergeCell ref="J7917:L7917"/>
    <mergeCell ref="F7918:G7918"/>
    <mergeCell ref="H7918:I7918"/>
    <mergeCell ref="J7918:L7918"/>
    <mergeCell ref="A7921:H7921"/>
    <mergeCell ref="F7977:G7977"/>
    <mergeCell ref="H7977:I7977"/>
    <mergeCell ref="J7977:L7977"/>
    <mergeCell ref="A7976:H7976"/>
    <mergeCell ref="F7978:G7978"/>
    <mergeCell ref="H7978:I7978"/>
    <mergeCell ref="J7978:L7978"/>
    <mergeCell ref="F7979:G7979"/>
    <mergeCell ref="H7979:I7979"/>
    <mergeCell ref="J7979:L7979"/>
    <mergeCell ref="A7989:H7989"/>
    <mergeCell ref="F7991:G7991"/>
    <mergeCell ref="H7991:I7991"/>
    <mergeCell ref="J7991:L7991"/>
    <mergeCell ref="F7992:G7992"/>
    <mergeCell ref="H7992:I7992"/>
    <mergeCell ref="J7992:L7992"/>
    <mergeCell ref="F7964:G7964"/>
    <mergeCell ref="H7964:I7964"/>
    <mergeCell ref="J7964:L7964"/>
    <mergeCell ref="F7963:G7963"/>
    <mergeCell ref="H7963:I7963"/>
    <mergeCell ref="J7963:L7963"/>
    <mergeCell ref="F7958:G7958"/>
    <mergeCell ref="H7958:I7958"/>
    <mergeCell ref="J7958:L7958"/>
    <mergeCell ref="F7954:G7954"/>
    <mergeCell ref="H7954:I7954"/>
    <mergeCell ref="J7954:L7954"/>
    <mergeCell ref="F7953:G7953"/>
    <mergeCell ref="H7953:I7953"/>
    <mergeCell ref="J7953:L7953"/>
    <mergeCell ref="F7940:G7940"/>
    <mergeCell ref="H7940:I7940"/>
    <mergeCell ref="J7940:L7940"/>
    <mergeCell ref="F7941:G7941"/>
    <mergeCell ref="H7941:I7941"/>
    <mergeCell ref="J7941:L7941"/>
    <mergeCell ref="A7972:H7972"/>
    <mergeCell ref="F7973:G7973"/>
    <mergeCell ref="H7973:I7973"/>
    <mergeCell ref="J7973:L7973"/>
    <mergeCell ref="F7974:G7974"/>
    <mergeCell ref="H7974:I7974"/>
    <mergeCell ref="J7974:L7974"/>
    <mergeCell ref="A7994:H7994"/>
    <mergeCell ref="F7995:G7995"/>
    <mergeCell ref="H7995:I7995"/>
    <mergeCell ref="J7995:L7995"/>
    <mergeCell ref="F7996:G7996"/>
    <mergeCell ref="H7996:I7996"/>
    <mergeCell ref="J7996:L7996"/>
    <mergeCell ref="A7999:H7999"/>
    <mergeCell ref="F8000:G8000"/>
    <mergeCell ref="H8000:I8000"/>
    <mergeCell ref="J8000:L8000"/>
    <mergeCell ref="F8003:G8003"/>
    <mergeCell ref="H8003:I8003"/>
    <mergeCell ref="J8003:L8003"/>
    <mergeCell ref="A8005:H8005"/>
    <mergeCell ref="A8009:H8009"/>
    <mergeCell ref="F8010:G8010"/>
    <mergeCell ref="H8010:I8010"/>
    <mergeCell ref="J8010:L8010"/>
    <mergeCell ref="F8011:G8011"/>
    <mergeCell ref="H8011:I8011"/>
    <mergeCell ref="J8011:L8011"/>
    <mergeCell ref="A8013:H8013"/>
    <mergeCell ref="F8014:G8014"/>
    <mergeCell ref="H8014:I8014"/>
    <mergeCell ref="J8014:L8014"/>
    <mergeCell ref="F8015:G8015"/>
    <mergeCell ref="H8015:I8015"/>
    <mergeCell ref="J8015:L8015"/>
    <mergeCell ref="F8016:G8016"/>
    <mergeCell ref="F7990:G7990"/>
    <mergeCell ref="H7990:I7990"/>
    <mergeCell ref="J7990:L7990"/>
    <mergeCell ref="F8051:G8051"/>
    <mergeCell ref="H8051:I8051"/>
    <mergeCell ref="J8051:L8051"/>
    <mergeCell ref="F8048:G8048"/>
    <mergeCell ref="H8048:I8048"/>
    <mergeCell ref="J8048:L8048"/>
    <mergeCell ref="A8050:H8050"/>
    <mergeCell ref="F8037:G8037"/>
    <mergeCell ref="H8037:I8037"/>
    <mergeCell ref="J8037:L8037"/>
    <mergeCell ref="F8032:G8032"/>
    <mergeCell ref="H8032:I8032"/>
    <mergeCell ref="J8032:L8032"/>
    <mergeCell ref="F8028:G8028"/>
    <mergeCell ref="H8028:I8028"/>
    <mergeCell ref="J8028:L8028"/>
    <mergeCell ref="A8026:H8026"/>
    <mergeCell ref="F8027:G8027"/>
    <mergeCell ref="H8027:I8027"/>
    <mergeCell ref="J8027:L8027"/>
    <mergeCell ref="F8006:G8006"/>
    <mergeCell ref="H8006:I8006"/>
    <mergeCell ref="J8006:L8006"/>
    <mergeCell ref="F8007:G8007"/>
    <mergeCell ref="H8007:I8007"/>
    <mergeCell ref="J8007:L8007"/>
    <mergeCell ref="F8002:G8002"/>
    <mergeCell ref="H8002:I8002"/>
    <mergeCell ref="J8002:L8002"/>
    <mergeCell ref="F8001:G8001"/>
    <mergeCell ref="H8001:I8001"/>
    <mergeCell ref="J8001:L8001"/>
    <mergeCell ref="F7997:G7997"/>
    <mergeCell ref="H7997:I7997"/>
    <mergeCell ref="J7997:L7997"/>
    <mergeCell ref="H8016:I8016"/>
    <mergeCell ref="J8016:L8016"/>
    <mergeCell ref="F8029:G8029"/>
    <mergeCell ref="H8029:I8029"/>
    <mergeCell ref="J8029:L8029"/>
    <mergeCell ref="A8031:H8031"/>
    <mergeCell ref="F8033:G8033"/>
    <mergeCell ref="H8033:I8033"/>
    <mergeCell ref="J8033:L8033"/>
    <mergeCell ref="F8034:G8034"/>
    <mergeCell ref="H8034:I8034"/>
    <mergeCell ref="J8034:L8034"/>
    <mergeCell ref="A8036:H8036"/>
    <mergeCell ref="F8038:G8038"/>
    <mergeCell ref="H8038:I8038"/>
    <mergeCell ref="J8038:L8038"/>
    <mergeCell ref="F8039:G8039"/>
    <mergeCell ref="H8039:I8039"/>
    <mergeCell ref="J8039:L8039"/>
    <mergeCell ref="F8040:G8040"/>
    <mergeCell ref="H8040:I8040"/>
    <mergeCell ref="J8040:L8040"/>
    <mergeCell ref="A8042:H8042"/>
    <mergeCell ref="F8043:G8043"/>
    <mergeCell ref="H8043:I8043"/>
    <mergeCell ref="J8043:L8043"/>
    <mergeCell ref="F8044:G8044"/>
    <mergeCell ref="H8044:I8044"/>
    <mergeCell ref="J8044:L8044"/>
    <mergeCell ref="F8065:G8065"/>
    <mergeCell ref="H8065:I8065"/>
    <mergeCell ref="J8065:L8065"/>
    <mergeCell ref="A8063:H8063"/>
    <mergeCell ref="F8064:G8064"/>
    <mergeCell ref="H8064:I8064"/>
    <mergeCell ref="J8064:L8064"/>
    <mergeCell ref="F8071:G8071"/>
    <mergeCell ref="H8071:I8071"/>
    <mergeCell ref="J8071:L8071"/>
    <mergeCell ref="A8073:H8073"/>
    <mergeCell ref="F8076:G8076"/>
    <mergeCell ref="H8076:I8076"/>
    <mergeCell ref="J8076:L8076"/>
    <mergeCell ref="F8077:G8077"/>
    <mergeCell ref="H8077:I8077"/>
    <mergeCell ref="J8077:L8077"/>
    <mergeCell ref="A8079:H8079"/>
    <mergeCell ref="F8080:G8080"/>
    <mergeCell ref="H8080:I8080"/>
    <mergeCell ref="J8080:L8080"/>
    <mergeCell ref="F8081:G8081"/>
    <mergeCell ref="H8081:I8081"/>
    <mergeCell ref="J8081:L8081"/>
    <mergeCell ref="A8083:H8083"/>
    <mergeCell ref="F8084:G8084"/>
    <mergeCell ref="H8084:I8084"/>
    <mergeCell ref="J8084:L8084"/>
    <mergeCell ref="F8085:G8085"/>
    <mergeCell ref="H8085:I8085"/>
    <mergeCell ref="J8085:L8085"/>
    <mergeCell ref="A8087:H8087"/>
    <mergeCell ref="F8052:G8052"/>
    <mergeCell ref="H8052:I8052"/>
    <mergeCell ref="J8052:L8052"/>
    <mergeCell ref="F8053:G8053"/>
    <mergeCell ref="H8053:I8053"/>
    <mergeCell ref="J8053:L8053"/>
    <mergeCell ref="F8102:G8102"/>
    <mergeCell ref="H8102:I8102"/>
    <mergeCell ref="J8102:L8102"/>
    <mergeCell ref="A8100:H8100"/>
    <mergeCell ref="F8101:G8101"/>
    <mergeCell ref="H8101:I8101"/>
    <mergeCell ref="J8101:L8101"/>
    <mergeCell ref="F8088:G8088"/>
    <mergeCell ref="H8088:I8088"/>
    <mergeCell ref="J8088:L8088"/>
    <mergeCell ref="F8089:G8089"/>
    <mergeCell ref="H8089:I8089"/>
    <mergeCell ref="J8089:L8089"/>
    <mergeCell ref="F8090:G8090"/>
    <mergeCell ref="H8090:I8090"/>
    <mergeCell ref="J8090:L8090"/>
    <mergeCell ref="F8103:G8103"/>
    <mergeCell ref="H8103:I8103"/>
    <mergeCell ref="J8103:L8103"/>
    <mergeCell ref="A8105:H8105"/>
    <mergeCell ref="F8074:G8074"/>
    <mergeCell ref="H8074:I8074"/>
    <mergeCell ref="J8074:L8074"/>
    <mergeCell ref="F8075:G8075"/>
    <mergeCell ref="H8075:I8075"/>
    <mergeCell ref="J8075:L8075"/>
    <mergeCell ref="F8070:G8070"/>
    <mergeCell ref="H8070:I8070"/>
    <mergeCell ref="J8070:L8070"/>
    <mergeCell ref="F8066:G8066"/>
    <mergeCell ref="H8066:I8066"/>
    <mergeCell ref="J8066:L8066"/>
    <mergeCell ref="A8068:H8068"/>
    <mergeCell ref="F8069:G8069"/>
    <mergeCell ref="H8069:I8069"/>
    <mergeCell ref="J8069:L8069"/>
    <mergeCell ref="A8137:H8137"/>
    <mergeCell ref="F8139:G8139"/>
    <mergeCell ref="H8139:I8139"/>
    <mergeCell ref="J8139:L8139"/>
    <mergeCell ref="F8140:G8140"/>
    <mergeCell ref="H8140:I8140"/>
    <mergeCell ref="J8140:L8140"/>
    <mergeCell ref="F8126:G8126"/>
    <mergeCell ref="H8126:I8126"/>
    <mergeCell ref="J8126:L8126"/>
    <mergeCell ref="F8125:G8125"/>
    <mergeCell ref="H8125:I8125"/>
    <mergeCell ref="J8125:L8125"/>
    <mergeCell ref="F8122:G8122"/>
    <mergeCell ref="H8122:I8122"/>
    <mergeCell ref="J8122:L8122"/>
    <mergeCell ref="F8111:G8111"/>
    <mergeCell ref="H8111:I8111"/>
    <mergeCell ref="J8111:L8111"/>
    <mergeCell ref="F8106:G8106"/>
    <mergeCell ref="H8106:I8106"/>
    <mergeCell ref="J8106:L8106"/>
    <mergeCell ref="F8107:G8107"/>
    <mergeCell ref="H8107:I8107"/>
    <mergeCell ref="J8107:L8107"/>
    <mergeCell ref="F8108:G8108"/>
    <mergeCell ref="H8108:I8108"/>
    <mergeCell ref="J8108:L8108"/>
    <mergeCell ref="A8110:H8110"/>
    <mergeCell ref="F8112:G8112"/>
    <mergeCell ref="H8112:I8112"/>
    <mergeCell ref="J8112:L8112"/>
    <mergeCell ref="F8113:G8113"/>
    <mergeCell ref="H8113:I8113"/>
    <mergeCell ref="J8113:L8113"/>
    <mergeCell ref="F8114:G8114"/>
    <mergeCell ref="H8114:I8114"/>
    <mergeCell ref="J8114:L8114"/>
    <mergeCell ref="A8116:H8116"/>
    <mergeCell ref="F8117:G8117"/>
    <mergeCell ref="H8117:I8117"/>
    <mergeCell ref="J8117:L8117"/>
    <mergeCell ref="F8118:G8118"/>
    <mergeCell ref="H8118:I8118"/>
    <mergeCell ref="J8118:L8118"/>
    <mergeCell ref="A8120:H8120"/>
    <mergeCell ref="F8121:G8121"/>
    <mergeCell ref="H8121:I8121"/>
    <mergeCell ref="J8121:L8121"/>
    <mergeCell ref="A8124:H8124"/>
    <mergeCell ref="F8127:G8127"/>
    <mergeCell ref="H8127:I8127"/>
    <mergeCell ref="J8127:L8127"/>
    <mergeCell ref="F8146:G8146"/>
    <mergeCell ref="H8146:I8146"/>
    <mergeCell ref="J8146:L8146"/>
    <mergeCell ref="F8147:G8147"/>
    <mergeCell ref="H8147:I8147"/>
    <mergeCell ref="J8147:L8147"/>
    <mergeCell ref="A8149:H8149"/>
    <mergeCell ref="A8153:H8153"/>
    <mergeCell ref="F8154:G8154"/>
    <mergeCell ref="H8154:I8154"/>
    <mergeCell ref="J8154:L8154"/>
    <mergeCell ref="F8155:G8155"/>
    <mergeCell ref="H8155:I8155"/>
    <mergeCell ref="J8155:L8155"/>
    <mergeCell ref="A8157:H8157"/>
    <mergeCell ref="F8158:G8158"/>
    <mergeCell ref="H8158:I8158"/>
    <mergeCell ref="J8158:L8158"/>
    <mergeCell ref="F8159:G8159"/>
    <mergeCell ref="H8159:I8159"/>
    <mergeCell ref="J8159:L8159"/>
    <mergeCell ref="F8160:G8160"/>
    <mergeCell ref="H8160:I8160"/>
    <mergeCell ref="J8160:L8160"/>
    <mergeCell ref="F8142:G8142"/>
    <mergeCell ref="H8142:I8142"/>
    <mergeCell ref="J8142:L8142"/>
    <mergeCell ref="A8144:H8144"/>
    <mergeCell ref="F8145:G8145"/>
    <mergeCell ref="H8145:I8145"/>
    <mergeCell ref="J8145:L8145"/>
    <mergeCell ref="F8138:G8138"/>
    <mergeCell ref="H8138:I8138"/>
    <mergeCell ref="J8138:L8138"/>
    <mergeCell ref="F8141:G8141"/>
    <mergeCell ref="H8141:I8141"/>
    <mergeCell ref="J8141:L8141"/>
    <mergeCell ref="F8181:G8181"/>
    <mergeCell ref="H8181:I8181"/>
    <mergeCell ref="J8181:L8181"/>
    <mergeCell ref="F8176:G8176"/>
    <mergeCell ref="H8176:I8176"/>
    <mergeCell ref="J8176:L8176"/>
    <mergeCell ref="F8177:G8177"/>
    <mergeCell ref="H8177:I8177"/>
    <mergeCell ref="J8177:L8177"/>
    <mergeCell ref="F8172:G8172"/>
    <mergeCell ref="H8172:I8172"/>
    <mergeCell ref="J8172:L8172"/>
    <mergeCell ref="F8171:G8171"/>
    <mergeCell ref="H8171:I8171"/>
    <mergeCell ref="J8171:L8171"/>
    <mergeCell ref="A8170:H8170"/>
    <mergeCell ref="F8173:G8173"/>
    <mergeCell ref="H8173:I8173"/>
    <mergeCell ref="J8173:L8173"/>
    <mergeCell ref="A8175:H8175"/>
    <mergeCell ref="A8179:H8179"/>
    <mergeCell ref="F8180:G8180"/>
    <mergeCell ref="H8180:I8180"/>
    <mergeCell ref="J8180:L8180"/>
    <mergeCell ref="F8183:G8183"/>
    <mergeCell ref="H8183:I8183"/>
    <mergeCell ref="J8183:L8183"/>
    <mergeCell ref="A8185:H8185"/>
    <mergeCell ref="F8150:G8150"/>
    <mergeCell ref="H8150:I8150"/>
    <mergeCell ref="J8150:L8150"/>
    <mergeCell ref="F8151:G8151"/>
    <mergeCell ref="H8151:I8151"/>
    <mergeCell ref="J8151:L8151"/>
    <mergeCell ref="F8190:G8190"/>
    <mergeCell ref="H8190:I8190"/>
    <mergeCell ref="J8190:L8190"/>
    <mergeCell ref="F8191:G8191"/>
    <mergeCell ref="H8191:I8191"/>
    <mergeCell ref="J8191:L8191"/>
    <mergeCell ref="F8186:G8186"/>
    <mergeCell ref="H8186:I8186"/>
    <mergeCell ref="J8186:L8186"/>
    <mergeCell ref="F8187:G8187"/>
    <mergeCell ref="H8187:I8187"/>
    <mergeCell ref="J8187:L8187"/>
    <mergeCell ref="A8189:H8189"/>
    <mergeCell ref="A8193:H8193"/>
    <mergeCell ref="F8194:G8194"/>
    <mergeCell ref="H8194:I8194"/>
    <mergeCell ref="J8194:L8194"/>
    <mergeCell ref="F8195:G8195"/>
    <mergeCell ref="H8195:I8195"/>
    <mergeCell ref="J8195:L8195"/>
    <mergeCell ref="F8196:G8196"/>
    <mergeCell ref="H8196:I8196"/>
    <mergeCell ref="J8196:L8196"/>
    <mergeCell ref="A8206:H8206"/>
    <mergeCell ref="F8207:G8207"/>
    <mergeCell ref="H8207:I8207"/>
    <mergeCell ref="J8207:L8207"/>
    <mergeCell ref="F8208:G8208"/>
    <mergeCell ref="H8208:I8208"/>
    <mergeCell ref="J8208:L8208"/>
    <mergeCell ref="F8182:G8182"/>
    <mergeCell ref="H8182:I8182"/>
    <mergeCell ref="J8182:L8182"/>
    <mergeCell ref="A8279:H8279"/>
    <mergeCell ref="A8283:H8283"/>
    <mergeCell ref="A8287:H8287"/>
    <mergeCell ref="F8277:G8277"/>
    <mergeCell ref="H8277:I8277"/>
    <mergeCell ref="J8277:L8277"/>
    <mergeCell ref="F8256:G8256"/>
    <mergeCell ref="H8256:I8256"/>
    <mergeCell ref="J8256:L8256"/>
    <mergeCell ref="F8275:G8275"/>
    <mergeCell ref="H8275:I8275"/>
    <mergeCell ref="J8275:L8275"/>
    <mergeCell ref="F8276:G8276"/>
    <mergeCell ref="H8276:I8276"/>
    <mergeCell ref="J8276:L8276"/>
    <mergeCell ref="F8247:G8247"/>
    <mergeCell ref="H8247:I8247"/>
    <mergeCell ref="J8247:L8247"/>
    <mergeCell ref="A8241:H8241"/>
    <mergeCell ref="F8242:G8242"/>
    <mergeCell ref="H8242:I8242"/>
    <mergeCell ref="J8242:L8242"/>
    <mergeCell ref="F8243:G8243"/>
    <mergeCell ref="H8243:I8243"/>
    <mergeCell ref="J8243:L8243"/>
    <mergeCell ref="F8226:G8226"/>
    <mergeCell ref="H8226:I8226"/>
    <mergeCell ref="J8226:L8226"/>
    <mergeCell ref="A8236:H8236"/>
    <mergeCell ref="F8237:G8237"/>
    <mergeCell ref="H8237:I8237"/>
    <mergeCell ref="J8237:L8237"/>
    <mergeCell ref="F8238:G8238"/>
    <mergeCell ref="H8238:I8238"/>
    <mergeCell ref="J8238:L8238"/>
    <mergeCell ref="F8239:G8239"/>
    <mergeCell ref="H8239:I8239"/>
    <mergeCell ref="J8239:L8239"/>
    <mergeCell ref="A8245:H8245"/>
    <mergeCell ref="F8246:G8246"/>
    <mergeCell ref="H8246:I8246"/>
    <mergeCell ref="J8246:L8246"/>
    <mergeCell ref="A8249:H8249"/>
    <mergeCell ref="F8272:G8272"/>
    <mergeCell ref="H8272:I8272"/>
    <mergeCell ref="J8272:L8272"/>
    <mergeCell ref="A8274:H8274"/>
    <mergeCell ref="F8288:G8288"/>
    <mergeCell ref="H8288:I8288"/>
    <mergeCell ref="J8288:L8288"/>
    <mergeCell ref="F8329:G8329"/>
    <mergeCell ref="H8329:I8329"/>
    <mergeCell ref="J8329:L8329"/>
    <mergeCell ref="A8304:H8304"/>
    <mergeCell ref="F8305:G8305"/>
    <mergeCell ref="H8305:I8305"/>
    <mergeCell ref="F8325:G8325"/>
    <mergeCell ref="H8325:I8325"/>
    <mergeCell ref="J8325:L8325"/>
    <mergeCell ref="F8321:G8321"/>
    <mergeCell ref="H8321:I8321"/>
    <mergeCell ref="J8321:L8321"/>
    <mergeCell ref="F8320:G8320"/>
    <mergeCell ref="H8320:I8320"/>
    <mergeCell ref="J8320:L8320"/>
    <mergeCell ref="F8317:G8317"/>
    <mergeCell ref="H8317:I8317"/>
    <mergeCell ref="J8317:L8317"/>
    <mergeCell ref="F8285:G8285"/>
    <mergeCell ref="H8285:I8285"/>
    <mergeCell ref="J8285:L8285"/>
    <mergeCell ref="F8284:G8284"/>
    <mergeCell ref="H8284:I8284"/>
    <mergeCell ref="J8284:L8284"/>
    <mergeCell ref="H8280:I8280"/>
    <mergeCell ref="J8280:L8280"/>
    <mergeCell ref="F8281:G8281"/>
    <mergeCell ref="H8281:I8281"/>
    <mergeCell ref="J8281:L8281"/>
    <mergeCell ref="F8280:G8280"/>
    <mergeCell ref="F8293:G8293"/>
    <mergeCell ref="H8293:I8293"/>
    <mergeCell ref="J8293:L8293"/>
    <mergeCell ref="F8294:G8294"/>
    <mergeCell ref="H8294:I8294"/>
    <mergeCell ref="J8294:L8294"/>
    <mergeCell ref="F8289:G8289"/>
    <mergeCell ref="H8289:I8289"/>
    <mergeCell ref="J8289:L8289"/>
    <mergeCell ref="A8291:H8291"/>
    <mergeCell ref="F8292:G8292"/>
    <mergeCell ref="H8292:I8292"/>
    <mergeCell ref="J8292:L8292"/>
    <mergeCell ref="F8315:G8315"/>
    <mergeCell ref="H8315:I8315"/>
    <mergeCell ref="J8315:L8315"/>
    <mergeCell ref="F8316:G8316"/>
    <mergeCell ref="H8316:I8316"/>
    <mergeCell ref="J8316:L8316"/>
    <mergeCell ref="J8305:L8305"/>
    <mergeCell ref="F8306:G8306"/>
    <mergeCell ref="H8306:I8306"/>
    <mergeCell ref="J8306:L8306"/>
    <mergeCell ref="F8307:G8307"/>
    <mergeCell ref="H8307:I8307"/>
    <mergeCell ref="J8307:L8307"/>
    <mergeCell ref="A8310:H8310"/>
    <mergeCell ref="A8314:H8314"/>
    <mergeCell ref="A8319:H8319"/>
    <mergeCell ref="A8323:H8323"/>
    <mergeCell ref="F8324:G8324"/>
    <mergeCell ref="H8324:I8324"/>
    <mergeCell ref="J8324:L8324"/>
    <mergeCell ref="A8327:H8327"/>
    <mergeCell ref="F8328:G8328"/>
    <mergeCell ref="H8328:I8328"/>
    <mergeCell ref="J8328:L8328"/>
    <mergeCell ref="A8340:H8340"/>
    <mergeCell ref="F8341:G8341"/>
    <mergeCell ref="H8341:I8341"/>
    <mergeCell ref="J8341:L8341"/>
    <mergeCell ref="F8342:G8342"/>
    <mergeCell ref="H8342:I8342"/>
    <mergeCell ref="J8342:L8342"/>
    <mergeCell ref="F8343:G8343"/>
    <mergeCell ref="H8343:I8343"/>
    <mergeCell ref="J8343:L8343"/>
    <mergeCell ref="F8344:G8344"/>
    <mergeCell ref="H8344:I8344"/>
    <mergeCell ref="J8344:L8344"/>
    <mergeCell ref="F8345:G8345"/>
    <mergeCell ref="H8345:I8345"/>
    <mergeCell ref="J8345:L8345"/>
    <mergeCell ref="F8394:G8394"/>
    <mergeCell ref="H8394:I8394"/>
    <mergeCell ref="J8394:L8394"/>
    <mergeCell ref="F8397:G8397"/>
    <mergeCell ref="H8397:I8397"/>
    <mergeCell ref="J8397:L8397"/>
    <mergeCell ref="F8395:G8395"/>
    <mergeCell ref="H8395:I8395"/>
    <mergeCell ref="J8395:L8395"/>
    <mergeCell ref="F8396:G8396"/>
    <mergeCell ref="H8396:I8396"/>
    <mergeCell ref="J8396:L8396"/>
    <mergeCell ref="F8348:G8348"/>
    <mergeCell ref="H8348:I8348"/>
    <mergeCell ref="J8348:L8348"/>
    <mergeCell ref="F8351:G8351"/>
    <mergeCell ref="H8351:I8351"/>
    <mergeCell ref="J8351:L8351"/>
    <mergeCell ref="F8330:G8330"/>
    <mergeCell ref="H8330:I8330"/>
    <mergeCell ref="J8330:L8330"/>
    <mergeCell ref="F8350:G8350"/>
    <mergeCell ref="H8350:I8350"/>
    <mergeCell ref="J8350:L8350"/>
    <mergeCell ref="A8353:H8353"/>
    <mergeCell ref="F8312:G8312"/>
    <mergeCell ref="H8312:I8312"/>
    <mergeCell ref="J8312:L8312"/>
    <mergeCell ref="F8311:G8311"/>
    <mergeCell ref="H8311:I8311"/>
    <mergeCell ref="J8311:L8311"/>
    <mergeCell ref="F8308:G8308"/>
    <mergeCell ref="H8308:I8308"/>
    <mergeCell ref="J8308:L8308"/>
    <mergeCell ref="A8347:H8347"/>
    <mergeCell ref="F8349:G8349"/>
    <mergeCell ref="H8349:I8349"/>
    <mergeCell ref="J8349:L8349"/>
    <mergeCell ref="F8423:G8423"/>
    <mergeCell ref="H8423:I8423"/>
    <mergeCell ref="J8423:L8423"/>
    <mergeCell ref="F8405:G8405"/>
    <mergeCell ref="H8405:I8405"/>
    <mergeCell ref="J8405:L8405"/>
    <mergeCell ref="F8401:G8401"/>
    <mergeCell ref="H8401:I8401"/>
    <mergeCell ref="J8401:L8401"/>
    <mergeCell ref="A8399:H8399"/>
    <mergeCell ref="F8400:G8400"/>
    <mergeCell ref="H8400:I8400"/>
    <mergeCell ref="J8400:L8400"/>
    <mergeCell ref="A8403:H8403"/>
    <mergeCell ref="F8404:G8404"/>
    <mergeCell ref="H8404:I8404"/>
    <mergeCell ref="J8404:L8404"/>
    <mergeCell ref="A8407:H8407"/>
    <mergeCell ref="F8408:G8408"/>
    <mergeCell ref="H8408:I8408"/>
    <mergeCell ref="J8408:L8408"/>
    <mergeCell ref="F8409:G8409"/>
    <mergeCell ref="H8409:I8409"/>
    <mergeCell ref="J8409:L8409"/>
    <mergeCell ref="F8410:G8410"/>
    <mergeCell ref="H8410:I8410"/>
    <mergeCell ref="J8410:L8410"/>
    <mergeCell ref="A8420:H8420"/>
    <mergeCell ref="F8421:G8421"/>
    <mergeCell ref="H8421:I8421"/>
    <mergeCell ref="J8421:L8421"/>
    <mergeCell ref="F8422:G8422"/>
    <mergeCell ref="H8422:I8422"/>
    <mergeCell ref="J8422:L8422"/>
    <mergeCell ref="F8441:G8441"/>
    <mergeCell ref="H8441:I8441"/>
    <mergeCell ref="J8441:L8441"/>
    <mergeCell ref="F8434:G8434"/>
    <mergeCell ref="H8434:I8434"/>
    <mergeCell ref="J8434:L8434"/>
    <mergeCell ref="F8437:G8437"/>
    <mergeCell ref="H8437:I8437"/>
    <mergeCell ref="J8437:L8437"/>
    <mergeCell ref="F8430:G8430"/>
    <mergeCell ref="H8430:I8430"/>
    <mergeCell ref="J8430:L8430"/>
    <mergeCell ref="A8427:H8427"/>
    <mergeCell ref="F8428:G8428"/>
    <mergeCell ref="H8428:I8428"/>
    <mergeCell ref="J8428:L8428"/>
    <mergeCell ref="F8429:G8429"/>
    <mergeCell ref="H8429:I8429"/>
    <mergeCell ref="J8429:L8429"/>
    <mergeCell ref="F8424:G8424"/>
    <mergeCell ref="H8424:I8424"/>
    <mergeCell ref="J8424:L8424"/>
    <mergeCell ref="F8425:G8425"/>
    <mergeCell ref="H8425:I8425"/>
    <mergeCell ref="J8425:L8425"/>
    <mergeCell ref="F8431:G8431"/>
    <mergeCell ref="H8431:I8431"/>
    <mergeCell ref="J8431:L8431"/>
    <mergeCell ref="A8433:H8433"/>
    <mergeCell ref="F8435:G8435"/>
    <mergeCell ref="H8435:I8435"/>
    <mergeCell ref="J8435:L8435"/>
    <mergeCell ref="F8436:G8436"/>
    <mergeCell ref="H8436:I8436"/>
    <mergeCell ref="J8436:L8436"/>
    <mergeCell ref="A8439:H8439"/>
    <mergeCell ref="F8440:G8440"/>
    <mergeCell ref="H8440:I8440"/>
    <mergeCell ref="J8440:L8440"/>
    <mergeCell ref="J8480:L8480"/>
    <mergeCell ref="A8482:H8482"/>
    <mergeCell ref="F8483:G8483"/>
    <mergeCell ref="H8483:I8483"/>
    <mergeCell ref="J8483:L8483"/>
    <mergeCell ref="F8461:G8461"/>
    <mergeCell ref="H8461:I8461"/>
    <mergeCell ref="J8461:L8461"/>
    <mergeCell ref="A8443:H8443"/>
    <mergeCell ref="F8444:G8444"/>
    <mergeCell ref="H8444:I8444"/>
    <mergeCell ref="J8444:L8444"/>
    <mergeCell ref="F8445:G8445"/>
    <mergeCell ref="H8445:I8445"/>
    <mergeCell ref="J8445:L8445"/>
    <mergeCell ref="A8447:H8447"/>
    <mergeCell ref="F8448:G8448"/>
    <mergeCell ref="H8448:I8448"/>
    <mergeCell ref="J8448:L8448"/>
    <mergeCell ref="F8449:G8449"/>
    <mergeCell ref="H8449:I8449"/>
    <mergeCell ref="J8449:L8449"/>
    <mergeCell ref="F8450:G8450"/>
    <mergeCell ref="H8450:I8450"/>
    <mergeCell ref="J8450:L8450"/>
    <mergeCell ref="A8460:H8460"/>
    <mergeCell ref="F8462:G8462"/>
    <mergeCell ref="H8462:I8462"/>
    <mergeCell ref="J8462:L8462"/>
    <mergeCell ref="F8463:G8463"/>
    <mergeCell ref="H8463:I8463"/>
    <mergeCell ref="J8463:L8463"/>
    <mergeCell ref="A8465:H8465"/>
    <mergeCell ref="F8532:G8532"/>
    <mergeCell ref="H8532:I8532"/>
    <mergeCell ref="J8532:L8532"/>
    <mergeCell ref="F8533:G8533"/>
    <mergeCell ref="H8533:I8533"/>
    <mergeCell ref="J8533:L8533"/>
    <mergeCell ref="F8528:G8528"/>
    <mergeCell ref="H8528:I8528"/>
    <mergeCell ref="J8528:L8528"/>
    <mergeCell ref="F8531:G8531"/>
    <mergeCell ref="H8531:I8531"/>
    <mergeCell ref="J8531:L8531"/>
    <mergeCell ref="F8526:G8526"/>
    <mergeCell ref="H8526:I8526"/>
    <mergeCell ref="J8526:L8526"/>
    <mergeCell ref="F8527:G8527"/>
    <mergeCell ref="H8527:I8527"/>
    <mergeCell ref="J8527:L8527"/>
    <mergeCell ref="F8514:G8514"/>
    <mergeCell ref="H8514:I8514"/>
    <mergeCell ref="J8514:L8514"/>
    <mergeCell ref="F8515:G8515"/>
    <mergeCell ref="H8515:I8515"/>
    <mergeCell ref="J8515:L8515"/>
    <mergeCell ref="F8513:G8513"/>
    <mergeCell ref="H8513:I8513"/>
    <mergeCell ref="J8513:L8513"/>
    <mergeCell ref="F8518:G8518"/>
    <mergeCell ref="H8518:I8518"/>
    <mergeCell ref="J8518:L8518"/>
    <mergeCell ref="F8519:G8519"/>
    <mergeCell ref="H8519:I8519"/>
    <mergeCell ref="J8519:L8519"/>
    <mergeCell ref="F8520:G8520"/>
    <mergeCell ref="H8520:I8520"/>
    <mergeCell ref="J8520:L8520"/>
    <mergeCell ref="F8521:G8521"/>
    <mergeCell ref="H8521:I8521"/>
    <mergeCell ref="J8521:L8521"/>
    <mergeCell ref="A8523:H8523"/>
    <mergeCell ref="F8524:G8524"/>
    <mergeCell ref="H8524:I8524"/>
    <mergeCell ref="J8524:L8524"/>
    <mergeCell ref="F8525:G8525"/>
    <mergeCell ref="H8525:I8525"/>
    <mergeCell ref="J8525:L8525"/>
    <mergeCell ref="F8529:G8529"/>
    <mergeCell ref="H8529:I8529"/>
    <mergeCell ref="J8529:L8529"/>
    <mergeCell ref="F8530:G8530"/>
    <mergeCell ref="H8530:I8530"/>
    <mergeCell ref="J8530:L8530"/>
    <mergeCell ref="F8567:G8567"/>
    <mergeCell ref="H8567:I8567"/>
    <mergeCell ref="J8567:L8567"/>
    <mergeCell ref="F8566:G8566"/>
    <mergeCell ref="H8566:I8566"/>
    <mergeCell ref="J8566:L8566"/>
    <mergeCell ref="A8569:H8569"/>
    <mergeCell ref="F8570:G8570"/>
    <mergeCell ref="H8570:I8570"/>
    <mergeCell ref="J8570:L8570"/>
    <mergeCell ref="F8571:G8571"/>
    <mergeCell ref="H8571:I8571"/>
    <mergeCell ref="J8571:L8571"/>
    <mergeCell ref="A8574:H8574"/>
    <mergeCell ref="F8575:G8575"/>
    <mergeCell ref="H8575:I8575"/>
    <mergeCell ref="J8575:L8575"/>
    <mergeCell ref="F8576:G8576"/>
    <mergeCell ref="H8576:I8576"/>
    <mergeCell ref="J8576:L8576"/>
    <mergeCell ref="F8549:G8549"/>
    <mergeCell ref="H8549:I8549"/>
    <mergeCell ref="J8549:L8549"/>
    <mergeCell ref="F8545:G8545"/>
    <mergeCell ref="H8545:I8545"/>
    <mergeCell ref="J8545:L8545"/>
    <mergeCell ref="F8538:G8538"/>
    <mergeCell ref="H8538:I8538"/>
    <mergeCell ref="J8538:L8538"/>
    <mergeCell ref="F8541:G8541"/>
    <mergeCell ref="H8541:I8541"/>
    <mergeCell ref="J8541:L8541"/>
    <mergeCell ref="F8536:G8536"/>
    <mergeCell ref="H8536:I8536"/>
    <mergeCell ref="J8536:L8536"/>
    <mergeCell ref="F8537:G8537"/>
    <mergeCell ref="H8537:I8537"/>
    <mergeCell ref="J8537:L8537"/>
    <mergeCell ref="F8581:G8581"/>
    <mergeCell ref="H8581:I8581"/>
    <mergeCell ref="J8581:L8581"/>
    <mergeCell ref="A8579:H8579"/>
    <mergeCell ref="F8580:G8580"/>
    <mergeCell ref="H8580:I8580"/>
    <mergeCell ref="J8580:L8580"/>
    <mergeCell ref="A8583:H8583"/>
    <mergeCell ref="F8584:G8584"/>
    <mergeCell ref="H8584:I8584"/>
    <mergeCell ref="J8584:L8584"/>
    <mergeCell ref="A8587:H8587"/>
    <mergeCell ref="F8588:G8588"/>
    <mergeCell ref="H8588:I8588"/>
    <mergeCell ref="J8588:L8588"/>
    <mergeCell ref="F8589:G8589"/>
    <mergeCell ref="H8589:I8589"/>
    <mergeCell ref="J8589:L8589"/>
    <mergeCell ref="F8590:G8590"/>
    <mergeCell ref="H8590:I8590"/>
    <mergeCell ref="J8590:L8590"/>
    <mergeCell ref="A8600:H8600"/>
    <mergeCell ref="F8601:G8601"/>
    <mergeCell ref="H8601:I8601"/>
    <mergeCell ref="J8601:L8601"/>
    <mergeCell ref="F8602:G8602"/>
    <mergeCell ref="H8602:I8602"/>
    <mergeCell ref="J8602:L8602"/>
    <mergeCell ref="F8577:G8577"/>
    <mergeCell ref="H8577:I8577"/>
    <mergeCell ref="J8577:L8577"/>
    <mergeCell ref="F8572:G8572"/>
    <mergeCell ref="H8572:I8572"/>
    <mergeCell ref="J8572:L8572"/>
    <mergeCell ref="F8613:G8613"/>
    <mergeCell ref="H8613:I8613"/>
    <mergeCell ref="J8613:L8613"/>
    <mergeCell ref="F8608:G8608"/>
    <mergeCell ref="H8608:I8608"/>
    <mergeCell ref="J8608:L8608"/>
    <mergeCell ref="A8605:H8605"/>
    <mergeCell ref="F8606:G8606"/>
    <mergeCell ref="H8606:I8606"/>
    <mergeCell ref="J8606:L8606"/>
    <mergeCell ref="F8607:G8607"/>
    <mergeCell ref="H8607:I8607"/>
    <mergeCell ref="J8607:L8607"/>
    <mergeCell ref="A8610:H8610"/>
    <mergeCell ref="F8611:G8611"/>
    <mergeCell ref="H8611:I8611"/>
    <mergeCell ref="J8611:L8611"/>
    <mergeCell ref="F8612:G8612"/>
    <mergeCell ref="H8612:I8612"/>
    <mergeCell ref="J8612:L8612"/>
    <mergeCell ref="A8615:H8615"/>
    <mergeCell ref="F8616:G8616"/>
    <mergeCell ref="H8616:I8616"/>
    <mergeCell ref="J8616:L8616"/>
    <mergeCell ref="A8619:H8619"/>
    <mergeCell ref="F8620:G8620"/>
    <mergeCell ref="H8620:I8620"/>
    <mergeCell ref="J8620:L8620"/>
    <mergeCell ref="F8603:G8603"/>
    <mergeCell ref="H8603:I8603"/>
    <mergeCell ref="J8603:L8603"/>
    <mergeCell ref="F8585:G8585"/>
    <mergeCell ref="H8585:I8585"/>
    <mergeCell ref="J8585:L8585"/>
    <mergeCell ref="F8639:G8639"/>
    <mergeCell ref="H8639:I8639"/>
    <mergeCell ref="J8639:L8639"/>
    <mergeCell ref="A8623:H8623"/>
    <mergeCell ref="F8624:G8624"/>
    <mergeCell ref="H8624:I8624"/>
    <mergeCell ref="J8624:L8624"/>
    <mergeCell ref="F8625:G8625"/>
    <mergeCell ref="H8625:I8625"/>
    <mergeCell ref="J8625:L8625"/>
    <mergeCell ref="F8626:G8626"/>
    <mergeCell ref="H8626:I8626"/>
    <mergeCell ref="J8626:L8626"/>
    <mergeCell ref="A8636:H8636"/>
    <mergeCell ref="F8637:G8637"/>
    <mergeCell ref="H8637:I8637"/>
    <mergeCell ref="J8637:L8637"/>
    <mergeCell ref="F8638:G8638"/>
    <mergeCell ref="H8638:I8638"/>
    <mergeCell ref="J8638:L8638"/>
    <mergeCell ref="A8641:H8641"/>
    <mergeCell ref="F8642:G8642"/>
    <mergeCell ref="H8642:I8642"/>
    <mergeCell ref="J8642:L8642"/>
    <mergeCell ref="F8643:G8643"/>
    <mergeCell ref="H8643:I8643"/>
    <mergeCell ref="J8643:L8643"/>
    <mergeCell ref="F8621:G8621"/>
    <mergeCell ref="H8621:I8621"/>
    <mergeCell ref="J8621:L8621"/>
    <mergeCell ref="F8617:G8617"/>
    <mergeCell ref="H8617:I8617"/>
    <mergeCell ref="J8617:L8617"/>
    <mergeCell ref="F8653:G8653"/>
    <mergeCell ref="H8653:I8653"/>
    <mergeCell ref="J8653:L8653"/>
    <mergeCell ref="F8649:G8649"/>
    <mergeCell ref="H8649:I8649"/>
    <mergeCell ref="J8649:L8649"/>
    <mergeCell ref="A8646:H8646"/>
    <mergeCell ref="F8647:G8647"/>
    <mergeCell ref="H8647:I8647"/>
    <mergeCell ref="J8647:L8647"/>
    <mergeCell ref="F8648:G8648"/>
    <mergeCell ref="H8648:I8648"/>
    <mergeCell ref="J8648:L8648"/>
    <mergeCell ref="A8651:H8651"/>
    <mergeCell ref="F8652:G8652"/>
    <mergeCell ref="H8652:I8652"/>
    <mergeCell ref="J8652:L8652"/>
    <mergeCell ref="A8655:H8655"/>
    <mergeCell ref="F8656:G8656"/>
    <mergeCell ref="H8656:I8656"/>
    <mergeCell ref="J8656:L8656"/>
    <mergeCell ref="A8659:H8659"/>
    <mergeCell ref="F8660:G8660"/>
    <mergeCell ref="H8660:I8660"/>
    <mergeCell ref="J8660:L8660"/>
    <mergeCell ref="F8661:G8661"/>
    <mergeCell ref="H8661:I8661"/>
    <mergeCell ref="J8661:L8661"/>
    <mergeCell ref="F8662:G8662"/>
    <mergeCell ref="H8662:I8662"/>
    <mergeCell ref="J8662:L8662"/>
    <mergeCell ref="F8644:G8644"/>
    <mergeCell ref="H8644:I8644"/>
    <mergeCell ref="J8644:L8644"/>
    <mergeCell ref="F8683:G8683"/>
    <mergeCell ref="H8683:I8683"/>
    <mergeCell ref="J8683:L8683"/>
    <mergeCell ref="F8680:G8680"/>
    <mergeCell ref="H8680:I8680"/>
    <mergeCell ref="J8680:L8680"/>
    <mergeCell ref="F8675:G8675"/>
    <mergeCell ref="H8675:I8675"/>
    <mergeCell ref="J8675:L8675"/>
    <mergeCell ref="A8672:H8672"/>
    <mergeCell ref="F8673:G8673"/>
    <mergeCell ref="H8673:I8673"/>
    <mergeCell ref="J8673:L8673"/>
    <mergeCell ref="F8674:G8674"/>
    <mergeCell ref="H8674:I8674"/>
    <mergeCell ref="J8674:L8674"/>
    <mergeCell ref="A8677:H8677"/>
    <mergeCell ref="F8678:G8678"/>
    <mergeCell ref="H8678:I8678"/>
    <mergeCell ref="J8678:L8678"/>
    <mergeCell ref="F8679:G8679"/>
    <mergeCell ref="H8679:I8679"/>
    <mergeCell ref="J8679:L8679"/>
    <mergeCell ref="A8682:H8682"/>
    <mergeCell ref="F8684:G8684"/>
    <mergeCell ref="H8684:I8684"/>
    <mergeCell ref="J8684:L8684"/>
    <mergeCell ref="F8685:G8685"/>
    <mergeCell ref="H8685:I8685"/>
    <mergeCell ref="J8685:L8685"/>
    <mergeCell ref="A8687:H8687"/>
    <mergeCell ref="F8657:G8657"/>
    <mergeCell ref="H8657:I8657"/>
    <mergeCell ref="J8657:L8657"/>
    <mergeCell ref="F8728:G8728"/>
    <mergeCell ref="H8728:I8728"/>
    <mergeCell ref="J8728:L8728"/>
    <mergeCell ref="F8724:G8724"/>
    <mergeCell ref="H8724:I8724"/>
    <mergeCell ref="J8724:L8724"/>
    <mergeCell ref="F8720:G8720"/>
    <mergeCell ref="H8720:I8720"/>
    <mergeCell ref="J8720:L8720"/>
    <mergeCell ref="F8719:G8719"/>
    <mergeCell ref="H8719:I8719"/>
    <mergeCell ref="J8719:L8719"/>
    <mergeCell ref="F8714:G8714"/>
    <mergeCell ref="H8714:I8714"/>
    <mergeCell ref="J8714:L8714"/>
    <mergeCell ref="A8718:H8718"/>
    <mergeCell ref="F8721:G8721"/>
    <mergeCell ref="H8721:I8721"/>
    <mergeCell ref="J8721:L8721"/>
    <mergeCell ref="A8723:H8723"/>
    <mergeCell ref="F8725:G8725"/>
    <mergeCell ref="H8725:I8725"/>
    <mergeCell ref="J8725:L8725"/>
    <mergeCell ref="A8727:H8727"/>
    <mergeCell ref="F8729:G8729"/>
    <mergeCell ref="H8729:I8729"/>
    <mergeCell ref="J8729:L8729"/>
    <mergeCell ref="A8731:H8731"/>
    <mergeCell ref="F8709:G8709"/>
    <mergeCell ref="H8709:I8709"/>
    <mergeCell ref="J8709:L8709"/>
    <mergeCell ref="F8696:G8696"/>
    <mergeCell ref="H8696:I8696"/>
    <mergeCell ref="J8696:L8696"/>
    <mergeCell ref="A8759:H8759"/>
    <mergeCell ref="F8760:G8760"/>
    <mergeCell ref="H8760:I8760"/>
    <mergeCell ref="J8760:L8760"/>
    <mergeCell ref="F8761:G8761"/>
    <mergeCell ref="H8761:I8761"/>
    <mergeCell ref="J8761:L8761"/>
    <mergeCell ref="F8756:G8756"/>
    <mergeCell ref="H8756:I8756"/>
    <mergeCell ref="J8756:L8756"/>
    <mergeCell ref="F8757:G8757"/>
    <mergeCell ref="H8757:I8757"/>
    <mergeCell ref="J8757:L8757"/>
    <mergeCell ref="F8755:G8755"/>
    <mergeCell ref="H8755:I8755"/>
    <mergeCell ref="J8755:L8755"/>
    <mergeCell ref="F8750:G8750"/>
    <mergeCell ref="H8750:I8750"/>
    <mergeCell ref="J8750:L8750"/>
    <mergeCell ref="F8751:G8751"/>
    <mergeCell ref="H8751:I8751"/>
    <mergeCell ref="J8751:L8751"/>
    <mergeCell ref="F8746:G8746"/>
    <mergeCell ref="H8746:I8746"/>
    <mergeCell ref="J8746:L8746"/>
    <mergeCell ref="F8745:G8745"/>
    <mergeCell ref="H8745:I8745"/>
    <mergeCell ref="J8745:L8745"/>
    <mergeCell ref="F8732:G8732"/>
    <mergeCell ref="H8732:I8732"/>
    <mergeCell ref="J8732:L8732"/>
    <mergeCell ref="F8733:G8733"/>
    <mergeCell ref="H8733:I8733"/>
    <mergeCell ref="J8733:L8733"/>
    <mergeCell ref="F8734:G8734"/>
    <mergeCell ref="H8734:I8734"/>
    <mergeCell ref="J8734:L8734"/>
    <mergeCell ref="A8744:H8744"/>
    <mergeCell ref="F8747:G8747"/>
    <mergeCell ref="H8747:I8747"/>
    <mergeCell ref="J8747:L8747"/>
    <mergeCell ref="A8749:H8749"/>
    <mergeCell ref="F8752:G8752"/>
    <mergeCell ref="H8752:I8752"/>
    <mergeCell ref="J8752:L8752"/>
    <mergeCell ref="A8754:H8754"/>
    <mergeCell ref="A8785:H8785"/>
    <mergeCell ref="F8786:G8786"/>
    <mergeCell ref="H8786:I8786"/>
    <mergeCell ref="J8786:L8786"/>
    <mergeCell ref="F8787:G8787"/>
    <mergeCell ref="H8787:I8787"/>
    <mergeCell ref="J8787:L8787"/>
    <mergeCell ref="F8782:G8782"/>
    <mergeCell ref="H8782:I8782"/>
    <mergeCell ref="J8782:L8782"/>
    <mergeCell ref="F8783:G8783"/>
    <mergeCell ref="H8783:I8783"/>
    <mergeCell ref="J8783:L8783"/>
    <mergeCell ref="A8795:H8795"/>
    <mergeCell ref="F8796:G8796"/>
    <mergeCell ref="H8796:I8796"/>
    <mergeCell ref="J8796:L8796"/>
    <mergeCell ref="F8770:G8770"/>
    <mergeCell ref="H8770:I8770"/>
    <mergeCell ref="J8770:L8770"/>
    <mergeCell ref="A8780:H8780"/>
    <mergeCell ref="F8781:G8781"/>
    <mergeCell ref="H8781:I8781"/>
    <mergeCell ref="J8781:L8781"/>
    <mergeCell ref="A8767:H8767"/>
    <mergeCell ref="F8768:G8768"/>
    <mergeCell ref="H8768:I8768"/>
    <mergeCell ref="J8768:L8768"/>
    <mergeCell ref="F8769:G8769"/>
    <mergeCell ref="H8769:I8769"/>
    <mergeCell ref="J8769:L8769"/>
    <mergeCell ref="A8763:H8763"/>
    <mergeCell ref="F8764:G8764"/>
    <mergeCell ref="H8764:I8764"/>
    <mergeCell ref="J8764:L8764"/>
    <mergeCell ref="F8765:G8765"/>
    <mergeCell ref="H8765:I8765"/>
    <mergeCell ref="J8765:L8765"/>
    <mergeCell ref="F8805:G8805"/>
    <mergeCell ref="H8805:I8805"/>
    <mergeCell ref="J8805:L8805"/>
    <mergeCell ref="F8801:G8801"/>
    <mergeCell ref="H8801:I8801"/>
    <mergeCell ref="J8801:L8801"/>
    <mergeCell ref="A8799:H8799"/>
    <mergeCell ref="F8800:G8800"/>
    <mergeCell ref="H8800:I8800"/>
    <mergeCell ref="J8800:L8800"/>
    <mergeCell ref="A8803:H8803"/>
    <mergeCell ref="F8804:G8804"/>
    <mergeCell ref="H8804:I8804"/>
    <mergeCell ref="J8804:L8804"/>
    <mergeCell ref="A8816:H8816"/>
    <mergeCell ref="F8817:G8817"/>
    <mergeCell ref="H8817:I8817"/>
    <mergeCell ref="J8817:L8817"/>
    <mergeCell ref="A8821:H8821"/>
    <mergeCell ref="F8822:G8822"/>
    <mergeCell ref="H8822:I8822"/>
    <mergeCell ref="J8822:L8822"/>
    <mergeCell ref="F8797:G8797"/>
    <mergeCell ref="H8797:I8797"/>
    <mergeCell ref="J8797:L8797"/>
    <mergeCell ref="F8792:G8792"/>
    <mergeCell ref="H8792:I8792"/>
    <mergeCell ref="J8792:L8792"/>
    <mergeCell ref="F8793:G8793"/>
    <mergeCell ref="H8793:I8793"/>
    <mergeCell ref="J8793:L8793"/>
    <mergeCell ref="F8788:G8788"/>
    <mergeCell ref="H8788:I8788"/>
    <mergeCell ref="J8788:L8788"/>
    <mergeCell ref="A8790:H8790"/>
    <mergeCell ref="F8791:G8791"/>
    <mergeCell ref="H8791:I8791"/>
    <mergeCell ref="J8791:L8791"/>
    <mergeCell ref="F8824:G8824"/>
    <mergeCell ref="H8824:I8824"/>
    <mergeCell ref="J8824:L8824"/>
    <mergeCell ref="A8826:H8826"/>
    <mergeCell ref="F8827:G8827"/>
    <mergeCell ref="H8827:I8827"/>
    <mergeCell ref="J8827:L8827"/>
    <mergeCell ref="A8831:H8831"/>
    <mergeCell ref="F8832:G8832"/>
    <mergeCell ref="H8832:I8832"/>
    <mergeCell ref="J8832:L8832"/>
    <mergeCell ref="F8833:G8833"/>
    <mergeCell ref="H8833:I8833"/>
    <mergeCell ref="J8833:L8833"/>
    <mergeCell ref="A8835:H8835"/>
    <mergeCell ref="F8836:G8836"/>
    <mergeCell ref="H8836:I8836"/>
    <mergeCell ref="J8836:L8836"/>
    <mergeCell ref="F8837:G8837"/>
    <mergeCell ref="H8837:I8837"/>
    <mergeCell ref="J8837:L8837"/>
    <mergeCell ref="A8839:H8839"/>
    <mergeCell ref="F8823:G8823"/>
    <mergeCell ref="H8823:I8823"/>
    <mergeCell ref="J8823:L8823"/>
    <mergeCell ref="F8818:G8818"/>
    <mergeCell ref="H8818:I8818"/>
    <mergeCell ref="J8818:L8818"/>
    <mergeCell ref="F8819:G8819"/>
    <mergeCell ref="H8819:I8819"/>
    <mergeCell ref="J8819:L8819"/>
    <mergeCell ref="F8806:G8806"/>
    <mergeCell ref="H8806:I8806"/>
    <mergeCell ref="J8806:L8806"/>
    <mergeCell ref="F8868:G8868"/>
    <mergeCell ref="H8868:I8868"/>
    <mergeCell ref="J8868:L8868"/>
    <mergeCell ref="A8875:H8875"/>
    <mergeCell ref="F8877:G8877"/>
    <mergeCell ref="H8877:I8877"/>
    <mergeCell ref="J8877:L8877"/>
    <mergeCell ref="F8878:G8878"/>
    <mergeCell ref="H8878:I8878"/>
    <mergeCell ref="J8878:L8878"/>
    <mergeCell ref="F8865:G8865"/>
    <mergeCell ref="H8865:I8865"/>
    <mergeCell ref="J8865:L8865"/>
    <mergeCell ref="F8860:G8860"/>
    <mergeCell ref="H8860:I8860"/>
    <mergeCell ref="J8860:L8860"/>
    <mergeCell ref="F8855:G8855"/>
    <mergeCell ref="H8855:I8855"/>
    <mergeCell ref="J8855:L8855"/>
    <mergeCell ref="F8842:G8842"/>
    <mergeCell ref="H8842:I8842"/>
    <mergeCell ref="J8842:L8842"/>
    <mergeCell ref="F8828:G8828"/>
    <mergeCell ref="H8828:I8828"/>
    <mergeCell ref="J8828:L8828"/>
    <mergeCell ref="F8829:G8829"/>
    <mergeCell ref="H8829:I8829"/>
    <mergeCell ref="J8829:L8829"/>
    <mergeCell ref="F8840:G8840"/>
    <mergeCell ref="H8840:I8840"/>
    <mergeCell ref="J8840:L8840"/>
    <mergeCell ref="F8841:G8841"/>
    <mergeCell ref="H8841:I8841"/>
    <mergeCell ref="J8841:L8841"/>
    <mergeCell ref="A8852:H8852"/>
    <mergeCell ref="F8853:G8853"/>
    <mergeCell ref="H8853:I8853"/>
    <mergeCell ref="J8853:L8853"/>
    <mergeCell ref="F8854:G8854"/>
    <mergeCell ref="H8854:I8854"/>
    <mergeCell ref="J8854:L8854"/>
    <mergeCell ref="A8857:H8857"/>
    <mergeCell ref="F8858:G8858"/>
    <mergeCell ref="H8858:I8858"/>
    <mergeCell ref="J8858:L8858"/>
    <mergeCell ref="F8859:G8859"/>
    <mergeCell ref="H8859:I8859"/>
    <mergeCell ref="J8859:L8859"/>
    <mergeCell ref="A8862:H8862"/>
    <mergeCell ref="F8863:G8863"/>
    <mergeCell ref="H8863:I8863"/>
    <mergeCell ref="J8863:L8863"/>
    <mergeCell ref="F8864:G8864"/>
    <mergeCell ref="H8864:I8864"/>
    <mergeCell ref="J8864:L8864"/>
    <mergeCell ref="A8867:H8867"/>
    <mergeCell ref="F8869:G8869"/>
    <mergeCell ref="H8869:I8869"/>
    <mergeCell ref="J8869:L8869"/>
    <mergeCell ref="A8871:H8871"/>
    <mergeCell ref="F8873:G8873"/>
    <mergeCell ref="H8873:I8873"/>
    <mergeCell ref="J8873:L8873"/>
    <mergeCell ref="F8913:G8913"/>
    <mergeCell ref="H8913:I8913"/>
    <mergeCell ref="J8913:L8913"/>
    <mergeCell ref="F8909:G8909"/>
    <mergeCell ref="H8909:I8909"/>
    <mergeCell ref="J8909:L8909"/>
    <mergeCell ref="F8914:G8914"/>
    <mergeCell ref="H8914:I8914"/>
    <mergeCell ref="J8914:L8914"/>
    <mergeCell ref="F8915:G8915"/>
    <mergeCell ref="H8915:I8915"/>
    <mergeCell ref="J8915:L8915"/>
    <mergeCell ref="A8925:H8925"/>
    <mergeCell ref="F8926:G8926"/>
    <mergeCell ref="H8926:I8926"/>
    <mergeCell ref="J8926:L8926"/>
    <mergeCell ref="F8927:G8927"/>
    <mergeCell ref="H8927:I8927"/>
    <mergeCell ref="J8927:L8927"/>
    <mergeCell ref="F8928:G8928"/>
    <mergeCell ref="H8928:I8928"/>
    <mergeCell ref="J8928:L8928"/>
    <mergeCell ref="A8930:H8930"/>
    <mergeCell ref="F8905:G8905"/>
    <mergeCell ref="H8905:I8905"/>
    <mergeCell ref="J8905:L8905"/>
    <mergeCell ref="F8902:G8902"/>
    <mergeCell ref="H8902:I8902"/>
    <mergeCell ref="J8902:L8902"/>
    <mergeCell ref="F8899:G8899"/>
    <mergeCell ref="H8899:I8899"/>
    <mergeCell ref="J8899:L8899"/>
    <mergeCell ref="F8894:G8894"/>
    <mergeCell ref="H8894:I8894"/>
    <mergeCell ref="J8894:L8894"/>
    <mergeCell ref="A8908:H8908"/>
    <mergeCell ref="F8910:G8910"/>
    <mergeCell ref="H8910:I8910"/>
    <mergeCell ref="J8910:L8910"/>
    <mergeCell ref="A8912:H8912"/>
    <mergeCell ref="F8950:G8950"/>
    <mergeCell ref="H8950:I8950"/>
    <mergeCell ref="J8950:L8950"/>
    <mergeCell ref="F8965:G8965"/>
    <mergeCell ref="H8965:I8965"/>
    <mergeCell ref="J8965:L8965"/>
    <mergeCell ref="A8967:H8967"/>
    <mergeCell ref="F8969:G8969"/>
    <mergeCell ref="H8969:I8969"/>
    <mergeCell ref="J8969:L8969"/>
    <mergeCell ref="F8970:G8970"/>
    <mergeCell ref="H8970:I8970"/>
    <mergeCell ref="J8970:L8970"/>
    <mergeCell ref="A8972:H8972"/>
    <mergeCell ref="F8946:G8946"/>
    <mergeCell ref="H8946:I8946"/>
    <mergeCell ref="J8946:L8946"/>
    <mergeCell ref="F8942:G8942"/>
    <mergeCell ref="H8942:I8942"/>
    <mergeCell ref="J8942:L8942"/>
    <mergeCell ref="F8936:G8936"/>
    <mergeCell ref="H8936:I8936"/>
    <mergeCell ref="J8936:L8936"/>
    <mergeCell ref="F8939:G8939"/>
    <mergeCell ref="H8939:I8939"/>
    <mergeCell ref="J8939:L8939"/>
    <mergeCell ref="F8931:G8931"/>
    <mergeCell ref="H8931:I8931"/>
    <mergeCell ref="J8931:L8931"/>
    <mergeCell ref="F8932:G8932"/>
    <mergeCell ref="H8932:I8932"/>
    <mergeCell ref="J8932:L8932"/>
    <mergeCell ref="F8933:G8933"/>
    <mergeCell ref="H8933:I8933"/>
    <mergeCell ref="J8933:L8933"/>
    <mergeCell ref="A8935:H8935"/>
    <mergeCell ref="F8937:G8937"/>
    <mergeCell ref="H8937:I8937"/>
    <mergeCell ref="J8937:L8937"/>
    <mergeCell ref="F8938:G8938"/>
    <mergeCell ref="H8938:I8938"/>
    <mergeCell ref="J8938:L8938"/>
    <mergeCell ref="A8941:H8941"/>
    <mergeCell ref="F8943:G8943"/>
    <mergeCell ref="H8943:I8943"/>
    <mergeCell ref="J8943:L8943"/>
    <mergeCell ref="A8945:H8945"/>
    <mergeCell ref="F8947:G8947"/>
    <mergeCell ref="H8947:I8947"/>
    <mergeCell ref="J8947:L8947"/>
    <mergeCell ref="A8949:H8949"/>
    <mergeCell ref="F8951:G8951"/>
    <mergeCell ref="H8951:I8951"/>
    <mergeCell ref="J8951:L8951"/>
    <mergeCell ref="F8952:G8952"/>
    <mergeCell ref="H8952:I8952"/>
    <mergeCell ref="J8952:L8952"/>
    <mergeCell ref="A8962:H8962"/>
    <mergeCell ref="F8963:G8963"/>
    <mergeCell ref="H8963:I8963"/>
    <mergeCell ref="J8963:L8963"/>
    <mergeCell ref="F8964:G8964"/>
    <mergeCell ref="H8964:I8964"/>
    <mergeCell ref="J8964:L8964"/>
    <mergeCell ref="F9017:G9017"/>
    <mergeCell ref="H9017:I9017"/>
    <mergeCell ref="J9017:L9017"/>
    <mergeCell ref="F9012:G9012"/>
    <mergeCell ref="H9012:I9012"/>
    <mergeCell ref="J9012:L9012"/>
    <mergeCell ref="F9013:G9013"/>
    <mergeCell ref="H9013:I9013"/>
    <mergeCell ref="J9013:L9013"/>
    <mergeCell ref="F9007:G9007"/>
    <mergeCell ref="H9007:I9007"/>
    <mergeCell ref="J9007:L9007"/>
    <mergeCell ref="F9002:G9002"/>
    <mergeCell ref="H9002:I9002"/>
    <mergeCell ref="J9002:L9002"/>
    <mergeCell ref="A9004:H9004"/>
    <mergeCell ref="F9005:G9005"/>
    <mergeCell ref="H9005:I9005"/>
    <mergeCell ref="J9005:L9005"/>
    <mergeCell ref="F9006:G9006"/>
    <mergeCell ref="H9006:I9006"/>
    <mergeCell ref="J9006:L9006"/>
    <mergeCell ref="A9009:H9009"/>
    <mergeCell ref="F9010:G9010"/>
    <mergeCell ref="H9010:I9010"/>
    <mergeCell ref="J9010:L9010"/>
    <mergeCell ref="F9011:G9011"/>
    <mergeCell ref="H9011:I9011"/>
    <mergeCell ref="J9011:L9011"/>
    <mergeCell ref="A9015:H9015"/>
    <mergeCell ref="F9016:G9016"/>
    <mergeCell ref="H9016:I9016"/>
    <mergeCell ref="J9016:L9016"/>
    <mergeCell ref="F9043:G9043"/>
    <mergeCell ref="H9043:I9043"/>
    <mergeCell ref="J9043:L9043"/>
    <mergeCell ref="F9038:G9038"/>
    <mergeCell ref="H9038:I9038"/>
    <mergeCell ref="J9038:L9038"/>
    <mergeCell ref="F9039:G9039"/>
    <mergeCell ref="H9039:I9039"/>
    <mergeCell ref="J9039:L9039"/>
    <mergeCell ref="F9026:G9026"/>
    <mergeCell ref="H9026:I9026"/>
    <mergeCell ref="J9026:L9026"/>
    <mergeCell ref="F9025:G9025"/>
    <mergeCell ref="H9025:I9025"/>
    <mergeCell ref="J9025:L9025"/>
    <mergeCell ref="F9021:G9021"/>
    <mergeCell ref="H9021:I9021"/>
    <mergeCell ref="J9021:L9021"/>
    <mergeCell ref="A9019:H9019"/>
    <mergeCell ref="F9020:G9020"/>
    <mergeCell ref="H9020:I9020"/>
    <mergeCell ref="J9020:L9020"/>
    <mergeCell ref="A9023:H9023"/>
    <mergeCell ref="F9024:G9024"/>
    <mergeCell ref="H9024:I9024"/>
    <mergeCell ref="J9024:L9024"/>
    <mergeCell ref="A9036:H9036"/>
    <mergeCell ref="F9037:G9037"/>
    <mergeCell ref="H9037:I9037"/>
    <mergeCell ref="J9037:L9037"/>
    <mergeCell ref="A9041:H9041"/>
    <mergeCell ref="F9042:G9042"/>
    <mergeCell ref="H9042:I9042"/>
    <mergeCell ref="J9042:L9042"/>
    <mergeCell ref="F9058:G9058"/>
    <mergeCell ref="H9058:I9058"/>
    <mergeCell ref="J9058:L9058"/>
    <mergeCell ref="A9060:H9060"/>
    <mergeCell ref="F9061:G9061"/>
    <mergeCell ref="H9061:I9061"/>
    <mergeCell ref="J9061:L9061"/>
    <mergeCell ref="F9054:G9054"/>
    <mergeCell ref="H9054:I9054"/>
    <mergeCell ref="J9054:L9054"/>
    <mergeCell ref="A9056:H9056"/>
    <mergeCell ref="F9057:G9057"/>
    <mergeCell ref="H9057:I9057"/>
    <mergeCell ref="J9057:L9057"/>
    <mergeCell ref="F9050:G9050"/>
    <mergeCell ref="H9050:I9050"/>
    <mergeCell ref="J9050:L9050"/>
    <mergeCell ref="A9052:H9052"/>
    <mergeCell ref="F9053:G9053"/>
    <mergeCell ref="H9053:I9053"/>
    <mergeCell ref="J9053:L9053"/>
    <mergeCell ref="F9048:G9048"/>
    <mergeCell ref="H9048:I9048"/>
    <mergeCell ref="J9048:L9048"/>
    <mergeCell ref="F9049:G9049"/>
    <mergeCell ref="H9049:I9049"/>
    <mergeCell ref="J9049:L9049"/>
    <mergeCell ref="F9044:G9044"/>
    <mergeCell ref="H9044:I9044"/>
    <mergeCell ref="J9044:L9044"/>
    <mergeCell ref="A9046:H9046"/>
    <mergeCell ref="F9047:G9047"/>
    <mergeCell ref="H9047:I9047"/>
    <mergeCell ref="J9047:L9047"/>
    <mergeCell ref="A9083:H9083"/>
    <mergeCell ref="F9084:G9084"/>
    <mergeCell ref="H9084:I9084"/>
    <mergeCell ref="J9084:L9084"/>
    <mergeCell ref="F9085:G9085"/>
    <mergeCell ref="H9085:I9085"/>
    <mergeCell ref="J9085:L9085"/>
    <mergeCell ref="F9080:G9080"/>
    <mergeCell ref="H9080:I9080"/>
    <mergeCell ref="J9080:L9080"/>
    <mergeCell ref="F9081:G9081"/>
    <mergeCell ref="H9081:I9081"/>
    <mergeCell ref="J9081:L9081"/>
    <mergeCell ref="F9076:G9076"/>
    <mergeCell ref="H9076:I9076"/>
    <mergeCell ref="J9076:L9076"/>
    <mergeCell ref="A9078:H9078"/>
    <mergeCell ref="F9079:G9079"/>
    <mergeCell ref="H9079:I9079"/>
    <mergeCell ref="J9079:L9079"/>
    <mergeCell ref="A9073:H9073"/>
    <mergeCell ref="F9074:G9074"/>
    <mergeCell ref="H9074:I9074"/>
    <mergeCell ref="J9074:L9074"/>
    <mergeCell ref="F9075:G9075"/>
    <mergeCell ref="H9075:I9075"/>
    <mergeCell ref="J9075:L9075"/>
    <mergeCell ref="F9062:G9062"/>
    <mergeCell ref="H9062:I9062"/>
    <mergeCell ref="J9062:L9062"/>
    <mergeCell ref="F9063:G9063"/>
    <mergeCell ref="H9063:I9063"/>
    <mergeCell ref="J9063:L9063"/>
    <mergeCell ref="F9111:G9111"/>
    <mergeCell ref="H9111:I9111"/>
    <mergeCell ref="J9111:L9111"/>
    <mergeCell ref="F9098:G9098"/>
    <mergeCell ref="H9098:I9098"/>
    <mergeCell ref="J9098:L9098"/>
    <mergeCell ref="F9099:G9099"/>
    <mergeCell ref="H9099:I9099"/>
    <mergeCell ref="J9099:L9099"/>
    <mergeCell ref="F9094:G9094"/>
    <mergeCell ref="H9094:I9094"/>
    <mergeCell ref="J9094:L9094"/>
    <mergeCell ref="F9090:G9090"/>
    <mergeCell ref="H9090:I9090"/>
    <mergeCell ref="J9090:L9090"/>
    <mergeCell ref="F9086:G9086"/>
    <mergeCell ref="H9086:I9086"/>
    <mergeCell ref="J9086:L9086"/>
    <mergeCell ref="F9087:G9087"/>
    <mergeCell ref="H9087:I9087"/>
    <mergeCell ref="J9087:L9087"/>
    <mergeCell ref="A9089:H9089"/>
    <mergeCell ref="F9091:G9091"/>
    <mergeCell ref="H9091:I9091"/>
    <mergeCell ref="J9091:L9091"/>
    <mergeCell ref="A9093:H9093"/>
    <mergeCell ref="F9095:G9095"/>
    <mergeCell ref="H9095:I9095"/>
    <mergeCell ref="J9095:L9095"/>
    <mergeCell ref="A9097:H9097"/>
    <mergeCell ref="F9100:G9100"/>
    <mergeCell ref="H9100:I9100"/>
    <mergeCell ref="J9100:L9100"/>
    <mergeCell ref="A9110:H9110"/>
    <mergeCell ref="A9152:H9152"/>
    <mergeCell ref="F9122:G9122"/>
    <mergeCell ref="H9122:I9122"/>
    <mergeCell ref="J9122:L9122"/>
    <mergeCell ref="F9121:G9121"/>
    <mergeCell ref="H9121:I9121"/>
    <mergeCell ref="J9121:L9121"/>
    <mergeCell ref="F9116:G9116"/>
    <mergeCell ref="H9116:I9116"/>
    <mergeCell ref="J9116:L9116"/>
    <mergeCell ref="F9117:G9117"/>
    <mergeCell ref="H9117:I9117"/>
    <mergeCell ref="J9117:L9117"/>
    <mergeCell ref="F9112:G9112"/>
    <mergeCell ref="H9112:I9112"/>
    <mergeCell ref="J9112:L9112"/>
    <mergeCell ref="F9113:G9113"/>
    <mergeCell ref="H9113:I9113"/>
    <mergeCell ref="J9113:L9113"/>
    <mergeCell ref="A9115:H9115"/>
    <mergeCell ref="F9118:G9118"/>
    <mergeCell ref="H9118:I9118"/>
    <mergeCell ref="J9118:L9118"/>
    <mergeCell ref="A9120:H9120"/>
    <mergeCell ref="F9123:G9123"/>
    <mergeCell ref="H9123:I9123"/>
    <mergeCell ref="J9123:L9123"/>
    <mergeCell ref="F9124:G9124"/>
    <mergeCell ref="H9124:I9124"/>
    <mergeCell ref="J9124:L9124"/>
    <mergeCell ref="A9126:H9126"/>
    <mergeCell ref="F9127:G9127"/>
    <mergeCell ref="H9127:I9127"/>
    <mergeCell ref="J9127:L9127"/>
    <mergeCell ref="F9128:G9128"/>
    <mergeCell ref="H9128:I9128"/>
    <mergeCell ref="J9128:L9128"/>
    <mergeCell ref="F9197:G9197"/>
    <mergeCell ref="H9197:I9197"/>
    <mergeCell ref="J9197:L9197"/>
    <mergeCell ref="F9192:G9192"/>
    <mergeCell ref="H9192:I9192"/>
    <mergeCell ref="J9192:L9192"/>
    <mergeCell ref="F9187:G9187"/>
    <mergeCell ref="H9187:I9187"/>
    <mergeCell ref="J9187:L9187"/>
    <mergeCell ref="F9186:G9186"/>
    <mergeCell ref="H9186:I9186"/>
    <mergeCell ref="J9186:L9186"/>
    <mergeCell ref="A9189:H9189"/>
    <mergeCell ref="F9190:G9190"/>
    <mergeCell ref="H9190:I9190"/>
    <mergeCell ref="J9190:L9190"/>
    <mergeCell ref="F9191:G9191"/>
    <mergeCell ref="H9191:I9191"/>
    <mergeCell ref="J9191:L9191"/>
    <mergeCell ref="A9194:H9194"/>
    <mergeCell ref="F9195:G9195"/>
    <mergeCell ref="H9195:I9195"/>
    <mergeCell ref="J9195:L9195"/>
    <mergeCell ref="F9196:G9196"/>
    <mergeCell ref="H9196:I9196"/>
    <mergeCell ref="J9196:L9196"/>
    <mergeCell ref="F9169:G9169"/>
    <mergeCell ref="H9169:I9169"/>
    <mergeCell ref="J9169:L9169"/>
    <mergeCell ref="F9165:G9165"/>
    <mergeCell ref="H9165:I9165"/>
    <mergeCell ref="J9165:L9165"/>
    <mergeCell ref="F9158:G9158"/>
    <mergeCell ref="H9158:I9158"/>
    <mergeCell ref="J9158:L9158"/>
    <mergeCell ref="F9161:G9161"/>
    <mergeCell ref="H9161:I9161"/>
    <mergeCell ref="J9161:L9161"/>
    <mergeCell ref="A9171:H9171"/>
    <mergeCell ref="F9172:G9172"/>
    <mergeCell ref="H9172:I9172"/>
    <mergeCell ref="J9172:L9172"/>
    <mergeCell ref="F9173:G9173"/>
    <mergeCell ref="H9173:I9173"/>
    <mergeCell ref="J9173:L9173"/>
    <mergeCell ref="F9174:G9174"/>
    <mergeCell ref="H9174:I9174"/>
    <mergeCell ref="J9174:L9174"/>
    <mergeCell ref="A9184:H9184"/>
    <mergeCell ref="F9185:G9185"/>
    <mergeCell ref="H9185:I9185"/>
    <mergeCell ref="J9185:L9185"/>
    <mergeCell ref="F9222:G9222"/>
    <mergeCell ref="H9222:I9222"/>
    <mergeCell ref="J9222:L9222"/>
    <mergeCell ref="F9223:G9223"/>
    <mergeCell ref="H9223:I9223"/>
    <mergeCell ref="J9223:L9223"/>
    <mergeCell ref="A9225:H9225"/>
    <mergeCell ref="A9230:H9230"/>
    <mergeCell ref="F9231:G9231"/>
    <mergeCell ref="H9231:I9231"/>
    <mergeCell ref="J9231:L9231"/>
    <mergeCell ref="A9235:H9235"/>
    <mergeCell ref="F9236:G9236"/>
    <mergeCell ref="H9236:I9236"/>
    <mergeCell ref="J9236:L9236"/>
    <mergeCell ref="F9221:G9221"/>
    <mergeCell ref="H9221:I9221"/>
    <mergeCell ref="J9221:L9221"/>
    <mergeCell ref="F9205:G9205"/>
    <mergeCell ref="H9205:I9205"/>
    <mergeCell ref="J9205:L9205"/>
    <mergeCell ref="F9201:G9201"/>
    <mergeCell ref="H9201:I9201"/>
    <mergeCell ref="J9201:L9201"/>
    <mergeCell ref="A9199:H9199"/>
    <mergeCell ref="F9200:G9200"/>
    <mergeCell ref="H9200:I9200"/>
    <mergeCell ref="J9200:L9200"/>
    <mergeCell ref="A9203:H9203"/>
    <mergeCell ref="F9204:G9204"/>
    <mergeCell ref="H9204:I9204"/>
    <mergeCell ref="J9204:L9204"/>
    <mergeCell ref="A9207:H9207"/>
    <mergeCell ref="F9208:G9208"/>
    <mergeCell ref="H9208:I9208"/>
    <mergeCell ref="J9208:L9208"/>
    <mergeCell ref="F9209:G9209"/>
    <mergeCell ref="H9209:I9209"/>
    <mergeCell ref="J9209:L9209"/>
    <mergeCell ref="F9210:G9210"/>
    <mergeCell ref="H9210:I9210"/>
    <mergeCell ref="J9210:L9210"/>
    <mergeCell ref="A9220:H9220"/>
    <mergeCell ref="A9239:H9239"/>
    <mergeCell ref="F9240:G9240"/>
    <mergeCell ref="H9240:I9240"/>
    <mergeCell ref="J9240:L9240"/>
    <mergeCell ref="A9243:H9243"/>
    <mergeCell ref="F9244:G9244"/>
    <mergeCell ref="H9244:I9244"/>
    <mergeCell ref="J9244:L9244"/>
    <mergeCell ref="A9256:H9256"/>
    <mergeCell ref="F9257:G9257"/>
    <mergeCell ref="H9257:I9257"/>
    <mergeCell ref="J9257:L9257"/>
    <mergeCell ref="A9261:H9261"/>
    <mergeCell ref="F9262:G9262"/>
    <mergeCell ref="H9262:I9262"/>
    <mergeCell ref="J9262:L9262"/>
    <mergeCell ref="F9237:G9237"/>
    <mergeCell ref="H9237:I9237"/>
    <mergeCell ref="J9237:L9237"/>
    <mergeCell ref="F9232:G9232"/>
    <mergeCell ref="H9232:I9232"/>
    <mergeCell ref="J9232:L9232"/>
    <mergeCell ref="F9233:G9233"/>
    <mergeCell ref="H9233:I9233"/>
    <mergeCell ref="J9233:L9233"/>
    <mergeCell ref="F9228:G9228"/>
    <mergeCell ref="H9228:I9228"/>
    <mergeCell ref="J9228:L9228"/>
    <mergeCell ref="F9226:G9226"/>
    <mergeCell ref="H9226:I9226"/>
    <mergeCell ref="J9226:L9226"/>
    <mergeCell ref="F9227:G9227"/>
    <mergeCell ref="H9227:I9227"/>
    <mergeCell ref="J9227:L9227"/>
    <mergeCell ref="F9264:G9264"/>
    <mergeCell ref="H9264:I9264"/>
    <mergeCell ref="J9264:L9264"/>
    <mergeCell ref="F9303:G9303"/>
    <mergeCell ref="H9303:I9303"/>
    <mergeCell ref="J9303:L9303"/>
    <mergeCell ref="F9300:G9300"/>
    <mergeCell ref="H9300:I9300"/>
    <mergeCell ref="J9300:L9300"/>
    <mergeCell ref="F9294:G9294"/>
    <mergeCell ref="H9294:I9294"/>
    <mergeCell ref="J9294:L9294"/>
    <mergeCell ref="F9295:G9295"/>
    <mergeCell ref="H9295:I9295"/>
    <mergeCell ref="J9295:L9295"/>
    <mergeCell ref="F9282:G9282"/>
    <mergeCell ref="H9282:I9282"/>
    <mergeCell ref="F9263:G9263"/>
    <mergeCell ref="H9263:I9263"/>
    <mergeCell ref="J9263:L9263"/>
    <mergeCell ref="F9258:G9258"/>
    <mergeCell ref="H9258:I9258"/>
    <mergeCell ref="J9258:L9258"/>
    <mergeCell ref="F9259:G9259"/>
    <mergeCell ref="H9259:I9259"/>
    <mergeCell ref="J9259:L9259"/>
    <mergeCell ref="F9246:G9246"/>
    <mergeCell ref="H9246:I9246"/>
    <mergeCell ref="J9246:L9246"/>
    <mergeCell ref="F9245:G9245"/>
    <mergeCell ref="H9245:I9245"/>
    <mergeCell ref="J9245:L9245"/>
    <mergeCell ref="F9241:G9241"/>
    <mergeCell ref="H9241:I9241"/>
    <mergeCell ref="J9241:L9241"/>
    <mergeCell ref="A9266:H9266"/>
    <mergeCell ref="F9267:G9267"/>
    <mergeCell ref="H9267:I9267"/>
    <mergeCell ref="J9267:L9267"/>
    <mergeCell ref="A9271:H9271"/>
    <mergeCell ref="F9272:G9272"/>
    <mergeCell ref="H9272:I9272"/>
    <mergeCell ref="J9272:L9272"/>
    <mergeCell ref="F9273:G9273"/>
    <mergeCell ref="H9273:I9273"/>
    <mergeCell ref="J9273:L9273"/>
    <mergeCell ref="F9268:G9268"/>
    <mergeCell ref="H9268:I9268"/>
    <mergeCell ref="J9268:L9268"/>
    <mergeCell ref="F9269:G9269"/>
    <mergeCell ref="H9269:I9269"/>
    <mergeCell ref="J9269:L9269"/>
    <mergeCell ref="F9348:G9348"/>
    <mergeCell ref="H9348:I9348"/>
    <mergeCell ref="J9348:L9348"/>
    <mergeCell ref="F9344:G9344"/>
    <mergeCell ref="H9344:I9344"/>
    <mergeCell ref="J9344:L9344"/>
    <mergeCell ref="F9339:G9339"/>
    <mergeCell ref="H9339:I9339"/>
    <mergeCell ref="J9339:L9339"/>
    <mergeCell ref="F9340:G9340"/>
    <mergeCell ref="H9340:I9340"/>
    <mergeCell ref="J9340:L9340"/>
    <mergeCell ref="F9335:G9335"/>
    <mergeCell ref="H9335:I9335"/>
    <mergeCell ref="J9335:L9335"/>
    <mergeCell ref="F9334:G9334"/>
    <mergeCell ref="H9334:I9334"/>
    <mergeCell ref="J9334:L9334"/>
    <mergeCell ref="A9338:H9338"/>
    <mergeCell ref="F9341:G9341"/>
    <mergeCell ref="H9341:I9341"/>
    <mergeCell ref="J9341:L9341"/>
    <mergeCell ref="A9343:H9343"/>
    <mergeCell ref="F9345:G9345"/>
    <mergeCell ref="H9345:I9345"/>
    <mergeCell ref="J9345:L9345"/>
    <mergeCell ref="A9347:H9347"/>
    <mergeCell ref="J9282:L9282"/>
    <mergeCell ref="A9292:H9292"/>
    <mergeCell ref="F9293:G9293"/>
    <mergeCell ref="H9293:I9293"/>
    <mergeCell ref="J9293:L9293"/>
    <mergeCell ref="F9317:G9317"/>
    <mergeCell ref="H9317:I9317"/>
    <mergeCell ref="J9317:L9317"/>
    <mergeCell ref="F9313:G9313"/>
    <mergeCell ref="H9313:I9313"/>
    <mergeCell ref="J9313:L9313"/>
    <mergeCell ref="A9315:H9315"/>
    <mergeCell ref="F9316:G9316"/>
    <mergeCell ref="H9316:I9316"/>
    <mergeCell ref="J9316:L9316"/>
    <mergeCell ref="F9309:G9309"/>
    <mergeCell ref="H9309:I9309"/>
    <mergeCell ref="J9309:L9309"/>
    <mergeCell ref="A9311:H9311"/>
    <mergeCell ref="F9312:G9312"/>
    <mergeCell ref="H9312:I9312"/>
    <mergeCell ref="J9312:L9312"/>
    <mergeCell ref="F9308:G9308"/>
    <mergeCell ref="H9308:I9308"/>
    <mergeCell ref="J9308:L9308"/>
    <mergeCell ref="F9304:G9304"/>
    <mergeCell ref="H9304:I9304"/>
    <mergeCell ref="J9304:L9304"/>
    <mergeCell ref="A9297:H9297"/>
    <mergeCell ref="F9298:G9298"/>
    <mergeCell ref="H9298:I9298"/>
    <mergeCell ref="J9298:L9298"/>
    <mergeCell ref="F9299:G9299"/>
    <mergeCell ref="H9299:I9299"/>
    <mergeCell ref="J9299:L9299"/>
    <mergeCell ref="A9302:H9302"/>
    <mergeCell ref="F9305:G9305"/>
    <mergeCell ref="F9390:G9390"/>
    <mergeCell ref="H9390:I9390"/>
    <mergeCell ref="J9390:L9390"/>
    <mergeCell ref="F9375:G9375"/>
    <mergeCell ref="H9375:I9375"/>
    <mergeCell ref="J9375:L9375"/>
    <mergeCell ref="A9379:H9379"/>
    <mergeCell ref="F9380:G9380"/>
    <mergeCell ref="H9380:I9380"/>
    <mergeCell ref="J9380:L9380"/>
    <mergeCell ref="F9381:G9381"/>
    <mergeCell ref="H9381:I9381"/>
    <mergeCell ref="J9381:L9381"/>
    <mergeCell ref="A9383:H9383"/>
    <mergeCell ref="F9384:G9384"/>
    <mergeCell ref="H9384:I9384"/>
    <mergeCell ref="J9384:L9384"/>
    <mergeCell ref="F9385:G9385"/>
    <mergeCell ref="H9385:I9385"/>
    <mergeCell ref="J9385:L9385"/>
    <mergeCell ref="A9387:H9387"/>
    <mergeCell ref="F9388:G9388"/>
    <mergeCell ref="H9388:I9388"/>
    <mergeCell ref="J9388:L9388"/>
    <mergeCell ref="F9389:G9389"/>
    <mergeCell ref="H9389:I9389"/>
    <mergeCell ref="J9389:L9389"/>
    <mergeCell ref="F9370:G9370"/>
    <mergeCell ref="H9370:I9370"/>
    <mergeCell ref="J9370:L9370"/>
    <mergeCell ref="F9352:G9352"/>
    <mergeCell ref="H9352:I9352"/>
    <mergeCell ref="J9352:L9352"/>
    <mergeCell ref="F9444:G9444"/>
    <mergeCell ref="H9444:I9444"/>
    <mergeCell ref="J9444:L9444"/>
    <mergeCell ref="F9439:G9439"/>
    <mergeCell ref="H9439:I9439"/>
    <mergeCell ref="J9439:L9439"/>
    <mergeCell ref="F9440:G9440"/>
    <mergeCell ref="H9440:I9440"/>
    <mergeCell ref="J9440:L9440"/>
    <mergeCell ref="F9438:G9438"/>
    <mergeCell ref="H9438:I9438"/>
    <mergeCell ref="J9438:L9438"/>
    <mergeCell ref="F9425:G9425"/>
    <mergeCell ref="H9425:I9425"/>
    <mergeCell ref="J9425:L9425"/>
    <mergeCell ref="F9426:G9426"/>
    <mergeCell ref="H9426:I9426"/>
    <mergeCell ref="J9426:L9426"/>
    <mergeCell ref="F9421:G9421"/>
    <mergeCell ref="H9421:I9421"/>
    <mergeCell ref="J9421:L9421"/>
    <mergeCell ref="A9436:H9436"/>
    <mergeCell ref="F9437:G9437"/>
    <mergeCell ref="H9437:I9437"/>
    <mergeCell ref="J9437:L9437"/>
    <mergeCell ref="F9441:G9441"/>
    <mergeCell ref="H9441:I9441"/>
    <mergeCell ref="J9441:L9441"/>
    <mergeCell ref="A9443:H9443"/>
    <mergeCell ref="F9417:G9417"/>
    <mergeCell ref="H9417:I9417"/>
    <mergeCell ref="J9417:L9417"/>
    <mergeCell ref="F9413:G9413"/>
    <mergeCell ref="H9413:I9413"/>
    <mergeCell ref="J9413:L9413"/>
    <mergeCell ref="J9479:L9479"/>
    <mergeCell ref="F9478:G9478"/>
    <mergeCell ref="H9478:I9478"/>
    <mergeCell ref="J9478:L9478"/>
    <mergeCell ref="F9461:G9461"/>
    <mergeCell ref="H9461:I9461"/>
    <mergeCell ref="J9461:L9461"/>
    <mergeCell ref="F9457:G9457"/>
    <mergeCell ref="H9457:I9457"/>
    <mergeCell ref="J9457:L9457"/>
    <mergeCell ref="A9459:H9459"/>
    <mergeCell ref="F9460:G9460"/>
    <mergeCell ref="H9460:I9460"/>
    <mergeCell ref="J9460:L9460"/>
    <mergeCell ref="F9453:G9453"/>
    <mergeCell ref="H9453:I9453"/>
    <mergeCell ref="J9453:L9453"/>
    <mergeCell ref="A9455:H9455"/>
    <mergeCell ref="F9456:G9456"/>
    <mergeCell ref="H9456:I9456"/>
    <mergeCell ref="J9456:L9456"/>
    <mergeCell ref="F9452:G9452"/>
    <mergeCell ref="H9452:I9452"/>
    <mergeCell ref="J9452:L9452"/>
    <mergeCell ref="F9445:G9445"/>
    <mergeCell ref="H9445:I9445"/>
    <mergeCell ref="J9445:L9445"/>
    <mergeCell ref="F9448:G9448"/>
    <mergeCell ref="H9448:I9448"/>
    <mergeCell ref="J9448:L9448"/>
    <mergeCell ref="F9446:G9446"/>
    <mergeCell ref="H9446:I9446"/>
    <mergeCell ref="J9446:L9446"/>
    <mergeCell ref="F9447:G9447"/>
    <mergeCell ref="H9447:I9447"/>
    <mergeCell ref="J9447:L9447"/>
    <mergeCell ref="A9450:H9450"/>
    <mergeCell ref="F9451:G9451"/>
    <mergeCell ref="H9451:I9451"/>
    <mergeCell ref="J9451:L9451"/>
    <mergeCell ref="A9463:H9463"/>
    <mergeCell ref="F9464:G9464"/>
    <mergeCell ref="H9464:I9464"/>
    <mergeCell ref="J9464:L9464"/>
    <mergeCell ref="F9465:G9465"/>
    <mergeCell ref="H9465:I9465"/>
    <mergeCell ref="J9465:L9465"/>
    <mergeCell ref="F9466:G9466"/>
    <mergeCell ref="H9466:I9466"/>
    <mergeCell ref="J9466:L9466"/>
    <mergeCell ref="A9476:H9476"/>
    <mergeCell ref="F9477:G9477"/>
    <mergeCell ref="H9477:I9477"/>
    <mergeCell ref="J9477:L9477"/>
    <mergeCell ref="F9479:G9479"/>
    <mergeCell ref="H9479:I9479"/>
    <mergeCell ref="F9527:G9527"/>
    <mergeCell ref="H9527:I9527"/>
    <mergeCell ref="J9527:L9527"/>
    <mergeCell ref="F9528:G9528"/>
    <mergeCell ref="H9528:I9528"/>
    <mergeCell ref="J9528:L9528"/>
    <mergeCell ref="F9523:G9523"/>
    <mergeCell ref="H9523:I9523"/>
    <mergeCell ref="J9523:L9523"/>
    <mergeCell ref="F9519:G9519"/>
    <mergeCell ref="H9519:I9519"/>
    <mergeCell ref="J9519:L9519"/>
    <mergeCell ref="F9520:G9520"/>
    <mergeCell ref="H9520:I9520"/>
    <mergeCell ref="J9520:L9520"/>
    <mergeCell ref="F9515:G9515"/>
    <mergeCell ref="H9515:I9515"/>
    <mergeCell ref="J9515:L9515"/>
    <mergeCell ref="A9518:H9518"/>
    <mergeCell ref="F9521:G9521"/>
    <mergeCell ref="H9521:I9521"/>
    <mergeCell ref="J9521:L9521"/>
    <mergeCell ref="F9522:G9522"/>
    <mergeCell ref="H9522:I9522"/>
    <mergeCell ref="J9522:L9522"/>
    <mergeCell ref="A9525:H9525"/>
    <mergeCell ref="F9526:G9526"/>
    <mergeCell ref="H9526:I9526"/>
    <mergeCell ref="J9526:L9526"/>
    <mergeCell ref="F9513:G9513"/>
    <mergeCell ref="H9513:I9513"/>
    <mergeCell ref="J9513:L9513"/>
    <mergeCell ref="F9514:G9514"/>
    <mergeCell ref="H9514:I9514"/>
    <mergeCell ref="J9514:L9514"/>
    <mergeCell ref="F9554:G9554"/>
    <mergeCell ref="H9554:I9554"/>
    <mergeCell ref="J9554:L9554"/>
    <mergeCell ref="A9534:H9534"/>
    <mergeCell ref="F9535:G9535"/>
    <mergeCell ref="H9535:I9535"/>
    <mergeCell ref="J9535:L9535"/>
    <mergeCell ref="F9536:G9536"/>
    <mergeCell ref="H9536:I9536"/>
    <mergeCell ref="J9536:L9536"/>
    <mergeCell ref="A9538:H9538"/>
    <mergeCell ref="F9539:G9539"/>
    <mergeCell ref="H9539:I9539"/>
    <mergeCell ref="J9539:L9539"/>
    <mergeCell ref="F9540:G9540"/>
    <mergeCell ref="H9540:I9540"/>
    <mergeCell ref="J9540:L9540"/>
    <mergeCell ref="F9541:G9541"/>
    <mergeCell ref="H9541:I9541"/>
    <mergeCell ref="J9541:L9541"/>
    <mergeCell ref="A9551:H9551"/>
    <mergeCell ref="F9552:G9552"/>
    <mergeCell ref="H9552:I9552"/>
    <mergeCell ref="J9552:L9552"/>
    <mergeCell ref="F9553:G9553"/>
    <mergeCell ref="H9553:I9553"/>
    <mergeCell ref="J9553:L9553"/>
    <mergeCell ref="A9556:H9556"/>
    <mergeCell ref="A9530:H9530"/>
    <mergeCell ref="F9531:G9531"/>
    <mergeCell ref="H9531:I9531"/>
    <mergeCell ref="J9531:L9531"/>
    <mergeCell ref="F9532:G9532"/>
    <mergeCell ref="H9532:I9532"/>
    <mergeCell ref="J9532:L9532"/>
    <mergeCell ref="F9589:G9589"/>
    <mergeCell ref="H9589:I9589"/>
    <mergeCell ref="J9589:L9589"/>
    <mergeCell ref="F9588:G9588"/>
    <mergeCell ref="H9588:I9588"/>
    <mergeCell ref="J9588:L9588"/>
    <mergeCell ref="A9591:H9591"/>
    <mergeCell ref="F9592:G9592"/>
    <mergeCell ref="H9592:I9592"/>
    <mergeCell ref="J9592:L9592"/>
    <mergeCell ref="A9600:H9600"/>
    <mergeCell ref="F9601:G9601"/>
    <mergeCell ref="H9601:I9601"/>
    <mergeCell ref="J9601:L9601"/>
    <mergeCell ref="F9602:G9602"/>
    <mergeCell ref="H9602:I9602"/>
    <mergeCell ref="J9602:L9602"/>
    <mergeCell ref="A9604:H9604"/>
    <mergeCell ref="F9605:G9605"/>
    <mergeCell ref="H9605:I9605"/>
    <mergeCell ref="J9605:L9605"/>
    <mergeCell ref="F9606:G9606"/>
    <mergeCell ref="H9606:I9606"/>
    <mergeCell ref="J9606:L9606"/>
    <mergeCell ref="A9608:H9608"/>
    <mergeCell ref="F9609:G9609"/>
    <mergeCell ref="H9609:I9609"/>
    <mergeCell ref="J9609:L9609"/>
    <mergeCell ref="F9567:G9567"/>
    <mergeCell ref="H9567:I9567"/>
    <mergeCell ref="J9567:L9567"/>
    <mergeCell ref="F9563:G9563"/>
    <mergeCell ref="H9563:I9563"/>
    <mergeCell ref="J9563:L9563"/>
    <mergeCell ref="A9626:H9626"/>
    <mergeCell ref="F9627:G9627"/>
    <mergeCell ref="H9627:I9627"/>
    <mergeCell ref="J9627:L9627"/>
    <mergeCell ref="F9628:G9628"/>
    <mergeCell ref="H9628:I9628"/>
    <mergeCell ref="J9628:L9628"/>
    <mergeCell ref="F9623:G9623"/>
    <mergeCell ref="H9623:I9623"/>
    <mergeCell ref="J9623:L9623"/>
    <mergeCell ref="F9624:G9624"/>
    <mergeCell ref="H9624:I9624"/>
    <mergeCell ref="J9624:L9624"/>
    <mergeCell ref="F9611:G9611"/>
    <mergeCell ref="H9611:I9611"/>
    <mergeCell ref="J9611:L9611"/>
    <mergeCell ref="A9621:H9621"/>
    <mergeCell ref="F9622:G9622"/>
    <mergeCell ref="H9622:I9622"/>
    <mergeCell ref="J9622:L9622"/>
    <mergeCell ref="F9610:G9610"/>
    <mergeCell ref="H9610:I9610"/>
    <mergeCell ref="J9610:L9610"/>
    <mergeCell ref="A9596:H9596"/>
    <mergeCell ref="F9597:G9597"/>
    <mergeCell ref="H9597:I9597"/>
    <mergeCell ref="J9597:L9597"/>
    <mergeCell ref="F9598:G9598"/>
    <mergeCell ref="H9598:I9598"/>
    <mergeCell ref="J9598:L9598"/>
    <mergeCell ref="F9593:G9593"/>
    <mergeCell ref="H9593:I9593"/>
    <mergeCell ref="J9593:L9593"/>
    <mergeCell ref="F9594:G9594"/>
    <mergeCell ref="H9594:I9594"/>
    <mergeCell ref="J9594:L9594"/>
    <mergeCell ref="F9645:G9645"/>
    <mergeCell ref="H9645:I9645"/>
    <mergeCell ref="J9645:L9645"/>
    <mergeCell ref="F9646:G9646"/>
    <mergeCell ref="H9646:I9646"/>
    <mergeCell ref="J9646:L9646"/>
    <mergeCell ref="F9641:G9641"/>
    <mergeCell ref="H9641:I9641"/>
    <mergeCell ref="J9641:L9641"/>
    <mergeCell ref="F9629:G9629"/>
    <mergeCell ref="H9629:I9629"/>
    <mergeCell ref="J9629:L9629"/>
    <mergeCell ref="A9639:H9639"/>
    <mergeCell ref="F9640:G9640"/>
    <mergeCell ref="H9640:I9640"/>
    <mergeCell ref="J9640:L9640"/>
    <mergeCell ref="A9631:H9631"/>
    <mergeCell ref="F9632:G9632"/>
    <mergeCell ref="H9632:I9632"/>
    <mergeCell ref="J9632:L9632"/>
    <mergeCell ref="F9633:G9633"/>
    <mergeCell ref="H9633:I9633"/>
    <mergeCell ref="J9633:L9633"/>
    <mergeCell ref="A9635:H9635"/>
    <mergeCell ref="F9636:G9636"/>
    <mergeCell ref="H9636:I9636"/>
    <mergeCell ref="J9636:L9636"/>
    <mergeCell ref="F9637:G9637"/>
    <mergeCell ref="H9637:I9637"/>
    <mergeCell ref="J9637:L9637"/>
    <mergeCell ref="A9643:H9643"/>
    <mergeCell ref="F9644:G9644"/>
    <mergeCell ref="H9644:I9644"/>
    <mergeCell ref="J9644:L9644"/>
    <mergeCell ref="F9659:G9659"/>
    <mergeCell ref="H9659:I9659"/>
    <mergeCell ref="J9659:L9659"/>
    <mergeCell ref="A9656:H9656"/>
    <mergeCell ref="F9657:G9657"/>
    <mergeCell ref="H9657:I9657"/>
    <mergeCell ref="J9657:L9657"/>
    <mergeCell ref="F9658:G9658"/>
    <mergeCell ref="H9658:I9658"/>
    <mergeCell ref="J9658:L9658"/>
    <mergeCell ref="A9661:H9661"/>
    <mergeCell ref="F9662:G9662"/>
    <mergeCell ref="H9662:I9662"/>
    <mergeCell ref="J9662:L9662"/>
    <mergeCell ref="A9666:H9666"/>
    <mergeCell ref="F9667:G9667"/>
    <mergeCell ref="H9667:I9667"/>
    <mergeCell ref="J9667:L9667"/>
    <mergeCell ref="F9668:G9668"/>
    <mergeCell ref="H9668:I9668"/>
    <mergeCell ref="J9668:L9668"/>
    <mergeCell ref="A9670:H9670"/>
    <mergeCell ref="F9671:G9671"/>
    <mergeCell ref="H9671:I9671"/>
    <mergeCell ref="J9671:L9671"/>
    <mergeCell ref="F9672:G9672"/>
    <mergeCell ref="H9672:I9672"/>
    <mergeCell ref="J9672:L9672"/>
    <mergeCell ref="A9674:H9674"/>
    <mergeCell ref="F9675:G9675"/>
    <mergeCell ref="H9675:I9675"/>
    <mergeCell ref="J9675:L9675"/>
    <mergeCell ref="A9678:H9678"/>
    <mergeCell ref="F9714:G9714"/>
    <mergeCell ref="H9714:I9714"/>
    <mergeCell ref="J9714:L9714"/>
    <mergeCell ref="F9699:G9699"/>
    <mergeCell ref="H9699:I9699"/>
    <mergeCell ref="J9699:L9699"/>
    <mergeCell ref="A9709:H9709"/>
    <mergeCell ref="F9710:G9710"/>
    <mergeCell ref="H9710:I9710"/>
    <mergeCell ref="J9710:L9710"/>
    <mergeCell ref="F9711:G9711"/>
    <mergeCell ref="H9711:I9711"/>
    <mergeCell ref="J9711:L9711"/>
    <mergeCell ref="A9713:H9713"/>
    <mergeCell ref="F9715:G9715"/>
    <mergeCell ref="H9715:I9715"/>
    <mergeCell ref="J9715:L9715"/>
    <mergeCell ref="F9716:G9716"/>
    <mergeCell ref="H9716:I9716"/>
    <mergeCell ref="J9716:L9716"/>
    <mergeCell ref="F9692:G9692"/>
    <mergeCell ref="H9692:I9692"/>
    <mergeCell ref="J9692:L9692"/>
    <mergeCell ref="F9681:G9681"/>
    <mergeCell ref="H9681:I9681"/>
    <mergeCell ref="J9681:L9681"/>
    <mergeCell ref="F9676:G9676"/>
    <mergeCell ref="H9676:I9676"/>
    <mergeCell ref="J9676:L9676"/>
    <mergeCell ref="F9663:G9663"/>
    <mergeCell ref="H9663:I9663"/>
    <mergeCell ref="J9663:L9663"/>
    <mergeCell ref="F9664:G9664"/>
    <mergeCell ref="H9664:I9664"/>
    <mergeCell ref="J9664:L9664"/>
    <mergeCell ref="F9679:G9679"/>
    <mergeCell ref="H9679:I9679"/>
    <mergeCell ref="J9679:L9679"/>
    <mergeCell ref="F9680:G9680"/>
    <mergeCell ref="H9680:I9680"/>
    <mergeCell ref="J9680:L9680"/>
    <mergeCell ref="A9691:H9691"/>
    <mergeCell ref="F9693:G9693"/>
    <mergeCell ref="H9693:I9693"/>
    <mergeCell ref="J9693:L9693"/>
    <mergeCell ref="F9694:G9694"/>
    <mergeCell ref="H9694:I9694"/>
    <mergeCell ref="J9694:L9694"/>
    <mergeCell ref="A9696:H9696"/>
    <mergeCell ref="F9697:G9697"/>
    <mergeCell ref="H9697:I9697"/>
    <mergeCell ref="J9697:L9697"/>
    <mergeCell ref="F9698:G9698"/>
    <mergeCell ref="H9698:I9698"/>
    <mergeCell ref="J9698:L9698"/>
    <mergeCell ref="A9701:H9701"/>
    <mergeCell ref="F9702:G9702"/>
    <mergeCell ref="H9702:I9702"/>
    <mergeCell ref="J9702:L9702"/>
    <mergeCell ref="F9703:G9703"/>
    <mergeCell ref="H9703:I9703"/>
    <mergeCell ref="J9703:L9703"/>
    <mergeCell ref="A9705:H9705"/>
    <mergeCell ref="F9706:G9706"/>
    <mergeCell ref="H9769:I9769"/>
    <mergeCell ref="J9769:L9769"/>
    <mergeCell ref="F9764:G9764"/>
    <mergeCell ref="H9764:I9764"/>
    <mergeCell ref="J9764:L9764"/>
    <mergeCell ref="F9765:G9765"/>
    <mergeCell ref="H9765:I9765"/>
    <mergeCell ref="J9765:L9765"/>
    <mergeCell ref="A9762:H9762"/>
    <mergeCell ref="F9763:G9763"/>
    <mergeCell ref="H9763:I9763"/>
    <mergeCell ref="J9763:L9763"/>
    <mergeCell ref="F9747:G9747"/>
    <mergeCell ref="H9747:I9747"/>
    <mergeCell ref="J9747:L9747"/>
    <mergeCell ref="F9734:G9734"/>
    <mergeCell ref="H9734:I9734"/>
    <mergeCell ref="J9734:L9734"/>
    <mergeCell ref="F9727:G9727"/>
    <mergeCell ref="H9727:I9727"/>
    <mergeCell ref="J9727:L9727"/>
    <mergeCell ref="A9726:H9726"/>
    <mergeCell ref="F9728:G9728"/>
    <mergeCell ref="H9728:I9728"/>
    <mergeCell ref="J9728:L9728"/>
    <mergeCell ref="F9729:G9729"/>
    <mergeCell ref="H9729:I9729"/>
    <mergeCell ref="J9729:L9729"/>
    <mergeCell ref="A9731:H9731"/>
    <mergeCell ref="F9732:G9732"/>
    <mergeCell ref="H9732:I9732"/>
    <mergeCell ref="J9732:L9732"/>
    <mergeCell ref="F9733:G9733"/>
    <mergeCell ref="H9733:I9733"/>
    <mergeCell ref="J9733:L9733"/>
    <mergeCell ref="A9736:H9736"/>
    <mergeCell ref="F9737:G9737"/>
    <mergeCell ref="H9737:I9737"/>
    <mergeCell ref="J9737:L9737"/>
    <mergeCell ref="F9738:G9738"/>
    <mergeCell ref="H9738:I9738"/>
    <mergeCell ref="J9738:L9738"/>
    <mergeCell ref="F9739:G9739"/>
    <mergeCell ref="H9739:I9739"/>
    <mergeCell ref="J9739:L9739"/>
    <mergeCell ref="A9741:H9741"/>
    <mergeCell ref="F9742:G9742"/>
    <mergeCell ref="H9742:I9742"/>
    <mergeCell ref="J9742:L9742"/>
    <mergeCell ref="F9743:G9743"/>
    <mergeCell ref="H9743:I9743"/>
    <mergeCell ref="F9831:G9831"/>
    <mergeCell ref="H9831:I9831"/>
    <mergeCell ref="J9831:L9831"/>
    <mergeCell ref="A9833:H9833"/>
    <mergeCell ref="F9834:G9834"/>
    <mergeCell ref="H9834:I9834"/>
    <mergeCell ref="J9834:L9834"/>
    <mergeCell ref="F9830:G9830"/>
    <mergeCell ref="H9830:I9830"/>
    <mergeCell ref="J9830:L9830"/>
    <mergeCell ref="A9828:H9828"/>
    <mergeCell ref="F9829:G9829"/>
    <mergeCell ref="H9829:I9829"/>
    <mergeCell ref="J9829:L9829"/>
    <mergeCell ref="F9786:G9786"/>
    <mergeCell ref="H9786:I9786"/>
    <mergeCell ref="J9786:L9786"/>
    <mergeCell ref="F9787:G9787"/>
    <mergeCell ref="H9787:I9787"/>
    <mergeCell ref="J9787:L9787"/>
    <mergeCell ref="F9817:G9817"/>
    <mergeCell ref="H9817:I9817"/>
    <mergeCell ref="J9817:L9817"/>
    <mergeCell ref="F9818:G9818"/>
    <mergeCell ref="H9818:I9818"/>
    <mergeCell ref="J9818:L9818"/>
    <mergeCell ref="F9805:G9805"/>
    <mergeCell ref="H9805:I9805"/>
    <mergeCell ref="J9805:L9805"/>
    <mergeCell ref="A9815:H9815"/>
    <mergeCell ref="F9816:G9816"/>
    <mergeCell ref="H9816:I9816"/>
    <mergeCell ref="J9816:L9816"/>
    <mergeCell ref="F9804:G9804"/>
    <mergeCell ref="H9804:I9804"/>
    <mergeCell ref="J9804:L9804"/>
    <mergeCell ref="F9800:G9800"/>
    <mergeCell ref="H9800:I9800"/>
    <mergeCell ref="J9800:L9800"/>
    <mergeCell ref="A9798:H9798"/>
    <mergeCell ref="F9799:G9799"/>
    <mergeCell ref="H9799:I9799"/>
    <mergeCell ref="J9799:L9799"/>
    <mergeCell ref="F9788:G9788"/>
    <mergeCell ref="H9788:I9788"/>
    <mergeCell ref="J9788:L9788"/>
    <mergeCell ref="A9811:H9811"/>
    <mergeCell ref="F9812:G9812"/>
    <mergeCell ref="H9812:I9812"/>
    <mergeCell ref="J9812:L9812"/>
    <mergeCell ref="F9813:G9813"/>
    <mergeCell ref="H9813:I9813"/>
    <mergeCell ref="J9813:L9813"/>
    <mergeCell ref="F9896:G9896"/>
    <mergeCell ref="H9896:I9896"/>
    <mergeCell ref="J9896:L9896"/>
    <mergeCell ref="A9899:H9899"/>
    <mergeCell ref="F9900:G9900"/>
    <mergeCell ref="H9900:I9900"/>
    <mergeCell ref="J9900:L9900"/>
    <mergeCell ref="F9901:G9901"/>
    <mergeCell ref="H9901:I9901"/>
    <mergeCell ref="J9901:L9901"/>
    <mergeCell ref="A9904:H9904"/>
    <mergeCell ref="F9905:G9905"/>
    <mergeCell ref="H9905:I9905"/>
    <mergeCell ref="J9905:L9905"/>
    <mergeCell ref="A9913:H9913"/>
    <mergeCell ref="F9914:G9914"/>
    <mergeCell ref="H9914:I9914"/>
    <mergeCell ref="J9914:L9914"/>
    <mergeCell ref="F9915:G9915"/>
    <mergeCell ref="H9915:I9915"/>
    <mergeCell ref="J9915:L9915"/>
    <mergeCell ref="A9917:H9917"/>
    <mergeCell ref="F9918:G9918"/>
    <mergeCell ref="F9839:G9839"/>
    <mergeCell ref="H9839:I9839"/>
    <mergeCell ref="J9839:L9839"/>
    <mergeCell ref="F9835:G9835"/>
    <mergeCell ref="H9835:I9835"/>
    <mergeCell ref="J9835:L9835"/>
    <mergeCell ref="A9837:H9837"/>
    <mergeCell ref="F9838:G9838"/>
    <mergeCell ref="H9838:I9838"/>
    <mergeCell ref="J9838:L9838"/>
    <mergeCell ref="A9894:H9894"/>
    <mergeCell ref="F9895:G9895"/>
    <mergeCell ref="H9895:I9895"/>
    <mergeCell ref="F9875:G9875"/>
    <mergeCell ref="H9875:I9875"/>
    <mergeCell ref="J9875:L9875"/>
    <mergeCell ref="F9871:G9871"/>
    <mergeCell ref="H9871:I9871"/>
    <mergeCell ref="J9871:L9871"/>
    <mergeCell ref="A9873:H9873"/>
    <mergeCell ref="F9874:G9874"/>
    <mergeCell ref="H9874:I9874"/>
    <mergeCell ref="J9874:L9874"/>
    <mergeCell ref="F9870:G9870"/>
    <mergeCell ref="H9870:I9870"/>
    <mergeCell ref="J9870:L9870"/>
    <mergeCell ref="A9877:H9877"/>
    <mergeCell ref="F9878:G9878"/>
    <mergeCell ref="H9878:I9878"/>
    <mergeCell ref="J9878:L9878"/>
    <mergeCell ref="F9879:G9879"/>
    <mergeCell ref="H9879:I9879"/>
    <mergeCell ref="J9879:L9879"/>
    <mergeCell ref="A9881:H9881"/>
    <mergeCell ref="F9882:G9882"/>
    <mergeCell ref="H9882:I9882"/>
    <mergeCell ref="J9882:L9882"/>
    <mergeCell ref="F9883:G9883"/>
    <mergeCell ref="H9883:I9883"/>
    <mergeCell ref="J9883:L9883"/>
    <mergeCell ref="F9884:G9884"/>
    <mergeCell ref="H9884:I9884"/>
    <mergeCell ref="J9884:L9884"/>
    <mergeCell ref="J9895:L9895"/>
    <mergeCell ref="J9991:L9991"/>
    <mergeCell ref="F9985:G9985"/>
    <mergeCell ref="H9985:I9985"/>
    <mergeCell ref="J9985:L9985"/>
    <mergeCell ref="H9972:I9972"/>
    <mergeCell ref="J9972:L9972"/>
    <mergeCell ref="F9983:G9983"/>
    <mergeCell ref="H9983:I9983"/>
    <mergeCell ref="J9983:L9983"/>
    <mergeCell ref="F9984:G9984"/>
    <mergeCell ref="H9984:I9984"/>
    <mergeCell ref="J9984:L9984"/>
    <mergeCell ref="F9982:G9982"/>
    <mergeCell ref="H9982:I9982"/>
    <mergeCell ref="J9982:L9982"/>
    <mergeCell ref="F9979:G9979"/>
    <mergeCell ref="H9979:I9979"/>
    <mergeCell ref="J9979:L9979"/>
    <mergeCell ref="F9933:G9933"/>
    <mergeCell ref="H9933:I9933"/>
    <mergeCell ref="J9933:L9933"/>
    <mergeCell ref="H9911:I9911"/>
    <mergeCell ref="J9911:L9911"/>
    <mergeCell ref="F9950:G9950"/>
    <mergeCell ref="H9950:I9950"/>
    <mergeCell ref="J9950:L9950"/>
    <mergeCell ref="F9946:G9946"/>
    <mergeCell ref="H9946:I9946"/>
    <mergeCell ref="J9946:L9946"/>
    <mergeCell ref="F9942:G9942"/>
    <mergeCell ref="H9942:I9942"/>
    <mergeCell ref="J9942:L9942"/>
    <mergeCell ref="F9938:G9938"/>
    <mergeCell ref="H9938:I9938"/>
    <mergeCell ref="J9938:L9938"/>
    <mergeCell ref="A9935:H9935"/>
    <mergeCell ref="F9936:G9936"/>
    <mergeCell ref="H9936:I9936"/>
    <mergeCell ref="J9936:L9936"/>
    <mergeCell ref="A9940:H9940"/>
    <mergeCell ref="F9941:G9941"/>
    <mergeCell ref="H9941:I9941"/>
    <mergeCell ref="J9941:L9941"/>
    <mergeCell ref="A9944:H9944"/>
    <mergeCell ref="F9945:G9945"/>
    <mergeCell ref="H9945:I9945"/>
    <mergeCell ref="J9945:L9945"/>
    <mergeCell ref="A9948:H9948"/>
    <mergeCell ref="F9949:G9949"/>
    <mergeCell ref="H9949:I9949"/>
    <mergeCell ref="J9949:L9949"/>
    <mergeCell ref="F9931:G9931"/>
    <mergeCell ref="H9931:I9931"/>
    <mergeCell ref="J9931:L9931"/>
    <mergeCell ref="F9932:G9932"/>
    <mergeCell ref="H9932:I9932"/>
    <mergeCell ref="J9932:L9932"/>
    <mergeCell ref="F9911:G9911"/>
    <mergeCell ref="F9937:G9937"/>
    <mergeCell ref="H9937:I9937"/>
    <mergeCell ref="J9937:L9937"/>
    <mergeCell ref="F10023:G10023"/>
    <mergeCell ref="H10023:I10023"/>
    <mergeCell ref="J10023:L10023"/>
    <mergeCell ref="F10024:G10024"/>
    <mergeCell ref="H10024:I10024"/>
    <mergeCell ref="J10024:L10024"/>
    <mergeCell ref="A10034:H10034"/>
    <mergeCell ref="F10035:G10035"/>
    <mergeCell ref="H10035:I10035"/>
    <mergeCell ref="J10035:L10035"/>
    <mergeCell ref="F10036:G10036"/>
    <mergeCell ref="H10036:I10036"/>
    <mergeCell ref="J10036:L10036"/>
    <mergeCell ref="H9975:I9975"/>
    <mergeCell ref="J9975:L9975"/>
    <mergeCell ref="F9976:G9976"/>
    <mergeCell ref="H9976:I9976"/>
    <mergeCell ref="J9976:L9976"/>
    <mergeCell ref="F9973:G9973"/>
    <mergeCell ref="H9973:I9973"/>
    <mergeCell ref="J9973:L9973"/>
    <mergeCell ref="F9974:G9974"/>
    <mergeCell ref="H9974:I9974"/>
    <mergeCell ref="J9974:L9974"/>
    <mergeCell ref="F9975:G9975"/>
    <mergeCell ref="F10011:G10011"/>
    <mergeCell ref="H10011:I10011"/>
    <mergeCell ref="J10011:L10011"/>
    <mergeCell ref="F9986:G9986"/>
    <mergeCell ref="H9986:I9986"/>
    <mergeCell ref="J9986:L9986"/>
    <mergeCell ref="F9987:G9987"/>
    <mergeCell ref="H9987:I9987"/>
    <mergeCell ref="J9987:L9987"/>
    <mergeCell ref="F10007:G10007"/>
    <mergeCell ref="H10007:I10007"/>
    <mergeCell ref="J10007:L10007"/>
    <mergeCell ref="F10008:G10008"/>
    <mergeCell ref="H10008:I10008"/>
    <mergeCell ref="J10008:L10008"/>
    <mergeCell ref="F10005:G10005"/>
    <mergeCell ref="H10005:I10005"/>
    <mergeCell ref="J10005:L10005"/>
    <mergeCell ref="F10006:G10006"/>
    <mergeCell ref="H10006:I10006"/>
    <mergeCell ref="J10006:L10006"/>
    <mergeCell ref="F10003:G10003"/>
    <mergeCell ref="H10003:I10003"/>
    <mergeCell ref="J10003:L10003"/>
    <mergeCell ref="F10004:G10004"/>
    <mergeCell ref="H10004:I10004"/>
    <mergeCell ref="J10004:L10004"/>
    <mergeCell ref="F10001:G10001"/>
    <mergeCell ref="H10001:I10001"/>
    <mergeCell ref="J10001:L10001"/>
    <mergeCell ref="F10002:G10002"/>
    <mergeCell ref="H10002:I10002"/>
    <mergeCell ref="J10002:L10002"/>
    <mergeCell ref="F9999:G9999"/>
    <mergeCell ref="H9999:I9999"/>
    <mergeCell ref="J9999:L9999"/>
    <mergeCell ref="F10000:G10000"/>
    <mergeCell ref="H10000:I10000"/>
    <mergeCell ref="J10000:L10000"/>
    <mergeCell ref="H10089:I10089"/>
    <mergeCell ref="J10089:L10089"/>
    <mergeCell ref="F10082:G10082"/>
    <mergeCell ref="H10082:I10082"/>
    <mergeCell ref="J10082:L10082"/>
    <mergeCell ref="A10084:H10084"/>
    <mergeCell ref="F10085:G10085"/>
    <mergeCell ref="H10085:I10085"/>
    <mergeCell ref="J10085:L10085"/>
    <mergeCell ref="F10080:G10080"/>
    <mergeCell ref="H10080:I10080"/>
    <mergeCell ref="J10080:L10080"/>
    <mergeCell ref="F10081:G10081"/>
    <mergeCell ref="H10081:I10081"/>
    <mergeCell ref="J10081:L10081"/>
    <mergeCell ref="F10015:G10015"/>
    <mergeCell ref="H10015:I10015"/>
    <mergeCell ref="F10043:G10043"/>
    <mergeCell ref="H10043:I10043"/>
    <mergeCell ref="J10043:L10043"/>
    <mergeCell ref="F10044:G10044"/>
    <mergeCell ref="H10044:I10044"/>
    <mergeCell ref="J10044:L10044"/>
    <mergeCell ref="A10079:H10079"/>
    <mergeCell ref="F10038:G10038"/>
    <mergeCell ref="H10038:I10038"/>
    <mergeCell ref="J10038:L10038"/>
    <mergeCell ref="F10039:G10039"/>
    <mergeCell ref="H10039:I10039"/>
    <mergeCell ref="J10039:L10039"/>
    <mergeCell ref="F10076:G10076"/>
    <mergeCell ref="H10076:I10076"/>
    <mergeCell ref="J10076:L10076"/>
    <mergeCell ref="F10077:G10077"/>
    <mergeCell ref="H10077:I10077"/>
    <mergeCell ref="J10077:L10077"/>
    <mergeCell ref="F10072:G10072"/>
    <mergeCell ref="H10072:I10072"/>
    <mergeCell ref="J10072:L10072"/>
    <mergeCell ref="A10074:H10074"/>
    <mergeCell ref="F10075:G10075"/>
    <mergeCell ref="H10075:I10075"/>
    <mergeCell ref="J10075:L10075"/>
    <mergeCell ref="F10070:G10070"/>
    <mergeCell ref="H10070:I10070"/>
    <mergeCell ref="J10070:L10070"/>
    <mergeCell ref="F10071:G10071"/>
    <mergeCell ref="H10071:I10071"/>
    <mergeCell ref="J10071:L10071"/>
    <mergeCell ref="F10037:G10037"/>
    <mergeCell ref="H10037:I10037"/>
    <mergeCell ref="J10037:L10037"/>
    <mergeCell ref="J10015:L10015"/>
    <mergeCell ref="F10019:G10019"/>
    <mergeCell ref="H10019:I10019"/>
    <mergeCell ref="J10019:L10019"/>
    <mergeCell ref="A10017:H10017"/>
    <mergeCell ref="F10018:G10018"/>
    <mergeCell ref="H10018:I10018"/>
    <mergeCell ref="J10018:L10018"/>
    <mergeCell ref="A10021:H10021"/>
    <mergeCell ref="F10022:G10022"/>
    <mergeCell ref="H10022:I10022"/>
    <mergeCell ref="J10022:L10022"/>
    <mergeCell ref="F10157:G10157"/>
    <mergeCell ref="H10157:I10157"/>
    <mergeCell ref="J10157:L10157"/>
    <mergeCell ref="F10158:G10158"/>
    <mergeCell ref="H10158:I10158"/>
    <mergeCell ref="J10158:L10158"/>
    <mergeCell ref="F10153:G10153"/>
    <mergeCell ref="H10153:I10153"/>
    <mergeCell ref="J10153:L10153"/>
    <mergeCell ref="F10152:G10152"/>
    <mergeCell ref="H10152:I10152"/>
    <mergeCell ref="J10152:L10152"/>
    <mergeCell ref="F10151:G10151"/>
    <mergeCell ref="H10151:I10151"/>
    <mergeCell ref="J10151:L10151"/>
    <mergeCell ref="A10155:H10155"/>
    <mergeCell ref="F10156:G10156"/>
    <mergeCell ref="H10156:I10156"/>
    <mergeCell ref="J10156:L10156"/>
    <mergeCell ref="F10117:G10117"/>
    <mergeCell ref="H10117:I10117"/>
    <mergeCell ref="J10117:L10117"/>
    <mergeCell ref="F10118:G10118"/>
    <mergeCell ref="H10118:I10118"/>
    <mergeCell ref="J10118:L10118"/>
    <mergeCell ref="F10113:G10113"/>
    <mergeCell ref="H10113:I10113"/>
    <mergeCell ref="J10113:L10113"/>
    <mergeCell ref="A10115:H10115"/>
    <mergeCell ref="F10116:G10116"/>
    <mergeCell ref="H10116:I10116"/>
    <mergeCell ref="J10116:L10116"/>
    <mergeCell ref="F10111:G10111"/>
    <mergeCell ref="H10111:I10111"/>
    <mergeCell ref="J10111:L10111"/>
    <mergeCell ref="F10112:G10112"/>
    <mergeCell ref="H10112:I10112"/>
    <mergeCell ref="J10112:L10112"/>
    <mergeCell ref="F10131:G10131"/>
    <mergeCell ref="H10131:I10131"/>
    <mergeCell ref="J10131:L10131"/>
    <mergeCell ref="F10125:G10125"/>
    <mergeCell ref="H10125:I10125"/>
    <mergeCell ref="J10125:L10125"/>
    <mergeCell ref="F10126:G10126"/>
    <mergeCell ref="H10126:I10126"/>
    <mergeCell ref="J10126:L10126"/>
    <mergeCell ref="A10120:H10120"/>
    <mergeCell ref="F10121:G10121"/>
    <mergeCell ref="H10121:I10121"/>
    <mergeCell ref="J10121:L10121"/>
    <mergeCell ref="A10124:H10124"/>
    <mergeCell ref="A10128:H10128"/>
    <mergeCell ref="F10129:G10129"/>
    <mergeCell ref="H10129:I10129"/>
    <mergeCell ref="J10129:L10129"/>
    <mergeCell ref="F10130:G10130"/>
    <mergeCell ref="H10130:I10130"/>
    <mergeCell ref="J10130:L10130"/>
    <mergeCell ref="A10141:H10141"/>
    <mergeCell ref="F10142:G10142"/>
    <mergeCell ref="H10142:I10142"/>
    <mergeCell ref="J10142:L10142"/>
    <mergeCell ref="F10143:G10143"/>
    <mergeCell ref="F10199:G10199"/>
    <mergeCell ref="H10199:I10199"/>
    <mergeCell ref="J10199:L10199"/>
    <mergeCell ref="A10160:H10160"/>
    <mergeCell ref="F10161:G10161"/>
    <mergeCell ref="H10161:I10161"/>
    <mergeCell ref="J10161:L10161"/>
    <mergeCell ref="F10162:G10162"/>
    <mergeCell ref="H10162:I10162"/>
    <mergeCell ref="J10162:L10162"/>
    <mergeCell ref="F10195:G10195"/>
    <mergeCell ref="H10195:I10195"/>
    <mergeCell ref="J10195:L10195"/>
    <mergeCell ref="A10197:H10197"/>
    <mergeCell ref="F10198:G10198"/>
    <mergeCell ref="H10198:I10198"/>
    <mergeCell ref="J10198:L10198"/>
    <mergeCell ref="F10193:G10193"/>
    <mergeCell ref="H10193:I10193"/>
    <mergeCell ref="J10193:L10193"/>
    <mergeCell ref="F10194:G10194"/>
    <mergeCell ref="H10194:I10194"/>
    <mergeCell ref="J10194:L10194"/>
    <mergeCell ref="F10189:G10189"/>
    <mergeCell ref="H10189:I10189"/>
    <mergeCell ref="J10189:L10189"/>
    <mergeCell ref="F10192:G10192"/>
    <mergeCell ref="H10192:I10192"/>
    <mergeCell ref="J10192:L10192"/>
    <mergeCell ref="F10187:G10187"/>
    <mergeCell ref="H10187:I10187"/>
    <mergeCell ref="J10187:L10187"/>
    <mergeCell ref="F10188:G10188"/>
    <mergeCell ref="H10188:I10188"/>
    <mergeCell ref="J10188:L10188"/>
    <mergeCell ref="F10185:G10185"/>
    <mergeCell ref="H10185:I10185"/>
    <mergeCell ref="F10200:G10200"/>
    <mergeCell ref="H10200:I10200"/>
    <mergeCell ref="J10200:L10200"/>
    <mergeCell ref="F10203:G10203"/>
    <mergeCell ref="H10203:I10203"/>
    <mergeCell ref="J10203:L10203"/>
    <mergeCell ref="F10238:G10238"/>
    <mergeCell ref="H10238:I10238"/>
    <mergeCell ref="J10238:L10238"/>
    <mergeCell ref="F10239:G10239"/>
    <mergeCell ref="H10239:I10239"/>
    <mergeCell ref="J10239:L10239"/>
    <mergeCell ref="F10234:G10234"/>
    <mergeCell ref="H10234:I10234"/>
    <mergeCell ref="J10234:L10234"/>
    <mergeCell ref="F10205:G10205"/>
    <mergeCell ref="H10205:I10205"/>
    <mergeCell ref="J10205:L10205"/>
    <mergeCell ref="F10206:G10206"/>
    <mergeCell ref="H10206:I10206"/>
    <mergeCell ref="J10206:L10206"/>
    <mergeCell ref="A10209:H10209"/>
    <mergeCell ref="F10210:G10210"/>
    <mergeCell ref="H10210:I10210"/>
    <mergeCell ref="J10210:L10210"/>
    <mergeCell ref="F10214:G10214"/>
    <mergeCell ref="H10214:I10214"/>
    <mergeCell ref="J10214:L10214"/>
    <mergeCell ref="F10215:G10215"/>
    <mergeCell ref="H10215:I10215"/>
    <mergeCell ref="J10215:L10215"/>
    <mergeCell ref="F10216:G10216"/>
    <mergeCell ref="H10216:I10216"/>
    <mergeCell ref="J10216:L10216"/>
    <mergeCell ref="F10217:G10217"/>
    <mergeCell ref="H10217:I10217"/>
    <mergeCell ref="J10217:L10217"/>
    <mergeCell ref="F10218:G10218"/>
    <mergeCell ref="H10218:I10218"/>
    <mergeCell ref="J10218:L10218"/>
    <mergeCell ref="F10219:G10219"/>
    <mergeCell ref="H10219:I10219"/>
    <mergeCell ref="J10219:L10219"/>
    <mergeCell ref="F10220:G10220"/>
    <mergeCell ref="H10220:I10220"/>
    <mergeCell ref="J10220:L10220"/>
    <mergeCell ref="H10226:I10226"/>
    <mergeCell ref="J10226:L10226"/>
    <mergeCell ref="F10227:G10227"/>
    <mergeCell ref="H10227:I10227"/>
    <mergeCell ref="J10227:L10227"/>
    <mergeCell ref="F10253:G10253"/>
    <mergeCell ref="H10253:I10253"/>
    <mergeCell ref="J10253:L10253"/>
    <mergeCell ref="A10255:H10255"/>
    <mergeCell ref="F10256:G10256"/>
    <mergeCell ref="H10256:I10256"/>
    <mergeCell ref="J10256:L10256"/>
    <mergeCell ref="F10252:G10252"/>
    <mergeCell ref="H10252:I10252"/>
    <mergeCell ref="J10252:L10252"/>
    <mergeCell ref="F10261:G10261"/>
    <mergeCell ref="H10261:I10261"/>
    <mergeCell ref="J10261:L10261"/>
    <mergeCell ref="F10212:G10212"/>
    <mergeCell ref="H10212:I10212"/>
    <mergeCell ref="J10212:L10212"/>
    <mergeCell ref="F10213:G10213"/>
    <mergeCell ref="H10213:I10213"/>
    <mergeCell ref="J10213:L10213"/>
    <mergeCell ref="F10211:G10211"/>
    <mergeCell ref="H10211:I10211"/>
    <mergeCell ref="J10211:L10211"/>
    <mergeCell ref="F10204:G10204"/>
    <mergeCell ref="H10204:I10204"/>
    <mergeCell ref="J10204:L10204"/>
    <mergeCell ref="F10207:G10207"/>
    <mergeCell ref="H10207:I10207"/>
    <mergeCell ref="J10207:L10207"/>
    <mergeCell ref="F10240:G10240"/>
    <mergeCell ref="H10240:I10240"/>
    <mergeCell ref="J10240:L10240"/>
    <mergeCell ref="F10336:G10336"/>
    <mergeCell ref="H10336:I10336"/>
    <mergeCell ref="J10336:L10336"/>
    <mergeCell ref="F10337:G10337"/>
    <mergeCell ref="H10337:I10337"/>
    <mergeCell ref="J10337:L10337"/>
    <mergeCell ref="F10305:G10305"/>
    <mergeCell ref="H10305:I10305"/>
    <mergeCell ref="J10305:L10305"/>
    <mergeCell ref="F10294:G10294"/>
    <mergeCell ref="H10294:I10294"/>
    <mergeCell ref="J10294:L10294"/>
    <mergeCell ref="F10289:G10289"/>
    <mergeCell ref="H10289:I10289"/>
    <mergeCell ref="J10289:L10289"/>
    <mergeCell ref="F10288:G10288"/>
    <mergeCell ref="H10288:I10288"/>
    <mergeCell ref="J10288:L10288"/>
    <mergeCell ref="F10312:G10312"/>
    <mergeCell ref="H10312:I10312"/>
    <mergeCell ref="J10312:L10312"/>
    <mergeCell ref="F10309:G10309"/>
    <mergeCell ref="H10309:I10309"/>
    <mergeCell ref="J10309:L10309"/>
    <mergeCell ref="F10275:G10275"/>
    <mergeCell ref="H10275:I10275"/>
    <mergeCell ref="J10275:L10275"/>
    <mergeCell ref="F10271:G10271"/>
    <mergeCell ref="H10271:I10271"/>
    <mergeCell ref="J10271:L10271"/>
    <mergeCell ref="A10273:H10273"/>
    <mergeCell ref="F10274:G10274"/>
    <mergeCell ref="H10274:I10274"/>
    <mergeCell ref="J10274:L10274"/>
    <mergeCell ref="A10286:H10286"/>
    <mergeCell ref="F10287:G10287"/>
    <mergeCell ref="H10287:I10287"/>
    <mergeCell ref="J10287:L10287"/>
    <mergeCell ref="F10290:G10290"/>
    <mergeCell ref="H10290:I10290"/>
    <mergeCell ref="J10290:L10290"/>
    <mergeCell ref="F10291:G10291"/>
    <mergeCell ref="H10291:I10291"/>
    <mergeCell ref="J10291:L10291"/>
    <mergeCell ref="A10293:H10293"/>
    <mergeCell ref="F10295:G10295"/>
    <mergeCell ref="H10295:I10295"/>
    <mergeCell ref="J10295:L10295"/>
    <mergeCell ref="F10296:G10296"/>
    <mergeCell ref="H10296:I10296"/>
    <mergeCell ref="J10296:L10296"/>
    <mergeCell ref="A10298:H10298"/>
    <mergeCell ref="F10299:G10299"/>
    <mergeCell ref="H10299:I10299"/>
    <mergeCell ref="J10299:L10299"/>
    <mergeCell ref="F10300:G10300"/>
    <mergeCell ref="H10300:I10300"/>
    <mergeCell ref="J10300:L10300"/>
    <mergeCell ref="F10301:G10301"/>
    <mergeCell ref="H10301:I10301"/>
    <mergeCell ref="H10335:I10335"/>
    <mergeCell ref="J10335:L10335"/>
    <mergeCell ref="F10330:G10330"/>
    <mergeCell ref="H10330:I10330"/>
    <mergeCell ref="J10330:L10330"/>
    <mergeCell ref="F10326:G10326"/>
    <mergeCell ref="H10326:I10326"/>
    <mergeCell ref="J10326:L10326"/>
    <mergeCell ref="F10329:G10329"/>
    <mergeCell ref="H10329:I10329"/>
    <mergeCell ref="J10329:L10329"/>
    <mergeCell ref="A10324:H10324"/>
    <mergeCell ref="F10325:G10325"/>
    <mergeCell ref="H10325:I10325"/>
    <mergeCell ref="J10325:L10325"/>
    <mergeCell ref="F10313:G10313"/>
    <mergeCell ref="H10313:I10313"/>
    <mergeCell ref="J10313:L10313"/>
    <mergeCell ref="F10314:G10314"/>
    <mergeCell ref="H10314:I10314"/>
    <mergeCell ref="J10314:L10314"/>
    <mergeCell ref="F10327:G10327"/>
    <mergeCell ref="H10327:I10327"/>
    <mergeCell ref="J10327:L10327"/>
    <mergeCell ref="F10328:G10328"/>
    <mergeCell ref="H10328:I10328"/>
    <mergeCell ref="J10328:L10328"/>
    <mergeCell ref="F10331:G10331"/>
    <mergeCell ref="H10331:I10331"/>
    <mergeCell ref="J10331:L10331"/>
    <mergeCell ref="F10332:G10332"/>
    <mergeCell ref="H10332:I10332"/>
    <mergeCell ref="J10332:L10332"/>
    <mergeCell ref="A10334:H10334"/>
    <mergeCell ref="F10427:G10427"/>
    <mergeCell ref="H10427:I10427"/>
    <mergeCell ref="J10427:L10427"/>
    <mergeCell ref="F10422:G10422"/>
    <mergeCell ref="H10422:I10422"/>
    <mergeCell ref="J10422:L10422"/>
    <mergeCell ref="F10423:G10423"/>
    <mergeCell ref="H10423:I10423"/>
    <mergeCell ref="J10423:L10423"/>
    <mergeCell ref="F10408:G10408"/>
    <mergeCell ref="H10408:I10408"/>
    <mergeCell ref="J10408:L10408"/>
    <mergeCell ref="F10418:G10418"/>
    <mergeCell ref="H10418:I10418"/>
    <mergeCell ref="J10418:L10418"/>
    <mergeCell ref="F10419:G10419"/>
    <mergeCell ref="H10419:I10419"/>
    <mergeCell ref="J10419:L10419"/>
    <mergeCell ref="A10421:H10421"/>
    <mergeCell ref="A10425:H10425"/>
    <mergeCell ref="F10426:G10426"/>
    <mergeCell ref="H10426:I10426"/>
    <mergeCell ref="J10426:L10426"/>
    <mergeCell ref="F10377:G10377"/>
    <mergeCell ref="H10377:I10377"/>
    <mergeCell ref="J10377:L10377"/>
    <mergeCell ref="A10379:H10379"/>
    <mergeCell ref="F10380:G10380"/>
    <mergeCell ref="H10380:I10380"/>
    <mergeCell ref="J10380:L10380"/>
    <mergeCell ref="J10373:L10373"/>
    <mergeCell ref="A10370:H10370"/>
    <mergeCell ref="F10371:G10371"/>
    <mergeCell ref="H10371:I10371"/>
    <mergeCell ref="A10429:H10429"/>
    <mergeCell ref="F10430:G10430"/>
    <mergeCell ref="H10430:I10430"/>
    <mergeCell ref="J10430:L10430"/>
    <mergeCell ref="F10431:G10431"/>
    <mergeCell ref="H10431:I10431"/>
    <mergeCell ref="J10431:L10431"/>
    <mergeCell ref="A10383:H10383"/>
    <mergeCell ref="F10384:G10384"/>
    <mergeCell ref="H10384:I10384"/>
    <mergeCell ref="J10384:L10384"/>
    <mergeCell ref="F10385:G10385"/>
    <mergeCell ref="H10385:I10385"/>
    <mergeCell ref="J10385:L10385"/>
    <mergeCell ref="F10407:G10407"/>
    <mergeCell ref="H10407:I10407"/>
    <mergeCell ref="J10407:L10407"/>
    <mergeCell ref="F10403:G10403"/>
    <mergeCell ref="H10403:I10403"/>
    <mergeCell ref="J10403:L10403"/>
    <mergeCell ref="F10404:G10404"/>
    <mergeCell ref="H10404:I10404"/>
    <mergeCell ref="J10404:L10404"/>
    <mergeCell ref="A10410:H10410"/>
    <mergeCell ref="F10411:G10411"/>
    <mergeCell ref="H10411:I10411"/>
    <mergeCell ref="J10411:L10411"/>
    <mergeCell ref="F10412:G10412"/>
    <mergeCell ref="H10412:I10412"/>
    <mergeCell ref="J10412:L10412"/>
    <mergeCell ref="F10413:G10413"/>
    <mergeCell ref="H10413:I10413"/>
    <mergeCell ref="J10413:L10413"/>
    <mergeCell ref="F10414:G10414"/>
    <mergeCell ref="H10414:I10414"/>
    <mergeCell ref="J10414:L10414"/>
    <mergeCell ref="A10416:H10416"/>
    <mergeCell ref="F10417:G10417"/>
    <mergeCell ref="H10417:I10417"/>
    <mergeCell ref="J10417:L10417"/>
    <mergeCell ref="A10387:H10387"/>
    <mergeCell ref="F10446:G10446"/>
    <mergeCell ref="H10446:I10446"/>
    <mergeCell ref="J10446:L10446"/>
    <mergeCell ref="F10457:G10457"/>
    <mergeCell ref="H10457:I10457"/>
    <mergeCell ref="J10457:L10457"/>
    <mergeCell ref="F10444:G10444"/>
    <mergeCell ref="H10444:I10444"/>
    <mergeCell ref="J10444:L10444"/>
    <mergeCell ref="F10445:G10445"/>
    <mergeCell ref="H10445:I10445"/>
    <mergeCell ref="J10445:L10445"/>
    <mergeCell ref="F10432:G10432"/>
    <mergeCell ref="H10432:I10432"/>
    <mergeCell ref="J10432:L10432"/>
    <mergeCell ref="A10442:H10442"/>
    <mergeCell ref="F10443:G10443"/>
    <mergeCell ref="H10443:I10443"/>
    <mergeCell ref="J10443:L10443"/>
    <mergeCell ref="F10447:G10447"/>
    <mergeCell ref="H10447:I10447"/>
    <mergeCell ref="J10447:L10447"/>
    <mergeCell ref="A10449:H10449"/>
    <mergeCell ref="F10450:G10450"/>
    <mergeCell ref="H10450:I10450"/>
    <mergeCell ref="J10450:L10450"/>
    <mergeCell ref="F10451:G10451"/>
    <mergeCell ref="H10451:I10451"/>
    <mergeCell ref="J10451:L10451"/>
    <mergeCell ref="F10452:G10452"/>
    <mergeCell ref="H10452:I10452"/>
    <mergeCell ref="J10452:L10452"/>
    <mergeCell ref="F10453:G10453"/>
    <mergeCell ref="H10453:I10453"/>
    <mergeCell ref="J10453:L10453"/>
    <mergeCell ref="A10455:H10455"/>
    <mergeCell ref="F10456:G10456"/>
    <mergeCell ref="H10456:I10456"/>
    <mergeCell ref="J10456:L10456"/>
    <mergeCell ref="F10464:G10464"/>
    <mergeCell ref="H10464:I10464"/>
    <mergeCell ref="J10464:L10464"/>
    <mergeCell ref="F10460:G10460"/>
    <mergeCell ref="H10460:I10460"/>
    <mergeCell ref="J10460:L10460"/>
    <mergeCell ref="F10461:G10461"/>
    <mergeCell ref="H10461:I10461"/>
    <mergeCell ref="J10461:L10461"/>
    <mergeCell ref="F10458:G10458"/>
    <mergeCell ref="H10458:I10458"/>
    <mergeCell ref="J10458:L10458"/>
    <mergeCell ref="F10459:G10459"/>
    <mergeCell ref="H10459:I10459"/>
    <mergeCell ref="J10459:L10459"/>
    <mergeCell ref="F10462:G10462"/>
    <mergeCell ref="H10462:I10462"/>
    <mergeCell ref="J10462:L10462"/>
    <mergeCell ref="F10463:G10463"/>
    <mergeCell ref="H10463:I10463"/>
    <mergeCell ref="J10463:L10463"/>
    <mergeCell ref="A10466:H10466"/>
    <mergeCell ref="F10467:G10467"/>
    <mergeCell ref="H10467:I10467"/>
    <mergeCell ref="J10467:L10467"/>
    <mergeCell ref="F10468:G10468"/>
    <mergeCell ref="H10468:I10468"/>
    <mergeCell ref="J10468:L10468"/>
    <mergeCell ref="A10470:H10470"/>
    <mergeCell ref="F10471:G10471"/>
    <mergeCell ref="H10471:I10471"/>
    <mergeCell ref="J10471:L10471"/>
    <mergeCell ref="F10472:G10472"/>
    <mergeCell ref="H10472:I10472"/>
    <mergeCell ref="J10472:L10472"/>
    <mergeCell ref="F10526:G10526"/>
    <mergeCell ref="H10526:I10526"/>
    <mergeCell ref="J10526:L10526"/>
    <mergeCell ref="F10527:G10527"/>
    <mergeCell ref="H10527:I10527"/>
    <mergeCell ref="J10527:L10527"/>
    <mergeCell ref="F10528:G10528"/>
    <mergeCell ref="H10528:I10528"/>
    <mergeCell ref="J10528:L10528"/>
    <mergeCell ref="F10529:G10529"/>
    <mergeCell ref="H10529:I10529"/>
    <mergeCell ref="F10497:G10497"/>
    <mergeCell ref="H10497:I10497"/>
    <mergeCell ref="J10497:L10497"/>
    <mergeCell ref="F10494:G10494"/>
    <mergeCell ref="H10494:I10494"/>
    <mergeCell ref="J10494:L10494"/>
    <mergeCell ref="F10477:G10477"/>
    <mergeCell ref="H10477:I10477"/>
    <mergeCell ref="J10477:L10477"/>
    <mergeCell ref="A10474:H10474"/>
    <mergeCell ref="F10475:G10475"/>
    <mergeCell ref="H10475:I10475"/>
    <mergeCell ref="J10475:L10475"/>
    <mergeCell ref="F10476:G10476"/>
    <mergeCell ref="H10476:I10476"/>
    <mergeCell ref="J10476:L10476"/>
    <mergeCell ref="A10487:H10487"/>
    <mergeCell ref="F10488:G10488"/>
    <mergeCell ref="H10488:I10488"/>
    <mergeCell ref="J10488:L10488"/>
    <mergeCell ref="F10489:G10489"/>
    <mergeCell ref="H10489:I10489"/>
    <mergeCell ref="J10489:L10489"/>
    <mergeCell ref="F10490:G10490"/>
    <mergeCell ref="H10490:I10490"/>
    <mergeCell ref="J10490:L10490"/>
    <mergeCell ref="A10492:H10492"/>
    <mergeCell ref="F10493:G10493"/>
    <mergeCell ref="H10493:I10493"/>
    <mergeCell ref="J10493:L10493"/>
    <mergeCell ref="A10496:H10496"/>
    <mergeCell ref="F10512:G10512"/>
    <mergeCell ref="H10512:I10512"/>
    <mergeCell ref="J10512:L10512"/>
    <mergeCell ref="F10508:G10508"/>
    <mergeCell ref="H10508:I10508"/>
    <mergeCell ref="J10508:L10508"/>
    <mergeCell ref="A10510:H10510"/>
    <mergeCell ref="F10511:G10511"/>
    <mergeCell ref="H10511:I10511"/>
    <mergeCell ref="J10511:L10511"/>
    <mergeCell ref="F10507:G10507"/>
    <mergeCell ref="H10507:I10507"/>
    <mergeCell ref="J10507:L10507"/>
    <mergeCell ref="F10503:G10503"/>
    <mergeCell ref="H10503:I10503"/>
    <mergeCell ref="F10500:G10500"/>
    <mergeCell ref="H10500:I10500"/>
    <mergeCell ref="J10500:L10500"/>
    <mergeCell ref="A10502:H10502"/>
    <mergeCell ref="F10504:G10504"/>
    <mergeCell ref="H10504:I10504"/>
    <mergeCell ref="J10504:L10504"/>
    <mergeCell ref="A10506:H10506"/>
    <mergeCell ref="F10513:G10513"/>
    <mergeCell ref="H10513:I10513"/>
    <mergeCell ref="J10513:L10513"/>
    <mergeCell ref="J10529:L10529"/>
    <mergeCell ref="F10530:G10530"/>
    <mergeCell ref="H10530:I10530"/>
    <mergeCell ref="J10530:L10530"/>
    <mergeCell ref="F10531:G10531"/>
    <mergeCell ref="H10531:I10531"/>
    <mergeCell ref="J10531:L10531"/>
    <mergeCell ref="A10533:H10533"/>
    <mergeCell ref="A10564:H10564"/>
    <mergeCell ref="F10565:G10565"/>
    <mergeCell ref="H10565:I10565"/>
    <mergeCell ref="A10551:H10551"/>
    <mergeCell ref="F10552:G10552"/>
    <mergeCell ref="H10552:I10552"/>
    <mergeCell ref="J10552:L10552"/>
    <mergeCell ref="F10553:G10553"/>
    <mergeCell ref="H10553:I10553"/>
    <mergeCell ref="J10553:L10553"/>
    <mergeCell ref="A10547:H10547"/>
    <mergeCell ref="F10548:G10548"/>
    <mergeCell ref="H10548:I10548"/>
    <mergeCell ref="J10548:L10548"/>
    <mergeCell ref="F10549:G10549"/>
    <mergeCell ref="H10549:I10549"/>
    <mergeCell ref="J10549:L10549"/>
    <mergeCell ref="A10543:H10543"/>
    <mergeCell ref="F10544:G10544"/>
    <mergeCell ref="H10544:I10544"/>
    <mergeCell ref="J10544:L10544"/>
    <mergeCell ref="F10545:G10545"/>
    <mergeCell ref="H10545:I10545"/>
    <mergeCell ref="J10545:L10545"/>
    <mergeCell ref="F10540:G10540"/>
    <mergeCell ref="H10540:I10540"/>
    <mergeCell ref="J10540:L10540"/>
    <mergeCell ref="F10541:G10541"/>
    <mergeCell ref="H10541:I10541"/>
    <mergeCell ref="J10541:L10541"/>
    <mergeCell ref="F10537:G10537"/>
    <mergeCell ref="H10537:I10537"/>
    <mergeCell ref="J10537:L10537"/>
    <mergeCell ref="A10539:H10539"/>
    <mergeCell ref="F10536:G10536"/>
    <mergeCell ref="H10536:I10536"/>
    <mergeCell ref="J10536:L10536"/>
    <mergeCell ref="F10534:G10534"/>
    <mergeCell ref="A10523:H10523"/>
    <mergeCell ref="F10524:G10524"/>
    <mergeCell ref="H10524:I10524"/>
    <mergeCell ref="J10524:L10524"/>
    <mergeCell ref="F10525:G10525"/>
    <mergeCell ref="H10525:I10525"/>
    <mergeCell ref="J10525:L10525"/>
    <mergeCell ref="H10652:I10652"/>
    <mergeCell ref="J10652:L10652"/>
    <mergeCell ref="F10641:G10641"/>
    <mergeCell ref="H10641:I10641"/>
    <mergeCell ref="J10641:L10641"/>
    <mergeCell ref="H10651:I10651"/>
    <mergeCell ref="J10651:L10651"/>
    <mergeCell ref="A10638:H10638"/>
    <mergeCell ref="F10639:G10639"/>
    <mergeCell ref="H10639:I10639"/>
    <mergeCell ref="J10639:L10639"/>
    <mergeCell ref="F10640:G10640"/>
    <mergeCell ref="H10640:I10640"/>
    <mergeCell ref="J10640:L10640"/>
    <mergeCell ref="F10647:G10647"/>
    <mergeCell ref="H10647:I10647"/>
    <mergeCell ref="J10647:L10647"/>
    <mergeCell ref="F10648:G10648"/>
    <mergeCell ref="H10648:I10648"/>
    <mergeCell ref="J10648:L10648"/>
    <mergeCell ref="A10650:H10650"/>
    <mergeCell ref="F10651:G10651"/>
    <mergeCell ref="F10652:G10652"/>
    <mergeCell ref="F10627:G10627"/>
    <mergeCell ref="H10627:I10627"/>
    <mergeCell ref="J10627:L10627"/>
    <mergeCell ref="F10628:G10628"/>
    <mergeCell ref="H10628:I10628"/>
    <mergeCell ref="J10628:L10628"/>
    <mergeCell ref="F10626:G10626"/>
    <mergeCell ref="H10626:I10626"/>
    <mergeCell ref="J10626:L10626"/>
    <mergeCell ref="F10622:G10622"/>
    <mergeCell ref="H10622:I10622"/>
    <mergeCell ref="J10622:L10622"/>
    <mergeCell ref="F10623:G10623"/>
    <mergeCell ref="H10623:I10623"/>
    <mergeCell ref="J10623:L10623"/>
    <mergeCell ref="H812:I812"/>
    <mergeCell ref="J812:L812"/>
    <mergeCell ref="A822:H822"/>
    <mergeCell ref="F826:G826"/>
    <mergeCell ref="H826:I826"/>
    <mergeCell ref="J826:L826"/>
    <mergeCell ref="F827:G827"/>
    <mergeCell ref="H827:I827"/>
    <mergeCell ref="J827:L827"/>
    <mergeCell ref="A831:H831"/>
    <mergeCell ref="F832:G832"/>
    <mergeCell ref="H832:I832"/>
    <mergeCell ref="J832:L832"/>
    <mergeCell ref="F835:G835"/>
    <mergeCell ref="H835:I835"/>
    <mergeCell ref="J835:L835"/>
    <mergeCell ref="A837:H837"/>
    <mergeCell ref="F839:G839"/>
    <mergeCell ref="H839:I839"/>
    <mergeCell ref="J839:L839"/>
    <mergeCell ref="F840:G840"/>
    <mergeCell ref="H840:I840"/>
    <mergeCell ref="J840:L840"/>
    <mergeCell ref="A842:H842"/>
    <mergeCell ref="F844:G844"/>
    <mergeCell ref="H844:I844"/>
    <mergeCell ref="J844:L844"/>
    <mergeCell ref="A846:H846"/>
    <mergeCell ref="F847:G847"/>
    <mergeCell ref="H847:I847"/>
    <mergeCell ref="J847:L847"/>
    <mergeCell ref="F848:G848"/>
    <mergeCell ref="H848:I848"/>
    <mergeCell ref="J848:L848"/>
    <mergeCell ref="J851:L851"/>
    <mergeCell ref="F852:G852"/>
    <mergeCell ref="H852:I852"/>
    <mergeCell ref="J852:L852"/>
    <mergeCell ref="F853:G853"/>
    <mergeCell ref="H853:I853"/>
    <mergeCell ref="J853:L853"/>
    <mergeCell ref="F868:G868"/>
    <mergeCell ref="H868:I868"/>
    <mergeCell ref="J868:L868"/>
    <mergeCell ref="A870:H870"/>
    <mergeCell ref="A875:H875"/>
    <mergeCell ref="F876:G876"/>
    <mergeCell ref="H876:I876"/>
    <mergeCell ref="J876:L876"/>
    <mergeCell ref="A879:H879"/>
    <mergeCell ref="F880:G880"/>
    <mergeCell ref="H880:I880"/>
    <mergeCell ref="J880:L880"/>
    <mergeCell ref="A883:H883"/>
    <mergeCell ref="F884:G884"/>
    <mergeCell ref="H884:I884"/>
    <mergeCell ref="J884:L884"/>
    <mergeCell ref="A896:H896"/>
    <mergeCell ref="F897:G897"/>
    <mergeCell ref="H897:I897"/>
    <mergeCell ref="J897:L897"/>
    <mergeCell ref="F904:G904"/>
    <mergeCell ref="H904:I904"/>
    <mergeCell ref="J904:L904"/>
    <mergeCell ref="A906:H906"/>
    <mergeCell ref="F909:G909"/>
    <mergeCell ref="H909:I909"/>
    <mergeCell ref="J909:L909"/>
    <mergeCell ref="F881:G881"/>
    <mergeCell ref="H881:I881"/>
    <mergeCell ref="J881:L881"/>
    <mergeCell ref="F872:G872"/>
    <mergeCell ref="H872:I872"/>
    <mergeCell ref="J872:L872"/>
    <mergeCell ref="F873:G873"/>
    <mergeCell ref="H873:I873"/>
    <mergeCell ref="J873:L873"/>
    <mergeCell ref="F871:G871"/>
    <mergeCell ref="H871:I871"/>
    <mergeCell ref="J871:L871"/>
    <mergeCell ref="F866:G866"/>
    <mergeCell ref="H866:I866"/>
    <mergeCell ref="J866:L866"/>
    <mergeCell ref="F867:G867"/>
    <mergeCell ref="H867:I867"/>
    <mergeCell ref="J867:L867"/>
    <mergeCell ref="A863:H863"/>
    <mergeCell ref="F864:G864"/>
    <mergeCell ref="H864:I864"/>
    <mergeCell ref="J864:L864"/>
    <mergeCell ref="F865:G865"/>
    <mergeCell ref="H865:I865"/>
    <mergeCell ref="J865:L865"/>
    <mergeCell ref="A919:H919"/>
    <mergeCell ref="F920:G920"/>
    <mergeCell ref="H920:I920"/>
    <mergeCell ref="J920:L920"/>
    <mergeCell ref="F921:G921"/>
    <mergeCell ref="H921:I921"/>
    <mergeCell ref="J921:L921"/>
    <mergeCell ref="A923:H923"/>
    <mergeCell ref="F924:G924"/>
    <mergeCell ref="H924:I924"/>
    <mergeCell ref="J924:L924"/>
    <mergeCell ref="F925:G925"/>
    <mergeCell ref="H925:I925"/>
    <mergeCell ref="J925:L925"/>
    <mergeCell ref="A927:H927"/>
    <mergeCell ref="F929:G929"/>
    <mergeCell ref="H929:I929"/>
    <mergeCell ref="J929:L929"/>
    <mergeCell ref="F930:G930"/>
    <mergeCell ref="H930:I930"/>
    <mergeCell ref="J930:L930"/>
    <mergeCell ref="A940:H940"/>
    <mergeCell ref="A953:H953"/>
    <mergeCell ref="F954:G954"/>
    <mergeCell ref="H954:I954"/>
    <mergeCell ref="J954:L954"/>
    <mergeCell ref="F957:G957"/>
    <mergeCell ref="H957:I957"/>
    <mergeCell ref="J957:L957"/>
    <mergeCell ref="F958:G958"/>
    <mergeCell ref="H958:I958"/>
    <mergeCell ref="J958:L958"/>
    <mergeCell ref="A960:H960"/>
    <mergeCell ref="J942:L942"/>
    <mergeCell ref="F943:G943"/>
    <mergeCell ref="H943:I943"/>
    <mergeCell ref="J943:L943"/>
    <mergeCell ref="F983:G983"/>
    <mergeCell ref="H983:I983"/>
    <mergeCell ref="J983:L983"/>
    <mergeCell ref="F984:G984"/>
    <mergeCell ref="H984:I984"/>
    <mergeCell ref="J984:L984"/>
    <mergeCell ref="F988:G988"/>
    <mergeCell ref="H988:I988"/>
    <mergeCell ref="J988:L988"/>
    <mergeCell ref="F989:G989"/>
    <mergeCell ref="H989:I989"/>
    <mergeCell ref="J989:L989"/>
    <mergeCell ref="A991:H991"/>
    <mergeCell ref="F994:G994"/>
    <mergeCell ref="H994:I994"/>
    <mergeCell ref="J994:L994"/>
    <mergeCell ref="F995:G995"/>
    <mergeCell ref="H995:I995"/>
    <mergeCell ref="J995:L995"/>
    <mergeCell ref="A997:H997"/>
    <mergeCell ref="F998:G998"/>
    <mergeCell ref="H998:I998"/>
    <mergeCell ref="J998:L998"/>
    <mergeCell ref="F999:G999"/>
    <mergeCell ref="H999:I999"/>
    <mergeCell ref="J999:L999"/>
    <mergeCell ref="A1001:H1001"/>
    <mergeCell ref="F1002:G1002"/>
    <mergeCell ref="H1002:I1002"/>
    <mergeCell ref="J1002:L1002"/>
    <mergeCell ref="F1003:G1003"/>
    <mergeCell ref="H1003:I1003"/>
    <mergeCell ref="J1003:L1003"/>
    <mergeCell ref="F1102:G1102"/>
    <mergeCell ref="H1102:I1102"/>
    <mergeCell ref="J1102:L1102"/>
    <mergeCell ref="F1097:G1097"/>
    <mergeCell ref="H1097:I1097"/>
    <mergeCell ref="J1097:L1097"/>
    <mergeCell ref="F1098:G1098"/>
    <mergeCell ref="H1098:I1098"/>
    <mergeCell ref="J1098:L1098"/>
    <mergeCell ref="A1096:H1096"/>
    <mergeCell ref="F1099:G1099"/>
    <mergeCell ref="H1099:I1099"/>
    <mergeCell ref="J1099:L1099"/>
    <mergeCell ref="A1101:H1101"/>
    <mergeCell ref="F1080:G1080"/>
    <mergeCell ref="H1080:I1080"/>
    <mergeCell ref="J1080:L1080"/>
    <mergeCell ref="F1071:G1071"/>
    <mergeCell ref="H1071:I1071"/>
    <mergeCell ref="J1071:L1071"/>
    <mergeCell ref="F1067:G1067"/>
    <mergeCell ref="H1067:I1067"/>
    <mergeCell ref="J1067:L1067"/>
    <mergeCell ref="A1069:H1069"/>
    <mergeCell ref="F1070:G1070"/>
    <mergeCell ref="H1070:I1070"/>
    <mergeCell ref="J1070:L1070"/>
    <mergeCell ref="F1072:G1072"/>
    <mergeCell ref="H1072:I1072"/>
    <mergeCell ref="J1072:L1072"/>
    <mergeCell ref="F1073:G1073"/>
    <mergeCell ref="F1123:G1123"/>
    <mergeCell ref="H1123:I1123"/>
    <mergeCell ref="J1123:L1123"/>
    <mergeCell ref="H1073:I1073"/>
    <mergeCell ref="J1073:L1073"/>
    <mergeCell ref="A1075:H1075"/>
    <mergeCell ref="F1076:G1076"/>
    <mergeCell ref="H1076:I1076"/>
    <mergeCell ref="J1076:L1076"/>
    <mergeCell ref="F1077:G1077"/>
    <mergeCell ref="H1077:I1077"/>
    <mergeCell ref="J1077:L1077"/>
    <mergeCell ref="A1079:H1079"/>
    <mergeCell ref="F1081:G1081"/>
    <mergeCell ref="H1081:I1081"/>
    <mergeCell ref="J1081:L1081"/>
    <mergeCell ref="A1083:H1083"/>
    <mergeCell ref="F1084:G1084"/>
    <mergeCell ref="H1084:I1084"/>
    <mergeCell ref="J1084:L1084"/>
    <mergeCell ref="F1085:G1085"/>
    <mergeCell ref="H1085:I1085"/>
    <mergeCell ref="J1085:L1085"/>
    <mergeCell ref="F1086:G1086"/>
    <mergeCell ref="H1086:I1086"/>
    <mergeCell ref="J1086:L1086"/>
    <mergeCell ref="F1146:G1146"/>
    <mergeCell ref="H1146:I1146"/>
    <mergeCell ref="J1146:L1146"/>
    <mergeCell ref="F1139:G1139"/>
    <mergeCell ref="H1139:I1139"/>
    <mergeCell ref="J1139:L1139"/>
    <mergeCell ref="F1140:G1140"/>
    <mergeCell ref="H1140:I1140"/>
    <mergeCell ref="J1140:L1140"/>
    <mergeCell ref="F1135:G1135"/>
    <mergeCell ref="H1135:I1135"/>
    <mergeCell ref="J1135:L1135"/>
    <mergeCell ref="F1134:G1134"/>
    <mergeCell ref="H1134:I1134"/>
    <mergeCell ref="J1134:L1134"/>
    <mergeCell ref="F1117:G1117"/>
    <mergeCell ref="H1117:I1117"/>
    <mergeCell ref="J1117:L1117"/>
    <mergeCell ref="J1147:L1147"/>
    <mergeCell ref="A1149:H1149"/>
    <mergeCell ref="F1150:G1150"/>
    <mergeCell ref="H1150:I1150"/>
    <mergeCell ref="J1150:L1150"/>
    <mergeCell ref="F1151:G1151"/>
    <mergeCell ref="H1151:I1151"/>
    <mergeCell ref="J1151:L1151"/>
    <mergeCell ref="F1145:G1145"/>
    <mergeCell ref="H1145:I1145"/>
    <mergeCell ref="J1145:L1145"/>
    <mergeCell ref="F1141:G1141"/>
    <mergeCell ref="H1141:I1141"/>
    <mergeCell ref="J1141:L1141"/>
    <mergeCell ref="A1143:H1143"/>
    <mergeCell ref="F1144:G1144"/>
    <mergeCell ref="H1144:I1144"/>
    <mergeCell ref="J1144:L1144"/>
    <mergeCell ref="F1147:G1147"/>
    <mergeCell ref="H1147:I1147"/>
    <mergeCell ref="F1177:G1177"/>
    <mergeCell ref="H1177:I1177"/>
    <mergeCell ref="J1177:L1177"/>
    <mergeCell ref="F1154:G1154"/>
    <mergeCell ref="H1154:I1154"/>
    <mergeCell ref="J1154:L1154"/>
    <mergeCell ref="F1191:G1191"/>
    <mergeCell ref="H1191:I1191"/>
    <mergeCell ref="J1191:L1191"/>
    <mergeCell ref="F1192:G1192"/>
    <mergeCell ref="H1192:I1192"/>
    <mergeCell ref="J1192:L1192"/>
    <mergeCell ref="A1194:H1194"/>
    <mergeCell ref="F1195:G1195"/>
    <mergeCell ref="H1195:I1195"/>
    <mergeCell ref="J1195:L1195"/>
    <mergeCell ref="F1196:G1196"/>
    <mergeCell ref="H1196:I1196"/>
    <mergeCell ref="J1196:L1196"/>
    <mergeCell ref="A1207:H1207"/>
    <mergeCell ref="F1208:G1208"/>
    <mergeCell ref="H1208:I1208"/>
    <mergeCell ref="J1208:L1208"/>
    <mergeCell ref="F1209:G1209"/>
    <mergeCell ref="H1209:I1209"/>
    <mergeCell ref="J1209:L1209"/>
    <mergeCell ref="A1214:H1214"/>
    <mergeCell ref="F1215:G1215"/>
    <mergeCell ref="H1215:I1215"/>
    <mergeCell ref="J1215:L1215"/>
    <mergeCell ref="F1216:G1216"/>
    <mergeCell ref="H1216:I1216"/>
    <mergeCell ref="J1216:L1216"/>
    <mergeCell ref="F1184:G1184"/>
    <mergeCell ref="H1184:I1184"/>
    <mergeCell ref="J1184:L1184"/>
    <mergeCell ref="F1182:G1182"/>
    <mergeCell ref="H1182:I1182"/>
    <mergeCell ref="J1182:L1182"/>
    <mergeCell ref="F1183:G1183"/>
    <mergeCell ref="H1183:I1183"/>
    <mergeCell ref="J1183:L1183"/>
    <mergeCell ref="F1181:G1181"/>
    <mergeCell ref="H1181:I1181"/>
    <mergeCell ref="J1181:L1181"/>
    <mergeCell ref="F1178:G1178"/>
    <mergeCell ref="H1178:I1178"/>
    <mergeCell ref="J1178:L1178"/>
    <mergeCell ref="A1180:H1180"/>
    <mergeCell ref="A1186:H1186"/>
    <mergeCell ref="F1187:G1187"/>
    <mergeCell ref="H1187:I1187"/>
    <mergeCell ref="J1187:L1187"/>
    <mergeCell ref="F1188:G1188"/>
    <mergeCell ref="H1188:I1188"/>
    <mergeCell ref="J1188:L1188"/>
    <mergeCell ref="A1190:H1190"/>
    <mergeCell ref="F1173:G1173"/>
    <mergeCell ref="H1173:I1173"/>
    <mergeCell ref="J1173:L1173"/>
    <mergeCell ref="F1172:G1172"/>
    <mergeCell ref="H1172:I1172"/>
    <mergeCell ref="J1172:L1172"/>
    <mergeCell ref="A1220:H1220"/>
    <mergeCell ref="F1221:G1221"/>
    <mergeCell ref="H1221:I1221"/>
    <mergeCell ref="J1221:L1221"/>
    <mergeCell ref="F1224:G1224"/>
    <mergeCell ref="H1224:I1224"/>
    <mergeCell ref="J1224:L1224"/>
    <mergeCell ref="F1223:G1223"/>
    <mergeCell ref="H1223:I1223"/>
    <mergeCell ref="J1223:L1223"/>
    <mergeCell ref="F1222:G1222"/>
    <mergeCell ref="H1222:I1222"/>
    <mergeCell ref="J1222:L1222"/>
    <mergeCell ref="F1217:G1217"/>
    <mergeCell ref="H1217:I1217"/>
    <mergeCell ref="J1217:L1217"/>
    <mergeCell ref="F1218:G1218"/>
    <mergeCell ref="H1218:I1218"/>
    <mergeCell ref="J1218:L1218"/>
    <mergeCell ref="F1211:G1211"/>
    <mergeCell ref="H1211:I1211"/>
    <mergeCell ref="J1211:L1211"/>
    <mergeCell ref="F1212:G1212"/>
    <mergeCell ref="H1212:I1212"/>
    <mergeCell ref="J1212:L1212"/>
    <mergeCell ref="F1210:G1210"/>
    <mergeCell ref="H1210:I1210"/>
    <mergeCell ref="J1210:L1210"/>
    <mergeCell ref="F1197:G1197"/>
    <mergeCell ref="H1197:I1197"/>
    <mergeCell ref="J1197:L1197"/>
    <mergeCell ref="F1225:G1225"/>
    <mergeCell ref="H1225:I1225"/>
    <mergeCell ref="J1225:L1225"/>
    <mergeCell ref="F1226:G1226"/>
    <mergeCell ref="H1226:I1226"/>
    <mergeCell ref="J1226:L1226"/>
    <mergeCell ref="F1274:G1274"/>
    <mergeCell ref="H1274:I1274"/>
    <mergeCell ref="J1274:L1274"/>
    <mergeCell ref="A1276:H1276"/>
    <mergeCell ref="F1279:G1279"/>
    <mergeCell ref="H1279:I1279"/>
    <mergeCell ref="J1279:L1279"/>
    <mergeCell ref="A1289:H1289"/>
    <mergeCell ref="F1295:G1295"/>
    <mergeCell ref="H1295:I1295"/>
    <mergeCell ref="J1295:L1295"/>
    <mergeCell ref="F1296:G1296"/>
    <mergeCell ref="H1296:I1296"/>
    <mergeCell ref="J1296:L1296"/>
    <mergeCell ref="A1298:H1298"/>
    <mergeCell ref="F1300:G1300"/>
    <mergeCell ref="H1300:I1300"/>
    <mergeCell ref="J1300:L1300"/>
    <mergeCell ref="F1278:G1278"/>
    <mergeCell ref="H1278:I1278"/>
    <mergeCell ref="J1278:L1278"/>
    <mergeCell ref="F1277:G1277"/>
    <mergeCell ref="H1277:I1277"/>
    <mergeCell ref="J1277:L1277"/>
    <mergeCell ref="F1273:G1273"/>
    <mergeCell ref="H1273:I1273"/>
    <mergeCell ref="J1273:L1273"/>
    <mergeCell ref="F1269:G1269"/>
    <mergeCell ref="H1269:I1269"/>
    <mergeCell ref="J1269:L1269"/>
    <mergeCell ref="F1265:G1265"/>
    <mergeCell ref="H1265:I1265"/>
    <mergeCell ref="J1265:L1265"/>
    <mergeCell ref="F1262:G1262"/>
    <mergeCell ref="H1262:I1262"/>
    <mergeCell ref="J1262:L1262"/>
    <mergeCell ref="F1255:G1255"/>
    <mergeCell ref="H1255:I1255"/>
    <mergeCell ref="J1255:L1255"/>
    <mergeCell ref="A1259:H1259"/>
    <mergeCell ref="F1260:G1260"/>
    <mergeCell ref="H1260:I1260"/>
    <mergeCell ref="J1260:L1260"/>
    <mergeCell ref="F1261:G1261"/>
    <mergeCell ref="H1261:I1261"/>
    <mergeCell ref="J1261:L1261"/>
    <mergeCell ref="A1264:H1264"/>
    <mergeCell ref="F1266:G1266"/>
    <mergeCell ref="H1266:I1266"/>
    <mergeCell ref="J1266:L1266"/>
    <mergeCell ref="A1268:H1268"/>
    <mergeCell ref="F1270:G1270"/>
    <mergeCell ref="H1270:I1270"/>
    <mergeCell ref="J1270:L1270"/>
    <mergeCell ref="A1272:H1272"/>
    <mergeCell ref="F1227:G1227"/>
    <mergeCell ref="H1227:I1227"/>
    <mergeCell ref="J1227:L1227"/>
    <mergeCell ref="F1257:G1257"/>
    <mergeCell ref="H1257:I1257"/>
    <mergeCell ref="J1257:L1257"/>
    <mergeCell ref="F1340:G1340"/>
    <mergeCell ref="H1340:I1340"/>
    <mergeCell ref="J1340:L1340"/>
    <mergeCell ref="F1341:G1341"/>
    <mergeCell ref="H1341:I1341"/>
    <mergeCell ref="J1341:L1341"/>
    <mergeCell ref="A1344:H1344"/>
    <mergeCell ref="F1345:G1345"/>
    <mergeCell ref="H1345:I1345"/>
    <mergeCell ref="J1345:L1345"/>
    <mergeCell ref="A1348:H1348"/>
    <mergeCell ref="F1349:G1349"/>
    <mergeCell ref="H1349:I1349"/>
    <mergeCell ref="J1349:L1349"/>
    <mergeCell ref="A1352:H1352"/>
    <mergeCell ref="F1353:G1353"/>
    <mergeCell ref="H1353:I1353"/>
    <mergeCell ref="J1353:L1353"/>
    <mergeCell ref="F1354:G1354"/>
    <mergeCell ref="H1354:I1354"/>
    <mergeCell ref="J1354:L1354"/>
    <mergeCell ref="A1356:H1356"/>
    <mergeCell ref="F1357:G1357"/>
    <mergeCell ref="H1357:I1357"/>
    <mergeCell ref="J1357:L1357"/>
    <mergeCell ref="F1358:G1358"/>
    <mergeCell ref="H1358:I1358"/>
    <mergeCell ref="J1358:L1358"/>
    <mergeCell ref="F1359:G1359"/>
    <mergeCell ref="H1359:I1359"/>
    <mergeCell ref="J1359:L1359"/>
    <mergeCell ref="F1373:G1373"/>
    <mergeCell ref="H1373:I1373"/>
    <mergeCell ref="J1373:L1373"/>
    <mergeCell ref="F1346:G1346"/>
    <mergeCell ref="H1346:I1346"/>
    <mergeCell ref="J1346:L1346"/>
    <mergeCell ref="F1342:G1342"/>
    <mergeCell ref="H1342:I1342"/>
    <mergeCell ref="J1342:L1342"/>
    <mergeCell ref="A1421:H1421"/>
    <mergeCell ref="F1422:G1422"/>
    <mergeCell ref="H1422:I1422"/>
    <mergeCell ref="J1422:L1422"/>
    <mergeCell ref="A1425:H1425"/>
    <mergeCell ref="F1426:G1426"/>
    <mergeCell ref="H1426:I1426"/>
    <mergeCell ref="J1426:L1426"/>
    <mergeCell ref="F1407:G1407"/>
    <mergeCell ref="H1407:I1407"/>
    <mergeCell ref="J1407:L1407"/>
    <mergeCell ref="F1408:G1408"/>
    <mergeCell ref="H1408:I1408"/>
    <mergeCell ref="J1408:L1408"/>
    <mergeCell ref="F1409:G1409"/>
    <mergeCell ref="F1446:G1446"/>
    <mergeCell ref="H1446:I1446"/>
    <mergeCell ref="J1446:L1446"/>
    <mergeCell ref="A1448:H1448"/>
    <mergeCell ref="F1451:G1451"/>
    <mergeCell ref="H1451:I1451"/>
    <mergeCell ref="J1451:L1451"/>
    <mergeCell ref="F1443:G1443"/>
    <mergeCell ref="H1443:I1443"/>
    <mergeCell ref="J1443:L1443"/>
    <mergeCell ref="F1444:G1444"/>
    <mergeCell ref="H1444:I1444"/>
    <mergeCell ref="J1444:L1444"/>
    <mergeCell ref="F1441:G1441"/>
    <mergeCell ref="H1441:I1441"/>
    <mergeCell ref="J1441:L1441"/>
    <mergeCell ref="F1442:G1442"/>
    <mergeCell ref="H1442:I1442"/>
    <mergeCell ref="J1442:L1442"/>
    <mergeCell ref="F1440:G1440"/>
    <mergeCell ref="H1440:I1440"/>
    <mergeCell ref="J1440:L1440"/>
    <mergeCell ref="F1427:G1427"/>
    <mergeCell ref="H1427:I1427"/>
    <mergeCell ref="J1427:L1427"/>
    <mergeCell ref="F1428:G1428"/>
    <mergeCell ref="H1428:I1428"/>
    <mergeCell ref="J1428:L1428"/>
    <mergeCell ref="F1423:G1423"/>
    <mergeCell ref="H1423:I1423"/>
    <mergeCell ref="J1423:L1423"/>
    <mergeCell ref="A1438:H1438"/>
    <mergeCell ref="F1439:G1439"/>
    <mergeCell ref="H1439:I1439"/>
    <mergeCell ref="J1439:L1439"/>
    <mergeCell ref="F1544:G1544"/>
    <mergeCell ref="H1544:I1544"/>
    <mergeCell ref="J1544:L1544"/>
    <mergeCell ref="F1545:G1545"/>
    <mergeCell ref="H1545:I1545"/>
    <mergeCell ref="J1545:L1545"/>
    <mergeCell ref="A1547:H1547"/>
    <mergeCell ref="F1549:G1549"/>
    <mergeCell ref="H1549:I1549"/>
    <mergeCell ref="J1549:L1549"/>
    <mergeCell ref="A1551:H1551"/>
    <mergeCell ref="F1552:G1552"/>
    <mergeCell ref="H1552:I1552"/>
    <mergeCell ref="J1552:L1552"/>
    <mergeCell ref="F1553:G1553"/>
    <mergeCell ref="H1553:I1553"/>
    <mergeCell ref="J1553:L1553"/>
    <mergeCell ref="F1554:G1554"/>
    <mergeCell ref="H1554:I1554"/>
    <mergeCell ref="J1554:L1554"/>
    <mergeCell ref="A1564:H1564"/>
    <mergeCell ref="F1567:G1567"/>
    <mergeCell ref="H1567:I1567"/>
    <mergeCell ref="J1567:L1567"/>
    <mergeCell ref="A1569:H1569"/>
    <mergeCell ref="F1577:G1577"/>
    <mergeCell ref="H1577:I1577"/>
    <mergeCell ref="J1577:L1577"/>
    <mergeCell ref="F1578:G1578"/>
    <mergeCell ref="H1578:I1578"/>
    <mergeCell ref="J1578:L1578"/>
    <mergeCell ref="A1580:H1580"/>
    <mergeCell ref="F1581:G1581"/>
    <mergeCell ref="H1581:I1581"/>
    <mergeCell ref="J1581:L1581"/>
    <mergeCell ref="F1570:G1570"/>
    <mergeCell ref="H1570:I1570"/>
    <mergeCell ref="J1570:L1570"/>
    <mergeCell ref="F1571:G1571"/>
    <mergeCell ref="H1571:I1571"/>
    <mergeCell ref="J1571:L1571"/>
    <mergeCell ref="F1566:G1566"/>
    <mergeCell ref="H1566:I1566"/>
    <mergeCell ref="J1566:L1566"/>
    <mergeCell ref="F1565:G1565"/>
    <mergeCell ref="H1565:I1565"/>
    <mergeCell ref="J1565:L1565"/>
    <mergeCell ref="F1548:G1548"/>
    <mergeCell ref="H1548:I1548"/>
    <mergeCell ref="J1548:L1548"/>
    <mergeCell ref="H1615:I1615"/>
    <mergeCell ref="J1615:L1615"/>
    <mergeCell ref="A1617:H1617"/>
    <mergeCell ref="F1618:G1618"/>
    <mergeCell ref="H1618:I1618"/>
    <mergeCell ref="J1618:L1618"/>
    <mergeCell ref="F1619:G1619"/>
    <mergeCell ref="H1619:I1619"/>
    <mergeCell ref="J1619:L1619"/>
    <mergeCell ref="A1621:H1621"/>
    <mergeCell ref="F1623:G1623"/>
    <mergeCell ref="H1623:I1623"/>
    <mergeCell ref="J1623:L1623"/>
    <mergeCell ref="F1622:G1622"/>
    <mergeCell ref="H1622:I1622"/>
    <mergeCell ref="J1622:L1622"/>
    <mergeCell ref="A1611:H1611"/>
    <mergeCell ref="F1612:G1612"/>
    <mergeCell ref="H1612:I1612"/>
    <mergeCell ref="J1612:L1612"/>
    <mergeCell ref="F1613:G1613"/>
    <mergeCell ref="H1613:I1613"/>
    <mergeCell ref="J1613:L1613"/>
    <mergeCell ref="A1654:H1654"/>
    <mergeCell ref="F1655:G1655"/>
    <mergeCell ref="H1655:I1655"/>
    <mergeCell ref="J1655:L1655"/>
    <mergeCell ref="F1656:G1656"/>
    <mergeCell ref="H1656:I1656"/>
    <mergeCell ref="J1656:L1656"/>
    <mergeCell ref="A1658:H1658"/>
    <mergeCell ref="F1660:G1660"/>
    <mergeCell ref="H1660:I1660"/>
    <mergeCell ref="J1660:L1660"/>
    <mergeCell ref="A1638:H1638"/>
    <mergeCell ref="A1625:H1625"/>
    <mergeCell ref="F1626:G1626"/>
    <mergeCell ref="H1626:I1626"/>
    <mergeCell ref="J1626:L1626"/>
    <mergeCell ref="F1627:G1627"/>
    <mergeCell ref="H1627:I1627"/>
    <mergeCell ref="J1627:L1627"/>
    <mergeCell ref="F1628:G1628"/>
    <mergeCell ref="H1628:I1628"/>
    <mergeCell ref="J1628:L1628"/>
    <mergeCell ref="F1614:G1614"/>
    <mergeCell ref="H1614:I1614"/>
    <mergeCell ref="J1614:L1614"/>
    <mergeCell ref="F1615:G1615"/>
    <mergeCell ref="F1650:G1650"/>
    <mergeCell ref="H1650:I1650"/>
    <mergeCell ref="J1650:L1650"/>
    <mergeCell ref="F1646:G1646"/>
    <mergeCell ref="H1646:I1646"/>
    <mergeCell ref="J1646:L1646"/>
    <mergeCell ref="A1648:H1648"/>
    <mergeCell ref="F1649:G1649"/>
    <mergeCell ref="H1649:I1649"/>
    <mergeCell ref="J1649:L1649"/>
    <mergeCell ref="F1644:G1644"/>
    <mergeCell ref="H1644:I1644"/>
    <mergeCell ref="J1644:L1644"/>
    <mergeCell ref="F1645:G1645"/>
    <mergeCell ref="H1645:I1645"/>
    <mergeCell ref="A1695:H1695"/>
    <mergeCell ref="F1696:G1696"/>
    <mergeCell ref="H1696:I1696"/>
    <mergeCell ref="J1696:L1696"/>
    <mergeCell ref="F1697:G1697"/>
    <mergeCell ref="H1697:I1697"/>
    <mergeCell ref="J1697:L1697"/>
    <mergeCell ref="A1699:H1699"/>
    <mergeCell ref="F1700:G1700"/>
    <mergeCell ref="H1700:I1700"/>
    <mergeCell ref="J1700:L1700"/>
    <mergeCell ref="F1701:G1701"/>
    <mergeCell ref="H1701:I1701"/>
    <mergeCell ref="J1701:L1701"/>
    <mergeCell ref="A1712:H1712"/>
    <mergeCell ref="F1713:G1713"/>
    <mergeCell ref="H1713:I1713"/>
    <mergeCell ref="J1713:L1713"/>
    <mergeCell ref="F1714:G1714"/>
    <mergeCell ref="H1714:I1714"/>
    <mergeCell ref="J1714:L1714"/>
    <mergeCell ref="A1719:H1719"/>
    <mergeCell ref="F1722:G1722"/>
    <mergeCell ref="H1722:I1722"/>
    <mergeCell ref="J1722:L1722"/>
    <mergeCell ref="F1723:G1723"/>
    <mergeCell ref="H1723:I1723"/>
    <mergeCell ref="J1723:L1723"/>
    <mergeCell ref="H1720:I1720"/>
    <mergeCell ref="J1720:L1720"/>
    <mergeCell ref="F1717:G1717"/>
    <mergeCell ref="H1717:I1717"/>
    <mergeCell ref="J1717:L1717"/>
    <mergeCell ref="J1721:L1721"/>
    <mergeCell ref="F1720:G1720"/>
    <mergeCell ref="A1757:H1757"/>
    <mergeCell ref="F1762:G1762"/>
    <mergeCell ref="H1762:I1762"/>
    <mergeCell ref="J1762:L1762"/>
    <mergeCell ref="F1732:G1732"/>
    <mergeCell ref="H1732:I1732"/>
    <mergeCell ref="J1732:L1732"/>
    <mergeCell ref="F1733:G1733"/>
    <mergeCell ref="H1733:I1733"/>
    <mergeCell ref="J1733:L1733"/>
    <mergeCell ref="A1725:H1725"/>
    <mergeCell ref="F1728:G1728"/>
    <mergeCell ref="H1728:I1728"/>
    <mergeCell ref="J1728:L1728"/>
    <mergeCell ref="F1729:G1729"/>
    <mergeCell ref="H1729:I1729"/>
    <mergeCell ref="J1729:L1729"/>
    <mergeCell ref="F1734:G1734"/>
    <mergeCell ref="H1734:I1734"/>
    <mergeCell ref="J1734:L1734"/>
    <mergeCell ref="A1736:H1736"/>
    <mergeCell ref="F1738:G1738"/>
    <mergeCell ref="H1738:I1738"/>
    <mergeCell ref="J1738:L1738"/>
    <mergeCell ref="A1740:H1740"/>
    <mergeCell ref="F1742:G1742"/>
    <mergeCell ref="H1742:I1742"/>
    <mergeCell ref="J1742:L1742"/>
    <mergeCell ref="A1744:H1744"/>
    <mergeCell ref="F1747:G1747"/>
    <mergeCell ref="H1747:I1747"/>
    <mergeCell ref="J1747:L1747"/>
    <mergeCell ref="F1715:G1715"/>
    <mergeCell ref="H1715:I1715"/>
    <mergeCell ref="J1715:L1715"/>
    <mergeCell ref="J1746:L1746"/>
    <mergeCell ref="F1745:G1745"/>
    <mergeCell ref="H1745:I1745"/>
    <mergeCell ref="J1745:L1745"/>
    <mergeCell ref="F1741:G1741"/>
    <mergeCell ref="H1741:I1741"/>
    <mergeCell ref="J1741:L1741"/>
    <mergeCell ref="F1737:G1737"/>
    <mergeCell ref="H1737:I1737"/>
    <mergeCell ref="J1737:L1737"/>
    <mergeCell ref="F1768:G1768"/>
    <mergeCell ref="H1768:I1768"/>
    <mergeCell ref="J1768:L1768"/>
    <mergeCell ref="F1775:G1775"/>
    <mergeCell ref="H1775:I1775"/>
    <mergeCell ref="J1775:L1775"/>
    <mergeCell ref="F1776:G1776"/>
    <mergeCell ref="H1776:I1776"/>
    <mergeCell ref="J1776:L1776"/>
    <mergeCell ref="A1778:H1778"/>
    <mergeCell ref="F1779:G1779"/>
    <mergeCell ref="H1779:I1779"/>
    <mergeCell ref="J1779:L1779"/>
    <mergeCell ref="F1780:G1780"/>
    <mergeCell ref="H1780:I1780"/>
    <mergeCell ref="J1780:L1780"/>
    <mergeCell ref="A1782:H1782"/>
    <mergeCell ref="F1784:G1784"/>
    <mergeCell ref="H1784:I1784"/>
    <mergeCell ref="J1784:L1784"/>
    <mergeCell ref="A1786:H1786"/>
    <mergeCell ref="F1787:G1787"/>
    <mergeCell ref="H1787:I1787"/>
    <mergeCell ref="J1787:L1787"/>
    <mergeCell ref="F1840:G1840"/>
    <mergeCell ref="H1840:I1840"/>
    <mergeCell ref="J1840:L1840"/>
    <mergeCell ref="F1839:G1839"/>
    <mergeCell ref="H1839:I1839"/>
    <mergeCell ref="J1839:L1839"/>
    <mergeCell ref="F1820:G1820"/>
    <mergeCell ref="H1820:I1820"/>
    <mergeCell ref="J1820:L1820"/>
    <mergeCell ref="F1821:G1821"/>
    <mergeCell ref="H1821:I1821"/>
    <mergeCell ref="J1821:L1821"/>
    <mergeCell ref="F1816:G1816"/>
    <mergeCell ref="H1816:I1816"/>
    <mergeCell ref="J1816:L1816"/>
    <mergeCell ref="F1817:G1817"/>
    <mergeCell ref="H1817:I1817"/>
    <mergeCell ref="J1817:L1817"/>
    <mergeCell ref="A1819:H1819"/>
    <mergeCell ref="A1823:H1823"/>
    <mergeCell ref="F1824:G1824"/>
    <mergeCell ref="H1824:I1824"/>
    <mergeCell ref="J1824:L1824"/>
    <mergeCell ref="F1825:G1825"/>
    <mergeCell ref="H1825:I1825"/>
    <mergeCell ref="J1825:L1825"/>
    <mergeCell ref="F1826:G1826"/>
    <mergeCell ref="H1826:I1826"/>
    <mergeCell ref="J1826:L1826"/>
    <mergeCell ref="A1836:H1836"/>
    <mergeCell ref="F1837:G1837"/>
    <mergeCell ref="H1837:I1837"/>
    <mergeCell ref="J1837:L1837"/>
    <mergeCell ref="F1813:G1813"/>
    <mergeCell ref="H1813:I1813"/>
    <mergeCell ref="J1813:L1813"/>
    <mergeCell ref="F1838:G1838"/>
    <mergeCell ref="H1838:I1838"/>
    <mergeCell ref="J1838:L1838"/>
    <mergeCell ref="A1815:H1815"/>
    <mergeCell ref="F1841:G1841"/>
    <mergeCell ref="H1841:I1841"/>
    <mergeCell ref="J1841:L1841"/>
    <mergeCell ref="A1844:H1844"/>
    <mergeCell ref="F1845:G1845"/>
    <mergeCell ref="H1845:I1845"/>
    <mergeCell ref="J1845:L1845"/>
    <mergeCell ref="F1846:G1846"/>
    <mergeCell ref="H1846:I1846"/>
    <mergeCell ref="J1846:L1846"/>
    <mergeCell ref="A1849:H1849"/>
    <mergeCell ref="F1850:G1850"/>
    <mergeCell ref="H1850:I1850"/>
    <mergeCell ref="J1850:L1850"/>
    <mergeCell ref="A1853:H1853"/>
    <mergeCell ref="F1854:G1854"/>
    <mergeCell ref="H1854:I1854"/>
    <mergeCell ref="J1854:L1854"/>
    <mergeCell ref="A1857:H1857"/>
    <mergeCell ref="F1858:G1858"/>
    <mergeCell ref="H1858:I1858"/>
    <mergeCell ref="J1858:L1858"/>
    <mergeCell ref="F1859:G1859"/>
    <mergeCell ref="H1859:I1859"/>
    <mergeCell ref="J1859:L1859"/>
    <mergeCell ref="A1861:H1861"/>
    <mergeCell ref="F1862:G1862"/>
    <mergeCell ref="H1862:I1862"/>
    <mergeCell ref="J1862:L1862"/>
    <mergeCell ref="F1863:G1863"/>
    <mergeCell ref="H1863:I1863"/>
    <mergeCell ref="J1863:L1863"/>
    <mergeCell ref="F1855:G1855"/>
    <mergeCell ref="H1855:I1855"/>
    <mergeCell ref="J1855:L1855"/>
    <mergeCell ref="F1851:G1851"/>
    <mergeCell ref="H1851:I1851"/>
    <mergeCell ref="J1851:L1851"/>
    <mergeCell ref="F1847:G1847"/>
    <mergeCell ref="H1847:I1847"/>
    <mergeCell ref="J1847:L1847"/>
    <mergeCell ref="F1842:G1842"/>
    <mergeCell ref="H1842:I1842"/>
    <mergeCell ref="J1842:L1842"/>
    <mergeCell ref="F1864:G1864"/>
    <mergeCell ref="H1864:I1864"/>
    <mergeCell ref="J1864:L1864"/>
    <mergeCell ref="A1874:H1874"/>
    <mergeCell ref="F1875:G1875"/>
    <mergeCell ref="H1875:I1875"/>
    <mergeCell ref="J1875:L1875"/>
    <mergeCell ref="A1884:H1884"/>
    <mergeCell ref="F1886:G1886"/>
    <mergeCell ref="H1886:I1886"/>
    <mergeCell ref="J1886:L1886"/>
    <mergeCell ref="F1887:G1887"/>
    <mergeCell ref="H1887:I1887"/>
    <mergeCell ref="J1887:L1887"/>
    <mergeCell ref="A1889:H1889"/>
    <mergeCell ref="F1890:G1890"/>
    <mergeCell ref="H1890:I1890"/>
    <mergeCell ref="J1890:L1890"/>
    <mergeCell ref="F1891:G1891"/>
    <mergeCell ref="H1891:I1891"/>
    <mergeCell ref="J1891:L1891"/>
    <mergeCell ref="A1893:H1893"/>
    <mergeCell ref="F1894:G1894"/>
    <mergeCell ref="H1894:I1894"/>
    <mergeCell ref="J1894:L1894"/>
    <mergeCell ref="F1895:G1895"/>
    <mergeCell ref="H1895:I1895"/>
    <mergeCell ref="J1895:L1895"/>
    <mergeCell ref="A1897:H1897"/>
    <mergeCell ref="F1899:G1899"/>
    <mergeCell ref="H1899:I1899"/>
    <mergeCell ref="J1899:L1899"/>
    <mergeCell ref="F1900:G1900"/>
    <mergeCell ref="H1900:I1900"/>
    <mergeCell ref="J1900:L1900"/>
    <mergeCell ref="F1878:G1878"/>
    <mergeCell ref="H1878:I1878"/>
    <mergeCell ref="J1878:L1878"/>
    <mergeCell ref="A1880:H1880"/>
    <mergeCell ref="F1881:G1881"/>
    <mergeCell ref="H1881:I1881"/>
    <mergeCell ref="J1881:L1881"/>
    <mergeCell ref="F1876:G1876"/>
    <mergeCell ref="H1876:I1876"/>
    <mergeCell ref="J1876:L1876"/>
    <mergeCell ref="F1877:G1877"/>
    <mergeCell ref="H1877:I1877"/>
    <mergeCell ref="J1877:L1877"/>
    <mergeCell ref="J1898:L1898"/>
    <mergeCell ref="F2056:G2056"/>
    <mergeCell ref="H2056:I2056"/>
    <mergeCell ref="J2056:L2056"/>
    <mergeCell ref="A2066:H2066"/>
    <mergeCell ref="F2067:G2067"/>
    <mergeCell ref="H2067:I2067"/>
    <mergeCell ref="J2067:L2067"/>
    <mergeCell ref="A2071:H2071"/>
    <mergeCell ref="F2072:G2072"/>
    <mergeCell ref="H2072:I2072"/>
    <mergeCell ref="J2072:L2072"/>
    <mergeCell ref="F2073:G2073"/>
    <mergeCell ref="H2073:I2073"/>
    <mergeCell ref="J2073:L2073"/>
    <mergeCell ref="A2076:H2076"/>
    <mergeCell ref="A2082:H2082"/>
    <mergeCell ref="F2083:G2083"/>
    <mergeCell ref="H2083:I2083"/>
    <mergeCell ref="J2083:L2083"/>
    <mergeCell ref="A2086:H2086"/>
    <mergeCell ref="F2087:G2087"/>
    <mergeCell ref="H2087:I2087"/>
    <mergeCell ref="J2087:L2087"/>
    <mergeCell ref="F2074:G2074"/>
    <mergeCell ref="H2074:I2074"/>
    <mergeCell ref="J2074:L2074"/>
    <mergeCell ref="A2049:H2049"/>
    <mergeCell ref="F2041:G2041"/>
    <mergeCell ref="H2041:I2041"/>
    <mergeCell ref="J2041:L2041"/>
    <mergeCell ref="F2037:G2037"/>
    <mergeCell ref="H2037:I2037"/>
    <mergeCell ref="J2037:L2037"/>
    <mergeCell ref="A2039:H2039"/>
    <mergeCell ref="F2040:G2040"/>
    <mergeCell ref="H2040:I2040"/>
    <mergeCell ref="J2040:L2040"/>
    <mergeCell ref="F2042:G2042"/>
    <mergeCell ref="H2042:I2042"/>
    <mergeCell ref="J2042:L2042"/>
    <mergeCell ref="F2043:G2043"/>
    <mergeCell ref="H2043:I2043"/>
    <mergeCell ref="J2043:L2043"/>
    <mergeCell ref="A2045:H2045"/>
    <mergeCell ref="F2046:G2046"/>
    <mergeCell ref="H2046:I2046"/>
    <mergeCell ref="J2046:L2046"/>
    <mergeCell ref="F2047:G2047"/>
    <mergeCell ref="H2047:I2047"/>
    <mergeCell ref="J2047:L2047"/>
    <mergeCell ref="F2111:G2111"/>
    <mergeCell ref="H2111:I2111"/>
    <mergeCell ref="J2111:L2111"/>
    <mergeCell ref="F2112:G2112"/>
    <mergeCell ref="H2112:I2112"/>
    <mergeCell ref="J2112:L2112"/>
    <mergeCell ref="A2116:H2116"/>
    <mergeCell ref="F2117:G2117"/>
    <mergeCell ref="H2117:I2117"/>
    <mergeCell ref="J2117:L2117"/>
    <mergeCell ref="F2123:G2123"/>
    <mergeCell ref="H2123:I2123"/>
    <mergeCell ref="J2123:L2123"/>
    <mergeCell ref="F2124:G2124"/>
    <mergeCell ref="H2124:I2124"/>
    <mergeCell ref="J2124:L2124"/>
    <mergeCell ref="A2126:H2126"/>
    <mergeCell ref="F2127:G2127"/>
    <mergeCell ref="H2127:I2127"/>
    <mergeCell ref="J2127:L2127"/>
    <mergeCell ref="F2128:G2128"/>
    <mergeCell ref="H2128:I2128"/>
    <mergeCell ref="J2128:L2128"/>
    <mergeCell ref="A2130:H2130"/>
    <mergeCell ref="F2131:G2131"/>
    <mergeCell ref="H2131:I2131"/>
    <mergeCell ref="J2131:L2131"/>
    <mergeCell ref="F2132:G2132"/>
    <mergeCell ref="H2132:I2132"/>
    <mergeCell ref="J2132:L2132"/>
    <mergeCell ref="A2134:H2134"/>
    <mergeCell ref="F2136:G2136"/>
    <mergeCell ref="H2136:I2136"/>
    <mergeCell ref="J2136:L2136"/>
    <mergeCell ref="F2209:G2209"/>
    <mergeCell ref="H2209:I2209"/>
    <mergeCell ref="J2209:L2209"/>
    <mergeCell ref="F2210:G2210"/>
    <mergeCell ref="H2210:I2210"/>
    <mergeCell ref="J2210:L2210"/>
    <mergeCell ref="A2212:H2212"/>
    <mergeCell ref="F2214:G2214"/>
    <mergeCell ref="H2214:I2214"/>
    <mergeCell ref="J2214:L2214"/>
    <mergeCell ref="A2216:H2216"/>
    <mergeCell ref="F2217:G2217"/>
    <mergeCell ref="H2217:I2217"/>
    <mergeCell ref="J2217:L2217"/>
    <mergeCell ref="F2218:G2218"/>
    <mergeCell ref="H2218:I2218"/>
    <mergeCell ref="J2218:L2218"/>
    <mergeCell ref="F2219:G2219"/>
    <mergeCell ref="H2219:I2219"/>
    <mergeCell ref="J2219:L2219"/>
    <mergeCell ref="A2229:H2229"/>
    <mergeCell ref="F2232:G2232"/>
    <mergeCell ref="H2232:I2232"/>
    <mergeCell ref="J2232:L2232"/>
    <mergeCell ref="A2234:H2234"/>
    <mergeCell ref="F2242:G2242"/>
    <mergeCell ref="H2242:I2242"/>
    <mergeCell ref="J2242:L2242"/>
    <mergeCell ref="F2243:G2243"/>
    <mergeCell ref="H2243:I2243"/>
    <mergeCell ref="J2243:L2243"/>
    <mergeCell ref="A2245:H2245"/>
    <mergeCell ref="F2246:G2246"/>
    <mergeCell ref="H2246:I2246"/>
    <mergeCell ref="J2246:L2246"/>
    <mergeCell ref="F2231:G2231"/>
    <mergeCell ref="H2231:I2231"/>
    <mergeCell ref="J2231:L2231"/>
    <mergeCell ref="F2230:G2230"/>
    <mergeCell ref="H2230:I2230"/>
    <mergeCell ref="J2230:L2230"/>
    <mergeCell ref="F2213:G2213"/>
    <mergeCell ref="H2213:I2213"/>
    <mergeCell ref="J2213:L2213"/>
    <mergeCell ref="F2305:G2305"/>
    <mergeCell ref="H2305:I2305"/>
    <mergeCell ref="J2305:L2305"/>
    <mergeCell ref="F2306:G2306"/>
    <mergeCell ref="H2306:I2306"/>
    <mergeCell ref="J2306:L2306"/>
    <mergeCell ref="F2283:G2283"/>
    <mergeCell ref="H2283:I2283"/>
    <mergeCell ref="J2283:L2283"/>
    <mergeCell ref="F2284:G2284"/>
    <mergeCell ref="H2284:I2284"/>
    <mergeCell ref="J2284:L2284"/>
    <mergeCell ref="A2286:H2286"/>
    <mergeCell ref="F2288:G2288"/>
    <mergeCell ref="H2288:I2288"/>
    <mergeCell ref="J2288:L2288"/>
    <mergeCell ref="F2287:G2287"/>
    <mergeCell ref="H2287:I2287"/>
    <mergeCell ref="J2287:L2287"/>
    <mergeCell ref="A2276:H2276"/>
    <mergeCell ref="F2277:G2277"/>
    <mergeCell ref="H2277:I2277"/>
    <mergeCell ref="J2277:L2277"/>
    <mergeCell ref="F2278:G2278"/>
    <mergeCell ref="H2278:I2278"/>
    <mergeCell ref="J2278:L2278"/>
    <mergeCell ref="F2291:G2291"/>
    <mergeCell ref="H2291:I2291"/>
    <mergeCell ref="J2291:L2291"/>
    <mergeCell ref="F2292:G2292"/>
    <mergeCell ref="H2292:I2292"/>
    <mergeCell ref="J2292:L2292"/>
    <mergeCell ref="F2293:G2293"/>
    <mergeCell ref="H2293:I2293"/>
    <mergeCell ref="J2293:L2293"/>
    <mergeCell ref="A2303:H2303"/>
    <mergeCell ref="F2304:G2304"/>
    <mergeCell ref="H2304:I2304"/>
    <mergeCell ref="J2304:L2304"/>
    <mergeCell ref="A2290:H2290"/>
    <mergeCell ref="F2279:G2279"/>
    <mergeCell ref="H2279:I2279"/>
    <mergeCell ref="J2279:L2279"/>
    <mergeCell ref="F2280:G2280"/>
    <mergeCell ref="H2280:I2280"/>
    <mergeCell ref="J2280:L2280"/>
    <mergeCell ref="A2282:H2282"/>
    <mergeCell ref="J2370:L2370"/>
    <mergeCell ref="F2371:G2371"/>
    <mergeCell ref="H2371:I2371"/>
    <mergeCell ref="J2371:L2371"/>
    <mergeCell ref="A2308:H2308"/>
    <mergeCell ref="F2309:G2309"/>
    <mergeCell ref="H2309:I2309"/>
    <mergeCell ref="J2309:L2309"/>
    <mergeCell ref="F2310:G2310"/>
    <mergeCell ref="H2310:I2310"/>
    <mergeCell ref="J2310:L2310"/>
    <mergeCell ref="A2313:H2313"/>
    <mergeCell ref="A2319:H2319"/>
    <mergeCell ref="F2321:G2321"/>
    <mergeCell ref="H2321:I2321"/>
    <mergeCell ref="J2321:L2321"/>
    <mergeCell ref="A2323:H2323"/>
    <mergeCell ref="F2325:G2325"/>
    <mergeCell ref="H2325:I2325"/>
    <mergeCell ref="J2325:L2325"/>
    <mergeCell ref="A2327:H2327"/>
    <mergeCell ref="F2329:G2329"/>
    <mergeCell ref="H2329:I2329"/>
    <mergeCell ref="J2329:L2329"/>
    <mergeCell ref="F2315:G2315"/>
    <mergeCell ref="H2315:I2315"/>
    <mergeCell ref="J2315:L2315"/>
    <mergeCell ref="F2314:G2314"/>
    <mergeCell ref="H2314:I2314"/>
    <mergeCell ref="J2314:L2314"/>
    <mergeCell ref="F2311:G2311"/>
    <mergeCell ref="H2311:I2311"/>
    <mergeCell ref="J2311:L2311"/>
    <mergeCell ref="F2362:G2362"/>
    <mergeCell ref="H2362:I2362"/>
    <mergeCell ref="J2362:L2362"/>
    <mergeCell ref="F2359:G2359"/>
    <mergeCell ref="H2359:I2359"/>
    <mergeCell ref="J2359:L2359"/>
    <mergeCell ref="F2360:G2360"/>
    <mergeCell ref="H2360:I2360"/>
    <mergeCell ref="J2360:L2360"/>
    <mergeCell ref="F2357:G2357"/>
    <mergeCell ref="H2357:I2357"/>
    <mergeCell ref="J2357:L2357"/>
    <mergeCell ref="F2358:G2358"/>
    <mergeCell ref="H2358:I2358"/>
    <mergeCell ref="J2358:L2358"/>
    <mergeCell ref="F2328:G2328"/>
    <mergeCell ref="H2328:I2328"/>
    <mergeCell ref="J2328:L2328"/>
    <mergeCell ref="F2324:G2324"/>
    <mergeCell ref="H2324:I2324"/>
    <mergeCell ref="J2324:L2324"/>
    <mergeCell ref="F2320:G2320"/>
    <mergeCell ref="H2320:I2320"/>
    <mergeCell ref="J2320:L2320"/>
    <mergeCell ref="F2316:G2316"/>
    <mergeCell ref="H2316:I2316"/>
    <mergeCell ref="J2316:L2316"/>
    <mergeCell ref="F2317:G2317"/>
    <mergeCell ref="H2317:I2317"/>
    <mergeCell ref="J2317:L2317"/>
    <mergeCell ref="F2350:G2350"/>
    <mergeCell ref="F2367:G2367"/>
    <mergeCell ref="H2367:I2367"/>
    <mergeCell ref="J2367:L2367"/>
    <mergeCell ref="F2363:G2363"/>
    <mergeCell ref="H2363:I2363"/>
    <mergeCell ref="J2363:L2363"/>
    <mergeCell ref="F2361:G2361"/>
    <mergeCell ref="H2361:I2361"/>
    <mergeCell ref="J2361:L2361"/>
    <mergeCell ref="A2409:H2409"/>
    <mergeCell ref="F2413:G2413"/>
    <mergeCell ref="H2413:I2413"/>
    <mergeCell ref="J2413:L2413"/>
    <mergeCell ref="F2414:G2414"/>
    <mergeCell ref="H2414:I2414"/>
    <mergeCell ref="J2414:L2414"/>
    <mergeCell ref="A2424:H2424"/>
    <mergeCell ref="F2425:G2425"/>
    <mergeCell ref="H2425:I2425"/>
    <mergeCell ref="J2425:L2425"/>
    <mergeCell ref="A2428:H2428"/>
    <mergeCell ref="A2432:H2432"/>
    <mergeCell ref="A2445:H2445"/>
    <mergeCell ref="F2446:G2446"/>
    <mergeCell ref="H2446:I2446"/>
    <mergeCell ref="J2446:L2446"/>
    <mergeCell ref="F2447:G2447"/>
    <mergeCell ref="H2447:I2447"/>
    <mergeCell ref="J2447:L2447"/>
    <mergeCell ref="F2451:G2451"/>
    <mergeCell ref="H2451:I2451"/>
    <mergeCell ref="J2451:L2451"/>
    <mergeCell ref="H2355:I2355"/>
    <mergeCell ref="J2355:L2355"/>
    <mergeCell ref="A2365:H2365"/>
    <mergeCell ref="F2366:G2366"/>
    <mergeCell ref="H2366:I2366"/>
    <mergeCell ref="J2366:L2366"/>
    <mergeCell ref="A2369:H2369"/>
    <mergeCell ref="A2373:H2373"/>
    <mergeCell ref="A2386:H2386"/>
    <mergeCell ref="F2388:G2388"/>
    <mergeCell ref="H2388:I2388"/>
    <mergeCell ref="J2388:L2388"/>
    <mergeCell ref="F2389:G2389"/>
    <mergeCell ref="H2389:I2389"/>
    <mergeCell ref="J2389:L2389"/>
    <mergeCell ref="F2356:G2356"/>
    <mergeCell ref="H2356:I2356"/>
    <mergeCell ref="J2356:L2356"/>
    <mergeCell ref="F2376:G2376"/>
    <mergeCell ref="H2376:I2376"/>
    <mergeCell ref="J2376:L2376"/>
    <mergeCell ref="F2374:G2374"/>
    <mergeCell ref="H2374:I2374"/>
    <mergeCell ref="J2374:L2374"/>
    <mergeCell ref="F2375:G2375"/>
    <mergeCell ref="H2375:I2375"/>
    <mergeCell ref="J2375:L2375"/>
    <mergeCell ref="F2370:G2370"/>
    <mergeCell ref="H2370:I2370"/>
    <mergeCell ref="J2418:L2418"/>
    <mergeCell ref="F2419:G2419"/>
    <mergeCell ref="H2419:I2419"/>
    <mergeCell ref="F2476:G2476"/>
    <mergeCell ref="H2476:I2476"/>
    <mergeCell ref="J2476:L2476"/>
    <mergeCell ref="A2482:H2482"/>
    <mergeCell ref="F2493:G2493"/>
    <mergeCell ref="H2493:I2493"/>
    <mergeCell ref="J2493:L2493"/>
    <mergeCell ref="A2503:H2503"/>
    <mergeCell ref="F2504:G2504"/>
    <mergeCell ref="H2504:I2504"/>
    <mergeCell ref="J2504:L2504"/>
    <mergeCell ref="F2505:G2505"/>
    <mergeCell ref="H2505:I2505"/>
    <mergeCell ref="J2505:L2505"/>
    <mergeCell ref="F2506:G2506"/>
    <mergeCell ref="H2506:I2506"/>
    <mergeCell ref="J2506:L2506"/>
    <mergeCell ref="F2483:G2483"/>
    <mergeCell ref="H2483:I2483"/>
    <mergeCell ref="J2483:L2483"/>
    <mergeCell ref="F2448:G2448"/>
    <mergeCell ref="H2448:I2448"/>
    <mergeCell ref="J2448:L2448"/>
    <mergeCell ref="F2449:G2449"/>
    <mergeCell ref="H2449:I2449"/>
    <mergeCell ref="J2449:L2449"/>
    <mergeCell ref="F2479:G2479"/>
    <mergeCell ref="H2479:I2479"/>
    <mergeCell ref="J2479:L2479"/>
    <mergeCell ref="F2480:G2480"/>
    <mergeCell ref="H2480:I2480"/>
    <mergeCell ref="J2480:L2480"/>
    <mergeCell ref="F2477:G2477"/>
    <mergeCell ref="H2477:I2477"/>
    <mergeCell ref="J2477:L2477"/>
    <mergeCell ref="F2478:G2478"/>
    <mergeCell ref="H2478:I2478"/>
    <mergeCell ref="J2478:L2478"/>
    <mergeCell ref="F2473:G2473"/>
    <mergeCell ref="H2473:I2473"/>
    <mergeCell ref="J2473:L2473"/>
    <mergeCell ref="F2474:G2474"/>
    <mergeCell ref="H2474:I2474"/>
    <mergeCell ref="J2474:L2474"/>
    <mergeCell ref="F2471:G2471"/>
    <mergeCell ref="H2471:I2471"/>
    <mergeCell ref="J2471:L2471"/>
    <mergeCell ref="F2472:G2472"/>
    <mergeCell ref="H2472:I2472"/>
    <mergeCell ref="J2472:L2472"/>
    <mergeCell ref="A2457:H2457"/>
    <mergeCell ref="F2458:G2458"/>
    <mergeCell ref="H2458:I2458"/>
    <mergeCell ref="J2458:L2458"/>
    <mergeCell ref="F2459:G2459"/>
    <mergeCell ref="H2459:I2459"/>
    <mergeCell ref="J2459:L2459"/>
    <mergeCell ref="F2460:G2460"/>
    <mergeCell ref="H2460:I2460"/>
    <mergeCell ref="J2460:L2460"/>
    <mergeCell ref="A2468:H2468"/>
    <mergeCell ref="F2469:G2469"/>
    <mergeCell ref="H2469:I2469"/>
    <mergeCell ref="J2469:L2469"/>
    <mergeCell ref="F2507:G2507"/>
    <mergeCell ref="H2507:I2507"/>
    <mergeCell ref="J2507:L2507"/>
    <mergeCell ref="A2513:H2513"/>
    <mergeCell ref="F2514:G2514"/>
    <mergeCell ref="H2514:I2514"/>
    <mergeCell ref="J2514:L2514"/>
    <mergeCell ref="F2515:G2515"/>
    <mergeCell ref="H2515:I2515"/>
    <mergeCell ref="J2515:L2515"/>
    <mergeCell ref="A2519:H2519"/>
    <mergeCell ref="F2520:G2520"/>
    <mergeCell ref="H2520:I2520"/>
    <mergeCell ref="J2520:L2520"/>
    <mergeCell ref="F2521:G2521"/>
    <mergeCell ref="H2521:I2521"/>
    <mergeCell ref="J2521:L2521"/>
    <mergeCell ref="H2510:I2510"/>
    <mergeCell ref="J2510:L2510"/>
    <mergeCell ref="F2511:G2511"/>
    <mergeCell ref="H2511:I2511"/>
    <mergeCell ref="J2511:L2511"/>
    <mergeCell ref="F2492:G2492"/>
    <mergeCell ref="H2492:I2492"/>
    <mergeCell ref="J2492:L2492"/>
    <mergeCell ref="F2488:G2488"/>
    <mergeCell ref="H2488:I2488"/>
    <mergeCell ref="J2488:L2488"/>
    <mergeCell ref="A2490:H2490"/>
    <mergeCell ref="F2491:G2491"/>
    <mergeCell ref="H2491:I2491"/>
    <mergeCell ref="J2491:L2491"/>
    <mergeCell ref="F2484:G2484"/>
    <mergeCell ref="H2484:I2484"/>
    <mergeCell ref="J2484:L2484"/>
    <mergeCell ref="A2486:H2486"/>
    <mergeCell ref="F2487:G2487"/>
    <mergeCell ref="H2487:I2487"/>
    <mergeCell ref="J2487:L2487"/>
    <mergeCell ref="F2694:G2694"/>
    <mergeCell ref="H2694:I2694"/>
    <mergeCell ref="J2694:L2694"/>
    <mergeCell ref="J2688:L2688"/>
    <mergeCell ref="F2689:G2689"/>
    <mergeCell ref="H2689:I2689"/>
    <mergeCell ref="J2689:L2689"/>
    <mergeCell ref="F2690:G2690"/>
    <mergeCell ref="H2690:I2690"/>
    <mergeCell ref="J2690:L2690"/>
    <mergeCell ref="F2685:G2685"/>
    <mergeCell ref="H2685:I2685"/>
    <mergeCell ref="J2685:L2685"/>
    <mergeCell ref="A2687:H2687"/>
    <mergeCell ref="F2688:G2688"/>
    <mergeCell ref="H2688:I2688"/>
    <mergeCell ref="F2681:G2681"/>
    <mergeCell ref="H2681:I2681"/>
    <mergeCell ref="J2681:L2681"/>
    <mergeCell ref="F2684:G2684"/>
    <mergeCell ref="H2684:I2684"/>
    <mergeCell ref="J2684:L2684"/>
    <mergeCell ref="F2680:G2680"/>
    <mergeCell ref="H2680:I2680"/>
    <mergeCell ref="J2680:L2680"/>
    <mergeCell ref="F2695:G2695"/>
    <mergeCell ref="H2695:I2695"/>
    <mergeCell ref="J2695:L2695"/>
    <mergeCell ref="J2723:L2723"/>
    <mergeCell ref="F2724:G2724"/>
    <mergeCell ref="H2724:I2724"/>
    <mergeCell ref="J2724:L2724"/>
    <mergeCell ref="A2726:H2726"/>
    <mergeCell ref="A2699:H2699"/>
    <mergeCell ref="F2700:G2700"/>
    <mergeCell ref="H2700:I2700"/>
    <mergeCell ref="J2700:L2700"/>
    <mergeCell ref="F2701:G2701"/>
    <mergeCell ref="H2701:I2701"/>
    <mergeCell ref="J2701:L2701"/>
    <mergeCell ref="A2703:H2703"/>
    <mergeCell ref="F2705:G2705"/>
    <mergeCell ref="H2705:I2705"/>
    <mergeCell ref="J2705:L2705"/>
    <mergeCell ref="A2707:H2707"/>
    <mergeCell ref="F2708:G2708"/>
    <mergeCell ref="H2708:I2708"/>
    <mergeCell ref="J2708:L2708"/>
    <mergeCell ref="F2709:G2709"/>
    <mergeCell ref="H2709:I2709"/>
    <mergeCell ref="J2709:L2709"/>
    <mergeCell ref="F2710:G2710"/>
    <mergeCell ref="H2710:I2710"/>
    <mergeCell ref="J2710:L2710"/>
    <mergeCell ref="A2720:H2720"/>
    <mergeCell ref="F2723:G2723"/>
    <mergeCell ref="H2723:I2723"/>
    <mergeCell ref="F2697:G2697"/>
    <mergeCell ref="H2697:I2697"/>
    <mergeCell ref="J2697:L2697"/>
    <mergeCell ref="A2767:H2767"/>
    <mergeCell ref="F2768:G2768"/>
    <mergeCell ref="H2768:I2768"/>
    <mergeCell ref="J2768:L2768"/>
    <mergeCell ref="F2765:G2765"/>
    <mergeCell ref="H2765:I2765"/>
    <mergeCell ref="J2765:L2765"/>
    <mergeCell ref="F2704:G2704"/>
    <mergeCell ref="H2704:I2704"/>
    <mergeCell ref="J2704:L2704"/>
    <mergeCell ref="F2738:G2738"/>
    <mergeCell ref="H2738:I2738"/>
    <mergeCell ref="J2738:L2738"/>
    <mergeCell ref="A2740:H2740"/>
    <mergeCell ref="F2741:G2741"/>
    <mergeCell ref="H2741:I2741"/>
    <mergeCell ref="J2741:L2741"/>
    <mergeCell ref="F2734:G2734"/>
    <mergeCell ref="H2734:I2734"/>
    <mergeCell ref="J2734:L2734"/>
    <mergeCell ref="A2736:H2736"/>
    <mergeCell ref="F2737:G2737"/>
    <mergeCell ref="H2737:I2737"/>
    <mergeCell ref="J2737:L2737"/>
    <mergeCell ref="F2732:G2732"/>
    <mergeCell ref="H2732:I2732"/>
    <mergeCell ref="J2732:L2732"/>
    <mergeCell ref="F2733:G2733"/>
    <mergeCell ref="H2733:I2733"/>
    <mergeCell ref="J2733:L2733"/>
    <mergeCell ref="H2728:I2728"/>
    <mergeCell ref="J2728:L2728"/>
    <mergeCell ref="A2730:H2730"/>
    <mergeCell ref="F2731:G2731"/>
    <mergeCell ref="H2731:I2731"/>
    <mergeCell ref="J2731:L2731"/>
    <mergeCell ref="F2727:G2727"/>
    <mergeCell ref="H2727:I2727"/>
    <mergeCell ref="J2727:L2727"/>
    <mergeCell ref="F2728:G2728"/>
    <mergeCell ref="F2759:G2759"/>
    <mergeCell ref="H2759:I2759"/>
    <mergeCell ref="J2759:L2759"/>
    <mergeCell ref="F2746:G2746"/>
    <mergeCell ref="H2746:I2746"/>
    <mergeCell ref="J2746:L2746"/>
    <mergeCell ref="F2747:G2747"/>
    <mergeCell ref="F2721:G2721"/>
    <mergeCell ref="H2721:I2721"/>
    <mergeCell ref="J2721:L2721"/>
    <mergeCell ref="F2722:G2722"/>
    <mergeCell ref="H2722:I2722"/>
    <mergeCell ref="J2722:L2722"/>
    <mergeCell ref="J2807:L2807"/>
    <mergeCell ref="F2808:G2808"/>
    <mergeCell ref="H2808:I2808"/>
    <mergeCell ref="J2808:L2808"/>
    <mergeCell ref="F2809:G2809"/>
    <mergeCell ref="H2809:I2809"/>
    <mergeCell ref="J2809:L2809"/>
    <mergeCell ref="F2810:G2810"/>
    <mergeCell ref="H2810:I2810"/>
    <mergeCell ref="J2810:L2810"/>
    <mergeCell ref="A2812:H2812"/>
    <mergeCell ref="F2813:G2813"/>
    <mergeCell ref="H2813:I2813"/>
    <mergeCell ref="J2813:L2813"/>
    <mergeCell ref="F2814:G2814"/>
    <mergeCell ref="H2814:I2814"/>
    <mergeCell ref="J2814:L2814"/>
    <mergeCell ref="F2815:G2815"/>
    <mergeCell ref="H2815:I2815"/>
    <mergeCell ref="J2815:L2815"/>
    <mergeCell ref="F2821:G2821"/>
    <mergeCell ref="H2821:I2821"/>
    <mergeCell ref="J2821:L2821"/>
    <mergeCell ref="F2820:G2820"/>
    <mergeCell ref="H2820:I2820"/>
    <mergeCell ref="J2820:L2820"/>
    <mergeCell ref="F2817:G2817"/>
    <mergeCell ref="H2817:I2817"/>
    <mergeCell ref="J2817:L2817"/>
    <mergeCell ref="F2818:G2818"/>
    <mergeCell ref="H2818:I2818"/>
    <mergeCell ref="J2818:L2818"/>
    <mergeCell ref="F2816:G2816"/>
    <mergeCell ref="H2816:I2816"/>
    <mergeCell ref="J2816:L2816"/>
    <mergeCell ref="J3067:L3067"/>
    <mergeCell ref="A3053:H3053"/>
    <mergeCell ref="F3054:G3054"/>
    <mergeCell ref="H3054:I3054"/>
    <mergeCell ref="J3054:L3054"/>
    <mergeCell ref="F3055:G3055"/>
    <mergeCell ref="H3055:I3055"/>
    <mergeCell ref="J3055:L3055"/>
    <mergeCell ref="F3083:G3083"/>
    <mergeCell ref="F2925:G2925"/>
    <mergeCell ref="H2925:I2925"/>
    <mergeCell ref="J2925:L2925"/>
    <mergeCell ref="F2926:G2926"/>
    <mergeCell ref="H2926:I2926"/>
    <mergeCell ref="J2926:L2926"/>
    <mergeCell ref="A2936:H2936"/>
    <mergeCell ref="F2937:G2937"/>
    <mergeCell ref="H2937:I2937"/>
    <mergeCell ref="J2937:L2937"/>
    <mergeCell ref="F2938:G2938"/>
    <mergeCell ref="H2938:I2938"/>
    <mergeCell ref="J2938:L2938"/>
    <mergeCell ref="F2939:G2939"/>
    <mergeCell ref="H2939:I2939"/>
    <mergeCell ref="J2939:L2939"/>
    <mergeCell ref="F2940:G2940"/>
    <mergeCell ref="H2940:I2940"/>
    <mergeCell ref="J2940:L2940"/>
    <mergeCell ref="F2941:G2941"/>
    <mergeCell ref="H2941:I2941"/>
    <mergeCell ref="J2941:L2941"/>
    <mergeCell ref="A2948:H2948"/>
    <mergeCell ref="F2949:G2949"/>
    <mergeCell ref="H2949:I2949"/>
    <mergeCell ref="J2949:L2949"/>
    <mergeCell ref="F2950:G2950"/>
    <mergeCell ref="H2950:I2950"/>
    <mergeCell ref="J2950:L2950"/>
    <mergeCell ref="A2954:H2954"/>
    <mergeCell ref="F2955:G2955"/>
    <mergeCell ref="H2955:I2955"/>
    <mergeCell ref="J2955:L2955"/>
    <mergeCell ref="H3083:I3083"/>
    <mergeCell ref="J3083:L3083"/>
    <mergeCell ref="F3078:G3078"/>
    <mergeCell ref="H3078:I3078"/>
    <mergeCell ref="J3078:L3078"/>
    <mergeCell ref="F3074:G3074"/>
    <mergeCell ref="H3074:I3074"/>
    <mergeCell ref="J3074:L3074"/>
    <mergeCell ref="A3076:H3076"/>
    <mergeCell ref="F3077:G3077"/>
    <mergeCell ref="H3077:I3077"/>
    <mergeCell ref="J3077:L3077"/>
    <mergeCell ref="F3073:G3073"/>
    <mergeCell ref="F3028:G3028"/>
    <mergeCell ref="H3028:I3028"/>
    <mergeCell ref="J3028:L3028"/>
    <mergeCell ref="F3029:G3029"/>
    <mergeCell ref="H3029:I3029"/>
    <mergeCell ref="J3029:L3029"/>
    <mergeCell ref="F3027:G3027"/>
    <mergeCell ref="H3027:I3027"/>
    <mergeCell ref="J3027:L3027"/>
    <mergeCell ref="A3014:H3014"/>
    <mergeCell ref="F3015:G3015"/>
    <mergeCell ref="H3015:I3015"/>
    <mergeCell ref="J3015:L3015"/>
    <mergeCell ref="F3016:G3016"/>
    <mergeCell ref="H3016:I3016"/>
    <mergeCell ref="J3016:L3016"/>
    <mergeCell ref="F3017:G3017"/>
    <mergeCell ref="H3017:I3017"/>
    <mergeCell ref="J3017:L3017"/>
    <mergeCell ref="F3018:G3018"/>
    <mergeCell ref="H3018:I3018"/>
    <mergeCell ref="J3018:L3018"/>
    <mergeCell ref="F3019:G3019"/>
    <mergeCell ref="H3019:I3019"/>
    <mergeCell ref="J3019:L3019"/>
    <mergeCell ref="A3021:H3021"/>
    <mergeCell ref="F3022:G3022"/>
    <mergeCell ref="H3022:I3022"/>
    <mergeCell ref="J3022:L3022"/>
    <mergeCell ref="A3026:H3026"/>
    <mergeCell ref="A3036:H3036"/>
    <mergeCell ref="F3037:G3037"/>
    <mergeCell ref="H3037:I3037"/>
    <mergeCell ref="J3037:L3037"/>
    <mergeCell ref="F3038:G3038"/>
    <mergeCell ref="H3038:I3038"/>
    <mergeCell ref="J3038:L3038"/>
    <mergeCell ref="A3040:H3040"/>
    <mergeCell ref="F3057:G3057"/>
    <mergeCell ref="H3057:I3057"/>
    <mergeCell ref="J3057:L3057"/>
    <mergeCell ref="F3058:G3058"/>
    <mergeCell ref="H3058:I3058"/>
    <mergeCell ref="J3058:L3058"/>
    <mergeCell ref="A3032:H3032"/>
    <mergeCell ref="F3033:G3033"/>
    <mergeCell ref="H3033:I3033"/>
    <mergeCell ref="J3033:L3033"/>
    <mergeCell ref="F3056:G3056"/>
    <mergeCell ref="H3056:I3056"/>
    <mergeCell ref="J3056:L3056"/>
    <mergeCell ref="F3023:G3023"/>
    <mergeCell ref="H3023:I3023"/>
    <mergeCell ref="J3023:L3023"/>
    <mergeCell ref="F3024:G3024"/>
    <mergeCell ref="H3024:I3024"/>
    <mergeCell ref="J3024:L3024"/>
    <mergeCell ref="F3042:G3042"/>
    <mergeCell ref="H3042:I3042"/>
    <mergeCell ref="J3042:L3042"/>
    <mergeCell ref="F3043:G3043"/>
    <mergeCell ref="H3043:I3043"/>
    <mergeCell ref="J3043:L3043"/>
    <mergeCell ref="F3041:G3041"/>
    <mergeCell ref="H3041:I3041"/>
    <mergeCell ref="J3041:L3041"/>
    <mergeCell ref="F3034:G3034"/>
    <mergeCell ref="H3034:I3034"/>
    <mergeCell ref="J3034:L3034"/>
    <mergeCell ref="F3030:G3030"/>
    <mergeCell ref="H3030:I3030"/>
    <mergeCell ref="J3030:L3030"/>
    <mergeCell ref="A3120:H3120"/>
    <mergeCell ref="F3121:G3121"/>
    <mergeCell ref="H3121:I3121"/>
    <mergeCell ref="J3121:L3121"/>
    <mergeCell ref="F3122:G3122"/>
    <mergeCell ref="H3122:I3122"/>
    <mergeCell ref="J3122:L3122"/>
    <mergeCell ref="A3124:H3124"/>
    <mergeCell ref="A3080:H3080"/>
    <mergeCell ref="F3081:G3081"/>
    <mergeCell ref="H3081:I3081"/>
    <mergeCell ref="J3081:L3081"/>
    <mergeCell ref="F3082:G3082"/>
    <mergeCell ref="H3082:I3082"/>
    <mergeCell ref="J3082:L3082"/>
    <mergeCell ref="F3096:G3096"/>
    <mergeCell ref="H3096:I3096"/>
    <mergeCell ref="J3096:L3096"/>
    <mergeCell ref="F3097:G3097"/>
    <mergeCell ref="H3097:I3097"/>
    <mergeCell ref="J3097:L3097"/>
    <mergeCell ref="F3101:G3101"/>
    <mergeCell ref="H3101:I3101"/>
    <mergeCell ref="J3101:L3101"/>
    <mergeCell ref="A3103:H3103"/>
    <mergeCell ref="F3104:G3104"/>
    <mergeCell ref="H3104:I3104"/>
    <mergeCell ref="J3104:L3104"/>
    <mergeCell ref="F3095:G3095"/>
    <mergeCell ref="H3095:I3095"/>
    <mergeCell ref="J3095:L3095"/>
    <mergeCell ref="F3098:G3098"/>
    <mergeCell ref="H3098:I3098"/>
    <mergeCell ref="J3098:L3098"/>
    <mergeCell ref="A3093:H3093"/>
    <mergeCell ref="F3094:G3094"/>
    <mergeCell ref="H3094:I3094"/>
    <mergeCell ref="J3094:L3094"/>
    <mergeCell ref="J3073:L3073"/>
    <mergeCell ref="F3070:G3070"/>
    <mergeCell ref="H3070:I3070"/>
    <mergeCell ref="J3070:L3070"/>
    <mergeCell ref="F3099:G3099"/>
    <mergeCell ref="H3099:I3099"/>
    <mergeCell ref="J3099:L3099"/>
    <mergeCell ref="F3100:G3100"/>
    <mergeCell ref="H3100:I3100"/>
    <mergeCell ref="J3100:L3100"/>
    <mergeCell ref="F3127:G3127"/>
    <mergeCell ref="H3127:I3127"/>
    <mergeCell ref="J3127:L3127"/>
    <mergeCell ref="A3137:H3137"/>
    <mergeCell ref="F3140:G3140"/>
    <mergeCell ref="H3140:I3140"/>
    <mergeCell ref="J3140:L3140"/>
    <mergeCell ref="F3141:G3141"/>
    <mergeCell ref="H3141:I3141"/>
    <mergeCell ref="J3141:L3141"/>
    <mergeCell ref="F3139:G3139"/>
    <mergeCell ref="H3139:I3139"/>
    <mergeCell ref="J3139:L3139"/>
    <mergeCell ref="F3138:G3138"/>
    <mergeCell ref="H3138:I3138"/>
    <mergeCell ref="J3138:L3138"/>
    <mergeCell ref="F3125:G3125"/>
    <mergeCell ref="H3125:I3125"/>
    <mergeCell ref="J3125:L3125"/>
    <mergeCell ref="F3126:G3126"/>
    <mergeCell ref="H3126:I3126"/>
    <mergeCell ref="J3126:L3126"/>
    <mergeCell ref="F3118:G3118"/>
    <mergeCell ref="H3118:I3118"/>
    <mergeCell ref="J3118:L3118"/>
    <mergeCell ref="F3113:G3113"/>
    <mergeCell ref="H3113:I3113"/>
    <mergeCell ref="J3113:L3113"/>
    <mergeCell ref="F3114:G3114"/>
    <mergeCell ref="H3114:I3114"/>
    <mergeCell ref="J3114:L3114"/>
    <mergeCell ref="F3111:G3111"/>
    <mergeCell ref="H3111:I3111"/>
    <mergeCell ref="J3111:L3111"/>
    <mergeCell ref="F3112:G3112"/>
    <mergeCell ref="H3112:I3112"/>
    <mergeCell ref="J3112:L3112"/>
    <mergeCell ref="F3105:G3105"/>
    <mergeCell ref="H3105:I3105"/>
    <mergeCell ref="J3105:L3105"/>
    <mergeCell ref="F3106:G3106"/>
    <mergeCell ref="H3106:I3106"/>
    <mergeCell ref="J3106:L3106"/>
    <mergeCell ref="F3107:G3107"/>
    <mergeCell ref="H3107:I3107"/>
    <mergeCell ref="J3107:L3107"/>
    <mergeCell ref="A3109:H3109"/>
    <mergeCell ref="F3110:G3110"/>
    <mergeCell ref="H3110:I3110"/>
    <mergeCell ref="J3110:L3110"/>
    <mergeCell ref="A3116:H3116"/>
    <mergeCell ref="F3117:G3117"/>
    <mergeCell ref="H3117:I3117"/>
    <mergeCell ref="J3117:L3117"/>
    <mergeCell ref="F3142:G3142"/>
    <mergeCell ref="H3142:I3142"/>
    <mergeCell ref="J3142:L3142"/>
    <mergeCell ref="F3143:G3143"/>
    <mergeCell ref="H3143:I3143"/>
    <mergeCell ref="J3143:L3143"/>
    <mergeCell ref="F3144:G3144"/>
    <mergeCell ref="H3144:I3144"/>
    <mergeCell ref="J3144:L3144"/>
    <mergeCell ref="F3145:G3145"/>
    <mergeCell ref="H3145:I3145"/>
    <mergeCell ref="J3145:L3145"/>
    <mergeCell ref="A3147:H3147"/>
    <mergeCell ref="F3148:G3148"/>
    <mergeCell ref="H3148:I3148"/>
    <mergeCell ref="J3148:L3148"/>
    <mergeCell ref="F3149:G3149"/>
    <mergeCell ref="H3149:I3149"/>
    <mergeCell ref="J3149:L3149"/>
    <mergeCell ref="A3153:H3153"/>
    <mergeCell ref="F3155:G3155"/>
    <mergeCell ref="H3155:I3155"/>
    <mergeCell ref="J3155:L3155"/>
    <mergeCell ref="F3156:G3156"/>
    <mergeCell ref="H3156:I3156"/>
    <mergeCell ref="J3156:L3156"/>
    <mergeCell ref="A3160:H3160"/>
    <mergeCell ref="F3161:G3161"/>
    <mergeCell ref="H3161:I3161"/>
    <mergeCell ref="J3161:L3161"/>
    <mergeCell ref="A3164:H3164"/>
    <mergeCell ref="F3166:G3166"/>
    <mergeCell ref="H3166:I3166"/>
    <mergeCell ref="J3166:L3166"/>
    <mergeCell ref="F3150:G3150"/>
    <mergeCell ref="H3150:I3150"/>
    <mergeCell ref="J3150:L3150"/>
    <mergeCell ref="F3157:G3157"/>
    <mergeCell ref="H3157:I3157"/>
    <mergeCell ref="J3157:L3157"/>
    <mergeCell ref="F3158:G3158"/>
    <mergeCell ref="H3158:I3158"/>
    <mergeCell ref="J3158:L3158"/>
    <mergeCell ref="F3154:G3154"/>
    <mergeCell ref="H3154:I3154"/>
    <mergeCell ref="J3154:L3154"/>
    <mergeCell ref="F3151:G3151"/>
    <mergeCell ref="H3162:I3162"/>
    <mergeCell ref="J3162:L3162"/>
    <mergeCell ref="F3200:G3200"/>
    <mergeCell ref="H3200:I3200"/>
    <mergeCell ref="J3200:L3200"/>
    <mergeCell ref="A3203:H3203"/>
    <mergeCell ref="A3220:H3220"/>
    <mergeCell ref="F3221:G3221"/>
    <mergeCell ref="H3221:I3221"/>
    <mergeCell ref="J3221:L3221"/>
    <mergeCell ref="F3224:G3224"/>
    <mergeCell ref="H3224:I3224"/>
    <mergeCell ref="J3224:L3224"/>
    <mergeCell ref="F3225:G3225"/>
    <mergeCell ref="H3225:I3225"/>
    <mergeCell ref="J3225:L3225"/>
    <mergeCell ref="A3227:H3227"/>
    <mergeCell ref="F3229:G3229"/>
    <mergeCell ref="H3229:I3229"/>
    <mergeCell ref="J3229:L3229"/>
    <mergeCell ref="F3230:G3230"/>
    <mergeCell ref="H3230:I3230"/>
    <mergeCell ref="J3230:L3230"/>
    <mergeCell ref="A3232:H3232"/>
    <mergeCell ref="F3233:G3233"/>
    <mergeCell ref="H3233:I3233"/>
    <mergeCell ref="J3233:L3233"/>
    <mergeCell ref="F3234:G3234"/>
    <mergeCell ref="H3234:I3234"/>
    <mergeCell ref="J3234:L3234"/>
    <mergeCell ref="F3235:G3235"/>
    <mergeCell ref="H3235:I3235"/>
    <mergeCell ref="J3235:L3235"/>
    <mergeCell ref="F3236:G3236"/>
    <mergeCell ref="H3236:I3236"/>
    <mergeCell ref="J3236:L3236"/>
    <mergeCell ref="F3204:G3204"/>
    <mergeCell ref="H3204:I3204"/>
    <mergeCell ref="J3204:L3204"/>
    <mergeCell ref="F3201:G3201"/>
    <mergeCell ref="H3201:I3201"/>
    <mergeCell ref="J3201:L3201"/>
    <mergeCell ref="J3266:L3266"/>
    <mergeCell ref="F3267:G3267"/>
    <mergeCell ref="H3267:I3267"/>
    <mergeCell ref="J3267:L3267"/>
    <mergeCell ref="A3271:H3271"/>
    <mergeCell ref="F3272:G3272"/>
    <mergeCell ref="H3272:I3272"/>
    <mergeCell ref="J3272:L3272"/>
    <mergeCell ref="F3273:G3273"/>
    <mergeCell ref="H3273:I3273"/>
    <mergeCell ref="J3273:L3273"/>
    <mergeCell ref="F3274:G3274"/>
    <mergeCell ref="H3274:I3274"/>
    <mergeCell ref="J3274:L3274"/>
    <mergeCell ref="F3275:G3275"/>
    <mergeCell ref="H3275:I3275"/>
    <mergeCell ref="J3275:L3275"/>
    <mergeCell ref="F3276:G3276"/>
    <mergeCell ref="H3276:I3276"/>
    <mergeCell ref="J3276:L3276"/>
    <mergeCell ref="H3249:I3249"/>
    <mergeCell ref="J3249:L3249"/>
    <mergeCell ref="F3247:G3247"/>
    <mergeCell ref="H3247:I3247"/>
    <mergeCell ref="J3247:L3247"/>
    <mergeCell ref="A3309:H3309"/>
    <mergeCell ref="F3310:G3310"/>
    <mergeCell ref="H3310:I3310"/>
    <mergeCell ref="J3310:L3310"/>
    <mergeCell ref="F3314:G3314"/>
    <mergeCell ref="H3314:I3314"/>
    <mergeCell ref="J3314:L3314"/>
    <mergeCell ref="A3316:H3316"/>
    <mergeCell ref="F3311:G3311"/>
    <mergeCell ref="H3311:I3311"/>
    <mergeCell ref="J3311:L3311"/>
    <mergeCell ref="F3312:G3312"/>
    <mergeCell ref="H3312:I3312"/>
    <mergeCell ref="J3312:L3312"/>
    <mergeCell ref="F3299:G3299"/>
    <mergeCell ref="H3299:I3299"/>
    <mergeCell ref="J3299:L3299"/>
    <mergeCell ref="F3298:G3298"/>
    <mergeCell ref="H3298:I3298"/>
    <mergeCell ref="J3298:L3298"/>
    <mergeCell ref="F3260:G3260"/>
    <mergeCell ref="H3260:I3260"/>
    <mergeCell ref="J3260:L3260"/>
    <mergeCell ref="F3261:G3261"/>
    <mergeCell ref="H3261:I3261"/>
    <mergeCell ref="J3261:L3261"/>
    <mergeCell ref="F3294:G3294"/>
    <mergeCell ref="H3294:I3294"/>
    <mergeCell ref="J3294:L3294"/>
    <mergeCell ref="A3296:H3296"/>
    <mergeCell ref="F3297:G3297"/>
    <mergeCell ref="H3297:I3297"/>
    <mergeCell ref="J3297:L3297"/>
    <mergeCell ref="F3293:G3293"/>
    <mergeCell ref="H3293:I3293"/>
    <mergeCell ref="J3293:L3293"/>
    <mergeCell ref="F3286:G3286"/>
    <mergeCell ref="H3286:I3286"/>
    <mergeCell ref="J3286:L3286"/>
    <mergeCell ref="F3317:G3317"/>
    <mergeCell ref="H3317:I3317"/>
    <mergeCell ref="J3317:L3317"/>
    <mergeCell ref="F3318:G3318"/>
    <mergeCell ref="H3318:I3318"/>
    <mergeCell ref="J3318:L3318"/>
    <mergeCell ref="F3319:G3319"/>
    <mergeCell ref="H3319:I3319"/>
    <mergeCell ref="J3319:L3319"/>
    <mergeCell ref="F3320:G3320"/>
    <mergeCell ref="H3320:I3320"/>
    <mergeCell ref="J3320:L3320"/>
    <mergeCell ref="A3322:H3322"/>
    <mergeCell ref="F3323:G3323"/>
    <mergeCell ref="H3323:I3323"/>
    <mergeCell ref="J3323:L3323"/>
    <mergeCell ref="A3334:H3334"/>
    <mergeCell ref="F3335:G3335"/>
    <mergeCell ref="H3335:I3335"/>
    <mergeCell ref="J3335:L3335"/>
    <mergeCell ref="A3338:H3338"/>
    <mergeCell ref="F3340:G3340"/>
    <mergeCell ref="H3340:I3340"/>
    <mergeCell ref="J3340:L3340"/>
    <mergeCell ref="F3341:G3341"/>
    <mergeCell ref="H3341:I3341"/>
    <mergeCell ref="J3341:L3341"/>
    <mergeCell ref="F3313:G3313"/>
    <mergeCell ref="H3313:I3313"/>
    <mergeCell ref="J3313:L3313"/>
    <mergeCell ref="F3324:G3324"/>
    <mergeCell ref="H3324:I3324"/>
    <mergeCell ref="J3324:L3324"/>
    <mergeCell ref="H3325:I3325"/>
    <mergeCell ref="J3325:L3325"/>
    <mergeCell ref="F3326:G3326"/>
    <mergeCell ref="H3326:I3326"/>
    <mergeCell ref="J3326:L3326"/>
    <mergeCell ref="F3336:G3336"/>
    <mergeCell ref="H3336:I3336"/>
    <mergeCell ref="J3336:L3336"/>
    <mergeCell ref="A3330:H3330"/>
    <mergeCell ref="F3331:G3331"/>
    <mergeCell ref="H3331:I3331"/>
    <mergeCell ref="J3331:L3331"/>
    <mergeCell ref="F3332:G3332"/>
    <mergeCell ref="H3332:I3332"/>
    <mergeCell ref="J3332:L3332"/>
    <mergeCell ref="F3327:G3327"/>
    <mergeCell ref="H3327:I3327"/>
    <mergeCell ref="J3327:L3327"/>
    <mergeCell ref="F3328:G3328"/>
    <mergeCell ref="H3328:I3328"/>
    <mergeCell ref="J3328:L3328"/>
    <mergeCell ref="F3325:G3325"/>
    <mergeCell ref="F3397:G3397"/>
    <mergeCell ref="H3397:I3397"/>
    <mergeCell ref="J3397:L3397"/>
    <mergeCell ref="F3398:G3398"/>
    <mergeCell ref="H3398:I3398"/>
    <mergeCell ref="J3398:L3398"/>
    <mergeCell ref="F3399:G3399"/>
    <mergeCell ref="H3399:I3399"/>
    <mergeCell ref="J3399:L3399"/>
    <mergeCell ref="F3395:G3395"/>
    <mergeCell ref="H3395:I3395"/>
    <mergeCell ref="J3395:L3395"/>
    <mergeCell ref="F3396:G3396"/>
    <mergeCell ref="H3396:I3396"/>
    <mergeCell ref="J3396:L3396"/>
    <mergeCell ref="F3383:G3383"/>
    <mergeCell ref="H3383:I3383"/>
    <mergeCell ref="J3383:L3383"/>
    <mergeCell ref="F3382:G3382"/>
    <mergeCell ref="H3382:I3382"/>
    <mergeCell ref="J3382:L3382"/>
    <mergeCell ref="A3381:H3381"/>
    <mergeCell ref="F3384:G3384"/>
    <mergeCell ref="H3384:I3384"/>
    <mergeCell ref="J3384:L3384"/>
    <mergeCell ref="A3394:H3394"/>
    <mergeCell ref="F3364:G3364"/>
    <mergeCell ref="H3364:I3364"/>
    <mergeCell ref="J3364:L3364"/>
    <mergeCell ref="F3365:G3365"/>
    <mergeCell ref="H3365:I3365"/>
    <mergeCell ref="J3365:L3365"/>
    <mergeCell ref="A3401:H3401"/>
    <mergeCell ref="F3402:G3402"/>
    <mergeCell ref="H3402:I3402"/>
    <mergeCell ref="J3402:L3402"/>
    <mergeCell ref="F3403:G3403"/>
    <mergeCell ref="H3403:I3403"/>
    <mergeCell ref="J3403:L3403"/>
    <mergeCell ref="F3404:G3404"/>
    <mergeCell ref="H3404:I3404"/>
    <mergeCell ref="J3404:L3404"/>
    <mergeCell ref="A3412:H3412"/>
    <mergeCell ref="F3413:G3413"/>
    <mergeCell ref="H3413:I3413"/>
    <mergeCell ref="J3413:L3413"/>
    <mergeCell ref="A3416:H3416"/>
    <mergeCell ref="F3417:G3417"/>
    <mergeCell ref="H3417:I3417"/>
    <mergeCell ref="J3417:L3417"/>
    <mergeCell ref="F3418:G3418"/>
    <mergeCell ref="H3418:I3418"/>
    <mergeCell ref="J3418:L3418"/>
    <mergeCell ref="A3420:H3420"/>
    <mergeCell ref="F3423:G3423"/>
    <mergeCell ref="H3423:I3423"/>
    <mergeCell ref="J3423:L3423"/>
    <mergeCell ref="F3421:G3421"/>
    <mergeCell ref="H3421:I3421"/>
    <mergeCell ref="J3421:L3421"/>
    <mergeCell ref="F3422:G3422"/>
    <mergeCell ref="H3422:I3422"/>
    <mergeCell ref="J3422:L3422"/>
    <mergeCell ref="F3414:G3414"/>
    <mergeCell ref="H3414:I3414"/>
    <mergeCell ref="J3414:L3414"/>
    <mergeCell ref="F3409:G3409"/>
    <mergeCell ref="H3409:I3409"/>
    <mergeCell ref="J3409:L3409"/>
    <mergeCell ref="F3410:G3410"/>
    <mergeCell ref="H3410:I3410"/>
    <mergeCell ref="J3410:L3410"/>
    <mergeCell ref="A3406:H3406"/>
    <mergeCell ref="F3407:G3407"/>
    <mergeCell ref="H3407:I3407"/>
    <mergeCell ref="J3407:L3407"/>
    <mergeCell ref="F3408:G3408"/>
    <mergeCell ref="H3408:I3408"/>
    <mergeCell ref="J3408:L3408"/>
    <mergeCell ref="J3544:L3544"/>
    <mergeCell ref="F3540:G3540"/>
    <mergeCell ref="H3540:I3540"/>
    <mergeCell ref="J3540:L3540"/>
    <mergeCell ref="A3433:H3433"/>
    <mergeCell ref="F3436:G3436"/>
    <mergeCell ref="H3436:I3436"/>
    <mergeCell ref="J3436:L3436"/>
    <mergeCell ref="F3437:G3437"/>
    <mergeCell ref="H3437:I3437"/>
    <mergeCell ref="J3437:L3437"/>
    <mergeCell ref="F3438:G3438"/>
    <mergeCell ref="H3438:I3438"/>
    <mergeCell ref="J3438:L3438"/>
    <mergeCell ref="F3439:G3439"/>
    <mergeCell ref="H3439:I3439"/>
    <mergeCell ref="J3439:L3439"/>
    <mergeCell ref="F3440:G3440"/>
    <mergeCell ref="H3440:I3440"/>
    <mergeCell ref="J3440:L3440"/>
    <mergeCell ref="F3441:G3441"/>
    <mergeCell ref="H3441:I3441"/>
    <mergeCell ref="J3441:L3441"/>
    <mergeCell ref="A3443:H3443"/>
    <mergeCell ref="F3444:G3444"/>
    <mergeCell ref="H3444:I3444"/>
    <mergeCell ref="J3444:L3444"/>
    <mergeCell ref="F3445:G3445"/>
    <mergeCell ref="H3445:I3445"/>
    <mergeCell ref="J3445:L3445"/>
    <mergeCell ref="A3449:H3449"/>
    <mergeCell ref="F3451:G3451"/>
    <mergeCell ref="H3451:I3451"/>
    <mergeCell ref="J3451:L3451"/>
    <mergeCell ref="F3452:G3452"/>
    <mergeCell ref="H3452:I3452"/>
    <mergeCell ref="J3452:L3452"/>
    <mergeCell ref="H3447:I3447"/>
    <mergeCell ref="J3447:L3447"/>
    <mergeCell ref="F3532:G3532"/>
    <mergeCell ref="H3532:I3532"/>
    <mergeCell ref="J3532:L3532"/>
    <mergeCell ref="F3535:G3535"/>
    <mergeCell ref="H3535:I3535"/>
    <mergeCell ref="J3535:L3535"/>
    <mergeCell ref="F3530:G3530"/>
    <mergeCell ref="H3530:I3530"/>
    <mergeCell ref="J3530:L3530"/>
    <mergeCell ref="F3531:G3531"/>
    <mergeCell ref="H3531:I3531"/>
    <mergeCell ref="J3531:L3531"/>
    <mergeCell ref="F3539:G3539"/>
    <mergeCell ref="H3539:I3539"/>
    <mergeCell ref="J3539:L3539"/>
    <mergeCell ref="F3517:G3517"/>
    <mergeCell ref="H3517:I3517"/>
    <mergeCell ref="J3517:L3517"/>
    <mergeCell ref="F3504:G3504"/>
    <mergeCell ref="H3504:I3504"/>
    <mergeCell ref="J3504:L3504"/>
    <mergeCell ref="A3503:H3503"/>
    <mergeCell ref="F3505:G3505"/>
    <mergeCell ref="H3505:I3505"/>
    <mergeCell ref="J3505:L3505"/>
    <mergeCell ref="J3536:L3536"/>
    <mergeCell ref="A3679:H3679"/>
    <mergeCell ref="F3681:G3681"/>
    <mergeCell ref="H3681:I3681"/>
    <mergeCell ref="J3681:L3681"/>
    <mergeCell ref="F3682:G3682"/>
    <mergeCell ref="H3682:I3682"/>
    <mergeCell ref="J3682:L3682"/>
    <mergeCell ref="A3684:H3684"/>
    <mergeCell ref="F3686:G3686"/>
    <mergeCell ref="H3686:I3686"/>
    <mergeCell ref="J3686:L3686"/>
    <mergeCell ref="A3688:H3688"/>
    <mergeCell ref="F3690:G3690"/>
    <mergeCell ref="H3690:I3690"/>
    <mergeCell ref="J3690:L3690"/>
    <mergeCell ref="A3692:H3692"/>
    <mergeCell ref="F3694:G3694"/>
    <mergeCell ref="H3694:I3694"/>
    <mergeCell ref="J3694:L3694"/>
    <mergeCell ref="A3696:H3696"/>
    <mergeCell ref="F3699:G3699"/>
    <mergeCell ref="H3699:I3699"/>
    <mergeCell ref="J3699:L3699"/>
    <mergeCell ref="A3709:H3709"/>
    <mergeCell ref="A3716:H3716"/>
    <mergeCell ref="F3717:G3717"/>
    <mergeCell ref="H3717:I3717"/>
    <mergeCell ref="J3717:L3717"/>
    <mergeCell ref="F3718:G3718"/>
    <mergeCell ref="H3718:I3718"/>
    <mergeCell ref="J3718:L3718"/>
    <mergeCell ref="A3721:H3721"/>
    <mergeCell ref="A3542:H3542"/>
    <mergeCell ref="F3543:G3543"/>
    <mergeCell ref="H3543:I3543"/>
    <mergeCell ref="J3543:L3543"/>
    <mergeCell ref="A3546:H3546"/>
    <mergeCell ref="F3547:G3547"/>
    <mergeCell ref="H3547:I3547"/>
    <mergeCell ref="J3547:L3547"/>
    <mergeCell ref="A3559:H3559"/>
    <mergeCell ref="F3560:G3560"/>
    <mergeCell ref="H3560:I3560"/>
    <mergeCell ref="J3560:L3560"/>
    <mergeCell ref="F3561:G3561"/>
    <mergeCell ref="H3561:I3561"/>
    <mergeCell ref="J3561:L3561"/>
    <mergeCell ref="F3562:G3562"/>
    <mergeCell ref="H3562:I3562"/>
    <mergeCell ref="J3562:L3562"/>
    <mergeCell ref="F3563:G3563"/>
    <mergeCell ref="H3563:I3563"/>
    <mergeCell ref="J3563:L3563"/>
    <mergeCell ref="A3565:H3565"/>
    <mergeCell ref="A3569:H3569"/>
    <mergeCell ref="F3570:G3570"/>
    <mergeCell ref="H3570:I3570"/>
    <mergeCell ref="J3570:L3570"/>
    <mergeCell ref="F3571:G3571"/>
    <mergeCell ref="H3571:I3571"/>
    <mergeCell ref="J3571:L3571"/>
    <mergeCell ref="F3544:G3544"/>
    <mergeCell ref="H3544:I3544"/>
    <mergeCell ref="F3723:G3723"/>
    <mergeCell ref="H3723:I3723"/>
    <mergeCell ref="J3723:L3723"/>
    <mergeCell ref="F3693:G3693"/>
    <mergeCell ref="H3693:I3693"/>
    <mergeCell ref="J3693:L3693"/>
    <mergeCell ref="F3689:G3689"/>
    <mergeCell ref="H3689:I3689"/>
    <mergeCell ref="J3689:L3689"/>
    <mergeCell ref="F3685:G3685"/>
    <mergeCell ref="H3685:I3685"/>
    <mergeCell ref="J3685:L3685"/>
    <mergeCell ref="H3680:I3680"/>
    <mergeCell ref="J3680:L3680"/>
    <mergeCell ref="F3680:G3680"/>
    <mergeCell ref="J3698:L3698"/>
    <mergeCell ref="H3730:I3730"/>
    <mergeCell ref="J3730:L3730"/>
    <mergeCell ref="F3731:G3731"/>
    <mergeCell ref="H3731:I3731"/>
    <mergeCell ref="J3731:L3731"/>
    <mergeCell ref="A3733:H3733"/>
    <mergeCell ref="F3734:G3734"/>
    <mergeCell ref="H3734:I3734"/>
    <mergeCell ref="J3734:L3734"/>
    <mergeCell ref="F3735:G3735"/>
    <mergeCell ref="H3735:I3735"/>
    <mergeCell ref="J3735:L3735"/>
    <mergeCell ref="A3746:H3746"/>
    <mergeCell ref="F3747:G3747"/>
    <mergeCell ref="H3747:I3747"/>
    <mergeCell ref="J3747:L3747"/>
    <mergeCell ref="F3748:G3748"/>
    <mergeCell ref="H3748:I3748"/>
    <mergeCell ref="J3748:L3748"/>
    <mergeCell ref="F3697:G3697"/>
    <mergeCell ref="H3697:I3697"/>
    <mergeCell ref="J3697:L3697"/>
    <mergeCell ref="F3727:G3727"/>
    <mergeCell ref="H3727:I3727"/>
    <mergeCell ref="J3727:L3727"/>
    <mergeCell ref="F3726:G3726"/>
    <mergeCell ref="H3726:I3726"/>
    <mergeCell ref="J3726:L3726"/>
    <mergeCell ref="F3722:G3722"/>
    <mergeCell ref="H3722:I3722"/>
    <mergeCell ref="J3722:L3722"/>
    <mergeCell ref="F3719:G3719"/>
    <mergeCell ref="H3719:I3719"/>
    <mergeCell ref="J3719:L3719"/>
    <mergeCell ref="A3725:H3725"/>
    <mergeCell ref="A3729:H3729"/>
    <mergeCell ref="F3730:G3730"/>
    <mergeCell ref="F3714:G3714"/>
    <mergeCell ref="H3714:I3714"/>
    <mergeCell ref="J3714:L3714"/>
    <mergeCell ref="F3712:G3712"/>
    <mergeCell ref="H3712:I3712"/>
    <mergeCell ref="J3712:L3712"/>
    <mergeCell ref="F3713:G3713"/>
    <mergeCell ref="H3713:I3713"/>
    <mergeCell ref="J3713:L3713"/>
    <mergeCell ref="F3710:G3710"/>
    <mergeCell ref="H3710:I3710"/>
    <mergeCell ref="F3749:G3749"/>
    <mergeCell ref="H3749:I3749"/>
    <mergeCell ref="J3749:L3749"/>
    <mergeCell ref="F3750:G3750"/>
    <mergeCell ref="H3750:I3750"/>
    <mergeCell ref="J3750:L3750"/>
    <mergeCell ref="F3751:G3751"/>
    <mergeCell ref="H3751:I3751"/>
    <mergeCell ref="J3751:L3751"/>
    <mergeCell ref="A3753:H3753"/>
    <mergeCell ref="A3758:H3758"/>
    <mergeCell ref="F3759:G3759"/>
    <mergeCell ref="H3759:I3759"/>
    <mergeCell ref="J3759:L3759"/>
    <mergeCell ref="F3736:G3736"/>
    <mergeCell ref="H3736:I3736"/>
    <mergeCell ref="J3736:L3736"/>
    <mergeCell ref="A3779:H3779"/>
    <mergeCell ref="F3780:G3780"/>
    <mergeCell ref="H3780:I3780"/>
    <mergeCell ref="J3780:L3780"/>
    <mergeCell ref="F3784:G3784"/>
    <mergeCell ref="H3784:I3784"/>
    <mergeCell ref="J3784:L3784"/>
    <mergeCell ref="F3785:G3785"/>
    <mergeCell ref="H3785:I3785"/>
    <mergeCell ref="J3785:L3785"/>
    <mergeCell ref="F3786:G3786"/>
    <mergeCell ref="H3786:I3786"/>
    <mergeCell ref="J3786:L3786"/>
    <mergeCell ref="F3787:G3787"/>
    <mergeCell ref="H3787:I3787"/>
    <mergeCell ref="J3787:L3787"/>
    <mergeCell ref="F3769:G3769"/>
    <mergeCell ref="H3769:I3769"/>
    <mergeCell ref="J3769:L3769"/>
    <mergeCell ref="F3767:G3767"/>
    <mergeCell ref="H3767:I3767"/>
    <mergeCell ref="J3767:L3767"/>
    <mergeCell ref="F3768:G3768"/>
    <mergeCell ref="H3768:I3768"/>
    <mergeCell ref="J3768:L3768"/>
    <mergeCell ref="F3763:G3763"/>
    <mergeCell ref="H3763:I3763"/>
    <mergeCell ref="J3763:L3763"/>
    <mergeCell ref="F3760:G3760"/>
    <mergeCell ref="H3760:I3760"/>
    <mergeCell ref="J3760:L3760"/>
    <mergeCell ref="A3762:H3762"/>
    <mergeCell ref="F3764:G3764"/>
    <mergeCell ref="H3764:I3764"/>
    <mergeCell ref="J3764:L3764"/>
    <mergeCell ref="A3766:H3766"/>
    <mergeCell ref="F3756:G3756"/>
    <mergeCell ref="H3756:I3756"/>
    <mergeCell ref="J3756:L3756"/>
    <mergeCell ref="F3754:G3754"/>
    <mergeCell ref="H3754:I3754"/>
    <mergeCell ref="J3754:L3754"/>
    <mergeCell ref="F3755:G3755"/>
    <mergeCell ref="H3755:I3755"/>
    <mergeCell ref="J3755:L3755"/>
    <mergeCell ref="H3793:I3793"/>
    <mergeCell ref="J3793:L3793"/>
    <mergeCell ref="A3795:H3795"/>
    <mergeCell ref="A3802:H3802"/>
    <mergeCell ref="F3803:G3803"/>
    <mergeCell ref="H3803:I3803"/>
    <mergeCell ref="J3803:L3803"/>
    <mergeCell ref="J3797:L3797"/>
    <mergeCell ref="F3798:G3798"/>
    <mergeCell ref="H3798:I3798"/>
    <mergeCell ref="J3798:L3798"/>
    <mergeCell ref="F3781:G3781"/>
    <mergeCell ref="H3781:I3781"/>
    <mergeCell ref="J3781:L3781"/>
    <mergeCell ref="F3782:G3782"/>
    <mergeCell ref="H3782:I3782"/>
    <mergeCell ref="J3782:L3782"/>
    <mergeCell ref="A3831:H3831"/>
    <mergeCell ref="F3832:G3832"/>
    <mergeCell ref="H3832:I3832"/>
    <mergeCell ref="J3832:L3832"/>
    <mergeCell ref="F3833:G3833"/>
    <mergeCell ref="H3833:I3833"/>
    <mergeCell ref="J3833:L3833"/>
    <mergeCell ref="F3834:G3834"/>
    <mergeCell ref="H3834:I3834"/>
    <mergeCell ref="J3834:L3834"/>
    <mergeCell ref="A3836:H3836"/>
    <mergeCell ref="F3838:G3838"/>
    <mergeCell ref="H3838:I3838"/>
    <mergeCell ref="J3838:L3838"/>
    <mergeCell ref="F3839:G3839"/>
    <mergeCell ref="H3839:I3839"/>
    <mergeCell ref="J3839:L3839"/>
    <mergeCell ref="F3824:G3824"/>
    <mergeCell ref="H3824:I3824"/>
    <mergeCell ref="J3824:L3824"/>
    <mergeCell ref="A3806:H3806"/>
    <mergeCell ref="F3808:G3808"/>
    <mergeCell ref="H3808:I3808"/>
    <mergeCell ref="J3808:L3808"/>
    <mergeCell ref="A3810:H3810"/>
    <mergeCell ref="F3812:G3812"/>
    <mergeCell ref="H3812:I3812"/>
    <mergeCell ref="J3812:L3812"/>
    <mergeCell ref="F3813:G3813"/>
    <mergeCell ref="H3813:I3813"/>
    <mergeCell ref="J3813:L3813"/>
    <mergeCell ref="A3823:H3823"/>
    <mergeCell ref="F3825:G3825"/>
    <mergeCell ref="H3825:I3825"/>
    <mergeCell ref="J3825:L3825"/>
    <mergeCell ref="F3826:G3826"/>
    <mergeCell ref="H3826:I3826"/>
    <mergeCell ref="J3826:L3826"/>
    <mergeCell ref="F3827:G3827"/>
    <mergeCell ref="H3827:I3827"/>
    <mergeCell ref="J3827:L3827"/>
    <mergeCell ref="F3828:G3828"/>
    <mergeCell ref="H3828:I3828"/>
    <mergeCell ref="J3828:L3828"/>
    <mergeCell ref="F3829:G3829"/>
    <mergeCell ref="H3829:I3829"/>
    <mergeCell ref="F3796:G3796"/>
    <mergeCell ref="A3843:H3843"/>
    <mergeCell ref="F3844:G3844"/>
    <mergeCell ref="H3844:I3844"/>
    <mergeCell ref="J3844:L3844"/>
    <mergeCell ref="A3847:H3847"/>
    <mergeCell ref="F3849:G3849"/>
    <mergeCell ref="H3849:I3849"/>
    <mergeCell ref="J3849:L3849"/>
    <mergeCell ref="A3851:H3851"/>
    <mergeCell ref="F3853:G3853"/>
    <mergeCell ref="H3853:I3853"/>
    <mergeCell ref="J3853:L3853"/>
    <mergeCell ref="F3854:G3854"/>
    <mergeCell ref="H3854:I3854"/>
    <mergeCell ref="J3854:L3854"/>
    <mergeCell ref="F3852:G3852"/>
    <mergeCell ref="H3852:I3852"/>
    <mergeCell ref="J3852:L3852"/>
    <mergeCell ref="F3848:G3848"/>
    <mergeCell ref="H3848:I3848"/>
    <mergeCell ref="J3848:L3848"/>
    <mergeCell ref="F3845:G3845"/>
    <mergeCell ref="H3845:I3845"/>
    <mergeCell ref="J3845:L3845"/>
    <mergeCell ref="F3840:G3840"/>
    <mergeCell ref="H3840:I3840"/>
    <mergeCell ref="J3840:L3840"/>
    <mergeCell ref="F3841:G3841"/>
    <mergeCell ref="H3841:I3841"/>
    <mergeCell ref="J3841:L3841"/>
    <mergeCell ref="F3837:G3837"/>
    <mergeCell ref="H3837:I3837"/>
    <mergeCell ref="J3837:L3837"/>
    <mergeCell ref="A3947:H3947"/>
    <mergeCell ref="A3962:H3962"/>
    <mergeCell ref="A3966:H3966"/>
    <mergeCell ref="F3968:G3968"/>
    <mergeCell ref="H3968:I3968"/>
    <mergeCell ref="J3968:L3968"/>
    <mergeCell ref="F3948:G3948"/>
    <mergeCell ref="H3948:I3948"/>
    <mergeCell ref="J3948:L3948"/>
    <mergeCell ref="F3949:G3949"/>
    <mergeCell ref="H3949:I3949"/>
    <mergeCell ref="J3949:L3949"/>
    <mergeCell ref="F3967:G3967"/>
    <mergeCell ref="H3967:I3967"/>
    <mergeCell ref="J3967:L3967"/>
    <mergeCell ref="F3963:G3963"/>
    <mergeCell ref="H3963:I3963"/>
    <mergeCell ref="J3963:L3963"/>
    <mergeCell ref="F3964:G3964"/>
    <mergeCell ref="H3964:I3964"/>
    <mergeCell ref="J3964:L3964"/>
    <mergeCell ref="F3916:G3916"/>
    <mergeCell ref="H3916:I3916"/>
    <mergeCell ref="J3916:L3916"/>
    <mergeCell ref="F3919:G3919"/>
    <mergeCell ref="H3919:I3919"/>
    <mergeCell ref="J3919:L3919"/>
    <mergeCell ref="F3911:G3911"/>
    <mergeCell ref="H3911:I3911"/>
    <mergeCell ref="J3911:L3911"/>
    <mergeCell ref="F3913:G3913"/>
    <mergeCell ref="H3913:I3913"/>
    <mergeCell ref="J3913:L3913"/>
    <mergeCell ref="A3915:H3915"/>
    <mergeCell ref="F3917:G3917"/>
    <mergeCell ref="H3917:I3917"/>
    <mergeCell ref="J3917:L3917"/>
    <mergeCell ref="F3918:G3918"/>
    <mergeCell ref="H3918:I3918"/>
    <mergeCell ref="J3918:L3918"/>
    <mergeCell ref="A3921:H3921"/>
    <mergeCell ref="A4003:H4003"/>
    <mergeCell ref="F4004:G4004"/>
    <mergeCell ref="H4004:I4004"/>
    <mergeCell ref="J4004:L4004"/>
    <mergeCell ref="F4005:G4005"/>
    <mergeCell ref="H4005:I4005"/>
    <mergeCell ref="J4005:L4005"/>
    <mergeCell ref="A4016:H4016"/>
    <mergeCell ref="F4018:G4018"/>
    <mergeCell ref="H4018:I4018"/>
    <mergeCell ref="J4018:L4018"/>
    <mergeCell ref="F4019:G4019"/>
    <mergeCell ref="H4019:I4019"/>
    <mergeCell ref="J4019:L4019"/>
    <mergeCell ref="A4023:H4023"/>
    <mergeCell ref="F4024:G4024"/>
    <mergeCell ref="H4024:I4024"/>
    <mergeCell ref="J4024:L4024"/>
    <mergeCell ref="F4025:G4025"/>
    <mergeCell ref="H4025:I4025"/>
    <mergeCell ref="J4025:L4025"/>
    <mergeCell ref="F4026:G4026"/>
    <mergeCell ref="H4026:I4026"/>
    <mergeCell ref="J4026:L4026"/>
    <mergeCell ref="F4027:G4027"/>
    <mergeCell ref="H4027:I4027"/>
    <mergeCell ref="J4027:L4027"/>
    <mergeCell ref="A4029:H4029"/>
    <mergeCell ref="F4030:G4030"/>
    <mergeCell ref="H4030:I4030"/>
    <mergeCell ref="J4030:L4030"/>
    <mergeCell ref="F4031:G4031"/>
    <mergeCell ref="H4031:I4031"/>
    <mergeCell ref="J4031:L4031"/>
    <mergeCell ref="A4061:H4061"/>
    <mergeCell ref="F4062:G4062"/>
    <mergeCell ref="H4062:I4062"/>
    <mergeCell ref="J4062:L4062"/>
    <mergeCell ref="F4063:G4063"/>
    <mergeCell ref="H4063:I4063"/>
    <mergeCell ref="J4063:L4063"/>
    <mergeCell ref="F4064:G4064"/>
    <mergeCell ref="H4064:I4064"/>
    <mergeCell ref="J4064:L4064"/>
    <mergeCell ref="F4065:G4065"/>
    <mergeCell ref="H4065:I4065"/>
    <mergeCell ref="J4065:L4065"/>
    <mergeCell ref="F4066:G4066"/>
    <mergeCell ref="H4066:I4066"/>
    <mergeCell ref="J4066:L4066"/>
    <mergeCell ref="F4067:G4067"/>
    <mergeCell ref="H4067:I4067"/>
    <mergeCell ref="J4067:L4067"/>
    <mergeCell ref="F4068:G4068"/>
    <mergeCell ref="H4068:I4068"/>
    <mergeCell ref="J4068:L4068"/>
    <mergeCell ref="A4070:H4070"/>
    <mergeCell ref="A4076:H4076"/>
    <mergeCell ref="F4077:G4077"/>
    <mergeCell ref="H4077:I4077"/>
    <mergeCell ref="J4077:L4077"/>
    <mergeCell ref="F4093:G4093"/>
    <mergeCell ref="H4093:I4093"/>
    <mergeCell ref="J4093:L4093"/>
    <mergeCell ref="A4103:H4103"/>
    <mergeCell ref="F4104:G4104"/>
    <mergeCell ref="H4104:I4104"/>
    <mergeCell ref="J4104:L4104"/>
    <mergeCell ref="F4092:G4092"/>
    <mergeCell ref="H4092:I4092"/>
    <mergeCell ref="J4092:L4092"/>
    <mergeCell ref="F4088:G4088"/>
    <mergeCell ref="H4088:I4088"/>
    <mergeCell ref="J4088:L4088"/>
    <mergeCell ref="A4090:H4090"/>
    <mergeCell ref="F4091:G4091"/>
    <mergeCell ref="H4091:I4091"/>
    <mergeCell ref="J4091:L4091"/>
    <mergeCell ref="F4084:G4084"/>
    <mergeCell ref="H4084:I4084"/>
    <mergeCell ref="J4084:L4084"/>
    <mergeCell ref="A4086:H4086"/>
    <mergeCell ref="F4087:G4087"/>
    <mergeCell ref="H4087:I4087"/>
    <mergeCell ref="J4087:L4087"/>
    <mergeCell ref="A4153:H4153"/>
    <mergeCell ref="F4154:G4154"/>
    <mergeCell ref="H4154:I4154"/>
    <mergeCell ref="J4154:L4154"/>
    <mergeCell ref="F4155:G4155"/>
    <mergeCell ref="H4155:I4155"/>
    <mergeCell ref="J4155:L4155"/>
    <mergeCell ref="A4157:H4157"/>
    <mergeCell ref="F4158:G4158"/>
    <mergeCell ref="H4158:I4158"/>
    <mergeCell ref="J4158:L4158"/>
    <mergeCell ref="F4159:G4159"/>
    <mergeCell ref="H4159:I4159"/>
    <mergeCell ref="J4159:L4159"/>
    <mergeCell ref="A4161:H4161"/>
    <mergeCell ref="F4162:G4162"/>
    <mergeCell ref="H4162:I4162"/>
    <mergeCell ref="J4162:L4162"/>
    <mergeCell ref="F4163:G4163"/>
    <mergeCell ref="H4163:I4163"/>
    <mergeCell ref="J4163:L4163"/>
    <mergeCell ref="A4165:H4165"/>
    <mergeCell ref="F4167:G4167"/>
    <mergeCell ref="H4167:I4167"/>
    <mergeCell ref="J4167:L4167"/>
    <mergeCell ref="F4168:G4168"/>
    <mergeCell ref="H4168:I4168"/>
    <mergeCell ref="J4168:L4168"/>
    <mergeCell ref="A4178:H4178"/>
    <mergeCell ref="A4184:H4184"/>
    <mergeCell ref="F4185:G4185"/>
    <mergeCell ref="H4185:I4185"/>
    <mergeCell ref="J4185:L4185"/>
    <mergeCell ref="F4166:G4166"/>
    <mergeCell ref="H4166:I4166"/>
    <mergeCell ref="J4166:L4166"/>
    <mergeCell ref="F4186:G4186"/>
    <mergeCell ref="H4186:I4186"/>
    <mergeCell ref="J4186:L4186"/>
    <mergeCell ref="A4188:H4188"/>
    <mergeCell ref="F4191:G4191"/>
    <mergeCell ref="H4191:I4191"/>
    <mergeCell ref="J4191:L4191"/>
    <mergeCell ref="A4193:H4193"/>
    <mergeCell ref="A4197:H4197"/>
    <mergeCell ref="F4198:G4198"/>
    <mergeCell ref="H4198:I4198"/>
    <mergeCell ref="J4198:L4198"/>
    <mergeCell ref="F4199:G4199"/>
    <mergeCell ref="H4199:I4199"/>
    <mergeCell ref="J4199:L4199"/>
    <mergeCell ref="A4201:H4201"/>
    <mergeCell ref="F4202:G4202"/>
    <mergeCell ref="H4202:I4202"/>
    <mergeCell ref="J4202:L4202"/>
    <mergeCell ref="F4203:G4203"/>
    <mergeCell ref="H4203:I4203"/>
    <mergeCell ref="J4203:L4203"/>
    <mergeCell ref="A4214:H4214"/>
    <mergeCell ref="F4215:G4215"/>
    <mergeCell ref="H4215:I4215"/>
    <mergeCell ref="J4215:L4215"/>
    <mergeCell ref="F4216:G4216"/>
    <mergeCell ref="H4216:I4216"/>
    <mergeCell ref="J4216:L4216"/>
    <mergeCell ref="F4217:G4217"/>
    <mergeCell ref="H4217:I4217"/>
    <mergeCell ref="J4217:L4217"/>
    <mergeCell ref="F4218:G4218"/>
    <mergeCell ref="H4218:I4218"/>
    <mergeCell ref="J4218:L4218"/>
    <mergeCell ref="A4270:H4270"/>
    <mergeCell ref="F4271:G4271"/>
    <mergeCell ref="H4271:I4271"/>
    <mergeCell ref="J4271:L4271"/>
    <mergeCell ref="A4274:H4274"/>
    <mergeCell ref="F4276:G4276"/>
    <mergeCell ref="H4276:I4276"/>
    <mergeCell ref="J4276:L4276"/>
    <mergeCell ref="A4278:H4278"/>
    <mergeCell ref="F4280:G4280"/>
    <mergeCell ref="H4280:I4280"/>
    <mergeCell ref="J4280:L4280"/>
    <mergeCell ref="F4281:G4281"/>
    <mergeCell ref="H4281:I4281"/>
    <mergeCell ref="J4281:L4281"/>
    <mergeCell ref="A4291:H4291"/>
    <mergeCell ref="F4293:G4293"/>
    <mergeCell ref="H4293:I4293"/>
    <mergeCell ref="J4293:L4293"/>
    <mergeCell ref="F4294:G4294"/>
    <mergeCell ref="H4294:I4294"/>
    <mergeCell ref="J4294:L4294"/>
    <mergeCell ref="F4295:G4295"/>
    <mergeCell ref="H4295:I4295"/>
    <mergeCell ref="J4295:L4295"/>
    <mergeCell ref="F4279:G4279"/>
    <mergeCell ref="H4279:I4279"/>
    <mergeCell ref="J4279:L4279"/>
    <mergeCell ref="F4275:G4275"/>
    <mergeCell ref="H4275:I4275"/>
    <mergeCell ref="J4275:L4275"/>
    <mergeCell ref="F4272:G4272"/>
    <mergeCell ref="H4272:I4272"/>
    <mergeCell ref="J4272:L4272"/>
    <mergeCell ref="A4342:H4342"/>
    <mergeCell ref="F4343:G4343"/>
    <mergeCell ref="H4343:I4343"/>
    <mergeCell ref="J4343:L4343"/>
    <mergeCell ref="F4344:G4344"/>
    <mergeCell ref="H4344:I4344"/>
    <mergeCell ref="J4344:L4344"/>
    <mergeCell ref="A4348:H4348"/>
    <mergeCell ref="F4349:G4349"/>
    <mergeCell ref="H4349:I4349"/>
    <mergeCell ref="J4349:L4349"/>
    <mergeCell ref="A4352:H4352"/>
    <mergeCell ref="F4354:G4354"/>
    <mergeCell ref="H4354:I4354"/>
    <mergeCell ref="J4354:L4354"/>
    <mergeCell ref="A4356:H4356"/>
    <mergeCell ref="F4358:G4358"/>
    <mergeCell ref="H4358:I4358"/>
    <mergeCell ref="J4358:L4358"/>
    <mergeCell ref="A4360:H4360"/>
    <mergeCell ref="F4362:G4362"/>
    <mergeCell ref="H4362:I4362"/>
    <mergeCell ref="J4362:L4362"/>
    <mergeCell ref="F4363:G4363"/>
    <mergeCell ref="H4363:I4363"/>
    <mergeCell ref="J4363:L4363"/>
    <mergeCell ref="A4373:H4373"/>
    <mergeCell ref="F4374:G4374"/>
    <mergeCell ref="H4374:I4374"/>
    <mergeCell ref="J4374:L4374"/>
    <mergeCell ref="F4361:G4361"/>
    <mergeCell ref="H4361:I4361"/>
    <mergeCell ref="J4361:L4361"/>
    <mergeCell ref="F4357:G4357"/>
    <mergeCell ref="H4357:I4357"/>
    <mergeCell ref="J4357:L4357"/>
    <mergeCell ref="F4375:G4375"/>
    <mergeCell ref="H4375:I4375"/>
    <mergeCell ref="J4375:L4375"/>
    <mergeCell ref="F4376:G4376"/>
    <mergeCell ref="H4376:I4376"/>
    <mergeCell ref="J4376:L4376"/>
    <mergeCell ref="A4378:H4378"/>
    <mergeCell ref="A4393:H4393"/>
    <mergeCell ref="A4397:H4397"/>
    <mergeCell ref="F4399:G4399"/>
    <mergeCell ref="H4399:I4399"/>
    <mergeCell ref="J4399:L4399"/>
    <mergeCell ref="F4400:G4400"/>
    <mergeCell ref="H4400:I4400"/>
    <mergeCell ref="J4400:L4400"/>
    <mergeCell ref="A4410:H4410"/>
    <mergeCell ref="F4412:G4412"/>
    <mergeCell ref="H4412:I4412"/>
    <mergeCell ref="J4412:L4412"/>
    <mergeCell ref="F4413:G4413"/>
    <mergeCell ref="H4413:I4413"/>
    <mergeCell ref="J4413:L4413"/>
    <mergeCell ref="A4415:H4415"/>
    <mergeCell ref="F4416:G4416"/>
    <mergeCell ref="H4416:I4416"/>
    <mergeCell ref="J4416:L4416"/>
    <mergeCell ref="F4417:G4417"/>
    <mergeCell ref="H4417:I4417"/>
    <mergeCell ref="J4417:L4417"/>
    <mergeCell ref="F4418:G4418"/>
    <mergeCell ref="H4418:I4418"/>
    <mergeCell ref="J4418:L4418"/>
    <mergeCell ref="A4420:H4420"/>
    <mergeCell ref="A4383:H4383"/>
    <mergeCell ref="F4384:G4384"/>
    <mergeCell ref="H4384:I4384"/>
    <mergeCell ref="J4384:L4384"/>
    <mergeCell ref="F4411:G4411"/>
    <mergeCell ref="H4411:I4411"/>
    <mergeCell ref="J4411:L4411"/>
    <mergeCell ref="H4398:I4398"/>
    <mergeCell ref="J4398:L4398"/>
    <mergeCell ref="F4398:G4398"/>
    <mergeCell ref="F4379:G4379"/>
    <mergeCell ref="H4379:I4379"/>
    <mergeCell ref="J4379:L4379"/>
    <mergeCell ref="F4380:G4380"/>
    <mergeCell ref="H4380:I4380"/>
    <mergeCell ref="J4380:L4380"/>
    <mergeCell ref="F4395:G4395"/>
    <mergeCell ref="H4395:I4395"/>
    <mergeCell ref="J4395:L4395"/>
    <mergeCell ref="F4394:G4394"/>
    <mergeCell ref="H4394:I4394"/>
    <mergeCell ref="J4394:L4394"/>
    <mergeCell ref="F4391:G4391"/>
    <mergeCell ref="H4391:I4391"/>
    <mergeCell ref="J4391:L4391"/>
    <mergeCell ref="F4387:G4387"/>
    <mergeCell ref="H4387:I4387"/>
    <mergeCell ref="J4387:L4387"/>
    <mergeCell ref="A4389:H4389"/>
    <mergeCell ref="F4390:G4390"/>
    <mergeCell ref="H4390:I4390"/>
    <mergeCell ref="F4543:G4543"/>
    <mergeCell ref="H4543:I4543"/>
    <mergeCell ref="J4543:L4543"/>
    <mergeCell ref="F4544:G4544"/>
    <mergeCell ref="H4544:I4544"/>
    <mergeCell ref="J4544:L4544"/>
    <mergeCell ref="A4546:H4546"/>
    <mergeCell ref="F4547:G4547"/>
    <mergeCell ref="H4547:I4547"/>
    <mergeCell ref="J4547:L4547"/>
    <mergeCell ref="F4548:G4548"/>
    <mergeCell ref="H4548:I4548"/>
    <mergeCell ref="J4548:L4548"/>
    <mergeCell ref="A4550:H4550"/>
    <mergeCell ref="F4552:G4552"/>
    <mergeCell ref="H4552:I4552"/>
    <mergeCell ref="J4552:L4552"/>
    <mergeCell ref="A4554:H4554"/>
    <mergeCell ref="F4556:G4556"/>
    <mergeCell ref="H4556:I4556"/>
    <mergeCell ref="J4556:L4556"/>
    <mergeCell ref="A4558:H4558"/>
    <mergeCell ref="F4560:G4560"/>
    <mergeCell ref="H4560:I4560"/>
    <mergeCell ref="J4560:L4560"/>
    <mergeCell ref="F4561:G4561"/>
    <mergeCell ref="H4561:I4561"/>
    <mergeCell ref="J4561:L4561"/>
    <mergeCell ref="A4571:H4571"/>
    <mergeCell ref="F4572:G4572"/>
    <mergeCell ref="H4572:I4572"/>
    <mergeCell ref="J4572:L4572"/>
    <mergeCell ref="F4573:G4573"/>
    <mergeCell ref="H4573:I4573"/>
    <mergeCell ref="J4573:L4573"/>
    <mergeCell ref="A4624:H4624"/>
    <mergeCell ref="F4625:G4625"/>
    <mergeCell ref="H4625:I4625"/>
    <mergeCell ref="J4625:L4625"/>
    <mergeCell ref="A4628:H4628"/>
    <mergeCell ref="F4630:G4630"/>
    <mergeCell ref="H4630:I4630"/>
    <mergeCell ref="J4630:L4630"/>
    <mergeCell ref="A4632:H4632"/>
    <mergeCell ref="F4634:G4634"/>
    <mergeCell ref="H4634:I4634"/>
    <mergeCell ref="J4634:L4634"/>
    <mergeCell ref="F4635:G4635"/>
    <mergeCell ref="H4635:I4635"/>
    <mergeCell ref="J4635:L4635"/>
    <mergeCell ref="A4645:H4645"/>
    <mergeCell ref="F4647:G4647"/>
    <mergeCell ref="H4647:I4647"/>
    <mergeCell ref="J4647:L4647"/>
    <mergeCell ref="F4648:G4648"/>
    <mergeCell ref="H4648:I4648"/>
    <mergeCell ref="J4648:L4648"/>
    <mergeCell ref="F4649:G4649"/>
    <mergeCell ref="H4649:I4649"/>
    <mergeCell ref="J4649:L4649"/>
    <mergeCell ref="F4650:G4650"/>
    <mergeCell ref="H4650:I4650"/>
    <mergeCell ref="J4650:L4650"/>
    <mergeCell ref="F4633:G4633"/>
    <mergeCell ref="H4633:I4633"/>
    <mergeCell ref="J4633:L4633"/>
    <mergeCell ref="F4629:G4629"/>
    <mergeCell ref="H4629:I4629"/>
    <mergeCell ref="J4629:L4629"/>
    <mergeCell ref="F4626:G4626"/>
    <mergeCell ref="H4626:I4626"/>
    <mergeCell ref="J4626:L4626"/>
    <mergeCell ref="F4693:G4693"/>
    <mergeCell ref="H4693:I4693"/>
    <mergeCell ref="J4693:L4693"/>
    <mergeCell ref="A4696:H4696"/>
    <mergeCell ref="F4697:G4697"/>
    <mergeCell ref="H4697:I4697"/>
    <mergeCell ref="J4697:L4697"/>
    <mergeCell ref="F4698:G4698"/>
    <mergeCell ref="H4698:I4698"/>
    <mergeCell ref="J4698:L4698"/>
    <mergeCell ref="A4702:H4702"/>
    <mergeCell ref="F4703:G4703"/>
    <mergeCell ref="H4703:I4703"/>
    <mergeCell ref="J4703:L4703"/>
    <mergeCell ref="A4706:H4706"/>
    <mergeCell ref="F4708:G4708"/>
    <mergeCell ref="H4708:I4708"/>
    <mergeCell ref="J4708:L4708"/>
    <mergeCell ref="A4710:H4710"/>
    <mergeCell ref="F4712:G4712"/>
    <mergeCell ref="H4712:I4712"/>
    <mergeCell ref="J4712:L4712"/>
    <mergeCell ref="A4714:H4714"/>
    <mergeCell ref="F4716:G4716"/>
    <mergeCell ref="H4716:I4716"/>
    <mergeCell ref="J4716:L4716"/>
    <mergeCell ref="F4717:G4717"/>
    <mergeCell ref="H4717:I4717"/>
    <mergeCell ref="J4717:L4717"/>
    <mergeCell ref="A4727:H4727"/>
    <mergeCell ref="F4728:G4728"/>
    <mergeCell ref="H4728:I4728"/>
    <mergeCell ref="J4728:L4728"/>
    <mergeCell ref="F4711:G4711"/>
    <mergeCell ref="H4711:I4711"/>
    <mergeCell ref="J4711:L4711"/>
    <mergeCell ref="F4707:G4707"/>
    <mergeCell ref="H4707:I4707"/>
    <mergeCell ref="J4707:L4707"/>
    <mergeCell ref="F4704:G4704"/>
    <mergeCell ref="H4704:I4704"/>
    <mergeCell ref="J4704:L4704"/>
    <mergeCell ref="F4699:G4699"/>
    <mergeCell ref="H4699:I4699"/>
    <mergeCell ref="J4699:L4699"/>
    <mergeCell ref="F4700:G4700"/>
    <mergeCell ref="H4700:I4700"/>
    <mergeCell ref="J4700:L4700"/>
    <mergeCell ref="F4694:G4694"/>
    <mergeCell ref="H4694:I4694"/>
    <mergeCell ref="J4694:L4694"/>
    <mergeCell ref="H4782:I4782"/>
    <mergeCell ref="J4782:L4782"/>
    <mergeCell ref="F4729:G4729"/>
    <mergeCell ref="H4729:I4729"/>
    <mergeCell ref="J4729:L4729"/>
    <mergeCell ref="F4730:G4730"/>
    <mergeCell ref="H4730:I4730"/>
    <mergeCell ref="J4730:L4730"/>
    <mergeCell ref="A4732:H4732"/>
    <mergeCell ref="A4747:H4747"/>
    <mergeCell ref="A4751:H4751"/>
    <mergeCell ref="F4752:G4752"/>
    <mergeCell ref="H4752:I4752"/>
    <mergeCell ref="J4752:L4752"/>
    <mergeCell ref="F4753:G4753"/>
    <mergeCell ref="H4753:I4753"/>
    <mergeCell ref="J4753:L4753"/>
    <mergeCell ref="A4764:H4764"/>
    <mergeCell ref="F4765:G4765"/>
    <mergeCell ref="H4765:I4765"/>
    <mergeCell ref="J4765:L4765"/>
    <mergeCell ref="F4766:G4766"/>
    <mergeCell ref="H4766:I4766"/>
    <mergeCell ref="J4766:L4766"/>
    <mergeCell ref="F4767:G4767"/>
    <mergeCell ref="H4767:I4767"/>
    <mergeCell ref="J4767:L4767"/>
    <mergeCell ref="A4769:H4769"/>
    <mergeCell ref="F4770:G4770"/>
    <mergeCell ref="H4770:I4770"/>
    <mergeCell ref="J4770:L4770"/>
    <mergeCell ref="F4771:G4771"/>
    <mergeCell ref="H4771:I4771"/>
    <mergeCell ref="J4771:L4771"/>
    <mergeCell ref="F4772:G4772"/>
    <mergeCell ref="H4772:I4772"/>
    <mergeCell ref="J4772:L4772"/>
    <mergeCell ref="J4739:L4739"/>
    <mergeCell ref="F4740:G4740"/>
    <mergeCell ref="H4740:I4740"/>
    <mergeCell ref="J4740:L4740"/>
    <mergeCell ref="F4735:G4735"/>
    <mergeCell ref="H4735:I4735"/>
    <mergeCell ref="J4735:L4735"/>
    <mergeCell ref="J4835:L4835"/>
    <mergeCell ref="F4833:G4833"/>
    <mergeCell ref="H4833:I4833"/>
    <mergeCell ref="A4780:H4780"/>
    <mergeCell ref="A4788:H4788"/>
    <mergeCell ref="F4789:G4789"/>
    <mergeCell ref="H4789:I4789"/>
    <mergeCell ref="J4789:L4789"/>
    <mergeCell ref="F4790:G4790"/>
    <mergeCell ref="H4790:I4790"/>
    <mergeCell ref="J4790:L4790"/>
    <mergeCell ref="A4801:H4801"/>
    <mergeCell ref="F4803:G4803"/>
    <mergeCell ref="H4803:I4803"/>
    <mergeCell ref="J4803:L4803"/>
    <mergeCell ref="F4804:G4804"/>
    <mergeCell ref="H4804:I4804"/>
    <mergeCell ref="J4804:L4804"/>
    <mergeCell ref="F4812:G4812"/>
    <mergeCell ref="H4812:I4812"/>
    <mergeCell ref="J4812:L4812"/>
    <mergeCell ref="A4814:H4814"/>
    <mergeCell ref="F4815:G4815"/>
    <mergeCell ref="H4815:I4815"/>
    <mergeCell ref="J4815:L4815"/>
    <mergeCell ref="F4816:G4816"/>
    <mergeCell ref="H4816:I4816"/>
    <mergeCell ref="J4816:L4816"/>
    <mergeCell ref="F4817:G4817"/>
    <mergeCell ref="H4817:I4817"/>
    <mergeCell ref="J4817:L4817"/>
    <mergeCell ref="F4818:G4818"/>
    <mergeCell ref="H4818:I4818"/>
    <mergeCell ref="J4818:L4818"/>
    <mergeCell ref="F4819:G4819"/>
    <mergeCell ref="H4819:I4819"/>
    <mergeCell ref="J4819:L4819"/>
    <mergeCell ref="J4809:L4809"/>
    <mergeCell ref="F4810:G4810"/>
    <mergeCell ref="H4810:I4810"/>
    <mergeCell ref="J4810:L4810"/>
    <mergeCell ref="F4811:G4811"/>
    <mergeCell ref="H4811:I4811"/>
    <mergeCell ref="J4811:L4811"/>
    <mergeCell ref="F4805:G4805"/>
    <mergeCell ref="H4805:I4805"/>
    <mergeCell ref="J4805:L4805"/>
    <mergeCell ref="F4806:G4806"/>
    <mergeCell ref="H4806:I4806"/>
    <mergeCell ref="J4806:L4806"/>
    <mergeCell ref="A4808:H4808"/>
    <mergeCell ref="F4809:G4809"/>
    <mergeCell ref="H4809:I4809"/>
    <mergeCell ref="A4784:H4784"/>
    <mergeCell ref="F4785:G4785"/>
    <mergeCell ref="H4785:I4785"/>
    <mergeCell ref="J4785:L4785"/>
    <mergeCell ref="F4786:G4786"/>
    <mergeCell ref="H4786:I4786"/>
    <mergeCell ref="J4786:L4786"/>
    <mergeCell ref="F4781:G4781"/>
    <mergeCell ref="H4781:I4781"/>
    <mergeCell ref="J4781:L4781"/>
    <mergeCell ref="F4782:G4782"/>
    <mergeCell ref="J5058:L5058"/>
    <mergeCell ref="A5060:H5060"/>
    <mergeCell ref="A5065:H5065"/>
    <mergeCell ref="F5066:G5066"/>
    <mergeCell ref="H5066:I5066"/>
    <mergeCell ref="J5066:L5066"/>
    <mergeCell ref="F5099:G5099"/>
    <mergeCell ref="H5099:I5099"/>
    <mergeCell ref="J5099:L5099"/>
    <mergeCell ref="F5095:G5095"/>
    <mergeCell ref="H5095:I5095"/>
    <mergeCell ref="J5095:L5095"/>
    <mergeCell ref="A5097:H5097"/>
    <mergeCell ref="F5098:G5098"/>
    <mergeCell ref="H5098:I5098"/>
    <mergeCell ref="J5098:L5098"/>
    <mergeCell ref="F5093:G5093"/>
    <mergeCell ref="H5093:I5093"/>
    <mergeCell ref="J5093:L5093"/>
    <mergeCell ref="F4820:G4820"/>
    <mergeCell ref="H4820:I4820"/>
    <mergeCell ref="J4820:L4820"/>
    <mergeCell ref="F4821:G4821"/>
    <mergeCell ref="H4821:I4821"/>
    <mergeCell ref="J4821:L4821"/>
    <mergeCell ref="A4824:H4824"/>
    <mergeCell ref="A4828:H4828"/>
    <mergeCell ref="F4830:G4830"/>
    <mergeCell ref="H4830:I4830"/>
    <mergeCell ref="J4830:L4830"/>
    <mergeCell ref="A4832:H4832"/>
    <mergeCell ref="A4845:H4845"/>
    <mergeCell ref="F4846:G4846"/>
    <mergeCell ref="H4846:I4846"/>
    <mergeCell ref="J4846:L4846"/>
    <mergeCell ref="F4847:G4847"/>
    <mergeCell ref="H4847:I4847"/>
    <mergeCell ref="J4847:L4847"/>
    <mergeCell ref="F4850:G4850"/>
    <mergeCell ref="H4850:I4850"/>
    <mergeCell ref="J4850:L4850"/>
    <mergeCell ref="F4851:G4851"/>
    <mergeCell ref="H4851:I4851"/>
    <mergeCell ref="J4851:L4851"/>
    <mergeCell ref="A4855:H4855"/>
    <mergeCell ref="F4856:G4856"/>
    <mergeCell ref="H4856:I4856"/>
    <mergeCell ref="J4856:L4856"/>
    <mergeCell ref="F4857:G4857"/>
    <mergeCell ref="H4857:I4857"/>
    <mergeCell ref="J4857:L4857"/>
    <mergeCell ref="F4858:G4858"/>
    <mergeCell ref="H4858:I4858"/>
    <mergeCell ref="J4858:L4858"/>
    <mergeCell ref="F4826:G4826"/>
    <mergeCell ref="H4826:I4826"/>
    <mergeCell ref="J4826:L4826"/>
    <mergeCell ref="F4825:G4825"/>
    <mergeCell ref="H4825:I4825"/>
    <mergeCell ref="J4825:L4825"/>
    <mergeCell ref="F4822:G4822"/>
    <mergeCell ref="H4822:I4822"/>
    <mergeCell ref="J4822:L4822"/>
    <mergeCell ref="H4835:I4835"/>
    <mergeCell ref="F4899:G4899"/>
    <mergeCell ref="H4899:I4899"/>
    <mergeCell ref="J4899:L4899"/>
    <mergeCell ref="F4900:G4900"/>
    <mergeCell ref="H4900:I4900"/>
    <mergeCell ref="J4900:L4900"/>
    <mergeCell ref="A4902:H4902"/>
    <mergeCell ref="F4903:G4903"/>
    <mergeCell ref="H4903:I4903"/>
    <mergeCell ref="J4903:L4903"/>
    <mergeCell ref="F4904:G4904"/>
    <mergeCell ref="H4904:I4904"/>
    <mergeCell ref="J4904:L4904"/>
    <mergeCell ref="F4905:G4905"/>
    <mergeCell ref="H4905:I4905"/>
    <mergeCell ref="J4905:L4905"/>
    <mergeCell ref="F4906:G4906"/>
    <mergeCell ref="H4906:I4906"/>
    <mergeCell ref="J4906:L4906"/>
    <mergeCell ref="A4914:H4914"/>
    <mergeCell ref="F4915:G4915"/>
    <mergeCell ref="H4915:I4915"/>
    <mergeCell ref="J4915:L4915"/>
    <mergeCell ref="A4918:H4918"/>
    <mergeCell ref="F4919:G4919"/>
    <mergeCell ref="H4919:I4919"/>
    <mergeCell ref="J4919:L4919"/>
    <mergeCell ref="F4920:G4920"/>
    <mergeCell ref="H4920:I4920"/>
    <mergeCell ref="J4920:L4920"/>
    <mergeCell ref="A4922:H4922"/>
    <mergeCell ref="F4923:G4923"/>
    <mergeCell ref="H4923:I4923"/>
    <mergeCell ref="J4923:L4923"/>
    <mergeCell ref="A4908:H4908"/>
    <mergeCell ref="F4909:G4909"/>
    <mergeCell ref="H4909:I4909"/>
    <mergeCell ref="J4909:L4909"/>
    <mergeCell ref="F4910:G4910"/>
    <mergeCell ref="H4910:I4910"/>
    <mergeCell ref="J4910:L4910"/>
    <mergeCell ref="F5164:G5164"/>
    <mergeCell ref="H5164:I5164"/>
    <mergeCell ref="J5164:L5164"/>
    <mergeCell ref="F5165:G5165"/>
    <mergeCell ref="H5165:I5165"/>
    <mergeCell ref="J5165:L5165"/>
    <mergeCell ref="A5167:H5167"/>
    <mergeCell ref="A5180:H5180"/>
    <mergeCell ref="F5181:G5181"/>
    <mergeCell ref="H5181:I5181"/>
    <mergeCell ref="J5181:L5181"/>
    <mergeCell ref="A5184:H5184"/>
    <mergeCell ref="F5185:G5185"/>
    <mergeCell ref="H5185:I5185"/>
    <mergeCell ref="J5185:L5185"/>
    <mergeCell ref="A5197:H5197"/>
    <mergeCell ref="F5198:G5198"/>
    <mergeCell ref="H5198:I5198"/>
    <mergeCell ref="J5198:L5198"/>
    <mergeCell ref="F5199:G5199"/>
    <mergeCell ref="H5199:I5199"/>
    <mergeCell ref="J5199:L5199"/>
    <mergeCell ref="F5200:G5200"/>
    <mergeCell ref="H5200:I5200"/>
    <mergeCell ref="J5200:L5200"/>
    <mergeCell ref="F5201:G5201"/>
    <mergeCell ref="H5201:I5201"/>
    <mergeCell ref="J5201:L5201"/>
    <mergeCell ref="F5107:G5107"/>
    <mergeCell ref="H5107:I5107"/>
    <mergeCell ref="J5107:L5107"/>
    <mergeCell ref="A5110:H5110"/>
    <mergeCell ref="F5111:G5111"/>
    <mergeCell ref="H5111:I5111"/>
    <mergeCell ref="J5111:L5111"/>
    <mergeCell ref="A5123:H5123"/>
    <mergeCell ref="F5124:G5124"/>
    <mergeCell ref="H5124:I5124"/>
    <mergeCell ref="J5124:L5124"/>
    <mergeCell ref="F5125:G5125"/>
    <mergeCell ref="H5125:I5125"/>
    <mergeCell ref="J5125:L5125"/>
    <mergeCell ref="F5126:G5126"/>
    <mergeCell ref="H5126:I5126"/>
    <mergeCell ref="J5126:L5126"/>
    <mergeCell ref="A5132:H5132"/>
    <mergeCell ref="F5135:G5135"/>
    <mergeCell ref="H5135:I5135"/>
    <mergeCell ref="J5135:L5135"/>
    <mergeCell ref="F5136:G5136"/>
    <mergeCell ref="H5136:I5136"/>
    <mergeCell ref="J5136:L5136"/>
    <mergeCell ref="A5138:H5138"/>
    <mergeCell ref="F5140:G5140"/>
    <mergeCell ref="H5140:I5140"/>
    <mergeCell ref="J5140:L5140"/>
    <mergeCell ref="F5112:G5112"/>
    <mergeCell ref="H5112:I5112"/>
    <mergeCell ref="J5112:L5112"/>
    <mergeCell ref="F5108:G5108"/>
    <mergeCell ref="H5108:I5108"/>
    <mergeCell ref="J5108:L5108"/>
    <mergeCell ref="F5147:G5147"/>
    <mergeCell ref="H5147:I5147"/>
    <mergeCell ref="A5203:H5203"/>
    <mergeCell ref="A5207:H5207"/>
    <mergeCell ref="F5209:G5209"/>
    <mergeCell ref="H5209:I5209"/>
    <mergeCell ref="J5209:L5209"/>
    <mergeCell ref="F5186:G5186"/>
    <mergeCell ref="H5186:I5186"/>
    <mergeCell ref="J5186:L5186"/>
    <mergeCell ref="F5187:G5187"/>
    <mergeCell ref="H5187:I5187"/>
    <mergeCell ref="J5187:L5187"/>
    <mergeCell ref="F5182:G5182"/>
    <mergeCell ref="H5182:I5182"/>
    <mergeCell ref="J5182:L5182"/>
    <mergeCell ref="F5178:G5178"/>
    <mergeCell ref="H5178:I5178"/>
    <mergeCell ref="J5178:L5178"/>
    <mergeCell ref="F5174:G5174"/>
    <mergeCell ref="H5174:I5174"/>
    <mergeCell ref="J5174:L5174"/>
    <mergeCell ref="A5176:H5176"/>
    <mergeCell ref="F5177:G5177"/>
    <mergeCell ref="H5177:I5177"/>
    <mergeCell ref="J5177:L5177"/>
    <mergeCell ref="F5170:G5170"/>
    <mergeCell ref="H5170:I5170"/>
    <mergeCell ref="J5170:L5170"/>
    <mergeCell ref="A5172:H5172"/>
    <mergeCell ref="F5173:G5173"/>
    <mergeCell ref="H5173:I5173"/>
    <mergeCell ref="J5173:L5173"/>
    <mergeCell ref="F5168:G5168"/>
    <mergeCell ref="H5168:I5168"/>
    <mergeCell ref="J5168:L5168"/>
    <mergeCell ref="F5169:G5169"/>
    <mergeCell ref="H5169:I5169"/>
    <mergeCell ref="J5169:L5169"/>
    <mergeCell ref="A5250:H5250"/>
    <mergeCell ref="F5251:G5251"/>
    <mergeCell ref="H5251:I5251"/>
    <mergeCell ref="J5251:L5251"/>
    <mergeCell ref="A5254:H5254"/>
    <mergeCell ref="F5255:G5255"/>
    <mergeCell ref="H5255:I5255"/>
    <mergeCell ref="J5255:L5255"/>
    <mergeCell ref="A5267:H5267"/>
    <mergeCell ref="F5268:G5268"/>
    <mergeCell ref="H5268:I5268"/>
    <mergeCell ref="J5268:L5268"/>
    <mergeCell ref="F5269:G5269"/>
    <mergeCell ref="H5269:I5269"/>
    <mergeCell ref="J5269:L5269"/>
    <mergeCell ref="F5270:G5270"/>
    <mergeCell ref="H5270:I5270"/>
    <mergeCell ref="J5270:L5270"/>
    <mergeCell ref="A5286:H5286"/>
    <mergeCell ref="F5287:G5287"/>
    <mergeCell ref="H5287:I5287"/>
    <mergeCell ref="J5287:L5287"/>
    <mergeCell ref="A5290:H5290"/>
    <mergeCell ref="F5291:G5291"/>
    <mergeCell ref="H5291:I5291"/>
    <mergeCell ref="J5291:L5291"/>
    <mergeCell ref="A5303:H5303"/>
    <mergeCell ref="F5304:G5304"/>
    <mergeCell ref="H5304:I5304"/>
    <mergeCell ref="J5304:L5304"/>
    <mergeCell ref="F5305:G5305"/>
    <mergeCell ref="H5305:I5305"/>
    <mergeCell ref="J5305:L5305"/>
    <mergeCell ref="A5277:H5277"/>
    <mergeCell ref="F5278:G5278"/>
    <mergeCell ref="H5278:I5278"/>
    <mergeCell ref="J5278:L5278"/>
    <mergeCell ref="F5279:G5279"/>
    <mergeCell ref="H5279:I5279"/>
    <mergeCell ref="J5279:L5279"/>
    <mergeCell ref="F5274:G5274"/>
    <mergeCell ref="H5274:I5274"/>
    <mergeCell ref="J5274:L5274"/>
    <mergeCell ref="F5275:G5275"/>
    <mergeCell ref="H5275:I5275"/>
    <mergeCell ref="J5275:L5275"/>
    <mergeCell ref="A5272:H5272"/>
    <mergeCell ref="F5273:G5273"/>
    <mergeCell ref="H5273:I5273"/>
    <mergeCell ref="J5273:L5273"/>
    <mergeCell ref="F5256:G5256"/>
    <mergeCell ref="H5256:I5256"/>
    <mergeCell ref="J5256:L5256"/>
    <mergeCell ref="F5257:G5257"/>
    <mergeCell ref="H5257:I5257"/>
    <mergeCell ref="J5257:L5257"/>
    <mergeCell ref="F5252:G5252"/>
    <mergeCell ref="H5252:I5252"/>
    <mergeCell ref="J5252:L5252"/>
    <mergeCell ref="F5342:G5342"/>
    <mergeCell ref="H5342:I5342"/>
    <mergeCell ref="J5342:L5342"/>
    <mergeCell ref="A5344:H5344"/>
    <mergeCell ref="F5345:G5345"/>
    <mergeCell ref="H5345:I5345"/>
    <mergeCell ref="J5345:L5345"/>
    <mergeCell ref="F5346:G5346"/>
    <mergeCell ref="H5346:I5346"/>
    <mergeCell ref="J5346:L5346"/>
    <mergeCell ref="A5349:H5349"/>
    <mergeCell ref="F5350:G5350"/>
    <mergeCell ref="H5350:I5350"/>
    <mergeCell ref="J5350:L5350"/>
    <mergeCell ref="F5351:G5351"/>
    <mergeCell ref="H5351:I5351"/>
    <mergeCell ref="J5351:L5351"/>
    <mergeCell ref="A5360:H5360"/>
    <mergeCell ref="F5362:G5362"/>
    <mergeCell ref="H5362:I5362"/>
    <mergeCell ref="J5362:L5362"/>
    <mergeCell ref="A5364:H5364"/>
    <mergeCell ref="F5366:G5366"/>
    <mergeCell ref="H5366:I5366"/>
    <mergeCell ref="J5366:L5366"/>
    <mergeCell ref="F5367:G5367"/>
    <mergeCell ref="H5367:I5367"/>
    <mergeCell ref="J5367:L5367"/>
    <mergeCell ref="A5377:H5377"/>
    <mergeCell ref="F5378:G5378"/>
    <mergeCell ref="H5378:I5378"/>
    <mergeCell ref="J5378:L5378"/>
    <mergeCell ref="H5400:I5400"/>
    <mergeCell ref="J5400:L5400"/>
    <mergeCell ref="F5361:G5361"/>
    <mergeCell ref="H5361:I5361"/>
    <mergeCell ref="J5361:L5361"/>
    <mergeCell ref="F5399:G5399"/>
    <mergeCell ref="H5399:I5399"/>
    <mergeCell ref="J5399:L5399"/>
    <mergeCell ref="F5396:G5396"/>
    <mergeCell ref="H5396:I5396"/>
    <mergeCell ref="J5396:L5396"/>
    <mergeCell ref="F5392:G5392"/>
    <mergeCell ref="H5392:I5392"/>
    <mergeCell ref="J5392:L5392"/>
    <mergeCell ref="A5394:H5394"/>
    <mergeCell ref="F5395:G5395"/>
    <mergeCell ref="H5395:I5395"/>
    <mergeCell ref="J5395:L5395"/>
    <mergeCell ref="F5390:G5390"/>
    <mergeCell ref="H5390:I5390"/>
    <mergeCell ref="J5390:L5390"/>
    <mergeCell ref="F5391:G5391"/>
    <mergeCell ref="H5391:I5391"/>
    <mergeCell ref="J5391:L5391"/>
    <mergeCell ref="F5379:G5379"/>
    <mergeCell ref="H5379:I5379"/>
    <mergeCell ref="J5379:L5379"/>
    <mergeCell ref="F5380:G5380"/>
    <mergeCell ref="H5380:I5380"/>
    <mergeCell ref="J5380:L5380"/>
    <mergeCell ref="A5382:H5382"/>
    <mergeCell ref="F5383:G5383"/>
    <mergeCell ref="A5402:H5402"/>
    <mergeCell ref="F5404:G5404"/>
    <mergeCell ref="H5404:I5404"/>
    <mergeCell ref="J5404:L5404"/>
    <mergeCell ref="F5405:G5405"/>
    <mergeCell ref="H5405:I5405"/>
    <mergeCell ref="J5405:L5405"/>
    <mergeCell ref="A5415:H5415"/>
    <mergeCell ref="F5416:G5416"/>
    <mergeCell ref="H5416:I5416"/>
    <mergeCell ref="J5416:L5416"/>
    <mergeCell ref="F5417:G5417"/>
    <mergeCell ref="H5417:I5417"/>
    <mergeCell ref="J5417:L5417"/>
    <mergeCell ref="F5418:G5418"/>
    <mergeCell ref="H5418:I5418"/>
    <mergeCell ref="J5418:L5418"/>
    <mergeCell ref="A5420:H5420"/>
    <mergeCell ref="F5421:G5421"/>
    <mergeCell ref="H5421:I5421"/>
    <mergeCell ref="J5421:L5421"/>
    <mergeCell ref="F5422:G5422"/>
    <mergeCell ref="H5422:I5422"/>
    <mergeCell ref="J5422:L5422"/>
    <mergeCell ref="A5425:H5425"/>
    <mergeCell ref="F5426:G5426"/>
    <mergeCell ref="H5426:I5426"/>
    <mergeCell ref="J5426:L5426"/>
    <mergeCell ref="F5427:G5427"/>
    <mergeCell ref="H5427:I5427"/>
    <mergeCell ref="J5427:L5427"/>
    <mergeCell ref="F5442:G5442"/>
    <mergeCell ref="H5442:I5442"/>
    <mergeCell ref="J5442:L5442"/>
    <mergeCell ref="F5437:G5437"/>
    <mergeCell ref="H5437:I5437"/>
    <mergeCell ref="J5437:L5437"/>
    <mergeCell ref="F5434:G5434"/>
    <mergeCell ref="H5434:I5434"/>
    <mergeCell ref="J5434:L5434"/>
    <mergeCell ref="F5430:G5430"/>
    <mergeCell ref="H5430:I5430"/>
    <mergeCell ref="J5430:L5430"/>
    <mergeCell ref="A5432:H5432"/>
    <mergeCell ref="F5433:G5433"/>
    <mergeCell ref="H5433:I5433"/>
    <mergeCell ref="J5433:L5433"/>
    <mergeCell ref="F5428:G5428"/>
    <mergeCell ref="H5428:I5428"/>
    <mergeCell ref="J5428:L5428"/>
    <mergeCell ref="F5429:G5429"/>
    <mergeCell ref="H5429:I5429"/>
    <mergeCell ref="J5429:L5429"/>
    <mergeCell ref="A5436:H5436"/>
    <mergeCell ref="F5438:G5438"/>
    <mergeCell ref="H5438:I5438"/>
    <mergeCell ref="J5438:L5438"/>
    <mergeCell ref="A5440:H5440"/>
    <mergeCell ref="F5423:G5423"/>
    <mergeCell ref="H5423:I5423"/>
    <mergeCell ref="J5423:L5423"/>
    <mergeCell ref="F5403:G5403"/>
    <mergeCell ref="H5403:I5403"/>
    <mergeCell ref="J5403:L5403"/>
    <mergeCell ref="F5532:G5532"/>
    <mergeCell ref="H5532:I5532"/>
    <mergeCell ref="J5532:L5532"/>
    <mergeCell ref="A5534:H5534"/>
    <mergeCell ref="F5535:G5535"/>
    <mergeCell ref="H5535:I5535"/>
    <mergeCell ref="J5535:L5535"/>
    <mergeCell ref="F5536:G5536"/>
    <mergeCell ref="H5536:I5536"/>
    <mergeCell ref="J5536:L5536"/>
    <mergeCell ref="A5539:H5539"/>
    <mergeCell ref="F5540:G5540"/>
    <mergeCell ref="H5540:I5540"/>
    <mergeCell ref="J5540:L5540"/>
    <mergeCell ref="F5541:G5541"/>
    <mergeCell ref="H5541:I5541"/>
    <mergeCell ref="J5541:L5541"/>
    <mergeCell ref="A5550:H5550"/>
    <mergeCell ref="F5552:G5552"/>
    <mergeCell ref="H5552:I5552"/>
    <mergeCell ref="J5552:L5552"/>
    <mergeCell ref="A5554:H5554"/>
    <mergeCell ref="F5556:G5556"/>
    <mergeCell ref="H5556:I5556"/>
    <mergeCell ref="J5556:L5556"/>
    <mergeCell ref="F5557:G5557"/>
    <mergeCell ref="H5557:I5557"/>
    <mergeCell ref="J5557:L5557"/>
    <mergeCell ref="A5567:H5567"/>
    <mergeCell ref="F5568:G5568"/>
    <mergeCell ref="H5568:I5568"/>
    <mergeCell ref="J5568:L5568"/>
    <mergeCell ref="F5551:G5551"/>
    <mergeCell ref="H5551:I5551"/>
    <mergeCell ref="J5551:L5551"/>
    <mergeCell ref="F5548:G5548"/>
    <mergeCell ref="H5548:I5548"/>
    <mergeCell ref="J5548:L5548"/>
    <mergeCell ref="F5544:G5544"/>
    <mergeCell ref="H5544:I5544"/>
    <mergeCell ref="J5544:L5544"/>
    <mergeCell ref="A5546:H5546"/>
    <mergeCell ref="F5547:G5547"/>
    <mergeCell ref="H5547:I5547"/>
    <mergeCell ref="J5547:L5547"/>
    <mergeCell ref="F5542:G5542"/>
    <mergeCell ref="H5542:I5542"/>
    <mergeCell ref="J5542:L5542"/>
    <mergeCell ref="F5543:G5543"/>
    <mergeCell ref="H5543:I5543"/>
    <mergeCell ref="J5543:L5543"/>
    <mergeCell ref="J5537:L5537"/>
    <mergeCell ref="F5537:G5537"/>
    <mergeCell ref="H5537:I5537"/>
    <mergeCell ref="F5555:G5555"/>
    <mergeCell ref="H5555:I5555"/>
    <mergeCell ref="J5555:L5555"/>
    <mergeCell ref="H5590:I5590"/>
    <mergeCell ref="J5590:L5590"/>
    <mergeCell ref="A5592:H5592"/>
    <mergeCell ref="F5594:G5594"/>
    <mergeCell ref="H5594:I5594"/>
    <mergeCell ref="J5594:L5594"/>
    <mergeCell ref="F5595:G5595"/>
    <mergeCell ref="H5595:I5595"/>
    <mergeCell ref="J5595:L5595"/>
    <mergeCell ref="A5605:H5605"/>
    <mergeCell ref="F5606:G5606"/>
    <mergeCell ref="H5606:I5606"/>
    <mergeCell ref="J5606:L5606"/>
    <mergeCell ref="F5607:G5607"/>
    <mergeCell ref="H5607:I5607"/>
    <mergeCell ref="J5607:L5607"/>
    <mergeCell ref="F5608:G5608"/>
    <mergeCell ref="H5608:I5608"/>
    <mergeCell ref="J5608:L5608"/>
    <mergeCell ref="A5610:H5610"/>
    <mergeCell ref="F5611:G5611"/>
    <mergeCell ref="H5611:I5611"/>
    <mergeCell ref="J5611:L5611"/>
    <mergeCell ref="F5612:G5612"/>
    <mergeCell ref="H5612:I5612"/>
    <mergeCell ref="J5612:L5612"/>
    <mergeCell ref="A5615:H5615"/>
    <mergeCell ref="F5616:G5616"/>
    <mergeCell ref="H5616:I5616"/>
    <mergeCell ref="J5616:L5616"/>
    <mergeCell ref="F5617:G5617"/>
    <mergeCell ref="H5617:I5617"/>
    <mergeCell ref="J5617:L5617"/>
    <mergeCell ref="F5590:G5590"/>
    <mergeCell ref="F5632:G5632"/>
    <mergeCell ref="H5632:I5632"/>
    <mergeCell ref="J5632:L5632"/>
    <mergeCell ref="F5633:G5633"/>
    <mergeCell ref="H5633:I5633"/>
    <mergeCell ref="J5633:L5633"/>
    <mergeCell ref="A5643:H5643"/>
    <mergeCell ref="F5644:G5644"/>
    <mergeCell ref="H5644:I5644"/>
    <mergeCell ref="J5644:L5644"/>
    <mergeCell ref="F5645:G5645"/>
    <mergeCell ref="H5645:I5645"/>
    <mergeCell ref="J5645:L5645"/>
    <mergeCell ref="F5646:G5646"/>
    <mergeCell ref="H5646:I5646"/>
    <mergeCell ref="J5646:L5646"/>
    <mergeCell ref="A5648:H5648"/>
    <mergeCell ref="F5649:G5649"/>
    <mergeCell ref="H5649:I5649"/>
    <mergeCell ref="J5649:L5649"/>
    <mergeCell ref="F5650:G5650"/>
    <mergeCell ref="H5650:I5650"/>
    <mergeCell ref="J5650:L5650"/>
    <mergeCell ref="A5653:H5653"/>
    <mergeCell ref="F5654:G5654"/>
    <mergeCell ref="H5654:I5654"/>
    <mergeCell ref="J5654:L5654"/>
    <mergeCell ref="F5655:G5655"/>
    <mergeCell ref="H5655:I5655"/>
    <mergeCell ref="J5655:L5655"/>
    <mergeCell ref="F5671:G5671"/>
    <mergeCell ref="H5671:I5671"/>
    <mergeCell ref="J5671:L5671"/>
    <mergeCell ref="F5666:G5666"/>
    <mergeCell ref="H5666:I5666"/>
    <mergeCell ref="J5666:L5666"/>
    <mergeCell ref="A5668:H5668"/>
    <mergeCell ref="F5669:G5669"/>
    <mergeCell ref="H5669:I5669"/>
    <mergeCell ref="J5669:L5669"/>
    <mergeCell ref="F5662:G5662"/>
    <mergeCell ref="H5662:I5662"/>
    <mergeCell ref="J5662:L5662"/>
    <mergeCell ref="A5664:H5664"/>
    <mergeCell ref="F5665:G5665"/>
    <mergeCell ref="H5665:I5665"/>
    <mergeCell ref="J5665:L5665"/>
    <mergeCell ref="F5658:G5658"/>
    <mergeCell ref="H5658:I5658"/>
    <mergeCell ref="J5658:L5658"/>
    <mergeCell ref="A5660:H5660"/>
    <mergeCell ref="F5661:G5661"/>
    <mergeCell ref="H5661:I5661"/>
    <mergeCell ref="J5661:L5661"/>
    <mergeCell ref="F5656:G5656"/>
    <mergeCell ref="H5656:I5656"/>
    <mergeCell ref="J5656:L5656"/>
    <mergeCell ref="F5657:G5657"/>
    <mergeCell ref="H5657:I5657"/>
    <mergeCell ref="J5657:L5657"/>
    <mergeCell ref="F5651:G5651"/>
    <mergeCell ref="H5651:I5651"/>
    <mergeCell ref="J5651:L5651"/>
    <mergeCell ref="H5777:I5777"/>
    <mergeCell ref="J5777:L5777"/>
    <mergeCell ref="F5772:G5772"/>
    <mergeCell ref="H5772:I5772"/>
    <mergeCell ref="J5772:L5772"/>
    <mergeCell ref="F5689:G5689"/>
    <mergeCell ref="H5689:I5689"/>
    <mergeCell ref="J5689:L5689"/>
    <mergeCell ref="A5691:H5691"/>
    <mergeCell ref="F5706:G5706"/>
    <mergeCell ref="H5706:I5706"/>
    <mergeCell ref="J5706:L5706"/>
    <mergeCell ref="A5716:H5716"/>
    <mergeCell ref="F5717:G5717"/>
    <mergeCell ref="H5717:I5717"/>
    <mergeCell ref="J5717:L5717"/>
    <mergeCell ref="F5718:G5718"/>
    <mergeCell ref="H5718:I5718"/>
    <mergeCell ref="J5718:L5718"/>
    <mergeCell ref="F5719:G5719"/>
    <mergeCell ref="H5719:I5719"/>
    <mergeCell ref="J5719:L5719"/>
    <mergeCell ref="A5721:H5721"/>
    <mergeCell ref="F5724:G5724"/>
    <mergeCell ref="H5724:I5724"/>
    <mergeCell ref="J5724:L5724"/>
    <mergeCell ref="A5726:H5726"/>
    <mergeCell ref="A5703:H5703"/>
    <mergeCell ref="F5704:G5704"/>
    <mergeCell ref="H5704:I5704"/>
    <mergeCell ref="J5704:L5704"/>
    <mergeCell ref="F5705:G5705"/>
    <mergeCell ref="H5705:I5705"/>
    <mergeCell ref="J5705:L5705"/>
    <mergeCell ref="A5699:H5699"/>
    <mergeCell ref="F5700:G5700"/>
    <mergeCell ref="H5700:I5700"/>
    <mergeCell ref="J5700:L5700"/>
    <mergeCell ref="F5701:G5701"/>
    <mergeCell ref="H5701:I5701"/>
    <mergeCell ref="J5701:L5701"/>
    <mergeCell ref="A5695:H5695"/>
    <mergeCell ref="F5696:G5696"/>
    <mergeCell ref="H5696:I5696"/>
    <mergeCell ref="J5696:L5696"/>
    <mergeCell ref="F5697:G5697"/>
    <mergeCell ref="H5697:I5697"/>
    <mergeCell ref="J5697:L5697"/>
    <mergeCell ref="F5692:G5692"/>
    <mergeCell ref="H5692:I5692"/>
    <mergeCell ref="J5692:L5692"/>
    <mergeCell ref="F5693:G5693"/>
    <mergeCell ref="H5693:I5693"/>
    <mergeCell ref="J5693:L5693"/>
    <mergeCell ref="F5768:G5768"/>
    <mergeCell ref="H5768:I5768"/>
    <mergeCell ref="J5768:L5768"/>
    <mergeCell ref="F5764:G5764"/>
    <mergeCell ref="H5764:I5764"/>
    <mergeCell ref="J5764:L5764"/>
    <mergeCell ref="A5766:H5766"/>
    <mergeCell ref="F5767:G5767"/>
    <mergeCell ref="H5767:I5767"/>
    <mergeCell ref="J5767:L5767"/>
    <mergeCell ref="F5979:G5979"/>
    <mergeCell ref="H5979:I5979"/>
    <mergeCell ref="J5979:L5979"/>
    <mergeCell ref="A5976:H5976"/>
    <mergeCell ref="F5977:G5977"/>
    <mergeCell ref="H5977:I5977"/>
    <mergeCell ref="J5977:L5977"/>
    <mergeCell ref="F5960:G5960"/>
    <mergeCell ref="H5960:I5960"/>
    <mergeCell ref="J5960:L5960"/>
    <mergeCell ref="F5961:G5961"/>
    <mergeCell ref="H5961:I5961"/>
    <mergeCell ref="J5961:L5961"/>
    <mergeCell ref="F5956:G5956"/>
    <mergeCell ref="H5956:I5956"/>
    <mergeCell ref="J5956:L5956"/>
    <mergeCell ref="F5688:G5688"/>
    <mergeCell ref="H5688:I5688"/>
    <mergeCell ref="J5688:L5688"/>
    <mergeCell ref="F5687:G5687"/>
    <mergeCell ref="A5770:H5770"/>
    <mergeCell ref="F5771:G5771"/>
    <mergeCell ref="H5771:I5771"/>
    <mergeCell ref="J5771:L5771"/>
    <mergeCell ref="A5774:H5774"/>
    <mergeCell ref="F5775:G5775"/>
    <mergeCell ref="H5775:I5775"/>
    <mergeCell ref="J5775:L5775"/>
    <mergeCell ref="A5787:H5787"/>
    <mergeCell ref="F5788:G5788"/>
    <mergeCell ref="H5788:I5788"/>
    <mergeCell ref="J5788:L5788"/>
    <mergeCell ref="F5789:G5789"/>
    <mergeCell ref="H5789:I5789"/>
    <mergeCell ref="J5789:L5789"/>
    <mergeCell ref="F5790:G5790"/>
    <mergeCell ref="H5790:I5790"/>
    <mergeCell ref="J5790:L5790"/>
    <mergeCell ref="A5806:H5806"/>
    <mergeCell ref="F5807:G5807"/>
    <mergeCell ref="H5807:I5807"/>
    <mergeCell ref="J5807:L5807"/>
    <mergeCell ref="A5810:H5810"/>
    <mergeCell ref="F5811:G5811"/>
    <mergeCell ref="H5811:I5811"/>
    <mergeCell ref="J5811:L5811"/>
    <mergeCell ref="A5823:H5823"/>
    <mergeCell ref="F5824:G5824"/>
    <mergeCell ref="H5824:I5824"/>
    <mergeCell ref="J5824:L5824"/>
    <mergeCell ref="F5794:G5794"/>
    <mergeCell ref="H5794:I5794"/>
    <mergeCell ref="J5794:L5794"/>
    <mergeCell ref="F5795:G5795"/>
    <mergeCell ref="H5795:I5795"/>
    <mergeCell ref="J5795:L5795"/>
    <mergeCell ref="A5792:H5792"/>
    <mergeCell ref="F5793:G5793"/>
    <mergeCell ref="H5793:I5793"/>
    <mergeCell ref="J5793:L5793"/>
    <mergeCell ref="F5776:G5776"/>
    <mergeCell ref="H5776:I5776"/>
    <mergeCell ref="J5776:L5776"/>
    <mergeCell ref="F5777:G5777"/>
    <mergeCell ref="F5952:G5952"/>
    <mergeCell ref="H5952:I5952"/>
    <mergeCell ref="J5952:L5952"/>
    <mergeCell ref="F5948:G5948"/>
    <mergeCell ref="H5948:I5948"/>
    <mergeCell ref="F6032:G6032"/>
    <mergeCell ref="H6032:I6032"/>
    <mergeCell ref="J6032:L6032"/>
    <mergeCell ref="F6033:G6033"/>
    <mergeCell ref="H6033:I6033"/>
    <mergeCell ref="J6033:L6033"/>
    <mergeCell ref="A6043:H6043"/>
    <mergeCell ref="F6044:G6044"/>
    <mergeCell ref="H6044:I6044"/>
    <mergeCell ref="J6044:L6044"/>
    <mergeCell ref="F6045:G6045"/>
    <mergeCell ref="H6045:I6045"/>
    <mergeCell ref="J6045:L6045"/>
    <mergeCell ref="F6046:G6046"/>
    <mergeCell ref="H6046:I6046"/>
    <mergeCell ref="J6046:L6046"/>
    <mergeCell ref="A6048:H6048"/>
    <mergeCell ref="F6049:G6049"/>
    <mergeCell ref="H6049:I6049"/>
    <mergeCell ref="J6049:L6049"/>
    <mergeCell ref="F6050:G6050"/>
    <mergeCell ref="H6050:I6050"/>
    <mergeCell ref="J6050:L6050"/>
    <mergeCell ref="A6053:H6053"/>
    <mergeCell ref="F6054:G6054"/>
    <mergeCell ref="H6054:I6054"/>
    <mergeCell ref="J6054:L6054"/>
    <mergeCell ref="F6055:G6055"/>
    <mergeCell ref="H6055:I6055"/>
    <mergeCell ref="J6055:L6055"/>
    <mergeCell ref="A5954:H5954"/>
    <mergeCell ref="F5955:G5955"/>
    <mergeCell ref="H5955:I5955"/>
    <mergeCell ref="J5955:L5955"/>
    <mergeCell ref="A5958:H5958"/>
    <mergeCell ref="F5959:G5959"/>
    <mergeCell ref="H5959:I5959"/>
    <mergeCell ref="J5959:L5959"/>
    <mergeCell ref="A5971:H5971"/>
    <mergeCell ref="F5972:G5972"/>
    <mergeCell ref="H5972:I5972"/>
    <mergeCell ref="J5972:L5972"/>
    <mergeCell ref="F5973:G5973"/>
    <mergeCell ref="H5973:I5973"/>
    <mergeCell ref="J5973:L5973"/>
    <mergeCell ref="F5974:G5974"/>
    <mergeCell ref="H5974:I5974"/>
    <mergeCell ref="J5974:L5974"/>
    <mergeCell ref="A5990:H5990"/>
    <mergeCell ref="A5981:H5981"/>
    <mergeCell ref="F5982:G5982"/>
    <mergeCell ref="H5982:I5982"/>
    <mergeCell ref="J5982:L5982"/>
    <mergeCell ref="F5983:G5983"/>
    <mergeCell ref="H5983:I5983"/>
    <mergeCell ref="J5983:L5983"/>
    <mergeCell ref="F5978:G5978"/>
    <mergeCell ref="H5978:I5978"/>
    <mergeCell ref="J5978:L5978"/>
    <mergeCell ref="F6122:G6122"/>
    <mergeCell ref="H6122:I6122"/>
    <mergeCell ref="J6122:L6122"/>
    <mergeCell ref="A6124:H6124"/>
    <mergeCell ref="F6125:G6125"/>
    <mergeCell ref="H6125:I6125"/>
    <mergeCell ref="J6125:L6125"/>
    <mergeCell ref="F6126:G6126"/>
    <mergeCell ref="H6126:I6126"/>
    <mergeCell ref="J6126:L6126"/>
    <mergeCell ref="A6129:H6129"/>
    <mergeCell ref="F6130:G6130"/>
    <mergeCell ref="H6130:I6130"/>
    <mergeCell ref="J6130:L6130"/>
    <mergeCell ref="F6131:G6131"/>
    <mergeCell ref="H6131:I6131"/>
    <mergeCell ref="J6131:L6131"/>
    <mergeCell ref="A6140:H6140"/>
    <mergeCell ref="F6142:G6142"/>
    <mergeCell ref="H6142:I6142"/>
    <mergeCell ref="J6142:L6142"/>
    <mergeCell ref="A6144:H6144"/>
    <mergeCell ref="F6146:G6146"/>
    <mergeCell ref="H6146:I6146"/>
    <mergeCell ref="J6146:L6146"/>
    <mergeCell ref="F6147:G6147"/>
    <mergeCell ref="H6147:I6147"/>
    <mergeCell ref="J6147:L6147"/>
    <mergeCell ref="A6157:H6157"/>
    <mergeCell ref="F6158:G6158"/>
    <mergeCell ref="H6158:I6158"/>
    <mergeCell ref="J6158:L6158"/>
    <mergeCell ref="F6141:G6141"/>
    <mergeCell ref="H6141:I6141"/>
    <mergeCell ref="J6141:L6141"/>
    <mergeCell ref="F6138:G6138"/>
    <mergeCell ref="H6138:I6138"/>
    <mergeCell ref="J6138:L6138"/>
    <mergeCell ref="F6134:G6134"/>
    <mergeCell ref="H6134:I6134"/>
    <mergeCell ref="J6134:L6134"/>
    <mergeCell ref="A6136:H6136"/>
    <mergeCell ref="F6137:G6137"/>
    <mergeCell ref="H6137:I6137"/>
    <mergeCell ref="J6137:L6137"/>
    <mergeCell ref="F6132:G6132"/>
    <mergeCell ref="H6132:I6132"/>
    <mergeCell ref="J6132:L6132"/>
    <mergeCell ref="F6133:G6133"/>
    <mergeCell ref="H6133:I6133"/>
    <mergeCell ref="J6133:L6133"/>
    <mergeCell ref="J6127:L6127"/>
    <mergeCell ref="F6127:G6127"/>
    <mergeCell ref="H6127:I6127"/>
    <mergeCell ref="F6145:G6145"/>
    <mergeCell ref="H6145:I6145"/>
    <mergeCell ref="J6145:L6145"/>
    <mergeCell ref="H6180:I6180"/>
    <mergeCell ref="J6180:L6180"/>
    <mergeCell ref="A6182:H6182"/>
    <mergeCell ref="F6184:G6184"/>
    <mergeCell ref="H6184:I6184"/>
    <mergeCell ref="J6184:L6184"/>
    <mergeCell ref="F6185:G6185"/>
    <mergeCell ref="H6185:I6185"/>
    <mergeCell ref="J6185:L6185"/>
    <mergeCell ref="A6195:H6195"/>
    <mergeCell ref="F6196:G6196"/>
    <mergeCell ref="H6196:I6196"/>
    <mergeCell ref="J6196:L6196"/>
    <mergeCell ref="F6197:G6197"/>
    <mergeCell ref="H6197:I6197"/>
    <mergeCell ref="J6197:L6197"/>
    <mergeCell ref="F6198:G6198"/>
    <mergeCell ref="H6198:I6198"/>
    <mergeCell ref="J6198:L6198"/>
    <mergeCell ref="A6200:H6200"/>
    <mergeCell ref="F6201:G6201"/>
    <mergeCell ref="H6201:I6201"/>
    <mergeCell ref="J6201:L6201"/>
    <mergeCell ref="F6202:G6202"/>
    <mergeCell ref="H6202:I6202"/>
    <mergeCell ref="J6202:L6202"/>
    <mergeCell ref="A6205:H6205"/>
    <mergeCell ref="F6206:G6206"/>
    <mergeCell ref="H6206:I6206"/>
    <mergeCell ref="J6206:L6206"/>
    <mergeCell ref="F6207:G6207"/>
    <mergeCell ref="H6207:I6207"/>
    <mergeCell ref="J6207:L6207"/>
    <mergeCell ref="F6203:G6203"/>
    <mergeCell ref="H6203:I6203"/>
    <mergeCell ref="J6203:L6203"/>
    <mergeCell ref="F6183:G6183"/>
    <mergeCell ref="H6183:I6183"/>
    <mergeCell ref="J6183:L6183"/>
    <mergeCell ref="F6180:G6180"/>
    <mergeCell ref="F6276:G6276"/>
    <mergeCell ref="H6276:I6276"/>
    <mergeCell ref="J6276:L6276"/>
    <mergeCell ref="A6278:H6278"/>
    <mergeCell ref="A6286:H6286"/>
    <mergeCell ref="F6287:G6287"/>
    <mergeCell ref="H6287:I6287"/>
    <mergeCell ref="J6287:L6287"/>
    <mergeCell ref="A6290:H6290"/>
    <mergeCell ref="F6291:G6291"/>
    <mergeCell ref="H6291:I6291"/>
    <mergeCell ref="J6291:L6291"/>
    <mergeCell ref="A6303:H6303"/>
    <mergeCell ref="F6304:G6304"/>
    <mergeCell ref="H6304:I6304"/>
    <mergeCell ref="J6304:L6304"/>
    <mergeCell ref="F6305:G6305"/>
    <mergeCell ref="H6305:I6305"/>
    <mergeCell ref="J6305:L6305"/>
    <mergeCell ref="F6306:G6306"/>
    <mergeCell ref="H6306:I6306"/>
    <mergeCell ref="J6306:L6306"/>
    <mergeCell ref="A6322:H6322"/>
    <mergeCell ref="F6324:G6324"/>
    <mergeCell ref="H6324:I6324"/>
    <mergeCell ref="J6324:L6324"/>
    <mergeCell ref="A6326:H6326"/>
    <mergeCell ref="F6328:G6328"/>
    <mergeCell ref="H6328:I6328"/>
    <mergeCell ref="J6328:L6328"/>
    <mergeCell ref="F6329:G6329"/>
    <mergeCell ref="H6329:I6329"/>
    <mergeCell ref="J6329:L6329"/>
    <mergeCell ref="A6308:H6308"/>
    <mergeCell ref="F6309:G6309"/>
    <mergeCell ref="H6309:I6309"/>
    <mergeCell ref="J6309:L6309"/>
    <mergeCell ref="F6292:G6292"/>
    <mergeCell ref="H6292:I6292"/>
    <mergeCell ref="J6292:L6292"/>
    <mergeCell ref="F6293:G6293"/>
    <mergeCell ref="H6293:I6293"/>
    <mergeCell ref="J6293:L6293"/>
    <mergeCell ref="F6288:G6288"/>
    <mergeCell ref="H6288:I6288"/>
    <mergeCell ref="J6288:L6288"/>
    <mergeCell ref="F6284:G6284"/>
    <mergeCell ref="H6284:I6284"/>
    <mergeCell ref="J6284:L6284"/>
    <mergeCell ref="F6280:G6280"/>
    <mergeCell ref="H6280:I6280"/>
    <mergeCell ref="J6280:L6280"/>
    <mergeCell ref="A6282:H6282"/>
    <mergeCell ref="F6283:G6283"/>
    <mergeCell ref="H6283:I6283"/>
    <mergeCell ref="J6283:L6283"/>
    <mergeCell ref="F6279:G6279"/>
    <mergeCell ref="H6279:I6279"/>
    <mergeCell ref="J6279:L6279"/>
    <mergeCell ref="F6342:G6342"/>
    <mergeCell ref="H6342:I6342"/>
    <mergeCell ref="J6342:L6342"/>
    <mergeCell ref="A6344:H6344"/>
    <mergeCell ref="F6345:G6345"/>
    <mergeCell ref="H6345:I6345"/>
    <mergeCell ref="J6345:L6345"/>
    <mergeCell ref="F6346:G6346"/>
    <mergeCell ref="H6346:I6346"/>
    <mergeCell ref="J6346:L6346"/>
    <mergeCell ref="A6349:H6349"/>
    <mergeCell ref="F6350:G6350"/>
    <mergeCell ref="H6350:I6350"/>
    <mergeCell ref="J6350:L6350"/>
    <mergeCell ref="F6351:G6351"/>
    <mergeCell ref="H6351:I6351"/>
    <mergeCell ref="J6351:L6351"/>
    <mergeCell ref="A6360:H6360"/>
    <mergeCell ref="F6362:G6362"/>
    <mergeCell ref="H6362:I6362"/>
    <mergeCell ref="J6362:L6362"/>
    <mergeCell ref="A6364:H6364"/>
    <mergeCell ref="F6366:G6366"/>
    <mergeCell ref="H6366:I6366"/>
    <mergeCell ref="J6366:L6366"/>
    <mergeCell ref="F6367:G6367"/>
    <mergeCell ref="H6367:I6367"/>
    <mergeCell ref="J6367:L6367"/>
    <mergeCell ref="A6377:H6377"/>
    <mergeCell ref="F6378:G6378"/>
    <mergeCell ref="H6378:I6378"/>
    <mergeCell ref="J6378:L6378"/>
    <mergeCell ref="F6361:G6361"/>
    <mergeCell ref="H6361:I6361"/>
    <mergeCell ref="J6361:L6361"/>
    <mergeCell ref="F6358:G6358"/>
    <mergeCell ref="H6358:I6358"/>
    <mergeCell ref="J6358:L6358"/>
    <mergeCell ref="F6354:G6354"/>
    <mergeCell ref="H6354:I6354"/>
    <mergeCell ref="J6354:L6354"/>
    <mergeCell ref="A6356:H6356"/>
    <mergeCell ref="F6357:G6357"/>
    <mergeCell ref="H6357:I6357"/>
    <mergeCell ref="J6357:L6357"/>
    <mergeCell ref="F6352:G6352"/>
    <mergeCell ref="H6352:I6352"/>
    <mergeCell ref="J6352:L6352"/>
    <mergeCell ref="F6353:G6353"/>
    <mergeCell ref="H6353:I6353"/>
    <mergeCell ref="J6353:L6353"/>
    <mergeCell ref="J6347:L6347"/>
    <mergeCell ref="F6347:G6347"/>
    <mergeCell ref="H6347:I6347"/>
    <mergeCell ref="F6365:G6365"/>
    <mergeCell ref="H6365:I6365"/>
    <mergeCell ref="J6365:L6365"/>
    <mergeCell ref="J6539:L6539"/>
    <mergeCell ref="A6549:H6549"/>
    <mergeCell ref="F6550:G6550"/>
    <mergeCell ref="H6550:I6550"/>
    <mergeCell ref="J6550:L6550"/>
    <mergeCell ref="F6551:G6551"/>
    <mergeCell ref="H6551:I6551"/>
    <mergeCell ref="J6551:L6551"/>
    <mergeCell ref="F6552:G6552"/>
    <mergeCell ref="H6552:I6552"/>
    <mergeCell ref="J6552:L6552"/>
    <mergeCell ref="F6553:G6553"/>
    <mergeCell ref="H6553:I6553"/>
    <mergeCell ref="J6553:L6553"/>
    <mergeCell ref="F6554:G6554"/>
    <mergeCell ref="H6554:I6554"/>
    <mergeCell ref="J6554:L6554"/>
    <mergeCell ref="F6555:G6555"/>
    <mergeCell ref="H6555:I6555"/>
    <mergeCell ref="J6555:L6555"/>
    <mergeCell ref="A6557:H6557"/>
    <mergeCell ref="A6570:H6570"/>
    <mergeCell ref="F6571:G6571"/>
    <mergeCell ref="H6571:I6571"/>
    <mergeCell ref="J6571:L6571"/>
    <mergeCell ref="F6537:G6537"/>
    <mergeCell ref="H6537:I6537"/>
    <mergeCell ref="J6537:L6537"/>
    <mergeCell ref="H6400:I6400"/>
    <mergeCell ref="J6400:L6400"/>
    <mergeCell ref="A6402:H6402"/>
    <mergeCell ref="F6404:G6404"/>
    <mergeCell ref="H6404:I6404"/>
    <mergeCell ref="J6404:L6404"/>
    <mergeCell ref="F6405:G6405"/>
    <mergeCell ref="H6405:I6405"/>
    <mergeCell ref="J6405:L6405"/>
    <mergeCell ref="A6415:H6415"/>
    <mergeCell ref="F6416:G6416"/>
    <mergeCell ref="H6416:I6416"/>
    <mergeCell ref="J6416:L6416"/>
    <mergeCell ref="F6417:G6417"/>
    <mergeCell ref="H6417:I6417"/>
    <mergeCell ref="J6417:L6417"/>
    <mergeCell ref="F6418:G6418"/>
    <mergeCell ref="H6418:I6418"/>
    <mergeCell ref="J6418:L6418"/>
    <mergeCell ref="A6420:H6420"/>
    <mergeCell ref="F6421:G6421"/>
    <mergeCell ref="H6421:I6421"/>
    <mergeCell ref="J6421:L6421"/>
    <mergeCell ref="F6422:G6422"/>
    <mergeCell ref="H6422:I6422"/>
    <mergeCell ref="J6422:L6422"/>
    <mergeCell ref="A6425:H6425"/>
    <mergeCell ref="F6426:G6426"/>
    <mergeCell ref="H6426:I6426"/>
    <mergeCell ref="J6426:L6426"/>
    <mergeCell ref="F6427:G6427"/>
    <mergeCell ref="H6427:I6427"/>
    <mergeCell ref="J6427:L6427"/>
    <mergeCell ref="F6400:G6400"/>
    <mergeCell ref="F6529:G6529"/>
    <mergeCell ref="H6529:I6529"/>
    <mergeCell ref="J6533:L6533"/>
    <mergeCell ref="F6590:G6590"/>
    <mergeCell ref="H6590:I6590"/>
    <mergeCell ref="J6590:L6590"/>
    <mergeCell ref="F6591:G6591"/>
    <mergeCell ref="H6591:I6591"/>
    <mergeCell ref="J6591:L6591"/>
    <mergeCell ref="A6593:H6593"/>
    <mergeCell ref="A6606:H6606"/>
    <mergeCell ref="F6608:G6608"/>
    <mergeCell ref="H6608:I6608"/>
    <mergeCell ref="J6608:L6608"/>
    <mergeCell ref="A6610:H6610"/>
    <mergeCell ref="F6612:G6612"/>
    <mergeCell ref="H6612:I6612"/>
    <mergeCell ref="J6612:L6612"/>
    <mergeCell ref="F6613:G6613"/>
    <mergeCell ref="H6613:I6613"/>
    <mergeCell ref="J6613:L6613"/>
    <mergeCell ref="A6623:H6623"/>
    <mergeCell ref="F6624:G6624"/>
    <mergeCell ref="H6624:I6624"/>
    <mergeCell ref="J6624:L6624"/>
    <mergeCell ref="F6625:G6625"/>
    <mergeCell ref="H6625:I6625"/>
    <mergeCell ref="J6625:L6625"/>
    <mergeCell ref="F6626:G6626"/>
    <mergeCell ref="H6626:I6626"/>
    <mergeCell ref="J6626:L6626"/>
    <mergeCell ref="A6628:H6628"/>
    <mergeCell ref="F6629:G6629"/>
    <mergeCell ref="H6629:I6629"/>
    <mergeCell ref="J6629:L6629"/>
    <mergeCell ref="F6604:G6604"/>
    <mergeCell ref="H6604:I6604"/>
    <mergeCell ref="J6604:L6604"/>
    <mergeCell ref="F6600:G6600"/>
    <mergeCell ref="H6600:I6600"/>
    <mergeCell ref="J6600:L6600"/>
    <mergeCell ref="A6602:H6602"/>
    <mergeCell ref="F6603:G6603"/>
    <mergeCell ref="H6603:I6603"/>
    <mergeCell ref="J6603:L6603"/>
    <mergeCell ref="A6597:H6597"/>
    <mergeCell ref="F6598:G6598"/>
    <mergeCell ref="H6598:I6598"/>
    <mergeCell ref="J6598:L6598"/>
    <mergeCell ref="F6599:G6599"/>
    <mergeCell ref="H6599:I6599"/>
    <mergeCell ref="J6599:L6599"/>
    <mergeCell ref="F6594:G6594"/>
    <mergeCell ref="H6594:I6594"/>
    <mergeCell ref="J6594:L6594"/>
    <mergeCell ref="F6595:G6595"/>
    <mergeCell ref="H6595:I6595"/>
    <mergeCell ref="J6595:L6595"/>
    <mergeCell ref="F6611:G6611"/>
    <mergeCell ref="H6611:I6611"/>
    <mergeCell ref="J6611:L6611"/>
    <mergeCell ref="F6538:G6538"/>
    <mergeCell ref="H6538:I6538"/>
    <mergeCell ref="J6538:L6538"/>
    <mergeCell ref="F6539:G6539"/>
    <mergeCell ref="H6539:I6539"/>
    <mergeCell ref="J6702:L6702"/>
    <mergeCell ref="A6704:H6704"/>
    <mergeCell ref="F6705:G6705"/>
    <mergeCell ref="H6705:I6705"/>
    <mergeCell ref="J6705:L6705"/>
    <mergeCell ref="A6885:H6885"/>
    <mergeCell ref="F6886:G6886"/>
    <mergeCell ref="H6886:I6886"/>
    <mergeCell ref="J6886:L6886"/>
    <mergeCell ref="F6887:G6887"/>
    <mergeCell ref="H6887:I6887"/>
    <mergeCell ref="J6887:L6887"/>
    <mergeCell ref="F6888:G6888"/>
    <mergeCell ref="H6888:I6888"/>
    <mergeCell ref="J6888:L6888"/>
    <mergeCell ref="A6890:H6890"/>
    <mergeCell ref="F6891:G6891"/>
    <mergeCell ref="H6891:I6891"/>
    <mergeCell ref="J6891:L6891"/>
    <mergeCell ref="A6895:H6895"/>
    <mergeCell ref="F6896:G6896"/>
    <mergeCell ref="H6896:I6896"/>
    <mergeCell ref="J6896:L6896"/>
    <mergeCell ref="A6905:H6905"/>
    <mergeCell ref="F6907:G6907"/>
    <mergeCell ref="H6907:I6907"/>
    <mergeCell ref="J6907:L6907"/>
    <mergeCell ref="A6909:H6909"/>
    <mergeCell ref="F6911:G6911"/>
    <mergeCell ref="H6911:I6911"/>
    <mergeCell ref="J6911:L6911"/>
    <mergeCell ref="F6912:G6912"/>
    <mergeCell ref="H6912:I6912"/>
    <mergeCell ref="J6912:L6912"/>
    <mergeCell ref="F6910:G6910"/>
    <mergeCell ref="H6910:I6910"/>
    <mergeCell ref="J6910:L6910"/>
    <mergeCell ref="F6906:G6906"/>
    <mergeCell ref="H6906:I6906"/>
    <mergeCell ref="J6906:L6906"/>
    <mergeCell ref="F6875:G6875"/>
    <mergeCell ref="H6875:I6875"/>
    <mergeCell ref="J6875:L6875"/>
    <mergeCell ref="F6866:G6866"/>
    <mergeCell ref="H6866:I6866"/>
    <mergeCell ref="J6866:L6866"/>
    <mergeCell ref="A6868:H6868"/>
    <mergeCell ref="F6869:G6869"/>
    <mergeCell ref="H6869:I6869"/>
    <mergeCell ref="J6869:L6869"/>
    <mergeCell ref="F6870:G6870"/>
    <mergeCell ref="H6870:I6870"/>
    <mergeCell ref="J6870:L6870"/>
    <mergeCell ref="A6872:H6872"/>
    <mergeCell ref="F6873:G6873"/>
    <mergeCell ref="H6873:I6873"/>
    <mergeCell ref="J6873:L6873"/>
    <mergeCell ref="F6874:G6874"/>
    <mergeCell ref="H6874:I6874"/>
    <mergeCell ref="J6874:L6874"/>
    <mergeCell ref="F6862:G6862"/>
    <mergeCell ref="H6862:I6862"/>
    <mergeCell ref="J6862:L6862"/>
    <mergeCell ref="A6864:H6864"/>
    <mergeCell ref="A7034:H7034"/>
    <mergeCell ref="F7035:G7035"/>
    <mergeCell ref="H7035:I7035"/>
    <mergeCell ref="J7035:L7035"/>
    <mergeCell ref="F7036:G7036"/>
    <mergeCell ref="H7036:I7036"/>
    <mergeCell ref="J7036:L7036"/>
    <mergeCell ref="F7037:G7037"/>
    <mergeCell ref="H7037:I7037"/>
    <mergeCell ref="J7037:L7037"/>
    <mergeCell ref="A7039:H7039"/>
    <mergeCell ref="F7040:G7040"/>
    <mergeCell ref="H7040:I7040"/>
    <mergeCell ref="J7040:L7040"/>
    <mergeCell ref="F7041:G7041"/>
    <mergeCell ref="H7041:I7041"/>
    <mergeCell ref="J7041:L7041"/>
    <mergeCell ref="A7044:H7044"/>
    <mergeCell ref="F7045:G7045"/>
    <mergeCell ref="H7045:I7045"/>
    <mergeCell ref="J7045:L7045"/>
    <mergeCell ref="F7046:G7046"/>
    <mergeCell ref="H7046:I7046"/>
    <mergeCell ref="J7046:L7046"/>
    <mergeCell ref="A7055:H7055"/>
    <mergeCell ref="F7057:G7057"/>
    <mergeCell ref="H7057:I7057"/>
    <mergeCell ref="J7057:L7057"/>
    <mergeCell ref="A7059:H7059"/>
    <mergeCell ref="F7061:G7061"/>
    <mergeCell ref="H7061:I7061"/>
    <mergeCell ref="J7061:L7061"/>
    <mergeCell ref="F7062:G7062"/>
    <mergeCell ref="H7062:I7062"/>
    <mergeCell ref="J7062:L7062"/>
    <mergeCell ref="F7060:G7060"/>
    <mergeCell ref="H7060:I7060"/>
    <mergeCell ref="J7060:L7060"/>
    <mergeCell ref="F7056:G7056"/>
    <mergeCell ref="H7056:I7056"/>
    <mergeCell ref="J7056:L7056"/>
    <mergeCell ref="F7042:G7042"/>
    <mergeCell ref="H7042:I7042"/>
    <mergeCell ref="J7042:L7042"/>
    <mergeCell ref="F7047:G7047"/>
    <mergeCell ref="H7047:I7047"/>
    <mergeCell ref="J7047:L7047"/>
    <mergeCell ref="F7098:G7098"/>
    <mergeCell ref="H7098:I7098"/>
    <mergeCell ref="J7098:L7098"/>
    <mergeCell ref="F7099:G7099"/>
    <mergeCell ref="H7099:I7099"/>
    <mergeCell ref="J7099:L7099"/>
    <mergeCell ref="A7110:H7110"/>
    <mergeCell ref="F7111:G7111"/>
    <mergeCell ref="H7111:I7111"/>
    <mergeCell ref="J7111:L7111"/>
    <mergeCell ref="F7112:G7112"/>
    <mergeCell ref="H7112:I7112"/>
    <mergeCell ref="J7112:L7112"/>
    <mergeCell ref="F7113:G7113"/>
    <mergeCell ref="H7113:I7113"/>
    <mergeCell ref="J7113:L7113"/>
    <mergeCell ref="F7114:G7114"/>
    <mergeCell ref="H7114:I7114"/>
    <mergeCell ref="J7114:L7114"/>
    <mergeCell ref="F7115:G7115"/>
    <mergeCell ref="H7115:I7115"/>
    <mergeCell ref="J7115:L7115"/>
    <mergeCell ref="F7116:G7116"/>
    <mergeCell ref="H7116:I7116"/>
    <mergeCell ref="J7116:L7116"/>
    <mergeCell ref="F7120:G7120"/>
    <mergeCell ref="H7120:I7120"/>
    <mergeCell ref="J7120:L7120"/>
    <mergeCell ref="F7121:G7121"/>
    <mergeCell ref="H7121:I7121"/>
    <mergeCell ref="J7121:L7121"/>
    <mergeCell ref="F7131:G7131"/>
    <mergeCell ref="H7131:I7131"/>
    <mergeCell ref="J7131:L7131"/>
    <mergeCell ref="F7122:G7122"/>
    <mergeCell ref="H7122:I7122"/>
    <mergeCell ref="J7122:L7122"/>
    <mergeCell ref="F7123:G7123"/>
    <mergeCell ref="H7123:I7123"/>
    <mergeCell ref="J7123:L7123"/>
    <mergeCell ref="F7118:G7118"/>
    <mergeCell ref="H7118:I7118"/>
    <mergeCell ref="J7118:L7118"/>
    <mergeCell ref="F7119:G7119"/>
    <mergeCell ref="H7119:I7119"/>
    <mergeCell ref="J7119:L7119"/>
    <mergeCell ref="F7117:G7117"/>
    <mergeCell ref="H7117:I7117"/>
    <mergeCell ref="J7117:L7117"/>
    <mergeCell ref="F7100:G7100"/>
    <mergeCell ref="H7100:I7100"/>
    <mergeCell ref="J7100:L7100"/>
    <mergeCell ref="H7206:I7206"/>
    <mergeCell ref="J7206:L7206"/>
    <mergeCell ref="A7216:H7216"/>
    <mergeCell ref="F7219:G7219"/>
    <mergeCell ref="H7219:I7219"/>
    <mergeCell ref="J7219:L7219"/>
    <mergeCell ref="A7221:H7221"/>
    <mergeCell ref="F7222:G7222"/>
    <mergeCell ref="H7222:I7222"/>
    <mergeCell ref="J7222:L7222"/>
    <mergeCell ref="F7223:G7223"/>
    <mergeCell ref="H7223:I7223"/>
    <mergeCell ref="J7223:L7223"/>
    <mergeCell ref="F7224:G7224"/>
    <mergeCell ref="H7224:I7224"/>
    <mergeCell ref="J7224:L7224"/>
    <mergeCell ref="A7226:H7226"/>
    <mergeCell ref="F7227:G7227"/>
    <mergeCell ref="H7227:I7227"/>
    <mergeCell ref="J7227:L7227"/>
    <mergeCell ref="F7228:G7228"/>
    <mergeCell ref="H7228:I7228"/>
    <mergeCell ref="J7228:L7228"/>
    <mergeCell ref="A7232:H7232"/>
    <mergeCell ref="F7233:G7233"/>
    <mergeCell ref="H7233:I7233"/>
    <mergeCell ref="J7233:L7233"/>
    <mergeCell ref="A7236:H7236"/>
    <mergeCell ref="F7237:G7237"/>
    <mergeCell ref="H7237:I7237"/>
    <mergeCell ref="J7237:L7237"/>
    <mergeCell ref="A7240:H7240"/>
    <mergeCell ref="F7217:G7217"/>
    <mergeCell ref="H7217:I7217"/>
    <mergeCell ref="J7217:L7217"/>
    <mergeCell ref="F7394:G7394"/>
    <mergeCell ref="H7394:I7394"/>
    <mergeCell ref="J7394:L7394"/>
    <mergeCell ref="J7411:L7411"/>
    <mergeCell ref="A7413:H7413"/>
    <mergeCell ref="F7466:G7466"/>
    <mergeCell ref="H7466:I7466"/>
    <mergeCell ref="J7466:L7466"/>
    <mergeCell ref="F7467:G7467"/>
    <mergeCell ref="H7467:I7467"/>
    <mergeCell ref="J7467:L7467"/>
    <mergeCell ref="A7388:H7388"/>
    <mergeCell ref="F7389:G7389"/>
    <mergeCell ref="H7389:I7389"/>
    <mergeCell ref="J7389:L7389"/>
    <mergeCell ref="F7392:G7392"/>
    <mergeCell ref="H7392:I7392"/>
    <mergeCell ref="J7392:L7392"/>
    <mergeCell ref="F7391:G7391"/>
    <mergeCell ref="H7391:I7391"/>
    <mergeCell ref="J7391:L7391"/>
    <mergeCell ref="F7390:G7390"/>
    <mergeCell ref="H7390:I7390"/>
    <mergeCell ref="J7390:L7390"/>
    <mergeCell ref="F7364:G7364"/>
    <mergeCell ref="H7364:I7364"/>
    <mergeCell ref="J7364:L7364"/>
    <mergeCell ref="F7365:G7365"/>
    <mergeCell ref="H7365:I7365"/>
    <mergeCell ref="J7365:L7365"/>
    <mergeCell ref="F7393:G7393"/>
    <mergeCell ref="H7393:I7393"/>
    <mergeCell ref="J7393:L7393"/>
    <mergeCell ref="A7396:H7396"/>
    <mergeCell ref="F7397:G7397"/>
    <mergeCell ref="H7397:I7397"/>
    <mergeCell ref="J7397:L7397"/>
    <mergeCell ref="F7398:G7398"/>
    <mergeCell ref="H7398:I7398"/>
    <mergeCell ref="J7398:L7398"/>
    <mergeCell ref="F7399:G7399"/>
    <mergeCell ref="H7399:I7399"/>
    <mergeCell ref="J7399:L7399"/>
    <mergeCell ref="A7401:H7401"/>
    <mergeCell ref="F7464:G7464"/>
    <mergeCell ref="H7464:I7464"/>
    <mergeCell ref="J7464:L7464"/>
    <mergeCell ref="F7465:G7465"/>
    <mergeCell ref="H7465:I7465"/>
    <mergeCell ref="J7465:L7465"/>
    <mergeCell ref="A7462:H7462"/>
    <mergeCell ref="F7463:G7463"/>
    <mergeCell ref="H7463:I7463"/>
    <mergeCell ref="J7463:L7463"/>
    <mergeCell ref="F7452:G7452"/>
    <mergeCell ref="H7452:I7452"/>
    <mergeCell ref="J7452:L7452"/>
    <mergeCell ref="F7451:G7451"/>
    <mergeCell ref="H7451:I7451"/>
    <mergeCell ref="J7451:L7451"/>
    <mergeCell ref="A7441:H7441"/>
    <mergeCell ref="F7442:G7442"/>
    <mergeCell ref="H7442:I7442"/>
    <mergeCell ref="J7442:L7442"/>
    <mergeCell ref="H7519:I7519"/>
    <mergeCell ref="J7519:L7519"/>
    <mergeCell ref="F7520:G7520"/>
    <mergeCell ref="H7520:I7520"/>
    <mergeCell ref="J7520:L7520"/>
    <mergeCell ref="F7516:G7516"/>
    <mergeCell ref="H7516:I7516"/>
    <mergeCell ref="J7516:L7516"/>
    <mergeCell ref="A7510:H7510"/>
    <mergeCell ref="F7511:G7511"/>
    <mergeCell ref="H7511:I7511"/>
    <mergeCell ref="J7511:L7511"/>
    <mergeCell ref="F7512:G7512"/>
    <mergeCell ref="H7512:I7512"/>
    <mergeCell ref="J7512:L7512"/>
    <mergeCell ref="F7507:G7507"/>
    <mergeCell ref="H7507:I7507"/>
    <mergeCell ref="J7507:L7507"/>
    <mergeCell ref="F7402:G7402"/>
    <mergeCell ref="H7402:I7402"/>
    <mergeCell ref="J7402:L7402"/>
    <mergeCell ref="F7403:G7403"/>
    <mergeCell ref="H7403:I7403"/>
    <mergeCell ref="J7403:L7403"/>
    <mergeCell ref="A7405:H7405"/>
    <mergeCell ref="F7406:G7406"/>
    <mergeCell ref="H7406:I7406"/>
    <mergeCell ref="J7406:L7406"/>
    <mergeCell ref="A7409:H7409"/>
    <mergeCell ref="A7426:H7426"/>
    <mergeCell ref="F7428:G7428"/>
    <mergeCell ref="H7428:I7428"/>
    <mergeCell ref="J7428:L7428"/>
    <mergeCell ref="F7429:G7429"/>
    <mergeCell ref="H7429:I7429"/>
    <mergeCell ref="J7429:L7429"/>
    <mergeCell ref="A7432:H7432"/>
    <mergeCell ref="F7407:G7407"/>
    <mergeCell ref="H7407:I7407"/>
    <mergeCell ref="J7407:L7407"/>
    <mergeCell ref="F7508:G7508"/>
    <mergeCell ref="H7508:I7508"/>
    <mergeCell ref="J7508:L7508"/>
    <mergeCell ref="F7505:G7505"/>
    <mergeCell ref="H7505:I7505"/>
    <mergeCell ref="J7505:L7505"/>
    <mergeCell ref="F7506:G7506"/>
    <mergeCell ref="H7506:I7506"/>
    <mergeCell ref="J7506:L7506"/>
    <mergeCell ref="F7478:G7478"/>
    <mergeCell ref="H7478:I7478"/>
    <mergeCell ref="J7478:L7478"/>
    <mergeCell ref="F7476:G7476"/>
    <mergeCell ref="H7476:I7476"/>
    <mergeCell ref="J7476:L7476"/>
    <mergeCell ref="F7477:G7477"/>
    <mergeCell ref="H7477:I7477"/>
    <mergeCell ref="J7477:L7477"/>
    <mergeCell ref="F7472:G7472"/>
    <mergeCell ref="H7472:I7472"/>
    <mergeCell ref="J7472:L7472"/>
    <mergeCell ref="F7504:G7504"/>
    <mergeCell ref="H7504:I7504"/>
    <mergeCell ref="J7504:L7504"/>
    <mergeCell ref="F7598:G7598"/>
    <mergeCell ref="H7598:I7598"/>
    <mergeCell ref="J7598:L7598"/>
    <mergeCell ref="F7601:G7601"/>
    <mergeCell ref="H7601:I7601"/>
    <mergeCell ref="J7601:L7601"/>
    <mergeCell ref="F7594:G7594"/>
    <mergeCell ref="H7594:I7594"/>
    <mergeCell ref="J7594:L7594"/>
    <mergeCell ref="F7597:G7597"/>
    <mergeCell ref="H7597:I7597"/>
    <mergeCell ref="J7597:L7597"/>
    <mergeCell ref="F7590:G7590"/>
    <mergeCell ref="H7590:I7590"/>
    <mergeCell ref="J7590:L7590"/>
    <mergeCell ref="F7589:G7589"/>
    <mergeCell ref="H7589:I7589"/>
    <mergeCell ref="J7589:L7589"/>
    <mergeCell ref="F7488:G7488"/>
    <mergeCell ref="H7488:I7488"/>
    <mergeCell ref="J7488:L7488"/>
    <mergeCell ref="A7490:H7490"/>
    <mergeCell ref="A7503:H7503"/>
    <mergeCell ref="F7513:G7513"/>
    <mergeCell ref="H7513:I7513"/>
    <mergeCell ref="J7513:L7513"/>
    <mergeCell ref="A7515:H7515"/>
    <mergeCell ref="F7517:G7517"/>
    <mergeCell ref="H7517:I7517"/>
    <mergeCell ref="J7517:L7517"/>
    <mergeCell ref="F7518:G7518"/>
    <mergeCell ref="H7518:I7518"/>
    <mergeCell ref="J7518:L7518"/>
    <mergeCell ref="A7523:H7523"/>
    <mergeCell ref="F7524:G7524"/>
    <mergeCell ref="H7524:I7524"/>
    <mergeCell ref="J7524:L7524"/>
    <mergeCell ref="F7525:G7525"/>
    <mergeCell ref="H7525:I7525"/>
    <mergeCell ref="J7525:L7525"/>
    <mergeCell ref="A7527:H7527"/>
    <mergeCell ref="F7528:G7528"/>
    <mergeCell ref="H7528:I7528"/>
    <mergeCell ref="J7528:L7528"/>
    <mergeCell ref="F7529:G7529"/>
    <mergeCell ref="H7529:I7529"/>
    <mergeCell ref="J7529:L7529"/>
    <mergeCell ref="A7544:H7544"/>
    <mergeCell ref="A7551:H7551"/>
    <mergeCell ref="F7553:G7553"/>
    <mergeCell ref="H7553:I7553"/>
    <mergeCell ref="J7553:L7553"/>
    <mergeCell ref="J7545:L7545"/>
    <mergeCell ref="F7546:G7546"/>
    <mergeCell ref="H7546:I7546"/>
    <mergeCell ref="J7546:L7546"/>
    <mergeCell ref="F7521:G7521"/>
    <mergeCell ref="H7521:I7521"/>
    <mergeCell ref="J7521:L7521"/>
    <mergeCell ref="A7531:H7531"/>
    <mergeCell ref="F7491:G7491"/>
    <mergeCell ref="H7491:I7491"/>
    <mergeCell ref="J7491:L7491"/>
    <mergeCell ref="F7519:G7519"/>
    <mergeCell ref="F7584:G7584"/>
    <mergeCell ref="H7584:I7584"/>
    <mergeCell ref="J7584:L7584"/>
    <mergeCell ref="F7585:G7585"/>
    <mergeCell ref="H7585:I7585"/>
    <mergeCell ref="J7585:L7585"/>
    <mergeCell ref="F7583:G7583"/>
    <mergeCell ref="H7583:I7583"/>
    <mergeCell ref="A7608:H7608"/>
    <mergeCell ref="F7609:G7609"/>
    <mergeCell ref="H7609:I7609"/>
    <mergeCell ref="J7609:L7609"/>
    <mergeCell ref="F7610:G7610"/>
    <mergeCell ref="H7610:I7610"/>
    <mergeCell ref="J7610:L7610"/>
    <mergeCell ref="A7612:H7612"/>
    <mergeCell ref="F7613:G7613"/>
    <mergeCell ref="H7613:I7613"/>
    <mergeCell ref="J7613:L7613"/>
    <mergeCell ref="A7625:H7625"/>
    <mergeCell ref="F7627:G7627"/>
    <mergeCell ref="H7627:I7627"/>
    <mergeCell ref="J7627:L7627"/>
    <mergeCell ref="F7628:G7628"/>
    <mergeCell ref="H7628:I7628"/>
    <mergeCell ref="J7628:L7628"/>
    <mergeCell ref="A7632:H7632"/>
    <mergeCell ref="F7635:G7635"/>
    <mergeCell ref="H7635:I7635"/>
    <mergeCell ref="J7635:L7635"/>
    <mergeCell ref="A7637:H7637"/>
    <mergeCell ref="F7639:G7639"/>
    <mergeCell ref="H7639:I7639"/>
    <mergeCell ref="J7639:L7639"/>
    <mergeCell ref="F7586:G7586"/>
    <mergeCell ref="H7586:I7586"/>
    <mergeCell ref="J7586:L7586"/>
    <mergeCell ref="A7588:H7588"/>
    <mergeCell ref="F7591:G7591"/>
    <mergeCell ref="H7591:I7591"/>
    <mergeCell ref="J7591:L7591"/>
    <mergeCell ref="A7593:H7593"/>
    <mergeCell ref="F7595:G7595"/>
    <mergeCell ref="H7595:I7595"/>
    <mergeCell ref="J7595:L7595"/>
    <mergeCell ref="F7596:G7596"/>
    <mergeCell ref="H7596:I7596"/>
    <mergeCell ref="J7596:L7596"/>
    <mergeCell ref="F7599:G7599"/>
    <mergeCell ref="H7599:I7599"/>
    <mergeCell ref="J7599:L7599"/>
    <mergeCell ref="F7600:G7600"/>
    <mergeCell ref="H7600:I7600"/>
    <mergeCell ref="J7600:L7600"/>
    <mergeCell ref="A7604:H7604"/>
    <mergeCell ref="F7605:G7605"/>
    <mergeCell ref="H7605:I7605"/>
    <mergeCell ref="J7605:L7605"/>
    <mergeCell ref="F7606:G7606"/>
    <mergeCell ref="H7606:I7606"/>
    <mergeCell ref="J7606:L7606"/>
    <mergeCell ref="F7602:G7602"/>
    <mergeCell ref="H7602:I7602"/>
    <mergeCell ref="J7602:L7602"/>
    <mergeCell ref="F7640:G7640"/>
    <mergeCell ref="H7640:I7640"/>
    <mergeCell ref="J7640:L7640"/>
    <mergeCell ref="F7643:G7643"/>
    <mergeCell ref="H7643:I7643"/>
    <mergeCell ref="J7643:L7643"/>
    <mergeCell ref="F7644:G7644"/>
    <mergeCell ref="H7644:I7644"/>
    <mergeCell ref="J7644:L7644"/>
    <mergeCell ref="F7626:G7626"/>
    <mergeCell ref="H7626:I7626"/>
    <mergeCell ref="J7626:L7626"/>
    <mergeCell ref="J7614:L7614"/>
    <mergeCell ref="F7615:G7615"/>
    <mergeCell ref="H7615:I7615"/>
    <mergeCell ref="J7615:L7615"/>
    <mergeCell ref="F7614:G7614"/>
    <mergeCell ref="H7614:I7614"/>
    <mergeCell ref="F7638:G7638"/>
    <mergeCell ref="H7638:I7638"/>
    <mergeCell ref="J7638:L7638"/>
    <mergeCell ref="F7633:G7633"/>
    <mergeCell ref="H7633:I7633"/>
    <mergeCell ref="J7633:L7633"/>
    <mergeCell ref="F7634:G7634"/>
    <mergeCell ref="H7634:I7634"/>
    <mergeCell ref="J7634:L7634"/>
    <mergeCell ref="F7629:G7629"/>
    <mergeCell ref="H7629:I7629"/>
    <mergeCell ref="J7629:L7629"/>
    <mergeCell ref="F7630:G7630"/>
    <mergeCell ref="H7630:I7630"/>
    <mergeCell ref="J7630:L7630"/>
    <mergeCell ref="A7669:H7669"/>
    <mergeCell ref="F7670:G7670"/>
    <mergeCell ref="H7670:I7670"/>
    <mergeCell ref="J7670:L7670"/>
    <mergeCell ref="F7671:G7671"/>
    <mergeCell ref="H7671:I7671"/>
    <mergeCell ref="J7671:L7671"/>
    <mergeCell ref="F7674:G7674"/>
    <mergeCell ref="H7674:I7674"/>
    <mergeCell ref="J7674:L7674"/>
    <mergeCell ref="A7676:H7676"/>
    <mergeCell ref="F7678:G7678"/>
    <mergeCell ref="H7678:I7678"/>
    <mergeCell ref="J7678:L7678"/>
    <mergeCell ref="F7679:G7679"/>
    <mergeCell ref="H7679:I7679"/>
    <mergeCell ref="J7679:L7679"/>
    <mergeCell ref="A7681:H7681"/>
    <mergeCell ref="F7683:G7683"/>
    <mergeCell ref="H7683:I7683"/>
    <mergeCell ref="J7683:L7683"/>
    <mergeCell ref="F7684:G7684"/>
    <mergeCell ref="H7684:I7684"/>
    <mergeCell ref="J7684:L7684"/>
    <mergeCell ref="A7686:H7686"/>
    <mergeCell ref="F7687:G7687"/>
    <mergeCell ref="H7687:I7687"/>
    <mergeCell ref="J7687:L7687"/>
    <mergeCell ref="F7688:G7688"/>
    <mergeCell ref="H7688:I7688"/>
    <mergeCell ref="J7688:L7688"/>
    <mergeCell ref="A7690:H7690"/>
    <mergeCell ref="F7691:G7691"/>
    <mergeCell ref="H7691:I7691"/>
    <mergeCell ref="J7691:L7691"/>
    <mergeCell ref="F7682:G7682"/>
    <mergeCell ref="H7682:I7682"/>
    <mergeCell ref="J7682:L7682"/>
    <mergeCell ref="F7677:G7677"/>
    <mergeCell ref="H7677:I7677"/>
    <mergeCell ref="J7677:L7677"/>
    <mergeCell ref="F7673:G7673"/>
    <mergeCell ref="H7673:I7673"/>
    <mergeCell ref="J7673:L7673"/>
    <mergeCell ref="F7672:G7672"/>
    <mergeCell ref="H7672:I7672"/>
    <mergeCell ref="J7672:L7672"/>
    <mergeCell ref="F7692:G7692"/>
    <mergeCell ref="H7692:I7692"/>
    <mergeCell ref="J7692:L7692"/>
    <mergeCell ref="A7694:H7694"/>
    <mergeCell ref="A7707:H7707"/>
    <mergeCell ref="F7708:G7708"/>
    <mergeCell ref="H7708:I7708"/>
    <mergeCell ref="J7708:L7708"/>
    <mergeCell ref="F7711:G7711"/>
    <mergeCell ref="H7711:I7711"/>
    <mergeCell ref="J7711:L7711"/>
    <mergeCell ref="F7712:G7712"/>
    <mergeCell ref="H7712:I7712"/>
    <mergeCell ref="J7712:L7712"/>
    <mergeCell ref="A7714:H7714"/>
    <mergeCell ref="F7715:G7715"/>
    <mergeCell ref="H7715:I7715"/>
    <mergeCell ref="J7715:L7715"/>
    <mergeCell ref="F7716:G7716"/>
    <mergeCell ref="H7716:I7716"/>
    <mergeCell ref="J7716:L7716"/>
    <mergeCell ref="A7719:H7719"/>
    <mergeCell ref="F7720:G7720"/>
    <mergeCell ref="H7720:I7720"/>
    <mergeCell ref="J7720:L7720"/>
    <mergeCell ref="F7724:G7724"/>
    <mergeCell ref="H7724:I7724"/>
    <mergeCell ref="J7724:L7724"/>
    <mergeCell ref="F7725:G7725"/>
    <mergeCell ref="H7725:I7725"/>
    <mergeCell ref="J7725:L7725"/>
    <mergeCell ref="F7726:G7726"/>
    <mergeCell ref="H7726:I7726"/>
    <mergeCell ref="J7726:L7726"/>
    <mergeCell ref="F7722:G7722"/>
    <mergeCell ref="H7722:I7722"/>
    <mergeCell ref="J7722:L7722"/>
    <mergeCell ref="F7723:G7723"/>
    <mergeCell ref="H7723:I7723"/>
    <mergeCell ref="J7723:L7723"/>
    <mergeCell ref="F7721:G7721"/>
    <mergeCell ref="H7721:I7721"/>
    <mergeCell ref="J7721:L7721"/>
    <mergeCell ref="F7717:G7717"/>
    <mergeCell ref="H7717:I7717"/>
    <mergeCell ref="J7717:L7717"/>
    <mergeCell ref="F7710:G7710"/>
    <mergeCell ref="H7710:I7710"/>
    <mergeCell ref="J7710:L7710"/>
    <mergeCell ref="F7709:G7709"/>
    <mergeCell ref="H7709:I7709"/>
    <mergeCell ref="J7709:L7709"/>
    <mergeCell ref="F7697:G7697"/>
    <mergeCell ref="H7697:I7697"/>
    <mergeCell ref="J7697:L7697"/>
    <mergeCell ref="F7695:G7695"/>
    <mergeCell ref="H7695:I7695"/>
    <mergeCell ref="J7695:L7695"/>
    <mergeCell ref="F7696:G7696"/>
    <mergeCell ref="H7696:I7696"/>
    <mergeCell ref="J7696:L7696"/>
    <mergeCell ref="F7727:G7727"/>
    <mergeCell ref="H7727:I7727"/>
    <mergeCell ref="J7727:L7727"/>
    <mergeCell ref="A7729:H7729"/>
    <mergeCell ref="F7730:G7730"/>
    <mergeCell ref="H7730:I7730"/>
    <mergeCell ref="J7730:L7730"/>
    <mergeCell ref="F7731:G7731"/>
    <mergeCell ref="H7731:I7731"/>
    <mergeCell ref="J7731:L7731"/>
    <mergeCell ref="A7737:H7737"/>
    <mergeCell ref="F7738:G7738"/>
    <mergeCell ref="H7738:I7738"/>
    <mergeCell ref="J7738:L7738"/>
    <mergeCell ref="A7750:H7750"/>
    <mergeCell ref="F7752:G7752"/>
    <mergeCell ref="H7752:I7752"/>
    <mergeCell ref="J7752:L7752"/>
    <mergeCell ref="F7753:G7753"/>
    <mergeCell ref="H7753:I7753"/>
    <mergeCell ref="J7753:L7753"/>
    <mergeCell ref="A7762:H7762"/>
    <mergeCell ref="F7763:G7763"/>
    <mergeCell ref="H7763:I7763"/>
    <mergeCell ref="J7763:L7763"/>
    <mergeCell ref="F7764:G7764"/>
    <mergeCell ref="H7764:I7764"/>
    <mergeCell ref="J7764:L7764"/>
    <mergeCell ref="F7765:G7765"/>
    <mergeCell ref="H7765:I7765"/>
    <mergeCell ref="J7765:L7765"/>
    <mergeCell ref="F7766:G7766"/>
    <mergeCell ref="H7766:I7766"/>
    <mergeCell ref="J7766:L7766"/>
    <mergeCell ref="A7757:H7757"/>
    <mergeCell ref="F7758:G7758"/>
    <mergeCell ref="H7758:I7758"/>
    <mergeCell ref="J7758:L7758"/>
    <mergeCell ref="F7759:G7759"/>
    <mergeCell ref="H7759:I7759"/>
    <mergeCell ref="J7759:L7759"/>
    <mergeCell ref="F7754:G7754"/>
    <mergeCell ref="H7754:I7754"/>
    <mergeCell ref="J7754:L7754"/>
    <mergeCell ref="F7755:G7755"/>
    <mergeCell ref="H7755:I7755"/>
    <mergeCell ref="J7755:L7755"/>
    <mergeCell ref="F7751:G7751"/>
    <mergeCell ref="H7751:I7751"/>
    <mergeCell ref="J7751:L7751"/>
    <mergeCell ref="F7740:G7740"/>
    <mergeCell ref="H7740:I7740"/>
    <mergeCell ref="J7740:L7740"/>
    <mergeCell ref="F7739:G7739"/>
    <mergeCell ref="H7739:I7739"/>
    <mergeCell ref="J7739:L7739"/>
    <mergeCell ref="A7733:H7733"/>
    <mergeCell ref="F7734:G7734"/>
    <mergeCell ref="H7734:I7734"/>
    <mergeCell ref="J7734:L7734"/>
    <mergeCell ref="F7735:G7735"/>
    <mergeCell ref="H7735:I7735"/>
    <mergeCell ref="J7735:L7735"/>
    <mergeCell ref="H7803:I7803"/>
    <mergeCell ref="J7803:L7803"/>
    <mergeCell ref="F7804:G7804"/>
    <mergeCell ref="H7804:I7804"/>
    <mergeCell ref="J7804:L7804"/>
    <mergeCell ref="A7806:H7806"/>
    <mergeCell ref="F7807:G7807"/>
    <mergeCell ref="H7807:I7807"/>
    <mergeCell ref="J7807:L7807"/>
    <mergeCell ref="A7811:H7811"/>
    <mergeCell ref="F7812:G7812"/>
    <mergeCell ref="H7812:I7812"/>
    <mergeCell ref="J7812:L7812"/>
    <mergeCell ref="F7816:G7816"/>
    <mergeCell ref="H7816:I7816"/>
    <mergeCell ref="J7816:L7816"/>
    <mergeCell ref="F7817:G7817"/>
    <mergeCell ref="H7817:I7817"/>
    <mergeCell ref="J7817:L7817"/>
    <mergeCell ref="A7819:H7819"/>
    <mergeCell ref="F7822:G7822"/>
    <mergeCell ref="H7822:I7822"/>
    <mergeCell ref="J7822:L7822"/>
    <mergeCell ref="A7832:H7832"/>
    <mergeCell ref="F7813:G7813"/>
    <mergeCell ref="H7813:I7813"/>
    <mergeCell ref="J7813:L7813"/>
    <mergeCell ref="F7808:G7808"/>
    <mergeCell ref="H7808:I7808"/>
    <mergeCell ref="J7808:L7808"/>
    <mergeCell ref="F7809:G7809"/>
    <mergeCell ref="H7809:I7809"/>
    <mergeCell ref="J7809:L7809"/>
    <mergeCell ref="H7924:I7924"/>
    <mergeCell ref="J7924:L7924"/>
    <mergeCell ref="F7925:G7925"/>
    <mergeCell ref="H7925:I7925"/>
    <mergeCell ref="J7925:L7925"/>
    <mergeCell ref="F7942:G7942"/>
    <mergeCell ref="H7942:I7942"/>
    <mergeCell ref="J7942:L7942"/>
    <mergeCell ref="A7952:H7952"/>
    <mergeCell ref="F7955:G7955"/>
    <mergeCell ref="H7955:I7955"/>
    <mergeCell ref="J7955:L7955"/>
    <mergeCell ref="A7957:H7957"/>
    <mergeCell ref="F7959:G7959"/>
    <mergeCell ref="H7959:I7959"/>
    <mergeCell ref="J7959:L7959"/>
    <mergeCell ref="F7960:G7960"/>
    <mergeCell ref="H7960:I7960"/>
    <mergeCell ref="J7960:L7960"/>
    <mergeCell ref="A7962:H7962"/>
    <mergeCell ref="F7965:G7965"/>
    <mergeCell ref="H7965:I7965"/>
    <mergeCell ref="J7965:L7965"/>
    <mergeCell ref="F7966:G7966"/>
    <mergeCell ref="H7966:I7966"/>
    <mergeCell ref="J7966:L7966"/>
    <mergeCell ref="A7968:H7968"/>
    <mergeCell ref="F7969:G7969"/>
    <mergeCell ref="H7969:I7969"/>
    <mergeCell ref="J7969:L7969"/>
    <mergeCell ref="F7970:G7970"/>
    <mergeCell ref="H7970:I7970"/>
    <mergeCell ref="J7970:L7970"/>
    <mergeCell ref="F7936:G7936"/>
    <mergeCell ref="H7936:I7936"/>
    <mergeCell ref="J7936:L7936"/>
    <mergeCell ref="F7932:G7932"/>
    <mergeCell ref="H7932:I7932"/>
    <mergeCell ref="J7932:L7932"/>
    <mergeCell ref="F7928:G7928"/>
    <mergeCell ref="H7928:I7928"/>
    <mergeCell ref="J7928:L7928"/>
    <mergeCell ref="A7927:H7927"/>
    <mergeCell ref="F7929:G7929"/>
    <mergeCell ref="H7929:I7929"/>
    <mergeCell ref="J7929:L7929"/>
    <mergeCell ref="A7931:H7931"/>
    <mergeCell ref="F7933:G7933"/>
    <mergeCell ref="H7933:I7933"/>
    <mergeCell ref="J7933:L7933"/>
    <mergeCell ref="A7935:H7935"/>
    <mergeCell ref="F7937:G7937"/>
    <mergeCell ref="H7937:I7937"/>
    <mergeCell ref="J7937:L7937"/>
    <mergeCell ref="A7939:H7939"/>
    <mergeCell ref="F7924:G7924"/>
    <mergeCell ref="A8046:H8046"/>
    <mergeCell ref="F8047:G8047"/>
    <mergeCell ref="H8047:I8047"/>
    <mergeCell ref="J8047:L8047"/>
    <mergeCell ref="F8250:G8250"/>
    <mergeCell ref="H8250:I8250"/>
    <mergeCell ref="J8250:L8250"/>
    <mergeCell ref="F8251:G8251"/>
    <mergeCell ref="H8251:I8251"/>
    <mergeCell ref="J8251:L8251"/>
    <mergeCell ref="A8253:H8253"/>
    <mergeCell ref="F8254:G8254"/>
    <mergeCell ref="H8254:I8254"/>
    <mergeCell ref="J8254:L8254"/>
    <mergeCell ref="F8255:G8255"/>
    <mergeCell ref="H8255:I8255"/>
    <mergeCell ref="J8255:L8255"/>
    <mergeCell ref="A8266:H8266"/>
    <mergeCell ref="F8267:G8267"/>
    <mergeCell ref="H8267:I8267"/>
    <mergeCell ref="J8267:L8267"/>
    <mergeCell ref="F8268:G8268"/>
    <mergeCell ref="H8268:I8268"/>
    <mergeCell ref="J8268:L8268"/>
    <mergeCell ref="F8269:G8269"/>
    <mergeCell ref="H8269:I8269"/>
    <mergeCell ref="J8269:L8269"/>
    <mergeCell ref="F8270:G8270"/>
    <mergeCell ref="H8270:I8270"/>
    <mergeCell ref="J8270:L8270"/>
    <mergeCell ref="F8271:G8271"/>
    <mergeCell ref="H8271:I8271"/>
    <mergeCell ref="J8271:L8271"/>
    <mergeCell ref="F8225:G8225"/>
    <mergeCell ref="H8225:I8225"/>
    <mergeCell ref="J8225:L8225"/>
    <mergeCell ref="F8221:G8221"/>
    <mergeCell ref="H8221:I8221"/>
    <mergeCell ref="J8221:L8221"/>
    <mergeCell ref="F8216:G8216"/>
    <mergeCell ref="H8216:I8216"/>
    <mergeCell ref="J8216:L8216"/>
    <mergeCell ref="F8217:G8217"/>
    <mergeCell ref="H8217:I8217"/>
    <mergeCell ref="J8217:L8217"/>
    <mergeCell ref="F8212:G8212"/>
    <mergeCell ref="H8212:I8212"/>
    <mergeCell ref="J8212:L8212"/>
    <mergeCell ref="A8211:H8211"/>
    <mergeCell ref="F8213:G8213"/>
    <mergeCell ref="H8213:I8213"/>
    <mergeCell ref="J8213:L8213"/>
    <mergeCell ref="A8215:H8215"/>
    <mergeCell ref="A8219:H8219"/>
    <mergeCell ref="F8220:G8220"/>
    <mergeCell ref="H8220:I8220"/>
    <mergeCell ref="J8220:L8220"/>
    <mergeCell ref="A8223:H8223"/>
    <mergeCell ref="F8224:G8224"/>
    <mergeCell ref="H8224:I8224"/>
    <mergeCell ref="J8224:L8224"/>
    <mergeCell ref="F8209:G8209"/>
    <mergeCell ref="H8209:I8209"/>
    <mergeCell ref="J8209:L8209"/>
    <mergeCell ref="F8354:G8354"/>
    <mergeCell ref="H8354:I8354"/>
    <mergeCell ref="J8354:L8354"/>
    <mergeCell ref="F8355:G8355"/>
    <mergeCell ref="H8355:I8355"/>
    <mergeCell ref="J8355:L8355"/>
    <mergeCell ref="A8359:H8359"/>
    <mergeCell ref="F8360:G8360"/>
    <mergeCell ref="H8360:I8360"/>
    <mergeCell ref="J8360:L8360"/>
    <mergeCell ref="A8363:H8363"/>
    <mergeCell ref="F8364:G8364"/>
    <mergeCell ref="H8364:I8364"/>
    <mergeCell ref="J8364:L8364"/>
    <mergeCell ref="A8367:H8367"/>
    <mergeCell ref="F8368:G8368"/>
    <mergeCell ref="H8368:I8368"/>
    <mergeCell ref="J8368:L8368"/>
    <mergeCell ref="A8380:H8380"/>
    <mergeCell ref="F8381:G8381"/>
    <mergeCell ref="H8381:I8381"/>
    <mergeCell ref="J8381:L8381"/>
    <mergeCell ref="F8385:G8385"/>
    <mergeCell ref="H8385:I8385"/>
    <mergeCell ref="J8385:L8385"/>
    <mergeCell ref="A8387:H8387"/>
    <mergeCell ref="F8390:G8390"/>
    <mergeCell ref="H8390:I8390"/>
    <mergeCell ref="J8390:L8390"/>
    <mergeCell ref="H8357:I8357"/>
    <mergeCell ref="J8357:L8357"/>
    <mergeCell ref="F8391:G8391"/>
    <mergeCell ref="H8391:I8391"/>
    <mergeCell ref="J8391:L8391"/>
    <mergeCell ref="A8393:H8393"/>
    <mergeCell ref="F8388:G8388"/>
    <mergeCell ref="H8388:I8388"/>
    <mergeCell ref="J8388:L8388"/>
    <mergeCell ref="F8389:G8389"/>
    <mergeCell ref="H8389:I8389"/>
    <mergeCell ref="J8389:L8389"/>
    <mergeCell ref="F8384:G8384"/>
    <mergeCell ref="H8384:I8384"/>
    <mergeCell ref="J8384:L8384"/>
    <mergeCell ref="F8382:G8382"/>
    <mergeCell ref="H8382:I8382"/>
    <mergeCell ref="J8382:L8382"/>
    <mergeCell ref="F8383:G8383"/>
    <mergeCell ref="H8383:I8383"/>
    <mergeCell ref="J8383:L8383"/>
    <mergeCell ref="F8370:G8370"/>
    <mergeCell ref="H8370:I8370"/>
    <mergeCell ref="J8370:L8370"/>
    <mergeCell ref="F8369:G8369"/>
    <mergeCell ref="H8369:I8369"/>
    <mergeCell ref="J8369:L8369"/>
    <mergeCell ref="F8365:G8365"/>
    <mergeCell ref="H8365:I8365"/>
    <mergeCell ref="J8365:L8365"/>
    <mergeCell ref="F8361:G8361"/>
    <mergeCell ref="H8361:I8361"/>
    <mergeCell ref="J8361:L8361"/>
    <mergeCell ref="F8356:G8356"/>
    <mergeCell ref="H8356:I8356"/>
    <mergeCell ref="J8356:L8356"/>
    <mergeCell ref="F8357:G8357"/>
    <mergeCell ref="J8484:L8484"/>
    <mergeCell ref="F8484:G8484"/>
    <mergeCell ref="H8484:I8484"/>
    <mergeCell ref="F8479:G8479"/>
    <mergeCell ref="H8479:I8479"/>
    <mergeCell ref="J8479:L8479"/>
    <mergeCell ref="F8466:G8466"/>
    <mergeCell ref="H8466:I8466"/>
    <mergeCell ref="J8466:L8466"/>
    <mergeCell ref="F8467:G8467"/>
    <mergeCell ref="H8467:I8467"/>
    <mergeCell ref="J8467:L8467"/>
    <mergeCell ref="F8468:G8468"/>
    <mergeCell ref="H8468:I8468"/>
    <mergeCell ref="J8468:L8468"/>
    <mergeCell ref="A8470:H8470"/>
    <mergeCell ref="F8471:G8471"/>
    <mergeCell ref="H8471:I8471"/>
    <mergeCell ref="J8471:L8471"/>
    <mergeCell ref="F8472:G8472"/>
    <mergeCell ref="H8472:I8472"/>
    <mergeCell ref="J8472:L8472"/>
    <mergeCell ref="A8474:H8474"/>
    <mergeCell ref="F8475:G8475"/>
    <mergeCell ref="H8475:I8475"/>
    <mergeCell ref="J8475:L8475"/>
    <mergeCell ref="F8476:G8476"/>
    <mergeCell ref="H8476:I8476"/>
    <mergeCell ref="J8476:L8476"/>
    <mergeCell ref="A8478:H8478"/>
    <mergeCell ref="F8480:G8480"/>
    <mergeCell ref="H8480:I8480"/>
    <mergeCell ref="F8485:G8485"/>
    <mergeCell ref="H8485:I8485"/>
    <mergeCell ref="J8485:L8485"/>
    <mergeCell ref="A8495:H8495"/>
    <mergeCell ref="F8498:G8498"/>
    <mergeCell ref="H8498:I8498"/>
    <mergeCell ref="J8498:L8498"/>
    <mergeCell ref="F8499:G8499"/>
    <mergeCell ref="H8499:I8499"/>
    <mergeCell ref="J8499:L8499"/>
    <mergeCell ref="F8503:G8503"/>
    <mergeCell ref="H8503:I8503"/>
    <mergeCell ref="J8503:L8503"/>
    <mergeCell ref="F8504:G8504"/>
    <mergeCell ref="H8504:I8504"/>
    <mergeCell ref="J8504:L8504"/>
    <mergeCell ref="F8507:G8507"/>
    <mergeCell ref="H8507:I8507"/>
    <mergeCell ref="J8507:L8507"/>
    <mergeCell ref="F8508:G8508"/>
    <mergeCell ref="H8508:I8508"/>
    <mergeCell ref="J8508:L8508"/>
    <mergeCell ref="A8511:H8511"/>
    <mergeCell ref="F8512:G8512"/>
    <mergeCell ref="H8512:I8512"/>
    <mergeCell ref="J8512:L8512"/>
    <mergeCell ref="F8516:G8516"/>
    <mergeCell ref="H8516:I8516"/>
    <mergeCell ref="J8516:L8516"/>
    <mergeCell ref="F8517:G8517"/>
    <mergeCell ref="H8517:I8517"/>
    <mergeCell ref="J8517:L8517"/>
    <mergeCell ref="F8506:G8506"/>
    <mergeCell ref="H8506:I8506"/>
    <mergeCell ref="J8506:L8506"/>
    <mergeCell ref="F8509:G8509"/>
    <mergeCell ref="H8509:I8509"/>
    <mergeCell ref="J8509:L8509"/>
    <mergeCell ref="F8502:G8502"/>
    <mergeCell ref="H8502:I8502"/>
    <mergeCell ref="J8502:L8502"/>
    <mergeCell ref="F8505:G8505"/>
    <mergeCell ref="H8505:I8505"/>
    <mergeCell ref="J8505:L8505"/>
    <mergeCell ref="F8500:G8500"/>
    <mergeCell ref="H8500:I8500"/>
    <mergeCell ref="J8500:L8500"/>
    <mergeCell ref="F8501:G8501"/>
    <mergeCell ref="H8501:I8501"/>
    <mergeCell ref="J8501:L8501"/>
    <mergeCell ref="F8496:G8496"/>
    <mergeCell ref="H8496:I8496"/>
    <mergeCell ref="J8496:L8496"/>
    <mergeCell ref="F8497:G8497"/>
    <mergeCell ref="H8497:I8497"/>
    <mergeCell ref="J8497:L8497"/>
    <mergeCell ref="F8534:G8534"/>
    <mergeCell ref="H8534:I8534"/>
    <mergeCell ref="J8534:L8534"/>
    <mergeCell ref="F8535:G8535"/>
    <mergeCell ref="H8535:I8535"/>
    <mergeCell ref="J8535:L8535"/>
    <mergeCell ref="F8539:G8539"/>
    <mergeCell ref="H8539:I8539"/>
    <mergeCell ref="J8539:L8539"/>
    <mergeCell ref="F8540:G8540"/>
    <mergeCell ref="H8540:I8540"/>
    <mergeCell ref="J8540:L8540"/>
    <mergeCell ref="A8543:H8543"/>
    <mergeCell ref="F8544:G8544"/>
    <mergeCell ref="H8544:I8544"/>
    <mergeCell ref="J8544:L8544"/>
    <mergeCell ref="A8547:H8547"/>
    <mergeCell ref="F8548:G8548"/>
    <mergeCell ref="H8548:I8548"/>
    <mergeCell ref="J8548:L8548"/>
    <mergeCell ref="A8551:H8551"/>
    <mergeCell ref="F8552:G8552"/>
    <mergeCell ref="H8552:I8552"/>
    <mergeCell ref="J8552:L8552"/>
    <mergeCell ref="F8553:G8553"/>
    <mergeCell ref="H8553:I8553"/>
    <mergeCell ref="J8553:L8553"/>
    <mergeCell ref="F8554:G8554"/>
    <mergeCell ref="H8554:I8554"/>
    <mergeCell ref="J8554:L8554"/>
    <mergeCell ref="A8564:H8564"/>
    <mergeCell ref="F8565:G8565"/>
    <mergeCell ref="H8565:I8565"/>
    <mergeCell ref="J8565:L8565"/>
    <mergeCell ref="F8688:G8688"/>
    <mergeCell ref="H8688:I8688"/>
    <mergeCell ref="J8688:L8688"/>
    <mergeCell ref="F8689:G8689"/>
    <mergeCell ref="H8689:I8689"/>
    <mergeCell ref="J8689:L8689"/>
    <mergeCell ref="A8691:H8691"/>
    <mergeCell ref="F8692:G8692"/>
    <mergeCell ref="H8692:I8692"/>
    <mergeCell ref="J8692:L8692"/>
    <mergeCell ref="F8693:G8693"/>
    <mergeCell ref="H8693:I8693"/>
    <mergeCell ref="J8693:L8693"/>
    <mergeCell ref="A8695:H8695"/>
    <mergeCell ref="F8697:G8697"/>
    <mergeCell ref="H8697:I8697"/>
    <mergeCell ref="J8697:L8697"/>
    <mergeCell ref="F8698:G8698"/>
    <mergeCell ref="H8698:I8698"/>
    <mergeCell ref="J8698:L8698"/>
    <mergeCell ref="A8708:H8708"/>
    <mergeCell ref="F8710:G8710"/>
    <mergeCell ref="H8710:I8710"/>
    <mergeCell ref="J8710:L8710"/>
    <mergeCell ref="F8711:G8711"/>
    <mergeCell ref="H8711:I8711"/>
    <mergeCell ref="J8711:L8711"/>
    <mergeCell ref="A8713:H8713"/>
    <mergeCell ref="F8715:G8715"/>
    <mergeCell ref="H8715:I8715"/>
    <mergeCell ref="J8715:L8715"/>
    <mergeCell ref="F8716:G8716"/>
    <mergeCell ref="H8716:I8716"/>
    <mergeCell ref="J8716:L8716"/>
    <mergeCell ref="A8888:H8888"/>
    <mergeCell ref="F8889:G8889"/>
    <mergeCell ref="H8889:I8889"/>
    <mergeCell ref="J8889:L8889"/>
    <mergeCell ref="F8890:G8890"/>
    <mergeCell ref="H8890:I8890"/>
    <mergeCell ref="J8890:L8890"/>
    <mergeCell ref="F8891:G8891"/>
    <mergeCell ref="H8891:I8891"/>
    <mergeCell ref="J8891:L8891"/>
    <mergeCell ref="A8893:H8893"/>
    <mergeCell ref="F8895:G8895"/>
    <mergeCell ref="H8895:I8895"/>
    <mergeCell ref="J8895:L8895"/>
    <mergeCell ref="F8896:G8896"/>
    <mergeCell ref="H8896:I8896"/>
    <mergeCell ref="J8896:L8896"/>
    <mergeCell ref="A8898:H8898"/>
    <mergeCell ref="F8900:G8900"/>
    <mergeCell ref="H8900:I8900"/>
    <mergeCell ref="J8900:L8900"/>
    <mergeCell ref="F8901:G8901"/>
    <mergeCell ref="H8901:I8901"/>
    <mergeCell ref="J8901:L8901"/>
    <mergeCell ref="A8904:H8904"/>
    <mergeCell ref="F8906:G8906"/>
    <mergeCell ref="H8906:I8906"/>
    <mergeCell ref="J8906:L8906"/>
    <mergeCell ref="F8876:G8876"/>
    <mergeCell ref="H8876:I8876"/>
    <mergeCell ref="J8876:L8876"/>
    <mergeCell ref="F8872:G8872"/>
    <mergeCell ref="H8872:I8872"/>
    <mergeCell ref="J8872:L8872"/>
    <mergeCell ref="F8974:G8974"/>
    <mergeCell ref="H8974:I8974"/>
    <mergeCell ref="J8974:L8974"/>
    <mergeCell ref="F8975:G8975"/>
    <mergeCell ref="H8975:I8975"/>
    <mergeCell ref="J8975:L8975"/>
    <mergeCell ref="A8978:H8978"/>
    <mergeCell ref="F8979:G8979"/>
    <mergeCell ref="H8979:I8979"/>
    <mergeCell ref="J8979:L8979"/>
    <mergeCell ref="F8980:G8980"/>
    <mergeCell ref="H8980:I8980"/>
    <mergeCell ref="J8980:L8980"/>
    <mergeCell ref="A8982:H8982"/>
    <mergeCell ref="F8983:G8983"/>
    <mergeCell ref="H8983:I8983"/>
    <mergeCell ref="J8983:L8983"/>
    <mergeCell ref="F8984:G8984"/>
    <mergeCell ref="H8984:I8984"/>
    <mergeCell ref="J8984:L8984"/>
    <mergeCell ref="A8986:H8986"/>
    <mergeCell ref="F8987:G8987"/>
    <mergeCell ref="H8987:I8987"/>
    <mergeCell ref="J8987:L8987"/>
    <mergeCell ref="F8988:G8988"/>
    <mergeCell ref="H8988:I8988"/>
    <mergeCell ref="J8988:L8988"/>
    <mergeCell ref="F8973:G8973"/>
    <mergeCell ref="H8973:I8973"/>
    <mergeCell ref="J8973:L8973"/>
    <mergeCell ref="F8968:G8968"/>
    <mergeCell ref="H8968:I8968"/>
    <mergeCell ref="J8968:L8968"/>
    <mergeCell ref="A8999:H8999"/>
    <mergeCell ref="F9000:G9000"/>
    <mergeCell ref="H9000:I9000"/>
    <mergeCell ref="J9000:L9000"/>
    <mergeCell ref="F9001:G9001"/>
    <mergeCell ref="H9001:I9001"/>
    <mergeCell ref="J9001:L9001"/>
    <mergeCell ref="F8989:G8989"/>
    <mergeCell ref="H8989:I8989"/>
    <mergeCell ref="J8989:L8989"/>
    <mergeCell ref="F8976:G8976"/>
    <mergeCell ref="H8976:I8976"/>
    <mergeCell ref="J8976:L8976"/>
    <mergeCell ref="F9154:G9154"/>
    <mergeCell ref="H9154:I9154"/>
    <mergeCell ref="J9154:L9154"/>
    <mergeCell ref="F9155:G9155"/>
    <mergeCell ref="H9155:I9155"/>
    <mergeCell ref="J9155:L9155"/>
    <mergeCell ref="A9157:H9157"/>
    <mergeCell ref="F9159:G9159"/>
    <mergeCell ref="H9159:I9159"/>
    <mergeCell ref="J9159:L9159"/>
    <mergeCell ref="F9160:G9160"/>
    <mergeCell ref="H9160:I9160"/>
    <mergeCell ref="J9160:L9160"/>
    <mergeCell ref="A9163:H9163"/>
    <mergeCell ref="F9164:G9164"/>
    <mergeCell ref="H9164:I9164"/>
    <mergeCell ref="J9164:L9164"/>
    <mergeCell ref="A9167:H9167"/>
    <mergeCell ref="F9168:G9168"/>
    <mergeCell ref="H9168:I9168"/>
    <mergeCell ref="J9168:L9168"/>
    <mergeCell ref="F9153:G9153"/>
    <mergeCell ref="H9153:I9153"/>
    <mergeCell ref="J9153:L9153"/>
    <mergeCell ref="F9148:G9148"/>
    <mergeCell ref="H9148:I9148"/>
    <mergeCell ref="J9148:L9148"/>
    <mergeCell ref="F9135:G9135"/>
    <mergeCell ref="H9135:I9135"/>
    <mergeCell ref="J9135:L9135"/>
    <mergeCell ref="A9130:H9130"/>
    <mergeCell ref="F9131:G9131"/>
    <mergeCell ref="H9131:I9131"/>
    <mergeCell ref="J9131:L9131"/>
    <mergeCell ref="F9132:G9132"/>
    <mergeCell ref="H9132:I9132"/>
    <mergeCell ref="J9132:L9132"/>
    <mergeCell ref="A9134:H9134"/>
    <mergeCell ref="F9136:G9136"/>
    <mergeCell ref="H9136:I9136"/>
    <mergeCell ref="J9136:L9136"/>
    <mergeCell ref="F9137:G9137"/>
    <mergeCell ref="H9137:I9137"/>
    <mergeCell ref="J9137:L9137"/>
    <mergeCell ref="A9147:H9147"/>
    <mergeCell ref="F9149:G9149"/>
    <mergeCell ref="H9149:I9149"/>
    <mergeCell ref="J9149:L9149"/>
    <mergeCell ref="F9150:G9150"/>
    <mergeCell ref="H9150:I9150"/>
    <mergeCell ref="J9150:L9150"/>
    <mergeCell ref="H9305:I9305"/>
    <mergeCell ref="J9305:L9305"/>
    <mergeCell ref="A9307:H9307"/>
    <mergeCell ref="F9318:G9318"/>
    <mergeCell ref="H9318:I9318"/>
    <mergeCell ref="J9318:L9318"/>
    <mergeCell ref="A9328:H9328"/>
    <mergeCell ref="F9329:G9329"/>
    <mergeCell ref="H9329:I9329"/>
    <mergeCell ref="J9329:L9329"/>
    <mergeCell ref="F9330:G9330"/>
    <mergeCell ref="H9330:I9330"/>
    <mergeCell ref="J9330:L9330"/>
    <mergeCell ref="F9331:G9331"/>
    <mergeCell ref="H9331:I9331"/>
    <mergeCell ref="J9331:L9331"/>
    <mergeCell ref="A9333:H9333"/>
    <mergeCell ref="F9336:G9336"/>
    <mergeCell ref="H9336:I9336"/>
    <mergeCell ref="J9336:L9336"/>
    <mergeCell ref="A9279:H9279"/>
    <mergeCell ref="F9280:G9280"/>
    <mergeCell ref="H9280:I9280"/>
    <mergeCell ref="J9280:L9280"/>
    <mergeCell ref="F9281:G9281"/>
    <mergeCell ref="H9281:I9281"/>
    <mergeCell ref="J9281:L9281"/>
    <mergeCell ref="A9275:H9275"/>
    <mergeCell ref="F9276:G9276"/>
    <mergeCell ref="H9276:I9276"/>
    <mergeCell ref="J9276:L9276"/>
    <mergeCell ref="F9277:G9277"/>
    <mergeCell ref="H9277:I9277"/>
    <mergeCell ref="J9277:L9277"/>
    <mergeCell ref="F9349:G9349"/>
    <mergeCell ref="H9349:I9349"/>
    <mergeCell ref="J9349:L9349"/>
    <mergeCell ref="A9351:H9351"/>
    <mergeCell ref="F9353:G9353"/>
    <mergeCell ref="H9353:I9353"/>
    <mergeCell ref="J9353:L9353"/>
    <mergeCell ref="F9354:G9354"/>
    <mergeCell ref="H9354:I9354"/>
    <mergeCell ref="J9354:L9354"/>
    <mergeCell ref="A9364:H9364"/>
    <mergeCell ref="F9365:G9365"/>
    <mergeCell ref="H9365:I9365"/>
    <mergeCell ref="J9365:L9365"/>
    <mergeCell ref="F9366:G9366"/>
    <mergeCell ref="H9366:I9366"/>
    <mergeCell ref="J9366:L9366"/>
    <mergeCell ref="F9367:G9367"/>
    <mergeCell ref="H9367:I9367"/>
    <mergeCell ref="J9367:L9367"/>
    <mergeCell ref="A9369:H9369"/>
    <mergeCell ref="F9371:G9371"/>
    <mergeCell ref="H9371:I9371"/>
    <mergeCell ref="J9371:L9371"/>
    <mergeCell ref="F9372:G9372"/>
    <mergeCell ref="H9372:I9372"/>
    <mergeCell ref="J9372:L9372"/>
    <mergeCell ref="A9374:H9374"/>
    <mergeCell ref="F9376:G9376"/>
    <mergeCell ref="H9376:I9376"/>
    <mergeCell ref="J9376:L9376"/>
    <mergeCell ref="F9377:G9377"/>
    <mergeCell ref="H9377:I9377"/>
    <mergeCell ref="J9377:L9377"/>
    <mergeCell ref="A9400:H9400"/>
    <mergeCell ref="F9401:G9401"/>
    <mergeCell ref="H9401:I9401"/>
    <mergeCell ref="J9401:L9401"/>
    <mergeCell ref="F9402:G9402"/>
    <mergeCell ref="H9402:I9402"/>
    <mergeCell ref="J9402:L9402"/>
    <mergeCell ref="A9405:H9405"/>
    <mergeCell ref="F9406:G9406"/>
    <mergeCell ref="H9406:I9406"/>
    <mergeCell ref="J9406:L9406"/>
    <mergeCell ref="F9407:G9407"/>
    <mergeCell ref="H9407:I9407"/>
    <mergeCell ref="J9407:L9407"/>
    <mergeCell ref="A9410:H9410"/>
    <mergeCell ref="F9411:G9411"/>
    <mergeCell ref="H9411:I9411"/>
    <mergeCell ref="J9411:L9411"/>
    <mergeCell ref="F9412:G9412"/>
    <mergeCell ref="H9412:I9412"/>
    <mergeCell ref="J9412:L9412"/>
    <mergeCell ref="A9415:H9415"/>
    <mergeCell ref="F9416:G9416"/>
    <mergeCell ref="H9416:I9416"/>
    <mergeCell ref="J9416:L9416"/>
    <mergeCell ref="A9419:H9419"/>
    <mergeCell ref="F9420:G9420"/>
    <mergeCell ref="H9420:I9420"/>
    <mergeCell ref="J9420:L9420"/>
    <mergeCell ref="A9423:H9423"/>
    <mergeCell ref="F9424:G9424"/>
    <mergeCell ref="H9424:I9424"/>
    <mergeCell ref="J9424:L9424"/>
    <mergeCell ref="F9408:G9408"/>
    <mergeCell ref="H9408:I9408"/>
    <mergeCell ref="J9408:L9408"/>
    <mergeCell ref="F9403:G9403"/>
    <mergeCell ref="H9403:I9403"/>
    <mergeCell ref="J9403:L9403"/>
    <mergeCell ref="A9481:H9481"/>
    <mergeCell ref="F9482:G9482"/>
    <mergeCell ref="H9482:I9482"/>
    <mergeCell ref="J9482:L9482"/>
    <mergeCell ref="A9498:H9498"/>
    <mergeCell ref="F9499:G9499"/>
    <mergeCell ref="H9499:I9499"/>
    <mergeCell ref="J9499:L9499"/>
    <mergeCell ref="F9500:G9500"/>
    <mergeCell ref="H9500:I9500"/>
    <mergeCell ref="J9500:L9500"/>
    <mergeCell ref="F9501:G9501"/>
    <mergeCell ref="H9501:I9501"/>
    <mergeCell ref="J9501:L9501"/>
    <mergeCell ref="A9511:H9511"/>
    <mergeCell ref="F9512:G9512"/>
    <mergeCell ref="H9512:I9512"/>
    <mergeCell ref="J9512:L9512"/>
    <mergeCell ref="F9516:G9516"/>
    <mergeCell ref="H9516:I9516"/>
    <mergeCell ref="J9516:L9516"/>
    <mergeCell ref="A9494:H9494"/>
    <mergeCell ref="F9495:G9495"/>
    <mergeCell ref="H9495:I9495"/>
    <mergeCell ref="J9495:L9495"/>
    <mergeCell ref="F9496:G9496"/>
    <mergeCell ref="H9496:I9496"/>
    <mergeCell ref="J9496:L9496"/>
    <mergeCell ref="A9490:H9490"/>
    <mergeCell ref="F9491:G9491"/>
    <mergeCell ref="H9491:I9491"/>
    <mergeCell ref="J9491:L9491"/>
    <mergeCell ref="F9492:G9492"/>
    <mergeCell ref="H9492:I9492"/>
    <mergeCell ref="J9492:L9492"/>
    <mergeCell ref="A9486:H9486"/>
    <mergeCell ref="F9487:G9487"/>
    <mergeCell ref="H9487:I9487"/>
    <mergeCell ref="J9487:L9487"/>
    <mergeCell ref="F9488:G9488"/>
    <mergeCell ref="H9488:I9488"/>
    <mergeCell ref="J9488:L9488"/>
    <mergeCell ref="F9483:G9483"/>
    <mergeCell ref="H9483:I9483"/>
    <mergeCell ref="J9483:L9483"/>
    <mergeCell ref="F9484:G9484"/>
    <mergeCell ref="H9484:I9484"/>
    <mergeCell ref="J9484:L9484"/>
    <mergeCell ref="F9557:G9557"/>
    <mergeCell ref="H9557:I9557"/>
    <mergeCell ref="J9557:L9557"/>
    <mergeCell ref="F9558:G9558"/>
    <mergeCell ref="H9558:I9558"/>
    <mergeCell ref="J9558:L9558"/>
    <mergeCell ref="A9561:H9561"/>
    <mergeCell ref="F9562:G9562"/>
    <mergeCell ref="H9562:I9562"/>
    <mergeCell ref="J9562:L9562"/>
    <mergeCell ref="A9565:H9565"/>
    <mergeCell ref="F9566:G9566"/>
    <mergeCell ref="H9566:I9566"/>
    <mergeCell ref="J9566:L9566"/>
    <mergeCell ref="A9569:H9569"/>
    <mergeCell ref="F9570:G9570"/>
    <mergeCell ref="H9570:I9570"/>
    <mergeCell ref="J9570:L9570"/>
    <mergeCell ref="F9571:G9571"/>
    <mergeCell ref="H9571:I9571"/>
    <mergeCell ref="J9571:L9571"/>
    <mergeCell ref="A9573:H9573"/>
    <mergeCell ref="F9574:G9574"/>
    <mergeCell ref="H9574:I9574"/>
    <mergeCell ref="J9574:L9574"/>
    <mergeCell ref="F9575:G9575"/>
    <mergeCell ref="H9575:I9575"/>
    <mergeCell ref="J9575:L9575"/>
    <mergeCell ref="F9576:G9576"/>
    <mergeCell ref="H9576:I9576"/>
    <mergeCell ref="J9576:L9576"/>
    <mergeCell ref="A9586:H9586"/>
    <mergeCell ref="F9587:G9587"/>
    <mergeCell ref="H9587:I9587"/>
    <mergeCell ref="J9587:L9587"/>
    <mergeCell ref="F9559:G9559"/>
    <mergeCell ref="H9559:I9559"/>
    <mergeCell ref="J9559:L9559"/>
    <mergeCell ref="H9706:I9706"/>
    <mergeCell ref="J9706:L9706"/>
    <mergeCell ref="F9707:G9707"/>
    <mergeCell ref="H9707:I9707"/>
    <mergeCell ref="J9707:L9707"/>
    <mergeCell ref="J9743:L9743"/>
    <mergeCell ref="A9745:H9745"/>
    <mergeCell ref="F9746:G9746"/>
    <mergeCell ref="H9746:I9746"/>
    <mergeCell ref="J9746:L9746"/>
    <mergeCell ref="A9749:H9749"/>
    <mergeCell ref="A9767:H9767"/>
    <mergeCell ref="A9772:H9772"/>
    <mergeCell ref="F9773:G9773"/>
    <mergeCell ref="H9773:I9773"/>
    <mergeCell ref="J9773:L9773"/>
    <mergeCell ref="F9774:G9774"/>
    <mergeCell ref="H9774:I9774"/>
    <mergeCell ref="J9774:L9774"/>
    <mergeCell ref="A9777:H9777"/>
    <mergeCell ref="A9781:H9781"/>
    <mergeCell ref="A9785:H9785"/>
    <mergeCell ref="F9801:G9801"/>
    <mergeCell ref="H9801:I9801"/>
    <mergeCell ref="J9801:L9801"/>
    <mergeCell ref="A9803:H9803"/>
    <mergeCell ref="A9807:H9807"/>
    <mergeCell ref="F9808:G9808"/>
    <mergeCell ref="H9808:I9808"/>
    <mergeCell ref="J9808:L9808"/>
    <mergeCell ref="F9809:G9809"/>
    <mergeCell ref="H9809:I9809"/>
    <mergeCell ref="J9809:L9809"/>
    <mergeCell ref="F9783:G9783"/>
    <mergeCell ref="H9783:I9783"/>
    <mergeCell ref="J9783:L9783"/>
    <mergeCell ref="F9782:G9782"/>
    <mergeCell ref="H9782:I9782"/>
    <mergeCell ref="J9782:L9782"/>
    <mergeCell ref="F9779:G9779"/>
    <mergeCell ref="H9779:I9779"/>
    <mergeCell ref="J9779:L9779"/>
    <mergeCell ref="F9778:G9778"/>
    <mergeCell ref="H9778:I9778"/>
    <mergeCell ref="J9778:L9778"/>
    <mergeCell ref="F9775:G9775"/>
    <mergeCell ref="H9775:I9775"/>
    <mergeCell ref="J9775:L9775"/>
    <mergeCell ref="H9751:I9751"/>
    <mergeCell ref="J9751:L9751"/>
    <mergeCell ref="F9752:G9752"/>
    <mergeCell ref="H9752:I9752"/>
    <mergeCell ref="J9752:L9752"/>
    <mergeCell ref="F9750:G9750"/>
    <mergeCell ref="H9750:I9750"/>
    <mergeCell ref="J9750:L9750"/>
    <mergeCell ref="F9751:G9751"/>
    <mergeCell ref="F9770:G9770"/>
    <mergeCell ref="H9770:I9770"/>
    <mergeCell ref="J9770:L9770"/>
    <mergeCell ref="F9768:G9768"/>
    <mergeCell ref="H9768:I9768"/>
    <mergeCell ref="J9768:L9768"/>
    <mergeCell ref="F9769:G9769"/>
    <mergeCell ref="A9841:H9841"/>
    <mergeCell ref="F9842:G9842"/>
    <mergeCell ref="H9842:I9842"/>
    <mergeCell ref="J9842:L9842"/>
    <mergeCell ref="F9843:G9843"/>
    <mergeCell ref="H9843:I9843"/>
    <mergeCell ref="J9843:L9843"/>
    <mergeCell ref="A9845:H9845"/>
    <mergeCell ref="F9846:G9846"/>
    <mergeCell ref="H9846:I9846"/>
    <mergeCell ref="J9846:L9846"/>
    <mergeCell ref="F9847:G9847"/>
    <mergeCell ref="H9847:I9847"/>
    <mergeCell ref="J9847:L9847"/>
    <mergeCell ref="F9848:G9848"/>
    <mergeCell ref="H9848:I9848"/>
    <mergeCell ref="J9848:L9848"/>
    <mergeCell ref="A9858:H9858"/>
    <mergeCell ref="F9859:G9859"/>
    <mergeCell ref="H9859:I9859"/>
    <mergeCell ref="J9859:L9859"/>
    <mergeCell ref="F9860:G9860"/>
    <mergeCell ref="H9860:I9860"/>
    <mergeCell ref="J9860:L9860"/>
    <mergeCell ref="A9863:H9863"/>
    <mergeCell ref="F9864:G9864"/>
    <mergeCell ref="H9864:I9864"/>
    <mergeCell ref="J9864:L9864"/>
    <mergeCell ref="F9865:G9865"/>
    <mergeCell ref="H9865:I9865"/>
    <mergeCell ref="J9865:L9865"/>
    <mergeCell ref="A9868:H9868"/>
    <mergeCell ref="F9869:G9869"/>
    <mergeCell ref="H9869:I9869"/>
    <mergeCell ref="J9869:L9869"/>
    <mergeCell ref="F9866:G9866"/>
    <mergeCell ref="H9866:I9866"/>
    <mergeCell ref="J9866:L9866"/>
    <mergeCell ref="F9861:G9861"/>
    <mergeCell ref="H9861:I9861"/>
    <mergeCell ref="J9861:L9861"/>
    <mergeCell ref="H9918:I9918"/>
    <mergeCell ref="J9918:L9918"/>
    <mergeCell ref="F9919:G9919"/>
    <mergeCell ref="H9919:I9919"/>
    <mergeCell ref="J9919:L9919"/>
    <mergeCell ref="F9920:G9920"/>
    <mergeCell ref="H9920:I9920"/>
    <mergeCell ref="J9920:L9920"/>
    <mergeCell ref="A9930:H9930"/>
    <mergeCell ref="F9907:G9907"/>
    <mergeCell ref="H9907:I9907"/>
    <mergeCell ref="J9907:L9907"/>
    <mergeCell ref="A9909:H9909"/>
    <mergeCell ref="F9910:G9910"/>
    <mergeCell ref="H9910:I9910"/>
    <mergeCell ref="J9910:L9910"/>
    <mergeCell ref="F9906:G9906"/>
    <mergeCell ref="H9906:I9906"/>
    <mergeCell ref="J9906:L9906"/>
    <mergeCell ref="F9902:G9902"/>
    <mergeCell ref="H9902:I9902"/>
    <mergeCell ref="J9902:L9902"/>
    <mergeCell ref="F9897:G9897"/>
    <mergeCell ref="H9897:I9897"/>
    <mergeCell ref="J9897:L9897"/>
    <mergeCell ref="A9952:H9952"/>
    <mergeCell ref="F9953:G9953"/>
    <mergeCell ref="H9953:I9953"/>
    <mergeCell ref="J9953:L9953"/>
    <mergeCell ref="F9954:G9954"/>
    <mergeCell ref="H9954:I9954"/>
    <mergeCell ref="J9954:L9954"/>
    <mergeCell ref="F9955:G9955"/>
    <mergeCell ref="H9955:I9955"/>
    <mergeCell ref="J9955:L9955"/>
    <mergeCell ref="A9965:H9965"/>
    <mergeCell ref="F9977:G9977"/>
    <mergeCell ref="H9977:I9977"/>
    <mergeCell ref="J9977:L9977"/>
    <mergeCell ref="F9978:G9978"/>
    <mergeCell ref="H9978:I9978"/>
    <mergeCell ref="J9978:L9978"/>
    <mergeCell ref="A9981:H9981"/>
    <mergeCell ref="F9989:G9989"/>
    <mergeCell ref="H9989:I9989"/>
    <mergeCell ref="J9989:L9989"/>
    <mergeCell ref="F9990:G9990"/>
    <mergeCell ref="H9990:I9990"/>
    <mergeCell ref="J9990:L9990"/>
    <mergeCell ref="A9993:H9993"/>
    <mergeCell ref="F10009:G10009"/>
    <mergeCell ref="H10009:I10009"/>
    <mergeCell ref="J10009:L10009"/>
    <mergeCell ref="F10010:G10010"/>
    <mergeCell ref="H10010:I10010"/>
    <mergeCell ref="J10010:L10010"/>
    <mergeCell ref="A10013:H10013"/>
    <mergeCell ref="F10014:G10014"/>
    <mergeCell ref="H10014:I10014"/>
    <mergeCell ref="J10014:L10014"/>
    <mergeCell ref="J9994:L9994"/>
    <mergeCell ref="F9995:G9995"/>
    <mergeCell ref="H9995:I9995"/>
    <mergeCell ref="J9995:L9995"/>
    <mergeCell ref="F9988:G9988"/>
    <mergeCell ref="H9988:I9988"/>
    <mergeCell ref="J9988:L9988"/>
    <mergeCell ref="F9998:G9998"/>
    <mergeCell ref="H9998:I9998"/>
    <mergeCell ref="J9998:L9998"/>
    <mergeCell ref="F9996:G9996"/>
    <mergeCell ref="H9996:I9996"/>
    <mergeCell ref="J9996:L9996"/>
    <mergeCell ref="F9997:G9997"/>
    <mergeCell ref="H9997:I9997"/>
    <mergeCell ref="J9997:L9997"/>
    <mergeCell ref="F9994:G9994"/>
    <mergeCell ref="H9994:I9994"/>
    <mergeCell ref="F9972:G9972"/>
    <mergeCell ref="F9970:G9970"/>
    <mergeCell ref="H9970:I9970"/>
    <mergeCell ref="J9970:L9970"/>
    <mergeCell ref="F9971:G9971"/>
    <mergeCell ref="H9971:I9971"/>
    <mergeCell ref="J9971:L9971"/>
    <mergeCell ref="F9968:G9968"/>
    <mergeCell ref="H9968:I9968"/>
    <mergeCell ref="J9968:L9968"/>
    <mergeCell ref="F9969:G9969"/>
    <mergeCell ref="H9969:I9969"/>
    <mergeCell ref="J9969:L9969"/>
    <mergeCell ref="F9966:G9966"/>
    <mergeCell ref="H9966:I9966"/>
    <mergeCell ref="J9966:L9966"/>
    <mergeCell ref="F9967:G9967"/>
    <mergeCell ref="H9967:I9967"/>
    <mergeCell ref="J9967:L9967"/>
    <mergeCell ref="F9991:G9991"/>
    <mergeCell ref="H9991:I9991"/>
    <mergeCell ref="F10040:G10040"/>
    <mergeCell ref="H10040:I10040"/>
    <mergeCell ref="J10040:L10040"/>
    <mergeCell ref="A10042:H10042"/>
    <mergeCell ref="F10045:G10045"/>
    <mergeCell ref="H10045:I10045"/>
    <mergeCell ref="J10045:L10045"/>
    <mergeCell ref="F10046:G10046"/>
    <mergeCell ref="H10046:I10046"/>
    <mergeCell ref="J10046:L10046"/>
    <mergeCell ref="A10048:H10048"/>
    <mergeCell ref="F10049:G10049"/>
    <mergeCell ref="H10049:I10049"/>
    <mergeCell ref="J10049:L10049"/>
    <mergeCell ref="F10050:G10050"/>
    <mergeCell ref="H10050:I10050"/>
    <mergeCell ref="J10050:L10050"/>
    <mergeCell ref="A10052:H10052"/>
    <mergeCell ref="F10053:G10053"/>
    <mergeCell ref="H10053:I10053"/>
    <mergeCell ref="J10053:L10053"/>
    <mergeCell ref="F10054:G10054"/>
    <mergeCell ref="H10054:I10054"/>
    <mergeCell ref="J10054:L10054"/>
    <mergeCell ref="A10056:H10056"/>
    <mergeCell ref="F10058:G10058"/>
    <mergeCell ref="H10058:I10058"/>
    <mergeCell ref="J10058:L10058"/>
    <mergeCell ref="F10059:G10059"/>
    <mergeCell ref="H10059:I10059"/>
    <mergeCell ref="J10059:L10059"/>
    <mergeCell ref="A10069:H10069"/>
    <mergeCell ref="A10110:H10110"/>
    <mergeCell ref="J10108:L10108"/>
    <mergeCell ref="A10105:H10105"/>
    <mergeCell ref="F10106:G10106"/>
    <mergeCell ref="H10106:I10106"/>
    <mergeCell ref="J10106:L10106"/>
    <mergeCell ref="F10107:G10107"/>
    <mergeCell ref="H10107:I10107"/>
    <mergeCell ref="J10107:L10107"/>
    <mergeCell ref="F10108:G10108"/>
    <mergeCell ref="H10108:I10108"/>
    <mergeCell ref="F10057:G10057"/>
    <mergeCell ref="H10057:I10057"/>
    <mergeCell ref="J10057:L10057"/>
    <mergeCell ref="F10094:G10094"/>
    <mergeCell ref="H10094:I10094"/>
    <mergeCell ref="J10094:L10094"/>
    <mergeCell ref="F10095:G10095"/>
    <mergeCell ref="H10095:I10095"/>
    <mergeCell ref="J10095:L10095"/>
    <mergeCell ref="F10090:G10090"/>
    <mergeCell ref="H10090:I10090"/>
    <mergeCell ref="J10090:L10090"/>
    <mergeCell ref="A10092:H10092"/>
    <mergeCell ref="F10093:G10093"/>
    <mergeCell ref="H10093:I10093"/>
    <mergeCell ref="J10093:L10093"/>
    <mergeCell ref="F10086:G10086"/>
    <mergeCell ref="H10086:I10086"/>
    <mergeCell ref="J10086:L10086"/>
    <mergeCell ref="A10088:H10088"/>
    <mergeCell ref="F10089:G10089"/>
    <mergeCell ref="H10143:I10143"/>
    <mergeCell ref="J10143:L10143"/>
    <mergeCell ref="F10144:G10144"/>
    <mergeCell ref="H10144:I10144"/>
    <mergeCell ref="J10144:L10144"/>
    <mergeCell ref="F10145:G10145"/>
    <mergeCell ref="H10145:I10145"/>
    <mergeCell ref="J10145:L10145"/>
    <mergeCell ref="F10146:G10146"/>
    <mergeCell ref="H10146:I10146"/>
    <mergeCell ref="J10146:L10146"/>
    <mergeCell ref="A10148:H10148"/>
    <mergeCell ref="F10149:G10149"/>
    <mergeCell ref="H10149:I10149"/>
    <mergeCell ref="J10149:L10149"/>
    <mergeCell ref="F10150:G10150"/>
    <mergeCell ref="H10150:I10150"/>
    <mergeCell ref="J10150:L10150"/>
    <mergeCell ref="F10122:G10122"/>
    <mergeCell ref="H10122:I10122"/>
    <mergeCell ref="J10122:L10122"/>
    <mergeCell ref="F10190:G10190"/>
    <mergeCell ref="H10190:I10190"/>
    <mergeCell ref="J10190:L10190"/>
    <mergeCell ref="F10191:G10191"/>
    <mergeCell ref="H10191:I10191"/>
    <mergeCell ref="J10191:L10191"/>
    <mergeCell ref="F10201:G10201"/>
    <mergeCell ref="H10201:I10201"/>
    <mergeCell ref="J10201:L10201"/>
    <mergeCell ref="F10202:G10202"/>
    <mergeCell ref="H10202:I10202"/>
    <mergeCell ref="J10202:L10202"/>
    <mergeCell ref="J10185:L10185"/>
    <mergeCell ref="F10186:G10186"/>
    <mergeCell ref="H10186:I10186"/>
    <mergeCell ref="J10186:L10186"/>
    <mergeCell ref="F10183:G10183"/>
    <mergeCell ref="H10183:I10183"/>
    <mergeCell ref="J10183:L10183"/>
    <mergeCell ref="F10184:G10184"/>
    <mergeCell ref="H10184:I10184"/>
    <mergeCell ref="J10184:L10184"/>
    <mergeCell ref="F10171:G10171"/>
    <mergeCell ref="H10171:I10171"/>
    <mergeCell ref="J10171:L10171"/>
    <mergeCell ref="A10181:H10181"/>
    <mergeCell ref="F10182:G10182"/>
    <mergeCell ref="H10182:I10182"/>
    <mergeCell ref="J10182:L10182"/>
    <mergeCell ref="A10168:H10168"/>
    <mergeCell ref="F10169:G10169"/>
    <mergeCell ref="H10169:I10169"/>
    <mergeCell ref="J10169:L10169"/>
    <mergeCell ref="F10170:G10170"/>
    <mergeCell ref="H10170:I10170"/>
    <mergeCell ref="J10170:L10170"/>
    <mergeCell ref="A10164:H10164"/>
    <mergeCell ref="F10165:G10165"/>
    <mergeCell ref="H10165:I10165"/>
    <mergeCell ref="J10165:L10165"/>
    <mergeCell ref="F10166:G10166"/>
    <mergeCell ref="H10166:I10166"/>
    <mergeCell ref="J10166:L10166"/>
    <mergeCell ref="F10221:G10221"/>
    <mergeCell ref="H10221:I10221"/>
    <mergeCell ref="J10221:L10221"/>
    <mergeCell ref="F10222:G10222"/>
    <mergeCell ref="H10222:I10222"/>
    <mergeCell ref="J10222:L10222"/>
    <mergeCell ref="F10223:G10223"/>
    <mergeCell ref="H10223:I10223"/>
    <mergeCell ref="J10223:L10223"/>
    <mergeCell ref="A10229:H10229"/>
    <mergeCell ref="F10230:G10230"/>
    <mergeCell ref="H10230:I10230"/>
    <mergeCell ref="J10230:L10230"/>
    <mergeCell ref="A10233:H10233"/>
    <mergeCell ref="F10235:G10235"/>
    <mergeCell ref="H10235:I10235"/>
    <mergeCell ref="J10235:L10235"/>
    <mergeCell ref="A10237:H10237"/>
    <mergeCell ref="A10250:H10250"/>
    <mergeCell ref="F10251:G10251"/>
    <mergeCell ref="H10251:I10251"/>
    <mergeCell ref="J10251:L10251"/>
    <mergeCell ref="A10260:H10260"/>
    <mergeCell ref="F10224:G10224"/>
    <mergeCell ref="H10224:I10224"/>
    <mergeCell ref="J10224:L10224"/>
    <mergeCell ref="F10225:G10225"/>
    <mergeCell ref="H10225:I10225"/>
    <mergeCell ref="J10225:L10225"/>
    <mergeCell ref="J10301:L10301"/>
    <mergeCell ref="A10303:H10303"/>
    <mergeCell ref="F10304:G10304"/>
    <mergeCell ref="H10304:I10304"/>
    <mergeCell ref="J10304:L10304"/>
    <mergeCell ref="F10270:G10270"/>
    <mergeCell ref="H10270:I10270"/>
    <mergeCell ref="J10270:L10270"/>
    <mergeCell ref="F10257:G10257"/>
    <mergeCell ref="H10257:I10257"/>
    <mergeCell ref="J10257:L10257"/>
    <mergeCell ref="F10258:G10258"/>
    <mergeCell ref="H10258:I10258"/>
    <mergeCell ref="J10258:L10258"/>
    <mergeCell ref="F10262:G10262"/>
    <mergeCell ref="H10262:I10262"/>
    <mergeCell ref="J10262:L10262"/>
    <mergeCell ref="F10263:G10263"/>
    <mergeCell ref="H10263:I10263"/>
    <mergeCell ref="J10263:L10263"/>
    <mergeCell ref="A10265:H10265"/>
    <mergeCell ref="F10266:G10266"/>
    <mergeCell ref="H10266:I10266"/>
    <mergeCell ref="J10266:L10266"/>
    <mergeCell ref="F10267:G10267"/>
    <mergeCell ref="H10267:I10267"/>
    <mergeCell ref="J10267:L10267"/>
    <mergeCell ref="A10269:H10269"/>
    <mergeCell ref="F10276:G10276"/>
    <mergeCell ref="H10276:I10276"/>
    <mergeCell ref="J10276:L10276"/>
    <mergeCell ref="F10231:G10231"/>
    <mergeCell ref="H10231:I10231"/>
    <mergeCell ref="J10231:L10231"/>
    <mergeCell ref="F10226:G10226"/>
    <mergeCell ref="A10307:H10307"/>
    <mergeCell ref="A10311:H10311"/>
    <mergeCell ref="F10338:G10338"/>
    <mergeCell ref="H10338:I10338"/>
    <mergeCell ref="J10338:L10338"/>
    <mergeCell ref="A10340:H10340"/>
    <mergeCell ref="F10341:G10341"/>
    <mergeCell ref="H10341:I10341"/>
    <mergeCell ref="J10341:L10341"/>
    <mergeCell ref="F10342:G10342"/>
    <mergeCell ref="H10342:I10342"/>
    <mergeCell ref="J10342:L10342"/>
    <mergeCell ref="F10343:G10343"/>
    <mergeCell ref="H10343:I10343"/>
    <mergeCell ref="J10343:L10343"/>
    <mergeCell ref="F10344:G10344"/>
    <mergeCell ref="H10344:I10344"/>
    <mergeCell ref="J10344:L10344"/>
    <mergeCell ref="F10345:G10345"/>
    <mergeCell ref="H10345:I10345"/>
    <mergeCell ref="J10345:L10345"/>
    <mergeCell ref="A10349:H10349"/>
    <mergeCell ref="A10357:H10357"/>
    <mergeCell ref="F10358:G10358"/>
    <mergeCell ref="H10358:I10358"/>
    <mergeCell ref="J10358:L10358"/>
    <mergeCell ref="A10375:H10375"/>
    <mergeCell ref="F10376:G10376"/>
    <mergeCell ref="H10376:I10376"/>
    <mergeCell ref="J10376:L10376"/>
    <mergeCell ref="F10360:G10360"/>
    <mergeCell ref="H10360:I10360"/>
    <mergeCell ref="J10360:L10360"/>
    <mergeCell ref="F10359:G10359"/>
    <mergeCell ref="H10359:I10359"/>
    <mergeCell ref="J10359:L10359"/>
    <mergeCell ref="A10353:H10353"/>
    <mergeCell ref="F10354:G10354"/>
    <mergeCell ref="H10354:I10354"/>
    <mergeCell ref="J10354:L10354"/>
    <mergeCell ref="F10355:G10355"/>
    <mergeCell ref="H10355:I10355"/>
    <mergeCell ref="J10355:L10355"/>
    <mergeCell ref="F10350:G10350"/>
    <mergeCell ref="H10350:I10350"/>
    <mergeCell ref="J10350:L10350"/>
    <mergeCell ref="F10351:G10351"/>
    <mergeCell ref="H10351:I10351"/>
    <mergeCell ref="J10351:L10351"/>
    <mergeCell ref="F10308:G10308"/>
    <mergeCell ref="H10308:I10308"/>
    <mergeCell ref="J10308:L10308"/>
    <mergeCell ref="F10346:G10346"/>
    <mergeCell ref="H10346:I10346"/>
    <mergeCell ref="J10346:L10346"/>
    <mergeCell ref="F10347:G10347"/>
    <mergeCell ref="H10347:I10347"/>
    <mergeCell ref="J10347:L10347"/>
    <mergeCell ref="F10335:G10335"/>
    <mergeCell ref="F10372:G10372"/>
    <mergeCell ref="H10372:I10372"/>
    <mergeCell ref="J10372:L10372"/>
    <mergeCell ref="F10373:G10373"/>
    <mergeCell ref="H10373:I10373"/>
    <mergeCell ref="J10371:L10371"/>
    <mergeCell ref="H10388:I10388"/>
    <mergeCell ref="J10388:L10388"/>
    <mergeCell ref="F10389:G10389"/>
    <mergeCell ref="H10389:I10389"/>
    <mergeCell ref="J10389:L10389"/>
    <mergeCell ref="A10400:H10400"/>
    <mergeCell ref="F10401:G10401"/>
    <mergeCell ref="H10401:I10401"/>
    <mergeCell ref="J10401:L10401"/>
    <mergeCell ref="F10402:G10402"/>
    <mergeCell ref="H10402:I10402"/>
    <mergeCell ref="J10402:L10402"/>
    <mergeCell ref="F10405:G10405"/>
    <mergeCell ref="H10405:I10405"/>
    <mergeCell ref="J10405:L10405"/>
    <mergeCell ref="F10406:G10406"/>
    <mergeCell ref="H10406:I10406"/>
    <mergeCell ref="J10406:L10406"/>
    <mergeCell ref="F10390:G10390"/>
    <mergeCell ref="H10390:I10390"/>
    <mergeCell ref="J10390:L10390"/>
    <mergeCell ref="F10381:G10381"/>
    <mergeCell ref="H10381:I10381"/>
    <mergeCell ref="J10381:L10381"/>
    <mergeCell ref="F10388:G10388"/>
    <mergeCell ref="J10575:L10575"/>
    <mergeCell ref="A10577:H10577"/>
    <mergeCell ref="F10579:G10579"/>
    <mergeCell ref="H10579:I10579"/>
    <mergeCell ref="J10579:L10579"/>
    <mergeCell ref="A10581:H10581"/>
    <mergeCell ref="A10585:H10585"/>
    <mergeCell ref="H10534:I10534"/>
    <mergeCell ref="J10534:L10534"/>
    <mergeCell ref="F10535:G10535"/>
    <mergeCell ref="H10535:I10535"/>
    <mergeCell ref="J10535:L10535"/>
    <mergeCell ref="F10554:G10554"/>
    <mergeCell ref="H10554:I10554"/>
    <mergeCell ref="J10554:L10554"/>
    <mergeCell ref="J10565:L10565"/>
    <mergeCell ref="F10566:G10566"/>
    <mergeCell ref="H10566:I10566"/>
    <mergeCell ref="J10566:L10566"/>
    <mergeCell ref="F10567:G10567"/>
    <mergeCell ref="H10567:I10567"/>
    <mergeCell ref="J10567:L10567"/>
    <mergeCell ref="F10568:G10568"/>
    <mergeCell ref="H10568:I10568"/>
    <mergeCell ref="J10568:L10568"/>
    <mergeCell ref="A10572:H10572"/>
    <mergeCell ref="F10574:G10574"/>
    <mergeCell ref="H10574:I10574"/>
    <mergeCell ref="J10574:L10574"/>
    <mergeCell ref="F10575:G10575"/>
    <mergeCell ref="H10575:I10575"/>
    <mergeCell ref="J10503:L10503"/>
    <mergeCell ref="F10498:G10498"/>
    <mergeCell ref="H10498:I10498"/>
    <mergeCell ref="J10498:L10498"/>
    <mergeCell ref="F10499:G10499"/>
    <mergeCell ref="H10499:I10499"/>
    <mergeCell ref="J10499:L10499"/>
    <mergeCell ref="J10592:L10592"/>
    <mergeCell ref="A10602:H10602"/>
    <mergeCell ref="F10603:G10603"/>
    <mergeCell ref="H10603:I10603"/>
    <mergeCell ref="J10603:L10603"/>
    <mergeCell ref="F10604:G10604"/>
    <mergeCell ref="H10604:I10604"/>
    <mergeCell ref="J10604:L10604"/>
    <mergeCell ref="F10605:G10605"/>
    <mergeCell ref="H10605:I10605"/>
    <mergeCell ref="J10605:L10605"/>
    <mergeCell ref="F10569:G10569"/>
    <mergeCell ref="H10569:I10569"/>
    <mergeCell ref="J10569:L10569"/>
    <mergeCell ref="F10570:G10570"/>
    <mergeCell ref="H10570:I10570"/>
    <mergeCell ref="A10589:H10589"/>
    <mergeCell ref="F10590:G10590"/>
    <mergeCell ref="H10590:I10590"/>
    <mergeCell ref="J10590:L10590"/>
    <mergeCell ref="F10591:G10591"/>
    <mergeCell ref="H10591:I10591"/>
    <mergeCell ref="J10591:L10591"/>
    <mergeCell ref="F10586:G10586"/>
    <mergeCell ref="H10586:I10586"/>
    <mergeCell ref="J10586:L10586"/>
    <mergeCell ref="F10587:G10587"/>
    <mergeCell ref="H10587:I10587"/>
    <mergeCell ref="J10587:L10587"/>
    <mergeCell ref="F10582:G10582"/>
    <mergeCell ref="H10582:I10582"/>
    <mergeCell ref="J10582:L10582"/>
    <mergeCell ref="F10583:G10583"/>
    <mergeCell ref="H10583:I10583"/>
    <mergeCell ref="J10583:L10583"/>
    <mergeCell ref="F10578:G10578"/>
    <mergeCell ref="H10578:I10578"/>
    <mergeCell ref="J10578:L10578"/>
    <mergeCell ref="F10573:G10573"/>
    <mergeCell ref="H10573:I10573"/>
    <mergeCell ref="J10573:L10573"/>
    <mergeCell ref="J10570:L10570"/>
    <mergeCell ref="F10592:G10592"/>
    <mergeCell ref="H10592:I10592"/>
    <mergeCell ref="F10606:G10606"/>
    <mergeCell ref="H10606:I10606"/>
    <mergeCell ref="J10606:L10606"/>
    <mergeCell ref="A10608:H10608"/>
    <mergeCell ref="F10609:G10609"/>
    <mergeCell ref="H10609:I10609"/>
    <mergeCell ref="J10609:L10609"/>
    <mergeCell ref="F10610:G10610"/>
    <mergeCell ref="H10610:I10610"/>
    <mergeCell ref="J10610:L10610"/>
    <mergeCell ref="A10612:H10612"/>
    <mergeCell ref="F10614:G10614"/>
    <mergeCell ref="H10614:I10614"/>
    <mergeCell ref="J10614:L10614"/>
    <mergeCell ref="F10615:G10615"/>
    <mergeCell ref="H10615:I10615"/>
    <mergeCell ref="J10615:L10615"/>
    <mergeCell ref="A10617:H10617"/>
    <mergeCell ref="F10619:G10619"/>
    <mergeCell ref="H10619:I10619"/>
    <mergeCell ref="J10619:L10619"/>
    <mergeCell ref="A10621:H10621"/>
    <mergeCell ref="A10625:H10625"/>
    <mergeCell ref="F10642:G10642"/>
    <mergeCell ref="H10642:I10642"/>
    <mergeCell ref="J10642:L10642"/>
    <mergeCell ref="F10643:G10643"/>
    <mergeCell ref="H10643:I10643"/>
    <mergeCell ref="J10643:L10643"/>
    <mergeCell ref="A10645:H10645"/>
    <mergeCell ref="F10646:G10646"/>
    <mergeCell ref="H10646:I10646"/>
    <mergeCell ref="J10646:L10646"/>
    <mergeCell ref="F10618:G10618"/>
    <mergeCell ref="H10618:I10618"/>
    <mergeCell ref="J10618:L10618"/>
    <mergeCell ref="F10613:G10613"/>
    <mergeCell ref="H10613:I10613"/>
    <mergeCell ref="J10613:L10613"/>
    <mergeCell ref="A10654:H10654"/>
    <mergeCell ref="F10655:G10655"/>
    <mergeCell ref="H10655:I10655"/>
    <mergeCell ref="J10655:L10655"/>
    <mergeCell ref="F10656:G10656"/>
    <mergeCell ref="H10656:I10656"/>
    <mergeCell ref="J10656:L10656"/>
    <mergeCell ref="A10658:H10658"/>
    <mergeCell ref="F10659:G10659"/>
    <mergeCell ref="H10659:I10659"/>
    <mergeCell ref="J10659:L10659"/>
    <mergeCell ref="F10660:G10660"/>
    <mergeCell ref="H10660:I10660"/>
    <mergeCell ref="J10660:L10660"/>
    <mergeCell ref="A10662:H10662"/>
    <mergeCell ref="F10663:G10663"/>
    <mergeCell ref="H10663:I10663"/>
    <mergeCell ref="J10663:L10663"/>
    <mergeCell ref="F10664:G10664"/>
    <mergeCell ref="H10664:I10664"/>
    <mergeCell ref="J10664:L10664"/>
    <mergeCell ref="F10665:G10665"/>
    <mergeCell ref="H10665:I10665"/>
    <mergeCell ref="J10665:L10665"/>
    <mergeCell ref="A10675:H10675"/>
    <mergeCell ref="F10676:G10676"/>
    <mergeCell ref="H10676:I10676"/>
    <mergeCell ref="J10676:L10676"/>
    <mergeCell ref="F10677:G10677"/>
    <mergeCell ref="H10677:I10677"/>
    <mergeCell ref="J10677:L10677"/>
    <mergeCell ref="F10678:G10678"/>
    <mergeCell ref="H10678:I10678"/>
    <mergeCell ref="J10678:L10678"/>
    <mergeCell ref="F10679:G10679"/>
    <mergeCell ref="H10679:I10679"/>
    <mergeCell ref="J10679:L10679"/>
    <mergeCell ref="F10680:G10680"/>
    <mergeCell ref="H10680:I10680"/>
    <mergeCell ref="J10680:L10680"/>
    <mergeCell ref="A10682:H10682"/>
    <mergeCell ref="F10683:G10683"/>
    <mergeCell ref="H10683:I10683"/>
    <mergeCell ref="J10683:L10683"/>
    <mergeCell ref="F10684:G10684"/>
    <mergeCell ref="H10684:I10684"/>
    <mergeCell ref="J10684:L10684"/>
    <mergeCell ref="F10685:G10685"/>
    <mergeCell ref="H10685:I10685"/>
    <mergeCell ref="J10685:L10685"/>
    <mergeCell ref="A10687:H10687"/>
    <mergeCell ref="F10688:G10688"/>
    <mergeCell ref="H10688:I10688"/>
    <mergeCell ref="J10688:L10688"/>
    <mergeCell ref="F10689:G10689"/>
    <mergeCell ref="H10689:I10689"/>
    <mergeCell ref="J10689:L10689"/>
    <mergeCell ref="A10691:H10691"/>
    <mergeCell ref="F10692:G10692"/>
    <mergeCell ref="H10692:I10692"/>
    <mergeCell ref="J10692:L10692"/>
    <mergeCell ref="F10693:G10693"/>
    <mergeCell ref="H10693:I10693"/>
    <mergeCell ref="J10693:L10693"/>
    <mergeCell ref="A10695:H10695"/>
    <mergeCell ref="F10696:G10696"/>
    <mergeCell ref="H10696:I10696"/>
    <mergeCell ref="J10696:L10696"/>
    <mergeCell ref="F10697:G10697"/>
    <mergeCell ref="H10697:I10697"/>
    <mergeCell ref="J10697:L10697"/>
    <mergeCell ref="A10699:H10699"/>
    <mergeCell ref="F10700:G10700"/>
    <mergeCell ref="H10700:I10700"/>
    <mergeCell ref="J10700:L10700"/>
    <mergeCell ref="F10701:G10701"/>
    <mergeCell ref="H10701:I10701"/>
    <mergeCell ref="J10701:L10701"/>
    <mergeCell ref="F10702:G10702"/>
    <mergeCell ref="H10702:I10702"/>
    <mergeCell ref="J10702:L10702"/>
    <mergeCell ref="A10712:H10712"/>
    <mergeCell ref="F10713:G10713"/>
    <mergeCell ref="H10713:I10713"/>
    <mergeCell ref="J10713:L10713"/>
    <mergeCell ref="F10714:G10714"/>
    <mergeCell ref="H10714:I10714"/>
    <mergeCell ref="J10714:L10714"/>
    <mergeCell ref="F10715:G10715"/>
    <mergeCell ref="H10715:I10715"/>
    <mergeCell ref="J10715:L10715"/>
    <mergeCell ref="F10716:G10716"/>
    <mergeCell ref="H10716:I10716"/>
    <mergeCell ref="J10716:L10716"/>
    <mergeCell ref="F10717:G10717"/>
    <mergeCell ref="H10717:I10717"/>
    <mergeCell ref="J10717:L10717"/>
    <mergeCell ref="A10719:H10719"/>
    <mergeCell ref="F10720:G10720"/>
    <mergeCell ref="H10720:I10720"/>
    <mergeCell ref="J10720:L10720"/>
    <mergeCell ref="F10721:G10721"/>
    <mergeCell ref="H10721:I10721"/>
    <mergeCell ref="J10721:L10721"/>
    <mergeCell ref="F10722:G10722"/>
    <mergeCell ref="H10722:I10722"/>
    <mergeCell ref="J10722:L10722"/>
    <mergeCell ref="A10724:H10724"/>
    <mergeCell ref="F10725:G10725"/>
    <mergeCell ref="H10725:I10725"/>
    <mergeCell ref="J10725:L10725"/>
    <mergeCell ref="F10726:G10726"/>
    <mergeCell ref="H10726:I10726"/>
    <mergeCell ref="J10726:L10726"/>
    <mergeCell ref="F10727:G10727"/>
    <mergeCell ref="H10727:I10727"/>
    <mergeCell ref="J10727:L10727"/>
    <mergeCell ref="A10729:H10729"/>
    <mergeCell ref="F10730:G10730"/>
    <mergeCell ref="H10730:I10730"/>
    <mergeCell ref="J10730:L10730"/>
    <mergeCell ref="F10731:G10731"/>
    <mergeCell ref="H10731:I10731"/>
    <mergeCell ref="J10731:L10731"/>
    <mergeCell ref="A10733:H10733"/>
    <mergeCell ref="F10734:G10734"/>
    <mergeCell ref="H10734:I10734"/>
    <mergeCell ref="J10734:L10734"/>
    <mergeCell ref="F10735:G10735"/>
    <mergeCell ref="H10735:I10735"/>
    <mergeCell ref="J10735:L10735"/>
    <mergeCell ref="A10737:H10737"/>
    <mergeCell ref="F10738:G10738"/>
    <mergeCell ref="H10738:I10738"/>
    <mergeCell ref="J10738:L10738"/>
    <mergeCell ref="F10739:G10739"/>
    <mergeCell ref="H10739:I10739"/>
    <mergeCell ref="J10739:L10739"/>
    <mergeCell ref="F10740:G10740"/>
    <mergeCell ref="H10740:I10740"/>
    <mergeCell ref="J10740:L10740"/>
    <mergeCell ref="A10750:H10750"/>
    <mergeCell ref="F10751:G10751"/>
    <mergeCell ref="H10751:I10751"/>
    <mergeCell ref="J10751:L10751"/>
    <mergeCell ref="F10752:G10752"/>
    <mergeCell ref="H10752:I10752"/>
    <mergeCell ref="J10752:L10752"/>
    <mergeCell ref="F10753:G10753"/>
    <mergeCell ref="H10753:I10753"/>
    <mergeCell ref="J10753:L10753"/>
    <mergeCell ref="F10754:G10754"/>
    <mergeCell ref="H10754:I10754"/>
    <mergeCell ref="J10754:L10754"/>
    <mergeCell ref="F10755:G10755"/>
    <mergeCell ref="H10755:I10755"/>
    <mergeCell ref="J10755:L10755"/>
    <mergeCell ref="A10757:H10757"/>
    <mergeCell ref="F10758:G10758"/>
    <mergeCell ref="H10758:I10758"/>
    <mergeCell ref="J10758:L10758"/>
    <mergeCell ref="F10759:G10759"/>
    <mergeCell ref="H10759:I10759"/>
    <mergeCell ref="J10759:L10759"/>
    <mergeCell ref="F10760:G10760"/>
    <mergeCell ref="H10760:I10760"/>
    <mergeCell ref="J10760:L10760"/>
    <mergeCell ref="A10762:H10762"/>
    <mergeCell ref="F10763:G10763"/>
    <mergeCell ref="H10763:I10763"/>
    <mergeCell ref="J10763:L10763"/>
    <mergeCell ref="F10764:G10764"/>
    <mergeCell ref="H10764:I10764"/>
    <mergeCell ref="J10764:L10764"/>
    <mergeCell ref="A10766:H10766"/>
    <mergeCell ref="F10767:G10767"/>
    <mergeCell ref="H10767:I10767"/>
    <mergeCell ref="J10767:L10767"/>
    <mergeCell ref="F10768:G10768"/>
    <mergeCell ref="H10768:I10768"/>
    <mergeCell ref="J10768:L10768"/>
    <mergeCell ref="A10770:H10770"/>
    <mergeCell ref="F10771:G10771"/>
    <mergeCell ref="H10771:I10771"/>
    <mergeCell ref="J10771:L10771"/>
    <mergeCell ref="F10772:G10772"/>
    <mergeCell ref="H10772:I10772"/>
    <mergeCell ref="J10772:L10772"/>
    <mergeCell ref="A10774:H10774"/>
    <mergeCell ref="F10775:G10775"/>
    <mergeCell ref="H10775:I10775"/>
    <mergeCell ref="J10775:L10775"/>
    <mergeCell ref="F10776:G10776"/>
    <mergeCell ref="H10776:I10776"/>
    <mergeCell ref="J10776:L10776"/>
    <mergeCell ref="F10777:G10777"/>
    <mergeCell ref="H10777:I10777"/>
    <mergeCell ref="J10777:L10777"/>
    <mergeCell ref="A10787:H10787"/>
    <mergeCell ref="F10788:G10788"/>
    <mergeCell ref="H10788:I10788"/>
    <mergeCell ref="J10788:L10788"/>
    <mergeCell ref="F10789:G10789"/>
    <mergeCell ref="H10789:I10789"/>
    <mergeCell ref="J10789:L10789"/>
    <mergeCell ref="F10790:G10790"/>
    <mergeCell ref="H10790:I10790"/>
    <mergeCell ref="J10790:L10790"/>
    <mergeCell ref="F10791:G10791"/>
    <mergeCell ref="H10791:I10791"/>
    <mergeCell ref="J10791:L10791"/>
    <mergeCell ref="F10792:G10792"/>
    <mergeCell ref="H10792:I10792"/>
    <mergeCell ref="J10792:L10792"/>
    <mergeCell ref="A10794:H10794"/>
    <mergeCell ref="F10795:G10795"/>
    <mergeCell ref="H10795:I10795"/>
    <mergeCell ref="J10795:L10795"/>
    <mergeCell ref="F10796:G10796"/>
    <mergeCell ref="H10796:I10796"/>
    <mergeCell ref="J10796:L10796"/>
    <mergeCell ref="F10797:G10797"/>
    <mergeCell ref="H10797:I10797"/>
    <mergeCell ref="J10797:L10797"/>
    <mergeCell ref="A10799:H10799"/>
    <mergeCell ref="F10800:G10800"/>
    <mergeCell ref="H10800:I10800"/>
    <mergeCell ref="J10800:L10800"/>
    <mergeCell ref="F10801:G10801"/>
    <mergeCell ref="H10801:I10801"/>
    <mergeCell ref="J10801:L10801"/>
    <mergeCell ref="F10802:G10802"/>
    <mergeCell ref="H10802:I10802"/>
    <mergeCell ref="J10802:L10802"/>
    <mergeCell ref="F10803:G10803"/>
    <mergeCell ref="H10803:I10803"/>
    <mergeCell ref="J10803:L10803"/>
    <mergeCell ref="F10804:G10804"/>
    <mergeCell ref="H10804:I10804"/>
    <mergeCell ref="J10804:L10804"/>
    <mergeCell ref="F10805:G10805"/>
    <mergeCell ref="H10805:I10805"/>
    <mergeCell ref="J10805:L10805"/>
    <mergeCell ref="F10806:G10806"/>
    <mergeCell ref="H10806:I10806"/>
    <mergeCell ref="J10806:L10806"/>
    <mergeCell ref="A10808:H10808"/>
    <mergeCell ref="F10809:G10809"/>
    <mergeCell ref="H10809:I10809"/>
    <mergeCell ref="J10809:L10809"/>
    <mergeCell ref="F10810:G10810"/>
    <mergeCell ref="H10810:I10810"/>
    <mergeCell ref="J10810:L10810"/>
    <mergeCell ref="A10812:H10812"/>
    <mergeCell ref="F10813:G10813"/>
    <mergeCell ref="H10813:I10813"/>
    <mergeCell ref="J10813:L10813"/>
    <mergeCell ref="F10814:G10814"/>
    <mergeCell ref="H10814:I10814"/>
    <mergeCell ref="J10814:L10814"/>
    <mergeCell ref="A10816:H10816"/>
    <mergeCell ref="F10817:G10817"/>
    <mergeCell ref="H10817:I10817"/>
    <mergeCell ref="J10817:L10817"/>
    <mergeCell ref="F10818:G10818"/>
    <mergeCell ref="H10818:I10818"/>
    <mergeCell ref="J10818:L10818"/>
    <mergeCell ref="F10819:G10819"/>
    <mergeCell ref="H10819:I10819"/>
    <mergeCell ref="J10819:L10819"/>
    <mergeCell ref="A10829:H10829"/>
    <mergeCell ref="F10830:G10830"/>
    <mergeCell ref="H10830:I10830"/>
    <mergeCell ref="J10830:L10830"/>
    <mergeCell ref="F10831:G10831"/>
    <mergeCell ref="H10831:I10831"/>
    <mergeCell ref="J10831:L10831"/>
    <mergeCell ref="F10832:G10832"/>
    <mergeCell ref="H10832:I10832"/>
    <mergeCell ref="J10832:L10832"/>
    <mergeCell ref="A10834:H10834"/>
    <mergeCell ref="F10835:G10835"/>
    <mergeCell ref="H10835:I10835"/>
    <mergeCell ref="J10835:L10835"/>
    <mergeCell ref="F10836:G10836"/>
    <mergeCell ref="H10836:I10836"/>
    <mergeCell ref="J10836:L10836"/>
    <mergeCell ref="F10837:G10837"/>
    <mergeCell ref="H10837:I10837"/>
    <mergeCell ref="J10837:L10837"/>
    <mergeCell ref="A10839:H10839"/>
    <mergeCell ref="F10840:G10840"/>
    <mergeCell ref="H10840:I10840"/>
    <mergeCell ref="J10840:L10840"/>
    <mergeCell ref="F10841:G10841"/>
    <mergeCell ref="H10841:I10841"/>
    <mergeCell ref="J10841:L10841"/>
    <mergeCell ref="F10842:G10842"/>
    <mergeCell ref="H10842:I10842"/>
    <mergeCell ref="J10842:L10842"/>
    <mergeCell ref="F10843:G10843"/>
    <mergeCell ref="H10843:I10843"/>
    <mergeCell ref="J10843:L10843"/>
    <mergeCell ref="F10860:G10860"/>
    <mergeCell ref="H10860:I10860"/>
    <mergeCell ref="J10860:L10860"/>
    <mergeCell ref="A10870:C10870"/>
    <mergeCell ref="H10870:I10870"/>
    <mergeCell ref="J10870:L10870"/>
    <mergeCell ref="A10871:C10871"/>
    <mergeCell ref="H10871:I10871"/>
    <mergeCell ref="J10871:L10871"/>
    <mergeCell ref="A10872:C10872"/>
    <mergeCell ref="H10872:I10872"/>
    <mergeCell ref="J10872:L10872"/>
    <mergeCell ref="F10844:G10844"/>
    <mergeCell ref="H10844:I10844"/>
    <mergeCell ref="J10844:L10844"/>
    <mergeCell ref="F10845:G10845"/>
    <mergeCell ref="H10845:I10845"/>
    <mergeCell ref="J10845:L10845"/>
    <mergeCell ref="F10846:G10846"/>
    <mergeCell ref="H10846:I10846"/>
    <mergeCell ref="J10846:L10846"/>
    <mergeCell ref="F10847:G10847"/>
    <mergeCell ref="H10847:I10847"/>
    <mergeCell ref="J10847:L10847"/>
    <mergeCell ref="A10849:H10849"/>
    <mergeCell ref="F10850:G10850"/>
    <mergeCell ref="H10850:I10850"/>
    <mergeCell ref="J10850:L10850"/>
    <mergeCell ref="F10851:G10851"/>
    <mergeCell ref="H10851:I10851"/>
    <mergeCell ref="J10851:L10851"/>
    <mergeCell ref="A10853:H10853"/>
    <mergeCell ref="F10854:G10854"/>
    <mergeCell ref="H10854:I10854"/>
    <mergeCell ref="J10854:L10854"/>
    <mergeCell ref="F10855:G10855"/>
    <mergeCell ref="H10855:I10855"/>
    <mergeCell ref="J10855:L10855"/>
    <mergeCell ref="A10857:H10857"/>
    <mergeCell ref="F10858:G10858"/>
    <mergeCell ref="H10858:I10858"/>
    <mergeCell ref="J10858:L10858"/>
    <mergeCell ref="F10859:G10859"/>
    <mergeCell ref="H10859:I10859"/>
    <mergeCell ref="J10859:L10859"/>
  </mergeCells>
  <pageMargins left="0.5" right="0.5" top="1" bottom="1" header="0.5" footer="0.5"/>
  <pageSetup paperSize="9" fitToHeight="0" orientation="landscape"/>
  <headerFooter>
    <oddHeader>&amp;L &amp;CMinha Empresa
CNPJ:  &amp;R</oddHeader>
    <oddFooter>&amp;L &amp;C  -  -  / MT
(65) 99217-4973 / aureo.emanoel10@gmail.com &amp;R</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9</vt:i4>
      </vt:variant>
      <vt:variant>
        <vt:lpstr>Intervalos nomeados</vt:lpstr>
      </vt:variant>
      <vt:variant>
        <vt:i4>7</vt:i4>
      </vt:variant>
    </vt:vector>
  </HeadingPairs>
  <TitlesOfParts>
    <vt:vector size="16" baseType="lpstr">
      <vt:lpstr>SINAPI MAIO 2020</vt:lpstr>
      <vt:lpstr>QUANT</vt:lpstr>
      <vt:lpstr>1-RESUMO</vt:lpstr>
      <vt:lpstr>2-ORÇAMENTO</vt:lpstr>
      <vt:lpstr>3-CRONOGRAMA</vt:lpstr>
      <vt:lpstr>4-BDI</vt:lpstr>
      <vt:lpstr>6-COMP. PROPRIA</vt:lpstr>
      <vt:lpstr>CPUs</vt:lpstr>
      <vt:lpstr>Orçamento Analítico</vt:lpstr>
      <vt:lpstr>'1-RESUMO'!Area_de_impressao</vt:lpstr>
      <vt:lpstr>'2-ORÇAMENTO'!Area_de_impressao</vt:lpstr>
      <vt:lpstr>'3-CRONOGRAMA'!Area_de_impressao</vt:lpstr>
      <vt:lpstr>'4-BDI'!Area_de_impressao</vt:lpstr>
      <vt:lpstr>'6-COMP. PROPRIA'!Area_de_impressao</vt:lpstr>
      <vt:lpstr>QUANT!Area_de_impressao</vt:lpstr>
      <vt:lpstr>'2-ORÇAMENTO'!Titulos_de_impressao</vt:lpstr>
    </vt:vector>
  </TitlesOfParts>
  <Company>Home</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Edna</dc:creator>
  <cp:lastModifiedBy>karina.arruda</cp:lastModifiedBy>
  <cp:lastPrinted>2020-09-11T18:02:00Z</cp:lastPrinted>
  <dcterms:created xsi:type="dcterms:W3CDTF">2009-03-07T19:28:34Z</dcterms:created>
  <dcterms:modified xsi:type="dcterms:W3CDTF">2020-09-11T18:02:56Z</dcterms:modified>
</cp:coreProperties>
</file>